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danial.khalil\Downloads\"/>
    </mc:Choice>
  </mc:AlternateContent>
  <xr:revisionPtr revIDLastSave="0" documentId="13_ncr:1_{A9765737-BF41-4500-9D23-C06029441816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Bayut Locations" sheetId="2" r:id="rId1"/>
  </sheets>
  <definedNames>
    <definedName name="_xlnm._FilterDatabase" localSheetId="0" hidden="1">'Bayut Locations'!$A$1:$Z$15032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548" i="2" l="1"/>
  <c r="C15548" i="2"/>
  <c r="B15548" i="2"/>
  <c r="A15548" i="2"/>
  <c r="D15547" i="2"/>
  <c r="C15547" i="2"/>
  <c r="B15547" i="2"/>
  <c r="A15547" i="2"/>
  <c r="D15546" i="2"/>
  <c r="C15546" i="2"/>
  <c r="B15546" i="2"/>
  <c r="A15546" i="2"/>
  <c r="D15545" i="2"/>
  <c r="C15545" i="2"/>
  <c r="B15545" i="2"/>
  <c r="A15545" i="2"/>
  <c r="D15544" i="2"/>
  <c r="C15544" i="2"/>
  <c r="B15544" i="2"/>
  <c r="A15544" i="2"/>
  <c r="D15543" i="2"/>
  <c r="B15543" i="2"/>
  <c r="A15543" i="2"/>
  <c r="D15542" i="2"/>
  <c r="C15542" i="2"/>
  <c r="B15542" i="2"/>
  <c r="A15542" i="2"/>
  <c r="D15541" i="2"/>
  <c r="B15541" i="2"/>
  <c r="A15541" i="2"/>
  <c r="D15540" i="2"/>
  <c r="B15540" i="2"/>
  <c r="A15540" i="2"/>
  <c r="D15539" i="2"/>
  <c r="C15539" i="2"/>
  <c r="B15539" i="2"/>
  <c r="A15539" i="2"/>
  <c r="D15538" i="2"/>
  <c r="C15538" i="2"/>
  <c r="B15538" i="2"/>
  <c r="A15538" i="2"/>
  <c r="D15537" i="2"/>
  <c r="C15537" i="2"/>
  <c r="B15537" i="2"/>
  <c r="A15537" i="2"/>
  <c r="D15536" i="2"/>
  <c r="C15536" i="2"/>
  <c r="B15536" i="2"/>
  <c r="A15536" i="2"/>
  <c r="D15535" i="2"/>
  <c r="C15535" i="2"/>
  <c r="B15535" i="2"/>
  <c r="A15535" i="2"/>
  <c r="D15534" i="2"/>
  <c r="C15534" i="2"/>
  <c r="B15534" i="2"/>
  <c r="A15534" i="2"/>
  <c r="D15533" i="2"/>
  <c r="B15533" i="2"/>
  <c r="A15533" i="2"/>
  <c r="D15532" i="2"/>
  <c r="C15532" i="2"/>
  <c r="B15532" i="2"/>
  <c r="A15532" i="2"/>
  <c r="D15531" i="2"/>
  <c r="C15531" i="2"/>
  <c r="B15531" i="2"/>
  <c r="A15531" i="2"/>
  <c r="D15530" i="2"/>
  <c r="C15530" i="2"/>
  <c r="B15530" i="2"/>
  <c r="A15530" i="2"/>
  <c r="D15529" i="2"/>
  <c r="C15529" i="2"/>
  <c r="B15529" i="2"/>
  <c r="A15529" i="2"/>
  <c r="D15528" i="2"/>
  <c r="C15528" i="2"/>
  <c r="B15528" i="2"/>
  <c r="A15528" i="2"/>
  <c r="D15527" i="2"/>
  <c r="C15527" i="2"/>
  <c r="B15527" i="2"/>
  <c r="A15527" i="2"/>
  <c r="D15526" i="2"/>
  <c r="C15526" i="2"/>
  <c r="B15526" i="2"/>
  <c r="A15526" i="2"/>
  <c r="D15525" i="2"/>
  <c r="C15525" i="2"/>
  <c r="B15525" i="2"/>
  <c r="A15525" i="2"/>
  <c r="D15524" i="2"/>
  <c r="B15524" i="2"/>
  <c r="A15524" i="2"/>
  <c r="D15523" i="2"/>
  <c r="C15523" i="2"/>
  <c r="B15523" i="2"/>
  <c r="A15523" i="2"/>
  <c r="D15522" i="2"/>
  <c r="C15522" i="2"/>
  <c r="B15522" i="2"/>
  <c r="A15522" i="2"/>
  <c r="D15521" i="2"/>
  <c r="C15521" i="2"/>
  <c r="B15521" i="2"/>
  <c r="A15521" i="2"/>
  <c r="D15520" i="2"/>
  <c r="C15520" i="2"/>
  <c r="B15520" i="2"/>
  <c r="A15520" i="2"/>
  <c r="D15519" i="2"/>
  <c r="B15519" i="2"/>
  <c r="A15519" i="2"/>
  <c r="D15518" i="2"/>
  <c r="C15518" i="2"/>
  <c r="B15518" i="2"/>
  <c r="A15518" i="2"/>
  <c r="D15517" i="2"/>
  <c r="C15517" i="2"/>
  <c r="B15517" i="2"/>
  <c r="A15517" i="2"/>
  <c r="D15516" i="2"/>
  <c r="B15516" i="2"/>
  <c r="A15516" i="2"/>
  <c r="D15515" i="2"/>
  <c r="C15515" i="2"/>
  <c r="B15515" i="2"/>
  <c r="A15515" i="2"/>
  <c r="D15514" i="2"/>
  <c r="C15514" i="2"/>
  <c r="B15514" i="2"/>
  <c r="A15514" i="2"/>
  <c r="D15513" i="2"/>
  <c r="B15513" i="2"/>
  <c r="A15513" i="2"/>
  <c r="D15512" i="2"/>
  <c r="C15512" i="2"/>
  <c r="B15512" i="2"/>
  <c r="A15512" i="2"/>
  <c r="D15511" i="2"/>
  <c r="B15511" i="2"/>
  <c r="A15511" i="2"/>
  <c r="D15510" i="2"/>
  <c r="B15510" i="2"/>
  <c r="A15510" i="2"/>
  <c r="D15509" i="2"/>
  <c r="C15509" i="2"/>
  <c r="B15509" i="2"/>
  <c r="A15509" i="2"/>
  <c r="D15508" i="2"/>
  <c r="C15508" i="2"/>
  <c r="B15508" i="2"/>
  <c r="A15508" i="2"/>
  <c r="D15507" i="2"/>
  <c r="B15507" i="2"/>
  <c r="A15507" i="2"/>
  <c r="D15506" i="2"/>
  <c r="C15506" i="2"/>
  <c r="B15506" i="2"/>
  <c r="A15506" i="2"/>
  <c r="D15505" i="2"/>
  <c r="B15505" i="2"/>
  <c r="A15505" i="2"/>
  <c r="D15504" i="2"/>
  <c r="C15504" i="2"/>
  <c r="B15504" i="2"/>
  <c r="A15504" i="2"/>
  <c r="D15503" i="2"/>
  <c r="B15503" i="2"/>
  <c r="A15503" i="2"/>
  <c r="D15502" i="2"/>
  <c r="C15502" i="2"/>
  <c r="B15502" i="2"/>
  <c r="A15502" i="2"/>
  <c r="D15501" i="2"/>
  <c r="B15501" i="2"/>
  <c r="A15501" i="2"/>
  <c r="D15500" i="2"/>
  <c r="C15500" i="2"/>
  <c r="B15500" i="2"/>
  <c r="A15500" i="2"/>
  <c r="D15499" i="2"/>
  <c r="B15499" i="2"/>
  <c r="A15499" i="2"/>
  <c r="D15498" i="2"/>
  <c r="C15498" i="2"/>
  <c r="B15498" i="2"/>
  <c r="A15498" i="2"/>
  <c r="D15497" i="2"/>
  <c r="C15497" i="2"/>
  <c r="B15497" i="2"/>
  <c r="A15497" i="2"/>
  <c r="D15496" i="2"/>
  <c r="B15496" i="2"/>
  <c r="A15496" i="2"/>
  <c r="D15495" i="2"/>
  <c r="C15495" i="2"/>
  <c r="B15495" i="2"/>
  <c r="A15495" i="2"/>
  <c r="D15494" i="2"/>
  <c r="B15494" i="2"/>
  <c r="A15494" i="2"/>
  <c r="D15493" i="2"/>
  <c r="B15493" i="2"/>
  <c r="A15493" i="2"/>
  <c r="D15492" i="2"/>
  <c r="B15492" i="2"/>
  <c r="A15492" i="2"/>
  <c r="D15491" i="2"/>
  <c r="C15491" i="2"/>
  <c r="B15491" i="2"/>
  <c r="A15491" i="2"/>
  <c r="D15490" i="2"/>
  <c r="C15490" i="2"/>
  <c r="B15490" i="2"/>
  <c r="A15490" i="2"/>
  <c r="D15489" i="2"/>
  <c r="C15489" i="2"/>
  <c r="B15489" i="2"/>
  <c r="A15489" i="2"/>
  <c r="D15488" i="2"/>
  <c r="C15488" i="2"/>
  <c r="B15488" i="2"/>
  <c r="A15488" i="2"/>
  <c r="D15487" i="2"/>
  <c r="C15487" i="2"/>
  <c r="B15487" i="2"/>
  <c r="A15487" i="2"/>
  <c r="D15486" i="2"/>
  <c r="B15486" i="2"/>
  <c r="A15486" i="2"/>
  <c r="D15485" i="2"/>
  <c r="B15485" i="2"/>
  <c r="A15485" i="2"/>
  <c r="D15484" i="2"/>
  <c r="B15484" i="2"/>
  <c r="A15484" i="2"/>
  <c r="D15483" i="2"/>
  <c r="C15483" i="2"/>
  <c r="B15483" i="2"/>
  <c r="A15483" i="2"/>
  <c r="D15482" i="2"/>
  <c r="B15482" i="2"/>
  <c r="A15482" i="2"/>
  <c r="D15481" i="2"/>
  <c r="C15481" i="2"/>
  <c r="B15481" i="2"/>
  <c r="A15481" i="2"/>
  <c r="D15480" i="2"/>
  <c r="B15480" i="2"/>
  <c r="A15480" i="2"/>
  <c r="D15479" i="2"/>
  <c r="B15479" i="2"/>
  <c r="A15479" i="2"/>
  <c r="D15478" i="2"/>
  <c r="C15478" i="2"/>
  <c r="B15478" i="2"/>
  <c r="A15478" i="2"/>
  <c r="D15477" i="2"/>
  <c r="B15477" i="2"/>
  <c r="A15477" i="2"/>
  <c r="D15476" i="2"/>
  <c r="C15476" i="2"/>
  <c r="B15476" i="2"/>
  <c r="A15476" i="2"/>
  <c r="D15475" i="2"/>
  <c r="B15475" i="2"/>
  <c r="A15475" i="2"/>
  <c r="D15474" i="2"/>
  <c r="C15474" i="2"/>
  <c r="B15474" i="2"/>
  <c r="A15474" i="2"/>
  <c r="D15473" i="2"/>
  <c r="B15473" i="2"/>
  <c r="A15473" i="2"/>
  <c r="D15472" i="2"/>
  <c r="C15472" i="2"/>
  <c r="B15472" i="2"/>
  <c r="A15472" i="2"/>
  <c r="D15471" i="2"/>
  <c r="B15471" i="2"/>
  <c r="A15471" i="2"/>
  <c r="D15470" i="2"/>
  <c r="C15470" i="2"/>
  <c r="B15470" i="2"/>
  <c r="A15470" i="2"/>
  <c r="D15469" i="2"/>
  <c r="C15469" i="2"/>
  <c r="B15469" i="2"/>
  <c r="A15469" i="2"/>
  <c r="D15468" i="2"/>
  <c r="C15468" i="2"/>
  <c r="B15468" i="2"/>
  <c r="A15468" i="2"/>
  <c r="D15467" i="2"/>
  <c r="C15467" i="2"/>
  <c r="B15467" i="2"/>
  <c r="A15467" i="2"/>
  <c r="D15466" i="2"/>
  <c r="C15466" i="2"/>
  <c r="B15466" i="2"/>
  <c r="A15466" i="2"/>
  <c r="D15465" i="2"/>
  <c r="C15465" i="2"/>
  <c r="B15465" i="2"/>
  <c r="A15465" i="2"/>
  <c r="D15464" i="2"/>
  <c r="C15464" i="2"/>
  <c r="B15464" i="2"/>
  <c r="A15464" i="2"/>
  <c r="D15463" i="2"/>
  <c r="C15463" i="2"/>
  <c r="B15463" i="2"/>
  <c r="A15463" i="2"/>
  <c r="D15462" i="2"/>
  <c r="C15462" i="2"/>
  <c r="B15462" i="2"/>
  <c r="A15462" i="2"/>
  <c r="D15461" i="2"/>
  <c r="C15461" i="2"/>
  <c r="B15461" i="2"/>
  <c r="A15461" i="2"/>
  <c r="D15460" i="2"/>
  <c r="C15460" i="2"/>
  <c r="B15460" i="2"/>
  <c r="A15460" i="2"/>
  <c r="D15459" i="2"/>
  <c r="C15459" i="2"/>
  <c r="B15459" i="2"/>
  <c r="A15459" i="2"/>
  <c r="D15458" i="2"/>
  <c r="B15458" i="2"/>
  <c r="A15458" i="2"/>
  <c r="D15457" i="2"/>
  <c r="C15457" i="2"/>
  <c r="B15457" i="2"/>
  <c r="A15457" i="2"/>
  <c r="D15456" i="2"/>
  <c r="C15456" i="2"/>
  <c r="B15456" i="2"/>
  <c r="A15456" i="2"/>
  <c r="D15455" i="2"/>
  <c r="C15455" i="2"/>
  <c r="B15455" i="2"/>
  <c r="A15455" i="2"/>
  <c r="D15454" i="2"/>
  <c r="C15454" i="2"/>
  <c r="B15454" i="2"/>
  <c r="A15454" i="2"/>
  <c r="D15453" i="2"/>
  <c r="C15453" i="2"/>
  <c r="B15453" i="2"/>
  <c r="A15453" i="2"/>
  <c r="D15452" i="2"/>
  <c r="C15452" i="2"/>
  <c r="B15452" i="2"/>
  <c r="A15452" i="2"/>
  <c r="D15451" i="2"/>
  <c r="C15451" i="2"/>
  <c r="B15451" i="2"/>
  <c r="A15451" i="2"/>
  <c r="D15450" i="2"/>
  <c r="C15450" i="2"/>
  <c r="B15450" i="2"/>
  <c r="A15450" i="2"/>
  <c r="D15449" i="2"/>
  <c r="C15449" i="2"/>
  <c r="B15449" i="2"/>
  <c r="A15449" i="2"/>
  <c r="D15448" i="2"/>
  <c r="C15448" i="2"/>
  <c r="B15448" i="2"/>
  <c r="A15448" i="2"/>
  <c r="D15447" i="2"/>
  <c r="C15447" i="2"/>
  <c r="B15447" i="2"/>
  <c r="A15447" i="2"/>
  <c r="D15446" i="2"/>
  <c r="C15446" i="2"/>
  <c r="B15446" i="2"/>
  <c r="A15446" i="2"/>
  <c r="D15445" i="2"/>
  <c r="C15445" i="2"/>
  <c r="B15445" i="2"/>
  <c r="A15445" i="2"/>
  <c r="D15444" i="2"/>
  <c r="C15444" i="2"/>
  <c r="B15444" i="2"/>
  <c r="A15444" i="2"/>
  <c r="D15443" i="2"/>
  <c r="C15443" i="2"/>
  <c r="B15443" i="2"/>
  <c r="A15443" i="2"/>
  <c r="D15442" i="2"/>
  <c r="C15442" i="2"/>
  <c r="B15442" i="2"/>
  <c r="A15442" i="2"/>
  <c r="D15441" i="2"/>
  <c r="C15441" i="2"/>
  <c r="B15441" i="2"/>
  <c r="A15441" i="2"/>
  <c r="D15440" i="2"/>
  <c r="C15440" i="2"/>
  <c r="B15440" i="2"/>
  <c r="A15440" i="2"/>
  <c r="D15439" i="2"/>
  <c r="C15439" i="2"/>
  <c r="B15439" i="2"/>
  <c r="A15439" i="2"/>
  <c r="D15438" i="2"/>
  <c r="C15438" i="2"/>
  <c r="B15438" i="2"/>
  <c r="A15438" i="2"/>
  <c r="D15437" i="2"/>
  <c r="C15437" i="2"/>
  <c r="B15437" i="2"/>
  <c r="A15437" i="2"/>
  <c r="D15436" i="2"/>
  <c r="C15436" i="2"/>
  <c r="B15436" i="2"/>
  <c r="A15436" i="2"/>
  <c r="D15435" i="2"/>
  <c r="C15435" i="2"/>
  <c r="B15435" i="2"/>
  <c r="A15435" i="2"/>
  <c r="D15434" i="2"/>
  <c r="C15434" i="2"/>
  <c r="B15434" i="2"/>
  <c r="A15434" i="2"/>
  <c r="D15433" i="2"/>
  <c r="C15433" i="2"/>
  <c r="B15433" i="2"/>
  <c r="A15433" i="2"/>
  <c r="D15432" i="2"/>
  <c r="C15432" i="2"/>
  <c r="B15432" i="2"/>
  <c r="A15432" i="2"/>
  <c r="D15431" i="2"/>
  <c r="C15431" i="2"/>
  <c r="B15431" i="2"/>
  <c r="A15431" i="2"/>
  <c r="D15430" i="2"/>
  <c r="C15430" i="2"/>
  <c r="B15430" i="2"/>
  <c r="A15430" i="2"/>
  <c r="D15429" i="2"/>
  <c r="C15429" i="2"/>
  <c r="B15429" i="2"/>
  <c r="A15429" i="2"/>
  <c r="D15428" i="2"/>
  <c r="C15428" i="2"/>
  <c r="B15428" i="2"/>
  <c r="A15428" i="2"/>
  <c r="D15427" i="2"/>
  <c r="C15427" i="2"/>
  <c r="B15427" i="2"/>
  <c r="A15427" i="2"/>
  <c r="D15426" i="2"/>
  <c r="C15426" i="2"/>
  <c r="B15426" i="2"/>
  <c r="A15426" i="2"/>
  <c r="D15425" i="2"/>
  <c r="C15425" i="2"/>
  <c r="B15425" i="2"/>
  <c r="A15425" i="2"/>
  <c r="D15424" i="2"/>
  <c r="C15424" i="2"/>
  <c r="B15424" i="2"/>
  <c r="A15424" i="2"/>
  <c r="D15423" i="2"/>
  <c r="B15423" i="2"/>
  <c r="A15423" i="2"/>
  <c r="D15422" i="2"/>
  <c r="C15422" i="2"/>
  <c r="B15422" i="2"/>
  <c r="A15422" i="2"/>
  <c r="D15421" i="2"/>
  <c r="B15421" i="2"/>
  <c r="A15421" i="2"/>
  <c r="D15420" i="2"/>
  <c r="C15420" i="2"/>
  <c r="B15420" i="2"/>
  <c r="A15420" i="2"/>
  <c r="D15419" i="2"/>
  <c r="C15419" i="2"/>
  <c r="B15419" i="2"/>
  <c r="A15419" i="2"/>
  <c r="D15418" i="2"/>
  <c r="C15418" i="2"/>
  <c r="B15418" i="2"/>
  <c r="A15418" i="2"/>
  <c r="D15417" i="2"/>
  <c r="C15417" i="2"/>
  <c r="B15417" i="2"/>
  <c r="A15417" i="2"/>
  <c r="D15416" i="2"/>
  <c r="C15416" i="2"/>
  <c r="B15416" i="2"/>
  <c r="A15416" i="2"/>
  <c r="D15415" i="2"/>
  <c r="C15415" i="2"/>
  <c r="B15415" i="2"/>
  <c r="A15415" i="2"/>
  <c r="D15414" i="2"/>
  <c r="C15414" i="2"/>
  <c r="B15414" i="2"/>
  <c r="A15414" i="2"/>
  <c r="D15413" i="2"/>
  <c r="C15413" i="2"/>
  <c r="B15413" i="2"/>
  <c r="A15413" i="2"/>
  <c r="D15412" i="2"/>
  <c r="C15412" i="2"/>
  <c r="B15412" i="2"/>
  <c r="A15412" i="2"/>
  <c r="D15411" i="2"/>
  <c r="C15411" i="2"/>
  <c r="B15411" i="2"/>
  <c r="A15411" i="2"/>
  <c r="D15410" i="2"/>
  <c r="C15410" i="2"/>
  <c r="B15410" i="2"/>
  <c r="A15410" i="2"/>
  <c r="D15409" i="2"/>
  <c r="C15409" i="2"/>
  <c r="B15409" i="2"/>
  <c r="A15409" i="2"/>
  <c r="D15408" i="2"/>
  <c r="C15408" i="2"/>
  <c r="B15408" i="2"/>
  <c r="A15408" i="2"/>
  <c r="D15407" i="2"/>
  <c r="C15407" i="2"/>
  <c r="B15407" i="2"/>
  <c r="A15407" i="2"/>
  <c r="D15406" i="2"/>
  <c r="C15406" i="2"/>
  <c r="B15406" i="2"/>
  <c r="A15406" i="2"/>
  <c r="D15405" i="2"/>
  <c r="C15405" i="2"/>
  <c r="B15405" i="2"/>
  <c r="A15405" i="2"/>
  <c r="D15404" i="2"/>
  <c r="C15404" i="2"/>
  <c r="B15404" i="2"/>
  <c r="A15404" i="2"/>
  <c r="D15403" i="2"/>
  <c r="C15403" i="2"/>
  <c r="B15403" i="2"/>
  <c r="A15403" i="2"/>
  <c r="D15402" i="2"/>
  <c r="C15402" i="2"/>
  <c r="B15402" i="2"/>
  <c r="A15402" i="2"/>
  <c r="D15401" i="2"/>
  <c r="C15401" i="2"/>
  <c r="B15401" i="2"/>
  <c r="A15401" i="2"/>
  <c r="D15400" i="2"/>
  <c r="C15400" i="2"/>
  <c r="B15400" i="2"/>
  <c r="A15400" i="2"/>
  <c r="D15399" i="2"/>
  <c r="C15399" i="2"/>
  <c r="B15399" i="2"/>
  <c r="A15399" i="2"/>
  <c r="D15398" i="2"/>
  <c r="C15398" i="2"/>
  <c r="B15398" i="2"/>
  <c r="A15398" i="2"/>
  <c r="D15397" i="2"/>
  <c r="C15397" i="2"/>
  <c r="B15397" i="2"/>
  <c r="A15397" i="2"/>
  <c r="D15396" i="2"/>
  <c r="C15396" i="2"/>
  <c r="B15396" i="2"/>
  <c r="A15396" i="2"/>
  <c r="D15395" i="2"/>
  <c r="C15395" i="2"/>
  <c r="B15395" i="2"/>
  <c r="A15395" i="2"/>
  <c r="D15394" i="2"/>
  <c r="C15394" i="2"/>
  <c r="B15394" i="2"/>
  <c r="A15394" i="2"/>
  <c r="D15393" i="2"/>
  <c r="C15393" i="2"/>
  <c r="B15393" i="2"/>
  <c r="A15393" i="2"/>
  <c r="D15392" i="2"/>
  <c r="C15392" i="2"/>
  <c r="B15392" i="2"/>
  <c r="A15392" i="2"/>
  <c r="D15391" i="2"/>
  <c r="C15391" i="2"/>
  <c r="B15391" i="2"/>
  <c r="A15391" i="2"/>
  <c r="D15390" i="2"/>
  <c r="C15390" i="2"/>
  <c r="B15390" i="2"/>
  <c r="A15390" i="2"/>
  <c r="D15389" i="2"/>
  <c r="C15389" i="2"/>
  <c r="B15389" i="2"/>
  <c r="A15389" i="2"/>
  <c r="D15388" i="2"/>
  <c r="C15388" i="2"/>
  <c r="B15388" i="2"/>
  <c r="A15388" i="2"/>
  <c r="D15387" i="2"/>
  <c r="C15387" i="2"/>
  <c r="B15387" i="2"/>
  <c r="A15387" i="2"/>
  <c r="D15386" i="2"/>
  <c r="C15386" i="2"/>
  <c r="B15386" i="2"/>
  <c r="A15386" i="2"/>
  <c r="D15385" i="2"/>
  <c r="C15385" i="2"/>
  <c r="B15385" i="2"/>
  <c r="A15385" i="2"/>
  <c r="D15384" i="2"/>
  <c r="C15384" i="2"/>
  <c r="B15384" i="2"/>
  <c r="A15384" i="2"/>
  <c r="D15383" i="2"/>
  <c r="C15383" i="2"/>
  <c r="B15383" i="2"/>
  <c r="A15383" i="2"/>
  <c r="D15382" i="2"/>
  <c r="C15382" i="2"/>
  <c r="B15382" i="2"/>
  <c r="A15382" i="2"/>
  <c r="D15381" i="2"/>
  <c r="B15381" i="2"/>
  <c r="A15381" i="2"/>
  <c r="D15380" i="2"/>
  <c r="C15380" i="2"/>
  <c r="B15380" i="2"/>
  <c r="A15380" i="2"/>
  <c r="D15379" i="2"/>
  <c r="C15379" i="2"/>
  <c r="B15379" i="2"/>
  <c r="A15379" i="2"/>
  <c r="D15378" i="2"/>
  <c r="C15378" i="2"/>
  <c r="B15378" i="2"/>
  <c r="A15378" i="2"/>
  <c r="D15377" i="2"/>
  <c r="C15377" i="2"/>
  <c r="B15377" i="2"/>
  <c r="A15377" i="2"/>
  <c r="D15376" i="2"/>
  <c r="C15376" i="2"/>
  <c r="B15376" i="2"/>
  <c r="A15376" i="2"/>
  <c r="D15375" i="2"/>
  <c r="C15375" i="2"/>
  <c r="B15375" i="2"/>
  <c r="A15375" i="2"/>
  <c r="D15374" i="2"/>
  <c r="C15374" i="2"/>
  <c r="B15374" i="2"/>
  <c r="A15374" i="2"/>
  <c r="D15373" i="2"/>
  <c r="C15373" i="2"/>
  <c r="B15373" i="2"/>
  <c r="A15373" i="2"/>
  <c r="D15372" i="2"/>
  <c r="C15372" i="2"/>
  <c r="B15372" i="2"/>
  <c r="A15372" i="2"/>
  <c r="D15371" i="2"/>
  <c r="C15371" i="2"/>
  <c r="B15371" i="2"/>
  <c r="A15371" i="2"/>
  <c r="D15370" i="2"/>
  <c r="C15370" i="2"/>
  <c r="B15370" i="2"/>
  <c r="A15370" i="2"/>
  <c r="D15369" i="2"/>
  <c r="C15369" i="2"/>
  <c r="B15369" i="2"/>
  <c r="A15369" i="2"/>
  <c r="D15368" i="2"/>
  <c r="C15368" i="2"/>
  <c r="B15368" i="2"/>
  <c r="A15368" i="2"/>
  <c r="D15367" i="2"/>
  <c r="C15367" i="2"/>
  <c r="B15367" i="2"/>
  <c r="A15367" i="2"/>
  <c r="D15366" i="2"/>
  <c r="C15366" i="2"/>
  <c r="B15366" i="2"/>
  <c r="A15366" i="2"/>
  <c r="D15365" i="2"/>
  <c r="C15365" i="2"/>
  <c r="B15365" i="2"/>
  <c r="A15365" i="2"/>
  <c r="D15364" i="2"/>
  <c r="C15364" i="2"/>
  <c r="B15364" i="2"/>
  <c r="A15364" i="2"/>
  <c r="D15363" i="2"/>
  <c r="C15363" i="2"/>
  <c r="B15363" i="2"/>
  <c r="A15363" i="2"/>
  <c r="D15362" i="2"/>
  <c r="C15362" i="2"/>
  <c r="B15362" i="2"/>
  <c r="A15362" i="2"/>
  <c r="D15361" i="2"/>
  <c r="C15361" i="2"/>
  <c r="B15361" i="2"/>
  <c r="A15361" i="2"/>
  <c r="D15360" i="2"/>
  <c r="C15360" i="2"/>
  <c r="B15360" i="2"/>
  <c r="A15360" i="2"/>
  <c r="D15359" i="2"/>
  <c r="C15359" i="2"/>
  <c r="B15359" i="2"/>
  <c r="A15359" i="2"/>
  <c r="D15358" i="2"/>
  <c r="C15358" i="2"/>
  <c r="B15358" i="2"/>
  <c r="A15358" i="2"/>
  <c r="D15357" i="2"/>
  <c r="C15357" i="2"/>
  <c r="B15357" i="2"/>
  <c r="A15357" i="2"/>
  <c r="D15356" i="2"/>
  <c r="C15356" i="2"/>
  <c r="B15356" i="2"/>
  <c r="A15356" i="2"/>
  <c r="D15355" i="2"/>
  <c r="C15355" i="2"/>
  <c r="B15355" i="2"/>
  <c r="A15355" i="2"/>
  <c r="D15354" i="2"/>
  <c r="C15354" i="2"/>
  <c r="B15354" i="2"/>
  <c r="A15354" i="2"/>
  <c r="D15353" i="2"/>
  <c r="C15353" i="2"/>
  <c r="B15353" i="2"/>
  <c r="A15353" i="2"/>
  <c r="D15352" i="2"/>
  <c r="C15352" i="2"/>
  <c r="B15352" i="2"/>
  <c r="A15352" i="2"/>
  <c r="D15351" i="2"/>
  <c r="C15351" i="2"/>
  <c r="B15351" i="2"/>
  <c r="A15351" i="2"/>
  <c r="D15350" i="2"/>
  <c r="C15350" i="2"/>
  <c r="B15350" i="2"/>
  <c r="A15350" i="2"/>
  <c r="D15349" i="2"/>
  <c r="C15349" i="2"/>
  <c r="B15349" i="2"/>
  <c r="A15349" i="2"/>
  <c r="D15348" i="2"/>
  <c r="C15348" i="2"/>
  <c r="B15348" i="2"/>
  <c r="A15348" i="2"/>
  <c r="D15347" i="2"/>
  <c r="C15347" i="2"/>
  <c r="B15347" i="2"/>
  <c r="A15347" i="2"/>
  <c r="D15346" i="2"/>
  <c r="C15346" i="2"/>
  <c r="B15346" i="2"/>
  <c r="A15346" i="2"/>
  <c r="D15345" i="2"/>
  <c r="C15345" i="2"/>
  <c r="B15345" i="2"/>
  <c r="A15345" i="2"/>
  <c r="D15344" i="2"/>
  <c r="C15344" i="2"/>
  <c r="B15344" i="2"/>
  <c r="A15344" i="2"/>
  <c r="D15343" i="2"/>
  <c r="C15343" i="2"/>
  <c r="B15343" i="2"/>
  <c r="A15343" i="2"/>
  <c r="D15342" i="2"/>
  <c r="C15342" i="2"/>
  <c r="B15342" i="2"/>
  <c r="A15342" i="2"/>
  <c r="D15341" i="2"/>
  <c r="C15341" i="2"/>
  <c r="B15341" i="2"/>
  <c r="A15341" i="2"/>
  <c r="D15340" i="2"/>
  <c r="C15340" i="2"/>
  <c r="B15340" i="2"/>
  <c r="A15340" i="2"/>
  <c r="D15339" i="2"/>
  <c r="C15339" i="2"/>
  <c r="B15339" i="2"/>
  <c r="A15339" i="2"/>
  <c r="D15338" i="2"/>
  <c r="C15338" i="2"/>
  <c r="B15338" i="2"/>
  <c r="A15338" i="2"/>
  <c r="D15337" i="2"/>
  <c r="C15337" i="2"/>
  <c r="B15337" i="2"/>
  <c r="A15337" i="2"/>
  <c r="D15336" i="2"/>
  <c r="C15336" i="2"/>
  <c r="B15336" i="2"/>
  <c r="A15336" i="2"/>
  <c r="D15335" i="2"/>
  <c r="C15335" i="2"/>
  <c r="B15335" i="2"/>
  <c r="A15335" i="2"/>
  <c r="D15334" i="2"/>
  <c r="C15334" i="2"/>
  <c r="B15334" i="2"/>
  <c r="A15334" i="2"/>
  <c r="D15333" i="2"/>
  <c r="C15333" i="2"/>
  <c r="B15333" i="2"/>
  <c r="A15333" i="2"/>
  <c r="D15332" i="2"/>
  <c r="C15332" i="2"/>
  <c r="B15332" i="2"/>
  <c r="A15332" i="2"/>
  <c r="D15331" i="2"/>
  <c r="C15331" i="2"/>
  <c r="B15331" i="2"/>
  <c r="A15331" i="2"/>
  <c r="D15330" i="2"/>
  <c r="C15330" i="2"/>
  <c r="B15330" i="2"/>
  <c r="A15330" i="2"/>
  <c r="D15329" i="2"/>
  <c r="C15329" i="2"/>
  <c r="B15329" i="2"/>
  <c r="A15329" i="2"/>
  <c r="D15328" i="2"/>
  <c r="C15328" i="2"/>
  <c r="B15328" i="2"/>
  <c r="A15328" i="2"/>
  <c r="D15327" i="2"/>
  <c r="C15327" i="2"/>
  <c r="B15327" i="2"/>
  <c r="A15327" i="2"/>
  <c r="D15326" i="2"/>
  <c r="C15326" i="2"/>
  <c r="B15326" i="2"/>
  <c r="A15326" i="2"/>
  <c r="D15325" i="2"/>
  <c r="C15325" i="2"/>
  <c r="B15325" i="2"/>
  <c r="A15325" i="2"/>
  <c r="D15324" i="2"/>
  <c r="C15324" i="2"/>
  <c r="B15324" i="2"/>
  <c r="A15324" i="2"/>
  <c r="D15323" i="2"/>
  <c r="C15323" i="2"/>
  <c r="B15323" i="2"/>
  <c r="A15323" i="2"/>
  <c r="D15322" i="2"/>
  <c r="C15322" i="2"/>
  <c r="B15322" i="2"/>
  <c r="A15322" i="2"/>
  <c r="D15321" i="2"/>
  <c r="C15321" i="2"/>
  <c r="B15321" i="2"/>
  <c r="A15321" i="2"/>
  <c r="D15320" i="2"/>
  <c r="C15320" i="2"/>
  <c r="B15320" i="2"/>
  <c r="A15320" i="2"/>
  <c r="D15319" i="2"/>
  <c r="C15319" i="2"/>
  <c r="B15319" i="2"/>
  <c r="A15319" i="2"/>
  <c r="D15318" i="2"/>
  <c r="C15318" i="2"/>
  <c r="B15318" i="2"/>
  <c r="A15318" i="2"/>
  <c r="D15317" i="2"/>
  <c r="C15317" i="2"/>
  <c r="B15317" i="2"/>
  <c r="A15317" i="2"/>
  <c r="D15316" i="2"/>
  <c r="C15316" i="2"/>
  <c r="B15316" i="2"/>
  <c r="A15316" i="2"/>
  <c r="D15315" i="2"/>
  <c r="C15315" i="2"/>
  <c r="B15315" i="2"/>
  <c r="A15315" i="2"/>
  <c r="D15314" i="2"/>
  <c r="C15314" i="2"/>
  <c r="B15314" i="2"/>
  <c r="A15314" i="2"/>
  <c r="D15313" i="2"/>
  <c r="C15313" i="2"/>
  <c r="B15313" i="2"/>
  <c r="A15313" i="2"/>
  <c r="D15312" i="2"/>
  <c r="C15312" i="2"/>
  <c r="B15312" i="2"/>
  <c r="A15312" i="2"/>
  <c r="D15311" i="2"/>
  <c r="C15311" i="2"/>
  <c r="B15311" i="2"/>
  <c r="A15311" i="2"/>
  <c r="D15310" i="2"/>
  <c r="C15310" i="2"/>
  <c r="B15310" i="2"/>
  <c r="A15310" i="2"/>
  <c r="D15309" i="2"/>
  <c r="C15309" i="2"/>
  <c r="B15309" i="2"/>
  <c r="A15309" i="2"/>
  <c r="D15308" i="2"/>
  <c r="C15308" i="2"/>
  <c r="B15308" i="2"/>
  <c r="A15308" i="2"/>
  <c r="D15307" i="2"/>
  <c r="C15307" i="2"/>
  <c r="B15307" i="2"/>
  <c r="A15307" i="2"/>
  <c r="D15306" i="2"/>
  <c r="C15306" i="2"/>
  <c r="B15306" i="2"/>
  <c r="A15306" i="2"/>
  <c r="D15305" i="2"/>
  <c r="C15305" i="2"/>
  <c r="B15305" i="2"/>
  <c r="A15305" i="2"/>
  <c r="D15304" i="2"/>
  <c r="C15304" i="2"/>
  <c r="B15304" i="2"/>
  <c r="A15304" i="2"/>
  <c r="D15303" i="2"/>
  <c r="C15303" i="2"/>
  <c r="B15303" i="2"/>
  <c r="A15303" i="2"/>
  <c r="D15302" i="2"/>
  <c r="C15302" i="2"/>
  <c r="B15302" i="2"/>
  <c r="A15302" i="2"/>
  <c r="D15301" i="2"/>
  <c r="C15301" i="2"/>
  <c r="B15301" i="2"/>
  <c r="A15301" i="2"/>
  <c r="D15300" i="2"/>
  <c r="C15300" i="2"/>
  <c r="B15300" i="2"/>
  <c r="A15300" i="2"/>
  <c r="D15299" i="2"/>
  <c r="C15299" i="2"/>
  <c r="B15299" i="2"/>
  <c r="A15299" i="2"/>
  <c r="D15298" i="2"/>
  <c r="C15298" i="2"/>
  <c r="B15298" i="2"/>
  <c r="A15298" i="2"/>
  <c r="D15297" i="2"/>
  <c r="C15297" i="2"/>
  <c r="B15297" i="2"/>
  <c r="A15297" i="2"/>
  <c r="D15296" i="2"/>
  <c r="C15296" i="2"/>
  <c r="B15296" i="2"/>
  <c r="A15296" i="2"/>
  <c r="D15295" i="2"/>
  <c r="C15295" i="2"/>
  <c r="B15295" i="2"/>
  <c r="A15295" i="2"/>
  <c r="D15294" i="2"/>
  <c r="C15294" i="2"/>
  <c r="B15294" i="2"/>
  <c r="A15294" i="2"/>
  <c r="D15293" i="2"/>
  <c r="C15293" i="2"/>
  <c r="B15293" i="2"/>
  <c r="A15293" i="2"/>
  <c r="D15292" i="2"/>
  <c r="C15292" i="2"/>
  <c r="B15292" i="2"/>
  <c r="A15292" i="2"/>
  <c r="D15291" i="2"/>
  <c r="C15291" i="2"/>
  <c r="B15291" i="2"/>
  <c r="A15291" i="2"/>
  <c r="D15290" i="2"/>
  <c r="C15290" i="2"/>
  <c r="B15290" i="2"/>
  <c r="A15290" i="2"/>
  <c r="D15289" i="2"/>
  <c r="C15289" i="2"/>
  <c r="B15289" i="2"/>
  <c r="A15289" i="2"/>
  <c r="D15288" i="2"/>
  <c r="C15288" i="2"/>
  <c r="B15288" i="2"/>
  <c r="A15288" i="2"/>
  <c r="D15287" i="2"/>
  <c r="B15287" i="2"/>
  <c r="A15287" i="2"/>
  <c r="D15286" i="2"/>
  <c r="C15286" i="2"/>
  <c r="B15286" i="2"/>
  <c r="A15286" i="2"/>
  <c r="D15285" i="2"/>
  <c r="C15285" i="2"/>
  <c r="B15285" i="2"/>
  <c r="A15285" i="2"/>
  <c r="D15284" i="2"/>
  <c r="C15284" i="2"/>
  <c r="B15284" i="2"/>
  <c r="A15284" i="2"/>
  <c r="D15283" i="2"/>
  <c r="C15283" i="2"/>
  <c r="B15283" i="2"/>
  <c r="A15283" i="2"/>
  <c r="D15282" i="2"/>
  <c r="C15282" i="2"/>
  <c r="B15282" i="2"/>
  <c r="A15282" i="2"/>
  <c r="D15281" i="2"/>
  <c r="C15281" i="2"/>
  <c r="B15281" i="2"/>
  <c r="A15281" i="2"/>
  <c r="D15280" i="2"/>
  <c r="C15280" i="2"/>
  <c r="B15280" i="2"/>
  <c r="A15280" i="2"/>
  <c r="D15279" i="2"/>
  <c r="C15279" i="2"/>
  <c r="B15279" i="2"/>
  <c r="A15279" i="2"/>
  <c r="D15278" i="2"/>
  <c r="C15278" i="2"/>
  <c r="B15278" i="2"/>
  <c r="A15278" i="2"/>
  <c r="D15277" i="2"/>
  <c r="C15277" i="2"/>
  <c r="B15277" i="2"/>
  <c r="A15277" i="2"/>
  <c r="D15276" i="2"/>
  <c r="C15276" i="2"/>
  <c r="B15276" i="2"/>
  <c r="A15276" i="2"/>
  <c r="D15275" i="2"/>
  <c r="C15275" i="2"/>
  <c r="B15275" i="2"/>
  <c r="A15275" i="2"/>
  <c r="D15274" i="2"/>
  <c r="C15274" i="2"/>
  <c r="B15274" i="2"/>
  <c r="A15274" i="2"/>
  <c r="D15273" i="2"/>
  <c r="C15273" i="2"/>
  <c r="B15273" i="2"/>
  <c r="A15273" i="2"/>
  <c r="D15272" i="2"/>
  <c r="C15272" i="2"/>
  <c r="B15272" i="2"/>
  <c r="A15272" i="2"/>
  <c r="D15271" i="2"/>
  <c r="C15271" i="2"/>
  <c r="B15271" i="2"/>
  <c r="A15271" i="2"/>
  <c r="D15270" i="2"/>
  <c r="C15270" i="2"/>
  <c r="B15270" i="2"/>
  <c r="A15270" i="2"/>
  <c r="D15269" i="2"/>
  <c r="C15269" i="2"/>
  <c r="B15269" i="2"/>
  <c r="A15269" i="2"/>
  <c r="D15268" i="2"/>
  <c r="C15268" i="2"/>
  <c r="B15268" i="2"/>
  <c r="A15268" i="2"/>
  <c r="D15267" i="2"/>
  <c r="C15267" i="2"/>
  <c r="B15267" i="2"/>
  <c r="A15267" i="2"/>
  <c r="D15266" i="2"/>
  <c r="B15266" i="2"/>
  <c r="A15266" i="2"/>
  <c r="D15265" i="2"/>
  <c r="B15265" i="2"/>
  <c r="A15265" i="2"/>
  <c r="D15264" i="2"/>
  <c r="C15264" i="2"/>
  <c r="B15264" i="2"/>
  <c r="A15264" i="2"/>
  <c r="D15263" i="2"/>
  <c r="B15263" i="2"/>
  <c r="A15263" i="2"/>
  <c r="D15262" i="2"/>
  <c r="B15262" i="2"/>
  <c r="A15262" i="2"/>
  <c r="D15261" i="2"/>
  <c r="C15261" i="2"/>
  <c r="B15261" i="2"/>
  <c r="A15261" i="2"/>
  <c r="D15260" i="2"/>
  <c r="C15260" i="2"/>
  <c r="B15260" i="2"/>
  <c r="A15260" i="2"/>
  <c r="D15259" i="2"/>
  <c r="C15259" i="2"/>
  <c r="B15259" i="2"/>
  <c r="A15259" i="2"/>
  <c r="D15258" i="2"/>
  <c r="C15258" i="2"/>
  <c r="B15258" i="2"/>
  <c r="A15258" i="2"/>
  <c r="D15257" i="2"/>
  <c r="B15257" i="2"/>
  <c r="A15257" i="2"/>
  <c r="D15256" i="2"/>
  <c r="B15256" i="2"/>
  <c r="A15256" i="2"/>
  <c r="D15255" i="2"/>
  <c r="B15255" i="2"/>
  <c r="A15255" i="2"/>
  <c r="D15254" i="2"/>
  <c r="C15254" i="2"/>
  <c r="B15254" i="2"/>
  <c r="A15254" i="2"/>
  <c r="D15253" i="2"/>
  <c r="B15253" i="2"/>
  <c r="A15253" i="2"/>
  <c r="D15252" i="2"/>
  <c r="C15252" i="2"/>
  <c r="B15252" i="2"/>
  <c r="A15252" i="2"/>
  <c r="D15251" i="2"/>
  <c r="B15251" i="2"/>
  <c r="A15251" i="2"/>
  <c r="D15250" i="2"/>
  <c r="C15250" i="2"/>
  <c r="B15250" i="2"/>
  <c r="A15250" i="2"/>
  <c r="D15249" i="2"/>
  <c r="C15249" i="2"/>
  <c r="B15249" i="2"/>
  <c r="A15249" i="2"/>
  <c r="D15248" i="2"/>
  <c r="C15248" i="2"/>
  <c r="B15248" i="2"/>
  <c r="A15248" i="2"/>
  <c r="D15247" i="2"/>
  <c r="C15247" i="2"/>
  <c r="B15247" i="2"/>
  <c r="A15247" i="2"/>
  <c r="D15246" i="2"/>
  <c r="C15246" i="2"/>
  <c r="B15246" i="2"/>
  <c r="A15246" i="2"/>
  <c r="D15245" i="2"/>
  <c r="C15245" i="2"/>
  <c r="B15245" i="2"/>
  <c r="A15245" i="2"/>
  <c r="D15244" i="2"/>
  <c r="C15244" i="2"/>
  <c r="B15244" i="2"/>
  <c r="A15244" i="2"/>
  <c r="D15243" i="2"/>
  <c r="C15243" i="2"/>
  <c r="B15243" i="2"/>
  <c r="A15243" i="2"/>
  <c r="D15242" i="2"/>
  <c r="B15242" i="2"/>
  <c r="A15242" i="2"/>
  <c r="D15241" i="2"/>
  <c r="C15241" i="2"/>
  <c r="B15241" i="2"/>
  <c r="A15241" i="2"/>
  <c r="D15240" i="2"/>
  <c r="C15240" i="2"/>
  <c r="B15240" i="2"/>
  <c r="A15240" i="2"/>
  <c r="D15239" i="2"/>
  <c r="B15239" i="2"/>
  <c r="A15239" i="2"/>
  <c r="D15238" i="2"/>
  <c r="B15238" i="2"/>
  <c r="A15238" i="2"/>
  <c r="D15237" i="2"/>
  <c r="C15237" i="2"/>
  <c r="B15237" i="2"/>
  <c r="A15237" i="2"/>
  <c r="D15236" i="2"/>
  <c r="C15236" i="2"/>
  <c r="B15236" i="2"/>
  <c r="A15236" i="2"/>
  <c r="D15235" i="2"/>
  <c r="C15235" i="2"/>
  <c r="B15235" i="2"/>
  <c r="A15235" i="2"/>
  <c r="D15234" i="2"/>
  <c r="C15234" i="2"/>
  <c r="B15234" i="2"/>
  <c r="A15234" i="2"/>
  <c r="D15233" i="2"/>
  <c r="C15233" i="2"/>
  <c r="B15233" i="2"/>
  <c r="A15233" i="2"/>
  <c r="D15232" i="2"/>
  <c r="B15232" i="2"/>
  <c r="A15232" i="2"/>
  <c r="D15231" i="2"/>
  <c r="C15231" i="2"/>
  <c r="B15231" i="2"/>
  <c r="A15231" i="2"/>
  <c r="D15230" i="2"/>
  <c r="C15230" i="2"/>
  <c r="B15230" i="2"/>
  <c r="A15230" i="2"/>
  <c r="D15229" i="2"/>
  <c r="C15229" i="2"/>
  <c r="B15229" i="2"/>
  <c r="A15229" i="2"/>
  <c r="D15228" i="2"/>
  <c r="B15228" i="2"/>
  <c r="A15228" i="2"/>
  <c r="D15227" i="2"/>
  <c r="C15227" i="2"/>
  <c r="B15227" i="2"/>
  <c r="A15227" i="2"/>
  <c r="D15226" i="2"/>
  <c r="C15226" i="2"/>
  <c r="B15226" i="2"/>
  <c r="A15226" i="2"/>
  <c r="D15225" i="2"/>
  <c r="B15225" i="2"/>
  <c r="A15225" i="2"/>
  <c r="D15224" i="2"/>
  <c r="C15224" i="2"/>
  <c r="B15224" i="2"/>
  <c r="A15224" i="2"/>
  <c r="D15223" i="2"/>
  <c r="B15223" i="2"/>
  <c r="A15223" i="2"/>
  <c r="D15222" i="2"/>
  <c r="C15222" i="2"/>
  <c r="B15222" i="2"/>
  <c r="A15222" i="2"/>
  <c r="D15221" i="2"/>
  <c r="B15221" i="2"/>
  <c r="A15221" i="2"/>
  <c r="D15220" i="2"/>
  <c r="C15220" i="2"/>
  <c r="B15220" i="2"/>
  <c r="A15220" i="2"/>
  <c r="D15219" i="2"/>
  <c r="C15219" i="2"/>
  <c r="B15219" i="2"/>
  <c r="A15219" i="2"/>
  <c r="D15218" i="2"/>
  <c r="C15218" i="2"/>
  <c r="B15218" i="2"/>
  <c r="A15218" i="2"/>
  <c r="D15217" i="2"/>
  <c r="C15217" i="2"/>
  <c r="B15217" i="2"/>
  <c r="A15217" i="2"/>
  <c r="D15216" i="2"/>
  <c r="C15216" i="2"/>
  <c r="B15216" i="2"/>
  <c r="A15216" i="2"/>
  <c r="D15215" i="2"/>
  <c r="B15215" i="2"/>
  <c r="A15215" i="2"/>
  <c r="D15214" i="2"/>
  <c r="C15214" i="2"/>
  <c r="B15214" i="2"/>
  <c r="A15214" i="2"/>
  <c r="D15213" i="2"/>
  <c r="C15213" i="2"/>
  <c r="B15213" i="2"/>
  <c r="A15213" i="2"/>
  <c r="D15212" i="2"/>
  <c r="C15212" i="2"/>
  <c r="B15212" i="2"/>
  <c r="A15212" i="2"/>
  <c r="D15211" i="2"/>
  <c r="C15211" i="2"/>
  <c r="B15211" i="2"/>
  <c r="A15211" i="2"/>
  <c r="D15210" i="2"/>
  <c r="C15210" i="2"/>
  <c r="B15210" i="2"/>
  <c r="A15210" i="2"/>
  <c r="D15209" i="2"/>
  <c r="C15209" i="2"/>
  <c r="B15209" i="2"/>
  <c r="A15209" i="2"/>
  <c r="D15208" i="2"/>
  <c r="C15208" i="2"/>
  <c r="B15208" i="2"/>
  <c r="A15208" i="2"/>
  <c r="D15207" i="2"/>
  <c r="C15207" i="2"/>
  <c r="B15207" i="2"/>
  <c r="A15207" i="2"/>
  <c r="D15206" i="2"/>
  <c r="C15206" i="2"/>
  <c r="B15206" i="2"/>
  <c r="A15206" i="2"/>
  <c r="D15205" i="2"/>
  <c r="C15205" i="2"/>
  <c r="B15205" i="2"/>
  <c r="A15205" i="2"/>
  <c r="D15204" i="2"/>
  <c r="B15204" i="2"/>
  <c r="A15204" i="2"/>
  <c r="D15203" i="2"/>
  <c r="C15203" i="2"/>
  <c r="B15203" i="2"/>
  <c r="A15203" i="2"/>
  <c r="D15202" i="2"/>
  <c r="C15202" i="2"/>
  <c r="B15202" i="2"/>
  <c r="A15202" i="2"/>
  <c r="D15201" i="2"/>
  <c r="C15201" i="2"/>
  <c r="B15201" i="2"/>
  <c r="A15201" i="2"/>
  <c r="D15200" i="2"/>
  <c r="C15200" i="2"/>
  <c r="B15200" i="2"/>
  <c r="A15200" i="2"/>
  <c r="D15199" i="2"/>
  <c r="C15199" i="2"/>
  <c r="B15199" i="2"/>
  <c r="A15199" i="2"/>
  <c r="D15198" i="2"/>
  <c r="C15198" i="2"/>
  <c r="B15198" i="2"/>
  <c r="A15198" i="2"/>
  <c r="D15197" i="2"/>
  <c r="C15197" i="2"/>
  <c r="B15197" i="2"/>
  <c r="A15197" i="2"/>
  <c r="D15196" i="2"/>
  <c r="C15196" i="2"/>
  <c r="B15196" i="2"/>
  <c r="A15196" i="2"/>
  <c r="D15195" i="2"/>
  <c r="B15195" i="2"/>
  <c r="A15195" i="2"/>
  <c r="D15194" i="2"/>
  <c r="C15194" i="2"/>
  <c r="B15194" i="2"/>
  <c r="A15194" i="2"/>
  <c r="D15193" i="2"/>
  <c r="C15193" i="2"/>
  <c r="B15193" i="2"/>
  <c r="A15193" i="2"/>
  <c r="D15192" i="2"/>
  <c r="B15192" i="2"/>
  <c r="A15192" i="2"/>
  <c r="D15191" i="2"/>
  <c r="C15191" i="2"/>
  <c r="B15191" i="2"/>
  <c r="A15191" i="2"/>
  <c r="D15190" i="2"/>
  <c r="C15190" i="2"/>
  <c r="B15190" i="2"/>
  <c r="A15190" i="2"/>
  <c r="D15189" i="2"/>
  <c r="C15189" i="2"/>
  <c r="B15189" i="2"/>
  <c r="A15189" i="2"/>
  <c r="D15188" i="2"/>
  <c r="C15188" i="2"/>
  <c r="B15188" i="2"/>
  <c r="A15188" i="2"/>
  <c r="D15187" i="2"/>
  <c r="C15187" i="2"/>
  <c r="B15187" i="2"/>
  <c r="A15187" i="2"/>
  <c r="D15186" i="2"/>
  <c r="C15186" i="2"/>
  <c r="B15186" i="2"/>
  <c r="A15186" i="2"/>
  <c r="D15185" i="2"/>
  <c r="C15185" i="2"/>
  <c r="B15185" i="2"/>
  <c r="A15185" i="2"/>
  <c r="D15184" i="2"/>
  <c r="C15184" i="2"/>
  <c r="B15184" i="2"/>
  <c r="A15184" i="2"/>
  <c r="D15183" i="2"/>
  <c r="C15183" i="2"/>
  <c r="B15183" i="2"/>
  <c r="A15183" i="2"/>
  <c r="D15182" i="2"/>
  <c r="C15182" i="2"/>
  <c r="B15182" i="2"/>
  <c r="A15182" i="2"/>
  <c r="D15181" i="2"/>
  <c r="C15181" i="2"/>
  <c r="B15181" i="2"/>
  <c r="A15181" i="2"/>
  <c r="D15180" i="2"/>
  <c r="C15180" i="2"/>
  <c r="B15180" i="2"/>
  <c r="A15180" i="2"/>
  <c r="D15179" i="2"/>
  <c r="C15179" i="2"/>
  <c r="B15179" i="2"/>
  <c r="A15179" i="2"/>
  <c r="D15178" i="2"/>
  <c r="C15178" i="2"/>
  <c r="B15178" i="2"/>
  <c r="A15178" i="2"/>
  <c r="D15177" i="2"/>
  <c r="C15177" i="2"/>
  <c r="B15177" i="2"/>
  <c r="A15177" i="2"/>
  <c r="D15176" i="2"/>
  <c r="C15176" i="2"/>
  <c r="B15176" i="2"/>
  <c r="A15176" i="2"/>
  <c r="D15175" i="2"/>
  <c r="C15175" i="2"/>
  <c r="B15175" i="2"/>
  <c r="A15175" i="2"/>
  <c r="D15174" i="2"/>
  <c r="C15174" i="2"/>
  <c r="B15174" i="2"/>
  <c r="A15174" i="2"/>
  <c r="D15173" i="2"/>
  <c r="C15173" i="2"/>
  <c r="B15173" i="2"/>
  <c r="A15173" i="2"/>
  <c r="D15172" i="2"/>
  <c r="C15172" i="2"/>
  <c r="B15172" i="2"/>
  <c r="A15172" i="2"/>
  <c r="D15171" i="2"/>
  <c r="C15171" i="2"/>
  <c r="B15171" i="2"/>
  <c r="A15171" i="2"/>
  <c r="D15170" i="2"/>
  <c r="C15170" i="2"/>
  <c r="B15170" i="2"/>
  <c r="A15170" i="2"/>
  <c r="D15169" i="2"/>
  <c r="C15169" i="2"/>
  <c r="B15169" i="2"/>
  <c r="A15169" i="2"/>
  <c r="D15168" i="2"/>
  <c r="C15168" i="2"/>
  <c r="B15168" i="2"/>
  <c r="A15168" i="2"/>
  <c r="D15167" i="2"/>
  <c r="C15167" i="2"/>
  <c r="B15167" i="2"/>
  <c r="A15167" i="2"/>
  <c r="D15166" i="2"/>
  <c r="C15166" i="2"/>
  <c r="B15166" i="2"/>
  <c r="A15166" i="2"/>
  <c r="D15165" i="2"/>
  <c r="C15165" i="2"/>
  <c r="B15165" i="2"/>
  <c r="A15165" i="2"/>
  <c r="D15164" i="2"/>
  <c r="C15164" i="2"/>
  <c r="B15164" i="2"/>
  <c r="A15164" i="2"/>
  <c r="D15163" i="2"/>
  <c r="C15163" i="2"/>
  <c r="B15163" i="2"/>
  <c r="A15163" i="2"/>
  <c r="D15162" i="2"/>
  <c r="C15162" i="2"/>
  <c r="B15162" i="2"/>
  <c r="A15162" i="2"/>
  <c r="D15161" i="2"/>
  <c r="C15161" i="2"/>
  <c r="B15161" i="2"/>
  <c r="A15161" i="2"/>
  <c r="D15160" i="2"/>
  <c r="C15160" i="2"/>
  <c r="B15160" i="2"/>
  <c r="A15160" i="2"/>
  <c r="D15159" i="2"/>
  <c r="C15159" i="2"/>
  <c r="B15159" i="2"/>
  <c r="A15159" i="2"/>
  <c r="D15158" i="2"/>
  <c r="C15158" i="2"/>
  <c r="B15158" i="2"/>
  <c r="A15158" i="2"/>
  <c r="D15157" i="2"/>
  <c r="C15157" i="2"/>
  <c r="B15157" i="2"/>
  <c r="A15157" i="2"/>
  <c r="D15156" i="2"/>
  <c r="C15156" i="2"/>
  <c r="B15156" i="2"/>
  <c r="A15156" i="2"/>
  <c r="D15155" i="2"/>
  <c r="C15155" i="2"/>
  <c r="B15155" i="2"/>
  <c r="A15155" i="2"/>
  <c r="D15154" i="2"/>
  <c r="C15154" i="2"/>
  <c r="B15154" i="2"/>
  <c r="A15154" i="2"/>
  <c r="D15153" i="2"/>
  <c r="C15153" i="2"/>
  <c r="B15153" i="2"/>
  <c r="A15153" i="2"/>
  <c r="D15152" i="2"/>
  <c r="C15152" i="2"/>
  <c r="B15152" i="2"/>
  <c r="A15152" i="2"/>
  <c r="D15151" i="2"/>
  <c r="C15151" i="2"/>
  <c r="B15151" i="2"/>
  <c r="A15151" i="2"/>
  <c r="D15150" i="2"/>
  <c r="C15150" i="2"/>
  <c r="B15150" i="2"/>
  <c r="A15150" i="2"/>
  <c r="D15149" i="2"/>
  <c r="C15149" i="2"/>
  <c r="B15149" i="2"/>
  <c r="A15149" i="2"/>
  <c r="D15148" i="2"/>
  <c r="C15148" i="2"/>
  <c r="B15148" i="2"/>
  <c r="A15148" i="2"/>
  <c r="D15147" i="2"/>
  <c r="C15147" i="2"/>
  <c r="B15147" i="2"/>
  <c r="A15147" i="2"/>
  <c r="D15146" i="2"/>
  <c r="C15146" i="2"/>
  <c r="B15146" i="2"/>
  <c r="A15146" i="2"/>
  <c r="D15145" i="2"/>
  <c r="C15145" i="2"/>
  <c r="B15145" i="2"/>
  <c r="A15145" i="2"/>
  <c r="D15144" i="2"/>
  <c r="C15144" i="2"/>
  <c r="B15144" i="2"/>
  <c r="A15144" i="2"/>
  <c r="D15143" i="2"/>
  <c r="C15143" i="2"/>
  <c r="B15143" i="2"/>
  <c r="A15143" i="2"/>
  <c r="D15142" i="2"/>
  <c r="C15142" i="2"/>
  <c r="B15142" i="2"/>
  <c r="A15142" i="2"/>
  <c r="D15141" i="2"/>
  <c r="C15141" i="2"/>
  <c r="B15141" i="2"/>
  <c r="A15141" i="2"/>
  <c r="D15140" i="2"/>
  <c r="C15140" i="2"/>
  <c r="B15140" i="2"/>
  <c r="A15140" i="2"/>
  <c r="D15139" i="2"/>
  <c r="C15139" i="2"/>
  <c r="B15139" i="2"/>
  <c r="A15139" i="2"/>
  <c r="D15138" i="2"/>
  <c r="C15138" i="2"/>
  <c r="B15138" i="2"/>
  <c r="A15138" i="2"/>
  <c r="D15137" i="2"/>
  <c r="C15137" i="2"/>
  <c r="B15137" i="2"/>
  <c r="A15137" i="2"/>
  <c r="D15136" i="2"/>
  <c r="C15136" i="2"/>
  <c r="B15136" i="2"/>
  <c r="A15136" i="2"/>
  <c r="D15135" i="2"/>
  <c r="C15135" i="2"/>
  <c r="B15135" i="2"/>
  <c r="A15135" i="2"/>
  <c r="D15134" i="2"/>
  <c r="C15134" i="2"/>
  <c r="B15134" i="2"/>
  <c r="A15134" i="2"/>
  <c r="D15133" i="2"/>
  <c r="C15133" i="2"/>
  <c r="B15133" i="2"/>
  <c r="A15133" i="2"/>
  <c r="D15132" i="2"/>
  <c r="C15132" i="2"/>
  <c r="B15132" i="2"/>
  <c r="A15132" i="2"/>
  <c r="D15131" i="2"/>
  <c r="C15131" i="2"/>
  <c r="B15131" i="2"/>
  <c r="A15131" i="2"/>
  <c r="D15130" i="2"/>
  <c r="C15130" i="2"/>
  <c r="B15130" i="2"/>
  <c r="A15130" i="2"/>
  <c r="D15129" i="2"/>
  <c r="C15129" i="2"/>
  <c r="B15129" i="2"/>
  <c r="A15129" i="2"/>
  <c r="D15128" i="2"/>
  <c r="C15128" i="2"/>
  <c r="B15128" i="2"/>
  <c r="A15128" i="2"/>
  <c r="D15127" i="2"/>
  <c r="C15127" i="2"/>
  <c r="B15127" i="2"/>
  <c r="A15127" i="2"/>
  <c r="D15126" i="2"/>
  <c r="C15126" i="2"/>
  <c r="B15126" i="2"/>
  <c r="A15126" i="2"/>
  <c r="D15125" i="2"/>
  <c r="C15125" i="2"/>
  <c r="B15125" i="2"/>
  <c r="A15125" i="2"/>
  <c r="D15124" i="2"/>
  <c r="C15124" i="2"/>
  <c r="B15124" i="2"/>
  <c r="A15124" i="2"/>
  <c r="D15123" i="2"/>
  <c r="C15123" i="2"/>
  <c r="B15123" i="2"/>
  <c r="A15123" i="2"/>
  <c r="D15122" i="2"/>
  <c r="C15122" i="2"/>
  <c r="B15122" i="2"/>
  <c r="A15122" i="2"/>
  <c r="D15121" i="2"/>
  <c r="C15121" i="2"/>
  <c r="B15121" i="2"/>
  <c r="A15121" i="2"/>
  <c r="D15120" i="2"/>
  <c r="C15120" i="2"/>
  <c r="B15120" i="2"/>
  <c r="A15120" i="2"/>
  <c r="D15119" i="2"/>
  <c r="C15119" i="2"/>
  <c r="B15119" i="2"/>
  <c r="A15119" i="2"/>
  <c r="D15118" i="2"/>
  <c r="C15118" i="2"/>
  <c r="B15118" i="2"/>
  <c r="A15118" i="2"/>
  <c r="D15117" i="2"/>
  <c r="C15117" i="2"/>
  <c r="B15117" i="2"/>
  <c r="A15117" i="2"/>
  <c r="D15116" i="2"/>
  <c r="C15116" i="2"/>
  <c r="B15116" i="2"/>
  <c r="A15116" i="2"/>
  <c r="D15115" i="2"/>
  <c r="C15115" i="2"/>
  <c r="B15115" i="2"/>
  <c r="A15115" i="2"/>
  <c r="D15114" i="2"/>
  <c r="C15114" i="2"/>
  <c r="B15114" i="2"/>
  <c r="A15114" i="2"/>
  <c r="D15113" i="2"/>
  <c r="C15113" i="2"/>
  <c r="B15113" i="2"/>
  <c r="A15113" i="2"/>
  <c r="D15112" i="2"/>
  <c r="C15112" i="2"/>
  <c r="B15112" i="2"/>
  <c r="A15112" i="2"/>
  <c r="D15111" i="2"/>
  <c r="C15111" i="2"/>
  <c r="B15111" i="2"/>
  <c r="A15111" i="2"/>
  <c r="D15110" i="2"/>
  <c r="B15110" i="2"/>
  <c r="A15110" i="2"/>
  <c r="D15109" i="2"/>
  <c r="B15109" i="2"/>
  <c r="A15109" i="2"/>
  <c r="D15108" i="2"/>
  <c r="C15108" i="2"/>
  <c r="B15108" i="2"/>
  <c r="A15108" i="2"/>
  <c r="D15107" i="2"/>
  <c r="C15107" i="2"/>
  <c r="B15107" i="2"/>
  <c r="A15107" i="2"/>
  <c r="D15106" i="2"/>
  <c r="C15106" i="2"/>
  <c r="B15106" i="2"/>
  <c r="A15106" i="2"/>
  <c r="D15105" i="2"/>
  <c r="B15105" i="2"/>
  <c r="A15105" i="2"/>
  <c r="D15104" i="2"/>
  <c r="C15104" i="2"/>
  <c r="B15104" i="2"/>
  <c r="A15104" i="2"/>
  <c r="D15103" i="2"/>
  <c r="B15103" i="2"/>
  <c r="A15103" i="2"/>
  <c r="D15102" i="2"/>
  <c r="C15102" i="2"/>
  <c r="B15102" i="2"/>
  <c r="A15102" i="2"/>
  <c r="D15101" i="2"/>
  <c r="C15101" i="2"/>
  <c r="B15101" i="2"/>
  <c r="A15101" i="2"/>
  <c r="D15100" i="2"/>
  <c r="C15100" i="2"/>
  <c r="B15100" i="2"/>
  <c r="A15100" i="2"/>
  <c r="D15099" i="2"/>
  <c r="C15099" i="2"/>
  <c r="B15099" i="2"/>
  <c r="A15099" i="2"/>
  <c r="D15098" i="2"/>
  <c r="C15098" i="2"/>
  <c r="B15098" i="2"/>
  <c r="A15098" i="2"/>
  <c r="D15097" i="2"/>
  <c r="C15097" i="2"/>
  <c r="B15097" i="2"/>
  <c r="A15097" i="2"/>
  <c r="D15096" i="2"/>
  <c r="C15096" i="2"/>
  <c r="B15096" i="2"/>
  <c r="A15096" i="2"/>
  <c r="D15095" i="2"/>
  <c r="C15095" i="2"/>
  <c r="B15095" i="2"/>
  <c r="A15095" i="2"/>
  <c r="D15094" i="2"/>
  <c r="C15094" i="2"/>
  <c r="B15094" i="2"/>
  <c r="A15094" i="2"/>
  <c r="D15093" i="2"/>
  <c r="C15093" i="2"/>
  <c r="B15093" i="2"/>
  <c r="A15093" i="2"/>
  <c r="D15092" i="2"/>
  <c r="C15092" i="2"/>
  <c r="B15092" i="2"/>
  <c r="A15092" i="2"/>
  <c r="D15091" i="2"/>
  <c r="C15091" i="2"/>
  <c r="B15091" i="2"/>
  <c r="A15091" i="2"/>
  <c r="D15090" i="2"/>
  <c r="C15090" i="2"/>
  <c r="B15090" i="2"/>
  <c r="A15090" i="2"/>
  <c r="D15089" i="2"/>
  <c r="C15089" i="2"/>
  <c r="B15089" i="2"/>
  <c r="A15089" i="2"/>
  <c r="D15088" i="2"/>
  <c r="C15088" i="2"/>
  <c r="B15088" i="2"/>
  <c r="A15088" i="2"/>
  <c r="D15087" i="2"/>
  <c r="C15087" i="2"/>
  <c r="B15087" i="2"/>
  <c r="A15087" i="2"/>
  <c r="D15086" i="2"/>
  <c r="C15086" i="2"/>
  <c r="B15086" i="2"/>
  <c r="A15086" i="2"/>
  <c r="D15085" i="2"/>
  <c r="C15085" i="2"/>
  <c r="B15085" i="2"/>
  <c r="A15085" i="2"/>
  <c r="D15084" i="2"/>
  <c r="C15084" i="2"/>
  <c r="B15084" i="2"/>
  <c r="A15084" i="2"/>
  <c r="D15083" i="2"/>
  <c r="C15083" i="2"/>
  <c r="B15083" i="2"/>
  <c r="A15083" i="2"/>
  <c r="D15082" i="2"/>
  <c r="B15082" i="2"/>
  <c r="A15082" i="2"/>
  <c r="D15081" i="2"/>
  <c r="B15081" i="2"/>
  <c r="A15081" i="2"/>
  <c r="D15080" i="2"/>
  <c r="B15080" i="2"/>
  <c r="A15080" i="2"/>
  <c r="D15079" i="2"/>
  <c r="C15079" i="2"/>
  <c r="B15079" i="2"/>
  <c r="A15079" i="2"/>
  <c r="D15078" i="2"/>
  <c r="B15078" i="2"/>
  <c r="A15078" i="2"/>
  <c r="D15077" i="2"/>
  <c r="C15077" i="2"/>
  <c r="B15077" i="2"/>
  <c r="A15077" i="2"/>
  <c r="D15076" i="2"/>
  <c r="B15076" i="2"/>
  <c r="A15076" i="2"/>
  <c r="D15075" i="2"/>
  <c r="C15075" i="2"/>
  <c r="B15075" i="2"/>
  <c r="A15075" i="2"/>
  <c r="D15074" i="2"/>
  <c r="C15074" i="2"/>
  <c r="B15074" i="2"/>
  <c r="A15074" i="2"/>
  <c r="D15073" i="2"/>
  <c r="B15073" i="2"/>
  <c r="A15073" i="2"/>
  <c r="D15072" i="2"/>
  <c r="B15072" i="2"/>
  <c r="A15072" i="2"/>
  <c r="D15071" i="2"/>
  <c r="C15071" i="2"/>
  <c r="B15071" i="2"/>
  <c r="A15071" i="2"/>
  <c r="D15070" i="2"/>
  <c r="B15070" i="2"/>
  <c r="A15070" i="2"/>
  <c r="D15069" i="2"/>
  <c r="B15069" i="2"/>
  <c r="A15069" i="2"/>
  <c r="D15068" i="2"/>
  <c r="B15068" i="2"/>
  <c r="A15068" i="2"/>
  <c r="D15067" i="2"/>
  <c r="C15067" i="2"/>
  <c r="B15067" i="2"/>
  <c r="A15067" i="2"/>
  <c r="D15066" i="2"/>
  <c r="B15066" i="2"/>
  <c r="A15066" i="2"/>
  <c r="D15065" i="2"/>
  <c r="C15065" i="2"/>
  <c r="B15065" i="2"/>
  <c r="A15065" i="2"/>
  <c r="D15064" i="2"/>
  <c r="C15064" i="2"/>
  <c r="B15064" i="2"/>
  <c r="A15064" i="2"/>
  <c r="D15063" i="2"/>
  <c r="C15063" i="2"/>
  <c r="B15063" i="2"/>
  <c r="A15063" i="2"/>
  <c r="D15062" i="2"/>
  <c r="C15062" i="2"/>
  <c r="B15062" i="2"/>
  <c r="A15062" i="2"/>
  <c r="D15061" i="2"/>
  <c r="C15061" i="2"/>
  <c r="B15061" i="2"/>
  <c r="A15061" i="2"/>
  <c r="D15060" i="2"/>
  <c r="C15060" i="2"/>
  <c r="B15060" i="2"/>
  <c r="A15060" i="2"/>
  <c r="D15059" i="2"/>
  <c r="C15059" i="2"/>
  <c r="B15059" i="2"/>
  <c r="A15059" i="2"/>
  <c r="D15058" i="2"/>
  <c r="C15058" i="2"/>
  <c r="B15058" i="2"/>
  <c r="A15058" i="2"/>
  <c r="D15057" i="2"/>
  <c r="B15057" i="2"/>
  <c r="A15057" i="2"/>
  <c r="D15056" i="2"/>
  <c r="B15056" i="2"/>
  <c r="A15056" i="2"/>
  <c r="D15055" i="2"/>
  <c r="C15055" i="2"/>
  <c r="B15055" i="2"/>
  <c r="A15055" i="2"/>
  <c r="D15054" i="2"/>
  <c r="C15054" i="2"/>
  <c r="B15054" i="2"/>
  <c r="A15054" i="2"/>
  <c r="D15053" i="2"/>
  <c r="C15053" i="2"/>
  <c r="B15053" i="2"/>
  <c r="A15053" i="2"/>
  <c r="D15052" i="2"/>
  <c r="C15052" i="2"/>
  <c r="B15052" i="2"/>
  <c r="A15052" i="2"/>
  <c r="D15051" i="2"/>
  <c r="C15051" i="2"/>
  <c r="B15051" i="2"/>
  <c r="A15051" i="2"/>
  <c r="D15050" i="2"/>
  <c r="C15050" i="2"/>
  <c r="B15050" i="2"/>
  <c r="A15050" i="2"/>
  <c r="D15049" i="2"/>
  <c r="C15049" i="2"/>
  <c r="B15049" i="2"/>
  <c r="A15049" i="2"/>
  <c r="D15048" i="2"/>
  <c r="B15048" i="2"/>
  <c r="A15048" i="2"/>
  <c r="D15047" i="2"/>
  <c r="B15047" i="2"/>
  <c r="A15047" i="2"/>
  <c r="D15046" i="2"/>
  <c r="C15046" i="2"/>
  <c r="B15046" i="2"/>
  <c r="A15046" i="2"/>
  <c r="D15045" i="2"/>
  <c r="C15045" i="2"/>
  <c r="B15045" i="2"/>
  <c r="A15045" i="2"/>
  <c r="D15044" i="2"/>
  <c r="C15044" i="2"/>
  <c r="B15044" i="2"/>
  <c r="A15044" i="2"/>
  <c r="D15043" i="2"/>
  <c r="B15043" i="2"/>
  <c r="A15043" i="2"/>
  <c r="D15042" i="2"/>
  <c r="C15042" i="2"/>
  <c r="B15042" i="2"/>
  <c r="A15042" i="2"/>
  <c r="D15041" i="2"/>
  <c r="C15041" i="2"/>
  <c r="B15041" i="2"/>
  <c r="A15041" i="2"/>
  <c r="D15040" i="2"/>
  <c r="B15040" i="2"/>
  <c r="A15040" i="2"/>
  <c r="D15039" i="2"/>
  <c r="B15039" i="2"/>
  <c r="A15039" i="2"/>
  <c r="D15038" i="2"/>
  <c r="C15038" i="2"/>
  <c r="B15038" i="2"/>
  <c r="A15038" i="2"/>
  <c r="D15037" i="2"/>
  <c r="C15037" i="2"/>
  <c r="B15037" i="2"/>
  <c r="A15037" i="2"/>
  <c r="D15036" i="2"/>
  <c r="B15036" i="2"/>
  <c r="A15036" i="2"/>
  <c r="D15035" i="2"/>
  <c r="C15035" i="2"/>
  <c r="B15035" i="2"/>
  <c r="A15035" i="2"/>
  <c r="D15034" i="2"/>
  <c r="B15034" i="2"/>
  <c r="A15034" i="2"/>
  <c r="D15033" i="2"/>
  <c r="C15033" i="2"/>
  <c r="B15033" i="2"/>
  <c r="A15033" i="2"/>
  <c r="D15032" i="2"/>
  <c r="B15032" i="2"/>
  <c r="A15032" i="2"/>
  <c r="D15031" i="2"/>
  <c r="C15031" i="2"/>
  <c r="B15031" i="2"/>
  <c r="A15031" i="2"/>
  <c r="D15030" i="2"/>
  <c r="C15030" i="2"/>
  <c r="B15030" i="2"/>
  <c r="A15030" i="2"/>
  <c r="D15029" i="2"/>
  <c r="C15029" i="2"/>
  <c r="B15029" i="2"/>
  <c r="A15029" i="2"/>
  <c r="D15028" i="2"/>
  <c r="C15028" i="2"/>
  <c r="B15028" i="2"/>
  <c r="A15028" i="2"/>
  <c r="D15027" i="2"/>
  <c r="C15027" i="2"/>
  <c r="B15027" i="2"/>
  <c r="A15027" i="2"/>
  <c r="D15026" i="2"/>
  <c r="C15026" i="2"/>
  <c r="B15026" i="2"/>
  <c r="A15026" i="2"/>
  <c r="D15025" i="2"/>
  <c r="C15025" i="2"/>
  <c r="B15025" i="2"/>
  <c r="A15025" i="2"/>
  <c r="D15024" i="2"/>
  <c r="C15024" i="2"/>
  <c r="B15024" i="2"/>
  <c r="A15024" i="2"/>
  <c r="D15023" i="2"/>
  <c r="C15023" i="2"/>
  <c r="B15023" i="2"/>
  <c r="A15023" i="2"/>
  <c r="D15022" i="2"/>
  <c r="C15022" i="2"/>
  <c r="B15022" i="2"/>
  <c r="A15022" i="2"/>
  <c r="D15021" i="2"/>
  <c r="B15021" i="2"/>
  <c r="A15021" i="2"/>
  <c r="D15020" i="2"/>
  <c r="C15020" i="2"/>
  <c r="B15020" i="2"/>
  <c r="A15020" i="2"/>
  <c r="D15019" i="2"/>
  <c r="C15019" i="2"/>
  <c r="B15019" i="2"/>
  <c r="A15019" i="2"/>
  <c r="D15018" i="2"/>
  <c r="C15018" i="2"/>
  <c r="B15018" i="2"/>
  <c r="A15018" i="2"/>
  <c r="D15017" i="2"/>
  <c r="C15017" i="2"/>
  <c r="B15017" i="2"/>
  <c r="A15017" i="2"/>
  <c r="D15016" i="2"/>
  <c r="C15016" i="2"/>
  <c r="B15016" i="2"/>
  <c r="A15016" i="2"/>
  <c r="D15015" i="2"/>
  <c r="C15015" i="2"/>
  <c r="B15015" i="2"/>
  <c r="A15015" i="2"/>
  <c r="D15014" i="2"/>
  <c r="C15014" i="2"/>
  <c r="B15014" i="2"/>
  <c r="A15014" i="2"/>
  <c r="D15013" i="2"/>
  <c r="C15013" i="2"/>
  <c r="B15013" i="2"/>
  <c r="A15013" i="2"/>
  <c r="D15012" i="2"/>
  <c r="C15012" i="2"/>
  <c r="B15012" i="2"/>
  <c r="A15012" i="2"/>
  <c r="D15011" i="2"/>
  <c r="C15011" i="2"/>
  <c r="B15011" i="2"/>
  <c r="A15011" i="2"/>
  <c r="D15010" i="2"/>
  <c r="C15010" i="2"/>
  <c r="B15010" i="2"/>
  <c r="A15010" i="2"/>
  <c r="D15009" i="2"/>
  <c r="C15009" i="2"/>
  <c r="B15009" i="2"/>
  <c r="A15009" i="2"/>
  <c r="D15008" i="2"/>
  <c r="C15008" i="2"/>
  <c r="B15008" i="2"/>
  <c r="A15008" i="2"/>
  <c r="D15007" i="2"/>
  <c r="B15007" i="2"/>
  <c r="A15007" i="2"/>
  <c r="D15006" i="2"/>
  <c r="C15006" i="2"/>
  <c r="B15006" i="2"/>
  <c r="A15006" i="2"/>
  <c r="D15005" i="2"/>
  <c r="C15005" i="2"/>
  <c r="B15005" i="2"/>
  <c r="A15005" i="2"/>
  <c r="D15004" i="2"/>
  <c r="C15004" i="2"/>
  <c r="B15004" i="2"/>
  <c r="A15004" i="2"/>
  <c r="D15003" i="2"/>
  <c r="C15003" i="2"/>
  <c r="B15003" i="2"/>
  <c r="A15003" i="2"/>
  <c r="D15002" i="2"/>
  <c r="C15002" i="2"/>
  <c r="B15002" i="2"/>
  <c r="A15002" i="2"/>
  <c r="D15001" i="2"/>
  <c r="C15001" i="2"/>
  <c r="B15001" i="2"/>
  <c r="A15001" i="2"/>
  <c r="D15000" i="2"/>
  <c r="C15000" i="2"/>
  <c r="B15000" i="2"/>
  <c r="A15000" i="2"/>
  <c r="D14999" i="2"/>
  <c r="C14999" i="2"/>
  <c r="B14999" i="2"/>
  <c r="A14999" i="2"/>
  <c r="D14998" i="2"/>
  <c r="C14998" i="2"/>
  <c r="B14998" i="2"/>
  <c r="A14998" i="2"/>
  <c r="D14997" i="2"/>
  <c r="C14997" i="2"/>
  <c r="B14997" i="2"/>
  <c r="A14997" i="2"/>
  <c r="D14996" i="2"/>
  <c r="C14996" i="2"/>
  <c r="B14996" i="2"/>
  <c r="A14996" i="2"/>
  <c r="D14995" i="2"/>
  <c r="C14995" i="2"/>
  <c r="B14995" i="2"/>
  <c r="A14995" i="2"/>
  <c r="D14994" i="2"/>
  <c r="C14994" i="2"/>
  <c r="B14994" i="2"/>
  <c r="A14994" i="2"/>
  <c r="D14993" i="2"/>
  <c r="C14993" i="2"/>
  <c r="B14993" i="2"/>
  <c r="A14993" i="2"/>
  <c r="D14992" i="2"/>
  <c r="C14992" i="2"/>
  <c r="B14992" i="2"/>
  <c r="A14992" i="2"/>
  <c r="D14991" i="2"/>
  <c r="C14991" i="2"/>
  <c r="B14991" i="2"/>
  <c r="A14991" i="2"/>
  <c r="D14990" i="2"/>
  <c r="C14990" i="2"/>
  <c r="B14990" i="2"/>
  <c r="A14990" i="2"/>
  <c r="D14989" i="2"/>
  <c r="C14989" i="2"/>
  <c r="B14989" i="2"/>
  <c r="A14989" i="2"/>
  <c r="D14988" i="2"/>
  <c r="C14988" i="2"/>
  <c r="B14988" i="2"/>
  <c r="A14988" i="2"/>
  <c r="D14987" i="2"/>
  <c r="C14987" i="2"/>
  <c r="B14987" i="2"/>
  <c r="A14987" i="2"/>
  <c r="D14986" i="2"/>
  <c r="C14986" i="2"/>
  <c r="B14986" i="2"/>
  <c r="A14986" i="2"/>
  <c r="D14985" i="2"/>
  <c r="C14985" i="2"/>
  <c r="B14985" i="2"/>
  <c r="A14985" i="2"/>
  <c r="D14984" i="2"/>
  <c r="C14984" i="2"/>
  <c r="B14984" i="2"/>
  <c r="A14984" i="2"/>
  <c r="D14983" i="2"/>
  <c r="C14983" i="2"/>
  <c r="B14983" i="2"/>
  <c r="A14983" i="2"/>
  <c r="D14982" i="2"/>
  <c r="C14982" i="2"/>
  <c r="B14982" i="2"/>
  <c r="A14982" i="2"/>
  <c r="D14981" i="2"/>
  <c r="C14981" i="2"/>
  <c r="B14981" i="2"/>
  <c r="A14981" i="2"/>
  <c r="D14980" i="2"/>
  <c r="C14980" i="2"/>
  <c r="B14980" i="2"/>
  <c r="A14980" i="2"/>
  <c r="D14979" i="2"/>
  <c r="C14979" i="2"/>
  <c r="B14979" i="2"/>
  <c r="A14979" i="2"/>
  <c r="D14978" i="2"/>
  <c r="C14978" i="2"/>
  <c r="B14978" i="2"/>
  <c r="A14978" i="2"/>
  <c r="D14977" i="2"/>
  <c r="C14977" i="2"/>
  <c r="B14977" i="2"/>
  <c r="A14977" i="2"/>
  <c r="D14976" i="2"/>
  <c r="C14976" i="2"/>
  <c r="B14976" i="2"/>
  <c r="A14976" i="2"/>
  <c r="D14975" i="2"/>
  <c r="C14975" i="2"/>
  <c r="B14975" i="2"/>
  <c r="A14975" i="2"/>
  <c r="D14974" i="2"/>
  <c r="C14974" i="2"/>
  <c r="B14974" i="2"/>
  <c r="A14974" i="2"/>
  <c r="D14973" i="2"/>
  <c r="C14973" i="2"/>
  <c r="B14973" i="2"/>
  <c r="A14973" i="2"/>
  <c r="D14972" i="2"/>
  <c r="C14972" i="2"/>
  <c r="B14972" i="2"/>
  <c r="A14972" i="2"/>
  <c r="D14971" i="2"/>
  <c r="C14971" i="2"/>
  <c r="B14971" i="2"/>
  <c r="A14971" i="2"/>
  <c r="D14970" i="2"/>
  <c r="C14970" i="2"/>
  <c r="B14970" i="2"/>
  <c r="A14970" i="2"/>
  <c r="D14969" i="2"/>
  <c r="C14969" i="2"/>
  <c r="B14969" i="2"/>
  <c r="A14969" i="2"/>
  <c r="D14968" i="2"/>
  <c r="C14968" i="2"/>
  <c r="B14968" i="2"/>
  <c r="A14968" i="2"/>
  <c r="D14967" i="2"/>
  <c r="C14967" i="2"/>
  <c r="B14967" i="2"/>
  <c r="A14967" i="2"/>
  <c r="D14966" i="2"/>
  <c r="C14966" i="2"/>
  <c r="B14966" i="2"/>
  <c r="A14966" i="2"/>
  <c r="D14965" i="2"/>
  <c r="C14965" i="2"/>
  <c r="B14965" i="2"/>
  <c r="A14965" i="2"/>
  <c r="D14964" i="2"/>
  <c r="C14964" i="2"/>
  <c r="B14964" i="2"/>
  <c r="A14964" i="2"/>
  <c r="D14963" i="2"/>
  <c r="C14963" i="2"/>
  <c r="B14963" i="2"/>
  <c r="A14963" i="2"/>
  <c r="D14962" i="2"/>
  <c r="C14962" i="2"/>
  <c r="B14962" i="2"/>
  <c r="A14962" i="2"/>
  <c r="D14961" i="2"/>
  <c r="C14961" i="2"/>
  <c r="B14961" i="2"/>
  <c r="A14961" i="2"/>
  <c r="D14960" i="2"/>
  <c r="C14960" i="2"/>
  <c r="B14960" i="2"/>
  <c r="A14960" i="2"/>
  <c r="D14959" i="2"/>
  <c r="C14959" i="2"/>
  <c r="B14959" i="2"/>
  <c r="A14959" i="2"/>
  <c r="D14958" i="2"/>
  <c r="C14958" i="2"/>
  <c r="B14958" i="2"/>
  <c r="A14958" i="2"/>
  <c r="D14957" i="2"/>
  <c r="C14957" i="2"/>
  <c r="B14957" i="2"/>
  <c r="A14957" i="2"/>
  <c r="D14956" i="2"/>
  <c r="C14956" i="2"/>
  <c r="B14956" i="2"/>
  <c r="A14956" i="2"/>
  <c r="D14955" i="2"/>
  <c r="C14955" i="2"/>
  <c r="B14955" i="2"/>
  <c r="A14955" i="2"/>
  <c r="D14954" i="2"/>
  <c r="C14954" i="2"/>
  <c r="B14954" i="2"/>
  <c r="A14954" i="2"/>
  <c r="D14953" i="2"/>
  <c r="C14953" i="2"/>
  <c r="B14953" i="2"/>
  <c r="A14953" i="2"/>
  <c r="D14952" i="2"/>
  <c r="C14952" i="2"/>
  <c r="B14952" i="2"/>
  <c r="A14952" i="2"/>
  <c r="D14951" i="2"/>
  <c r="C14951" i="2"/>
  <c r="B14951" i="2"/>
  <c r="A14951" i="2"/>
  <c r="D14950" i="2"/>
  <c r="C14950" i="2"/>
  <c r="B14950" i="2"/>
  <c r="A14950" i="2"/>
  <c r="D14949" i="2"/>
  <c r="C14949" i="2"/>
  <c r="B14949" i="2"/>
  <c r="A14949" i="2"/>
  <c r="D14948" i="2"/>
  <c r="C14948" i="2"/>
  <c r="B14948" i="2"/>
  <c r="A14948" i="2"/>
  <c r="D14947" i="2"/>
  <c r="C14947" i="2"/>
  <c r="B14947" i="2"/>
  <c r="A14947" i="2"/>
  <c r="D14946" i="2"/>
  <c r="C14946" i="2"/>
  <c r="B14946" i="2"/>
  <c r="A14946" i="2"/>
  <c r="D14945" i="2"/>
  <c r="C14945" i="2"/>
  <c r="B14945" i="2"/>
  <c r="A14945" i="2"/>
  <c r="D14944" i="2"/>
  <c r="C14944" i="2"/>
  <c r="B14944" i="2"/>
  <c r="A14944" i="2"/>
  <c r="D14943" i="2"/>
  <c r="C14943" i="2"/>
  <c r="B14943" i="2"/>
  <c r="A14943" i="2"/>
  <c r="D14942" i="2"/>
  <c r="C14942" i="2"/>
  <c r="B14942" i="2"/>
  <c r="A14942" i="2"/>
  <c r="D14941" i="2"/>
  <c r="C14941" i="2"/>
  <c r="B14941" i="2"/>
  <c r="A14941" i="2"/>
  <c r="D14940" i="2"/>
  <c r="C14940" i="2"/>
  <c r="B14940" i="2"/>
  <c r="A14940" i="2"/>
  <c r="D14939" i="2"/>
  <c r="C14939" i="2"/>
  <c r="B14939" i="2"/>
  <c r="A14939" i="2"/>
  <c r="D14938" i="2"/>
  <c r="C14938" i="2"/>
  <c r="B14938" i="2"/>
  <c r="A14938" i="2"/>
  <c r="D14937" i="2"/>
  <c r="C14937" i="2"/>
  <c r="B14937" i="2"/>
  <c r="A14937" i="2"/>
  <c r="D14936" i="2"/>
  <c r="C14936" i="2"/>
  <c r="B14936" i="2"/>
  <c r="A14936" i="2"/>
  <c r="D14935" i="2"/>
  <c r="C14935" i="2"/>
  <c r="B14935" i="2"/>
  <c r="A14935" i="2"/>
  <c r="D14934" i="2"/>
  <c r="C14934" i="2"/>
  <c r="B14934" i="2"/>
  <c r="A14934" i="2"/>
  <c r="D14933" i="2"/>
  <c r="C14933" i="2"/>
  <c r="B14933" i="2"/>
  <c r="A14933" i="2"/>
  <c r="D14932" i="2"/>
  <c r="C14932" i="2"/>
  <c r="B14932" i="2"/>
  <c r="A14932" i="2"/>
  <c r="D14931" i="2"/>
  <c r="C14931" i="2"/>
  <c r="B14931" i="2"/>
  <c r="A14931" i="2"/>
  <c r="D14930" i="2"/>
  <c r="C14930" i="2"/>
  <c r="B14930" i="2"/>
  <c r="A14930" i="2"/>
  <c r="D14929" i="2"/>
  <c r="C14929" i="2"/>
  <c r="B14929" i="2"/>
  <c r="A14929" i="2"/>
  <c r="D14928" i="2"/>
  <c r="C14928" i="2"/>
  <c r="B14928" i="2"/>
  <c r="A14928" i="2"/>
  <c r="D14927" i="2"/>
  <c r="C14927" i="2"/>
  <c r="B14927" i="2"/>
  <c r="A14927" i="2"/>
  <c r="D14926" i="2"/>
  <c r="C14926" i="2"/>
  <c r="B14926" i="2"/>
  <c r="A14926" i="2"/>
  <c r="D14925" i="2"/>
  <c r="C14925" i="2"/>
  <c r="B14925" i="2"/>
  <c r="A14925" i="2"/>
  <c r="D14924" i="2"/>
  <c r="C14924" i="2"/>
  <c r="B14924" i="2"/>
  <c r="A14924" i="2"/>
  <c r="D14923" i="2"/>
  <c r="C14923" i="2"/>
  <c r="B14923" i="2"/>
  <c r="A14923" i="2"/>
  <c r="D14922" i="2"/>
  <c r="C14922" i="2"/>
  <c r="B14922" i="2"/>
  <c r="A14922" i="2"/>
  <c r="D14921" i="2"/>
  <c r="C14921" i="2"/>
  <c r="B14921" i="2"/>
  <c r="A14921" i="2"/>
  <c r="D14920" i="2"/>
  <c r="C14920" i="2"/>
  <c r="B14920" i="2"/>
  <c r="A14920" i="2"/>
  <c r="D14919" i="2"/>
  <c r="C14919" i="2"/>
  <c r="B14919" i="2"/>
  <c r="A14919" i="2"/>
  <c r="D14918" i="2"/>
  <c r="C14918" i="2"/>
  <c r="B14918" i="2"/>
  <c r="A14918" i="2"/>
  <c r="D14917" i="2"/>
  <c r="C14917" i="2"/>
  <c r="B14917" i="2"/>
  <c r="A14917" i="2"/>
  <c r="D14916" i="2"/>
  <c r="C14916" i="2"/>
  <c r="B14916" i="2"/>
  <c r="A14916" i="2"/>
  <c r="D14915" i="2"/>
  <c r="C14915" i="2"/>
  <c r="B14915" i="2"/>
  <c r="A14915" i="2"/>
  <c r="D14914" i="2"/>
  <c r="C14914" i="2"/>
  <c r="B14914" i="2"/>
  <c r="A14914" i="2"/>
  <c r="D14913" i="2"/>
  <c r="C14913" i="2"/>
  <c r="B14913" i="2"/>
  <c r="A14913" i="2"/>
  <c r="D14912" i="2"/>
  <c r="C14912" i="2"/>
  <c r="B14912" i="2"/>
  <c r="A14912" i="2"/>
  <c r="D14911" i="2"/>
  <c r="C14911" i="2"/>
  <c r="B14911" i="2"/>
  <c r="A14911" i="2"/>
  <c r="D14910" i="2"/>
  <c r="C14910" i="2"/>
  <c r="B14910" i="2"/>
  <c r="A14910" i="2"/>
  <c r="D14909" i="2"/>
  <c r="C14909" i="2"/>
  <c r="B14909" i="2"/>
  <c r="A14909" i="2"/>
  <c r="D14908" i="2"/>
  <c r="C14908" i="2"/>
  <c r="B14908" i="2"/>
  <c r="A14908" i="2"/>
  <c r="D14907" i="2"/>
  <c r="C14907" i="2"/>
  <c r="B14907" i="2"/>
  <c r="A14907" i="2"/>
  <c r="D14906" i="2"/>
  <c r="C14906" i="2"/>
  <c r="B14906" i="2"/>
  <c r="A14906" i="2"/>
  <c r="D14905" i="2"/>
  <c r="C14905" i="2"/>
  <c r="B14905" i="2"/>
  <c r="A14905" i="2"/>
  <c r="D14904" i="2"/>
  <c r="C14904" i="2"/>
  <c r="B14904" i="2"/>
  <c r="A14904" i="2"/>
  <c r="D14903" i="2"/>
  <c r="C14903" i="2"/>
  <c r="B14903" i="2"/>
  <c r="A14903" i="2"/>
  <c r="D14902" i="2"/>
  <c r="C14902" i="2"/>
  <c r="B14902" i="2"/>
  <c r="A14902" i="2"/>
  <c r="D14901" i="2"/>
  <c r="C14901" i="2"/>
  <c r="B14901" i="2"/>
  <c r="A14901" i="2"/>
  <c r="D14900" i="2"/>
  <c r="C14900" i="2"/>
  <c r="B14900" i="2"/>
  <c r="A14900" i="2"/>
  <c r="D14899" i="2"/>
  <c r="C14899" i="2"/>
  <c r="B14899" i="2"/>
  <c r="A14899" i="2"/>
  <c r="D14898" i="2"/>
  <c r="C14898" i="2"/>
  <c r="B14898" i="2"/>
  <c r="A14898" i="2"/>
  <c r="D14897" i="2"/>
  <c r="C14897" i="2"/>
  <c r="B14897" i="2"/>
  <c r="A14897" i="2"/>
  <c r="D14896" i="2"/>
  <c r="C14896" i="2"/>
  <c r="B14896" i="2"/>
  <c r="A14896" i="2"/>
  <c r="D14895" i="2"/>
  <c r="C14895" i="2"/>
  <c r="B14895" i="2"/>
  <c r="A14895" i="2"/>
  <c r="D14894" i="2"/>
  <c r="C14894" i="2"/>
  <c r="B14894" i="2"/>
  <c r="A14894" i="2"/>
  <c r="D14893" i="2"/>
  <c r="C14893" i="2"/>
  <c r="B14893" i="2"/>
  <c r="A14893" i="2"/>
  <c r="D14892" i="2"/>
  <c r="C14892" i="2"/>
  <c r="B14892" i="2"/>
  <c r="A14892" i="2"/>
  <c r="D14891" i="2"/>
  <c r="C14891" i="2"/>
  <c r="B14891" i="2"/>
  <c r="A14891" i="2"/>
  <c r="D14890" i="2"/>
  <c r="C14890" i="2"/>
  <c r="B14890" i="2"/>
  <c r="A14890" i="2"/>
  <c r="D14889" i="2"/>
  <c r="C14889" i="2"/>
  <c r="B14889" i="2"/>
  <c r="A14889" i="2"/>
  <c r="D14888" i="2"/>
  <c r="C14888" i="2"/>
  <c r="B14888" i="2"/>
  <c r="A14888" i="2"/>
  <c r="D14887" i="2"/>
  <c r="C14887" i="2"/>
  <c r="B14887" i="2"/>
  <c r="A14887" i="2"/>
  <c r="D14886" i="2"/>
  <c r="C14886" i="2"/>
  <c r="B14886" i="2"/>
  <c r="A14886" i="2"/>
  <c r="D14885" i="2"/>
  <c r="C14885" i="2"/>
  <c r="B14885" i="2"/>
  <c r="A14885" i="2"/>
  <c r="D14884" i="2"/>
  <c r="C14884" i="2"/>
  <c r="B14884" i="2"/>
  <c r="A14884" i="2"/>
  <c r="D14883" i="2"/>
  <c r="C14883" i="2"/>
  <c r="B14883" i="2"/>
  <c r="A14883" i="2"/>
  <c r="D14882" i="2"/>
  <c r="C14882" i="2"/>
  <c r="B14882" i="2"/>
  <c r="A14882" i="2"/>
  <c r="D14881" i="2"/>
  <c r="C14881" i="2"/>
  <c r="B14881" i="2"/>
  <c r="A14881" i="2"/>
  <c r="D14880" i="2"/>
  <c r="C14880" i="2"/>
  <c r="B14880" i="2"/>
  <c r="A14880" i="2"/>
  <c r="D14879" i="2"/>
  <c r="C14879" i="2"/>
  <c r="B14879" i="2"/>
  <c r="A14879" i="2"/>
  <c r="D14878" i="2"/>
  <c r="C14878" i="2"/>
  <c r="B14878" i="2"/>
  <c r="A14878" i="2"/>
  <c r="D14877" i="2"/>
  <c r="C14877" i="2"/>
  <c r="B14877" i="2"/>
  <c r="A14877" i="2"/>
  <c r="D14876" i="2"/>
  <c r="C14876" i="2"/>
  <c r="B14876" i="2"/>
  <c r="A14876" i="2"/>
  <c r="D14875" i="2"/>
  <c r="C14875" i="2"/>
  <c r="B14875" i="2"/>
  <c r="A14875" i="2"/>
  <c r="D14874" i="2"/>
  <c r="C14874" i="2"/>
  <c r="B14874" i="2"/>
  <c r="A14874" i="2"/>
  <c r="D14873" i="2"/>
  <c r="C14873" i="2"/>
  <c r="B14873" i="2"/>
  <c r="A14873" i="2"/>
  <c r="D14872" i="2"/>
  <c r="C14872" i="2"/>
  <c r="B14872" i="2"/>
  <c r="A14872" i="2"/>
  <c r="D14871" i="2"/>
  <c r="C14871" i="2"/>
  <c r="B14871" i="2"/>
  <c r="A14871" i="2"/>
  <c r="D14870" i="2"/>
  <c r="C14870" i="2"/>
  <c r="B14870" i="2"/>
  <c r="A14870" i="2"/>
  <c r="D14869" i="2"/>
  <c r="C14869" i="2"/>
  <c r="B14869" i="2"/>
  <c r="A14869" i="2"/>
  <c r="D14868" i="2"/>
  <c r="C14868" i="2"/>
  <c r="B14868" i="2"/>
  <c r="A14868" i="2"/>
  <c r="D14867" i="2"/>
  <c r="C14867" i="2"/>
  <c r="B14867" i="2"/>
  <c r="A14867" i="2"/>
  <c r="D14866" i="2"/>
  <c r="C14866" i="2"/>
  <c r="B14866" i="2"/>
  <c r="A14866" i="2"/>
  <c r="D14865" i="2"/>
  <c r="C14865" i="2"/>
  <c r="B14865" i="2"/>
  <c r="A14865" i="2"/>
  <c r="D14864" i="2"/>
  <c r="C14864" i="2"/>
  <c r="B14864" i="2"/>
  <c r="A14864" i="2"/>
  <c r="D14863" i="2"/>
  <c r="C14863" i="2"/>
  <c r="B14863" i="2"/>
  <c r="A14863" i="2"/>
  <c r="D14862" i="2"/>
  <c r="C14862" i="2"/>
  <c r="B14862" i="2"/>
  <c r="A14862" i="2"/>
  <c r="D14861" i="2"/>
  <c r="C14861" i="2"/>
  <c r="B14861" i="2"/>
  <c r="A14861" i="2"/>
  <c r="D14860" i="2"/>
  <c r="C14860" i="2"/>
  <c r="B14860" i="2"/>
  <c r="A14860" i="2"/>
  <c r="D14859" i="2"/>
  <c r="C14859" i="2"/>
  <c r="B14859" i="2"/>
  <c r="A14859" i="2"/>
  <c r="D14858" i="2"/>
  <c r="C14858" i="2"/>
  <c r="B14858" i="2"/>
  <c r="A14858" i="2"/>
  <c r="D14857" i="2"/>
  <c r="C14857" i="2"/>
  <c r="B14857" i="2"/>
  <c r="A14857" i="2"/>
  <c r="D14856" i="2"/>
  <c r="B14856" i="2"/>
  <c r="A14856" i="2"/>
  <c r="D14855" i="2"/>
  <c r="C14855" i="2"/>
  <c r="B14855" i="2"/>
  <c r="A14855" i="2"/>
  <c r="D14854" i="2"/>
  <c r="C14854" i="2"/>
  <c r="B14854" i="2"/>
  <c r="A14854" i="2"/>
  <c r="D14853" i="2"/>
  <c r="B14853" i="2"/>
  <c r="A14853" i="2"/>
  <c r="D14852" i="2"/>
  <c r="B14852" i="2"/>
  <c r="A14852" i="2"/>
  <c r="D14851" i="2"/>
  <c r="B14851" i="2"/>
  <c r="A14851" i="2"/>
  <c r="D14850" i="2"/>
  <c r="C14850" i="2"/>
  <c r="B14850" i="2"/>
  <c r="A14850" i="2"/>
  <c r="D14849" i="2"/>
  <c r="C14849" i="2"/>
  <c r="B14849" i="2"/>
  <c r="A14849" i="2"/>
  <c r="D14848" i="2"/>
  <c r="C14848" i="2"/>
  <c r="B14848" i="2"/>
  <c r="A14848" i="2"/>
  <c r="D14847" i="2"/>
  <c r="C14847" i="2"/>
  <c r="B14847" i="2"/>
  <c r="A14847" i="2"/>
  <c r="D14846" i="2"/>
  <c r="C14846" i="2"/>
  <c r="B14846" i="2"/>
  <c r="A14846" i="2"/>
  <c r="D14845" i="2"/>
  <c r="C14845" i="2"/>
  <c r="B14845" i="2"/>
  <c r="A14845" i="2"/>
  <c r="D14844" i="2"/>
  <c r="C14844" i="2"/>
  <c r="B14844" i="2"/>
  <c r="A14844" i="2"/>
  <c r="D14843" i="2"/>
  <c r="B14843" i="2"/>
  <c r="A14843" i="2"/>
  <c r="D14842" i="2"/>
  <c r="C14842" i="2"/>
  <c r="B14842" i="2"/>
  <c r="A14842" i="2"/>
  <c r="D14841" i="2"/>
  <c r="C14841" i="2"/>
  <c r="B14841" i="2"/>
  <c r="A14841" i="2"/>
  <c r="D14840" i="2"/>
  <c r="C14840" i="2"/>
  <c r="B14840" i="2"/>
  <c r="A14840" i="2"/>
  <c r="D14839" i="2"/>
  <c r="C14839" i="2"/>
  <c r="B14839" i="2"/>
  <c r="A14839" i="2"/>
  <c r="D14838" i="2"/>
  <c r="C14838" i="2"/>
  <c r="B14838" i="2"/>
  <c r="A14838" i="2"/>
  <c r="D14837" i="2"/>
  <c r="C14837" i="2"/>
  <c r="B14837" i="2"/>
  <c r="A14837" i="2"/>
  <c r="D14836" i="2"/>
  <c r="C14836" i="2"/>
  <c r="B14836" i="2"/>
  <c r="A14836" i="2"/>
  <c r="D14835" i="2"/>
  <c r="C14835" i="2"/>
  <c r="B14835" i="2"/>
  <c r="A14835" i="2"/>
  <c r="D14834" i="2"/>
  <c r="B14834" i="2"/>
  <c r="A14834" i="2"/>
  <c r="D14833" i="2"/>
  <c r="C14833" i="2"/>
  <c r="B14833" i="2"/>
  <c r="A14833" i="2"/>
  <c r="D14832" i="2"/>
  <c r="C14832" i="2"/>
  <c r="B14832" i="2"/>
  <c r="A14832" i="2"/>
  <c r="D14831" i="2"/>
  <c r="C14831" i="2"/>
  <c r="B14831" i="2"/>
  <c r="A14831" i="2"/>
  <c r="D14830" i="2"/>
  <c r="C14830" i="2"/>
  <c r="B14830" i="2"/>
  <c r="A14830" i="2"/>
  <c r="D14829" i="2"/>
  <c r="B14829" i="2"/>
  <c r="A14829" i="2"/>
  <c r="D14828" i="2"/>
  <c r="C14828" i="2"/>
  <c r="B14828" i="2"/>
  <c r="A14828" i="2"/>
  <c r="D14827" i="2"/>
  <c r="B14827" i="2"/>
  <c r="A14827" i="2"/>
  <c r="D14826" i="2"/>
  <c r="B14826" i="2"/>
  <c r="A14826" i="2"/>
  <c r="D14825" i="2"/>
  <c r="C14825" i="2"/>
  <c r="B14825" i="2"/>
  <c r="A14825" i="2"/>
  <c r="D14824" i="2"/>
  <c r="B14824" i="2"/>
  <c r="A14824" i="2"/>
  <c r="D14823" i="2"/>
  <c r="B14823" i="2"/>
  <c r="A14823" i="2"/>
  <c r="D14822" i="2"/>
  <c r="B14822" i="2"/>
  <c r="A14822" i="2"/>
  <c r="D14821" i="2"/>
  <c r="B14821" i="2"/>
  <c r="A14821" i="2"/>
  <c r="D14820" i="2"/>
  <c r="B14820" i="2"/>
  <c r="A14820" i="2"/>
  <c r="D14819" i="2"/>
  <c r="C14819" i="2"/>
  <c r="B14819" i="2"/>
  <c r="A14819" i="2"/>
  <c r="D14818" i="2"/>
  <c r="C14818" i="2"/>
  <c r="B14818" i="2"/>
  <c r="A14818" i="2"/>
  <c r="D14817" i="2"/>
  <c r="B14817" i="2"/>
  <c r="A14817" i="2"/>
  <c r="D14816" i="2"/>
  <c r="C14816" i="2"/>
  <c r="B14816" i="2"/>
  <c r="A14816" i="2"/>
  <c r="D14815" i="2"/>
  <c r="B14815" i="2"/>
  <c r="A14815" i="2"/>
  <c r="D14814" i="2"/>
  <c r="C14814" i="2"/>
  <c r="B14814" i="2"/>
  <c r="A14814" i="2"/>
  <c r="D14813" i="2"/>
  <c r="C14813" i="2"/>
  <c r="B14813" i="2"/>
  <c r="A14813" i="2"/>
  <c r="D14812" i="2"/>
  <c r="C14812" i="2"/>
  <c r="B14812" i="2"/>
  <c r="A14812" i="2"/>
  <c r="D14811" i="2"/>
  <c r="C14811" i="2"/>
  <c r="B14811" i="2"/>
  <c r="A14811" i="2"/>
  <c r="D14810" i="2"/>
  <c r="C14810" i="2"/>
  <c r="B14810" i="2"/>
  <c r="A14810" i="2"/>
  <c r="D14809" i="2"/>
  <c r="B14809" i="2"/>
  <c r="A14809" i="2"/>
  <c r="D14808" i="2"/>
  <c r="C14808" i="2"/>
  <c r="B14808" i="2"/>
  <c r="A14808" i="2"/>
  <c r="D14807" i="2"/>
  <c r="C14807" i="2"/>
  <c r="B14807" i="2"/>
  <c r="A14807" i="2"/>
  <c r="D14806" i="2"/>
  <c r="B14806" i="2"/>
  <c r="A14806" i="2"/>
  <c r="D14805" i="2"/>
  <c r="C14805" i="2"/>
  <c r="B14805" i="2"/>
  <c r="A14805" i="2"/>
  <c r="D14804" i="2"/>
  <c r="B14804" i="2"/>
  <c r="A14804" i="2"/>
  <c r="D14803" i="2"/>
  <c r="B14803" i="2"/>
  <c r="A14803" i="2"/>
  <c r="D14802" i="2"/>
  <c r="B14802" i="2"/>
  <c r="A14802" i="2"/>
  <c r="D14801" i="2"/>
  <c r="B14801" i="2"/>
  <c r="A14801" i="2"/>
  <c r="D14800" i="2"/>
  <c r="C14800" i="2"/>
  <c r="B14800" i="2"/>
  <c r="A14800" i="2"/>
  <c r="D14799" i="2"/>
  <c r="C14799" i="2"/>
  <c r="B14799" i="2"/>
  <c r="A14799" i="2"/>
  <c r="D14798" i="2"/>
  <c r="C14798" i="2"/>
  <c r="B14798" i="2"/>
  <c r="A14798" i="2"/>
  <c r="D14797" i="2"/>
  <c r="C14797" i="2"/>
  <c r="B14797" i="2"/>
  <c r="A14797" i="2"/>
  <c r="D14796" i="2"/>
  <c r="C14796" i="2"/>
  <c r="B14796" i="2"/>
  <c r="A14796" i="2"/>
  <c r="D14795" i="2"/>
  <c r="C14795" i="2"/>
  <c r="B14795" i="2"/>
  <c r="A14795" i="2"/>
  <c r="D14794" i="2"/>
  <c r="B14794" i="2"/>
  <c r="A14794" i="2"/>
  <c r="D14793" i="2"/>
  <c r="C14793" i="2"/>
  <c r="B14793" i="2"/>
  <c r="A14793" i="2"/>
  <c r="D14792" i="2"/>
  <c r="C14792" i="2"/>
  <c r="B14792" i="2"/>
  <c r="A14792" i="2"/>
  <c r="D14791" i="2"/>
  <c r="C14791" i="2"/>
  <c r="B14791" i="2"/>
  <c r="A14791" i="2"/>
  <c r="D14790" i="2"/>
  <c r="B14790" i="2"/>
  <c r="A14790" i="2"/>
  <c r="D14789" i="2"/>
  <c r="B14789" i="2"/>
  <c r="A14789" i="2"/>
  <c r="D14788" i="2"/>
  <c r="C14788" i="2"/>
  <c r="B14788" i="2"/>
  <c r="A14788" i="2"/>
  <c r="D14787" i="2"/>
  <c r="B14787" i="2"/>
  <c r="A14787" i="2"/>
  <c r="D14786" i="2"/>
  <c r="C14786" i="2"/>
  <c r="B14786" i="2"/>
  <c r="A14786" i="2"/>
  <c r="D14785" i="2"/>
  <c r="B14785" i="2"/>
  <c r="A14785" i="2"/>
  <c r="D14784" i="2"/>
  <c r="C14784" i="2"/>
  <c r="B14784" i="2"/>
  <c r="A14784" i="2"/>
  <c r="D14783" i="2"/>
  <c r="B14783" i="2"/>
  <c r="A14783" i="2"/>
  <c r="D14782" i="2"/>
  <c r="C14782" i="2"/>
  <c r="B14782" i="2"/>
  <c r="A14782" i="2"/>
  <c r="D14781" i="2"/>
  <c r="C14781" i="2"/>
  <c r="B14781" i="2"/>
  <c r="A14781" i="2"/>
  <c r="D14780" i="2"/>
  <c r="C14780" i="2"/>
  <c r="B14780" i="2"/>
  <c r="A14780" i="2"/>
  <c r="D14779" i="2"/>
  <c r="C14779" i="2"/>
  <c r="B14779" i="2"/>
  <c r="A14779" i="2"/>
  <c r="D14778" i="2"/>
  <c r="C14778" i="2"/>
  <c r="B14778" i="2"/>
  <c r="A14778" i="2"/>
  <c r="D14777" i="2"/>
  <c r="C14777" i="2"/>
  <c r="B14777" i="2"/>
  <c r="A14777" i="2"/>
  <c r="D14776" i="2"/>
  <c r="C14776" i="2"/>
  <c r="B14776" i="2"/>
  <c r="A14776" i="2"/>
  <c r="D14775" i="2"/>
  <c r="C14775" i="2"/>
  <c r="B14775" i="2"/>
  <c r="A14775" i="2"/>
  <c r="D14774" i="2"/>
  <c r="C14774" i="2"/>
  <c r="B14774" i="2"/>
  <c r="A14774" i="2"/>
  <c r="D14773" i="2"/>
  <c r="C14773" i="2"/>
  <c r="B14773" i="2"/>
  <c r="A14773" i="2"/>
  <c r="D14772" i="2"/>
  <c r="C14772" i="2"/>
  <c r="B14772" i="2"/>
  <c r="A14772" i="2"/>
  <c r="D14771" i="2"/>
  <c r="C14771" i="2"/>
  <c r="B14771" i="2"/>
  <c r="A14771" i="2"/>
  <c r="D14770" i="2"/>
  <c r="C14770" i="2"/>
  <c r="B14770" i="2"/>
  <c r="A14770" i="2"/>
  <c r="D14769" i="2"/>
  <c r="C14769" i="2"/>
  <c r="B14769" i="2"/>
  <c r="A14769" i="2"/>
  <c r="D14768" i="2"/>
  <c r="B14768" i="2"/>
  <c r="A14768" i="2"/>
  <c r="D14767" i="2"/>
  <c r="C14767" i="2"/>
  <c r="B14767" i="2"/>
  <c r="A14767" i="2"/>
  <c r="D14766" i="2"/>
  <c r="C14766" i="2"/>
  <c r="B14766" i="2"/>
  <c r="A14766" i="2"/>
  <c r="D14765" i="2"/>
  <c r="C14765" i="2"/>
  <c r="B14765" i="2"/>
  <c r="A14765" i="2"/>
  <c r="D14764" i="2"/>
  <c r="C14764" i="2"/>
  <c r="B14764" i="2"/>
  <c r="A14764" i="2"/>
  <c r="D14763" i="2"/>
  <c r="C14763" i="2"/>
  <c r="B14763" i="2"/>
  <c r="A14763" i="2"/>
  <c r="D14762" i="2"/>
  <c r="C14762" i="2"/>
  <c r="B14762" i="2"/>
  <c r="A14762" i="2"/>
  <c r="D14761" i="2"/>
  <c r="C14761" i="2"/>
  <c r="B14761" i="2"/>
  <c r="A14761" i="2"/>
  <c r="D14760" i="2"/>
  <c r="C14760" i="2"/>
  <c r="B14760" i="2"/>
  <c r="A14760" i="2"/>
  <c r="D14759" i="2"/>
  <c r="C14759" i="2"/>
  <c r="B14759" i="2"/>
  <c r="A14759" i="2"/>
  <c r="D14758" i="2"/>
  <c r="C14758" i="2"/>
  <c r="B14758" i="2"/>
  <c r="A14758" i="2"/>
  <c r="D14757" i="2"/>
  <c r="C14757" i="2"/>
  <c r="B14757" i="2"/>
  <c r="A14757" i="2"/>
  <c r="D14756" i="2"/>
  <c r="C14756" i="2"/>
  <c r="B14756" i="2"/>
  <c r="A14756" i="2"/>
  <c r="D14755" i="2"/>
  <c r="B14755" i="2"/>
  <c r="A14755" i="2"/>
  <c r="D14754" i="2"/>
  <c r="C14754" i="2"/>
  <c r="B14754" i="2"/>
  <c r="A14754" i="2"/>
  <c r="D14753" i="2"/>
  <c r="C14753" i="2"/>
  <c r="B14753" i="2"/>
  <c r="A14753" i="2"/>
  <c r="D14752" i="2"/>
  <c r="C14752" i="2"/>
  <c r="B14752" i="2"/>
  <c r="A14752" i="2"/>
  <c r="D14751" i="2"/>
  <c r="C14751" i="2"/>
  <c r="B14751" i="2"/>
  <c r="A14751" i="2"/>
  <c r="D14750" i="2"/>
  <c r="C14750" i="2"/>
  <c r="B14750" i="2"/>
  <c r="A14750" i="2"/>
  <c r="D14749" i="2"/>
  <c r="C14749" i="2"/>
  <c r="B14749" i="2"/>
  <c r="A14749" i="2"/>
  <c r="D14748" i="2"/>
  <c r="C14748" i="2"/>
  <c r="B14748" i="2"/>
  <c r="A14748" i="2"/>
  <c r="D14747" i="2"/>
  <c r="C14747" i="2"/>
  <c r="B14747" i="2"/>
  <c r="A14747" i="2"/>
  <c r="D14746" i="2"/>
  <c r="C14746" i="2"/>
  <c r="B14746" i="2"/>
  <c r="A14746" i="2"/>
  <c r="D14745" i="2"/>
  <c r="C14745" i="2"/>
  <c r="B14745" i="2"/>
  <c r="A14745" i="2"/>
  <c r="D14744" i="2"/>
  <c r="C14744" i="2"/>
  <c r="B14744" i="2"/>
  <c r="A14744" i="2"/>
  <c r="D14743" i="2"/>
  <c r="C14743" i="2"/>
  <c r="B14743" i="2"/>
  <c r="A14743" i="2"/>
  <c r="D14742" i="2"/>
  <c r="C14742" i="2"/>
  <c r="B14742" i="2"/>
  <c r="A14742" i="2"/>
  <c r="D14741" i="2"/>
  <c r="C14741" i="2"/>
  <c r="B14741" i="2"/>
  <c r="A14741" i="2"/>
  <c r="D14740" i="2"/>
  <c r="C14740" i="2"/>
  <c r="B14740" i="2"/>
  <c r="A14740" i="2"/>
  <c r="D14739" i="2"/>
  <c r="C14739" i="2"/>
  <c r="B14739" i="2"/>
  <c r="A14739" i="2"/>
  <c r="D14738" i="2"/>
  <c r="C14738" i="2"/>
  <c r="B14738" i="2"/>
  <c r="A14738" i="2"/>
  <c r="D14737" i="2"/>
  <c r="C14737" i="2"/>
  <c r="B14737" i="2"/>
  <c r="A14737" i="2"/>
  <c r="D14736" i="2"/>
  <c r="C14736" i="2"/>
  <c r="B14736" i="2"/>
  <c r="A14736" i="2"/>
  <c r="D14735" i="2"/>
  <c r="C14735" i="2"/>
  <c r="B14735" i="2"/>
  <c r="A14735" i="2"/>
  <c r="D14734" i="2"/>
  <c r="C14734" i="2"/>
  <c r="B14734" i="2"/>
  <c r="A14734" i="2"/>
  <c r="D14733" i="2"/>
  <c r="B14733" i="2"/>
  <c r="A14733" i="2"/>
  <c r="D14732" i="2"/>
  <c r="C14732" i="2"/>
  <c r="B14732" i="2"/>
  <c r="A14732" i="2"/>
  <c r="D14731" i="2"/>
  <c r="C14731" i="2"/>
  <c r="B14731" i="2"/>
  <c r="A14731" i="2"/>
  <c r="D14730" i="2"/>
  <c r="C14730" i="2"/>
  <c r="B14730" i="2"/>
  <c r="A14730" i="2"/>
  <c r="D14729" i="2"/>
  <c r="C14729" i="2"/>
  <c r="B14729" i="2"/>
  <c r="A14729" i="2"/>
  <c r="D14728" i="2"/>
  <c r="C14728" i="2"/>
  <c r="B14728" i="2"/>
  <c r="A14728" i="2"/>
  <c r="D14727" i="2"/>
  <c r="C14727" i="2"/>
  <c r="B14727" i="2"/>
  <c r="A14727" i="2"/>
  <c r="D14726" i="2"/>
  <c r="C14726" i="2"/>
  <c r="B14726" i="2"/>
  <c r="A14726" i="2"/>
  <c r="D14725" i="2"/>
  <c r="C14725" i="2"/>
  <c r="B14725" i="2"/>
  <c r="A14725" i="2"/>
  <c r="D14724" i="2"/>
  <c r="C14724" i="2"/>
  <c r="B14724" i="2"/>
  <c r="A14724" i="2"/>
  <c r="D14723" i="2"/>
  <c r="C14723" i="2"/>
  <c r="B14723" i="2"/>
  <c r="A14723" i="2"/>
  <c r="D14722" i="2"/>
  <c r="C14722" i="2"/>
  <c r="B14722" i="2"/>
  <c r="A14722" i="2"/>
  <c r="D14721" i="2"/>
  <c r="C14721" i="2"/>
  <c r="B14721" i="2"/>
  <c r="A14721" i="2"/>
  <c r="D14720" i="2"/>
  <c r="C14720" i="2"/>
  <c r="B14720" i="2"/>
  <c r="A14720" i="2"/>
  <c r="D14719" i="2"/>
  <c r="C14719" i="2"/>
  <c r="B14719" i="2"/>
  <c r="A14719" i="2"/>
  <c r="D14718" i="2"/>
  <c r="C14718" i="2"/>
  <c r="B14718" i="2"/>
  <c r="A14718" i="2"/>
  <c r="D14717" i="2"/>
  <c r="C14717" i="2"/>
  <c r="B14717" i="2"/>
  <c r="A14717" i="2"/>
  <c r="D14716" i="2"/>
  <c r="C14716" i="2"/>
  <c r="B14716" i="2"/>
  <c r="A14716" i="2"/>
  <c r="D14715" i="2"/>
  <c r="C14715" i="2"/>
  <c r="B14715" i="2"/>
  <c r="A14715" i="2"/>
  <c r="D14714" i="2"/>
  <c r="C14714" i="2"/>
  <c r="B14714" i="2"/>
  <c r="A14714" i="2"/>
  <c r="D14713" i="2"/>
  <c r="C14713" i="2"/>
  <c r="B14713" i="2"/>
  <c r="A14713" i="2"/>
  <c r="D14712" i="2"/>
  <c r="C14712" i="2"/>
  <c r="B14712" i="2"/>
  <c r="A14712" i="2"/>
  <c r="D14711" i="2"/>
  <c r="C14711" i="2"/>
  <c r="B14711" i="2"/>
  <c r="A14711" i="2"/>
  <c r="D14710" i="2"/>
  <c r="C14710" i="2"/>
  <c r="B14710" i="2"/>
  <c r="A14710" i="2"/>
  <c r="D14709" i="2"/>
  <c r="C14709" i="2"/>
  <c r="B14709" i="2"/>
  <c r="A14709" i="2"/>
  <c r="D14708" i="2"/>
  <c r="C14708" i="2"/>
  <c r="B14708" i="2"/>
  <c r="A14708" i="2"/>
  <c r="D14707" i="2"/>
  <c r="C14707" i="2"/>
  <c r="B14707" i="2"/>
  <c r="A14707" i="2"/>
  <c r="D14706" i="2"/>
  <c r="C14706" i="2"/>
  <c r="B14706" i="2"/>
  <c r="A14706" i="2"/>
  <c r="D14705" i="2"/>
  <c r="C14705" i="2"/>
  <c r="B14705" i="2"/>
  <c r="A14705" i="2"/>
  <c r="D14704" i="2"/>
  <c r="C14704" i="2"/>
  <c r="B14704" i="2"/>
  <c r="A14704" i="2"/>
  <c r="D14703" i="2"/>
  <c r="C14703" i="2"/>
  <c r="B14703" i="2"/>
  <c r="A14703" i="2"/>
  <c r="D14702" i="2"/>
  <c r="C14702" i="2"/>
  <c r="B14702" i="2"/>
  <c r="A14702" i="2"/>
  <c r="D14701" i="2"/>
  <c r="C14701" i="2"/>
  <c r="B14701" i="2"/>
  <c r="A14701" i="2"/>
  <c r="D14700" i="2"/>
  <c r="C14700" i="2"/>
  <c r="B14700" i="2"/>
  <c r="A14700" i="2"/>
  <c r="D14699" i="2"/>
  <c r="C14699" i="2"/>
  <c r="B14699" i="2"/>
  <c r="A14699" i="2"/>
  <c r="D14698" i="2"/>
  <c r="C14698" i="2"/>
  <c r="B14698" i="2"/>
  <c r="A14698" i="2"/>
  <c r="D14697" i="2"/>
  <c r="C14697" i="2"/>
  <c r="B14697" i="2"/>
  <c r="A14697" i="2"/>
  <c r="D14696" i="2"/>
  <c r="C14696" i="2"/>
  <c r="B14696" i="2"/>
  <c r="A14696" i="2"/>
  <c r="D14695" i="2"/>
  <c r="C14695" i="2"/>
  <c r="B14695" i="2"/>
  <c r="A14695" i="2"/>
  <c r="D14694" i="2"/>
  <c r="C14694" i="2"/>
  <c r="B14694" i="2"/>
  <c r="A14694" i="2"/>
  <c r="D14693" i="2"/>
  <c r="C14693" i="2"/>
  <c r="B14693" i="2"/>
  <c r="A14693" i="2"/>
  <c r="D14692" i="2"/>
  <c r="C14692" i="2"/>
  <c r="B14692" i="2"/>
  <c r="A14692" i="2"/>
  <c r="D14691" i="2"/>
  <c r="C14691" i="2"/>
  <c r="B14691" i="2"/>
  <c r="A14691" i="2"/>
  <c r="D14690" i="2"/>
  <c r="C14690" i="2"/>
  <c r="B14690" i="2"/>
  <c r="A14690" i="2"/>
  <c r="D14689" i="2"/>
  <c r="C14689" i="2"/>
  <c r="B14689" i="2"/>
  <c r="A14689" i="2"/>
  <c r="D14688" i="2"/>
  <c r="C14688" i="2"/>
  <c r="B14688" i="2"/>
  <c r="A14688" i="2"/>
  <c r="D14687" i="2"/>
  <c r="C14687" i="2"/>
  <c r="B14687" i="2"/>
  <c r="A14687" i="2"/>
  <c r="D14686" i="2"/>
  <c r="C14686" i="2"/>
  <c r="B14686" i="2"/>
  <c r="A14686" i="2"/>
  <c r="D14685" i="2"/>
  <c r="C14685" i="2"/>
  <c r="B14685" i="2"/>
  <c r="A14685" i="2"/>
  <c r="D14684" i="2"/>
  <c r="C14684" i="2"/>
  <c r="B14684" i="2"/>
  <c r="A14684" i="2"/>
  <c r="D14683" i="2"/>
  <c r="C14683" i="2"/>
  <c r="B14683" i="2"/>
  <c r="A14683" i="2"/>
  <c r="D14682" i="2"/>
  <c r="C14682" i="2"/>
  <c r="B14682" i="2"/>
  <c r="A14682" i="2"/>
  <c r="D14681" i="2"/>
  <c r="C14681" i="2"/>
  <c r="B14681" i="2"/>
  <c r="A14681" i="2"/>
  <c r="D14680" i="2"/>
  <c r="C14680" i="2"/>
  <c r="B14680" i="2"/>
  <c r="A14680" i="2"/>
  <c r="D14679" i="2"/>
  <c r="C14679" i="2"/>
  <c r="B14679" i="2"/>
  <c r="A14679" i="2"/>
  <c r="D14678" i="2"/>
  <c r="C14678" i="2"/>
  <c r="B14678" i="2"/>
  <c r="A14678" i="2"/>
  <c r="D14677" i="2"/>
  <c r="C14677" i="2"/>
  <c r="B14677" i="2"/>
  <c r="A14677" i="2"/>
  <c r="D14676" i="2"/>
  <c r="C14676" i="2"/>
  <c r="B14676" i="2"/>
  <c r="A14676" i="2"/>
  <c r="D14675" i="2"/>
  <c r="C14675" i="2"/>
  <c r="B14675" i="2"/>
  <c r="A14675" i="2"/>
  <c r="D14674" i="2"/>
  <c r="C14674" i="2"/>
  <c r="B14674" i="2"/>
  <c r="A14674" i="2"/>
  <c r="D14673" i="2"/>
  <c r="C14673" i="2"/>
  <c r="B14673" i="2"/>
  <c r="A14673" i="2"/>
  <c r="D14672" i="2"/>
  <c r="C14672" i="2"/>
  <c r="B14672" i="2"/>
  <c r="A14672" i="2"/>
  <c r="D14671" i="2"/>
  <c r="C14671" i="2"/>
  <c r="B14671" i="2"/>
  <c r="A14671" i="2"/>
  <c r="D14670" i="2"/>
  <c r="C14670" i="2"/>
  <c r="B14670" i="2"/>
  <c r="A14670" i="2"/>
  <c r="D14669" i="2"/>
  <c r="C14669" i="2"/>
  <c r="B14669" i="2"/>
  <c r="A14669" i="2"/>
  <c r="D14668" i="2"/>
  <c r="C14668" i="2"/>
  <c r="B14668" i="2"/>
  <c r="A14668" i="2"/>
  <c r="D14667" i="2"/>
  <c r="C14667" i="2"/>
  <c r="B14667" i="2"/>
  <c r="A14667" i="2"/>
  <c r="D14666" i="2"/>
  <c r="C14666" i="2"/>
  <c r="B14666" i="2"/>
  <c r="A14666" i="2"/>
  <c r="D14665" i="2"/>
  <c r="C14665" i="2"/>
  <c r="B14665" i="2"/>
  <c r="A14665" i="2"/>
  <c r="D14664" i="2"/>
  <c r="C14664" i="2"/>
  <c r="B14664" i="2"/>
  <c r="A14664" i="2"/>
  <c r="D14663" i="2"/>
  <c r="C14663" i="2"/>
  <c r="B14663" i="2"/>
  <c r="A14663" i="2"/>
  <c r="D14662" i="2"/>
  <c r="C14662" i="2"/>
  <c r="B14662" i="2"/>
  <c r="A14662" i="2"/>
  <c r="D14661" i="2"/>
  <c r="C14661" i="2"/>
  <c r="B14661" i="2"/>
  <c r="A14661" i="2"/>
  <c r="D14660" i="2"/>
  <c r="C14660" i="2"/>
  <c r="B14660" i="2"/>
  <c r="A14660" i="2"/>
  <c r="D14659" i="2"/>
  <c r="C14659" i="2"/>
  <c r="B14659" i="2"/>
  <c r="A14659" i="2"/>
  <c r="D14658" i="2"/>
  <c r="C14658" i="2"/>
  <c r="B14658" i="2"/>
  <c r="A14658" i="2"/>
  <c r="D14657" i="2"/>
  <c r="C14657" i="2"/>
  <c r="B14657" i="2"/>
  <c r="A14657" i="2"/>
  <c r="D14656" i="2"/>
  <c r="C14656" i="2"/>
  <c r="B14656" i="2"/>
  <c r="A14656" i="2"/>
  <c r="D14655" i="2"/>
  <c r="C14655" i="2"/>
  <c r="B14655" i="2"/>
  <c r="A14655" i="2"/>
  <c r="D14654" i="2"/>
  <c r="C14654" i="2"/>
  <c r="B14654" i="2"/>
  <c r="A14654" i="2"/>
  <c r="D14653" i="2"/>
  <c r="C14653" i="2"/>
  <c r="B14653" i="2"/>
  <c r="A14653" i="2"/>
  <c r="D14652" i="2"/>
  <c r="C14652" i="2"/>
  <c r="B14652" i="2"/>
  <c r="A14652" i="2"/>
  <c r="D14651" i="2"/>
  <c r="C14651" i="2"/>
  <c r="B14651" i="2"/>
  <c r="A14651" i="2"/>
  <c r="D14650" i="2"/>
  <c r="C14650" i="2"/>
  <c r="B14650" i="2"/>
  <c r="A14650" i="2"/>
  <c r="D14649" i="2"/>
  <c r="C14649" i="2"/>
  <c r="B14649" i="2"/>
  <c r="A14649" i="2"/>
  <c r="D14648" i="2"/>
  <c r="C14648" i="2"/>
  <c r="B14648" i="2"/>
  <c r="A14648" i="2"/>
  <c r="D14647" i="2"/>
  <c r="C14647" i="2"/>
  <c r="B14647" i="2"/>
  <c r="A14647" i="2"/>
  <c r="D14646" i="2"/>
  <c r="C14646" i="2"/>
  <c r="B14646" i="2"/>
  <c r="A14646" i="2"/>
  <c r="D14645" i="2"/>
  <c r="C14645" i="2"/>
  <c r="B14645" i="2"/>
  <c r="A14645" i="2"/>
  <c r="D14644" i="2"/>
  <c r="C14644" i="2"/>
  <c r="B14644" i="2"/>
  <c r="A14644" i="2"/>
  <c r="D14643" i="2"/>
  <c r="C14643" i="2"/>
  <c r="B14643" i="2"/>
  <c r="A14643" i="2"/>
  <c r="D14642" i="2"/>
  <c r="C14642" i="2"/>
  <c r="B14642" i="2"/>
  <c r="A14642" i="2"/>
  <c r="D14641" i="2"/>
  <c r="C14641" i="2"/>
  <c r="B14641" i="2"/>
  <c r="A14641" i="2"/>
  <c r="D14640" i="2"/>
  <c r="C14640" i="2"/>
  <c r="B14640" i="2"/>
  <c r="A14640" i="2"/>
  <c r="D14639" i="2"/>
  <c r="C14639" i="2"/>
  <c r="B14639" i="2"/>
  <c r="A14639" i="2"/>
  <c r="D14638" i="2"/>
  <c r="C14638" i="2"/>
  <c r="B14638" i="2"/>
  <c r="A14638" i="2"/>
  <c r="D14637" i="2"/>
  <c r="C14637" i="2"/>
  <c r="B14637" i="2"/>
  <c r="A14637" i="2"/>
  <c r="D14636" i="2"/>
  <c r="C14636" i="2"/>
  <c r="B14636" i="2"/>
  <c r="A14636" i="2"/>
  <c r="D14635" i="2"/>
  <c r="C14635" i="2"/>
  <c r="B14635" i="2"/>
  <c r="A14635" i="2"/>
  <c r="D14634" i="2"/>
  <c r="C14634" i="2"/>
  <c r="B14634" i="2"/>
  <c r="A14634" i="2"/>
  <c r="D14633" i="2"/>
  <c r="C14633" i="2"/>
  <c r="B14633" i="2"/>
  <c r="A14633" i="2"/>
  <c r="D14632" i="2"/>
  <c r="C14632" i="2"/>
  <c r="B14632" i="2"/>
  <c r="A14632" i="2"/>
  <c r="D14631" i="2"/>
  <c r="C14631" i="2"/>
  <c r="B14631" i="2"/>
  <c r="A14631" i="2"/>
  <c r="D14630" i="2"/>
  <c r="C14630" i="2"/>
  <c r="B14630" i="2"/>
  <c r="A14630" i="2"/>
  <c r="D14629" i="2"/>
  <c r="C14629" i="2"/>
  <c r="B14629" i="2"/>
  <c r="A14629" i="2"/>
  <c r="D14628" i="2"/>
  <c r="C14628" i="2"/>
  <c r="B14628" i="2"/>
  <c r="A14628" i="2"/>
  <c r="D14627" i="2"/>
  <c r="C14627" i="2"/>
  <c r="B14627" i="2"/>
  <c r="A14627" i="2"/>
  <c r="D14626" i="2"/>
  <c r="C14626" i="2"/>
  <c r="B14626" i="2"/>
  <c r="A14626" i="2"/>
  <c r="D14625" i="2"/>
  <c r="C14625" i="2"/>
  <c r="B14625" i="2"/>
  <c r="A14625" i="2"/>
  <c r="D14624" i="2"/>
  <c r="C14624" i="2"/>
  <c r="B14624" i="2"/>
  <c r="A14624" i="2"/>
  <c r="D14623" i="2"/>
  <c r="C14623" i="2"/>
  <c r="B14623" i="2"/>
  <c r="A14623" i="2"/>
  <c r="D14622" i="2"/>
  <c r="C14622" i="2"/>
  <c r="B14622" i="2"/>
  <c r="A14622" i="2"/>
  <c r="D14621" i="2"/>
  <c r="C14621" i="2"/>
  <c r="B14621" i="2"/>
  <c r="A14621" i="2"/>
  <c r="D14620" i="2"/>
  <c r="C14620" i="2"/>
  <c r="B14620" i="2"/>
  <c r="A14620" i="2"/>
  <c r="D14619" i="2"/>
  <c r="C14619" i="2"/>
  <c r="B14619" i="2"/>
  <c r="A14619" i="2"/>
  <c r="D14618" i="2"/>
  <c r="C14618" i="2"/>
  <c r="B14618" i="2"/>
  <c r="A14618" i="2"/>
  <c r="D14617" i="2"/>
  <c r="C14617" i="2"/>
  <c r="B14617" i="2"/>
  <c r="A14617" i="2"/>
  <c r="D14616" i="2"/>
  <c r="C14616" i="2"/>
  <c r="B14616" i="2"/>
  <c r="A14616" i="2"/>
  <c r="D14615" i="2"/>
  <c r="C14615" i="2"/>
  <c r="B14615" i="2"/>
  <c r="A14615" i="2"/>
  <c r="D14614" i="2"/>
  <c r="C14614" i="2"/>
  <c r="B14614" i="2"/>
  <c r="A14614" i="2"/>
  <c r="D14613" i="2"/>
  <c r="C14613" i="2"/>
  <c r="B14613" i="2"/>
  <c r="A14613" i="2"/>
  <c r="D14612" i="2"/>
  <c r="C14612" i="2"/>
  <c r="B14612" i="2"/>
  <c r="A14612" i="2"/>
  <c r="D14611" i="2"/>
  <c r="C14611" i="2"/>
  <c r="B14611" i="2"/>
  <c r="A14611" i="2"/>
  <c r="D14610" i="2"/>
  <c r="C14610" i="2"/>
  <c r="B14610" i="2"/>
  <c r="A14610" i="2"/>
  <c r="D14609" i="2"/>
  <c r="C14609" i="2"/>
  <c r="B14609" i="2"/>
  <c r="A14609" i="2"/>
  <c r="D14608" i="2"/>
  <c r="C14608" i="2"/>
  <c r="B14608" i="2"/>
  <c r="A14608" i="2"/>
  <c r="D14607" i="2"/>
  <c r="C14607" i="2"/>
  <c r="B14607" i="2"/>
  <c r="A14607" i="2"/>
  <c r="D14606" i="2"/>
  <c r="C14606" i="2"/>
  <c r="B14606" i="2"/>
  <c r="A14606" i="2"/>
  <c r="D14605" i="2"/>
  <c r="C14605" i="2"/>
  <c r="B14605" i="2"/>
  <c r="A14605" i="2"/>
  <c r="D14604" i="2"/>
  <c r="C14604" i="2"/>
  <c r="B14604" i="2"/>
  <c r="A14604" i="2"/>
  <c r="D14603" i="2"/>
  <c r="C14603" i="2"/>
  <c r="B14603" i="2"/>
  <c r="A14603" i="2"/>
  <c r="D14602" i="2"/>
  <c r="C14602" i="2"/>
  <c r="B14602" i="2"/>
  <c r="A14602" i="2"/>
  <c r="D14601" i="2"/>
  <c r="C14601" i="2"/>
  <c r="B14601" i="2"/>
  <c r="A14601" i="2"/>
  <c r="D14600" i="2"/>
  <c r="C14600" i="2"/>
  <c r="B14600" i="2"/>
  <c r="A14600" i="2"/>
  <c r="D14599" i="2"/>
  <c r="C14599" i="2"/>
  <c r="B14599" i="2"/>
  <c r="A14599" i="2"/>
  <c r="D14598" i="2"/>
  <c r="C14598" i="2"/>
  <c r="B14598" i="2"/>
  <c r="A14598" i="2"/>
  <c r="D14597" i="2"/>
  <c r="C14597" i="2"/>
  <c r="B14597" i="2"/>
  <c r="A14597" i="2"/>
  <c r="D14596" i="2"/>
  <c r="C14596" i="2"/>
  <c r="B14596" i="2"/>
  <c r="A14596" i="2"/>
  <c r="D14595" i="2"/>
  <c r="C14595" i="2"/>
  <c r="B14595" i="2"/>
  <c r="A14595" i="2"/>
  <c r="D14594" i="2"/>
  <c r="C14594" i="2"/>
  <c r="B14594" i="2"/>
  <c r="A14594" i="2"/>
  <c r="D14593" i="2"/>
  <c r="C14593" i="2"/>
  <c r="B14593" i="2"/>
  <c r="A14593" i="2"/>
  <c r="D14592" i="2"/>
  <c r="C14592" i="2"/>
  <c r="B14592" i="2"/>
  <c r="A14592" i="2"/>
  <c r="D14591" i="2"/>
  <c r="C14591" i="2"/>
  <c r="B14591" i="2"/>
  <c r="A14591" i="2"/>
  <c r="D14590" i="2"/>
  <c r="C14590" i="2"/>
  <c r="B14590" i="2"/>
  <c r="A14590" i="2"/>
  <c r="D14589" i="2"/>
  <c r="C14589" i="2"/>
  <c r="B14589" i="2"/>
  <c r="A14589" i="2"/>
  <c r="D14588" i="2"/>
  <c r="C14588" i="2"/>
  <c r="B14588" i="2"/>
  <c r="A14588" i="2"/>
  <c r="D14587" i="2"/>
  <c r="C14587" i="2"/>
  <c r="B14587" i="2"/>
  <c r="A14587" i="2"/>
  <c r="D14586" i="2"/>
  <c r="C14586" i="2"/>
  <c r="B14586" i="2"/>
  <c r="A14586" i="2"/>
  <c r="D14585" i="2"/>
  <c r="C14585" i="2"/>
  <c r="B14585" i="2"/>
  <c r="A14585" i="2"/>
  <c r="D14584" i="2"/>
  <c r="C14584" i="2"/>
  <c r="B14584" i="2"/>
  <c r="A14584" i="2"/>
  <c r="D14583" i="2"/>
  <c r="C14583" i="2"/>
  <c r="B14583" i="2"/>
  <c r="A14583" i="2"/>
  <c r="D14582" i="2"/>
  <c r="C14582" i="2"/>
  <c r="B14582" i="2"/>
  <c r="A14582" i="2"/>
  <c r="D14581" i="2"/>
  <c r="C14581" i="2"/>
  <c r="B14581" i="2"/>
  <c r="A14581" i="2"/>
  <c r="D14580" i="2"/>
  <c r="C14580" i="2"/>
  <c r="B14580" i="2"/>
  <c r="A14580" i="2"/>
  <c r="D14579" i="2"/>
  <c r="C14579" i="2"/>
  <c r="B14579" i="2"/>
  <c r="A14579" i="2"/>
  <c r="D14578" i="2"/>
  <c r="C14578" i="2"/>
  <c r="B14578" i="2"/>
  <c r="A14578" i="2"/>
  <c r="D14577" i="2"/>
  <c r="C14577" i="2"/>
  <c r="B14577" i="2"/>
  <c r="A14577" i="2"/>
  <c r="D14576" i="2"/>
  <c r="C14576" i="2"/>
  <c r="B14576" i="2"/>
  <c r="A14576" i="2"/>
  <c r="D14575" i="2"/>
  <c r="C14575" i="2"/>
  <c r="B14575" i="2"/>
  <c r="A14575" i="2"/>
  <c r="D14574" i="2"/>
  <c r="C14574" i="2"/>
  <c r="B14574" i="2"/>
  <c r="A14574" i="2"/>
  <c r="D14573" i="2"/>
  <c r="C14573" i="2"/>
  <c r="B14573" i="2"/>
  <c r="A14573" i="2"/>
  <c r="D14572" i="2"/>
  <c r="C14572" i="2"/>
  <c r="B14572" i="2"/>
  <c r="A14572" i="2"/>
  <c r="D14571" i="2"/>
  <c r="C14571" i="2"/>
  <c r="B14571" i="2"/>
  <c r="A14571" i="2"/>
  <c r="D14570" i="2"/>
  <c r="C14570" i="2"/>
  <c r="B14570" i="2"/>
  <c r="A14570" i="2"/>
  <c r="D14569" i="2"/>
  <c r="C14569" i="2"/>
  <c r="B14569" i="2"/>
  <c r="A14569" i="2"/>
  <c r="D14568" i="2"/>
  <c r="C14568" i="2"/>
  <c r="B14568" i="2"/>
  <c r="A14568" i="2"/>
  <c r="D14567" i="2"/>
  <c r="C14567" i="2"/>
  <c r="B14567" i="2"/>
  <c r="A14567" i="2"/>
  <c r="D14566" i="2"/>
  <c r="C14566" i="2"/>
  <c r="B14566" i="2"/>
  <c r="A14566" i="2"/>
  <c r="D14565" i="2"/>
  <c r="C14565" i="2"/>
  <c r="B14565" i="2"/>
  <c r="A14565" i="2"/>
  <c r="D14564" i="2"/>
  <c r="C14564" i="2"/>
  <c r="B14564" i="2"/>
  <c r="A14564" i="2"/>
  <c r="D14563" i="2"/>
  <c r="C14563" i="2"/>
  <c r="B14563" i="2"/>
  <c r="A14563" i="2"/>
  <c r="D14562" i="2"/>
  <c r="C14562" i="2"/>
  <c r="B14562" i="2"/>
  <c r="A14562" i="2"/>
  <c r="D14561" i="2"/>
  <c r="C14561" i="2"/>
  <c r="B14561" i="2"/>
  <c r="A14561" i="2"/>
  <c r="D14560" i="2"/>
  <c r="C14560" i="2"/>
  <c r="B14560" i="2"/>
  <c r="A14560" i="2"/>
  <c r="D14559" i="2"/>
  <c r="C14559" i="2"/>
  <c r="B14559" i="2"/>
  <c r="A14559" i="2"/>
  <c r="D14558" i="2"/>
  <c r="C14558" i="2"/>
  <c r="B14558" i="2"/>
  <c r="A14558" i="2"/>
  <c r="D14557" i="2"/>
  <c r="C14557" i="2"/>
  <c r="B14557" i="2"/>
  <c r="A14557" i="2"/>
  <c r="D14556" i="2"/>
  <c r="C14556" i="2"/>
  <c r="B14556" i="2"/>
  <c r="A14556" i="2"/>
  <c r="D14555" i="2"/>
  <c r="C14555" i="2"/>
  <c r="B14555" i="2"/>
  <c r="A14555" i="2"/>
  <c r="D14554" i="2"/>
  <c r="C14554" i="2"/>
  <c r="B14554" i="2"/>
  <c r="A14554" i="2"/>
  <c r="D14553" i="2"/>
  <c r="C14553" i="2"/>
  <c r="B14553" i="2"/>
  <c r="A14553" i="2"/>
  <c r="D14552" i="2"/>
  <c r="C14552" i="2"/>
  <c r="B14552" i="2"/>
  <c r="A14552" i="2"/>
  <c r="D14551" i="2"/>
  <c r="C14551" i="2"/>
  <c r="B14551" i="2"/>
  <c r="A14551" i="2"/>
  <c r="D14550" i="2"/>
  <c r="C14550" i="2"/>
  <c r="B14550" i="2"/>
  <c r="A14550" i="2"/>
  <c r="D14549" i="2"/>
  <c r="C14549" i="2"/>
  <c r="B14549" i="2"/>
  <c r="A14549" i="2"/>
  <c r="D14548" i="2"/>
  <c r="C14548" i="2"/>
  <c r="B14548" i="2"/>
  <c r="A14548" i="2"/>
  <c r="D14547" i="2"/>
  <c r="C14547" i="2"/>
  <c r="B14547" i="2"/>
  <c r="A14547" i="2"/>
  <c r="D14546" i="2"/>
  <c r="C14546" i="2"/>
  <c r="B14546" i="2"/>
  <c r="A14546" i="2"/>
  <c r="D14545" i="2"/>
  <c r="C14545" i="2"/>
  <c r="B14545" i="2"/>
  <c r="A14545" i="2"/>
  <c r="D14544" i="2"/>
  <c r="C14544" i="2"/>
  <c r="B14544" i="2"/>
  <c r="A14544" i="2"/>
  <c r="D14543" i="2"/>
  <c r="C14543" i="2"/>
  <c r="B14543" i="2"/>
  <c r="A14543" i="2"/>
  <c r="D14542" i="2"/>
  <c r="C14542" i="2"/>
  <c r="B14542" i="2"/>
  <c r="A14542" i="2"/>
  <c r="D14541" i="2"/>
  <c r="C14541" i="2"/>
  <c r="B14541" i="2"/>
  <c r="A14541" i="2"/>
  <c r="D14540" i="2"/>
  <c r="C14540" i="2"/>
  <c r="B14540" i="2"/>
  <c r="A14540" i="2"/>
  <c r="D14539" i="2"/>
  <c r="C14539" i="2"/>
  <c r="B14539" i="2"/>
  <c r="A14539" i="2"/>
  <c r="D14538" i="2"/>
  <c r="C14538" i="2"/>
  <c r="B14538" i="2"/>
  <c r="A14538" i="2"/>
  <c r="D14537" i="2"/>
  <c r="C14537" i="2"/>
  <c r="B14537" i="2"/>
  <c r="A14537" i="2"/>
  <c r="D14536" i="2"/>
  <c r="C14536" i="2"/>
  <c r="B14536" i="2"/>
  <c r="A14536" i="2"/>
  <c r="D14535" i="2"/>
  <c r="C14535" i="2"/>
  <c r="B14535" i="2"/>
  <c r="A14535" i="2"/>
  <c r="D14534" i="2"/>
  <c r="C14534" i="2"/>
  <c r="B14534" i="2"/>
  <c r="A14534" i="2"/>
  <c r="D14533" i="2"/>
  <c r="C14533" i="2"/>
  <c r="B14533" i="2"/>
  <c r="A14533" i="2"/>
  <c r="D14532" i="2"/>
  <c r="C14532" i="2"/>
  <c r="B14532" i="2"/>
  <c r="A14532" i="2"/>
  <c r="D14531" i="2"/>
  <c r="C14531" i="2"/>
  <c r="B14531" i="2"/>
  <c r="A14531" i="2"/>
  <c r="D14530" i="2"/>
  <c r="C14530" i="2"/>
  <c r="B14530" i="2"/>
  <c r="A14530" i="2"/>
  <c r="D14529" i="2"/>
  <c r="C14529" i="2"/>
  <c r="B14529" i="2"/>
  <c r="A14529" i="2"/>
  <c r="D14528" i="2"/>
  <c r="C14528" i="2"/>
  <c r="B14528" i="2"/>
  <c r="A14528" i="2"/>
  <c r="D14527" i="2"/>
  <c r="C14527" i="2"/>
  <c r="B14527" i="2"/>
  <c r="A14527" i="2"/>
  <c r="D14526" i="2"/>
  <c r="C14526" i="2"/>
  <c r="B14526" i="2"/>
  <c r="A14526" i="2"/>
  <c r="D14525" i="2"/>
  <c r="C14525" i="2"/>
  <c r="B14525" i="2"/>
  <c r="A14525" i="2"/>
  <c r="D14524" i="2"/>
  <c r="C14524" i="2"/>
  <c r="B14524" i="2"/>
  <c r="A14524" i="2"/>
  <c r="D14523" i="2"/>
  <c r="C14523" i="2"/>
  <c r="B14523" i="2"/>
  <c r="A14523" i="2"/>
  <c r="D14522" i="2"/>
  <c r="C14522" i="2"/>
  <c r="B14522" i="2"/>
  <c r="A14522" i="2"/>
  <c r="D14521" i="2"/>
  <c r="C14521" i="2"/>
  <c r="B14521" i="2"/>
  <c r="A14521" i="2"/>
  <c r="D14520" i="2"/>
  <c r="C14520" i="2"/>
  <c r="B14520" i="2"/>
  <c r="A14520" i="2"/>
  <c r="D14519" i="2"/>
  <c r="C14519" i="2"/>
  <c r="B14519" i="2"/>
  <c r="A14519" i="2"/>
  <c r="D14518" i="2"/>
  <c r="C14518" i="2"/>
  <c r="B14518" i="2"/>
  <c r="A14518" i="2"/>
  <c r="D14517" i="2"/>
  <c r="C14517" i="2"/>
  <c r="B14517" i="2"/>
  <c r="A14517" i="2"/>
  <c r="D14516" i="2"/>
  <c r="C14516" i="2"/>
  <c r="B14516" i="2"/>
  <c r="A14516" i="2"/>
  <c r="D14515" i="2"/>
  <c r="C14515" i="2"/>
  <c r="B14515" i="2"/>
  <c r="A14515" i="2"/>
  <c r="D14514" i="2"/>
  <c r="C14514" i="2"/>
  <c r="B14514" i="2"/>
  <c r="A14514" i="2"/>
  <c r="D14513" i="2"/>
  <c r="C14513" i="2"/>
  <c r="B14513" i="2"/>
  <c r="A14513" i="2"/>
  <c r="D14512" i="2"/>
  <c r="C14512" i="2"/>
  <c r="B14512" i="2"/>
  <c r="A14512" i="2"/>
  <c r="D14511" i="2"/>
  <c r="C14511" i="2"/>
  <c r="B14511" i="2"/>
  <c r="A14511" i="2"/>
  <c r="D14510" i="2"/>
  <c r="C14510" i="2"/>
  <c r="B14510" i="2"/>
  <c r="A14510" i="2"/>
  <c r="D14509" i="2"/>
  <c r="C14509" i="2"/>
  <c r="B14509" i="2"/>
  <c r="A14509" i="2"/>
  <c r="D14508" i="2"/>
  <c r="C14508" i="2"/>
  <c r="B14508" i="2"/>
  <c r="A14508" i="2"/>
  <c r="D14507" i="2"/>
  <c r="C14507" i="2"/>
  <c r="B14507" i="2"/>
  <c r="A14507" i="2"/>
  <c r="D14506" i="2"/>
  <c r="C14506" i="2"/>
  <c r="B14506" i="2"/>
  <c r="A14506" i="2"/>
  <c r="D14505" i="2"/>
  <c r="C14505" i="2"/>
  <c r="B14505" i="2"/>
  <c r="A14505" i="2"/>
  <c r="D14504" i="2"/>
  <c r="C14504" i="2"/>
  <c r="B14504" i="2"/>
  <c r="A14504" i="2"/>
  <c r="D14503" i="2"/>
  <c r="C14503" i="2"/>
  <c r="B14503" i="2"/>
  <c r="A14503" i="2"/>
  <c r="D14502" i="2"/>
  <c r="C14502" i="2"/>
  <c r="B14502" i="2"/>
  <c r="A14502" i="2"/>
  <c r="D14501" i="2"/>
  <c r="C14501" i="2"/>
  <c r="B14501" i="2"/>
  <c r="A14501" i="2"/>
  <c r="D14500" i="2"/>
  <c r="C14500" i="2"/>
  <c r="B14500" i="2"/>
  <c r="A14500" i="2"/>
  <c r="D14499" i="2"/>
  <c r="C14499" i="2"/>
  <c r="B14499" i="2"/>
  <c r="A14499" i="2"/>
  <c r="D14498" i="2"/>
  <c r="C14498" i="2"/>
  <c r="B14498" i="2"/>
  <c r="A14498" i="2"/>
  <c r="D14497" i="2"/>
  <c r="C14497" i="2"/>
  <c r="B14497" i="2"/>
  <c r="A14497" i="2"/>
  <c r="D14496" i="2"/>
  <c r="C14496" i="2"/>
  <c r="B14496" i="2"/>
  <c r="A14496" i="2"/>
  <c r="D14495" i="2"/>
  <c r="C14495" i="2"/>
  <c r="B14495" i="2"/>
  <c r="A14495" i="2"/>
  <c r="D14494" i="2"/>
  <c r="C14494" i="2"/>
  <c r="B14494" i="2"/>
  <c r="A14494" i="2"/>
  <c r="D14493" i="2"/>
  <c r="C14493" i="2"/>
  <c r="B14493" i="2"/>
  <c r="A14493" i="2"/>
  <c r="D14492" i="2"/>
  <c r="C14492" i="2"/>
  <c r="B14492" i="2"/>
  <c r="A14492" i="2"/>
  <c r="D14491" i="2"/>
  <c r="C14491" i="2"/>
  <c r="B14491" i="2"/>
  <c r="A14491" i="2"/>
  <c r="D14490" i="2"/>
  <c r="C14490" i="2"/>
  <c r="B14490" i="2"/>
  <c r="A14490" i="2"/>
  <c r="D14489" i="2"/>
  <c r="C14489" i="2"/>
  <c r="B14489" i="2"/>
  <c r="A14489" i="2"/>
  <c r="D14488" i="2"/>
  <c r="C14488" i="2"/>
  <c r="B14488" i="2"/>
  <c r="A14488" i="2"/>
  <c r="D14487" i="2"/>
  <c r="C14487" i="2"/>
  <c r="B14487" i="2"/>
  <c r="A14487" i="2"/>
  <c r="D14486" i="2"/>
  <c r="C14486" i="2"/>
  <c r="B14486" i="2"/>
  <c r="A14486" i="2"/>
  <c r="D14485" i="2"/>
  <c r="C14485" i="2"/>
  <c r="B14485" i="2"/>
  <c r="A14485" i="2"/>
  <c r="D14484" i="2"/>
  <c r="C14484" i="2"/>
  <c r="B14484" i="2"/>
  <c r="A14484" i="2"/>
  <c r="D14483" i="2"/>
  <c r="C14483" i="2"/>
  <c r="B14483" i="2"/>
  <c r="A14483" i="2"/>
  <c r="D14482" i="2"/>
  <c r="C14482" i="2"/>
  <c r="B14482" i="2"/>
  <c r="A14482" i="2"/>
  <c r="D14481" i="2"/>
  <c r="C14481" i="2"/>
  <c r="B14481" i="2"/>
  <c r="A14481" i="2"/>
  <c r="D14480" i="2"/>
  <c r="C14480" i="2"/>
  <c r="B14480" i="2"/>
  <c r="A14480" i="2"/>
  <c r="D14479" i="2"/>
  <c r="C14479" i="2"/>
  <c r="B14479" i="2"/>
  <c r="A14479" i="2"/>
  <c r="D14478" i="2"/>
  <c r="B14478" i="2"/>
  <c r="A14478" i="2"/>
  <c r="D14477" i="2"/>
  <c r="C14477" i="2"/>
  <c r="B14477" i="2"/>
  <c r="A14477" i="2"/>
  <c r="D14476" i="2"/>
  <c r="C14476" i="2"/>
  <c r="B14476" i="2"/>
  <c r="A14476" i="2"/>
  <c r="D14475" i="2"/>
  <c r="C14475" i="2"/>
  <c r="B14475" i="2"/>
  <c r="A14475" i="2"/>
  <c r="D14474" i="2"/>
  <c r="C14474" i="2"/>
  <c r="B14474" i="2"/>
  <c r="A14474" i="2"/>
  <c r="D14473" i="2"/>
  <c r="C14473" i="2"/>
  <c r="B14473" i="2"/>
  <c r="A14473" i="2"/>
  <c r="D14472" i="2"/>
  <c r="C14472" i="2"/>
  <c r="B14472" i="2"/>
  <c r="A14472" i="2"/>
  <c r="D14471" i="2"/>
  <c r="C14471" i="2"/>
  <c r="B14471" i="2"/>
  <c r="A14471" i="2"/>
  <c r="D14470" i="2"/>
  <c r="C14470" i="2"/>
  <c r="B14470" i="2"/>
  <c r="A14470" i="2"/>
  <c r="D14469" i="2"/>
  <c r="C14469" i="2"/>
  <c r="B14469" i="2"/>
  <c r="A14469" i="2"/>
  <c r="D14468" i="2"/>
  <c r="C14468" i="2"/>
  <c r="B14468" i="2"/>
  <c r="A14468" i="2"/>
  <c r="D14467" i="2"/>
  <c r="C14467" i="2"/>
  <c r="B14467" i="2"/>
  <c r="A14467" i="2"/>
  <c r="D14466" i="2"/>
  <c r="C14466" i="2"/>
  <c r="B14466" i="2"/>
  <c r="A14466" i="2"/>
  <c r="D14465" i="2"/>
  <c r="C14465" i="2"/>
  <c r="B14465" i="2"/>
  <c r="A14465" i="2"/>
  <c r="D14464" i="2"/>
  <c r="C14464" i="2"/>
  <c r="B14464" i="2"/>
  <c r="A14464" i="2"/>
  <c r="D14463" i="2"/>
  <c r="C14463" i="2"/>
  <c r="B14463" i="2"/>
  <c r="A14463" i="2"/>
  <c r="D14462" i="2"/>
  <c r="C14462" i="2"/>
  <c r="B14462" i="2"/>
  <c r="A14462" i="2"/>
  <c r="D14461" i="2"/>
  <c r="C14461" i="2"/>
  <c r="B14461" i="2"/>
  <c r="A14461" i="2"/>
  <c r="D14460" i="2"/>
  <c r="C14460" i="2"/>
  <c r="B14460" i="2"/>
  <c r="A14460" i="2"/>
  <c r="D14459" i="2"/>
  <c r="C14459" i="2"/>
  <c r="B14459" i="2"/>
  <c r="A14459" i="2"/>
  <c r="D14458" i="2"/>
  <c r="C14458" i="2"/>
  <c r="B14458" i="2"/>
  <c r="A14458" i="2"/>
  <c r="D14457" i="2"/>
  <c r="C14457" i="2"/>
  <c r="B14457" i="2"/>
  <c r="A14457" i="2"/>
  <c r="D14456" i="2"/>
  <c r="C14456" i="2"/>
  <c r="B14456" i="2"/>
  <c r="A14456" i="2"/>
  <c r="D14455" i="2"/>
  <c r="C14455" i="2"/>
  <c r="B14455" i="2"/>
  <c r="A14455" i="2"/>
  <c r="D14454" i="2"/>
  <c r="C14454" i="2"/>
  <c r="B14454" i="2"/>
  <c r="A14454" i="2"/>
  <c r="D14453" i="2"/>
  <c r="C14453" i="2"/>
  <c r="B14453" i="2"/>
  <c r="A14453" i="2"/>
  <c r="D14452" i="2"/>
  <c r="C14452" i="2"/>
  <c r="B14452" i="2"/>
  <c r="A14452" i="2"/>
  <c r="D14451" i="2"/>
  <c r="C14451" i="2"/>
  <c r="B14451" i="2"/>
  <c r="A14451" i="2"/>
  <c r="D14450" i="2"/>
  <c r="C14450" i="2"/>
  <c r="B14450" i="2"/>
  <c r="A14450" i="2"/>
  <c r="D14449" i="2"/>
  <c r="C14449" i="2"/>
  <c r="B14449" i="2"/>
  <c r="A14449" i="2"/>
  <c r="D14448" i="2"/>
  <c r="C14448" i="2"/>
  <c r="B14448" i="2"/>
  <c r="A14448" i="2"/>
  <c r="D14447" i="2"/>
  <c r="C14447" i="2"/>
  <c r="B14447" i="2"/>
  <c r="A14447" i="2"/>
  <c r="D14446" i="2"/>
  <c r="C14446" i="2"/>
  <c r="B14446" i="2"/>
  <c r="A14446" i="2"/>
  <c r="D14445" i="2"/>
  <c r="C14445" i="2"/>
  <c r="B14445" i="2"/>
  <c r="A14445" i="2"/>
  <c r="D14444" i="2"/>
  <c r="C14444" i="2"/>
  <c r="B14444" i="2"/>
  <c r="A14444" i="2"/>
  <c r="D14443" i="2"/>
  <c r="C14443" i="2"/>
  <c r="B14443" i="2"/>
  <c r="A14443" i="2"/>
  <c r="D14442" i="2"/>
  <c r="C14442" i="2"/>
  <c r="B14442" i="2"/>
  <c r="A14442" i="2"/>
  <c r="D14441" i="2"/>
  <c r="C14441" i="2"/>
  <c r="B14441" i="2"/>
  <c r="A14441" i="2"/>
  <c r="D14440" i="2"/>
  <c r="C14440" i="2"/>
  <c r="B14440" i="2"/>
  <c r="A14440" i="2"/>
  <c r="D14439" i="2"/>
  <c r="C14439" i="2"/>
  <c r="B14439" i="2"/>
  <c r="A14439" i="2"/>
  <c r="D14438" i="2"/>
  <c r="C14438" i="2"/>
  <c r="B14438" i="2"/>
  <c r="A14438" i="2"/>
  <c r="D14437" i="2"/>
  <c r="C14437" i="2"/>
  <c r="B14437" i="2"/>
  <c r="A14437" i="2"/>
  <c r="D14436" i="2"/>
  <c r="C14436" i="2"/>
  <c r="B14436" i="2"/>
  <c r="A14436" i="2"/>
  <c r="D14435" i="2"/>
  <c r="C14435" i="2"/>
  <c r="B14435" i="2"/>
  <c r="A14435" i="2"/>
  <c r="D14434" i="2"/>
  <c r="C14434" i="2"/>
  <c r="B14434" i="2"/>
  <c r="A14434" i="2"/>
  <c r="D14433" i="2"/>
  <c r="C14433" i="2"/>
  <c r="B14433" i="2"/>
  <c r="A14433" i="2"/>
  <c r="D14432" i="2"/>
  <c r="C14432" i="2"/>
  <c r="B14432" i="2"/>
  <c r="A14432" i="2"/>
  <c r="D14431" i="2"/>
  <c r="C14431" i="2"/>
  <c r="B14431" i="2"/>
  <c r="A14431" i="2"/>
  <c r="D14430" i="2"/>
  <c r="C14430" i="2"/>
  <c r="B14430" i="2"/>
  <c r="A14430" i="2"/>
  <c r="D14429" i="2"/>
  <c r="C14429" i="2"/>
  <c r="B14429" i="2"/>
  <c r="A14429" i="2"/>
  <c r="D14428" i="2"/>
  <c r="C14428" i="2"/>
  <c r="B14428" i="2"/>
  <c r="A14428" i="2"/>
  <c r="D14427" i="2"/>
  <c r="C14427" i="2"/>
  <c r="B14427" i="2"/>
  <c r="A14427" i="2"/>
  <c r="D14426" i="2"/>
  <c r="C14426" i="2"/>
  <c r="B14426" i="2"/>
  <c r="A14426" i="2"/>
  <c r="D14425" i="2"/>
  <c r="C14425" i="2"/>
  <c r="B14425" i="2"/>
  <c r="A14425" i="2"/>
  <c r="D14424" i="2"/>
  <c r="C14424" i="2"/>
  <c r="B14424" i="2"/>
  <c r="A14424" i="2"/>
  <c r="D14423" i="2"/>
  <c r="C14423" i="2"/>
  <c r="B14423" i="2"/>
  <c r="A14423" i="2"/>
  <c r="D14422" i="2"/>
  <c r="C14422" i="2"/>
  <c r="B14422" i="2"/>
  <c r="A14422" i="2"/>
  <c r="D14421" i="2"/>
  <c r="C14421" i="2"/>
  <c r="B14421" i="2"/>
  <c r="A14421" i="2"/>
  <c r="D14420" i="2"/>
  <c r="C14420" i="2"/>
  <c r="B14420" i="2"/>
  <c r="A14420" i="2"/>
  <c r="D14419" i="2"/>
  <c r="C14419" i="2"/>
  <c r="B14419" i="2"/>
  <c r="A14419" i="2"/>
  <c r="D14418" i="2"/>
  <c r="C14418" i="2"/>
  <c r="B14418" i="2"/>
  <c r="A14418" i="2"/>
  <c r="D14417" i="2"/>
  <c r="C14417" i="2"/>
  <c r="B14417" i="2"/>
  <c r="A14417" i="2"/>
  <c r="D14416" i="2"/>
  <c r="C14416" i="2"/>
  <c r="B14416" i="2"/>
  <c r="A14416" i="2"/>
  <c r="D14415" i="2"/>
  <c r="C14415" i="2"/>
  <c r="B14415" i="2"/>
  <c r="A14415" i="2"/>
  <c r="D14414" i="2"/>
  <c r="C14414" i="2"/>
  <c r="B14414" i="2"/>
  <c r="A14414" i="2"/>
  <c r="D14413" i="2"/>
  <c r="C14413" i="2"/>
  <c r="B14413" i="2"/>
  <c r="A14413" i="2"/>
  <c r="D14412" i="2"/>
  <c r="C14412" i="2"/>
  <c r="B14412" i="2"/>
  <c r="A14412" i="2"/>
  <c r="D14411" i="2"/>
  <c r="C14411" i="2"/>
  <c r="B14411" i="2"/>
  <c r="A14411" i="2"/>
  <c r="D14410" i="2"/>
  <c r="C14410" i="2"/>
  <c r="B14410" i="2"/>
  <c r="A14410" i="2"/>
  <c r="D14409" i="2"/>
  <c r="C14409" i="2"/>
  <c r="B14409" i="2"/>
  <c r="A14409" i="2"/>
  <c r="D14408" i="2"/>
  <c r="C14408" i="2"/>
  <c r="B14408" i="2"/>
  <c r="A14408" i="2"/>
  <c r="D14407" i="2"/>
  <c r="C14407" i="2"/>
  <c r="B14407" i="2"/>
  <c r="A14407" i="2"/>
  <c r="D14406" i="2"/>
  <c r="C14406" i="2"/>
  <c r="B14406" i="2"/>
  <c r="A14406" i="2"/>
  <c r="D14405" i="2"/>
  <c r="C14405" i="2"/>
  <c r="B14405" i="2"/>
  <c r="A14405" i="2"/>
  <c r="D14404" i="2"/>
  <c r="C14404" i="2"/>
  <c r="B14404" i="2"/>
  <c r="A14404" i="2"/>
  <c r="D14403" i="2"/>
  <c r="C14403" i="2"/>
  <c r="B14403" i="2"/>
  <c r="A14403" i="2"/>
  <c r="D14402" i="2"/>
  <c r="C14402" i="2"/>
  <c r="B14402" i="2"/>
  <c r="A14402" i="2"/>
  <c r="D14401" i="2"/>
  <c r="C14401" i="2"/>
  <c r="B14401" i="2"/>
  <c r="A14401" i="2"/>
  <c r="D14400" i="2"/>
  <c r="C14400" i="2"/>
  <c r="B14400" i="2"/>
  <c r="A14400" i="2"/>
  <c r="D14399" i="2"/>
  <c r="C14399" i="2"/>
  <c r="B14399" i="2"/>
  <c r="A14399" i="2"/>
  <c r="D14398" i="2"/>
  <c r="C14398" i="2"/>
  <c r="B14398" i="2"/>
  <c r="A14398" i="2"/>
  <c r="D14397" i="2"/>
  <c r="C14397" i="2"/>
  <c r="B14397" i="2"/>
  <c r="A14397" i="2"/>
  <c r="D14396" i="2"/>
  <c r="C14396" i="2"/>
  <c r="B14396" i="2"/>
  <c r="A14396" i="2"/>
  <c r="D14395" i="2"/>
  <c r="C14395" i="2"/>
  <c r="B14395" i="2"/>
  <c r="A14395" i="2"/>
  <c r="D14394" i="2"/>
  <c r="C14394" i="2"/>
  <c r="B14394" i="2"/>
  <c r="A14394" i="2"/>
  <c r="D14393" i="2"/>
  <c r="C14393" i="2"/>
  <c r="B14393" i="2"/>
  <c r="A14393" i="2"/>
  <c r="D14392" i="2"/>
  <c r="C14392" i="2"/>
  <c r="B14392" i="2"/>
  <c r="A14392" i="2"/>
  <c r="D14391" i="2"/>
  <c r="C14391" i="2"/>
  <c r="B14391" i="2"/>
  <c r="A14391" i="2"/>
  <c r="D14390" i="2"/>
  <c r="C14390" i="2"/>
  <c r="B14390" i="2"/>
  <c r="A14390" i="2"/>
  <c r="D14389" i="2"/>
  <c r="C14389" i="2"/>
  <c r="B14389" i="2"/>
  <c r="A14389" i="2"/>
  <c r="D14388" i="2"/>
  <c r="C14388" i="2"/>
  <c r="B14388" i="2"/>
  <c r="A14388" i="2"/>
  <c r="D14387" i="2"/>
  <c r="C14387" i="2"/>
  <c r="B14387" i="2"/>
  <c r="A14387" i="2"/>
  <c r="D14386" i="2"/>
  <c r="C14386" i="2"/>
  <c r="B14386" i="2"/>
  <c r="A14386" i="2"/>
  <c r="D14385" i="2"/>
  <c r="C14385" i="2"/>
  <c r="B14385" i="2"/>
  <c r="A14385" i="2"/>
  <c r="D14384" i="2"/>
  <c r="C14384" i="2"/>
  <c r="B14384" i="2"/>
  <c r="A14384" i="2"/>
  <c r="D14383" i="2"/>
  <c r="C14383" i="2"/>
  <c r="B14383" i="2"/>
  <c r="A14383" i="2"/>
  <c r="D14382" i="2"/>
  <c r="C14382" i="2"/>
  <c r="B14382" i="2"/>
  <c r="A14382" i="2"/>
  <c r="D14381" i="2"/>
  <c r="C14381" i="2"/>
  <c r="B14381" i="2"/>
  <c r="A14381" i="2"/>
  <c r="D14380" i="2"/>
  <c r="C14380" i="2"/>
  <c r="B14380" i="2"/>
  <c r="A14380" i="2"/>
  <c r="D14379" i="2"/>
  <c r="C14379" i="2"/>
  <c r="B14379" i="2"/>
  <c r="A14379" i="2"/>
  <c r="D14378" i="2"/>
  <c r="C14378" i="2"/>
  <c r="B14378" i="2"/>
  <c r="A14378" i="2"/>
  <c r="D14377" i="2"/>
  <c r="C14377" i="2"/>
  <c r="B14377" i="2"/>
  <c r="A14377" i="2"/>
  <c r="D14376" i="2"/>
  <c r="C14376" i="2"/>
  <c r="B14376" i="2"/>
  <c r="A14376" i="2"/>
  <c r="D14375" i="2"/>
  <c r="C14375" i="2"/>
  <c r="B14375" i="2"/>
  <c r="A14375" i="2"/>
  <c r="D14374" i="2"/>
  <c r="C14374" i="2"/>
  <c r="B14374" i="2"/>
  <c r="A14374" i="2"/>
  <c r="D14373" i="2"/>
  <c r="C14373" i="2"/>
  <c r="B14373" i="2"/>
  <c r="A14373" i="2"/>
  <c r="D14372" i="2"/>
  <c r="C14372" i="2"/>
  <c r="B14372" i="2"/>
  <c r="A14372" i="2"/>
  <c r="D14371" i="2"/>
  <c r="C14371" i="2"/>
  <c r="B14371" i="2"/>
  <c r="A14371" i="2"/>
  <c r="D14370" i="2"/>
  <c r="C14370" i="2"/>
  <c r="B14370" i="2"/>
  <c r="A14370" i="2"/>
  <c r="D14369" i="2"/>
  <c r="C14369" i="2"/>
  <c r="B14369" i="2"/>
  <c r="A14369" i="2"/>
  <c r="D14368" i="2"/>
  <c r="C14368" i="2"/>
  <c r="B14368" i="2"/>
  <c r="A14368" i="2"/>
  <c r="D14367" i="2"/>
  <c r="C14367" i="2"/>
  <c r="B14367" i="2"/>
  <c r="A14367" i="2"/>
  <c r="D14366" i="2"/>
  <c r="C14366" i="2"/>
  <c r="B14366" i="2"/>
  <c r="A14366" i="2"/>
  <c r="D14365" i="2"/>
  <c r="C14365" i="2"/>
  <c r="B14365" i="2"/>
  <c r="A14365" i="2"/>
  <c r="D14364" i="2"/>
  <c r="C14364" i="2"/>
  <c r="B14364" i="2"/>
  <c r="A14364" i="2"/>
  <c r="D14363" i="2"/>
  <c r="C14363" i="2"/>
  <c r="B14363" i="2"/>
  <c r="A14363" i="2"/>
  <c r="D14362" i="2"/>
  <c r="C14362" i="2"/>
  <c r="B14362" i="2"/>
  <c r="A14362" i="2"/>
  <c r="D14361" i="2"/>
  <c r="C14361" i="2"/>
  <c r="B14361" i="2"/>
  <c r="A14361" i="2"/>
  <c r="D14360" i="2"/>
  <c r="C14360" i="2"/>
  <c r="B14360" i="2"/>
  <c r="A14360" i="2"/>
  <c r="D14359" i="2"/>
  <c r="C14359" i="2"/>
  <c r="B14359" i="2"/>
  <c r="A14359" i="2"/>
  <c r="D14358" i="2"/>
  <c r="C14358" i="2"/>
  <c r="B14358" i="2"/>
  <c r="A14358" i="2"/>
  <c r="D14357" i="2"/>
  <c r="C14357" i="2"/>
  <c r="B14357" i="2"/>
  <c r="A14357" i="2"/>
  <c r="D14356" i="2"/>
  <c r="C14356" i="2"/>
  <c r="B14356" i="2"/>
  <c r="A14356" i="2"/>
  <c r="D14355" i="2"/>
  <c r="C14355" i="2"/>
  <c r="B14355" i="2"/>
  <c r="A14355" i="2"/>
  <c r="D14354" i="2"/>
  <c r="C14354" i="2"/>
  <c r="B14354" i="2"/>
  <c r="A14354" i="2"/>
  <c r="D14353" i="2"/>
  <c r="C14353" i="2"/>
  <c r="B14353" i="2"/>
  <c r="A14353" i="2"/>
  <c r="D14352" i="2"/>
  <c r="C14352" i="2"/>
  <c r="B14352" i="2"/>
  <c r="A14352" i="2"/>
  <c r="D14351" i="2"/>
  <c r="C14351" i="2"/>
  <c r="B14351" i="2"/>
  <c r="A14351" i="2"/>
  <c r="D14350" i="2"/>
  <c r="C14350" i="2"/>
  <c r="B14350" i="2"/>
  <c r="A14350" i="2"/>
  <c r="D14349" i="2"/>
  <c r="C14349" i="2"/>
  <c r="B14349" i="2"/>
  <c r="A14349" i="2"/>
  <c r="D14348" i="2"/>
  <c r="C14348" i="2"/>
  <c r="B14348" i="2"/>
  <c r="A14348" i="2"/>
  <c r="D14347" i="2"/>
  <c r="C14347" i="2"/>
  <c r="B14347" i="2"/>
  <c r="A14347" i="2"/>
  <c r="D14346" i="2"/>
  <c r="C14346" i="2"/>
  <c r="B14346" i="2"/>
  <c r="A14346" i="2"/>
  <c r="D14345" i="2"/>
  <c r="C14345" i="2"/>
  <c r="B14345" i="2"/>
  <c r="A14345" i="2"/>
  <c r="D14344" i="2"/>
  <c r="C14344" i="2"/>
  <c r="B14344" i="2"/>
  <c r="A14344" i="2"/>
  <c r="D14343" i="2"/>
  <c r="C14343" i="2"/>
  <c r="B14343" i="2"/>
  <c r="A14343" i="2"/>
  <c r="D14342" i="2"/>
  <c r="C14342" i="2"/>
  <c r="B14342" i="2"/>
  <c r="A14342" i="2"/>
  <c r="D14341" i="2"/>
  <c r="C14341" i="2"/>
  <c r="B14341" i="2"/>
  <c r="A14341" i="2"/>
  <c r="D14340" i="2"/>
  <c r="C14340" i="2"/>
  <c r="B14340" i="2"/>
  <c r="A14340" i="2"/>
  <c r="D14339" i="2"/>
  <c r="C14339" i="2"/>
  <c r="B14339" i="2"/>
  <c r="A14339" i="2"/>
  <c r="D14338" i="2"/>
  <c r="C14338" i="2"/>
  <c r="B14338" i="2"/>
  <c r="A14338" i="2"/>
  <c r="D14337" i="2"/>
  <c r="C14337" i="2"/>
  <c r="B14337" i="2"/>
  <c r="A14337" i="2"/>
  <c r="D14336" i="2"/>
  <c r="C14336" i="2"/>
  <c r="B14336" i="2"/>
  <c r="A14336" i="2"/>
  <c r="D14335" i="2"/>
  <c r="C14335" i="2"/>
  <c r="B14335" i="2"/>
  <c r="A14335" i="2"/>
  <c r="D14334" i="2"/>
  <c r="C14334" i="2"/>
  <c r="B14334" i="2"/>
  <c r="A14334" i="2"/>
  <c r="D14333" i="2"/>
  <c r="C14333" i="2"/>
  <c r="B14333" i="2"/>
  <c r="A14333" i="2"/>
  <c r="D14332" i="2"/>
  <c r="C14332" i="2"/>
  <c r="B14332" i="2"/>
  <c r="A14332" i="2"/>
  <c r="D14331" i="2"/>
  <c r="C14331" i="2"/>
  <c r="B14331" i="2"/>
  <c r="A14331" i="2"/>
  <c r="D14330" i="2"/>
  <c r="C14330" i="2"/>
  <c r="B14330" i="2"/>
  <c r="A14330" i="2"/>
  <c r="D14329" i="2"/>
  <c r="C14329" i="2"/>
  <c r="B14329" i="2"/>
  <c r="A14329" i="2"/>
  <c r="D14328" i="2"/>
  <c r="C14328" i="2"/>
  <c r="B14328" i="2"/>
  <c r="A14328" i="2"/>
  <c r="D14327" i="2"/>
  <c r="C14327" i="2"/>
  <c r="B14327" i="2"/>
  <c r="A14327" i="2"/>
  <c r="D14326" i="2"/>
  <c r="C14326" i="2"/>
  <c r="B14326" i="2"/>
  <c r="A14326" i="2"/>
  <c r="D14325" i="2"/>
  <c r="C14325" i="2"/>
  <c r="B14325" i="2"/>
  <c r="A14325" i="2"/>
  <c r="D14324" i="2"/>
  <c r="C14324" i="2"/>
  <c r="B14324" i="2"/>
  <c r="A14324" i="2"/>
  <c r="D14323" i="2"/>
  <c r="C14323" i="2"/>
  <c r="B14323" i="2"/>
  <c r="A14323" i="2"/>
  <c r="D14322" i="2"/>
  <c r="C14322" i="2"/>
  <c r="B14322" i="2"/>
  <c r="A14322" i="2"/>
  <c r="D14321" i="2"/>
  <c r="C14321" i="2"/>
  <c r="B14321" i="2"/>
  <c r="A14321" i="2"/>
  <c r="D14320" i="2"/>
  <c r="C14320" i="2"/>
  <c r="B14320" i="2"/>
  <c r="A14320" i="2"/>
  <c r="D14319" i="2"/>
  <c r="C14319" i="2"/>
  <c r="B14319" i="2"/>
  <c r="A14319" i="2"/>
  <c r="D14318" i="2"/>
  <c r="C14318" i="2"/>
  <c r="B14318" i="2"/>
  <c r="A14318" i="2"/>
  <c r="D14317" i="2"/>
  <c r="C14317" i="2"/>
  <c r="B14317" i="2"/>
  <c r="A14317" i="2"/>
  <c r="D14316" i="2"/>
  <c r="C14316" i="2"/>
  <c r="B14316" i="2"/>
  <c r="A14316" i="2"/>
  <c r="D14315" i="2"/>
  <c r="C14315" i="2"/>
  <c r="B14315" i="2"/>
  <c r="A14315" i="2"/>
  <c r="D14314" i="2"/>
  <c r="C14314" i="2"/>
  <c r="B14314" i="2"/>
  <c r="A14314" i="2"/>
  <c r="D14313" i="2"/>
  <c r="C14313" i="2"/>
  <c r="B14313" i="2"/>
  <c r="A14313" i="2"/>
  <c r="D14312" i="2"/>
  <c r="C14312" i="2"/>
  <c r="B14312" i="2"/>
  <c r="A14312" i="2"/>
  <c r="D14311" i="2"/>
  <c r="C14311" i="2"/>
  <c r="B14311" i="2"/>
  <c r="A14311" i="2"/>
  <c r="D14310" i="2"/>
  <c r="C14310" i="2"/>
  <c r="B14310" i="2"/>
  <c r="A14310" i="2"/>
  <c r="D14309" i="2"/>
  <c r="C14309" i="2"/>
  <c r="B14309" i="2"/>
  <c r="A14309" i="2"/>
  <c r="D14308" i="2"/>
  <c r="C14308" i="2"/>
  <c r="B14308" i="2"/>
  <c r="A14308" i="2"/>
  <c r="D14307" i="2"/>
  <c r="C14307" i="2"/>
  <c r="B14307" i="2"/>
  <c r="A14307" i="2"/>
  <c r="D14306" i="2"/>
  <c r="C14306" i="2"/>
  <c r="B14306" i="2"/>
  <c r="A14306" i="2"/>
  <c r="D14305" i="2"/>
  <c r="C14305" i="2"/>
  <c r="B14305" i="2"/>
  <c r="A14305" i="2"/>
  <c r="D14304" i="2"/>
  <c r="C14304" i="2"/>
  <c r="B14304" i="2"/>
  <c r="A14304" i="2"/>
  <c r="D14303" i="2"/>
  <c r="C14303" i="2"/>
  <c r="B14303" i="2"/>
  <c r="A14303" i="2"/>
  <c r="D14302" i="2"/>
  <c r="C14302" i="2"/>
  <c r="B14302" i="2"/>
  <c r="A14302" i="2"/>
  <c r="D14301" i="2"/>
  <c r="C14301" i="2"/>
  <c r="B14301" i="2"/>
  <c r="A14301" i="2"/>
  <c r="D14300" i="2"/>
  <c r="C14300" i="2"/>
  <c r="B14300" i="2"/>
  <c r="A14300" i="2"/>
  <c r="D14299" i="2"/>
  <c r="C14299" i="2"/>
  <c r="B14299" i="2"/>
  <c r="A14299" i="2"/>
  <c r="D14298" i="2"/>
  <c r="C14298" i="2"/>
  <c r="B14298" i="2"/>
  <c r="A14298" i="2"/>
  <c r="D14297" i="2"/>
  <c r="C14297" i="2"/>
  <c r="B14297" i="2"/>
  <c r="A14297" i="2"/>
  <c r="D14296" i="2"/>
  <c r="C14296" i="2"/>
  <c r="B14296" i="2"/>
  <c r="A14296" i="2"/>
  <c r="D14295" i="2"/>
  <c r="C14295" i="2"/>
  <c r="B14295" i="2"/>
  <c r="A14295" i="2"/>
  <c r="D14294" i="2"/>
  <c r="C14294" i="2"/>
  <c r="B14294" i="2"/>
  <c r="A14294" i="2"/>
  <c r="D14293" i="2"/>
  <c r="C14293" i="2"/>
  <c r="B14293" i="2"/>
  <c r="A14293" i="2"/>
  <c r="D14292" i="2"/>
  <c r="C14292" i="2"/>
  <c r="B14292" i="2"/>
  <c r="A14292" i="2"/>
  <c r="D14291" i="2"/>
  <c r="C14291" i="2"/>
  <c r="B14291" i="2"/>
  <c r="A14291" i="2"/>
  <c r="D14290" i="2"/>
  <c r="C14290" i="2"/>
  <c r="B14290" i="2"/>
  <c r="A14290" i="2"/>
  <c r="D14289" i="2"/>
  <c r="C14289" i="2"/>
  <c r="B14289" i="2"/>
  <c r="A14289" i="2"/>
  <c r="D14288" i="2"/>
  <c r="C14288" i="2"/>
  <c r="B14288" i="2"/>
  <c r="A14288" i="2"/>
  <c r="D14287" i="2"/>
  <c r="C14287" i="2"/>
  <c r="B14287" i="2"/>
  <c r="A14287" i="2"/>
  <c r="D14286" i="2"/>
  <c r="C14286" i="2"/>
  <c r="B14286" i="2"/>
  <c r="A14286" i="2"/>
  <c r="D14285" i="2"/>
  <c r="C14285" i="2"/>
  <c r="B14285" i="2"/>
  <c r="A14285" i="2"/>
  <c r="D14284" i="2"/>
  <c r="C14284" i="2"/>
  <c r="B14284" i="2"/>
  <c r="A14284" i="2"/>
  <c r="D14283" i="2"/>
  <c r="C14283" i="2"/>
  <c r="B14283" i="2"/>
  <c r="A14283" i="2"/>
  <c r="D14282" i="2"/>
  <c r="C14282" i="2"/>
  <c r="B14282" i="2"/>
  <c r="A14282" i="2"/>
  <c r="D14281" i="2"/>
  <c r="C14281" i="2"/>
  <c r="B14281" i="2"/>
  <c r="A14281" i="2"/>
  <c r="D14280" i="2"/>
  <c r="C14280" i="2"/>
  <c r="B14280" i="2"/>
  <c r="A14280" i="2"/>
  <c r="D14279" i="2"/>
  <c r="C14279" i="2"/>
  <c r="B14279" i="2"/>
  <c r="A14279" i="2"/>
  <c r="D14278" i="2"/>
  <c r="C14278" i="2"/>
  <c r="B14278" i="2"/>
  <c r="A14278" i="2"/>
  <c r="D14277" i="2"/>
  <c r="C14277" i="2"/>
  <c r="B14277" i="2"/>
  <c r="A14277" i="2"/>
  <c r="D14276" i="2"/>
  <c r="C14276" i="2"/>
  <c r="B14276" i="2"/>
  <c r="A14276" i="2"/>
  <c r="D14275" i="2"/>
  <c r="C14275" i="2"/>
  <c r="B14275" i="2"/>
  <c r="A14275" i="2"/>
  <c r="D14274" i="2"/>
  <c r="C14274" i="2"/>
  <c r="B14274" i="2"/>
  <c r="A14274" i="2"/>
  <c r="D14273" i="2"/>
  <c r="C14273" i="2"/>
  <c r="B14273" i="2"/>
  <c r="A14273" i="2"/>
  <c r="D14272" i="2"/>
  <c r="C14272" i="2"/>
  <c r="B14272" i="2"/>
  <c r="A14272" i="2"/>
  <c r="D14271" i="2"/>
  <c r="C14271" i="2"/>
  <c r="B14271" i="2"/>
  <c r="A14271" i="2"/>
  <c r="D14270" i="2"/>
  <c r="C14270" i="2"/>
  <c r="B14270" i="2"/>
  <c r="A14270" i="2"/>
  <c r="D14269" i="2"/>
  <c r="C14269" i="2"/>
  <c r="B14269" i="2"/>
  <c r="A14269" i="2"/>
  <c r="D14268" i="2"/>
  <c r="C14268" i="2"/>
  <c r="B14268" i="2"/>
  <c r="A14268" i="2"/>
  <c r="D14267" i="2"/>
  <c r="C14267" i="2"/>
  <c r="B14267" i="2"/>
  <c r="A14267" i="2"/>
  <c r="D14266" i="2"/>
  <c r="C14266" i="2"/>
  <c r="B14266" i="2"/>
  <c r="A14266" i="2"/>
  <c r="D14265" i="2"/>
  <c r="C14265" i="2"/>
  <c r="B14265" i="2"/>
  <c r="A14265" i="2"/>
  <c r="D14264" i="2"/>
  <c r="C14264" i="2"/>
  <c r="B14264" i="2"/>
  <c r="A14264" i="2"/>
  <c r="D14263" i="2"/>
  <c r="C14263" i="2"/>
  <c r="B14263" i="2"/>
  <c r="A14263" i="2"/>
  <c r="D14262" i="2"/>
  <c r="C14262" i="2"/>
  <c r="B14262" i="2"/>
  <c r="A14262" i="2"/>
  <c r="D14261" i="2"/>
  <c r="C14261" i="2"/>
  <c r="B14261" i="2"/>
  <c r="A14261" i="2"/>
  <c r="D14260" i="2"/>
  <c r="C14260" i="2"/>
  <c r="B14260" i="2"/>
  <c r="A14260" i="2"/>
  <c r="D14259" i="2"/>
  <c r="C14259" i="2"/>
  <c r="B14259" i="2"/>
  <c r="A14259" i="2"/>
  <c r="D14258" i="2"/>
  <c r="C14258" i="2"/>
  <c r="B14258" i="2"/>
  <c r="A14258" i="2"/>
  <c r="D14257" i="2"/>
  <c r="C14257" i="2"/>
  <c r="B14257" i="2"/>
  <c r="A14257" i="2"/>
  <c r="D14256" i="2"/>
  <c r="C14256" i="2"/>
  <c r="B14256" i="2"/>
  <c r="A14256" i="2"/>
  <c r="D14255" i="2"/>
  <c r="C14255" i="2"/>
  <c r="B14255" i="2"/>
  <c r="A14255" i="2"/>
  <c r="D14254" i="2"/>
  <c r="C14254" i="2"/>
  <c r="B14254" i="2"/>
  <c r="A14254" i="2"/>
  <c r="D14253" i="2"/>
  <c r="C14253" i="2"/>
  <c r="B14253" i="2"/>
  <c r="A14253" i="2"/>
  <c r="D14252" i="2"/>
  <c r="C14252" i="2"/>
  <c r="B14252" i="2"/>
  <c r="A14252" i="2"/>
  <c r="D14251" i="2"/>
  <c r="C14251" i="2"/>
  <c r="B14251" i="2"/>
  <c r="A14251" i="2"/>
  <c r="D14250" i="2"/>
  <c r="C14250" i="2"/>
  <c r="B14250" i="2"/>
  <c r="A14250" i="2"/>
  <c r="D14249" i="2"/>
  <c r="C14249" i="2"/>
  <c r="B14249" i="2"/>
  <c r="A14249" i="2"/>
  <c r="D14248" i="2"/>
  <c r="C14248" i="2"/>
  <c r="B14248" i="2"/>
  <c r="A14248" i="2"/>
  <c r="D14247" i="2"/>
  <c r="C14247" i="2"/>
  <c r="B14247" i="2"/>
  <c r="A14247" i="2"/>
  <c r="D14246" i="2"/>
  <c r="C14246" i="2"/>
  <c r="B14246" i="2"/>
  <c r="A14246" i="2"/>
  <c r="D14245" i="2"/>
  <c r="C14245" i="2"/>
  <c r="B14245" i="2"/>
  <c r="A14245" i="2"/>
  <c r="D14244" i="2"/>
  <c r="C14244" i="2"/>
  <c r="B14244" i="2"/>
  <c r="A14244" i="2"/>
  <c r="D14243" i="2"/>
  <c r="C14243" i="2"/>
  <c r="B14243" i="2"/>
  <c r="A14243" i="2"/>
  <c r="D14242" i="2"/>
  <c r="C14242" i="2"/>
  <c r="B14242" i="2"/>
  <c r="A14242" i="2"/>
  <c r="D14241" i="2"/>
  <c r="C14241" i="2"/>
  <c r="B14241" i="2"/>
  <c r="A14241" i="2"/>
  <c r="D14240" i="2"/>
  <c r="C14240" i="2"/>
  <c r="B14240" i="2"/>
  <c r="A14240" i="2"/>
  <c r="D14239" i="2"/>
  <c r="C14239" i="2"/>
  <c r="B14239" i="2"/>
  <c r="A14239" i="2"/>
  <c r="D14238" i="2"/>
  <c r="C14238" i="2"/>
  <c r="B14238" i="2"/>
  <c r="A14238" i="2"/>
  <c r="D14237" i="2"/>
  <c r="C14237" i="2"/>
  <c r="B14237" i="2"/>
  <c r="A14237" i="2"/>
  <c r="D14236" i="2"/>
  <c r="C14236" i="2"/>
  <c r="B14236" i="2"/>
  <c r="A14236" i="2"/>
  <c r="D14235" i="2"/>
  <c r="C14235" i="2"/>
  <c r="B14235" i="2"/>
  <c r="A14235" i="2"/>
  <c r="D14234" i="2"/>
  <c r="C14234" i="2"/>
  <c r="B14234" i="2"/>
  <c r="A14234" i="2"/>
  <c r="D14233" i="2"/>
  <c r="C14233" i="2"/>
  <c r="B14233" i="2"/>
  <c r="A14233" i="2"/>
  <c r="D14232" i="2"/>
  <c r="C14232" i="2"/>
  <c r="B14232" i="2"/>
  <c r="A14232" i="2"/>
  <c r="D14231" i="2"/>
  <c r="C14231" i="2"/>
  <c r="B14231" i="2"/>
  <c r="A14231" i="2"/>
  <c r="D14230" i="2"/>
  <c r="C14230" i="2"/>
  <c r="B14230" i="2"/>
  <c r="A14230" i="2"/>
  <c r="D14229" i="2"/>
  <c r="C14229" i="2"/>
  <c r="B14229" i="2"/>
  <c r="A14229" i="2"/>
  <c r="D14228" i="2"/>
  <c r="C14228" i="2"/>
  <c r="B14228" i="2"/>
  <c r="A14228" i="2"/>
  <c r="D14227" i="2"/>
  <c r="C14227" i="2"/>
  <c r="B14227" i="2"/>
  <c r="A14227" i="2"/>
  <c r="D14226" i="2"/>
  <c r="C14226" i="2"/>
  <c r="B14226" i="2"/>
  <c r="A14226" i="2"/>
  <c r="D14225" i="2"/>
  <c r="C14225" i="2"/>
  <c r="B14225" i="2"/>
  <c r="A14225" i="2"/>
  <c r="D14224" i="2"/>
  <c r="C14224" i="2"/>
  <c r="B14224" i="2"/>
  <c r="A14224" i="2"/>
  <c r="D14223" i="2"/>
  <c r="C14223" i="2"/>
  <c r="B14223" i="2"/>
  <c r="A14223" i="2"/>
  <c r="D14222" i="2"/>
  <c r="C14222" i="2"/>
  <c r="B14222" i="2"/>
  <c r="A14222" i="2"/>
  <c r="D14221" i="2"/>
  <c r="C14221" i="2"/>
  <c r="B14221" i="2"/>
  <c r="A14221" i="2"/>
  <c r="D14220" i="2"/>
  <c r="C14220" i="2"/>
  <c r="B14220" i="2"/>
  <c r="A14220" i="2"/>
  <c r="D14219" i="2"/>
  <c r="C14219" i="2"/>
  <c r="B14219" i="2"/>
  <c r="A14219" i="2"/>
  <c r="D14218" i="2"/>
  <c r="C14218" i="2"/>
  <c r="B14218" i="2"/>
  <c r="A14218" i="2"/>
  <c r="D14217" i="2"/>
  <c r="C14217" i="2"/>
  <c r="B14217" i="2"/>
  <c r="A14217" i="2"/>
  <c r="D14216" i="2"/>
  <c r="C14216" i="2"/>
  <c r="B14216" i="2"/>
  <c r="A14216" i="2"/>
  <c r="D14215" i="2"/>
  <c r="C14215" i="2"/>
  <c r="B14215" i="2"/>
  <c r="A14215" i="2"/>
  <c r="D14214" i="2"/>
  <c r="C14214" i="2"/>
  <c r="B14214" i="2"/>
  <c r="A14214" i="2"/>
  <c r="D14213" i="2"/>
  <c r="C14213" i="2"/>
  <c r="B14213" i="2"/>
  <c r="A14213" i="2"/>
  <c r="D14212" i="2"/>
  <c r="C14212" i="2"/>
  <c r="B14212" i="2"/>
  <c r="A14212" i="2"/>
  <c r="D14211" i="2"/>
  <c r="C14211" i="2"/>
  <c r="B14211" i="2"/>
  <c r="A14211" i="2"/>
  <c r="D14210" i="2"/>
  <c r="C14210" i="2"/>
  <c r="B14210" i="2"/>
  <c r="A14210" i="2"/>
  <c r="D14209" i="2"/>
  <c r="C14209" i="2"/>
  <c r="B14209" i="2"/>
  <c r="A14209" i="2"/>
  <c r="D14208" i="2"/>
  <c r="C14208" i="2"/>
  <c r="B14208" i="2"/>
  <c r="A14208" i="2"/>
  <c r="D14207" i="2"/>
  <c r="C14207" i="2"/>
  <c r="B14207" i="2"/>
  <c r="A14207" i="2"/>
  <c r="D14206" i="2"/>
  <c r="C14206" i="2"/>
  <c r="B14206" i="2"/>
  <c r="A14206" i="2"/>
  <c r="D14205" i="2"/>
  <c r="C14205" i="2"/>
  <c r="B14205" i="2"/>
  <c r="A14205" i="2"/>
  <c r="D14204" i="2"/>
  <c r="C14204" i="2"/>
  <c r="B14204" i="2"/>
  <c r="A14204" i="2"/>
  <c r="D14203" i="2"/>
  <c r="C14203" i="2"/>
  <c r="B14203" i="2"/>
  <c r="A14203" i="2"/>
  <c r="D14202" i="2"/>
  <c r="C14202" i="2"/>
  <c r="B14202" i="2"/>
  <c r="A14202" i="2"/>
  <c r="D14201" i="2"/>
  <c r="C14201" i="2"/>
  <c r="B14201" i="2"/>
  <c r="A14201" i="2"/>
  <c r="D14200" i="2"/>
  <c r="C14200" i="2"/>
  <c r="B14200" i="2"/>
  <c r="A14200" i="2"/>
  <c r="D14199" i="2"/>
  <c r="C14199" i="2"/>
  <c r="B14199" i="2"/>
  <c r="A14199" i="2"/>
  <c r="D14198" i="2"/>
  <c r="C14198" i="2"/>
  <c r="B14198" i="2"/>
  <c r="A14198" i="2"/>
  <c r="D14197" i="2"/>
  <c r="C14197" i="2"/>
  <c r="B14197" i="2"/>
  <c r="A14197" i="2"/>
  <c r="D14196" i="2"/>
  <c r="C14196" i="2"/>
  <c r="B14196" i="2"/>
  <c r="A14196" i="2"/>
  <c r="D14195" i="2"/>
  <c r="C14195" i="2"/>
  <c r="B14195" i="2"/>
  <c r="A14195" i="2"/>
  <c r="D14194" i="2"/>
  <c r="C14194" i="2"/>
  <c r="B14194" i="2"/>
  <c r="A14194" i="2"/>
  <c r="D14193" i="2"/>
  <c r="C14193" i="2"/>
  <c r="B14193" i="2"/>
  <c r="A14193" i="2"/>
  <c r="D14192" i="2"/>
  <c r="C14192" i="2"/>
  <c r="B14192" i="2"/>
  <c r="A14192" i="2"/>
  <c r="D14191" i="2"/>
  <c r="C14191" i="2"/>
  <c r="B14191" i="2"/>
  <c r="A14191" i="2"/>
  <c r="D14190" i="2"/>
  <c r="C14190" i="2"/>
  <c r="B14190" i="2"/>
  <c r="A14190" i="2"/>
  <c r="D14189" i="2"/>
  <c r="C14189" i="2"/>
  <c r="B14189" i="2"/>
  <c r="A14189" i="2"/>
  <c r="D14188" i="2"/>
  <c r="C14188" i="2"/>
  <c r="B14188" i="2"/>
  <c r="A14188" i="2"/>
  <c r="D14187" i="2"/>
  <c r="C14187" i="2"/>
  <c r="B14187" i="2"/>
  <c r="A14187" i="2"/>
  <c r="D14186" i="2"/>
  <c r="C14186" i="2"/>
  <c r="B14186" i="2"/>
  <c r="A14186" i="2"/>
  <c r="D14185" i="2"/>
  <c r="C14185" i="2"/>
  <c r="B14185" i="2"/>
  <c r="A14185" i="2"/>
  <c r="D14184" i="2"/>
  <c r="C14184" i="2"/>
  <c r="B14184" i="2"/>
  <c r="A14184" i="2"/>
  <c r="D14183" i="2"/>
  <c r="C14183" i="2"/>
  <c r="B14183" i="2"/>
  <c r="A14183" i="2"/>
  <c r="D14182" i="2"/>
  <c r="C14182" i="2"/>
  <c r="B14182" i="2"/>
  <c r="A14182" i="2"/>
  <c r="D14181" i="2"/>
  <c r="C14181" i="2"/>
  <c r="B14181" i="2"/>
  <c r="A14181" i="2"/>
  <c r="D14180" i="2"/>
  <c r="C14180" i="2"/>
  <c r="B14180" i="2"/>
  <c r="A14180" i="2"/>
  <c r="D14179" i="2"/>
  <c r="C14179" i="2"/>
  <c r="B14179" i="2"/>
  <c r="A14179" i="2"/>
  <c r="D14178" i="2"/>
  <c r="C14178" i="2"/>
  <c r="B14178" i="2"/>
  <c r="A14178" i="2"/>
  <c r="D14177" i="2"/>
  <c r="C14177" i="2"/>
  <c r="B14177" i="2"/>
  <c r="A14177" i="2"/>
  <c r="D14176" i="2"/>
  <c r="C14176" i="2"/>
  <c r="B14176" i="2"/>
  <c r="A14176" i="2"/>
  <c r="D14175" i="2"/>
  <c r="C14175" i="2"/>
  <c r="B14175" i="2"/>
  <c r="A14175" i="2"/>
  <c r="D14174" i="2"/>
  <c r="C14174" i="2"/>
  <c r="B14174" i="2"/>
  <c r="A14174" i="2"/>
  <c r="D14173" i="2"/>
  <c r="C14173" i="2"/>
  <c r="B14173" i="2"/>
  <c r="A14173" i="2"/>
  <c r="D14172" i="2"/>
  <c r="C14172" i="2"/>
  <c r="B14172" i="2"/>
  <c r="A14172" i="2"/>
  <c r="D14171" i="2"/>
  <c r="C14171" i="2"/>
  <c r="B14171" i="2"/>
  <c r="A14171" i="2"/>
  <c r="D14170" i="2"/>
  <c r="C14170" i="2"/>
  <c r="B14170" i="2"/>
  <c r="A14170" i="2"/>
  <c r="D14169" i="2"/>
  <c r="C14169" i="2"/>
  <c r="B14169" i="2"/>
  <c r="A14169" i="2"/>
  <c r="D14168" i="2"/>
  <c r="C14168" i="2"/>
  <c r="B14168" i="2"/>
  <c r="A14168" i="2"/>
  <c r="D14167" i="2"/>
  <c r="C14167" i="2"/>
  <c r="B14167" i="2"/>
  <c r="A14167" i="2"/>
  <c r="D14166" i="2"/>
  <c r="C14166" i="2"/>
  <c r="B14166" i="2"/>
  <c r="A14166" i="2"/>
  <c r="D14165" i="2"/>
  <c r="C14165" i="2"/>
  <c r="B14165" i="2"/>
  <c r="A14165" i="2"/>
  <c r="D14164" i="2"/>
  <c r="C14164" i="2"/>
  <c r="B14164" i="2"/>
  <c r="A14164" i="2"/>
  <c r="D14163" i="2"/>
  <c r="C14163" i="2"/>
  <c r="B14163" i="2"/>
  <c r="A14163" i="2"/>
  <c r="D14162" i="2"/>
  <c r="C14162" i="2"/>
  <c r="B14162" i="2"/>
  <c r="A14162" i="2"/>
  <c r="D14161" i="2"/>
  <c r="C14161" i="2"/>
  <c r="B14161" i="2"/>
  <c r="A14161" i="2"/>
  <c r="D14160" i="2"/>
  <c r="C14160" i="2"/>
  <c r="B14160" i="2"/>
  <c r="A14160" i="2"/>
  <c r="D14159" i="2"/>
  <c r="C14159" i="2"/>
  <c r="B14159" i="2"/>
  <c r="A14159" i="2"/>
  <c r="D14158" i="2"/>
  <c r="C14158" i="2"/>
  <c r="B14158" i="2"/>
  <c r="A14158" i="2"/>
  <c r="D14157" i="2"/>
  <c r="C14157" i="2"/>
  <c r="B14157" i="2"/>
  <c r="A14157" i="2"/>
  <c r="D14156" i="2"/>
  <c r="C14156" i="2"/>
  <c r="B14156" i="2"/>
  <c r="A14156" i="2"/>
  <c r="D14155" i="2"/>
  <c r="C14155" i="2"/>
  <c r="B14155" i="2"/>
  <c r="A14155" i="2"/>
  <c r="D14154" i="2"/>
  <c r="C14154" i="2"/>
  <c r="B14154" i="2"/>
  <c r="A14154" i="2"/>
  <c r="D14153" i="2"/>
  <c r="C14153" i="2"/>
  <c r="B14153" i="2"/>
  <c r="A14153" i="2"/>
  <c r="D14152" i="2"/>
  <c r="C14152" i="2"/>
  <c r="B14152" i="2"/>
  <c r="A14152" i="2"/>
  <c r="D14151" i="2"/>
  <c r="C14151" i="2"/>
  <c r="B14151" i="2"/>
  <c r="A14151" i="2"/>
  <c r="D14150" i="2"/>
  <c r="C14150" i="2"/>
  <c r="B14150" i="2"/>
  <c r="A14150" i="2"/>
  <c r="D14149" i="2"/>
  <c r="C14149" i="2"/>
  <c r="B14149" i="2"/>
  <c r="A14149" i="2"/>
  <c r="D14148" i="2"/>
  <c r="C14148" i="2"/>
  <c r="B14148" i="2"/>
  <c r="A14148" i="2"/>
  <c r="D14147" i="2"/>
  <c r="C14147" i="2"/>
  <c r="B14147" i="2"/>
  <c r="A14147" i="2"/>
  <c r="D14146" i="2"/>
  <c r="C14146" i="2"/>
  <c r="B14146" i="2"/>
  <c r="A14146" i="2"/>
  <c r="D14145" i="2"/>
  <c r="C14145" i="2"/>
  <c r="B14145" i="2"/>
  <c r="A14145" i="2"/>
  <c r="D14144" i="2"/>
  <c r="C14144" i="2"/>
  <c r="B14144" i="2"/>
  <c r="A14144" i="2"/>
  <c r="D14143" i="2"/>
  <c r="C14143" i="2"/>
  <c r="B14143" i="2"/>
  <c r="A14143" i="2"/>
  <c r="D14142" i="2"/>
  <c r="C14142" i="2"/>
  <c r="B14142" i="2"/>
  <c r="A14142" i="2"/>
  <c r="D14141" i="2"/>
  <c r="C14141" i="2"/>
  <c r="B14141" i="2"/>
  <c r="A14141" i="2"/>
  <c r="D14140" i="2"/>
  <c r="C14140" i="2"/>
  <c r="B14140" i="2"/>
  <c r="A14140" i="2"/>
  <c r="D14139" i="2"/>
  <c r="C14139" i="2"/>
  <c r="B14139" i="2"/>
  <c r="A14139" i="2"/>
  <c r="D14138" i="2"/>
  <c r="C14138" i="2"/>
  <c r="B14138" i="2"/>
  <c r="A14138" i="2"/>
  <c r="D14137" i="2"/>
  <c r="B14137" i="2"/>
  <c r="A14137" i="2"/>
  <c r="D14136" i="2"/>
  <c r="C14136" i="2"/>
  <c r="B14136" i="2"/>
  <c r="A14136" i="2"/>
  <c r="D14135" i="2"/>
  <c r="C14135" i="2"/>
  <c r="B14135" i="2"/>
  <c r="A14135" i="2"/>
  <c r="D14134" i="2"/>
  <c r="C14134" i="2"/>
  <c r="B14134" i="2"/>
  <c r="A14134" i="2"/>
  <c r="D14133" i="2"/>
  <c r="C14133" i="2"/>
  <c r="B14133" i="2"/>
  <c r="A14133" i="2"/>
  <c r="D14132" i="2"/>
  <c r="C14132" i="2"/>
  <c r="B14132" i="2"/>
  <c r="A14132" i="2"/>
  <c r="D14131" i="2"/>
  <c r="C14131" i="2"/>
  <c r="B14131" i="2"/>
  <c r="A14131" i="2"/>
  <c r="D14130" i="2"/>
  <c r="C14130" i="2"/>
  <c r="B14130" i="2"/>
  <c r="A14130" i="2"/>
  <c r="D14129" i="2"/>
  <c r="C14129" i="2"/>
  <c r="B14129" i="2"/>
  <c r="A14129" i="2"/>
  <c r="D14128" i="2"/>
  <c r="C14128" i="2"/>
  <c r="B14128" i="2"/>
  <c r="A14128" i="2"/>
  <c r="D14127" i="2"/>
  <c r="C14127" i="2"/>
  <c r="B14127" i="2"/>
  <c r="A14127" i="2"/>
  <c r="D14126" i="2"/>
  <c r="C14126" i="2"/>
  <c r="B14126" i="2"/>
  <c r="A14126" i="2"/>
  <c r="D14125" i="2"/>
  <c r="C14125" i="2"/>
  <c r="B14125" i="2"/>
  <c r="A14125" i="2"/>
  <c r="D14124" i="2"/>
  <c r="C14124" i="2"/>
  <c r="B14124" i="2"/>
  <c r="A14124" i="2"/>
  <c r="D14123" i="2"/>
  <c r="C14123" i="2"/>
  <c r="B14123" i="2"/>
  <c r="A14123" i="2"/>
  <c r="D14122" i="2"/>
  <c r="C14122" i="2"/>
  <c r="B14122" i="2"/>
  <c r="A14122" i="2"/>
  <c r="D14121" i="2"/>
  <c r="C14121" i="2"/>
  <c r="B14121" i="2"/>
  <c r="A14121" i="2"/>
  <c r="D14120" i="2"/>
  <c r="C14120" i="2"/>
  <c r="B14120" i="2"/>
  <c r="A14120" i="2"/>
  <c r="D14119" i="2"/>
  <c r="C14119" i="2"/>
  <c r="B14119" i="2"/>
  <c r="A14119" i="2"/>
  <c r="D14118" i="2"/>
  <c r="C14118" i="2"/>
  <c r="B14118" i="2"/>
  <c r="A14118" i="2"/>
  <c r="D14117" i="2"/>
  <c r="C14117" i="2"/>
  <c r="B14117" i="2"/>
  <c r="A14117" i="2"/>
  <c r="D14116" i="2"/>
  <c r="C14116" i="2"/>
  <c r="B14116" i="2"/>
  <c r="A14116" i="2"/>
  <c r="D14115" i="2"/>
  <c r="C14115" i="2"/>
  <c r="B14115" i="2"/>
  <c r="A14115" i="2"/>
  <c r="D14114" i="2"/>
  <c r="C14114" i="2"/>
  <c r="B14114" i="2"/>
  <c r="A14114" i="2"/>
  <c r="D14113" i="2"/>
  <c r="C14113" i="2"/>
  <c r="B14113" i="2"/>
  <c r="A14113" i="2"/>
  <c r="D14112" i="2"/>
  <c r="C14112" i="2"/>
  <c r="B14112" i="2"/>
  <c r="A14112" i="2"/>
  <c r="D14111" i="2"/>
  <c r="C14111" i="2"/>
  <c r="B14111" i="2"/>
  <c r="A14111" i="2"/>
  <c r="D14110" i="2"/>
  <c r="C14110" i="2"/>
  <c r="B14110" i="2"/>
  <c r="A14110" i="2"/>
  <c r="D14109" i="2"/>
  <c r="C14109" i="2"/>
  <c r="B14109" i="2"/>
  <c r="A14109" i="2"/>
  <c r="D14108" i="2"/>
  <c r="C14108" i="2"/>
  <c r="B14108" i="2"/>
  <c r="A14108" i="2"/>
  <c r="D14107" i="2"/>
  <c r="C14107" i="2"/>
  <c r="B14107" i="2"/>
  <c r="A14107" i="2"/>
  <c r="D14106" i="2"/>
  <c r="C14106" i="2"/>
  <c r="B14106" i="2"/>
  <c r="A14106" i="2"/>
  <c r="D14105" i="2"/>
  <c r="C14105" i="2"/>
  <c r="B14105" i="2"/>
  <c r="A14105" i="2"/>
  <c r="D14104" i="2"/>
  <c r="C14104" i="2"/>
  <c r="B14104" i="2"/>
  <c r="A14104" i="2"/>
  <c r="D14103" i="2"/>
  <c r="C14103" i="2"/>
  <c r="B14103" i="2"/>
  <c r="A14103" i="2"/>
  <c r="D14102" i="2"/>
  <c r="C14102" i="2"/>
  <c r="B14102" i="2"/>
  <c r="A14102" i="2"/>
  <c r="D14101" i="2"/>
  <c r="C14101" i="2"/>
  <c r="B14101" i="2"/>
  <c r="A14101" i="2"/>
  <c r="D14100" i="2"/>
  <c r="C14100" i="2"/>
  <c r="B14100" i="2"/>
  <c r="A14100" i="2"/>
  <c r="D14099" i="2"/>
  <c r="C14099" i="2"/>
  <c r="B14099" i="2"/>
  <c r="A14099" i="2"/>
  <c r="D14098" i="2"/>
  <c r="C14098" i="2"/>
  <c r="B14098" i="2"/>
  <c r="A14098" i="2"/>
  <c r="D14097" i="2"/>
  <c r="C14097" i="2"/>
  <c r="B14097" i="2"/>
  <c r="A14097" i="2"/>
  <c r="D14096" i="2"/>
  <c r="C14096" i="2"/>
  <c r="B14096" i="2"/>
  <c r="A14096" i="2"/>
  <c r="D14095" i="2"/>
  <c r="C14095" i="2"/>
  <c r="B14095" i="2"/>
  <c r="A14095" i="2"/>
  <c r="D14094" i="2"/>
  <c r="C14094" i="2"/>
  <c r="B14094" i="2"/>
  <c r="A14094" i="2"/>
  <c r="D14093" i="2"/>
  <c r="C14093" i="2"/>
  <c r="B14093" i="2"/>
  <c r="A14093" i="2"/>
  <c r="D14092" i="2"/>
  <c r="C14092" i="2"/>
  <c r="B14092" i="2"/>
  <c r="A14092" i="2"/>
  <c r="D14091" i="2"/>
  <c r="C14091" i="2"/>
  <c r="B14091" i="2"/>
  <c r="A14091" i="2"/>
  <c r="D14090" i="2"/>
  <c r="C14090" i="2"/>
  <c r="B14090" i="2"/>
  <c r="A14090" i="2"/>
  <c r="D14089" i="2"/>
  <c r="C14089" i="2"/>
  <c r="B14089" i="2"/>
  <c r="A14089" i="2"/>
  <c r="D14088" i="2"/>
  <c r="C14088" i="2"/>
  <c r="B14088" i="2"/>
  <c r="A14088" i="2"/>
  <c r="D14087" i="2"/>
  <c r="C14087" i="2"/>
  <c r="B14087" i="2"/>
  <c r="A14087" i="2"/>
  <c r="D14086" i="2"/>
  <c r="C14086" i="2"/>
  <c r="B14086" i="2"/>
  <c r="A14086" i="2"/>
  <c r="D14085" i="2"/>
  <c r="C14085" i="2"/>
  <c r="B14085" i="2"/>
  <c r="A14085" i="2"/>
  <c r="D14084" i="2"/>
  <c r="C14084" i="2"/>
  <c r="B14084" i="2"/>
  <c r="A14084" i="2"/>
  <c r="D14083" i="2"/>
  <c r="C14083" i="2"/>
  <c r="B14083" i="2"/>
  <c r="A14083" i="2"/>
  <c r="D14082" i="2"/>
  <c r="C14082" i="2"/>
  <c r="B14082" i="2"/>
  <c r="A14082" i="2"/>
  <c r="D14081" i="2"/>
  <c r="C14081" i="2"/>
  <c r="B14081" i="2"/>
  <c r="A14081" i="2"/>
  <c r="D14080" i="2"/>
  <c r="C14080" i="2"/>
  <c r="B14080" i="2"/>
  <c r="A14080" i="2"/>
  <c r="D14079" i="2"/>
  <c r="C14079" i="2"/>
  <c r="B14079" i="2"/>
  <c r="A14079" i="2"/>
  <c r="D14078" i="2"/>
  <c r="C14078" i="2"/>
  <c r="B14078" i="2"/>
  <c r="A14078" i="2"/>
  <c r="D14077" i="2"/>
  <c r="C14077" i="2"/>
  <c r="B14077" i="2"/>
  <c r="A14077" i="2"/>
  <c r="D14076" i="2"/>
  <c r="C14076" i="2"/>
  <c r="B14076" i="2"/>
  <c r="A14076" i="2"/>
  <c r="D14075" i="2"/>
  <c r="C14075" i="2"/>
  <c r="B14075" i="2"/>
  <c r="A14075" i="2"/>
  <c r="D14074" i="2"/>
  <c r="C14074" i="2"/>
  <c r="B14074" i="2"/>
  <c r="A14074" i="2"/>
  <c r="D14073" i="2"/>
  <c r="C14073" i="2"/>
  <c r="B14073" i="2"/>
  <c r="A14073" i="2"/>
  <c r="D14072" i="2"/>
  <c r="C14072" i="2"/>
  <c r="B14072" i="2"/>
  <c r="A14072" i="2"/>
  <c r="D14071" i="2"/>
  <c r="C14071" i="2"/>
  <c r="B14071" i="2"/>
  <c r="A14071" i="2"/>
  <c r="D14070" i="2"/>
  <c r="C14070" i="2"/>
  <c r="B14070" i="2"/>
  <c r="A14070" i="2"/>
  <c r="D14069" i="2"/>
  <c r="C14069" i="2"/>
  <c r="B14069" i="2"/>
  <c r="A14069" i="2"/>
  <c r="D14068" i="2"/>
  <c r="C14068" i="2"/>
  <c r="B14068" i="2"/>
  <c r="A14068" i="2"/>
  <c r="D14067" i="2"/>
  <c r="C14067" i="2"/>
  <c r="B14067" i="2"/>
  <c r="A14067" i="2"/>
  <c r="D14066" i="2"/>
  <c r="C14066" i="2"/>
  <c r="B14066" i="2"/>
  <c r="A14066" i="2"/>
  <c r="D14065" i="2"/>
  <c r="C14065" i="2"/>
  <c r="B14065" i="2"/>
  <c r="A14065" i="2"/>
  <c r="D14064" i="2"/>
  <c r="C14064" i="2"/>
  <c r="B14064" i="2"/>
  <c r="A14064" i="2"/>
  <c r="D14063" i="2"/>
  <c r="C14063" i="2"/>
  <c r="B14063" i="2"/>
  <c r="A14063" i="2"/>
  <c r="D14062" i="2"/>
  <c r="C14062" i="2"/>
  <c r="B14062" i="2"/>
  <c r="A14062" i="2"/>
  <c r="D14061" i="2"/>
  <c r="C14061" i="2"/>
  <c r="B14061" i="2"/>
  <c r="A14061" i="2"/>
  <c r="D14060" i="2"/>
  <c r="C14060" i="2"/>
  <c r="B14060" i="2"/>
  <c r="A14060" i="2"/>
  <c r="D14059" i="2"/>
  <c r="C14059" i="2"/>
  <c r="B14059" i="2"/>
  <c r="A14059" i="2"/>
  <c r="D14058" i="2"/>
  <c r="C14058" i="2"/>
  <c r="B14058" i="2"/>
  <c r="A14058" i="2"/>
  <c r="D14057" i="2"/>
  <c r="C14057" i="2"/>
  <c r="B14057" i="2"/>
  <c r="A14057" i="2"/>
  <c r="D14056" i="2"/>
  <c r="C14056" i="2"/>
  <c r="B14056" i="2"/>
  <c r="A14056" i="2"/>
  <c r="D14055" i="2"/>
  <c r="C14055" i="2"/>
  <c r="B14055" i="2"/>
  <c r="A14055" i="2"/>
  <c r="D14054" i="2"/>
  <c r="C14054" i="2"/>
  <c r="B14054" i="2"/>
  <c r="A14054" i="2"/>
  <c r="D14053" i="2"/>
  <c r="C14053" i="2"/>
  <c r="B14053" i="2"/>
  <c r="A14053" i="2"/>
  <c r="D14052" i="2"/>
  <c r="C14052" i="2"/>
  <c r="B14052" i="2"/>
  <c r="A14052" i="2"/>
  <c r="D14051" i="2"/>
  <c r="C14051" i="2"/>
  <c r="B14051" i="2"/>
  <c r="A14051" i="2"/>
  <c r="D14050" i="2"/>
  <c r="C14050" i="2"/>
  <c r="B14050" i="2"/>
  <c r="A14050" i="2"/>
  <c r="D14049" i="2"/>
  <c r="C14049" i="2"/>
  <c r="B14049" i="2"/>
  <c r="A14049" i="2"/>
  <c r="D14048" i="2"/>
  <c r="C14048" i="2"/>
  <c r="B14048" i="2"/>
  <c r="A14048" i="2"/>
  <c r="D14047" i="2"/>
  <c r="C14047" i="2"/>
  <c r="B14047" i="2"/>
  <c r="A14047" i="2"/>
  <c r="D14046" i="2"/>
  <c r="C14046" i="2"/>
  <c r="B14046" i="2"/>
  <c r="A14046" i="2"/>
  <c r="D14045" i="2"/>
  <c r="C14045" i="2"/>
  <c r="B14045" i="2"/>
  <c r="A14045" i="2"/>
  <c r="D14044" i="2"/>
  <c r="C14044" i="2"/>
  <c r="B14044" i="2"/>
  <c r="A14044" i="2"/>
  <c r="D14043" i="2"/>
  <c r="C14043" i="2"/>
  <c r="B14043" i="2"/>
  <c r="A14043" i="2"/>
  <c r="D14042" i="2"/>
  <c r="C14042" i="2"/>
  <c r="B14042" i="2"/>
  <c r="A14042" i="2"/>
  <c r="D14041" i="2"/>
  <c r="C14041" i="2"/>
  <c r="B14041" i="2"/>
  <c r="A14041" i="2"/>
  <c r="D14040" i="2"/>
  <c r="C14040" i="2"/>
  <c r="B14040" i="2"/>
  <c r="A14040" i="2"/>
  <c r="D14039" i="2"/>
  <c r="C14039" i="2"/>
  <c r="B14039" i="2"/>
  <c r="A14039" i="2"/>
  <c r="D14038" i="2"/>
  <c r="C14038" i="2"/>
  <c r="B14038" i="2"/>
  <c r="A14038" i="2"/>
  <c r="D14037" i="2"/>
  <c r="C14037" i="2"/>
  <c r="B14037" i="2"/>
  <c r="A14037" i="2"/>
  <c r="D14036" i="2"/>
  <c r="C14036" i="2"/>
  <c r="B14036" i="2"/>
  <c r="A14036" i="2"/>
  <c r="D14035" i="2"/>
  <c r="C14035" i="2"/>
  <c r="B14035" i="2"/>
  <c r="A14035" i="2"/>
  <c r="D14034" i="2"/>
  <c r="C14034" i="2"/>
  <c r="B14034" i="2"/>
  <c r="A14034" i="2"/>
  <c r="D14033" i="2"/>
  <c r="C14033" i="2"/>
  <c r="B14033" i="2"/>
  <c r="A14033" i="2"/>
  <c r="D14032" i="2"/>
  <c r="C14032" i="2"/>
  <c r="B14032" i="2"/>
  <c r="A14032" i="2"/>
  <c r="D14031" i="2"/>
  <c r="C14031" i="2"/>
  <c r="B14031" i="2"/>
  <c r="A14031" i="2"/>
  <c r="D14030" i="2"/>
  <c r="C14030" i="2"/>
  <c r="B14030" i="2"/>
  <c r="A14030" i="2"/>
  <c r="D14029" i="2"/>
  <c r="C14029" i="2"/>
  <c r="B14029" i="2"/>
  <c r="A14029" i="2"/>
  <c r="D14028" i="2"/>
  <c r="C14028" i="2"/>
  <c r="B14028" i="2"/>
  <c r="A14028" i="2"/>
  <c r="D14027" i="2"/>
  <c r="C14027" i="2"/>
  <c r="B14027" i="2"/>
  <c r="A14027" i="2"/>
  <c r="D14026" i="2"/>
  <c r="C14026" i="2"/>
  <c r="B14026" i="2"/>
  <c r="A14026" i="2"/>
  <c r="D14025" i="2"/>
  <c r="C14025" i="2"/>
  <c r="B14025" i="2"/>
  <c r="A14025" i="2"/>
  <c r="D14024" i="2"/>
  <c r="C14024" i="2"/>
  <c r="B14024" i="2"/>
  <c r="A14024" i="2"/>
  <c r="D14023" i="2"/>
  <c r="C14023" i="2"/>
  <c r="B14023" i="2"/>
  <c r="A14023" i="2"/>
  <c r="D14022" i="2"/>
  <c r="C14022" i="2"/>
  <c r="B14022" i="2"/>
  <c r="A14022" i="2"/>
  <c r="D14021" i="2"/>
  <c r="C14021" i="2"/>
  <c r="B14021" i="2"/>
  <c r="A14021" i="2"/>
  <c r="D14020" i="2"/>
  <c r="C14020" i="2"/>
  <c r="B14020" i="2"/>
  <c r="A14020" i="2"/>
  <c r="D14019" i="2"/>
  <c r="C14019" i="2"/>
  <c r="B14019" i="2"/>
  <c r="A14019" i="2"/>
  <c r="D14018" i="2"/>
  <c r="C14018" i="2"/>
  <c r="B14018" i="2"/>
  <c r="A14018" i="2"/>
  <c r="D14017" i="2"/>
  <c r="C14017" i="2"/>
  <c r="B14017" i="2"/>
  <c r="A14017" i="2"/>
  <c r="D14016" i="2"/>
  <c r="C14016" i="2"/>
  <c r="B14016" i="2"/>
  <c r="A14016" i="2"/>
  <c r="D14015" i="2"/>
  <c r="C14015" i="2"/>
  <c r="B14015" i="2"/>
  <c r="A14015" i="2"/>
  <c r="D14014" i="2"/>
  <c r="C14014" i="2"/>
  <c r="B14014" i="2"/>
  <c r="A14014" i="2"/>
  <c r="D14013" i="2"/>
  <c r="C14013" i="2"/>
  <c r="B14013" i="2"/>
  <c r="A14013" i="2"/>
  <c r="D14012" i="2"/>
  <c r="C14012" i="2"/>
  <c r="B14012" i="2"/>
  <c r="A14012" i="2"/>
  <c r="D14011" i="2"/>
  <c r="C14011" i="2"/>
  <c r="B14011" i="2"/>
  <c r="A14011" i="2"/>
  <c r="D14010" i="2"/>
  <c r="C14010" i="2"/>
  <c r="B14010" i="2"/>
  <c r="A14010" i="2"/>
  <c r="D14009" i="2"/>
  <c r="C14009" i="2"/>
  <c r="B14009" i="2"/>
  <c r="A14009" i="2"/>
  <c r="D14008" i="2"/>
  <c r="C14008" i="2"/>
  <c r="B14008" i="2"/>
  <c r="A14008" i="2"/>
  <c r="D14007" i="2"/>
  <c r="C14007" i="2"/>
  <c r="B14007" i="2"/>
  <c r="A14007" i="2"/>
  <c r="D14006" i="2"/>
  <c r="C14006" i="2"/>
  <c r="B14006" i="2"/>
  <c r="A14006" i="2"/>
  <c r="D14005" i="2"/>
  <c r="C14005" i="2"/>
  <c r="B14005" i="2"/>
  <c r="A14005" i="2"/>
  <c r="D14004" i="2"/>
  <c r="C14004" i="2"/>
  <c r="B14004" i="2"/>
  <c r="A14004" i="2"/>
  <c r="D14003" i="2"/>
  <c r="C14003" i="2"/>
  <c r="B14003" i="2"/>
  <c r="A14003" i="2"/>
  <c r="D14002" i="2"/>
  <c r="C14002" i="2"/>
  <c r="B14002" i="2"/>
  <c r="A14002" i="2"/>
  <c r="D14001" i="2"/>
  <c r="C14001" i="2"/>
  <c r="B14001" i="2"/>
  <c r="A14001" i="2"/>
  <c r="D14000" i="2"/>
  <c r="C14000" i="2"/>
  <c r="B14000" i="2"/>
  <c r="A14000" i="2"/>
  <c r="D13999" i="2"/>
  <c r="C13999" i="2"/>
  <c r="B13999" i="2"/>
  <c r="A13999" i="2"/>
  <c r="D13998" i="2"/>
  <c r="C13998" i="2"/>
  <c r="B13998" i="2"/>
  <c r="A13998" i="2"/>
  <c r="D13997" i="2"/>
  <c r="C13997" i="2"/>
  <c r="B13997" i="2"/>
  <c r="A13997" i="2"/>
  <c r="D13996" i="2"/>
  <c r="C13996" i="2"/>
  <c r="B13996" i="2"/>
  <c r="A13996" i="2"/>
  <c r="D13995" i="2"/>
  <c r="C13995" i="2"/>
  <c r="B13995" i="2"/>
  <c r="A13995" i="2"/>
  <c r="D13994" i="2"/>
  <c r="C13994" i="2"/>
  <c r="B13994" i="2"/>
  <c r="A13994" i="2"/>
  <c r="D13993" i="2"/>
  <c r="C13993" i="2"/>
  <c r="B13993" i="2"/>
  <c r="A13993" i="2"/>
  <c r="D13992" i="2"/>
  <c r="C13992" i="2"/>
  <c r="B13992" i="2"/>
  <c r="A13992" i="2"/>
  <c r="D13991" i="2"/>
  <c r="C13991" i="2"/>
  <c r="B13991" i="2"/>
  <c r="A13991" i="2"/>
  <c r="D13990" i="2"/>
  <c r="C13990" i="2"/>
  <c r="B13990" i="2"/>
  <c r="A13990" i="2"/>
  <c r="D13989" i="2"/>
  <c r="C13989" i="2"/>
  <c r="B13989" i="2"/>
  <c r="A13989" i="2"/>
  <c r="D13988" i="2"/>
  <c r="C13988" i="2"/>
  <c r="B13988" i="2"/>
  <c r="A13988" i="2"/>
  <c r="D13987" i="2"/>
  <c r="C13987" i="2"/>
  <c r="B13987" i="2"/>
  <c r="A13987" i="2"/>
  <c r="D13986" i="2"/>
  <c r="C13986" i="2"/>
  <c r="B13986" i="2"/>
  <c r="A13986" i="2"/>
  <c r="D13985" i="2"/>
  <c r="C13985" i="2"/>
  <c r="B13985" i="2"/>
  <c r="A13985" i="2"/>
  <c r="D13984" i="2"/>
  <c r="C13984" i="2"/>
  <c r="B13984" i="2"/>
  <c r="A13984" i="2"/>
  <c r="D13983" i="2"/>
  <c r="C13983" i="2"/>
  <c r="B13983" i="2"/>
  <c r="A13983" i="2"/>
  <c r="D13982" i="2"/>
  <c r="C13982" i="2"/>
  <c r="B13982" i="2"/>
  <c r="A13982" i="2"/>
  <c r="D13981" i="2"/>
  <c r="C13981" i="2"/>
  <c r="B13981" i="2"/>
  <c r="A13981" i="2"/>
  <c r="D13980" i="2"/>
  <c r="C13980" i="2"/>
  <c r="B13980" i="2"/>
  <c r="A13980" i="2"/>
  <c r="D13979" i="2"/>
  <c r="C13979" i="2"/>
  <c r="B13979" i="2"/>
  <c r="A13979" i="2"/>
  <c r="D13978" i="2"/>
  <c r="C13978" i="2"/>
  <c r="B13978" i="2"/>
  <c r="A13978" i="2"/>
  <c r="D13977" i="2"/>
  <c r="C13977" i="2"/>
  <c r="B13977" i="2"/>
  <c r="A13977" i="2"/>
  <c r="D13976" i="2"/>
  <c r="C13976" i="2"/>
  <c r="B13976" i="2"/>
  <c r="A13976" i="2"/>
  <c r="D13975" i="2"/>
  <c r="C13975" i="2"/>
  <c r="B13975" i="2"/>
  <c r="A13975" i="2"/>
  <c r="D13974" i="2"/>
  <c r="C13974" i="2"/>
  <c r="B13974" i="2"/>
  <c r="A13974" i="2"/>
  <c r="D13973" i="2"/>
  <c r="C13973" i="2"/>
  <c r="B13973" i="2"/>
  <c r="A13973" i="2"/>
  <c r="D13972" i="2"/>
  <c r="C13972" i="2"/>
  <c r="B13972" i="2"/>
  <c r="A13972" i="2"/>
  <c r="D13971" i="2"/>
  <c r="C13971" i="2"/>
  <c r="B13971" i="2"/>
  <c r="A13971" i="2"/>
  <c r="D13970" i="2"/>
  <c r="C13970" i="2"/>
  <c r="B13970" i="2"/>
  <c r="A13970" i="2"/>
  <c r="D13969" i="2"/>
  <c r="C13969" i="2"/>
  <c r="B13969" i="2"/>
  <c r="A13969" i="2"/>
  <c r="D13968" i="2"/>
  <c r="C13968" i="2"/>
  <c r="B13968" i="2"/>
  <c r="A13968" i="2"/>
  <c r="D13967" i="2"/>
  <c r="C13967" i="2"/>
  <c r="B13967" i="2"/>
  <c r="A13967" i="2"/>
  <c r="D13966" i="2"/>
  <c r="C13966" i="2"/>
  <c r="B13966" i="2"/>
  <c r="A13966" i="2"/>
  <c r="D13965" i="2"/>
  <c r="C13965" i="2"/>
  <c r="B13965" i="2"/>
  <c r="A13965" i="2"/>
  <c r="D13964" i="2"/>
  <c r="C13964" i="2"/>
  <c r="B13964" i="2"/>
  <c r="A13964" i="2"/>
  <c r="D13963" i="2"/>
  <c r="C13963" i="2"/>
  <c r="B13963" i="2"/>
  <c r="A13963" i="2"/>
  <c r="D13962" i="2"/>
  <c r="C13962" i="2"/>
  <c r="B13962" i="2"/>
  <c r="A13962" i="2"/>
  <c r="D13961" i="2"/>
  <c r="C13961" i="2"/>
  <c r="B13961" i="2"/>
  <c r="A13961" i="2"/>
  <c r="D13960" i="2"/>
  <c r="C13960" i="2"/>
  <c r="B13960" i="2"/>
  <c r="A13960" i="2"/>
  <c r="D13959" i="2"/>
  <c r="C13959" i="2"/>
  <c r="B13959" i="2"/>
  <c r="A13959" i="2"/>
  <c r="D13958" i="2"/>
  <c r="C13958" i="2"/>
  <c r="B13958" i="2"/>
  <c r="A13958" i="2"/>
  <c r="D13957" i="2"/>
  <c r="C13957" i="2"/>
  <c r="B13957" i="2"/>
  <c r="A13957" i="2"/>
  <c r="D13956" i="2"/>
  <c r="C13956" i="2"/>
  <c r="B13956" i="2"/>
  <c r="A13956" i="2"/>
  <c r="D13955" i="2"/>
  <c r="C13955" i="2"/>
  <c r="B13955" i="2"/>
  <c r="A13955" i="2"/>
  <c r="D13954" i="2"/>
  <c r="C13954" i="2"/>
  <c r="B13954" i="2"/>
  <c r="A13954" i="2"/>
  <c r="D13953" i="2"/>
  <c r="C13953" i="2"/>
  <c r="B13953" i="2"/>
  <c r="A13953" i="2"/>
  <c r="D13952" i="2"/>
  <c r="C13952" i="2"/>
  <c r="B13952" i="2"/>
  <c r="A13952" i="2"/>
  <c r="D13951" i="2"/>
  <c r="C13951" i="2"/>
  <c r="B13951" i="2"/>
  <c r="A13951" i="2"/>
  <c r="D13950" i="2"/>
  <c r="C13950" i="2"/>
  <c r="B13950" i="2"/>
  <c r="A13950" i="2"/>
  <c r="D13949" i="2"/>
  <c r="C13949" i="2"/>
  <c r="B13949" i="2"/>
  <c r="A13949" i="2"/>
  <c r="D13948" i="2"/>
  <c r="C13948" i="2"/>
  <c r="B13948" i="2"/>
  <c r="A13948" i="2"/>
  <c r="D13947" i="2"/>
  <c r="C13947" i="2"/>
  <c r="B13947" i="2"/>
  <c r="A13947" i="2"/>
  <c r="D13946" i="2"/>
  <c r="C13946" i="2"/>
  <c r="B13946" i="2"/>
  <c r="A13946" i="2"/>
  <c r="D13945" i="2"/>
  <c r="C13945" i="2"/>
  <c r="B13945" i="2"/>
  <c r="A13945" i="2"/>
  <c r="D13944" i="2"/>
  <c r="C13944" i="2"/>
  <c r="B13944" i="2"/>
  <c r="A13944" i="2"/>
  <c r="D13943" i="2"/>
  <c r="C13943" i="2"/>
  <c r="B13943" i="2"/>
  <c r="A13943" i="2"/>
  <c r="D13942" i="2"/>
  <c r="C13942" i="2"/>
  <c r="B13942" i="2"/>
  <c r="A13942" i="2"/>
  <c r="D13941" i="2"/>
  <c r="C13941" i="2"/>
  <c r="B13941" i="2"/>
  <c r="A13941" i="2"/>
  <c r="D13940" i="2"/>
  <c r="C13940" i="2"/>
  <c r="B13940" i="2"/>
  <c r="A13940" i="2"/>
  <c r="D13939" i="2"/>
  <c r="C13939" i="2"/>
  <c r="B13939" i="2"/>
  <c r="A13939" i="2"/>
  <c r="D13938" i="2"/>
  <c r="C13938" i="2"/>
  <c r="B13938" i="2"/>
  <c r="A13938" i="2"/>
  <c r="D13937" i="2"/>
  <c r="C13937" i="2"/>
  <c r="B13937" i="2"/>
  <c r="A13937" i="2"/>
  <c r="D13936" i="2"/>
  <c r="C13936" i="2"/>
  <c r="B13936" i="2"/>
  <c r="A13936" i="2"/>
  <c r="D13935" i="2"/>
  <c r="C13935" i="2"/>
  <c r="B13935" i="2"/>
  <c r="A13935" i="2"/>
  <c r="D13934" i="2"/>
  <c r="C13934" i="2"/>
  <c r="B13934" i="2"/>
  <c r="A13934" i="2"/>
  <c r="D13933" i="2"/>
  <c r="C13933" i="2"/>
  <c r="B13933" i="2"/>
  <c r="A13933" i="2"/>
  <c r="D13932" i="2"/>
  <c r="C13932" i="2"/>
  <c r="B13932" i="2"/>
  <c r="A13932" i="2"/>
  <c r="D13931" i="2"/>
  <c r="C13931" i="2"/>
  <c r="B13931" i="2"/>
  <c r="A13931" i="2"/>
  <c r="D13930" i="2"/>
  <c r="C13930" i="2"/>
  <c r="B13930" i="2"/>
  <c r="A13930" i="2"/>
  <c r="D13929" i="2"/>
  <c r="C13929" i="2"/>
  <c r="B13929" i="2"/>
  <c r="A13929" i="2"/>
  <c r="D13928" i="2"/>
  <c r="C13928" i="2"/>
  <c r="B13928" i="2"/>
  <c r="A13928" i="2"/>
  <c r="D13927" i="2"/>
  <c r="C13927" i="2"/>
  <c r="B13927" i="2"/>
  <c r="A13927" i="2"/>
  <c r="D13926" i="2"/>
  <c r="C13926" i="2"/>
  <c r="B13926" i="2"/>
  <c r="A13926" i="2"/>
  <c r="D13925" i="2"/>
  <c r="C13925" i="2"/>
  <c r="B13925" i="2"/>
  <c r="A13925" i="2"/>
  <c r="D13924" i="2"/>
  <c r="C13924" i="2"/>
  <c r="B13924" i="2"/>
  <c r="A13924" i="2"/>
  <c r="D13923" i="2"/>
  <c r="C13923" i="2"/>
  <c r="B13923" i="2"/>
  <c r="A13923" i="2"/>
  <c r="D13922" i="2"/>
  <c r="C13922" i="2"/>
  <c r="B13922" i="2"/>
  <c r="A13922" i="2"/>
  <c r="D13921" i="2"/>
  <c r="C13921" i="2"/>
  <c r="B13921" i="2"/>
  <c r="A13921" i="2"/>
  <c r="D13920" i="2"/>
  <c r="C13920" i="2"/>
  <c r="B13920" i="2"/>
  <c r="A13920" i="2"/>
  <c r="D13919" i="2"/>
  <c r="C13919" i="2"/>
  <c r="B13919" i="2"/>
  <c r="A13919" i="2"/>
  <c r="D13918" i="2"/>
  <c r="C13918" i="2"/>
  <c r="B13918" i="2"/>
  <c r="A13918" i="2"/>
  <c r="D13917" i="2"/>
  <c r="C13917" i="2"/>
  <c r="B13917" i="2"/>
  <c r="A13917" i="2"/>
  <c r="D13916" i="2"/>
  <c r="C13916" i="2"/>
  <c r="B13916" i="2"/>
  <c r="A13916" i="2"/>
  <c r="D13915" i="2"/>
  <c r="C13915" i="2"/>
  <c r="B13915" i="2"/>
  <c r="A13915" i="2"/>
  <c r="D13914" i="2"/>
  <c r="C13914" i="2"/>
  <c r="B13914" i="2"/>
  <c r="A13914" i="2"/>
  <c r="D13913" i="2"/>
  <c r="C13913" i="2"/>
  <c r="B13913" i="2"/>
  <c r="A13913" i="2"/>
  <c r="D13912" i="2"/>
  <c r="C13912" i="2"/>
  <c r="B13912" i="2"/>
  <c r="A13912" i="2"/>
  <c r="D13911" i="2"/>
  <c r="C13911" i="2"/>
  <c r="B13911" i="2"/>
  <c r="A13911" i="2"/>
  <c r="D13910" i="2"/>
  <c r="C13910" i="2"/>
  <c r="B13910" i="2"/>
  <c r="A13910" i="2"/>
  <c r="D13909" i="2"/>
  <c r="C13909" i="2"/>
  <c r="B13909" i="2"/>
  <c r="A13909" i="2"/>
  <c r="D13908" i="2"/>
  <c r="C13908" i="2"/>
  <c r="B13908" i="2"/>
  <c r="A13908" i="2"/>
  <c r="D13907" i="2"/>
  <c r="C13907" i="2"/>
  <c r="B13907" i="2"/>
  <c r="A13907" i="2"/>
  <c r="D13906" i="2"/>
  <c r="C13906" i="2"/>
  <c r="B13906" i="2"/>
  <c r="A13906" i="2"/>
  <c r="D13905" i="2"/>
  <c r="C13905" i="2"/>
  <c r="B13905" i="2"/>
  <c r="A13905" i="2"/>
  <c r="D13904" i="2"/>
  <c r="C13904" i="2"/>
  <c r="B13904" i="2"/>
  <c r="A13904" i="2"/>
  <c r="D13903" i="2"/>
  <c r="C13903" i="2"/>
  <c r="B13903" i="2"/>
  <c r="A13903" i="2"/>
  <c r="D13902" i="2"/>
  <c r="C13902" i="2"/>
  <c r="B13902" i="2"/>
  <c r="A13902" i="2"/>
  <c r="D13901" i="2"/>
  <c r="C13901" i="2"/>
  <c r="B13901" i="2"/>
  <c r="A13901" i="2"/>
  <c r="D13900" i="2"/>
  <c r="C13900" i="2"/>
  <c r="B13900" i="2"/>
  <c r="A13900" i="2"/>
  <c r="D13899" i="2"/>
  <c r="C13899" i="2"/>
  <c r="B13899" i="2"/>
  <c r="A13899" i="2"/>
  <c r="D13898" i="2"/>
  <c r="C13898" i="2"/>
  <c r="B13898" i="2"/>
  <c r="A13898" i="2"/>
  <c r="D13897" i="2"/>
  <c r="C13897" i="2"/>
  <c r="B13897" i="2"/>
  <c r="A13897" i="2"/>
  <c r="D13896" i="2"/>
  <c r="C13896" i="2"/>
  <c r="B13896" i="2"/>
  <c r="A13896" i="2"/>
  <c r="D13895" i="2"/>
  <c r="C13895" i="2"/>
  <c r="B13895" i="2"/>
  <c r="A13895" i="2"/>
  <c r="D13894" i="2"/>
  <c r="C13894" i="2"/>
  <c r="B13894" i="2"/>
  <c r="A13894" i="2"/>
  <c r="D13893" i="2"/>
  <c r="C13893" i="2"/>
  <c r="B13893" i="2"/>
  <c r="A13893" i="2"/>
  <c r="D13892" i="2"/>
  <c r="C13892" i="2"/>
  <c r="B13892" i="2"/>
  <c r="A13892" i="2"/>
  <c r="D13891" i="2"/>
  <c r="C13891" i="2"/>
  <c r="B13891" i="2"/>
  <c r="A13891" i="2"/>
  <c r="D13890" i="2"/>
  <c r="C13890" i="2"/>
  <c r="B13890" i="2"/>
  <c r="A13890" i="2"/>
  <c r="D13889" i="2"/>
  <c r="C13889" i="2"/>
  <c r="B13889" i="2"/>
  <c r="A13889" i="2"/>
  <c r="D13888" i="2"/>
  <c r="C13888" i="2"/>
  <c r="B13888" i="2"/>
  <c r="A13888" i="2"/>
  <c r="D13887" i="2"/>
  <c r="C13887" i="2"/>
  <c r="B13887" i="2"/>
  <c r="A13887" i="2"/>
  <c r="D13886" i="2"/>
  <c r="C13886" i="2"/>
  <c r="B13886" i="2"/>
  <c r="A13886" i="2"/>
  <c r="D13885" i="2"/>
  <c r="C13885" i="2"/>
  <c r="B13885" i="2"/>
  <c r="A13885" i="2"/>
  <c r="D13884" i="2"/>
  <c r="C13884" i="2"/>
  <c r="B13884" i="2"/>
  <c r="A13884" i="2"/>
  <c r="D13883" i="2"/>
  <c r="C13883" i="2"/>
  <c r="B13883" i="2"/>
  <c r="A13883" i="2"/>
  <c r="D13882" i="2"/>
  <c r="C13882" i="2"/>
  <c r="B13882" i="2"/>
  <c r="A13882" i="2"/>
  <c r="D13881" i="2"/>
  <c r="C13881" i="2"/>
  <c r="B13881" i="2"/>
  <c r="A13881" i="2"/>
  <c r="D13880" i="2"/>
  <c r="C13880" i="2"/>
  <c r="B13880" i="2"/>
  <c r="A13880" i="2"/>
  <c r="D13879" i="2"/>
  <c r="C13879" i="2"/>
  <c r="B13879" i="2"/>
  <c r="A13879" i="2"/>
  <c r="D13878" i="2"/>
  <c r="C13878" i="2"/>
  <c r="B13878" i="2"/>
  <c r="A13878" i="2"/>
  <c r="D13877" i="2"/>
  <c r="C13877" i="2"/>
  <c r="B13877" i="2"/>
  <c r="A13877" i="2"/>
  <c r="D13876" i="2"/>
  <c r="C13876" i="2"/>
  <c r="B13876" i="2"/>
  <c r="A13876" i="2"/>
  <c r="D13875" i="2"/>
  <c r="C13875" i="2"/>
  <c r="B13875" i="2"/>
  <c r="A13875" i="2"/>
  <c r="D13874" i="2"/>
  <c r="C13874" i="2"/>
  <c r="B13874" i="2"/>
  <c r="A13874" i="2"/>
  <c r="D13873" i="2"/>
  <c r="C13873" i="2"/>
  <c r="B13873" i="2"/>
  <c r="A13873" i="2"/>
  <c r="D13872" i="2"/>
  <c r="C13872" i="2"/>
  <c r="B13872" i="2"/>
  <c r="A13872" i="2"/>
  <c r="D13871" i="2"/>
  <c r="C13871" i="2"/>
  <c r="B13871" i="2"/>
  <c r="A13871" i="2"/>
  <c r="D13870" i="2"/>
  <c r="C13870" i="2"/>
  <c r="B13870" i="2"/>
  <c r="A13870" i="2"/>
  <c r="D13869" i="2"/>
  <c r="C13869" i="2"/>
  <c r="B13869" i="2"/>
  <c r="A13869" i="2"/>
  <c r="D13868" i="2"/>
  <c r="C13868" i="2"/>
  <c r="B13868" i="2"/>
  <c r="A13868" i="2"/>
  <c r="D13867" i="2"/>
  <c r="C13867" i="2"/>
  <c r="B13867" i="2"/>
  <c r="A13867" i="2"/>
  <c r="D13866" i="2"/>
  <c r="C13866" i="2"/>
  <c r="B13866" i="2"/>
  <c r="A13866" i="2"/>
  <c r="D13865" i="2"/>
  <c r="C13865" i="2"/>
  <c r="B13865" i="2"/>
  <c r="A13865" i="2"/>
  <c r="D13864" i="2"/>
  <c r="C13864" i="2"/>
  <c r="B13864" i="2"/>
  <c r="A13864" i="2"/>
  <c r="D13863" i="2"/>
  <c r="C13863" i="2"/>
  <c r="B13863" i="2"/>
  <c r="A13863" i="2"/>
  <c r="D13862" i="2"/>
  <c r="C13862" i="2"/>
  <c r="B13862" i="2"/>
  <c r="A13862" i="2"/>
  <c r="D13861" i="2"/>
  <c r="C13861" i="2"/>
  <c r="B13861" i="2"/>
  <c r="A13861" i="2"/>
  <c r="D13860" i="2"/>
  <c r="C13860" i="2"/>
  <c r="B13860" i="2"/>
  <c r="A13860" i="2"/>
  <c r="D13859" i="2"/>
  <c r="C13859" i="2"/>
  <c r="B13859" i="2"/>
  <c r="A13859" i="2"/>
  <c r="D13858" i="2"/>
  <c r="C13858" i="2"/>
  <c r="B13858" i="2"/>
  <c r="A13858" i="2"/>
  <c r="D13857" i="2"/>
  <c r="C13857" i="2"/>
  <c r="B13857" i="2"/>
  <c r="A13857" i="2"/>
  <c r="D13856" i="2"/>
  <c r="C13856" i="2"/>
  <c r="B13856" i="2"/>
  <c r="A13856" i="2"/>
  <c r="D13855" i="2"/>
  <c r="C13855" i="2"/>
  <c r="B13855" i="2"/>
  <c r="A13855" i="2"/>
  <c r="D13854" i="2"/>
  <c r="C13854" i="2"/>
  <c r="B13854" i="2"/>
  <c r="A13854" i="2"/>
  <c r="D13853" i="2"/>
  <c r="C13853" i="2"/>
  <c r="B13853" i="2"/>
  <c r="A13853" i="2"/>
  <c r="D13852" i="2"/>
  <c r="C13852" i="2"/>
  <c r="B13852" i="2"/>
  <c r="A13852" i="2"/>
  <c r="D13851" i="2"/>
  <c r="C13851" i="2"/>
  <c r="B13851" i="2"/>
  <c r="A13851" i="2"/>
  <c r="D13850" i="2"/>
  <c r="C13850" i="2"/>
  <c r="B13850" i="2"/>
  <c r="A13850" i="2"/>
  <c r="D13849" i="2"/>
  <c r="C13849" i="2"/>
  <c r="B13849" i="2"/>
  <c r="A13849" i="2"/>
  <c r="D13848" i="2"/>
  <c r="C13848" i="2"/>
  <c r="B13848" i="2"/>
  <c r="A13848" i="2"/>
  <c r="D13847" i="2"/>
  <c r="C13847" i="2"/>
  <c r="B13847" i="2"/>
  <c r="A13847" i="2"/>
  <c r="D13846" i="2"/>
  <c r="C13846" i="2"/>
  <c r="B13846" i="2"/>
  <c r="A13846" i="2"/>
  <c r="D13845" i="2"/>
  <c r="C13845" i="2"/>
  <c r="B13845" i="2"/>
  <c r="A13845" i="2"/>
  <c r="D13844" i="2"/>
  <c r="C13844" i="2"/>
  <c r="B13844" i="2"/>
  <c r="A13844" i="2"/>
  <c r="D13843" i="2"/>
  <c r="C13843" i="2"/>
  <c r="B13843" i="2"/>
  <c r="A13843" i="2"/>
  <c r="D13842" i="2"/>
  <c r="C13842" i="2"/>
  <c r="B13842" i="2"/>
  <c r="A13842" i="2"/>
  <c r="D13841" i="2"/>
  <c r="C13841" i="2"/>
  <c r="B13841" i="2"/>
  <c r="A13841" i="2"/>
  <c r="D13840" i="2"/>
  <c r="C13840" i="2"/>
  <c r="B13840" i="2"/>
  <c r="A13840" i="2"/>
  <c r="D13839" i="2"/>
  <c r="C13839" i="2"/>
  <c r="B13839" i="2"/>
  <c r="A13839" i="2"/>
  <c r="D13838" i="2"/>
  <c r="C13838" i="2"/>
  <c r="B13838" i="2"/>
  <c r="A13838" i="2"/>
  <c r="D13837" i="2"/>
  <c r="C13837" i="2"/>
  <c r="B13837" i="2"/>
  <c r="A13837" i="2"/>
  <c r="D13836" i="2"/>
  <c r="C13836" i="2"/>
  <c r="B13836" i="2"/>
  <c r="A13836" i="2"/>
  <c r="D13835" i="2"/>
  <c r="C13835" i="2"/>
  <c r="B13835" i="2"/>
  <c r="A13835" i="2"/>
  <c r="D13834" i="2"/>
  <c r="C13834" i="2"/>
  <c r="B13834" i="2"/>
  <c r="A13834" i="2"/>
  <c r="D13833" i="2"/>
  <c r="C13833" i="2"/>
  <c r="B13833" i="2"/>
  <c r="A13833" i="2"/>
  <c r="D13832" i="2"/>
  <c r="C13832" i="2"/>
  <c r="B13832" i="2"/>
  <c r="A13832" i="2"/>
  <c r="D13831" i="2"/>
  <c r="C13831" i="2"/>
  <c r="B13831" i="2"/>
  <c r="A13831" i="2"/>
  <c r="D13830" i="2"/>
  <c r="C13830" i="2"/>
  <c r="B13830" i="2"/>
  <c r="A13830" i="2"/>
  <c r="D13829" i="2"/>
  <c r="C13829" i="2"/>
  <c r="B13829" i="2"/>
  <c r="A13829" i="2"/>
  <c r="D13828" i="2"/>
  <c r="C13828" i="2"/>
  <c r="B13828" i="2"/>
  <c r="A13828" i="2"/>
  <c r="D13827" i="2"/>
  <c r="C13827" i="2"/>
  <c r="B13827" i="2"/>
  <c r="A13827" i="2"/>
  <c r="D13826" i="2"/>
  <c r="C13826" i="2"/>
  <c r="B13826" i="2"/>
  <c r="A13826" i="2"/>
  <c r="D13825" i="2"/>
  <c r="C13825" i="2"/>
  <c r="B13825" i="2"/>
  <c r="A13825" i="2"/>
  <c r="D13824" i="2"/>
  <c r="C13824" i="2"/>
  <c r="B13824" i="2"/>
  <c r="A13824" i="2"/>
  <c r="D13823" i="2"/>
  <c r="C13823" i="2"/>
  <c r="B13823" i="2"/>
  <c r="A13823" i="2"/>
  <c r="D13822" i="2"/>
  <c r="C13822" i="2"/>
  <c r="B13822" i="2"/>
  <c r="A13822" i="2"/>
  <c r="D13821" i="2"/>
  <c r="C13821" i="2"/>
  <c r="B13821" i="2"/>
  <c r="A13821" i="2"/>
  <c r="D13820" i="2"/>
  <c r="C13820" i="2"/>
  <c r="B13820" i="2"/>
  <c r="A13820" i="2"/>
  <c r="D13819" i="2"/>
  <c r="C13819" i="2"/>
  <c r="B13819" i="2"/>
  <c r="A13819" i="2"/>
  <c r="D13818" i="2"/>
  <c r="C13818" i="2"/>
  <c r="B13818" i="2"/>
  <c r="A13818" i="2"/>
  <c r="D13817" i="2"/>
  <c r="C13817" i="2"/>
  <c r="B13817" i="2"/>
  <c r="A13817" i="2"/>
  <c r="D13816" i="2"/>
  <c r="C13816" i="2"/>
  <c r="B13816" i="2"/>
  <c r="A13816" i="2"/>
  <c r="D13815" i="2"/>
  <c r="C13815" i="2"/>
  <c r="B13815" i="2"/>
  <c r="A13815" i="2"/>
  <c r="D13814" i="2"/>
  <c r="C13814" i="2"/>
  <c r="B13814" i="2"/>
  <c r="A13814" i="2"/>
  <c r="D13813" i="2"/>
  <c r="C13813" i="2"/>
  <c r="B13813" i="2"/>
  <c r="A13813" i="2"/>
  <c r="D13812" i="2"/>
  <c r="C13812" i="2"/>
  <c r="B13812" i="2"/>
  <c r="A13812" i="2"/>
  <c r="D13811" i="2"/>
  <c r="C13811" i="2"/>
  <c r="B13811" i="2"/>
  <c r="A13811" i="2"/>
  <c r="D13810" i="2"/>
  <c r="C13810" i="2"/>
  <c r="B13810" i="2"/>
  <c r="A13810" i="2"/>
  <c r="D13809" i="2"/>
  <c r="C13809" i="2"/>
  <c r="B13809" i="2"/>
  <c r="A13809" i="2"/>
  <c r="D13808" i="2"/>
  <c r="C13808" i="2"/>
  <c r="B13808" i="2"/>
  <c r="A13808" i="2"/>
  <c r="D13807" i="2"/>
  <c r="C13807" i="2"/>
  <c r="B13807" i="2"/>
  <c r="A13807" i="2"/>
  <c r="D13806" i="2"/>
  <c r="C13806" i="2"/>
  <c r="B13806" i="2"/>
  <c r="A13806" i="2"/>
  <c r="D13805" i="2"/>
  <c r="C13805" i="2"/>
  <c r="B13805" i="2"/>
  <c r="A13805" i="2"/>
  <c r="D13804" i="2"/>
  <c r="C13804" i="2"/>
  <c r="B13804" i="2"/>
  <c r="A13804" i="2"/>
  <c r="D13803" i="2"/>
  <c r="C13803" i="2"/>
  <c r="B13803" i="2"/>
  <c r="A13803" i="2"/>
  <c r="D13802" i="2"/>
  <c r="C13802" i="2"/>
  <c r="B13802" i="2"/>
  <c r="A13802" i="2"/>
  <c r="D13801" i="2"/>
  <c r="C13801" i="2"/>
  <c r="B13801" i="2"/>
  <c r="A13801" i="2"/>
  <c r="D13800" i="2"/>
  <c r="C13800" i="2"/>
  <c r="B13800" i="2"/>
  <c r="A13800" i="2"/>
  <c r="D13799" i="2"/>
  <c r="C13799" i="2"/>
  <c r="B13799" i="2"/>
  <c r="A13799" i="2"/>
  <c r="D13798" i="2"/>
  <c r="C13798" i="2"/>
  <c r="B13798" i="2"/>
  <c r="A13798" i="2"/>
  <c r="D13797" i="2"/>
  <c r="C13797" i="2"/>
  <c r="B13797" i="2"/>
  <c r="A13797" i="2"/>
  <c r="D13796" i="2"/>
  <c r="C13796" i="2"/>
  <c r="B13796" i="2"/>
  <c r="A13796" i="2"/>
  <c r="D13795" i="2"/>
  <c r="C13795" i="2"/>
  <c r="B13795" i="2"/>
  <c r="A13795" i="2"/>
  <c r="D13794" i="2"/>
  <c r="C13794" i="2"/>
  <c r="B13794" i="2"/>
  <c r="A13794" i="2"/>
  <c r="D13793" i="2"/>
  <c r="C13793" i="2"/>
  <c r="B13793" i="2"/>
  <c r="A13793" i="2"/>
  <c r="D13792" i="2"/>
  <c r="C13792" i="2"/>
  <c r="B13792" i="2"/>
  <c r="A13792" i="2"/>
  <c r="D13791" i="2"/>
  <c r="C13791" i="2"/>
  <c r="B13791" i="2"/>
  <c r="A13791" i="2"/>
  <c r="D13790" i="2"/>
  <c r="C13790" i="2"/>
  <c r="B13790" i="2"/>
  <c r="A13790" i="2"/>
  <c r="D13789" i="2"/>
  <c r="C13789" i="2"/>
  <c r="B13789" i="2"/>
  <c r="A13789" i="2"/>
  <c r="D13788" i="2"/>
  <c r="C13788" i="2"/>
  <c r="B13788" i="2"/>
  <c r="A13788" i="2"/>
  <c r="D13787" i="2"/>
  <c r="C13787" i="2"/>
  <c r="B13787" i="2"/>
  <c r="A13787" i="2"/>
  <c r="D13786" i="2"/>
  <c r="C13786" i="2"/>
  <c r="B13786" i="2"/>
  <c r="A13786" i="2"/>
  <c r="D13785" i="2"/>
  <c r="C13785" i="2"/>
  <c r="B13785" i="2"/>
  <c r="A13785" i="2"/>
  <c r="D13784" i="2"/>
  <c r="C13784" i="2"/>
  <c r="B13784" i="2"/>
  <c r="A13784" i="2"/>
  <c r="D13783" i="2"/>
  <c r="C13783" i="2"/>
  <c r="B13783" i="2"/>
  <c r="A13783" i="2"/>
  <c r="D13782" i="2"/>
  <c r="C13782" i="2"/>
  <c r="B13782" i="2"/>
  <c r="A13782" i="2"/>
  <c r="D13781" i="2"/>
  <c r="C13781" i="2"/>
  <c r="B13781" i="2"/>
  <c r="A13781" i="2"/>
  <c r="D13780" i="2"/>
  <c r="C13780" i="2"/>
  <c r="B13780" i="2"/>
  <c r="A13780" i="2"/>
  <c r="D13779" i="2"/>
  <c r="C13779" i="2"/>
  <c r="B13779" i="2"/>
  <c r="A13779" i="2"/>
  <c r="D13778" i="2"/>
  <c r="C13778" i="2"/>
  <c r="B13778" i="2"/>
  <c r="A13778" i="2"/>
  <c r="D13777" i="2"/>
  <c r="C13777" i="2"/>
  <c r="B13777" i="2"/>
  <c r="A13777" i="2"/>
  <c r="D13776" i="2"/>
  <c r="C13776" i="2"/>
  <c r="B13776" i="2"/>
  <c r="A13776" i="2"/>
  <c r="D13775" i="2"/>
  <c r="C13775" i="2"/>
  <c r="B13775" i="2"/>
  <c r="A13775" i="2"/>
  <c r="D13774" i="2"/>
  <c r="C13774" i="2"/>
  <c r="B13774" i="2"/>
  <c r="A13774" i="2"/>
  <c r="D13773" i="2"/>
  <c r="C13773" i="2"/>
  <c r="B13773" i="2"/>
  <c r="A13773" i="2"/>
  <c r="D13772" i="2"/>
  <c r="C13772" i="2"/>
  <c r="B13772" i="2"/>
  <c r="A13772" i="2"/>
  <c r="D13771" i="2"/>
  <c r="C13771" i="2"/>
  <c r="B13771" i="2"/>
  <c r="A13771" i="2"/>
  <c r="D13770" i="2"/>
  <c r="C13770" i="2"/>
  <c r="B13770" i="2"/>
  <c r="A13770" i="2"/>
  <c r="D13769" i="2"/>
  <c r="C13769" i="2"/>
  <c r="B13769" i="2"/>
  <c r="A13769" i="2"/>
  <c r="D13768" i="2"/>
  <c r="C13768" i="2"/>
  <c r="B13768" i="2"/>
  <c r="A13768" i="2"/>
  <c r="D13767" i="2"/>
  <c r="C13767" i="2"/>
  <c r="B13767" i="2"/>
  <c r="A13767" i="2"/>
  <c r="D13766" i="2"/>
  <c r="C13766" i="2"/>
  <c r="B13766" i="2"/>
  <c r="A13766" i="2"/>
  <c r="D13765" i="2"/>
  <c r="C13765" i="2"/>
  <c r="B13765" i="2"/>
  <c r="A13765" i="2"/>
  <c r="D13764" i="2"/>
  <c r="C13764" i="2"/>
  <c r="B13764" i="2"/>
  <c r="A13764" i="2"/>
  <c r="D13763" i="2"/>
  <c r="C13763" i="2"/>
  <c r="B13763" i="2"/>
  <c r="A13763" i="2"/>
  <c r="D13762" i="2"/>
  <c r="C13762" i="2"/>
  <c r="B13762" i="2"/>
  <c r="A13762" i="2"/>
  <c r="D13761" i="2"/>
  <c r="C13761" i="2"/>
  <c r="B13761" i="2"/>
  <c r="A13761" i="2"/>
  <c r="D13760" i="2"/>
  <c r="C13760" i="2"/>
  <c r="B13760" i="2"/>
  <c r="A13760" i="2"/>
  <c r="D13759" i="2"/>
  <c r="C13759" i="2"/>
  <c r="B13759" i="2"/>
  <c r="A13759" i="2"/>
  <c r="D13758" i="2"/>
  <c r="C13758" i="2"/>
  <c r="B13758" i="2"/>
  <c r="A13758" i="2"/>
  <c r="D13757" i="2"/>
  <c r="C13757" i="2"/>
  <c r="B13757" i="2"/>
  <c r="A13757" i="2"/>
  <c r="D13756" i="2"/>
  <c r="C13756" i="2"/>
  <c r="B13756" i="2"/>
  <c r="A13756" i="2"/>
  <c r="D13755" i="2"/>
  <c r="C13755" i="2"/>
  <c r="B13755" i="2"/>
  <c r="A13755" i="2"/>
  <c r="D13754" i="2"/>
  <c r="C13754" i="2"/>
  <c r="B13754" i="2"/>
  <c r="A13754" i="2"/>
  <c r="D13753" i="2"/>
  <c r="C13753" i="2"/>
  <c r="B13753" i="2"/>
  <c r="A13753" i="2"/>
  <c r="D13752" i="2"/>
  <c r="C13752" i="2"/>
  <c r="B13752" i="2"/>
  <c r="A13752" i="2"/>
  <c r="D13751" i="2"/>
  <c r="C13751" i="2"/>
  <c r="B13751" i="2"/>
  <c r="A13751" i="2"/>
  <c r="D13750" i="2"/>
  <c r="C13750" i="2"/>
  <c r="B13750" i="2"/>
  <c r="A13750" i="2"/>
  <c r="D13749" i="2"/>
  <c r="C13749" i="2"/>
  <c r="B13749" i="2"/>
  <c r="A13749" i="2"/>
  <c r="D13748" i="2"/>
  <c r="C13748" i="2"/>
  <c r="B13748" i="2"/>
  <c r="A13748" i="2"/>
  <c r="D13747" i="2"/>
  <c r="C13747" i="2"/>
  <c r="B13747" i="2"/>
  <c r="A13747" i="2"/>
  <c r="D13746" i="2"/>
  <c r="C13746" i="2"/>
  <c r="B13746" i="2"/>
  <c r="A13746" i="2"/>
  <c r="D13745" i="2"/>
  <c r="C13745" i="2"/>
  <c r="B13745" i="2"/>
  <c r="A13745" i="2"/>
  <c r="D13744" i="2"/>
  <c r="C13744" i="2"/>
  <c r="B13744" i="2"/>
  <c r="A13744" i="2"/>
  <c r="D13743" i="2"/>
  <c r="C13743" i="2"/>
  <c r="B13743" i="2"/>
  <c r="A13743" i="2"/>
  <c r="D13742" i="2"/>
  <c r="C13742" i="2"/>
  <c r="B13742" i="2"/>
  <c r="A13742" i="2"/>
  <c r="D13741" i="2"/>
  <c r="C13741" i="2"/>
  <c r="B13741" i="2"/>
  <c r="A13741" i="2"/>
  <c r="D13740" i="2"/>
  <c r="C13740" i="2"/>
  <c r="B13740" i="2"/>
  <c r="A13740" i="2"/>
  <c r="D13739" i="2"/>
  <c r="C13739" i="2"/>
  <c r="B13739" i="2"/>
  <c r="A13739" i="2"/>
  <c r="D13738" i="2"/>
  <c r="C13738" i="2"/>
  <c r="B13738" i="2"/>
  <c r="A13738" i="2"/>
  <c r="D13737" i="2"/>
  <c r="C13737" i="2"/>
  <c r="B13737" i="2"/>
  <c r="A13737" i="2"/>
  <c r="D13736" i="2"/>
  <c r="C13736" i="2"/>
  <c r="B13736" i="2"/>
  <c r="A13736" i="2"/>
  <c r="D13735" i="2"/>
  <c r="C13735" i="2"/>
  <c r="B13735" i="2"/>
  <c r="A13735" i="2"/>
  <c r="D13734" i="2"/>
  <c r="C13734" i="2"/>
  <c r="B13734" i="2"/>
  <c r="A13734" i="2"/>
  <c r="D13733" i="2"/>
  <c r="C13733" i="2"/>
  <c r="B13733" i="2"/>
  <c r="A13733" i="2"/>
  <c r="D13732" i="2"/>
  <c r="C13732" i="2"/>
  <c r="B13732" i="2"/>
  <c r="A13732" i="2"/>
  <c r="D13731" i="2"/>
  <c r="C13731" i="2"/>
  <c r="B13731" i="2"/>
  <c r="A13731" i="2"/>
  <c r="D13730" i="2"/>
  <c r="C13730" i="2"/>
  <c r="B13730" i="2"/>
  <c r="A13730" i="2"/>
  <c r="D13729" i="2"/>
  <c r="C13729" i="2"/>
  <c r="B13729" i="2"/>
  <c r="A13729" i="2"/>
  <c r="D13728" i="2"/>
  <c r="C13728" i="2"/>
  <c r="B13728" i="2"/>
  <c r="A13728" i="2"/>
  <c r="D13727" i="2"/>
  <c r="C13727" i="2"/>
  <c r="B13727" i="2"/>
  <c r="A13727" i="2"/>
  <c r="D13726" i="2"/>
  <c r="C13726" i="2"/>
  <c r="B13726" i="2"/>
  <c r="A13726" i="2"/>
  <c r="D13725" i="2"/>
  <c r="C13725" i="2"/>
  <c r="B13725" i="2"/>
  <c r="A13725" i="2"/>
  <c r="D13724" i="2"/>
  <c r="C13724" i="2"/>
  <c r="B13724" i="2"/>
  <c r="A13724" i="2"/>
  <c r="D13723" i="2"/>
  <c r="C13723" i="2"/>
  <c r="B13723" i="2"/>
  <c r="A13723" i="2"/>
  <c r="D13722" i="2"/>
  <c r="C13722" i="2"/>
  <c r="B13722" i="2"/>
  <c r="A13722" i="2"/>
  <c r="D13721" i="2"/>
  <c r="C13721" i="2"/>
  <c r="B13721" i="2"/>
  <c r="A13721" i="2"/>
  <c r="D13720" i="2"/>
  <c r="C13720" i="2"/>
  <c r="B13720" i="2"/>
  <c r="A13720" i="2"/>
  <c r="D13719" i="2"/>
  <c r="C13719" i="2"/>
  <c r="B13719" i="2"/>
  <c r="A13719" i="2"/>
  <c r="D13718" i="2"/>
  <c r="C13718" i="2"/>
  <c r="B13718" i="2"/>
  <c r="A13718" i="2"/>
  <c r="D13717" i="2"/>
  <c r="C13717" i="2"/>
  <c r="B13717" i="2"/>
  <c r="A13717" i="2"/>
  <c r="D13716" i="2"/>
  <c r="C13716" i="2"/>
  <c r="B13716" i="2"/>
  <c r="A13716" i="2"/>
  <c r="D13715" i="2"/>
  <c r="C13715" i="2"/>
  <c r="B13715" i="2"/>
  <c r="A13715" i="2"/>
  <c r="D13714" i="2"/>
  <c r="C13714" i="2"/>
  <c r="B13714" i="2"/>
  <c r="A13714" i="2"/>
  <c r="D13713" i="2"/>
  <c r="C13713" i="2"/>
  <c r="B13713" i="2"/>
  <c r="A13713" i="2"/>
  <c r="D13712" i="2"/>
  <c r="C13712" i="2"/>
  <c r="B13712" i="2"/>
  <c r="A13712" i="2"/>
  <c r="D13711" i="2"/>
  <c r="C13711" i="2"/>
  <c r="B13711" i="2"/>
  <c r="A13711" i="2"/>
  <c r="D13710" i="2"/>
  <c r="C13710" i="2"/>
  <c r="B13710" i="2"/>
  <c r="A13710" i="2"/>
  <c r="D13709" i="2"/>
  <c r="C13709" i="2"/>
  <c r="B13709" i="2"/>
  <c r="A13709" i="2"/>
  <c r="D13708" i="2"/>
  <c r="C13708" i="2"/>
  <c r="B13708" i="2"/>
  <c r="A13708" i="2"/>
  <c r="D13707" i="2"/>
  <c r="C13707" i="2"/>
  <c r="B13707" i="2"/>
  <c r="A13707" i="2"/>
  <c r="D13706" i="2"/>
  <c r="C13706" i="2"/>
  <c r="B13706" i="2"/>
  <c r="A13706" i="2"/>
  <c r="D13705" i="2"/>
  <c r="C13705" i="2"/>
  <c r="B13705" i="2"/>
  <c r="A13705" i="2"/>
  <c r="D13704" i="2"/>
  <c r="C13704" i="2"/>
  <c r="B13704" i="2"/>
  <c r="A13704" i="2"/>
  <c r="D13703" i="2"/>
  <c r="C13703" i="2"/>
  <c r="B13703" i="2"/>
  <c r="A13703" i="2"/>
  <c r="D13702" i="2"/>
  <c r="C13702" i="2"/>
  <c r="B13702" i="2"/>
  <c r="A13702" i="2"/>
  <c r="D13701" i="2"/>
  <c r="C13701" i="2"/>
  <c r="B13701" i="2"/>
  <c r="A13701" i="2"/>
  <c r="D13700" i="2"/>
  <c r="C13700" i="2"/>
  <c r="B13700" i="2"/>
  <c r="A13700" i="2"/>
  <c r="D13699" i="2"/>
  <c r="C13699" i="2"/>
  <c r="B13699" i="2"/>
  <c r="A13699" i="2"/>
  <c r="D13698" i="2"/>
  <c r="C13698" i="2"/>
  <c r="B13698" i="2"/>
  <c r="A13698" i="2"/>
  <c r="D13697" i="2"/>
  <c r="C13697" i="2"/>
  <c r="B13697" i="2"/>
  <c r="A13697" i="2"/>
  <c r="D13696" i="2"/>
  <c r="C13696" i="2"/>
  <c r="B13696" i="2"/>
  <c r="A13696" i="2"/>
  <c r="D13695" i="2"/>
  <c r="C13695" i="2"/>
  <c r="B13695" i="2"/>
  <c r="A13695" i="2"/>
  <c r="D13694" i="2"/>
  <c r="C13694" i="2"/>
  <c r="B13694" i="2"/>
  <c r="A13694" i="2"/>
  <c r="D13693" i="2"/>
  <c r="C13693" i="2"/>
  <c r="B13693" i="2"/>
  <c r="A13693" i="2"/>
  <c r="D13692" i="2"/>
  <c r="C13692" i="2"/>
  <c r="B13692" i="2"/>
  <c r="A13692" i="2"/>
  <c r="D13691" i="2"/>
  <c r="C13691" i="2"/>
  <c r="B13691" i="2"/>
  <c r="A13691" i="2"/>
  <c r="D13690" i="2"/>
  <c r="C13690" i="2"/>
  <c r="B13690" i="2"/>
  <c r="A13690" i="2"/>
  <c r="D13689" i="2"/>
  <c r="C13689" i="2"/>
  <c r="B13689" i="2"/>
  <c r="A13689" i="2"/>
  <c r="D13688" i="2"/>
  <c r="C13688" i="2"/>
  <c r="B13688" i="2"/>
  <c r="A13688" i="2"/>
  <c r="D13687" i="2"/>
  <c r="C13687" i="2"/>
  <c r="B13687" i="2"/>
  <c r="A13687" i="2"/>
  <c r="D13686" i="2"/>
  <c r="C13686" i="2"/>
  <c r="B13686" i="2"/>
  <c r="A13686" i="2"/>
  <c r="D13685" i="2"/>
  <c r="C13685" i="2"/>
  <c r="B13685" i="2"/>
  <c r="A13685" i="2"/>
  <c r="D13684" i="2"/>
  <c r="C13684" i="2"/>
  <c r="B13684" i="2"/>
  <c r="A13684" i="2"/>
  <c r="D13683" i="2"/>
  <c r="C13683" i="2"/>
  <c r="B13683" i="2"/>
  <c r="A13683" i="2"/>
  <c r="D13682" i="2"/>
  <c r="C13682" i="2"/>
  <c r="B13682" i="2"/>
  <c r="A13682" i="2"/>
  <c r="D13681" i="2"/>
  <c r="C13681" i="2"/>
  <c r="B13681" i="2"/>
  <c r="A13681" i="2"/>
  <c r="D13680" i="2"/>
  <c r="C13680" i="2"/>
  <c r="B13680" i="2"/>
  <c r="A13680" i="2"/>
  <c r="D13679" i="2"/>
  <c r="C13679" i="2"/>
  <c r="B13679" i="2"/>
  <c r="A13679" i="2"/>
  <c r="D13678" i="2"/>
  <c r="C13678" i="2"/>
  <c r="B13678" i="2"/>
  <c r="A13678" i="2"/>
  <c r="D13677" i="2"/>
  <c r="C13677" i="2"/>
  <c r="B13677" i="2"/>
  <c r="A13677" i="2"/>
  <c r="D13676" i="2"/>
  <c r="C13676" i="2"/>
  <c r="B13676" i="2"/>
  <c r="A13676" i="2"/>
  <c r="D13675" i="2"/>
  <c r="C13675" i="2"/>
  <c r="B13675" i="2"/>
  <c r="A13675" i="2"/>
  <c r="D13674" i="2"/>
  <c r="C13674" i="2"/>
  <c r="B13674" i="2"/>
  <c r="A13674" i="2"/>
  <c r="D13673" i="2"/>
  <c r="C13673" i="2"/>
  <c r="B13673" i="2"/>
  <c r="A13673" i="2"/>
  <c r="D13672" i="2"/>
  <c r="C13672" i="2"/>
  <c r="B13672" i="2"/>
  <c r="A13672" i="2"/>
  <c r="D13671" i="2"/>
  <c r="C13671" i="2"/>
  <c r="B13671" i="2"/>
  <c r="A13671" i="2"/>
  <c r="D13670" i="2"/>
  <c r="C13670" i="2"/>
  <c r="B13670" i="2"/>
  <c r="A13670" i="2"/>
  <c r="D13669" i="2"/>
  <c r="C13669" i="2"/>
  <c r="B13669" i="2"/>
  <c r="A13669" i="2"/>
  <c r="D13668" i="2"/>
  <c r="C13668" i="2"/>
  <c r="B13668" i="2"/>
  <c r="A13668" i="2"/>
  <c r="D13667" i="2"/>
  <c r="C13667" i="2"/>
  <c r="B13667" i="2"/>
  <c r="A13667" i="2"/>
  <c r="D13666" i="2"/>
  <c r="C13666" i="2"/>
  <c r="B13666" i="2"/>
  <c r="A13666" i="2"/>
  <c r="D13665" i="2"/>
  <c r="C13665" i="2"/>
  <c r="B13665" i="2"/>
  <c r="A13665" i="2"/>
  <c r="D13664" i="2"/>
  <c r="C13664" i="2"/>
  <c r="B13664" i="2"/>
  <c r="A13664" i="2"/>
  <c r="D13663" i="2"/>
  <c r="C13663" i="2"/>
  <c r="B13663" i="2"/>
  <c r="A13663" i="2"/>
  <c r="D13662" i="2"/>
  <c r="C13662" i="2"/>
  <c r="B13662" i="2"/>
  <c r="A13662" i="2"/>
  <c r="D13661" i="2"/>
  <c r="C13661" i="2"/>
  <c r="B13661" i="2"/>
  <c r="A13661" i="2"/>
  <c r="D13660" i="2"/>
  <c r="C13660" i="2"/>
  <c r="B13660" i="2"/>
  <c r="A13660" i="2"/>
  <c r="D13659" i="2"/>
  <c r="C13659" i="2"/>
  <c r="B13659" i="2"/>
  <c r="A13659" i="2"/>
  <c r="D13658" i="2"/>
  <c r="C13658" i="2"/>
  <c r="B13658" i="2"/>
  <c r="A13658" i="2"/>
  <c r="D13657" i="2"/>
  <c r="C13657" i="2"/>
  <c r="B13657" i="2"/>
  <c r="A13657" i="2"/>
  <c r="D13656" i="2"/>
  <c r="C13656" i="2"/>
  <c r="B13656" i="2"/>
  <c r="A13656" i="2"/>
  <c r="D13655" i="2"/>
  <c r="C13655" i="2"/>
  <c r="B13655" i="2"/>
  <c r="A13655" i="2"/>
  <c r="D13654" i="2"/>
  <c r="C13654" i="2"/>
  <c r="B13654" i="2"/>
  <c r="A13654" i="2"/>
  <c r="D13653" i="2"/>
  <c r="C13653" i="2"/>
  <c r="B13653" i="2"/>
  <c r="A13653" i="2"/>
  <c r="D13652" i="2"/>
  <c r="C13652" i="2"/>
  <c r="B13652" i="2"/>
  <c r="A13652" i="2"/>
  <c r="D13651" i="2"/>
  <c r="C13651" i="2"/>
  <c r="B13651" i="2"/>
  <c r="A13651" i="2"/>
  <c r="D13650" i="2"/>
  <c r="C13650" i="2"/>
  <c r="B13650" i="2"/>
  <c r="A13650" i="2"/>
  <c r="D13649" i="2"/>
  <c r="C13649" i="2"/>
  <c r="B13649" i="2"/>
  <c r="A13649" i="2"/>
  <c r="D13648" i="2"/>
  <c r="C13648" i="2"/>
  <c r="B13648" i="2"/>
  <c r="A13648" i="2"/>
  <c r="D13647" i="2"/>
  <c r="C13647" i="2"/>
  <c r="B13647" i="2"/>
  <c r="A13647" i="2"/>
  <c r="D13646" i="2"/>
  <c r="C13646" i="2"/>
  <c r="B13646" i="2"/>
  <c r="A13646" i="2"/>
  <c r="D13645" i="2"/>
  <c r="C13645" i="2"/>
  <c r="B13645" i="2"/>
  <c r="A13645" i="2"/>
  <c r="D13644" i="2"/>
  <c r="C13644" i="2"/>
  <c r="B13644" i="2"/>
  <c r="A13644" i="2"/>
  <c r="D13643" i="2"/>
  <c r="C13643" i="2"/>
  <c r="B13643" i="2"/>
  <c r="A13643" i="2"/>
  <c r="D13642" i="2"/>
  <c r="C13642" i="2"/>
  <c r="B13642" i="2"/>
  <c r="A13642" i="2"/>
  <c r="D13641" i="2"/>
  <c r="C13641" i="2"/>
  <c r="B13641" i="2"/>
  <c r="A13641" i="2"/>
  <c r="D13640" i="2"/>
  <c r="C13640" i="2"/>
  <c r="B13640" i="2"/>
  <c r="A13640" i="2"/>
  <c r="D13639" i="2"/>
  <c r="C13639" i="2"/>
  <c r="B13639" i="2"/>
  <c r="A13639" i="2"/>
  <c r="D13638" i="2"/>
  <c r="C13638" i="2"/>
  <c r="B13638" i="2"/>
  <c r="A13638" i="2"/>
  <c r="D13637" i="2"/>
  <c r="C13637" i="2"/>
  <c r="B13637" i="2"/>
  <c r="A13637" i="2"/>
  <c r="D13636" i="2"/>
  <c r="C13636" i="2"/>
  <c r="B13636" i="2"/>
  <c r="A13636" i="2"/>
  <c r="D13635" i="2"/>
  <c r="C13635" i="2"/>
  <c r="B13635" i="2"/>
  <c r="A13635" i="2"/>
  <c r="D13634" i="2"/>
  <c r="C13634" i="2"/>
  <c r="B13634" i="2"/>
  <c r="A13634" i="2"/>
  <c r="D13633" i="2"/>
  <c r="C13633" i="2"/>
  <c r="B13633" i="2"/>
  <c r="A13633" i="2"/>
  <c r="D13632" i="2"/>
  <c r="C13632" i="2"/>
  <c r="B13632" i="2"/>
  <c r="A13632" i="2"/>
  <c r="D13631" i="2"/>
  <c r="C13631" i="2"/>
  <c r="B13631" i="2"/>
  <c r="A13631" i="2"/>
  <c r="D13630" i="2"/>
  <c r="C13630" i="2"/>
  <c r="B13630" i="2"/>
  <c r="A13630" i="2"/>
  <c r="D13629" i="2"/>
  <c r="C13629" i="2"/>
  <c r="B13629" i="2"/>
  <c r="A13629" i="2"/>
  <c r="D13628" i="2"/>
  <c r="C13628" i="2"/>
  <c r="B13628" i="2"/>
  <c r="A13628" i="2"/>
  <c r="D13627" i="2"/>
  <c r="C13627" i="2"/>
  <c r="B13627" i="2"/>
  <c r="A13627" i="2"/>
  <c r="D13626" i="2"/>
  <c r="C13626" i="2"/>
  <c r="B13626" i="2"/>
  <c r="A13626" i="2"/>
  <c r="D13625" i="2"/>
  <c r="C13625" i="2"/>
  <c r="B13625" i="2"/>
  <c r="A13625" i="2"/>
  <c r="D13624" i="2"/>
  <c r="C13624" i="2"/>
  <c r="B13624" i="2"/>
  <c r="A13624" i="2"/>
  <c r="D13623" i="2"/>
  <c r="C13623" i="2"/>
  <c r="B13623" i="2"/>
  <c r="A13623" i="2"/>
  <c r="D13622" i="2"/>
  <c r="C13622" i="2"/>
  <c r="B13622" i="2"/>
  <c r="A13622" i="2"/>
  <c r="D13621" i="2"/>
  <c r="C13621" i="2"/>
  <c r="B13621" i="2"/>
  <c r="A13621" i="2"/>
  <c r="D13620" i="2"/>
  <c r="C13620" i="2"/>
  <c r="B13620" i="2"/>
  <c r="A13620" i="2"/>
  <c r="D13619" i="2"/>
  <c r="C13619" i="2"/>
  <c r="B13619" i="2"/>
  <c r="A13619" i="2"/>
  <c r="D13618" i="2"/>
  <c r="C13618" i="2"/>
  <c r="B13618" i="2"/>
  <c r="A13618" i="2"/>
  <c r="D13617" i="2"/>
  <c r="C13617" i="2"/>
  <c r="B13617" i="2"/>
  <c r="A13617" i="2"/>
  <c r="D13616" i="2"/>
  <c r="C13616" i="2"/>
  <c r="B13616" i="2"/>
  <c r="A13616" i="2"/>
  <c r="D13615" i="2"/>
  <c r="C13615" i="2"/>
  <c r="B13615" i="2"/>
  <c r="A13615" i="2"/>
  <c r="D13614" i="2"/>
  <c r="C13614" i="2"/>
  <c r="B13614" i="2"/>
  <c r="A13614" i="2"/>
  <c r="D13613" i="2"/>
  <c r="C13613" i="2"/>
  <c r="B13613" i="2"/>
  <c r="A13613" i="2"/>
  <c r="D13612" i="2"/>
  <c r="C13612" i="2"/>
  <c r="B13612" i="2"/>
  <c r="A13612" i="2"/>
  <c r="D13611" i="2"/>
  <c r="C13611" i="2"/>
  <c r="B13611" i="2"/>
  <c r="A13611" i="2"/>
  <c r="D13610" i="2"/>
  <c r="C13610" i="2"/>
  <c r="B13610" i="2"/>
  <c r="A13610" i="2"/>
  <c r="D13609" i="2"/>
  <c r="C13609" i="2"/>
  <c r="B13609" i="2"/>
  <c r="A13609" i="2"/>
  <c r="D13608" i="2"/>
  <c r="C13608" i="2"/>
  <c r="B13608" i="2"/>
  <c r="A13608" i="2"/>
  <c r="D13607" i="2"/>
  <c r="C13607" i="2"/>
  <c r="B13607" i="2"/>
  <c r="A13607" i="2"/>
  <c r="D13606" i="2"/>
  <c r="C13606" i="2"/>
  <c r="B13606" i="2"/>
  <c r="A13606" i="2"/>
  <c r="D13605" i="2"/>
  <c r="C13605" i="2"/>
  <c r="B13605" i="2"/>
  <c r="A13605" i="2"/>
  <c r="D13604" i="2"/>
  <c r="C13604" i="2"/>
  <c r="B13604" i="2"/>
  <c r="A13604" i="2"/>
  <c r="D13603" i="2"/>
  <c r="C13603" i="2"/>
  <c r="B13603" i="2"/>
  <c r="A13603" i="2"/>
  <c r="D13602" i="2"/>
  <c r="B13602" i="2"/>
  <c r="A13602" i="2"/>
  <c r="D13601" i="2"/>
  <c r="C13601" i="2"/>
  <c r="B13601" i="2"/>
  <c r="A13601" i="2"/>
  <c r="D13600" i="2"/>
  <c r="C13600" i="2"/>
  <c r="B13600" i="2"/>
  <c r="A13600" i="2"/>
  <c r="D13599" i="2"/>
  <c r="B13599" i="2"/>
  <c r="A13599" i="2"/>
  <c r="D13598" i="2"/>
  <c r="B13598" i="2"/>
  <c r="A13598" i="2"/>
  <c r="D13597" i="2"/>
  <c r="C13597" i="2"/>
  <c r="B13597" i="2"/>
  <c r="A13597" i="2"/>
  <c r="D13596" i="2"/>
  <c r="C13596" i="2"/>
  <c r="B13596" i="2"/>
  <c r="A13596" i="2"/>
  <c r="D13595" i="2"/>
  <c r="C13595" i="2"/>
  <c r="B13595" i="2"/>
  <c r="A13595" i="2"/>
  <c r="D13594" i="2"/>
  <c r="C13594" i="2"/>
  <c r="B13594" i="2"/>
  <c r="A13594" i="2"/>
  <c r="D13593" i="2"/>
  <c r="C13593" i="2"/>
  <c r="B13593" i="2"/>
  <c r="A13593" i="2"/>
  <c r="D13592" i="2"/>
  <c r="C13592" i="2"/>
  <c r="B13592" i="2"/>
  <c r="A13592" i="2"/>
  <c r="D13591" i="2"/>
  <c r="C13591" i="2"/>
  <c r="B13591" i="2"/>
  <c r="A13591" i="2"/>
  <c r="D13590" i="2"/>
  <c r="B13590" i="2"/>
  <c r="A13590" i="2"/>
  <c r="D13589" i="2"/>
  <c r="C13589" i="2"/>
  <c r="B13589" i="2"/>
  <c r="A13589" i="2"/>
  <c r="D13588" i="2"/>
  <c r="C13588" i="2"/>
  <c r="B13588" i="2"/>
  <c r="A13588" i="2"/>
  <c r="D13587" i="2"/>
  <c r="C13587" i="2"/>
  <c r="B13587" i="2"/>
  <c r="A13587" i="2"/>
  <c r="D13586" i="2"/>
  <c r="C13586" i="2"/>
  <c r="B13586" i="2"/>
  <c r="A13586" i="2"/>
  <c r="D13585" i="2"/>
  <c r="C13585" i="2"/>
  <c r="B13585" i="2"/>
  <c r="A13585" i="2"/>
  <c r="D13584" i="2"/>
  <c r="C13584" i="2"/>
  <c r="B13584" i="2"/>
  <c r="A13584" i="2"/>
  <c r="D13583" i="2"/>
  <c r="B13583" i="2"/>
  <c r="A13583" i="2"/>
  <c r="D13582" i="2"/>
  <c r="C13582" i="2"/>
  <c r="B13582" i="2"/>
  <c r="A13582" i="2"/>
  <c r="D13581" i="2"/>
  <c r="C13581" i="2"/>
  <c r="B13581" i="2"/>
  <c r="A13581" i="2"/>
  <c r="D13580" i="2"/>
  <c r="C13580" i="2"/>
  <c r="B13580" i="2"/>
  <c r="A13580" i="2"/>
  <c r="D13579" i="2"/>
  <c r="C13579" i="2"/>
  <c r="B13579" i="2"/>
  <c r="A13579" i="2"/>
  <c r="D13578" i="2"/>
  <c r="C13578" i="2"/>
  <c r="B13578" i="2"/>
  <c r="A13578" i="2"/>
  <c r="D13577" i="2"/>
  <c r="B13577" i="2"/>
  <c r="A13577" i="2"/>
  <c r="D13576" i="2"/>
  <c r="C13576" i="2"/>
  <c r="B13576" i="2"/>
  <c r="A13576" i="2"/>
  <c r="D13575" i="2"/>
  <c r="B13575" i="2"/>
  <c r="A13575" i="2"/>
  <c r="D13574" i="2"/>
  <c r="B13574" i="2"/>
  <c r="A13574" i="2"/>
  <c r="D13573" i="2"/>
  <c r="B13573" i="2"/>
  <c r="A13573" i="2"/>
  <c r="D13572" i="2"/>
  <c r="B13572" i="2"/>
  <c r="A13572" i="2"/>
  <c r="D13571" i="2"/>
  <c r="B13571" i="2"/>
  <c r="A13571" i="2"/>
  <c r="D13570" i="2"/>
  <c r="C13570" i="2"/>
  <c r="B13570" i="2"/>
  <c r="A13570" i="2"/>
  <c r="D13569" i="2"/>
  <c r="C13569" i="2"/>
  <c r="B13569" i="2"/>
  <c r="A13569" i="2"/>
  <c r="D13568" i="2"/>
  <c r="C13568" i="2"/>
  <c r="B13568" i="2"/>
  <c r="A13568" i="2"/>
  <c r="D13567" i="2"/>
  <c r="B13567" i="2"/>
  <c r="A13567" i="2"/>
  <c r="D13566" i="2"/>
  <c r="B13566" i="2"/>
  <c r="A13566" i="2"/>
  <c r="D13565" i="2"/>
  <c r="B13565" i="2"/>
  <c r="A13565" i="2"/>
  <c r="D13564" i="2"/>
  <c r="C13564" i="2"/>
  <c r="B13564" i="2"/>
  <c r="A13564" i="2"/>
  <c r="D13563" i="2"/>
  <c r="B13563" i="2"/>
  <c r="A13563" i="2"/>
  <c r="D13562" i="2"/>
  <c r="C13562" i="2"/>
  <c r="B13562" i="2"/>
  <c r="A13562" i="2"/>
  <c r="D13561" i="2"/>
  <c r="B13561" i="2"/>
  <c r="A13561" i="2"/>
  <c r="D13560" i="2"/>
  <c r="C13560" i="2"/>
  <c r="B13560" i="2"/>
  <c r="A13560" i="2"/>
  <c r="D13559" i="2"/>
  <c r="B13559" i="2"/>
  <c r="A13559" i="2"/>
  <c r="D13558" i="2"/>
  <c r="B13558" i="2"/>
  <c r="A13558" i="2"/>
  <c r="D13557" i="2"/>
  <c r="C13557" i="2"/>
  <c r="B13557" i="2"/>
  <c r="A13557" i="2"/>
  <c r="D13556" i="2"/>
  <c r="C13556" i="2"/>
  <c r="B13556" i="2"/>
  <c r="A13556" i="2"/>
  <c r="D13555" i="2"/>
  <c r="C13555" i="2"/>
  <c r="B13555" i="2"/>
  <c r="A13555" i="2"/>
  <c r="D13554" i="2"/>
  <c r="C13554" i="2"/>
  <c r="B13554" i="2"/>
  <c r="A13554" i="2"/>
  <c r="D13553" i="2"/>
  <c r="B13553" i="2"/>
  <c r="A13553" i="2"/>
  <c r="D13552" i="2"/>
  <c r="C13552" i="2"/>
  <c r="B13552" i="2"/>
  <c r="A13552" i="2"/>
  <c r="D13551" i="2"/>
  <c r="C13551" i="2"/>
  <c r="B13551" i="2"/>
  <c r="A13551" i="2"/>
  <c r="D13550" i="2"/>
  <c r="C13550" i="2"/>
  <c r="B13550" i="2"/>
  <c r="A13550" i="2"/>
  <c r="D13549" i="2"/>
  <c r="B13549" i="2"/>
  <c r="A13549" i="2"/>
  <c r="D13548" i="2"/>
  <c r="B13548" i="2"/>
  <c r="A13548" i="2"/>
  <c r="D13547" i="2"/>
  <c r="B13547" i="2"/>
  <c r="A13547" i="2"/>
  <c r="D13546" i="2"/>
  <c r="C13546" i="2"/>
  <c r="B13546" i="2"/>
  <c r="A13546" i="2"/>
  <c r="D13545" i="2"/>
  <c r="C13545" i="2"/>
  <c r="B13545" i="2"/>
  <c r="A13545" i="2"/>
  <c r="D13544" i="2"/>
  <c r="C13544" i="2"/>
  <c r="B13544" i="2"/>
  <c r="A13544" i="2"/>
  <c r="D13543" i="2"/>
  <c r="B13543" i="2"/>
  <c r="A13543" i="2"/>
  <c r="D13542" i="2"/>
  <c r="B13542" i="2"/>
  <c r="A13542" i="2"/>
  <c r="D13541" i="2"/>
  <c r="B13541" i="2"/>
  <c r="A13541" i="2"/>
  <c r="D13540" i="2"/>
  <c r="B13540" i="2"/>
  <c r="A13540" i="2"/>
  <c r="D13539" i="2"/>
  <c r="B13539" i="2"/>
  <c r="A13539" i="2"/>
  <c r="D13538" i="2"/>
  <c r="B13538" i="2"/>
  <c r="A13538" i="2"/>
  <c r="D13537" i="2"/>
  <c r="C13537" i="2"/>
  <c r="B13537" i="2"/>
  <c r="A13537" i="2"/>
  <c r="D13536" i="2"/>
  <c r="B13536" i="2"/>
  <c r="A13536" i="2"/>
  <c r="D13535" i="2"/>
  <c r="C13535" i="2"/>
  <c r="B13535" i="2"/>
  <c r="A13535" i="2"/>
  <c r="D13534" i="2"/>
  <c r="B13534" i="2"/>
  <c r="A13534" i="2"/>
  <c r="D13533" i="2"/>
  <c r="B13533" i="2"/>
  <c r="A13533" i="2"/>
  <c r="D13532" i="2"/>
  <c r="C13532" i="2"/>
  <c r="B13532" i="2"/>
  <c r="A13532" i="2"/>
  <c r="D13531" i="2"/>
  <c r="C13531" i="2"/>
  <c r="B13531" i="2"/>
  <c r="A13531" i="2"/>
  <c r="D13530" i="2"/>
  <c r="C13530" i="2"/>
  <c r="B13530" i="2"/>
  <c r="A13530" i="2"/>
  <c r="D13529" i="2"/>
  <c r="C13529" i="2"/>
  <c r="B13529" i="2"/>
  <c r="A13529" i="2"/>
  <c r="D13528" i="2"/>
  <c r="C13528" i="2"/>
  <c r="B13528" i="2"/>
  <c r="A13528" i="2"/>
  <c r="D13527" i="2"/>
  <c r="C13527" i="2"/>
  <c r="B13527" i="2"/>
  <c r="A13527" i="2"/>
  <c r="D13526" i="2"/>
  <c r="C13526" i="2"/>
  <c r="B13526" i="2"/>
  <c r="A13526" i="2"/>
  <c r="D13525" i="2"/>
  <c r="C13525" i="2"/>
  <c r="B13525" i="2"/>
  <c r="A13525" i="2"/>
  <c r="D13524" i="2"/>
  <c r="C13524" i="2"/>
  <c r="B13524" i="2"/>
  <c r="A13524" i="2"/>
  <c r="D13523" i="2"/>
  <c r="C13523" i="2"/>
  <c r="B13523" i="2"/>
  <c r="A13523" i="2"/>
  <c r="D13522" i="2"/>
  <c r="C13522" i="2"/>
  <c r="B13522" i="2"/>
  <c r="A13522" i="2"/>
  <c r="D13521" i="2"/>
  <c r="C13521" i="2"/>
  <c r="B13521" i="2"/>
  <c r="A13521" i="2"/>
  <c r="D13520" i="2"/>
  <c r="C13520" i="2"/>
  <c r="B13520" i="2"/>
  <c r="A13520" i="2"/>
  <c r="D13519" i="2"/>
  <c r="B13519" i="2"/>
  <c r="A13519" i="2"/>
  <c r="D13518" i="2"/>
  <c r="C13518" i="2"/>
  <c r="B13518" i="2"/>
  <c r="A13518" i="2"/>
  <c r="D13517" i="2"/>
  <c r="C13517" i="2"/>
  <c r="B13517" i="2"/>
  <c r="A13517" i="2"/>
  <c r="D13516" i="2"/>
  <c r="C13516" i="2"/>
  <c r="B13516" i="2"/>
  <c r="A13516" i="2"/>
  <c r="D13515" i="2"/>
  <c r="C13515" i="2"/>
  <c r="B13515" i="2"/>
  <c r="A13515" i="2"/>
  <c r="D13514" i="2"/>
  <c r="C13514" i="2"/>
  <c r="B13514" i="2"/>
  <c r="A13514" i="2"/>
  <c r="D13513" i="2"/>
  <c r="C13513" i="2"/>
  <c r="B13513" i="2"/>
  <c r="A13513" i="2"/>
  <c r="D13512" i="2"/>
  <c r="C13512" i="2"/>
  <c r="B13512" i="2"/>
  <c r="A13512" i="2"/>
  <c r="D13511" i="2"/>
  <c r="C13511" i="2"/>
  <c r="B13511" i="2"/>
  <c r="A13511" i="2"/>
  <c r="D13510" i="2"/>
  <c r="C13510" i="2"/>
  <c r="B13510" i="2"/>
  <c r="A13510" i="2"/>
  <c r="D13509" i="2"/>
  <c r="C13509" i="2"/>
  <c r="B13509" i="2"/>
  <c r="A13509" i="2"/>
  <c r="D13508" i="2"/>
  <c r="C13508" i="2"/>
  <c r="B13508" i="2"/>
  <c r="A13508" i="2"/>
  <c r="D13507" i="2"/>
  <c r="C13507" i="2"/>
  <c r="B13507" i="2"/>
  <c r="A13507" i="2"/>
  <c r="D13506" i="2"/>
  <c r="C13506" i="2"/>
  <c r="B13506" i="2"/>
  <c r="A13506" i="2"/>
  <c r="D13505" i="2"/>
  <c r="C13505" i="2"/>
  <c r="B13505" i="2"/>
  <c r="A13505" i="2"/>
  <c r="D13504" i="2"/>
  <c r="C13504" i="2"/>
  <c r="B13504" i="2"/>
  <c r="A13504" i="2"/>
  <c r="D13503" i="2"/>
  <c r="C13503" i="2"/>
  <c r="B13503" i="2"/>
  <c r="A13503" i="2"/>
  <c r="D13502" i="2"/>
  <c r="C13502" i="2"/>
  <c r="B13502" i="2"/>
  <c r="A13502" i="2"/>
  <c r="D13501" i="2"/>
  <c r="C13501" i="2"/>
  <c r="B13501" i="2"/>
  <c r="A13501" i="2"/>
  <c r="D13500" i="2"/>
  <c r="B13500" i="2"/>
  <c r="A13500" i="2"/>
  <c r="D13499" i="2"/>
  <c r="C13499" i="2"/>
  <c r="B13499" i="2"/>
  <c r="A13499" i="2"/>
  <c r="D13498" i="2"/>
  <c r="C13498" i="2"/>
  <c r="B13498" i="2"/>
  <c r="A13498" i="2"/>
  <c r="D13497" i="2"/>
  <c r="C13497" i="2"/>
  <c r="B13497" i="2"/>
  <c r="A13497" i="2"/>
  <c r="D13496" i="2"/>
  <c r="C13496" i="2"/>
  <c r="B13496" i="2"/>
  <c r="A13496" i="2"/>
  <c r="D13495" i="2"/>
  <c r="C13495" i="2"/>
  <c r="B13495" i="2"/>
  <c r="A13495" i="2"/>
  <c r="D13494" i="2"/>
  <c r="C13494" i="2"/>
  <c r="B13494" i="2"/>
  <c r="A13494" i="2"/>
  <c r="D13493" i="2"/>
  <c r="C13493" i="2"/>
  <c r="B13493" i="2"/>
  <c r="A13493" i="2"/>
  <c r="D13492" i="2"/>
  <c r="C13492" i="2"/>
  <c r="B13492" i="2"/>
  <c r="A13492" i="2"/>
  <c r="D13491" i="2"/>
  <c r="C13491" i="2"/>
  <c r="B13491" i="2"/>
  <c r="A13491" i="2"/>
  <c r="D13490" i="2"/>
  <c r="C13490" i="2"/>
  <c r="B13490" i="2"/>
  <c r="A13490" i="2"/>
  <c r="D13489" i="2"/>
  <c r="C13489" i="2"/>
  <c r="B13489" i="2"/>
  <c r="A13489" i="2"/>
  <c r="D13488" i="2"/>
  <c r="C13488" i="2"/>
  <c r="B13488" i="2"/>
  <c r="A13488" i="2"/>
  <c r="D13487" i="2"/>
  <c r="C13487" i="2"/>
  <c r="B13487" i="2"/>
  <c r="A13487" i="2"/>
  <c r="D13486" i="2"/>
  <c r="C13486" i="2"/>
  <c r="B13486" i="2"/>
  <c r="A13486" i="2"/>
  <c r="D13485" i="2"/>
  <c r="C13485" i="2"/>
  <c r="B13485" i="2"/>
  <c r="A13485" i="2"/>
  <c r="D13484" i="2"/>
  <c r="C13484" i="2"/>
  <c r="B13484" i="2"/>
  <c r="A13484" i="2"/>
  <c r="D13483" i="2"/>
  <c r="C13483" i="2"/>
  <c r="B13483" i="2"/>
  <c r="A13483" i="2"/>
  <c r="D13482" i="2"/>
  <c r="C13482" i="2"/>
  <c r="B13482" i="2"/>
  <c r="A13482" i="2"/>
  <c r="D13481" i="2"/>
  <c r="C13481" i="2"/>
  <c r="B13481" i="2"/>
  <c r="A13481" i="2"/>
  <c r="D13480" i="2"/>
  <c r="C13480" i="2"/>
  <c r="B13480" i="2"/>
  <c r="A13480" i="2"/>
  <c r="D13479" i="2"/>
  <c r="C13479" i="2"/>
  <c r="B13479" i="2"/>
  <c r="A13479" i="2"/>
  <c r="D13478" i="2"/>
  <c r="C13478" i="2"/>
  <c r="B13478" i="2"/>
  <c r="A13478" i="2"/>
  <c r="D13477" i="2"/>
  <c r="C13477" i="2"/>
  <c r="B13477" i="2"/>
  <c r="A13477" i="2"/>
  <c r="D13476" i="2"/>
  <c r="C13476" i="2"/>
  <c r="B13476" i="2"/>
  <c r="A13476" i="2"/>
  <c r="D13475" i="2"/>
  <c r="C13475" i="2"/>
  <c r="B13475" i="2"/>
  <c r="A13475" i="2"/>
  <c r="D13474" i="2"/>
  <c r="C13474" i="2"/>
  <c r="B13474" i="2"/>
  <c r="A13474" i="2"/>
  <c r="D13473" i="2"/>
  <c r="C13473" i="2"/>
  <c r="B13473" i="2"/>
  <c r="A13473" i="2"/>
  <c r="D13472" i="2"/>
  <c r="C13472" i="2"/>
  <c r="B13472" i="2"/>
  <c r="A13472" i="2"/>
  <c r="D13471" i="2"/>
  <c r="C13471" i="2"/>
  <c r="B13471" i="2"/>
  <c r="A13471" i="2"/>
  <c r="D13470" i="2"/>
  <c r="C13470" i="2"/>
  <c r="B13470" i="2"/>
  <c r="A13470" i="2"/>
  <c r="D13469" i="2"/>
  <c r="C13469" i="2"/>
  <c r="B13469" i="2"/>
  <c r="A13469" i="2"/>
  <c r="D13468" i="2"/>
  <c r="C13468" i="2"/>
  <c r="B13468" i="2"/>
  <c r="A13468" i="2"/>
  <c r="D13467" i="2"/>
  <c r="C13467" i="2"/>
  <c r="B13467" i="2"/>
  <c r="A13467" i="2"/>
  <c r="D13466" i="2"/>
  <c r="C13466" i="2"/>
  <c r="B13466" i="2"/>
  <c r="A13466" i="2"/>
  <c r="D13465" i="2"/>
  <c r="C13465" i="2"/>
  <c r="B13465" i="2"/>
  <c r="A13465" i="2"/>
  <c r="D13464" i="2"/>
  <c r="C13464" i="2"/>
  <c r="B13464" i="2"/>
  <c r="A13464" i="2"/>
  <c r="D13463" i="2"/>
  <c r="C13463" i="2"/>
  <c r="B13463" i="2"/>
  <c r="A13463" i="2"/>
  <c r="D13462" i="2"/>
  <c r="C13462" i="2"/>
  <c r="B13462" i="2"/>
  <c r="A13462" i="2"/>
  <c r="D13461" i="2"/>
  <c r="C13461" i="2"/>
  <c r="B13461" i="2"/>
  <c r="A13461" i="2"/>
  <c r="D13460" i="2"/>
  <c r="C13460" i="2"/>
  <c r="B13460" i="2"/>
  <c r="A13460" i="2"/>
  <c r="D13459" i="2"/>
  <c r="C13459" i="2"/>
  <c r="B13459" i="2"/>
  <c r="A13459" i="2"/>
  <c r="D13458" i="2"/>
  <c r="C13458" i="2"/>
  <c r="B13458" i="2"/>
  <c r="A13458" i="2"/>
  <c r="D13457" i="2"/>
  <c r="C13457" i="2"/>
  <c r="B13457" i="2"/>
  <c r="A13457" i="2"/>
  <c r="D13456" i="2"/>
  <c r="C13456" i="2"/>
  <c r="B13456" i="2"/>
  <c r="A13456" i="2"/>
  <c r="D13455" i="2"/>
  <c r="C13455" i="2"/>
  <c r="B13455" i="2"/>
  <c r="A13455" i="2"/>
  <c r="D13454" i="2"/>
  <c r="C13454" i="2"/>
  <c r="B13454" i="2"/>
  <c r="A13454" i="2"/>
  <c r="D13453" i="2"/>
  <c r="C13453" i="2"/>
  <c r="B13453" i="2"/>
  <c r="A13453" i="2"/>
  <c r="D13452" i="2"/>
  <c r="C13452" i="2"/>
  <c r="B13452" i="2"/>
  <c r="A13452" i="2"/>
  <c r="D13451" i="2"/>
  <c r="C13451" i="2"/>
  <c r="B13451" i="2"/>
  <c r="A13451" i="2"/>
  <c r="D13450" i="2"/>
  <c r="C13450" i="2"/>
  <c r="B13450" i="2"/>
  <c r="A13450" i="2"/>
  <c r="D13449" i="2"/>
  <c r="C13449" i="2"/>
  <c r="B13449" i="2"/>
  <c r="A13449" i="2"/>
  <c r="D13448" i="2"/>
  <c r="C13448" i="2"/>
  <c r="B13448" i="2"/>
  <c r="A13448" i="2"/>
  <c r="D13447" i="2"/>
  <c r="C13447" i="2"/>
  <c r="B13447" i="2"/>
  <c r="A13447" i="2"/>
  <c r="D13446" i="2"/>
  <c r="C13446" i="2"/>
  <c r="B13446" i="2"/>
  <c r="A13446" i="2"/>
  <c r="D13445" i="2"/>
  <c r="C13445" i="2"/>
  <c r="B13445" i="2"/>
  <c r="A13445" i="2"/>
  <c r="D13444" i="2"/>
  <c r="C13444" i="2"/>
  <c r="B13444" i="2"/>
  <c r="A13444" i="2"/>
  <c r="D13443" i="2"/>
  <c r="C13443" i="2"/>
  <c r="B13443" i="2"/>
  <c r="A13443" i="2"/>
  <c r="D13442" i="2"/>
  <c r="C13442" i="2"/>
  <c r="B13442" i="2"/>
  <c r="A13442" i="2"/>
  <c r="D13441" i="2"/>
  <c r="C13441" i="2"/>
  <c r="B13441" i="2"/>
  <c r="A13441" i="2"/>
  <c r="D13440" i="2"/>
  <c r="C13440" i="2"/>
  <c r="B13440" i="2"/>
  <c r="A13440" i="2"/>
  <c r="D13439" i="2"/>
  <c r="C13439" i="2"/>
  <c r="B13439" i="2"/>
  <c r="A13439" i="2"/>
  <c r="D13438" i="2"/>
  <c r="C13438" i="2"/>
  <c r="B13438" i="2"/>
  <c r="A13438" i="2"/>
  <c r="D13437" i="2"/>
  <c r="C13437" i="2"/>
  <c r="B13437" i="2"/>
  <c r="A13437" i="2"/>
  <c r="D13436" i="2"/>
  <c r="C13436" i="2"/>
  <c r="B13436" i="2"/>
  <c r="A13436" i="2"/>
  <c r="D13435" i="2"/>
  <c r="C13435" i="2"/>
  <c r="B13435" i="2"/>
  <c r="A13435" i="2"/>
  <c r="D13434" i="2"/>
  <c r="C13434" i="2"/>
  <c r="B13434" i="2"/>
  <c r="A13434" i="2"/>
  <c r="D13433" i="2"/>
  <c r="C13433" i="2"/>
  <c r="B13433" i="2"/>
  <c r="A13433" i="2"/>
  <c r="D13432" i="2"/>
  <c r="C13432" i="2"/>
  <c r="B13432" i="2"/>
  <c r="A13432" i="2"/>
  <c r="D13431" i="2"/>
  <c r="C13431" i="2"/>
  <c r="B13431" i="2"/>
  <c r="A13431" i="2"/>
  <c r="D13430" i="2"/>
  <c r="C13430" i="2"/>
  <c r="B13430" i="2"/>
  <c r="A13430" i="2"/>
  <c r="D13429" i="2"/>
  <c r="C13429" i="2"/>
  <c r="B13429" i="2"/>
  <c r="A13429" i="2"/>
  <c r="D13428" i="2"/>
  <c r="C13428" i="2"/>
  <c r="B13428" i="2"/>
  <c r="A13428" i="2"/>
  <c r="D13427" i="2"/>
  <c r="C13427" i="2"/>
  <c r="B13427" i="2"/>
  <c r="A13427" i="2"/>
  <c r="D13426" i="2"/>
  <c r="C13426" i="2"/>
  <c r="B13426" i="2"/>
  <c r="A13426" i="2"/>
  <c r="D13425" i="2"/>
  <c r="C13425" i="2"/>
  <c r="B13425" i="2"/>
  <c r="A13425" i="2"/>
  <c r="D13424" i="2"/>
  <c r="C13424" i="2"/>
  <c r="B13424" i="2"/>
  <c r="A13424" i="2"/>
  <c r="D13423" i="2"/>
  <c r="C13423" i="2"/>
  <c r="B13423" i="2"/>
  <c r="A13423" i="2"/>
  <c r="D13422" i="2"/>
  <c r="C13422" i="2"/>
  <c r="B13422" i="2"/>
  <c r="A13422" i="2"/>
  <c r="D13421" i="2"/>
  <c r="C13421" i="2"/>
  <c r="B13421" i="2"/>
  <c r="A13421" i="2"/>
  <c r="D13420" i="2"/>
  <c r="C13420" i="2"/>
  <c r="B13420" i="2"/>
  <c r="A13420" i="2"/>
  <c r="D13419" i="2"/>
  <c r="C13419" i="2"/>
  <c r="B13419" i="2"/>
  <c r="A13419" i="2"/>
  <c r="D13418" i="2"/>
  <c r="C13418" i="2"/>
  <c r="B13418" i="2"/>
  <c r="A13418" i="2"/>
  <c r="D13417" i="2"/>
  <c r="C13417" i="2"/>
  <c r="B13417" i="2"/>
  <c r="A13417" i="2"/>
  <c r="D13416" i="2"/>
  <c r="C13416" i="2"/>
  <c r="B13416" i="2"/>
  <c r="A13416" i="2"/>
  <c r="D13415" i="2"/>
  <c r="C13415" i="2"/>
  <c r="B13415" i="2"/>
  <c r="A13415" i="2"/>
  <c r="D13414" i="2"/>
  <c r="C13414" i="2"/>
  <c r="B13414" i="2"/>
  <c r="A13414" i="2"/>
  <c r="D13413" i="2"/>
  <c r="C13413" i="2"/>
  <c r="B13413" i="2"/>
  <c r="A13413" i="2"/>
  <c r="D13412" i="2"/>
  <c r="C13412" i="2"/>
  <c r="B13412" i="2"/>
  <c r="A13412" i="2"/>
  <c r="D13411" i="2"/>
  <c r="C13411" i="2"/>
  <c r="B13411" i="2"/>
  <c r="A13411" i="2"/>
  <c r="D13410" i="2"/>
  <c r="C13410" i="2"/>
  <c r="B13410" i="2"/>
  <c r="A13410" i="2"/>
  <c r="D13409" i="2"/>
  <c r="C13409" i="2"/>
  <c r="B13409" i="2"/>
  <c r="A13409" i="2"/>
  <c r="D13408" i="2"/>
  <c r="C13408" i="2"/>
  <c r="B13408" i="2"/>
  <c r="A13408" i="2"/>
  <c r="D13407" i="2"/>
  <c r="C13407" i="2"/>
  <c r="B13407" i="2"/>
  <c r="A13407" i="2"/>
  <c r="D13406" i="2"/>
  <c r="C13406" i="2"/>
  <c r="B13406" i="2"/>
  <c r="A13406" i="2"/>
  <c r="D13405" i="2"/>
  <c r="C13405" i="2"/>
  <c r="B13405" i="2"/>
  <c r="A13405" i="2"/>
  <c r="D13404" i="2"/>
  <c r="C13404" i="2"/>
  <c r="B13404" i="2"/>
  <c r="A13404" i="2"/>
  <c r="D13403" i="2"/>
  <c r="C13403" i="2"/>
  <c r="B13403" i="2"/>
  <c r="A13403" i="2"/>
  <c r="D13402" i="2"/>
  <c r="C13402" i="2"/>
  <c r="B13402" i="2"/>
  <c r="A13402" i="2"/>
  <c r="D13401" i="2"/>
  <c r="C13401" i="2"/>
  <c r="B13401" i="2"/>
  <c r="A13401" i="2"/>
  <c r="D13400" i="2"/>
  <c r="C13400" i="2"/>
  <c r="B13400" i="2"/>
  <c r="A13400" i="2"/>
  <c r="D13399" i="2"/>
  <c r="C13399" i="2"/>
  <c r="B13399" i="2"/>
  <c r="A13399" i="2"/>
  <c r="D13398" i="2"/>
  <c r="C13398" i="2"/>
  <c r="B13398" i="2"/>
  <c r="A13398" i="2"/>
  <c r="D13397" i="2"/>
  <c r="C13397" i="2"/>
  <c r="B13397" i="2"/>
  <c r="A13397" i="2"/>
  <c r="D13396" i="2"/>
  <c r="C13396" i="2"/>
  <c r="B13396" i="2"/>
  <c r="A13396" i="2"/>
  <c r="D13395" i="2"/>
  <c r="C13395" i="2"/>
  <c r="B13395" i="2"/>
  <c r="A13395" i="2"/>
  <c r="D13394" i="2"/>
  <c r="C13394" i="2"/>
  <c r="B13394" i="2"/>
  <c r="A13394" i="2"/>
  <c r="D13393" i="2"/>
  <c r="C13393" i="2"/>
  <c r="B13393" i="2"/>
  <c r="A13393" i="2"/>
  <c r="D13392" i="2"/>
  <c r="C13392" i="2"/>
  <c r="B13392" i="2"/>
  <c r="A13392" i="2"/>
  <c r="D13391" i="2"/>
  <c r="C13391" i="2"/>
  <c r="B13391" i="2"/>
  <c r="A13391" i="2"/>
  <c r="D13390" i="2"/>
  <c r="C13390" i="2"/>
  <c r="B13390" i="2"/>
  <c r="A13390" i="2"/>
  <c r="D13389" i="2"/>
  <c r="C13389" i="2"/>
  <c r="B13389" i="2"/>
  <c r="A13389" i="2"/>
  <c r="D13388" i="2"/>
  <c r="C13388" i="2"/>
  <c r="B13388" i="2"/>
  <c r="A13388" i="2"/>
  <c r="D13387" i="2"/>
  <c r="C13387" i="2"/>
  <c r="B13387" i="2"/>
  <c r="A13387" i="2"/>
  <c r="D13386" i="2"/>
  <c r="C13386" i="2"/>
  <c r="B13386" i="2"/>
  <c r="A13386" i="2"/>
  <c r="D13385" i="2"/>
  <c r="C13385" i="2"/>
  <c r="B13385" i="2"/>
  <c r="A13385" i="2"/>
  <c r="D13384" i="2"/>
  <c r="C13384" i="2"/>
  <c r="B13384" i="2"/>
  <c r="A13384" i="2"/>
  <c r="D13383" i="2"/>
  <c r="C13383" i="2"/>
  <c r="B13383" i="2"/>
  <c r="A13383" i="2"/>
  <c r="D13382" i="2"/>
  <c r="C13382" i="2"/>
  <c r="B13382" i="2"/>
  <c r="A13382" i="2"/>
  <c r="D13381" i="2"/>
  <c r="C13381" i="2"/>
  <c r="B13381" i="2"/>
  <c r="A13381" i="2"/>
  <c r="D13380" i="2"/>
  <c r="C13380" i="2"/>
  <c r="B13380" i="2"/>
  <c r="A13380" i="2"/>
  <c r="D13379" i="2"/>
  <c r="C13379" i="2"/>
  <c r="B13379" i="2"/>
  <c r="A13379" i="2"/>
  <c r="D13378" i="2"/>
  <c r="C13378" i="2"/>
  <c r="B13378" i="2"/>
  <c r="A13378" i="2"/>
  <c r="D13377" i="2"/>
  <c r="C13377" i="2"/>
  <c r="B13377" i="2"/>
  <c r="A13377" i="2"/>
  <c r="D13376" i="2"/>
  <c r="C13376" i="2"/>
  <c r="B13376" i="2"/>
  <c r="A13376" i="2"/>
  <c r="D13375" i="2"/>
  <c r="C13375" i="2"/>
  <c r="B13375" i="2"/>
  <c r="A13375" i="2"/>
  <c r="D13374" i="2"/>
  <c r="C13374" i="2"/>
  <c r="B13374" i="2"/>
  <c r="A13374" i="2"/>
  <c r="D13373" i="2"/>
  <c r="C13373" i="2"/>
  <c r="B13373" i="2"/>
  <c r="A13373" i="2"/>
  <c r="D13372" i="2"/>
  <c r="C13372" i="2"/>
  <c r="B13372" i="2"/>
  <c r="A13372" i="2"/>
  <c r="D13371" i="2"/>
  <c r="C13371" i="2"/>
  <c r="B13371" i="2"/>
  <c r="A13371" i="2"/>
  <c r="D13370" i="2"/>
  <c r="C13370" i="2"/>
  <c r="B13370" i="2"/>
  <c r="A13370" i="2"/>
  <c r="D13369" i="2"/>
  <c r="C13369" i="2"/>
  <c r="B13369" i="2"/>
  <c r="A13369" i="2"/>
  <c r="D13368" i="2"/>
  <c r="C13368" i="2"/>
  <c r="B13368" i="2"/>
  <c r="A13368" i="2"/>
  <c r="D13367" i="2"/>
  <c r="C13367" i="2"/>
  <c r="B13367" i="2"/>
  <c r="A13367" i="2"/>
  <c r="D13366" i="2"/>
  <c r="C13366" i="2"/>
  <c r="B13366" i="2"/>
  <c r="A13366" i="2"/>
  <c r="D13365" i="2"/>
  <c r="C13365" i="2"/>
  <c r="B13365" i="2"/>
  <c r="A13365" i="2"/>
  <c r="D13364" i="2"/>
  <c r="C13364" i="2"/>
  <c r="B13364" i="2"/>
  <c r="A13364" i="2"/>
  <c r="D13363" i="2"/>
  <c r="C13363" i="2"/>
  <c r="B13363" i="2"/>
  <c r="A13363" i="2"/>
  <c r="D13362" i="2"/>
  <c r="C13362" i="2"/>
  <c r="B13362" i="2"/>
  <c r="A13362" i="2"/>
  <c r="D13361" i="2"/>
  <c r="C13361" i="2"/>
  <c r="B13361" i="2"/>
  <c r="A13361" i="2"/>
  <c r="D13360" i="2"/>
  <c r="C13360" i="2"/>
  <c r="B13360" i="2"/>
  <c r="A13360" i="2"/>
  <c r="D13359" i="2"/>
  <c r="C13359" i="2"/>
  <c r="B13359" i="2"/>
  <c r="A13359" i="2"/>
  <c r="D13358" i="2"/>
  <c r="C13358" i="2"/>
  <c r="B13358" i="2"/>
  <c r="A13358" i="2"/>
  <c r="D13357" i="2"/>
  <c r="C13357" i="2"/>
  <c r="B13357" i="2"/>
  <c r="A13357" i="2"/>
  <c r="D13356" i="2"/>
  <c r="C13356" i="2"/>
  <c r="B13356" i="2"/>
  <c r="A13356" i="2"/>
  <c r="D13355" i="2"/>
  <c r="C13355" i="2"/>
  <c r="B13355" i="2"/>
  <c r="A13355" i="2"/>
  <c r="D13354" i="2"/>
  <c r="C13354" i="2"/>
  <c r="B13354" i="2"/>
  <c r="A13354" i="2"/>
  <c r="D13353" i="2"/>
  <c r="C13353" i="2"/>
  <c r="B13353" i="2"/>
  <c r="A13353" i="2"/>
  <c r="D13352" i="2"/>
  <c r="C13352" i="2"/>
  <c r="B13352" i="2"/>
  <c r="A13352" i="2"/>
  <c r="D13351" i="2"/>
  <c r="C13351" i="2"/>
  <c r="B13351" i="2"/>
  <c r="A13351" i="2"/>
  <c r="D13350" i="2"/>
  <c r="C13350" i="2"/>
  <c r="B13350" i="2"/>
  <c r="A13350" i="2"/>
  <c r="D13349" i="2"/>
  <c r="B13349" i="2"/>
  <c r="A13349" i="2"/>
  <c r="D13348" i="2"/>
  <c r="C13348" i="2"/>
  <c r="B13348" i="2"/>
  <c r="A13348" i="2"/>
  <c r="D13347" i="2"/>
  <c r="C13347" i="2"/>
  <c r="B13347" i="2"/>
  <c r="A13347" i="2"/>
  <c r="D13346" i="2"/>
  <c r="C13346" i="2"/>
  <c r="B13346" i="2"/>
  <c r="A13346" i="2"/>
  <c r="D13345" i="2"/>
  <c r="C13345" i="2"/>
  <c r="B13345" i="2"/>
  <c r="A13345" i="2"/>
  <c r="D13344" i="2"/>
  <c r="C13344" i="2"/>
  <c r="B13344" i="2"/>
  <c r="A13344" i="2"/>
  <c r="D13343" i="2"/>
  <c r="C13343" i="2"/>
  <c r="B13343" i="2"/>
  <c r="A13343" i="2"/>
  <c r="D13342" i="2"/>
  <c r="C13342" i="2"/>
  <c r="B13342" i="2"/>
  <c r="A13342" i="2"/>
  <c r="D13341" i="2"/>
  <c r="C13341" i="2"/>
  <c r="B13341" i="2"/>
  <c r="A13341" i="2"/>
  <c r="D13340" i="2"/>
  <c r="B13340" i="2"/>
  <c r="A13340" i="2"/>
  <c r="D13339" i="2"/>
  <c r="C13339" i="2"/>
  <c r="B13339" i="2"/>
  <c r="A13339" i="2"/>
  <c r="D13338" i="2"/>
  <c r="C13338" i="2"/>
  <c r="B13338" i="2"/>
  <c r="A13338" i="2"/>
  <c r="D13337" i="2"/>
  <c r="B13337" i="2"/>
  <c r="A13337" i="2"/>
  <c r="D13336" i="2"/>
  <c r="C13336" i="2"/>
  <c r="B13336" i="2"/>
  <c r="A13336" i="2"/>
  <c r="D13335" i="2"/>
  <c r="B13335" i="2"/>
  <c r="A13335" i="2"/>
  <c r="D13334" i="2"/>
  <c r="C13334" i="2"/>
  <c r="B13334" i="2"/>
  <c r="A13334" i="2"/>
  <c r="D13333" i="2"/>
  <c r="C13333" i="2"/>
  <c r="B13333" i="2"/>
  <c r="A13333" i="2"/>
  <c r="D13332" i="2"/>
  <c r="C13332" i="2"/>
  <c r="B13332" i="2"/>
  <c r="A13332" i="2"/>
  <c r="D13331" i="2"/>
  <c r="C13331" i="2"/>
  <c r="B13331" i="2"/>
  <c r="A13331" i="2"/>
  <c r="D13330" i="2"/>
  <c r="C13330" i="2"/>
  <c r="B13330" i="2"/>
  <c r="A13330" i="2"/>
  <c r="D13329" i="2"/>
  <c r="C13329" i="2"/>
  <c r="B13329" i="2"/>
  <c r="A13329" i="2"/>
  <c r="D13328" i="2"/>
  <c r="C13328" i="2"/>
  <c r="B13328" i="2"/>
  <c r="A13328" i="2"/>
  <c r="D13327" i="2"/>
  <c r="C13327" i="2"/>
  <c r="B13327" i="2"/>
  <c r="A13327" i="2"/>
  <c r="D13326" i="2"/>
  <c r="C13326" i="2"/>
  <c r="B13326" i="2"/>
  <c r="A13326" i="2"/>
  <c r="D13325" i="2"/>
  <c r="C13325" i="2"/>
  <c r="B13325" i="2"/>
  <c r="A13325" i="2"/>
  <c r="D13324" i="2"/>
  <c r="C13324" i="2"/>
  <c r="B13324" i="2"/>
  <c r="A13324" i="2"/>
  <c r="D13323" i="2"/>
  <c r="C13323" i="2"/>
  <c r="B13323" i="2"/>
  <c r="A13323" i="2"/>
  <c r="D13322" i="2"/>
  <c r="B13322" i="2"/>
  <c r="A13322" i="2"/>
  <c r="D13321" i="2"/>
  <c r="B13321" i="2"/>
  <c r="A13321" i="2"/>
  <c r="D13320" i="2"/>
  <c r="B13320" i="2"/>
  <c r="A13320" i="2"/>
  <c r="D13319" i="2"/>
  <c r="B13319" i="2"/>
  <c r="A13319" i="2"/>
  <c r="D13318" i="2"/>
  <c r="B13318" i="2"/>
  <c r="A13318" i="2"/>
  <c r="D13317" i="2"/>
  <c r="C13317" i="2"/>
  <c r="B13317" i="2"/>
  <c r="A13317" i="2"/>
  <c r="D13316" i="2"/>
  <c r="C13316" i="2"/>
  <c r="B13316" i="2"/>
  <c r="A13316" i="2"/>
  <c r="D13315" i="2"/>
  <c r="B13315" i="2"/>
  <c r="A13315" i="2"/>
  <c r="D13314" i="2"/>
  <c r="B13314" i="2"/>
  <c r="A13314" i="2"/>
  <c r="D13313" i="2"/>
  <c r="B13313" i="2"/>
  <c r="A13313" i="2"/>
  <c r="D13312" i="2"/>
  <c r="B13312" i="2"/>
  <c r="A13312" i="2"/>
  <c r="D13311" i="2"/>
  <c r="C13311" i="2"/>
  <c r="B13311" i="2"/>
  <c r="A13311" i="2"/>
  <c r="D13310" i="2"/>
  <c r="B13310" i="2"/>
  <c r="A13310" i="2"/>
  <c r="D13309" i="2"/>
  <c r="B13309" i="2"/>
  <c r="A13309" i="2"/>
  <c r="D13308" i="2"/>
  <c r="B13308" i="2"/>
  <c r="A13308" i="2"/>
  <c r="D13307" i="2"/>
  <c r="C13307" i="2"/>
  <c r="B13307" i="2"/>
  <c r="A13307" i="2"/>
  <c r="D13306" i="2"/>
  <c r="C13306" i="2"/>
  <c r="B13306" i="2"/>
  <c r="A13306" i="2"/>
  <c r="D13305" i="2"/>
  <c r="B13305" i="2"/>
  <c r="A13305" i="2"/>
  <c r="D13304" i="2"/>
  <c r="C13304" i="2"/>
  <c r="B13304" i="2"/>
  <c r="A13304" i="2"/>
  <c r="D13303" i="2"/>
  <c r="C13303" i="2"/>
  <c r="B13303" i="2"/>
  <c r="A13303" i="2"/>
  <c r="D13302" i="2"/>
  <c r="C13302" i="2"/>
  <c r="B13302" i="2"/>
  <c r="A13302" i="2"/>
  <c r="D13301" i="2"/>
  <c r="B13301" i="2"/>
  <c r="A13301" i="2"/>
  <c r="D13300" i="2"/>
  <c r="C13300" i="2"/>
  <c r="B13300" i="2"/>
  <c r="A13300" i="2"/>
  <c r="D13299" i="2"/>
  <c r="B13299" i="2"/>
  <c r="A13299" i="2"/>
  <c r="D13298" i="2"/>
  <c r="C13298" i="2"/>
  <c r="B13298" i="2"/>
  <c r="A13298" i="2"/>
  <c r="D13297" i="2"/>
  <c r="B13297" i="2"/>
  <c r="A13297" i="2"/>
  <c r="D13296" i="2"/>
  <c r="B13296" i="2"/>
  <c r="A13296" i="2"/>
  <c r="D13295" i="2"/>
  <c r="C13295" i="2"/>
  <c r="B13295" i="2"/>
  <c r="A13295" i="2"/>
  <c r="D13294" i="2"/>
  <c r="C13294" i="2"/>
  <c r="B13294" i="2"/>
  <c r="A13294" i="2"/>
  <c r="D13293" i="2"/>
  <c r="C13293" i="2"/>
  <c r="B13293" i="2"/>
  <c r="A13293" i="2"/>
  <c r="D13292" i="2"/>
  <c r="C13292" i="2"/>
  <c r="B13292" i="2"/>
  <c r="A13292" i="2"/>
  <c r="D13291" i="2"/>
  <c r="C13291" i="2"/>
  <c r="B13291" i="2"/>
  <c r="A13291" i="2"/>
  <c r="D13290" i="2"/>
  <c r="C13290" i="2"/>
  <c r="B13290" i="2"/>
  <c r="A13290" i="2"/>
  <c r="D13289" i="2"/>
  <c r="B13289" i="2"/>
  <c r="A13289" i="2"/>
  <c r="D13288" i="2"/>
  <c r="B13288" i="2"/>
  <c r="A13288" i="2"/>
  <c r="D13287" i="2"/>
  <c r="B13287" i="2"/>
  <c r="A13287" i="2"/>
  <c r="D13286" i="2"/>
  <c r="C13286" i="2"/>
  <c r="B13286" i="2"/>
  <c r="A13286" i="2"/>
  <c r="D13285" i="2"/>
  <c r="B13285" i="2"/>
  <c r="A13285" i="2"/>
  <c r="D13284" i="2"/>
  <c r="C13284" i="2"/>
  <c r="B13284" i="2"/>
  <c r="A13284" i="2"/>
  <c r="D13283" i="2"/>
  <c r="C13283" i="2"/>
  <c r="B13283" i="2"/>
  <c r="A13283" i="2"/>
  <c r="D13282" i="2"/>
  <c r="C13282" i="2"/>
  <c r="B13282" i="2"/>
  <c r="A13282" i="2"/>
  <c r="D13281" i="2"/>
  <c r="B13281" i="2"/>
  <c r="A13281" i="2"/>
  <c r="D13280" i="2"/>
  <c r="B13280" i="2"/>
  <c r="A13280" i="2"/>
  <c r="D13279" i="2"/>
  <c r="C13279" i="2"/>
  <c r="B13279" i="2"/>
  <c r="A13279" i="2"/>
  <c r="D13278" i="2"/>
  <c r="C13278" i="2"/>
  <c r="B13278" i="2"/>
  <c r="A13278" i="2"/>
  <c r="D13277" i="2"/>
  <c r="C13277" i="2"/>
  <c r="B13277" i="2"/>
  <c r="A13277" i="2"/>
  <c r="D13276" i="2"/>
  <c r="B13276" i="2"/>
  <c r="A13276" i="2"/>
  <c r="D13275" i="2"/>
  <c r="C13275" i="2"/>
  <c r="B13275" i="2"/>
  <c r="A13275" i="2"/>
  <c r="D13274" i="2"/>
  <c r="C13274" i="2"/>
  <c r="B13274" i="2"/>
  <c r="A13274" i="2"/>
  <c r="D13273" i="2"/>
  <c r="C13273" i="2"/>
  <c r="B13273" i="2"/>
  <c r="A13273" i="2"/>
  <c r="D13272" i="2"/>
  <c r="C13272" i="2"/>
  <c r="B13272" i="2"/>
  <c r="A13272" i="2"/>
  <c r="D13271" i="2"/>
  <c r="C13271" i="2"/>
  <c r="B13271" i="2"/>
  <c r="A13271" i="2"/>
  <c r="D13270" i="2"/>
  <c r="C13270" i="2"/>
  <c r="B13270" i="2"/>
  <c r="A13270" i="2"/>
  <c r="D13269" i="2"/>
  <c r="C13269" i="2"/>
  <c r="B13269" i="2"/>
  <c r="A13269" i="2"/>
  <c r="D13268" i="2"/>
  <c r="C13268" i="2"/>
  <c r="B13268" i="2"/>
  <c r="A13268" i="2"/>
  <c r="D13267" i="2"/>
  <c r="C13267" i="2"/>
  <c r="B13267" i="2"/>
  <c r="A13267" i="2"/>
  <c r="D13266" i="2"/>
  <c r="C13266" i="2"/>
  <c r="B13266" i="2"/>
  <c r="A13266" i="2"/>
  <c r="D13265" i="2"/>
  <c r="C13265" i="2"/>
  <c r="B13265" i="2"/>
  <c r="A13265" i="2"/>
  <c r="D13264" i="2"/>
  <c r="C13264" i="2"/>
  <c r="B13264" i="2"/>
  <c r="A13264" i="2"/>
  <c r="D13263" i="2"/>
  <c r="C13263" i="2"/>
  <c r="B13263" i="2"/>
  <c r="A13263" i="2"/>
  <c r="D13262" i="2"/>
  <c r="C13262" i="2"/>
  <c r="B13262" i="2"/>
  <c r="A13262" i="2"/>
  <c r="D13261" i="2"/>
  <c r="C13261" i="2"/>
  <c r="B13261" i="2"/>
  <c r="A13261" i="2"/>
  <c r="D13260" i="2"/>
  <c r="C13260" i="2"/>
  <c r="B13260" i="2"/>
  <c r="A13260" i="2"/>
  <c r="D13259" i="2"/>
  <c r="C13259" i="2"/>
  <c r="B13259" i="2"/>
  <c r="A13259" i="2"/>
  <c r="D13258" i="2"/>
  <c r="C13258" i="2"/>
  <c r="B13258" i="2"/>
  <c r="A13258" i="2"/>
  <c r="D13257" i="2"/>
  <c r="C13257" i="2"/>
  <c r="B13257" i="2"/>
  <c r="A13257" i="2"/>
  <c r="D13256" i="2"/>
  <c r="C13256" i="2"/>
  <c r="B13256" i="2"/>
  <c r="A13256" i="2"/>
  <c r="D13255" i="2"/>
  <c r="C13255" i="2"/>
  <c r="B13255" i="2"/>
  <c r="A13255" i="2"/>
  <c r="D13254" i="2"/>
  <c r="C13254" i="2"/>
  <c r="B13254" i="2"/>
  <c r="A13254" i="2"/>
  <c r="D13253" i="2"/>
  <c r="C13253" i="2"/>
  <c r="B13253" i="2"/>
  <c r="A13253" i="2"/>
  <c r="D13252" i="2"/>
  <c r="B13252" i="2"/>
  <c r="A13252" i="2"/>
  <c r="D13251" i="2"/>
  <c r="C13251" i="2"/>
  <c r="B13251" i="2"/>
  <c r="A13251" i="2"/>
  <c r="D13250" i="2"/>
  <c r="C13250" i="2"/>
  <c r="B13250" i="2"/>
  <c r="A13250" i="2"/>
  <c r="D13249" i="2"/>
  <c r="B13249" i="2"/>
  <c r="A13249" i="2"/>
  <c r="D13248" i="2"/>
  <c r="C13248" i="2"/>
  <c r="B13248" i="2"/>
  <c r="A13248" i="2"/>
  <c r="D13247" i="2"/>
  <c r="B13247" i="2"/>
  <c r="A13247" i="2"/>
  <c r="D13246" i="2"/>
  <c r="C13246" i="2"/>
  <c r="B13246" i="2"/>
  <c r="A13246" i="2"/>
  <c r="D13245" i="2"/>
  <c r="C13245" i="2"/>
  <c r="B13245" i="2"/>
  <c r="A13245" i="2"/>
  <c r="D13244" i="2"/>
  <c r="C13244" i="2"/>
  <c r="B13244" i="2"/>
  <c r="A13244" i="2"/>
  <c r="D13243" i="2"/>
  <c r="C13243" i="2"/>
  <c r="B13243" i="2"/>
  <c r="A13243" i="2"/>
  <c r="D13242" i="2"/>
  <c r="C13242" i="2"/>
  <c r="B13242" i="2"/>
  <c r="A13242" i="2"/>
  <c r="D13241" i="2"/>
  <c r="C13241" i="2"/>
  <c r="B13241" i="2"/>
  <c r="A13241" i="2"/>
  <c r="D13240" i="2"/>
  <c r="C13240" i="2"/>
  <c r="B13240" i="2"/>
  <c r="A13240" i="2"/>
  <c r="D13239" i="2"/>
  <c r="C13239" i="2"/>
  <c r="B13239" i="2"/>
  <c r="A13239" i="2"/>
  <c r="D13238" i="2"/>
  <c r="C13238" i="2"/>
  <c r="B13238" i="2"/>
  <c r="A13238" i="2"/>
  <c r="D13237" i="2"/>
  <c r="B13237" i="2"/>
  <c r="A13237" i="2"/>
  <c r="D13236" i="2"/>
  <c r="C13236" i="2"/>
  <c r="B13236" i="2"/>
  <c r="A13236" i="2"/>
  <c r="D13235" i="2"/>
  <c r="C13235" i="2"/>
  <c r="B13235" i="2"/>
  <c r="A13235" i="2"/>
  <c r="D13234" i="2"/>
  <c r="C13234" i="2"/>
  <c r="B13234" i="2"/>
  <c r="A13234" i="2"/>
  <c r="D13233" i="2"/>
  <c r="C13233" i="2"/>
  <c r="B13233" i="2"/>
  <c r="A13233" i="2"/>
  <c r="D13232" i="2"/>
  <c r="C13232" i="2"/>
  <c r="B13232" i="2"/>
  <c r="A13232" i="2"/>
  <c r="D13231" i="2"/>
  <c r="C13231" i="2"/>
  <c r="B13231" i="2"/>
  <c r="A13231" i="2"/>
  <c r="D13230" i="2"/>
  <c r="C13230" i="2"/>
  <c r="B13230" i="2"/>
  <c r="A13230" i="2"/>
  <c r="D13229" i="2"/>
  <c r="C13229" i="2"/>
  <c r="B13229" i="2"/>
  <c r="A13229" i="2"/>
  <c r="D13228" i="2"/>
  <c r="C13228" i="2"/>
  <c r="B13228" i="2"/>
  <c r="A13228" i="2"/>
  <c r="D13227" i="2"/>
  <c r="C13227" i="2"/>
  <c r="B13227" i="2"/>
  <c r="A13227" i="2"/>
  <c r="D13226" i="2"/>
  <c r="C13226" i="2"/>
  <c r="B13226" i="2"/>
  <c r="A13226" i="2"/>
  <c r="D13225" i="2"/>
  <c r="C13225" i="2"/>
  <c r="B13225" i="2"/>
  <c r="A13225" i="2"/>
  <c r="D13224" i="2"/>
  <c r="C13224" i="2"/>
  <c r="B13224" i="2"/>
  <c r="A13224" i="2"/>
  <c r="D13223" i="2"/>
  <c r="C13223" i="2"/>
  <c r="B13223" i="2"/>
  <c r="A13223" i="2"/>
  <c r="D13222" i="2"/>
  <c r="C13222" i="2"/>
  <c r="B13222" i="2"/>
  <c r="A13222" i="2"/>
  <c r="D13221" i="2"/>
  <c r="C13221" i="2"/>
  <c r="B13221" i="2"/>
  <c r="A13221" i="2"/>
  <c r="D13220" i="2"/>
  <c r="C13220" i="2"/>
  <c r="B13220" i="2"/>
  <c r="A13220" i="2"/>
  <c r="D13219" i="2"/>
  <c r="C13219" i="2"/>
  <c r="B13219" i="2"/>
  <c r="A13219" i="2"/>
  <c r="D13218" i="2"/>
  <c r="C13218" i="2"/>
  <c r="B13218" i="2"/>
  <c r="A13218" i="2"/>
  <c r="D13217" i="2"/>
  <c r="C13217" i="2"/>
  <c r="B13217" i="2"/>
  <c r="A13217" i="2"/>
  <c r="D13216" i="2"/>
  <c r="C13216" i="2"/>
  <c r="B13216" i="2"/>
  <c r="A13216" i="2"/>
  <c r="D13215" i="2"/>
  <c r="C13215" i="2"/>
  <c r="B13215" i="2"/>
  <c r="A13215" i="2"/>
  <c r="D13214" i="2"/>
  <c r="C13214" i="2"/>
  <c r="B13214" i="2"/>
  <c r="A13214" i="2"/>
  <c r="D13213" i="2"/>
  <c r="C13213" i="2"/>
  <c r="B13213" i="2"/>
  <c r="A13213" i="2"/>
  <c r="D13212" i="2"/>
  <c r="C13212" i="2"/>
  <c r="B13212" i="2"/>
  <c r="A13212" i="2"/>
  <c r="D13211" i="2"/>
  <c r="C13211" i="2"/>
  <c r="B13211" i="2"/>
  <c r="A13211" i="2"/>
  <c r="D13210" i="2"/>
  <c r="C13210" i="2"/>
  <c r="B13210" i="2"/>
  <c r="A13210" i="2"/>
  <c r="D13209" i="2"/>
  <c r="C13209" i="2"/>
  <c r="B13209" i="2"/>
  <c r="A13209" i="2"/>
  <c r="D13208" i="2"/>
  <c r="C13208" i="2"/>
  <c r="B13208" i="2"/>
  <c r="A13208" i="2"/>
  <c r="D13207" i="2"/>
  <c r="C13207" i="2"/>
  <c r="B13207" i="2"/>
  <c r="A13207" i="2"/>
  <c r="D13206" i="2"/>
  <c r="C13206" i="2"/>
  <c r="B13206" i="2"/>
  <c r="A13206" i="2"/>
  <c r="D13205" i="2"/>
  <c r="C13205" i="2"/>
  <c r="B13205" i="2"/>
  <c r="A13205" i="2"/>
  <c r="D13204" i="2"/>
  <c r="C13204" i="2"/>
  <c r="B13204" i="2"/>
  <c r="A13204" i="2"/>
  <c r="D13203" i="2"/>
  <c r="C13203" i="2"/>
  <c r="B13203" i="2"/>
  <c r="A13203" i="2"/>
  <c r="D13202" i="2"/>
  <c r="C13202" i="2"/>
  <c r="B13202" i="2"/>
  <c r="A13202" i="2"/>
  <c r="D13201" i="2"/>
  <c r="C13201" i="2"/>
  <c r="B13201" i="2"/>
  <c r="A13201" i="2"/>
  <c r="D13200" i="2"/>
  <c r="C13200" i="2"/>
  <c r="B13200" i="2"/>
  <c r="A13200" i="2"/>
  <c r="D13199" i="2"/>
  <c r="C13199" i="2"/>
  <c r="B13199" i="2"/>
  <c r="A13199" i="2"/>
  <c r="D13198" i="2"/>
  <c r="C13198" i="2"/>
  <c r="B13198" i="2"/>
  <c r="A13198" i="2"/>
  <c r="D13197" i="2"/>
  <c r="C13197" i="2"/>
  <c r="B13197" i="2"/>
  <c r="A13197" i="2"/>
  <c r="D13196" i="2"/>
  <c r="C13196" i="2"/>
  <c r="B13196" i="2"/>
  <c r="A13196" i="2"/>
  <c r="D13195" i="2"/>
  <c r="C13195" i="2"/>
  <c r="B13195" i="2"/>
  <c r="A13195" i="2"/>
  <c r="D13194" i="2"/>
  <c r="C13194" i="2"/>
  <c r="B13194" i="2"/>
  <c r="A13194" i="2"/>
  <c r="D13193" i="2"/>
  <c r="C13193" i="2"/>
  <c r="B13193" i="2"/>
  <c r="A13193" i="2"/>
  <c r="D13192" i="2"/>
  <c r="C13192" i="2"/>
  <c r="B13192" i="2"/>
  <c r="A13192" i="2"/>
  <c r="D13191" i="2"/>
  <c r="C13191" i="2"/>
  <c r="B13191" i="2"/>
  <c r="A13191" i="2"/>
  <c r="D13190" i="2"/>
  <c r="C13190" i="2"/>
  <c r="B13190" i="2"/>
  <c r="A13190" i="2"/>
  <c r="D13189" i="2"/>
  <c r="C13189" i="2"/>
  <c r="B13189" i="2"/>
  <c r="A13189" i="2"/>
  <c r="D13188" i="2"/>
  <c r="C13188" i="2"/>
  <c r="B13188" i="2"/>
  <c r="A13188" i="2"/>
  <c r="D13187" i="2"/>
  <c r="C13187" i="2"/>
  <c r="B13187" i="2"/>
  <c r="A13187" i="2"/>
  <c r="D13186" i="2"/>
  <c r="C13186" i="2"/>
  <c r="B13186" i="2"/>
  <c r="A13186" i="2"/>
  <c r="D13185" i="2"/>
  <c r="C13185" i="2"/>
  <c r="B13185" i="2"/>
  <c r="A13185" i="2"/>
  <c r="D13184" i="2"/>
  <c r="C13184" i="2"/>
  <c r="B13184" i="2"/>
  <c r="A13184" i="2"/>
  <c r="D13183" i="2"/>
  <c r="C13183" i="2"/>
  <c r="B13183" i="2"/>
  <c r="A13183" i="2"/>
  <c r="D13182" i="2"/>
  <c r="C13182" i="2"/>
  <c r="B13182" i="2"/>
  <c r="A13182" i="2"/>
  <c r="D13181" i="2"/>
  <c r="C13181" i="2"/>
  <c r="B13181" i="2"/>
  <c r="A13181" i="2"/>
  <c r="D13180" i="2"/>
  <c r="C13180" i="2"/>
  <c r="B13180" i="2"/>
  <c r="A13180" i="2"/>
  <c r="D13179" i="2"/>
  <c r="C13179" i="2"/>
  <c r="B13179" i="2"/>
  <c r="A13179" i="2"/>
  <c r="D13178" i="2"/>
  <c r="C13178" i="2"/>
  <c r="B13178" i="2"/>
  <c r="A13178" i="2"/>
  <c r="D13177" i="2"/>
  <c r="C13177" i="2"/>
  <c r="B13177" i="2"/>
  <c r="A13177" i="2"/>
  <c r="D13176" i="2"/>
  <c r="C13176" i="2"/>
  <c r="B13176" i="2"/>
  <c r="A13176" i="2"/>
  <c r="D13175" i="2"/>
  <c r="C13175" i="2"/>
  <c r="B13175" i="2"/>
  <c r="A13175" i="2"/>
  <c r="D13174" i="2"/>
  <c r="C13174" i="2"/>
  <c r="B13174" i="2"/>
  <c r="A13174" i="2"/>
  <c r="D13173" i="2"/>
  <c r="C13173" i="2"/>
  <c r="B13173" i="2"/>
  <c r="A13173" i="2"/>
  <c r="D13172" i="2"/>
  <c r="C13172" i="2"/>
  <c r="B13172" i="2"/>
  <c r="A13172" i="2"/>
  <c r="D13171" i="2"/>
  <c r="C13171" i="2"/>
  <c r="B13171" i="2"/>
  <c r="A13171" i="2"/>
  <c r="D13170" i="2"/>
  <c r="C13170" i="2"/>
  <c r="B13170" i="2"/>
  <c r="A13170" i="2"/>
  <c r="D13169" i="2"/>
  <c r="C13169" i="2"/>
  <c r="B13169" i="2"/>
  <c r="A13169" i="2"/>
  <c r="D13168" i="2"/>
  <c r="C13168" i="2"/>
  <c r="B13168" i="2"/>
  <c r="A13168" i="2"/>
  <c r="D13167" i="2"/>
  <c r="B13167" i="2"/>
  <c r="A13167" i="2"/>
  <c r="D13166" i="2"/>
  <c r="B13166" i="2"/>
  <c r="A13166" i="2"/>
  <c r="D13165" i="2"/>
  <c r="B13165" i="2"/>
  <c r="A13165" i="2"/>
  <c r="D13164" i="2"/>
  <c r="B13164" i="2"/>
  <c r="A13164" i="2"/>
  <c r="D13163" i="2"/>
  <c r="C13163" i="2"/>
  <c r="B13163" i="2"/>
  <c r="A13163" i="2"/>
  <c r="D13162" i="2"/>
  <c r="B13162" i="2"/>
  <c r="A13162" i="2"/>
  <c r="D13161" i="2"/>
  <c r="C13161" i="2"/>
  <c r="B13161" i="2"/>
  <c r="A13161" i="2"/>
  <c r="D13160" i="2"/>
  <c r="C13160" i="2"/>
  <c r="B13160" i="2"/>
  <c r="A13160" i="2"/>
  <c r="D13159" i="2"/>
  <c r="C13159" i="2"/>
  <c r="B13159" i="2"/>
  <c r="A13159" i="2"/>
  <c r="D13158" i="2"/>
  <c r="C13158" i="2"/>
  <c r="B13158" i="2"/>
  <c r="A13158" i="2"/>
  <c r="D13157" i="2"/>
  <c r="C13157" i="2"/>
  <c r="B13157" i="2"/>
  <c r="A13157" i="2"/>
  <c r="D13156" i="2"/>
  <c r="C13156" i="2"/>
  <c r="B13156" i="2"/>
  <c r="A13156" i="2"/>
  <c r="D13155" i="2"/>
  <c r="C13155" i="2"/>
  <c r="B13155" i="2"/>
  <c r="A13155" i="2"/>
  <c r="D13154" i="2"/>
  <c r="C13154" i="2"/>
  <c r="B13154" i="2"/>
  <c r="A13154" i="2"/>
  <c r="D13153" i="2"/>
  <c r="C13153" i="2"/>
  <c r="B13153" i="2"/>
  <c r="A13153" i="2"/>
  <c r="D13152" i="2"/>
  <c r="C13152" i="2"/>
  <c r="B13152" i="2"/>
  <c r="A13152" i="2"/>
  <c r="D13151" i="2"/>
  <c r="C13151" i="2"/>
  <c r="B13151" i="2"/>
  <c r="A13151" i="2"/>
  <c r="D13150" i="2"/>
  <c r="C13150" i="2"/>
  <c r="B13150" i="2"/>
  <c r="A13150" i="2"/>
  <c r="D13149" i="2"/>
  <c r="C13149" i="2"/>
  <c r="B13149" i="2"/>
  <c r="A13149" i="2"/>
  <c r="D13148" i="2"/>
  <c r="C13148" i="2"/>
  <c r="B13148" i="2"/>
  <c r="A13148" i="2"/>
  <c r="D13147" i="2"/>
  <c r="C13147" i="2"/>
  <c r="B13147" i="2"/>
  <c r="A13147" i="2"/>
  <c r="D13146" i="2"/>
  <c r="C13146" i="2"/>
  <c r="B13146" i="2"/>
  <c r="A13146" i="2"/>
  <c r="D13145" i="2"/>
  <c r="C13145" i="2"/>
  <c r="B13145" i="2"/>
  <c r="A13145" i="2"/>
  <c r="D13144" i="2"/>
  <c r="B13144" i="2"/>
  <c r="A13144" i="2"/>
  <c r="D13143" i="2"/>
  <c r="B13143" i="2"/>
  <c r="A13143" i="2"/>
  <c r="D13142" i="2"/>
  <c r="B13142" i="2"/>
  <c r="A13142" i="2"/>
  <c r="D13141" i="2"/>
  <c r="B13141" i="2"/>
  <c r="A13141" i="2"/>
  <c r="D13140" i="2"/>
  <c r="B13140" i="2"/>
  <c r="A13140" i="2"/>
  <c r="D13139" i="2"/>
  <c r="C13139" i="2"/>
  <c r="B13139" i="2"/>
  <c r="A13139" i="2"/>
  <c r="D13138" i="2"/>
  <c r="B13138" i="2"/>
  <c r="A13138" i="2"/>
  <c r="D13137" i="2"/>
  <c r="C13137" i="2"/>
  <c r="B13137" i="2"/>
  <c r="A13137" i="2"/>
  <c r="D13136" i="2"/>
  <c r="B13136" i="2"/>
  <c r="A13136" i="2"/>
  <c r="D13135" i="2"/>
  <c r="B13135" i="2"/>
  <c r="A13135" i="2"/>
  <c r="D13134" i="2"/>
  <c r="B13134" i="2"/>
  <c r="A13134" i="2"/>
  <c r="D13133" i="2"/>
  <c r="C13133" i="2"/>
  <c r="B13133" i="2"/>
  <c r="A13133" i="2"/>
  <c r="D13132" i="2"/>
  <c r="C13132" i="2"/>
  <c r="B13132" i="2"/>
  <c r="A13132" i="2"/>
  <c r="D13131" i="2"/>
  <c r="B13131" i="2"/>
  <c r="A13131" i="2"/>
  <c r="D13130" i="2"/>
  <c r="B13130" i="2"/>
  <c r="A13130" i="2"/>
  <c r="D13129" i="2"/>
  <c r="B13129" i="2"/>
  <c r="A13129" i="2"/>
  <c r="D13128" i="2"/>
  <c r="B13128" i="2"/>
  <c r="A13128" i="2"/>
  <c r="D13127" i="2"/>
  <c r="C13127" i="2"/>
  <c r="B13127" i="2"/>
  <c r="A13127" i="2"/>
  <c r="D13126" i="2"/>
  <c r="B13126" i="2"/>
  <c r="A13126" i="2"/>
  <c r="D13125" i="2"/>
  <c r="C13125" i="2"/>
  <c r="B13125" i="2"/>
  <c r="A13125" i="2"/>
  <c r="D13124" i="2"/>
  <c r="C13124" i="2"/>
  <c r="B13124" i="2"/>
  <c r="A13124" i="2"/>
  <c r="D13123" i="2"/>
  <c r="C13123" i="2"/>
  <c r="B13123" i="2"/>
  <c r="A13123" i="2"/>
  <c r="D13122" i="2"/>
  <c r="C13122" i="2"/>
  <c r="B13122" i="2"/>
  <c r="A13122" i="2"/>
  <c r="D13121" i="2"/>
  <c r="C13121" i="2"/>
  <c r="B13121" i="2"/>
  <c r="A13121" i="2"/>
  <c r="D13120" i="2"/>
  <c r="C13120" i="2"/>
  <c r="B13120" i="2"/>
  <c r="A13120" i="2"/>
  <c r="D13119" i="2"/>
  <c r="B13119" i="2"/>
  <c r="A13119" i="2"/>
  <c r="D13118" i="2"/>
  <c r="C13118" i="2"/>
  <c r="B13118" i="2"/>
  <c r="A13118" i="2"/>
  <c r="D13117" i="2"/>
  <c r="B13117" i="2"/>
  <c r="A13117" i="2"/>
  <c r="D13116" i="2"/>
  <c r="B13116" i="2"/>
  <c r="A13116" i="2"/>
  <c r="D13115" i="2"/>
  <c r="C13115" i="2"/>
  <c r="B13115" i="2"/>
  <c r="A13115" i="2"/>
  <c r="D13114" i="2"/>
  <c r="C13114" i="2"/>
  <c r="B13114" i="2"/>
  <c r="A13114" i="2"/>
  <c r="D13113" i="2"/>
  <c r="C13113" i="2"/>
  <c r="B13113" i="2"/>
  <c r="A13113" i="2"/>
  <c r="D13112" i="2"/>
  <c r="B13112" i="2"/>
  <c r="A13112" i="2"/>
  <c r="D13111" i="2"/>
  <c r="C13111" i="2"/>
  <c r="B13111" i="2"/>
  <c r="A13111" i="2"/>
  <c r="D13110" i="2"/>
  <c r="B13110" i="2"/>
  <c r="A13110" i="2"/>
  <c r="D13109" i="2"/>
  <c r="B13109" i="2"/>
  <c r="A13109" i="2"/>
  <c r="D13108" i="2"/>
  <c r="B13108" i="2"/>
  <c r="A13108" i="2"/>
  <c r="D13107" i="2"/>
  <c r="C13107" i="2"/>
  <c r="B13107" i="2"/>
  <c r="A13107" i="2"/>
  <c r="D13106" i="2"/>
  <c r="C13106" i="2"/>
  <c r="B13106" i="2"/>
  <c r="A13106" i="2"/>
  <c r="D13105" i="2"/>
  <c r="B13105" i="2"/>
  <c r="A13105" i="2"/>
  <c r="D13104" i="2"/>
  <c r="B13104" i="2"/>
  <c r="A13104" i="2"/>
  <c r="D13103" i="2"/>
  <c r="B13103" i="2"/>
  <c r="A13103" i="2"/>
  <c r="D13102" i="2"/>
  <c r="B13102" i="2"/>
  <c r="A13102" i="2"/>
  <c r="D13101" i="2"/>
  <c r="C13101" i="2"/>
  <c r="B13101" i="2"/>
  <c r="A13101" i="2"/>
  <c r="D13100" i="2"/>
  <c r="C13100" i="2"/>
  <c r="B13100" i="2"/>
  <c r="A13100" i="2"/>
  <c r="D13099" i="2"/>
  <c r="C13099" i="2"/>
  <c r="B13099" i="2"/>
  <c r="A13099" i="2"/>
  <c r="D13098" i="2"/>
  <c r="B13098" i="2"/>
  <c r="A13098" i="2"/>
  <c r="D13097" i="2"/>
  <c r="B13097" i="2"/>
  <c r="A13097" i="2"/>
  <c r="D13096" i="2"/>
  <c r="C13096" i="2"/>
  <c r="B13096" i="2"/>
  <c r="A13096" i="2"/>
  <c r="D13095" i="2"/>
  <c r="C13095" i="2"/>
  <c r="B13095" i="2"/>
  <c r="A13095" i="2"/>
  <c r="D13094" i="2"/>
  <c r="B13094" i="2"/>
  <c r="A13094" i="2"/>
  <c r="D13093" i="2"/>
  <c r="C13093" i="2"/>
  <c r="B13093" i="2"/>
  <c r="A13093" i="2"/>
  <c r="D13092" i="2"/>
  <c r="C13092" i="2"/>
  <c r="B13092" i="2"/>
  <c r="A13092" i="2"/>
  <c r="D13091" i="2"/>
  <c r="C13091" i="2"/>
  <c r="B13091" i="2"/>
  <c r="A13091" i="2"/>
  <c r="D13090" i="2"/>
  <c r="C13090" i="2"/>
  <c r="B13090" i="2"/>
  <c r="A13090" i="2"/>
  <c r="D13089" i="2"/>
  <c r="C13089" i="2"/>
  <c r="B13089" i="2"/>
  <c r="A13089" i="2"/>
  <c r="D13088" i="2"/>
  <c r="C13088" i="2"/>
  <c r="B13088" i="2"/>
  <c r="A13088" i="2"/>
  <c r="D13087" i="2"/>
  <c r="C13087" i="2"/>
  <c r="B13087" i="2"/>
  <c r="A13087" i="2"/>
  <c r="D13086" i="2"/>
  <c r="C13086" i="2"/>
  <c r="B13086" i="2"/>
  <c r="A13086" i="2"/>
  <c r="D13085" i="2"/>
  <c r="C13085" i="2"/>
  <c r="B13085" i="2"/>
  <c r="A13085" i="2"/>
  <c r="D13084" i="2"/>
  <c r="C13084" i="2"/>
  <c r="B13084" i="2"/>
  <c r="A13084" i="2"/>
  <c r="D13083" i="2"/>
  <c r="B13083" i="2"/>
  <c r="A13083" i="2"/>
  <c r="D13082" i="2"/>
  <c r="C13082" i="2"/>
  <c r="B13082" i="2"/>
  <c r="A13082" i="2"/>
  <c r="D13081" i="2"/>
  <c r="C13081" i="2"/>
  <c r="B13081" i="2"/>
  <c r="A13081" i="2"/>
  <c r="D13080" i="2"/>
  <c r="C13080" i="2"/>
  <c r="B13080" i="2"/>
  <c r="A13080" i="2"/>
  <c r="D13079" i="2"/>
  <c r="C13079" i="2"/>
  <c r="B13079" i="2"/>
  <c r="A13079" i="2"/>
  <c r="D13078" i="2"/>
  <c r="C13078" i="2"/>
  <c r="B13078" i="2"/>
  <c r="A13078" i="2"/>
  <c r="D13077" i="2"/>
  <c r="C13077" i="2"/>
  <c r="B13077" i="2"/>
  <c r="A13077" i="2"/>
  <c r="D13076" i="2"/>
  <c r="C13076" i="2"/>
  <c r="B13076" i="2"/>
  <c r="A13076" i="2"/>
  <c r="D13075" i="2"/>
  <c r="C13075" i="2"/>
  <c r="B13075" i="2"/>
  <c r="A13075" i="2"/>
  <c r="D13074" i="2"/>
  <c r="C13074" i="2"/>
  <c r="B13074" i="2"/>
  <c r="A13074" i="2"/>
  <c r="D13073" i="2"/>
  <c r="C13073" i="2"/>
  <c r="B13073" i="2"/>
  <c r="A13073" i="2"/>
  <c r="D13072" i="2"/>
  <c r="C13072" i="2"/>
  <c r="B13072" i="2"/>
  <c r="A13072" i="2"/>
  <c r="D13071" i="2"/>
  <c r="C13071" i="2"/>
  <c r="B13071" i="2"/>
  <c r="A13071" i="2"/>
  <c r="D13070" i="2"/>
  <c r="C13070" i="2"/>
  <c r="B13070" i="2"/>
  <c r="A13070" i="2"/>
  <c r="D13069" i="2"/>
  <c r="C13069" i="2"/>
  <c r="B13069" i="2"/>
  <c r="A13069" i="2"/>
  <c r="D13068" i="2"/>
  <c r="C13068" i="2"/>
  <c r="B13068" i="2"/>
  <c r="A13068" i="2"/>
  <c r="D13067" i="2"/>
  <c r="C13067" i="2"/>
  <c r="B13067" i="2"/>
  <c r="A13067" i="2"/>
  <c r="D13066" i="2"/>
  <c r="C13066" i="2"/>
  <c r="B13066" i="2"/>
  <c r="A13066" i="2"/>
  <c r="D13065" i="2"/>
  <c r="C13065" i="2"/>
  <c r="B13065" i="2"/>
  <c r="A13065" i="2"/>
  <c r="D13064" i="2"/>
  <c r="C13064" i="2"/>
  <c r="B13064" i="2"/>
  <c r="A13064" i="2"/>
  <c r="D13063" i="2"/>
  <c r="C13063" i="2"/>
  <c r="B13063" i="2"/>
  <c r="A13063" i="2"/>
  <c r="D13062" i="2"/>
  <c r="C13062" i="2"/>
  <c r="B13062" i="2"/>
  <c r="A13062" i="2"/>
  <c r="D13061" i="2"/>
  <c r="C13061" i="2"/>
  <c r="B13061" i="2"/>
  <c r="A13061" i="2"/>
  <c r="D13060" i="2"/>
  <c r="C13060" i="2"/>
  <c r="B13060" i="2"/>
  <c r="A13060" i="2"/>
  <c r="D13059" i="2"/>
  <c r="C13059" i="2"/>
  <c r="B13059" i="2"/>
  <c r="A13059" i="2"/>
  <c r="D13058" i="2"/>
  <c r="C13058" i="2"/>
  <c r="B13058" i="2"/>
  <c r="A13058" i="2"/>
  <c r="D13057" i="2"/>
  <c r="C13057" i="2"/>
  <c r="B13057" i="2"/>
  <c r="A13057" i="2"/>
  <c r="D13056" i="2"/>
  <c r="C13056" i="2"/>
  <c r="B13056" i="2"/>
  <c r="A13056" i="2"/>
  <c r="D13055" i="2"/>
  <c r="C13055" i="2"/>
  <c r="B13055" i="2"/>
  <c r="A13055" i="2"/>
  <c r="D13054" i="2"/>
  <c r="C13054" i="2"/>
  <c r="B13054" i="2"/>
  <c r="A13054" i="2"/>
  <c r="D13053" i="2"/>
  <c r="C13053" i="2"/>
  <c r="B13053" i="2"/>
  <c r="A13053" i="2"/>
  <c r="D13052" i="2"/>
  <c r="C13052" i="2"/>
  <c r="B13052" i="2"/>
  <c r="A13052" i="2"/>
  <c r="D13051" i="2"/>
  <c r="C13051" i="2"/>
  <c r="B13051" i="2"/>
  <c r="A13051" i="2"/>
  <c r="D13050" i="2"/>
  <c r="C13050" i="2"/>
  <c r="B13050" i="2"/>
  <c r="A13050" i="2"/>
  <c r="D13049" i="2"/>
  <c r="C13049" i="2"/>
  <c r="B13049" i="2"/>
  <c r="A13049" i="2"/>
  <c r="D13048" i="2"/>
  <c r="C13048" i="2"/>
  <c r="B13048" i="2"/>
  <c r="A13048" i="2"/>
  <c r="D13047" i="2"/>
  <c r="C13047" i="2"/>
  <c r="B13047" i="2"/>
  <c r="A13047" i="2"/>
  <c r="D13046" i="2"/>
  <c r="C13046" i="2"/>
  <c r="B13046" i="2"/>
  <c r="A13046" i="2"/>
  <c r="D13045" i="2"/>
  <c r="C13045" i="2"/>
  <c r="B13045" i="2"/>
  <c r="A13045" i="2"/>
  <c r="D13044" i="2"/>
  <c r="C13044" i="2"/>
  <c r="B13044" i="2"/>
  <c r="A13044" i="2"/>
  <c r="D13043" i="2"/>
  <c r="C13043" i="2"/>
  <c r="B13043" i="2"/>
  <c r="A13043" i="2"/>
  <c r="D13042" i="2"/>
  <c r="C13042" i="2"/>
  <c r="B13042" i="2"/>
  <c r="A13042" i="2"/>
  <c r="D13041" i="2"/>
  <c r="C13041" i="2"/>
  <c r="B13041" i="2"/>
  <c r="A13041" i="2"/>
  <c r="D13040" i="2"/>
  <c r="C13040" i="2"/>
  <c r="B13040" i="2"/>
  <c r="A13040" i="2"/>
  <c r="D13039" i="2"/>
  <c r="C13039" i="2"/>
  <c r="B13039" i="2"/>
  <c r="A13039" i="2"/>
  <c r="D13038" i="2"/>
  <c r="C13038" i="2"/>
  <c r="B13038" i="2"/>
  <c r="A13038" i="2"/>
  <c r="D13037" i="2"/>
  <c r="C13037" i="2"/>
  <c r="B13037" i="2"/>
  <c r="A13037" i="2"/>
  <c r="D13036" i="2"/>
  <c r="C13036" i="2"/>
  <c r="B13036" i="2"/>
  <c r="A13036" i="2"/>
  <c r="D13035" i="2"/>
  <c r="C13035" i="2"/>
  <c r="B13035" i="2"/>
  <c r="A13035" i="2"/>
  <c r="D13034" i="2"/>
  <c r="C13034" i="2"/>
  <c r="B13034" i="2"/>
  <c r="A13034" i="2"/>
  <c r="D13033" i="2"/>
  <c r="C13033" i="2"/>
  <c r="B13033" i="2"/>
  <c r="A13033" i="2"/>
  <c r="D13032" i="2"/>
  <c r="C13032" i="2"/>
  <c r="B13032" i="2"/>
  <c r="A13032" i="2"/>
  <c r="D13031" i="2"/>
  <c r="C13031" i="2"/>
  <c r="B13031" i="2"/>
  <c r="A13031" i="2"/>
  <c r="D13030" i="2"/>
  <c r="C13030" i="2"/>
  <c r="B13030" i="2"/>
  <c r="A13030" i="2"/>
  <c r="D13029" i="2"/>
  <c r="C13029" i="2"/>
  <c r="B13029" i="2"/>
  <c r="A13029" i="2"/>
  <c r="D13028" i="2"/>
  <c r="C13028" i="2"/>
  <c r="B13028" i="2"/>
  <c r="A13028" i="2"/>
  <c r="D13027" i="2"/>
  <c r="C13027" i="2"/>
  <c r="B13027" i="2"/>
  <c r="A13027" i="2"/>
  <c r="D13026" i="2"/>
  <c r="C13026" i="2"/>
  <c r="B13026" i="2"/>
  <c r="A13026" i="2"/>
  <c r="D13025" i="2"/>
  <c r="C13025" i="2"/>
  <c r="B13025" i="2"/>
  <c r="A13025" i="2"/>
  <c r="D13024" i="2"/>
  <c r="C13024" i="2"/>
  <c r="B13024" i="2"/>
  <c r="A13024" i="2"/>
  <c r="D13023" i="2"/>
  <c r="C13023" i="2"/>
  <c r="B13023" i="2"/>
  <c r="A13023" i="2"/>
  <c r="D13022" i="2"/>
  <c r="C13022" i="2"/>
  <c r="B13022" i="2"/>
  <c r="A13022" i="2"/>
  <c r="D13021" i="2"/>
  <c r="C13021" i="2"/>
  <c r="B13021" i="2"/>
  <c r="A13021" i="2"/>
  <c r="D13020" i="2"/>
  <c r="C13020" i="2"/>
  <c r="B13020" i="2"/>
  <c r="A13020" i="2"/>
  <c r="D13019" i="2"/>
  <c r="C13019" i="2"/>
  <c r="B13019" i="2"/>
  <c r="A13019" i="2"/>
  <c r="D13018" i="2"/>
  <c r="C13018" i="2"/>
  <c r="B13018" i="2"/>
  <c r="A13018" i="2"/>
  <c r="D13017" i="2"/>
  <c r="C13017" i="2"/>
  <c r="B13017" i="2"/>
  <c r="A13017" i="2"/>
  <c r="D13016" i="2"/>
  <c r="C13016" i="2"/>
  <c r="B13016" i="2"/>
  <c r="A13016" i="2"/>
  <c r="D13015" i="2"/>
  <c r="C13015" i="2"/>
  <c r="B13015" i="2"/>
  <c r="A13015" i="2"/>
  <c r="D13014" i="2"/>
  <c r="C13014" i="2"/>
  <c r="B13014" i="2"/>
  <c r="A13014" i="2"/>
  <c r="D13013" i="2"/>
  <c r="C13013" i="2"/>
  <c r="B13013" i="2"/>
  <c r="A13013" i="2"/>
  <c r="D13012" i="2"/>
  <c r="C13012" i="2"/>
  <c r="B13012" i="2"/>
  <c r="A13012" i="2"/>
  <c r="D13011" i="2"/>
  <c r="C13011" i="2"/>
  <c r="B13011" i="2"/>
  <c r="A13011" i="2"/>
  <c r="D13010" i="2"/>
  <c r="C13010" i="2"/>
  <c r="B13010" i="2"/>
  <c r="A13010" i="2"/>
  <c r="D13009" i="2"/>
  <c r="C13009" i="2"/>
  <c r="B13009" i="2"/>
  <c r="A13009" i="2"/>
  <c r="D13008" i="2"/>
  <c r="C13008" i="2"/>
  <c r="B13008" i="2"/>
  <c r="A13008" i="2"/>
  <c r="D13007" i="2"/>
  <c r="C13007" i="2"/>
  <c r="B13007" i="2"/>
  <c r="A13007" i="2"/>
  <c r="D13006" i="2"/>
  <c r="C13006" i="2"/>
  <c r="B13006" i="2"/>
  <c r="A13006" i="2"/>
  <c r="D13005" i="2"/>
  <c r="C13005" i="2"/>
  <c r="B13005" i="2"/>
  <c r="A13005" i="2"/>
  <c r="D13004" i="2"/>
  <c r="C13004" i="2"/>
  <c r="B13004" i="2"/>
  <c r="A13004" i="2"/>
  <c r="D13003" i="2"/>
  <c r="C13003" i="2"/>
  <c r="B13003" i="2"/>
  <c r="A13003" i="2"/>
  <c r="D13002" i="2"/>
  <c r="C13002" i="2"/>
  <c r="B13002" i="2"/>
  <c r="A13002" i="2"/>
  <c r="D13001" i="2"/>
  <c r="C13001" i="2"/>
  <c r="B13001" i="2"/>
  <c r="A13001" i="2"/>
  <c r="D13000" i="2"/>
  <c r="C13000" i="2"/>
  <c r="B13000" i="2"/>
  <c r="A13000" i="2"/>
  <c r="D12999" i="2"/>
  <c r="C12999" i="2"/>
  <c r="B12999" i="2"/>
  <c r="A12999" i="2"/>
  <c r="D12998" i="2"/>
  <c r="C12998" i="2"/>
  <c r="B12998" i="2"/>
  <c r="A12998" i="2"/>
  <c r="D12997" i="2"/>
  <c r="C12997" i="2"/>
  <c r="B12997" i="2"/>
  <c r="A12997" i="2"/>
  <c r="D12996" i="2"/>
  <c r="C12996" i="2"/>
  <c r="B12996" i="2"/>
  <c r="A12996" i="2"/>
  <c r="D12995" i="2"/>
  <c r="C12995" i="2"/>
  <c r="B12995" i="2"/>
  <c r="A12995" i="2"/>
  <c r="D12994" i="2"/>
  <c r="C12994" i="2"/>
  <c r="B12994" i="2"/>
  <c r="A12994" i="2"/>
  <c r="D12993" i="2"/>
  <c r="C12993" i="2"/>
  <c r="B12993" i="2"/>
  <c r="A12993" i="2"/>
  <c r="D12992" i="2"/>
  <c r="C12992" i="2"/>
  <c r="B12992" i="2"/>
  <c r="A12992" i="2"/>
  <c r="D12991" i="2"/>
  <c r="C12991" i="2"/>
  <c r="B12991" i="2"/>
  <c r="A12991" i="2"/>
  <c r="D12990" i="2"/>
  <c r="C12990" i="2"/>
  <c r="B12990" i="2"/>
  <c r="A12990" i="2"/>
  <c r="D12989" i="2"/>
  <c r="C12989" i="2"/>
  <c r="B12989" i="2"/>
  <c r="A12989" i="2"/>
  <c r="D12988" i="2"/>
  <c r="C12988" i="2"/>
  <c r="B12988" i="2"/>
  <c r="A12988" i="2"/>
  <c r="D12987" i="2"/>
  <c r="C12987" i="2"/>
  <c r="B12987" i="2"/>
  <c r="A12987" i="2"/>
  <c r="D12986" i="2"/>
  <c r="C12986" i="2"/>
  <c r="B12986" i="2"/>
  <c r="A12986" i="2"/>
  <c r="D12985" i="2"/>
  <c r="C12985" i="2"/>
  <c r="B12985" i="2"/>
  <c r="A12985" i="2"/>
  <c r="D12984" i="2"/>
  <c r="C12984" i="2"/>
  <c r="B12984" i="2"/>
  <c r="A12984" i="2"/>
  <c r="D12983" i="2"/>
  <c r="C12983" i="2"/>
  <c r="B12983" i="2"/>
  <c r="A12983" i="2"/>
  <c r="D12982" i="2"/>
  <c r="C12982" i="2"/>
  <c r="B12982" i="2"/>
  <c r="A12982" i="2"/>
  <c r="D12981" i="2"/>
  <c r="C12981" i="2"/>
  <c r="B12981" i="2"/>
  <c r="A12981" i="2"/>
  <c r="D12980" i="2"/>
  <c r="C12980" i="2"/>
  <c r="B12980" i="2"/>
  <c r="A12980" i="2"/>
  <c r="D12979" i="2"/>
  <c r="C12979" i="2"/>
  <c r="B12979" i="2"/>
  <c r="A12979" i="2"/>
  <c r="D12978" i="2"/>
  <c r="C12978" i="2"/>
  <c r="B12978" i="2"/>
  <c r="A12978" i="2"/>
  <c r="D12977" i="2"/>
  <c r="C12977" i="2"/>
  <c r="B12977" i="2"/>
  <c r="A12977" i="2"/>
  <c r="D12976" i="2"/>
  <c r="C12976" i="2"/>
  <c r="B12976" i="2"/>
  <c r="A12976" i="2"/>
  <c r="D12975" i="2"/>
  <c r="C12975" i="2"/>
  <c r="B12975" i="2"/>
  <c r="A12975" i="2"/>
  <c r="D12974" i="2"/>
  <c r="C12974" i="2"/>
  <c r="B12974" i="2"/>
  <c r="A12974" i="2"/>
  <c r="D12973" i="2"/>
  <c r="C12973" i="2"/>
  <c r="B12973" i="2"/>
  <c r="A12973" i="2"/>
  <c r="D12972" i="2"/>
  <c r="C12972" i="2"/>
  <c r="B12972" i="2"/>
  <c r="A12972" i="2"/>
  <c r="D12971" i="2"/>
  <c r="B12971" i="2"/>
  <c r="A12971" i="2"/>
  <c r="D12970" i="2"/>
  <c r="C12970" i="2"/>
  <c r="B12970" i="2"/>
  <c r="A12970" i="2"/>
  <c r="D12969" i="2"/>
  <c r="C12969" i="2"/>
  <c r="B12969" i="2"/>
  <c r="A12969" i="2"/>
  <c r="D12968" i="2"/>
  <c r="C12968" i="2"/>
  <c r="B12968" i="2"/>
  <c r="A12968" i="2"/>
  <c r="D12967" i="2"/>
  <c r="C12967" i="2"/>
  <c r="B12967" i="2"/>
  <c r="A12967" i="2"/>
  <c r="D12966" i="2"/>
  <c r="C12966" i="2"/>
  <c r="B12966" i="2"/>
  <c r="A12966" i="2"/>
  <c r="D12965" i="2"/>
  <c r="C12965" i="2"/>
  <c r="B12965" i="2"/>
  <c r="A12965" i="2"/>
  <c r="D12964" i="2"/>
  <c r="C12964" i="2"/>
  <c r="B12964" i="2"/>
  <c r="A12964" i="2"/>
  <c r="D12963" i="2"/>
  <c r="C12963" i="2"/>
  <c r="B12963" i="2"/>
  <c r="A12963" i="2"/>
  <c r="D12962" i="2"/>
  <c r="C12962" i="2"/>
  <c r="B12962" i="2"/>
  <c r="A12962" i="2"/>
  <c r="D12961" i="2"/>
  <c r="C12961" i="2"/>
  <c r="B12961" i="2"/>
  <c r="A12961" i="2"/>
  <c r="D12960" i="2"/>
  <c r="C12960" i="2"/>
  <c r="B12960" i="2"/>
  <c r="A12960" i="2"/>
  <c r="D12959" i="2"/>
  <c r="C12959" i="2"/>
  <c r="B12959" i="2"/>
  <c r="A12959" i="2"/>
  <c r="D12958" i="2"/>
  <c r="C12958" i="2"/>
  <c r="B12958" i="2"/>
  <c r="A12958" i="2"/>
  <c r="D12957" i="2"/>
  <c r="C12957" i="2"/>
  <c r="B12957" i="2"/>
  <c r="A12957" i="2"/>
  <c r="D12956" i="2"/>
  <c r="C12956" i="2"/>
  <c r="B12956" i="2"/>
  <c r="A12956" i="2"/>
  <c r="D12955" i="2"/>
  <c r="C12955" i="2"/>
  <c r="B12955" i="2"/>
  <c r="A12955" i="2"/>
  <c r="D12954" i="2"/>
  <c r="C12954" i="2"/>
  <c r="B12954" i="2"/>
  <c r="A12954" i="2"/>
  <c r="D12953" i="2"/>
  <c r="C12953" i="2"/>
  <c r="B12953" i="2"/>
  <c r="A12953" i="2"/>
  <c r="D12952" i="2"/>
  <c r="C12952" i="2"/>
  <c r="B12952" i="2"/>
  <c r="A12952" i="2"/>
  <c r="D12951" i="2"/>
  <c r="C12951" i="2"/>
  <c r="B12951" i="2"/>
  <c r="A12951" i="2"/>
  <c r="D12950" i="2"/>
  <c r="C12950" i="2"/>
  <c r="B12950" i="2"/>
  <c r="A12950" i="2"/>
  <c r="D12949" i="2"/>
  <c r="C12949" i="2"/>
  <c r="B12949" i="2"/>
  <c r="A12949" i="2"/>
  <c r="D12948" i="2"/>
  <c r="C12948" i="2"/>
  <c r="B12948" i="2"/>
  <c r="A12948" i="2"/>
  <c r="D12947" i="2"/>
  <c r="C12947" i="2"/>
  <c r="B12947" i="2"/>
  <c r="A12947" i="2"/>
  <c r="D12946" i="2"/>
  <c r="C12946" i="2"/>
  <c r="B12946" i="2"/>
  <c r="A12946" i="2"/>
  <c r="D12945" i="2"/>
  <c r="C12945" i="2"/>
  <c r="B12945" i="2"/>
  <c r="A12945" i="2"/>
  <c r="D12944" i="2"/>
  <c r="C12944" i="2"/>
  <c r="B12944" i="2"/>
  <c r="A12944" i="2"/>
  <c r="D12943" i="2"/>
  <c r="C12943" i="2"/>
  <c r="B12943" i="2"/>
  <c r="A12943" i="2"/>
  <c r="D12942" i="2"/>
  <c r="C12942" i="2"/>
  <c r="B12942" i="2"/>
  <c r="A12942" i="2"/>
  <c r="D12941" i="2"/>
  <c r="C12941" i="2"/>
  <c r="B12941" i="2"/>
  <c r="A12941" i="2"/>
  <c r="D12940" i="2"/>
  <c r="C12940" i="2"/>
  <c r="B12940" i="2"/>
  <c r="A12940" i="2"/>
  <c r="D12939" i="2"/>
  <c r="C12939" i="2"/>
  <c r="B12939" i="2"/>
  <c r="A12939" i="2"/>
  <c r="D12938" i="2"/>
  <c r="C12938" i="2"/>
  <c r="B12938" i="2"/>
  <c r="A12938" i="2"/>
  <c r="D12937" i="2"/>
  <c r="C12937" i="2"/>
  <c r="B12937" i="2"/>
  <c r="A12937" i="2"/>
  <c r="D12936" i="2"/>
  <c r="C12936" i="2"/>
  <c r="B12936" i="2"/>
  <c r="A12936" i="2"/>
  <c r="D12935" i="2"/>
  <c r="C12935" i="2"/>
  <c r="B12935" i="2"/>
  <c r="A12935" i="2"/>
  <c r="D12934" i="2"/>
  <c r="C12934" i="2"/>
  <c r="B12934" i="2"/>
  <c r="A12934" i="2"/>
  <c r="D12933" i="2"/>
  <c r="C12933" i="2"/>
  <c r="B12933" i="2"/>
  <c r="A12933" i="2"/>
  <c r="D12932" i="2"/>
  <c r="C12932" i="2"/>
  <c r="B12932" i="2"/>
  <c r="A12932" i="2"/>
  <c r="D12931" i="2"/>
  <c r="C12931" i="2"/>
  <c r="B12931" i="2"/>
  <c r="A12931" i="2"/>
  <c r="D12930" i="2"/>
  <c r="C12930" i="2"/>
  <c r="B12930" i="2"/>
  <c r="A12930" i="2"/>
  <c r="D12929" i="2"/>
  <c r="C12929" i="2"/>
  <c r="B12929" i="2"/>
  <c r="A12929" i="2"/>
  <c r="D12928" i="2"/>
  <c r="C12928" i="2"/>
  <c r="B12928" i="2"/>
  <c r="A12928" i="2"/>
  <c r="D12927" i="2"/>
  <c r="C12927" i="2"/>
  <c r="B12927" i="2"/>
  <c r="A12927" i="2"/>
  <c r="D12926" i="2"/>
  <c r="C12926" i="2"/>
  <c r="B12926" i="2"/>
  <c r="A12926" i="2"/>
  <c r="D12925" i="2"/>
  <c r="C12925" i="2"/>
  <c r="B12925" i="2"/>
  <c r="A12925" i="2"/>
  <c r="D12924" i="2"/>
  <c r="C12924" i="2"/>
  <c r="B12924" i="2"/>
  <c r="A12924" i="2"/>
  <c r="D12923" i="2"/>
  <c r="C12923" i="2"/>
  <c r="B12923" i="2"/>
  <c r="A12923" i="2"/>
  <c r="D12922" i="2"/>
  <c r="C12922" i="2"/>
  <c r="B12922" i="2"/>
  <c r="A12922" i="2"/>
  <c r="D12921" i="2"/>
  <c r="C12921" i="2"/>
  <c r="B12921" i="2"/>
  <c r="A12921" i="2"/>
  <c r="D12920" i="2"/>
  <c r="C12920" i="2"/>
  <c r="B12920" i="2"/>
  <c r="A12920" i="2"/>
  <c r="D12919" i="2"/>
  <c r="C12919" i="2"/>
  <c r="B12919" i="2"/>
  <c r="A12919" i="2"/>
  <c r="D12918" i="2"/>
  <c r="C12918" i="2"/>
  <c r="B12918" i="2"/>
  <c r="A12918" i="2"/>
  <c r="D12917" i="2"/>
  <c r="C12917" i="2"/>
  <c r="B12917" i="2"/>
  <c r="A12917" i="2"/>
  <c r="D12916" i="2"/>
  <c r="C12916" i="2"/>
  <c r="B12916" i="2"/>
  <c r="A12916" i="2"/>
  <c r="D12915" i="2"/>
  <c r="C12915" i="2"/>
  <c r="B12915" i="2"/>
  <c r="A12915" i="2"/>
  <c r="D12914" i="2"/>
  <c r="C12914" i="2"/>
  <c r="B12914" i="2"/>
  <c r="A12914" i="2"/>
  <c r="D12913" i="2"/>
  <c r="B12913" i="2"/>
  <c r="A12913" i="2"/>
  <c r="D12912" i="2"/>
  <c r="C12912" i="2"/>
  <c r="B12912" i="2"/>
  <c r="A12912" i="2"/>
  <c r="D12911" i="2"/>
  <c r="C12911" i="2"/>
  <c r="B12911" i="2"/>
  <c r="A12911" i="2"/>
  <c r="D12910" i="2"/>
  <c r="C12910" i="2"/>
  <c r="B12910" i="2"/>
  <c r="A12910" i="2"/>
  <c r="D12909" i="2"/>
  <c r="C12909" i="2"/>
  <c r="B12909" i="2"/>
  <c r="A12909" i="2"/>
  <c r="D12908" i="2"/>
  <c r="C12908" i="2"/>
  <c r="B12908" i="2"/>
  <c r="A12908" i="2"/>
  <c r="D12907" i="2"/>
  <c r="C12907" i="2"/>
  <c r="B12907" i="2"/>
  <c r="A12907" i="2"/>
  <c r="D12906" i="2"/>
  <c r="C12906" i="2"/>
  <c r="B12906" i="2"/>
  <c r="A12906" i="2"/>
  <c r="D12905" i="2"/>
  <c r="C12905" i="2"/>
  <c r="B12905" i="2"/>
  <c r="A12905" i="2"/>
  <c r="D12904" i="2"/>
  <c r="C12904" i="2"/>
  <c r="B12904" i="2"/>
  <c r="A12904" i="2"/>
  <c r="D12903" i="2"/>
  <c r="C12903" i="2"/>
  <c r="B12903" i="2"/>
  <c r="A12903" i="2"/>
  <c r="D12902" i="2"/>
  <c r="C12902" i="2"/>
  <c r="B12902" i="2"/>
  <c r="A12902" i="2"/>
  <c r="D12901" i="2"/>
  <c r="C12901" i="2"/>
  <c r="B12901" i="2"/>
  <c r="A12901" i="2"/>
  <c r="D12900" i="2"/>
  <c r="B12900" i="2"/>
  <c r="A12900" i="2"/>
  <c r="D12899" i="2"/>
  <c r="C12899" i="2"/>
  <c r="B12899" i="2"/>
  <c r="A12899" i="2"/>
  <c r="D12898" i="2"/>
  <c r="C12898" i="2"/>
  <c r="B12898" i="2"/>
  <c r="A12898" i="2"/>
  <c r="D12897" i="2"/>
  <c r="C12897" i="2"/>
  <c r="B12897" i="2"/>
  <c r="A12897" i="2"/>
  <c r="D12896" i="2"/>
  <c r="C12896" i="2"/>
  <c r="B12896" i="2"/>
  <c r="A12896" i="2"/>
  <c r="D12895" i="2"/>
  <c r="C12895" i="2"/>
  <c r="B12895" i="2"/>
  <c r="A12895" i="2"/>
  <c r="D12894" i="2"/>
  <c r="C12894" i="2"/>
  <c r="B12894" i="2"/>
  <c r="A12894" i="2"/>
  <c r="D12893" i="2"/>
  <c r="C12893" i="2"/>
  <c r="B12893" i="2"/>
  <c r="A12893" i="2"/>
  <c r="D12892" i="2"/>
  <c r="C12892" i="2"/>
  <c r="B12892" i="2"/>
  <c r="A12892" i="2"/>
  <c r="D12891" i="2"/>
  <c r="C12891" i="2"/>
  <c r="B12891" i="2"/>
  <c r="A12891" i="2"/>
  <c r="D12890" i="2"/>
  <c r="C12890" i="2"/>
  <c r="B12890" i="2"/>
  <c r="A12890" i="2"/>
  <c r="D12889" i="2"/>
  <c r="C12889" i="2"/>
  <c r="B12889" i="2"/>
  <c r="A12889" i="2"/>
  <c r="D12888" i="2"/>
  <c r="C12888" i="2"/>
  <c r="B12888" i="2"/>
  <c r="A12888" i="2"/>
  <c r="D12887" i="2"/>
  <c r="C12887" i="2"/>
  <c r="B12887" i="2"/>
  <c r="A12887" i="2"/>
  <c r="D12886" i="2"/>
  <c r="B12886" i="2"/>
  <c r="A12886" i="2"/>
  <c r="D12885" i="2"/>
  <c r="B12885" i="2"/>
  <c r="A12885" i="2"/>
  <c r="D12884" i="2"/>
  <c r="B12884" i="2"/>
  <c r="A12884" i="2"/>
  <c r="D12883" i="2"/>
  <c r="B12883" i="2"/>
  <c r="A12883" i="2"/>
  <c r="D12882" i="2"/>
  <c r="B12882" i="2"/>
  <c r="A12882" i="2"/>
  <c r="D12881" i="2"/>
  <c r="C12881" i="2"/>
  <c r="B12881" i="2"/>
  <c r="A12881" i="2"/>
  <c r="D12880" i="2"/>
  <c r="B12880" i="2"/>
  <c r="A12880" i="2"/>
  <c r="D12879" i="2"/>
  <c r="C12879" i="2"/>
  <c r="B12879" i="2"/>
  <c r="A12879" i="2"/>
  <c r="D12878" i="2"/>
  <c r="C12878" i="2"/>
  <c r="B12878" i="2"/>
  <c r="A12878" i="2"/>
  <c r="D12877" i="2"/>
  <c r="B12877" i="2"/>
  <c r="A12877" i="2"/>
  <c r="D12876" i="2"/>
  <c r="B12876" i="2"/>
  <c r="A12876" i="2"/>
  <c r="D12875" i="2"/>
  <c r="C12875" i="2"/>
  <c r="B12875" i="2"/>
  <c r="A12875" i="2"/>
  <c r="D12874" i="2"/>
  <c r="B12874" i="2"/>
  <c r="A12874" i="2"/>
  <c r="D12873" i="2"/>
  <c r="B12873" i="2"/>
  <c r="A12873" i="2"/>
  <c r="D12872" i="2"/>
  <c r="B12872" i="2"/>
  <c r="A12872" i="2"/>
  <c r="D12871" i="2"/>
  <c r="C12871" i="2"/>
  <c r="B12871" i="2"/>
  <c r="A12871" i="2"/>
  <c r="D12870" i="2"/>
  <c r="B12870" i="2"/>
  <c r="A12870" i="2"/>
  <c r="D12869" i="2"/>
  <c r="C12869" i="2"/>
  <c r="B12869" i="2"/>
  <c r="A12869" i="2"/>
  <c r="D12868" i="2"/>
  <c r="C12868" i="2"/>
  <c r="B12868" i="2"/>
  <c r="A12868" i="2"/>
  <c r="D12867" i="2"/>
  <c r="C12867" i="2"/>
  <c r="B12867" i="2"/>
  <c r="A12867" i="2"/>
  <c r="D12866" i="2"/>
  <c r="C12866" i="2"/>
  <c r="B12866" i="2"/>
  <c r="A12866" i="2"/>
  <c r="D12865" i="2"/>
  <c r="C12865" i="2"/>
  <c r="B12865" i="2"/>
  <c r="A12865" i="2"/>
  <c r="D12864" i="2"/>
  <c r="B12864" i="2"/>
  <c r="A12864" i="2"/>
  <c r="D12863" i="2"/>
  <c r="B12863" i="2"/>
  <c r="A12863" i="2"/>
  <c r="D12862" i="2"/>
  <c r="C12862" i="2"/>
  <c r="B12862" i="2"/>
  <c r="A12862" i="2"/>
  <c r="D12861" i="2"/>
  <c r="B12861" i="2"/>
  <c r="A12861" i="2"/>
  <c r="D12860" i="2"/>
  <c r="B12860" i="2"/>
  <c r="A12860" i="2"/>
  <c r="D12859" i="2"/>
  <c r="B12859" i="2"/>
  <c r="A12859" i="2"/>
  <c r="D12858" i="2"/>
  <c r="C12858" i="2"/>
  <c r="B12858" i="2"/>
  <c r="A12858" i="2"/>
  <c r="D12857" i="2"/>
  <c r="C12857" i="2"/>
  <c r="B12857" i="2"/>
  <c r="A12857" i="2"/>
  <c r="D12856" i="2"/>
  <c r="C12856" i="2"/>
  <c r="B12856" i="2"/>
  <c r="A12856" i="2"/>
  <c r="D12855" i="2"/>
  <c r="C12855" i="2"/>
  <c r="B12855" i="2"/>
  <c r="A12855" i="2"/>
  <c r="D12854" i="2"/>
  <c r="C12854" i="2"/>
  <c r="B12854" i="2"/>
  <c r="A12854" i="2"/>
  <c r="D12853" i="2"/>
  <c r="C12853" i="2"/>
  <c r="B12853" i="2"/>
  <c r="A12853" i="2"/>
  <c r="D12852" i="2"/>
  <c r="B12852" i="2"/>
  <c r="A12852" i="2"/>
  <c r="D12851" i="2"/>
  <c r="B12851" i="2"/>
  <c r="A12851" i="2"/>
  <c r="D12850" i="2"/>
  <c r="B12850" i="2"/>
  <c r="A12850" i="2"/>
  <c r="D12849" i="2"/>
  <c r="B12849" i="2"/>
  <c r="A12849" i="2"/>
  <c r="D12848" i="2"/>
  <c r="B12848" i="2"/>
  <c r="A12848" i="2"/>
  <c r="D12847" i="2"/>
  <c r="C12847" i="2"/>
  <c r="B12847" i="2"/>
  <c r="A12847" i="2"/>
  <c r="D12846" i="2"/>
  <c r="C12846" i="2"/>
  <c r="B12846" i="2"/>
  <c r="A12846" i="2"/>
  <c r="D12845" i="2"/>
  <c r="C12845" i="2"/>
  <c r="B12845" i="2"/>
  <c r="A12845" i="2"/>
  <c r="D12844" i="2"/>
  <c r="C12844" i="2"/>
  <c r="B12844" i="2"/>
  <c r="A12844" i="2"/>
  <c r="D12843" i="2"/>
  <c r="C12843" i="2"/>
  <c r="B12843" i="2"/>
  <c r="A12843" i="2"/>
  <c r="D12842" i="2"/>
  <c r="C12842" i="2"/>
  <c r="B12842" i="2"/>
  <c r="A12842" i="2"/>
  <c r="D12841" i="2"/>
  <c r="C12841" i="2"/>
  <c r="B12841" i="2"/>
  <c r="A12841" i="2"/>
  <c r="D12840" i="2"/>
  <c r="C12840" i="2"/>
  <c r="B12840" i="2"/>
  <c r="A12840" i="2"/>
  <c r="D12839" i="2"/>
  <c r="C12839" i="2"/>
  <c r="B12839" i="2"/>
  <c r="A12839" i="2"/>
  <c r="D12838" i="2"/>
  <c r="C12838" i="2"/>
  <c r="B12838" i="2"/>
  <c r="A12838" i="2"/>
  <c r="D12837" i="2"/>
  <c r="C12837" i="2"/>
  <c r="B12837" i="2"/>
  <c r="A12837" i="2"/>
  <c r="D12836" i="2"/>
  <c r="C12836" i="2"/>
  <c r="B12836" i="2"/>
  <c r="A12836" i="2"/>
  <c r="D12835" i="2"/>
  <c r="C12835" i="2"/>
  <c r="B12835" i="2"/>
  <c r="A12835" i="2"/>
  <c r="D12834" i="2"/>
  <c r="C12834" i="2"/>
  <c r="B12834" i="2"/>
  <c r="A12834" i="2"/>
  <c r="D12833" i="2"/>
  <c r="C12833" i="2"/>
  <c r="B12833" i="2"/>
  <c r="A12833" i="2"/>
  <c r="D12832" i="2"/>
  <c r="C12832" i="2"/>
  <c r="B12832" i="2"/>
  <c r="A12832" i="2"/>
  <c r="D12831" i="2"/>
  <c r="C12831" i="2"/>
  <c r="B12831" i="2"/>
  <c r="A12831" i="2"/>
  <c r="D12830" i="2"/>
  <c r="C12830" i="2"/>
  <c r="B12830" i="2"/>
  <c r="A12830" i="2"/>
  <c r="D12829" i="2"/>
  <c r="C12829" i="2"/>
  <c r="B12829" i="2"/>
  <c r="A12829" i="2"/>
  <c r="D12828" i="2"/>
  <c r="C12828" i="2"/>
  <c r="B12828" i="2"/>
  <c r="A12828" i="2"/>
  <c r="D12827" i="2"/>
  <c r="C12827" i="2"/>
  <c r="B12827" i="2"/>
  <c r="A12827" i="2"/>
  <c r="D12826" i="2"/>
  <c r="C12826" i="2"/>
  <c r="B12826" i="2"/>
  <c r="A12826" i="2"/>
  <c r="D12825" i="2"/>
  <c r="B12825" i="2"/>
  <c r="A12825" i="2"/>
  <c r="D12824" i="2"/>
  <c r="C12824" i="2"/>
  <c r="B12824" i="2"/>
  <c r="A12824" i="2"/>
  <c r="D12823" i="2"/>
  <c r="C12823" i="2"/>
  <c r="B12823" i="2"/>
  <c r="A12823" i="2"/>
  <c r="D12822" i="2"/>
  <c r="B12822" i="2"/>
  <c r="A12822" i="2"/>
  <c r="D12821" i="2"/>
  <c r="C12821" i="2"/>
  <c r="B12821" i="2"/>
  <c r="A12821" i="2"/>
  <c r="D12820" i="2"/>
  <c r="C12820" i="2"/>
  <c r="B12820" i="2"/>
  <c r="A12820" i="2"/>
  <c r="D12819" i="2"/>
  <c r="C12819" i="2"/>
  <c r="B12819" i="2"/>
  <c r="A12819" i="2"/>
  <c r="D12818" i="2"/>
  <c r="C12818" i="2"/>
  <c r="B12818" i="2"/>
  <c r="A12818" i="2"/>
  <c r="D12817" i="2"/>
  <c r="C12817" i="2"/>
  <c r="B12817" i="2"/>
  <c r="A12817" i="2"/>
  <c r="D12816" i="2"/>
  <c r="C12816" i="2"/>
  <c r="B12816" i="2"/>
  <c r="A12816" i="2"/>
  <c r="D12815" i="2"/>
  <c r="C12815" i="2"/>
  <c r="B12815" i="2"/>
  <c r="A12815" i="2"/>
  <c r="D12814" i="2"/>
  <c r="C12814" i="2"/>
  <c r="B12814" i="2"/>
  <c r="A12814" i="2"/>
  <c r="D12813" i="2"/>
  <c r="C12813" i="2"/>
  <c r="B12813" i="2"/>
  <c r="A12813" i="2"/>
  <c r="D12812" i="2"/>
  <c r="B12812" i="2"/>
  <c r="A12812" i="2"/>
  <c r="D12811" i="2"/>
  <c r="C12811" i="2"/>
  <c r="B12811" i="2"/>
  <c r="A12811" i="2"/>
  <c r="D12810" i="2"/>
  <c r="C12810" i="2"/>
  <c r="B12810" i="2"/>
  <c r="A12810" i="2"/>
  <c r="D12809" i="2"/>
  <c r="C12809" i="2"/>
  <c r="B12809" i="2"/>
  <c r="A12809" i="2"/>
  <c r="D12808" i="2"/>
  <c r="C12808" i="2"/>
  <c r="B12808" i="2"/>
  <c r="A12808" i="2"/>
  <c r="D12807" i="2"/>
  <c r="C12807" i="2"/>
  <c r="B12807" i="2"/>
  <c r="A12807" i="2"/>
  <c r="D12806" i="2"/>
  <c r="C12806" i="2"/>
  <c r="B12806" i="2"/>
  <c r="A12806" i="2"/>
  <c r="D12805" i="2"/>
  <c r="C12805" i="2"/>
  <c r="B12805" i="2"/>
  <c r="A12805" i="2"/>
  <c r="D12804" i="2"/>
  <c r="C12804" i="2"/>
  <c r="B12804" i="2"/>
  <c r="A12804" i="2"/>
  <c r="D12803" i="2"/>
  <c r="C12803" i="2"/>
  <c r="B12803" i="2"/>
  <c r="A12803" i="2"/>
  <c r="D12802" i="2"/>
  <c r="C12802" i="2"/>
  <c r="B12802" i="2"/>
  <c r="A12802" i="2"/>
  <c r="D12801" i="2"/>
  <c r="C12801" i="2"/>
  <c r="B12801" i="2"/>
  <c r="A12801" i="2"/>
  <c r="D12800" i="2"/>
  <c r="C12800" i="2"/>
  <c r="B12800" i="2"/>
  <c r="A12800" i="2"/>
  <c r="D12799" i="2"/>
  <c r="C12799" i="2"/>
  <c r="B12799" i="2"/>
  <c r="A12799" i="2"/>
  <c r="D12798" i="2"/>
  <c r="B12798" i="2"/>
  <c r="A12798" i="2"/>
  <c r="D12797" i="2"/>
  <c r="C12797" i="2"/>
  <c r="B12797" i="2"/>
  <c r="A12797" i="2"/>
  <c r="D12796" i="2"/>
  <c r="C12796" i="2"/>
  <c r="B12796" i="2"/>
  <c r="A12796" i="2"/>
  <c r="D12795" i="2"/>
  <c r="C12795" i="2"/>
  <c r="B12795" i="2"/>
  <c r="A12795" i="2"/>
  <c r="D12794" i="2"/>
  <c r="C12794" i="2"/>
  <c r="B12794" i="2"/>
  <c r="A12794" i="2"/>
  <c r="D12793" i="2"/>
  <c r="C12793" i="2"/>
  <c r="B12793" i="2"/>
  <c r="A12793" i="2"/>
  <c r="D12792" i="2"/>
  <c r="C12792" i="2"/>
  <c r="B12792" i="2"/>
  <c r="A12792" i="2"/>
  <c r="D12791" i="2"/>
  <c r="C12791" i="2"/>
  <c r="B12791" i="2"/>
  <c r="A12791" i="2"/>
  <c r="D12790" i="2"/>
  <c r="C12790" i="2"/>
  <c r="B12790" i="2"/>
  <c r="A12790" i="2"/>
  <c r="D12789" i="2"/>
  <c r="B12789" i="2"/>
  <c r="A12789" i="2"/>
  <c r="D12788" i="2"/>
  <c r="C12788" i="2"/>
  <c r="B12788" i="2"/>
  <c r="A12788" i="2"/>
  <c r="D12787" i="2"/>
  <c r="C12787" i="2"/>
  <c r="B12787" i="2"/>
  <c r="A12787" i="2"/>
  <c r="D12786" i="2"/>
  <c r="C12786" i="2"/>
  <c r="B12786" i="2"/>
  <c r="A12786" i="2"/>
  <c r="D12785" i="2"/>
  <c r="C12785" i="2"/>
  <c r="B12785" i="2"/>
  <c r="A12785" i="2"/>
  <c r="D12784" i="2"/>
  <c r="C12784" i="2"/>
  <c r="B12784" i="2"/>
  <c r="A12784" i="2"/>
  <c r="D12783" i="2"/>
  <c r="C12783" i="2"/>
  <c r="B12783" i="2"/>
  <c r="A12783" i="2"/>
  <c r="D12782" i="2"/>
  <c r="C12782" i="2"/>
  <c r="B12782" i="2"/>
  <c r="A12782" i="2"/>
  <c r="D12781" i="2"/>
  <c r="C12781" i="2"/>
  <c r="B12781" i="2"/>
  <c r="A12781" i="2"/>
  <c r="D12780" i="2"/>
  <c r="C12780" i="2"/>
  <c r="B12780" i="2"/>
  <c r="A12780" i="2"/>
  <c r="D12779" i="2"/>
  <c r="C12779" i="2"/>
  <c r="B12779" i="2"/>
  <c r="A12779" i="2"/>
  <c r="D12778" i="2"/>
  <c r="C12778" i="2"/>
  <c r="B12778" i="2"/>
  <c r="A12778" i="2"/>
  <c r="D12777" i="2"/>
  <c r="C12777" i="2"/>
  <c r="B12777" i="2"/>
  <c r="A12777" i="2"/>
  <c r="D12776" i="2"/>
  <c r="C12776" i="2"/>
  <c r="B12776" i="2"/>
  <c r="A12776" i="2"/>
  <c r="D12775" i="2"/>
  <c r="C12775" i="2"/>
  <c r="B12775" i="2"/>
  <c r="A12775" i="2"/>
  <c r="D12774" i="2"/>
  <c r="C12774" i="2"/>
  <c r="B12774" i="2"/>
  <c r="A12774" i="2"/>
  <c r="D12773" i="2"/>
  <c r="C12773" i="2"/>
  <c r="B12773" i="2"/>
  <c r="A12773" i="2"/>
  <c r="D12772" i="2"/>
  <c r="C12772" i="2"/>
  <c r="B12772" i="2"/>
  <c r="A12772" i="2"/>
  <c r="D12771" i="2"/>
  <c r="C12771" i="2"/>
  <c r="B12771" i="2"/>
  <c r="A12771" i="2"/>
  <c r="D12770" i="2"/>
  <c r="C12770" i="2"/>
  <c r="B12770" i="2"/>
  <c r="A12770" i="2"/>
  <c r="D12769" i="2"/>
  <c r="C12769" i="2"/>
  <c r="B12769" i="2"/>
  <c r="A12769" i="2"/>
  <c r="D12768" i="2"/>
  <c r="C12768" i="2"/>
  <c r="B12768" i="2"/>
  <c r="A12768" i="2"/>
  <c r="D12767" i="2"/>
  <c r="C12767" i="2"/>
  <c r="B12767" i="2"/>
  <c r="A12767" i="2"/>
  <c r="D12766" i="2"/>
  <c r="C12766" i="2"/>
  <c r="B12766" i="2"/>
  <c r="A12766" i="2"/>
  <c r="D12765" i="2"/>
  <c r="C12765" i="2"/>
  <c r="B12765" i="2"/>
  <c r="A12765" i="2"/>
  <c r="D12764" i="2"/>
  <c r="C12764" i="2"/>
  <c r="B12764" i="2"/>
  <c r="A12764" i="2"/>
  <c r="D12763" i="2"/>
  <c r="C12763" i="2"/>
  <c r="B12763" i="2"/>
  <c r="A12763" i="2"/>
  <c r="D12762" i="2"/>
  <c r="C12762" i="2"/>
  <c r="B12762" i="2"/>
  <c r="A12762" i="2"/>
  <c r="D12761" i="2"/>
  <c r="C12761" i="2"/>
  <c r="B12761" i="2"/>
  <c r="A12761" i="2"/>
  <c r="D12760" i="2"/>
  <c r="C12760" i="2"/>
  <c r="B12760" i="2"/>
  <c r="A12760" i="2"/>
  <c r="D12759" i="2"/>
  <c r="C12759" i="2"/>
  <c r="B12759" i="2"/>
  <c r="A12759" i="2"/>
  <c r="D12758" i="2"/>
  <c r="C12758" i="2"/>
  <c r="B12758" i="2"/>
  <c r="A12758" i="2"/>
  <c r="D12757" i="2"/>
  <c r="C12757" i="2"/>
  <c r="B12757" i="2"/>
  <c r="A12757" i="2"/>
  <c r="D12756" i="2"/>
  <c r="C12756" i="2"/>
  <c r="B12756" i="2"/>
  <c r="A12756" i="2"/>
  <c r="D12755" i="2"/>
  <c r="C12755" i="2"/>
  <c r="B12755" i="2"/>
  <c r="A12755" i="2"/>
  <c r="D12754" i="2"/>
  <c r="C12754" i="2"/>
  <c r="B12754" i="2"/>
  <c r="A12754" i="2"/>
  <c r="D12753" i="2"/>
  <c r="C12753" i="2"/>
  <c r="B12753" i="2"/>
  <c r="A12753" i="2"/>
  <c r="D12752" i="2"/>
  <c r="C12752" i="2"/>
  <c r="B12752" i="2"/>
  <c r="A12752" i="2"/>
  <c r="D12751" i="2"/>
  <c r="C12751" i="2"/>
  <c r="B12751" i="2"/>
  <c r="A12751" i="2"/>
  <c r="D12750" i="2"/>
  <c r="C12750" i="2"/>
  <c r="B12750" i="2"/>
  <c r="A12750" i="2"/>
  <c r="D12749" i="2"/>
  <c r="C12749" i="2"/>
  <c r="B12749" i="2"/>
  <c r="A12749" i="2"/>
  <c r="D12748" i="2"/>
  <c r="C12748" i="2"/>
  <c r="B12748" i="2"/>
  <c r="A12748" i="2"/>
  <c r="D12747" i="2"/>
  <c r="C12747" i="2"/>
  <c r="B12747" i="2"/>
  <c r="A12747" i="2"/>
  <c r="D12746" i="2"/>
  <c r="C12746" i="2"/>
  <c r="B12746" i="2"/>
  <c r="A12746" i="2"/>
  <c r="D12745" i="2"/>
  <c r="C12745" i="2"/>
  <c r="B12745" i="2"/>
  <c r="A12745" i="2"/>
  <c r="D12744" i="2"/>
  <c r="C12744" i="2"/>
  <c r="B12744" i="2"/>
  <c r="A12744" i="2"/>
  <c r="D12743" i="2"/>
  <c r="C12743" i="2"/>
  <c r="B12743" i="2"/>
  <c r="A12743" i="2"/>
  <c r="D12742" i="2"/>
  <c r="C12742" i="2"/>
  <c r="B12742" i="2"/>
  <c r="A12742" i="2"/>
  <c r="D12741" i="2"/>
  <c r="C12741" i="2"/>
  <c r="B12741" i="2"/>
  <c r="A12741" i="2"/>
  <c r="D12740" i="2"/>
  <c r="B12740" i="2"/>
  <c r="A12740" i="2"/>
  <c r="D12739" i="2"/>
  <c r="C12739" i="2"/>
  <c r="B12739" i="2"/>
  <c r="A12739" i="2"/>
  <c r="D12738" i="2"/>
  <c r="C12738" i="2"/>
  <c r="B12738" i="2"/>
  <c r="A12738" i="2"/>
  <c r="D12737" i="2"/>
  <c r="C12737" i="2"/>
  <c r="B12737" i="2"/>
  <c r="A12737" i="2"/>
  <c r="D12736" i="2"/>
  <c r="C12736" i="2"/>
  <c r="B12736" i="2"/>
  <c r="A12736" i="2"/>
  <c r="D12735" i="2"/>
  <c r="C12735" i="2"/>
  <c r="B12735" i="2"/>
  <c r="A12735" i="2"/>
  <c r="D12734" i="2"/>
  <c r="C12734" i="2"/>
  <c r="B12734" i="2"/>
  <c r="A12734" i="2"/>
  <c r="D12733" i="2"/>
  <c r="C12733" i="2"/>
  <c r="B12733" i="2"/>
  <c r="A12733" i="2"/>
  <c r="D12732" i="2"/>
  <c r="C12732" i="2"/>
  <c r="B12732" i="2"/>
  <c r="A12732" i="2"/>
  <c r="D12731" i="2"/>
  <c r="C12731" i="2"/>
  <c r="B12731" i="2"/>
  <c r="A12731" i="2"/>
  <c r="D12730" i="2"/>
  <c r="C12730" i="2"/>
  <c r="B12730" i="2"/>
  <c r="A12730" i="2"/>
  <c r="D12729" i="2"/>
  <c r="C12729" i="2"/>
  <c r="B12729" i="2"/>
  <c r="A12729" i="2"/>
  <c r="D12728" i="2"/>
  <c r="C12728" i="2"/>
  <c r="B12728" i="2"/>
  <c r="A12728" i="2"/>
  <c r="D12727" i="2"/>
  <c r="C12727" i="2"/>
  <c r="B12727" i="2"/>
  <c r="A12727" i="2"/>
  <c r="D12726" i="2"/>
  <c r="C12726" i="2"/>
  <c r="B12726" i="2"/>
  <c r="A12726" i="2"/>
  <c r="D12725" i="2"/>
  <c r="C12725" i="2"/>
  <c r="B12725" i="2"/>
  <c r="A12725" i="2"/>
  <c r="D12724" i="2"/>
  <c r="C12724" i="2"/>
  <c r="B12724" i="2"/>
  <c r="A12724" i="2"/>
  <c r="D12723" i="2"/>
  <c r="C12723" i="2"/>
  <c r="B12723" i="2"/>
  <c r="A12723" i="2"/>
  <c r="D12722" i="2"/>
  <c r="C12722" i="2"/>
  <c r="B12722" i="2"/>
  <c r="A12722" i="2"/>
  <c r="D12721" i="2"/>
  <c r="C12721" i="2"/>
  <c r="B12721" i="2"/>
  <c r="A12721" i="2"/>
  <c r="D12720" i="2"/>
  <c r="C12720" i="2"/>
  <c r="B12720" i="2"/>
  <c r="A12720" i="2"/>
  <c r="D12719" i="2"/>
  <c r="C12719" i="2"/>
  <c r="B12719" i="2"/>
  <c r="A12719" i="2"/>
  <c r="D12718" i="2"/>
  <c r="C12718" i="2"/>
  <c r="B12718" i="2"/>
  <c r="A12718" i="2"/>
  <c r="D12717" i="2"/>
  <c r="C12717" i="2"/>
  <c r="B12717" i="2"/>
  <c r="A12717" i="2"/>
  <c r="D12716" i="2"/>
  <c r="C12716" i="2"/>
  <c r="B12716" i="2"/>
  <c r="A12716" i="2"/>
  <c r="D12715" i="2"/>
  <c r="C12715" i="2"/>
  <c r="B12715" i="2"/>
  <c r="A12715" i="2"/>
  <c r="D12714" i="2"/>
  <c r="C12714" i="2"/>
  <c r="B12714" i="2"/>
  <c r="A12714" i="2"/>
  <c r="D12713" i="2"/>
  <c r="C12713" i="2"/>
  <c r="B12713" i="2"/>
  <c r="A12713" i="2"/>
  <c r="D12712" i="2"/>
  <c r="C12712" i="2"/>
  <c r="B12712" i="2"/>
  <c r="A12712" i="2"/>
  <c r="D12711" i="2"/>
  <c r="C12711" i="2"/>
  <c r="B12711" i="2"/>
  <c r="A12711" i="2"/>
  <c r="D12710" i="2"/>
  <c r="C12710" i="2"/>
  <c r="B12710" i="2"/>
  <c r="A12710" i="2"/>
  <c r="D12709" i="2"/>
  <c r="C12709" i="2"/>
  <c r="B12709" i="2"/>
  <c r="A12709" i="2"/>
  <c r="D12708" i="2"/>
  <c r="C12708" i="2"/>
  <c r="B12708" i="2"/>
  <c r="A12708" i="2"/>
  <c r="D12707" i="2"/>
  <c r="C12707" i="2"/>
  <c r="B12707" i="2"/>
  <c r="A12707" i="2"/>
  <c r="D12706" i="2"/>
  <c r="C12706" i="2"/>
  <c r="B12706" i="2"/>
  <c r="A12706" i="2"/>
  <c r="D12705" i="2"/>
  <c r="C12705" i="2"/>
  <c r="B12705" i="2"/>
  <c r="A12705" i="2"/>
  <c r="D12704" i="2"/>
  <c r="C12704" i="2"/>
  <c r="B12704" i="2"/>
  <c r="A12704" i="2"/>
  <c r="D12703" i="2"/>
  <c r="C12703" i="2"/>
  <c r="B12703" i="2"/>
  <c r="A12703" i="2"/>
  <c r="D12702" i="2"/>
  <c r="C12702" i="2"/>
  <c r="B12702" i="2"/>
  <c r="A12702" i="2"/>
  <c r="D12701" i="2"/>
  <c r="C12701" i="2"/>
  <c r="B12701" i="2"/>
  <c r="A12701" i="2"/>
  <c r="D12700" i="2"/>
  <c r="C12700" i="2"/>
  <c r="B12700" i="2"/>
  <c r="A12700" i="2"/>
  <c r="D12699" i="2"/>
  <c r="C12699" i="2"/>
  <c r="B12699" i="2"/>
  <c r="A12699" i="2"/>
  <c r="D12698" i="2"/>
  <c r="C12698" i="2"/>
  <c r="B12698" i="2"/>
  <c r="A12698" i="2"/>
  <c r="D12697" i="2"/>
  <c r="C12697" i="2"/>
  <c r="B12697" i="2"/>
  <c r="A12697" i="2"/>
  <c r="D12696" i="2"/>
  <c r="C12696" i="2"/>
  <c r="B12696" i="2"/>
  <c r="A12696" i="2"/>
  <c r="D12695" i="2"/>
  <c r="C12695" i="2"/>
  <c r="B12695" i="2"/>
  <c r="A12695" i="2"/>
  <c r="D12694" i="2"/>
  <c r="C12694" i="2"/>
  <c r="B12694" i="2"/>
  <c r="A12694" i="2"/>
  <c r="D12693" i="2"/>
  <c r="C12693" i="2"/>
  <c r="B12693" i="2"/>
  <c r="A12693" i="2"/>
  <c r="D12692" i="2"/>
  <c r="C12692" i="2"/>
  <c r="B12692" i="2"/>
  <c r="A12692" i="2"/>
  <c r="D12691" i="2"/>
  <c r="C12691" i="2"/>
  <c r="B12691" i="2"/>
  <c r="A12691" i="2"/>
  <c r="D12690" i="2"/>
  <c r="C12690" i="2"/>
  <c r="B12690" i="2"/>
  <c r="A12690" i="2"/>
  <c r="D12689" i="2"/>
  <c r="C12689" i="2"/>
  <c r="B12689" i="2"/>
  <c r="A12689" i="2"/>
  <c r="D12688" i="2"/>
  <c r="C12688" i="2"/>
  <c r="B12688" i="2"/>
  <c r="A12688" i="2"/>
  <c r="D12687" i="2"/>
  <c r="C12687" i="2"/>
  <c r="B12687" i="2"/>
  <c r="A12687" i="2"/>
  <c r="D12686" i="2"/>
  <c r="C12686" i="2"/>
  <c r="B12686" i="2"/>
  <c r="A12686" i="2"/>
  <c r="D12685" i="2"/>
  <c r="C12685" i="2"/>
  <c r="B12685" i="2"/>
  <c r="A12685" i="2"/>
  <c r="D12684" i="2"/>
  <c r="C12684" i="2"/>
  <c r="B12684" i="2"/>
  <c r="A12684" i="2"/>
  <c r="D12683" i="2"/>
  <c r="C12683" i="2"/>
  <c r="B12683" i="2"/>
  <c r="A12683" i="2"/>
  <c r="D12682" i="2"/>
  <c r="C12682" i="2"/>
  <c r="B12682" i="2"/>
  <c r="A12682" i="2"/>
  <c r="D12681" i="2"/>
  <c r="C12681" i="2"/>
  <c r="B12681" i="2"/>
  <c r="A12681" i="2"/>
  <c r="D12680" i="2"/>
  <c r="C12680" i="2"/>
  <c r="B12680" i="2"/>
  <c r="A12680" i="2"/>
  <c r="D12679" i="2"/>
  <c r="C12679" i="2"/>
  <c r="B12679" i="2"/>
  <c r="A12679" i="2"/>
  <c r="D12678" i="2"/>
  <c r="C12678" i="2"/>
  <c r="B12678" i="2"/>
  <c r="A12678" i="2"/>
  <c r="D12677" i="2"/>
  <c r="C12677" i="2"/>
  <c r="B12677" i="2"/>
  <c r="A12677" i="2"/>
  <c r="D12676" i="2"/>
  <c r="C12676" i="2"/>
  <c r="B12676" i="2"/>
  <c r="A12676" i="2"/>
  <c r="D12675" i="2"/>
  <c r="C12675" i="2"/>
  <c r="B12675" i="2"/>
  <c r="A12675" i="2"/>
  <c r="D12674" i="2"/>
  <c r="C12674" i="2"/>
  <c r="B12674" i="2"/>
  <c r="A12674" i="2"/>
  <c r="D12673" i="2"/>
  <c r="C12673" i="2"/>
  <c r="B12673" i="2"/>
  <c r="A12673" i="2"/>
  <c r="D12672" i="2"/>
  <c r="C12672" i="2"/>
  <c r="B12672" i="2"/>
  <c r="A12672" i="2"/>
  <c r="D12671" i="2"/>
  <c r="C12671" i="2"/>
  <c r="B12671" i="2"/>
  <c r="A12671" i="2"/>
  <c r="D12670" i="2"/>
  <c r="C12670" i="2"/>
  <c r="B12670" i="2"/>
  <c r="A12670" i="2"/>
  <c r="D12669" i="2"/>
  <c r="C12669" i="2"/>
  <c r="B12669" i="2"/>
  <c r="A12669" i="2"/>
  <c r="D12668" i="2"/>
  <c r="C12668" i="2"/>
  <c r="B12668" i="2"/>
  <c r="A12668" i="2"/>
  <c r="D12667" i="2"/>
  <c r="C12667" i="2"/>
  <c r="B12667" i="2"/>
  <c r="A12667" i="2"/>
  <c r="D12666" i="2"/>
  <c r="C12666" i="2"/>
  <c r="B12666" i="2"/>
  <c r="A12666" i="2"/>
  <c r="D12665" i="2"/>
  <c r="C12665" i="2"/>
  <c r="B12665" i="2"/>
  <c r="A12665" i="2"/>
  <c r="D12664" i="2"/>
  <c r="C12664" i="2"/>
  <c r="B12664" i="2"/>
  <c r="A12664" i="2"/>
  <c r="D12663" i="2"/>
  <c r="C12663" i="2"/>
  <c r="B12663" i="2"/>
  <c r="A12663" i="2"/>
  <c r="D12662" i="2"/>
  <c r="C12662" i="2"/>
  <c r="B12662" i="2"/>
  <c r="A12662" i="2"/>
  <c r="D12661" i="2"/>
  <c r="C12661" i="2"/>
  <c r="B12661" i="2"/>
  <c r="A12661" i="2"/>
  <c r="D12660" i="2"/>
  <c r="C12660" i="2"/>
  <c r="B12660" i="2"/>
  <c r="A12660" i="2"/>
  <c r="D12659" i="2"/>
  <c r="C12659" i="2"/>
  <c r="B12659" i="2"/>
  <c r="A12659" i="2"/>
  <c r="D12658" i="2"/>
  <c r="C12658" i="2"/>
  <c r="B12658" i="2"/>
  <c r="A12658" i="2"/>
  <c r="D12657" i="2"/>
  <c r="C12657" i="2"/>
  <c r="B12657" i="2"/>
  <c r="A12657" i="2"/>
  <c r="D12656" i="2"/>
  <c r="C12656" i="2"/>
  <c r="B12656" i="2"/>
  <c r="A12656" i="2"/>
  <c r="D12655" i="2"/>
  <c r="C12655" i="2"/>
  <c r="B12655" i="2"/>
  <c r="A12655" i="2"/>
  <c r="D12654" i="2"/>
  <c r="C12654" i="2"/>
  <c r="B12654" i="2"/>
  <c r="A12654" i="2"/>
  <c r="D12653" i="2"/>
  <c r="C12653" i="2"/>
  <c r="B12653" i="2"/>
  <c r="A12653" i="2"/>
  <c r="D12652" i="2"/>
  <c r="C12652" i="2"/>
  <c r="B12652" i="2"/>
  <c r="A12652" i="2"/>
  <c r="D12651" i="2"/>
  <c r="C12651" i="2"/>
  <c r="B12651" i="2"/>
  <c r="A12651" i="2"/>
  <c r="D12650" i="2"/>
  <c r="C12650" i="2"/>
  <c r="B12650" i="2"/>
  <c r="A12650" i="2"/>
  <c r="D12649" i="2"/>
  <c r="C12649" i="2"/>
  <c r="B12649" i="2"/>
  <c r="A12649" i="2"/>
  <c r="D12648" i="2"/>
  <c r="C12648" i="2"/>
  <c r="B12648" i="2"/>
  <c r="A12648" i="2"/>
  <c r="D12647" i="2"/>
  <c r="C12647" i="2"/>
  <c r="B12647" i="2"/>
  <c r="A12647" i="2"/>
  <c r="D12646" i="2"/>
  <c r="C12646" i="2"/>
  <c r="B12646" i="2"/>
  <c r="A12646" i="2"/>
  <c r="D12645" i="2"/>
  <c r="C12645" i="2"/>
  <c r="B12645" i="2"/>
  <c r="A12645" i="2"/>
  <c r="D12644" i="2"/>
  <c r="C12644" i="2"/>
  <c r="B12644" i="2"/>
  <c r="A12644" i="2"/>
  <c r="D12643" i="2"/>
  <c r="C12643" i="2"/>
  <c r="B12643" i="2"/>
  <c r="A12643" i="2"/>
  <c r="D12642" i="2"/>
  <c r="C12642" i="2"/>
  <c r="B12642" i="2"/>
  <c r="A12642" i="2"/>
  <c r="D12641" i="2"/>
  <c r="C12641" i="2"/>
  <c r="B12641" i="2"/>
  <c r="A12641" i="2"/>
  <c r="D12640" i="2"/>
  <c r="C12640" i="2"/>
  <c r="B12640" i="2"/>
  <c r="A12640" i="2"/>
  <c r="D12639" i="2"/>
  <c r="C12639" i="2"/>
  <c r="B12639" i="2"/>
  <c r="A12639" i="2"/>
  <c r="D12638" i="2"/>
  <c r="C12638" i="2"/>
  <c r="B12638" i="2"/>
  <c r="A12638" i="2"/>
  <c r="D12637" i="2"/>
  <c r="C12637" i="2"/>
  <c r="B12637" i="2"/>
  <c r="A12637" i="2"/>
  <c r="D12636" i="2"/>
  <c r="C12636" i="2"/>
  <c r="B12636" i="2"/>
  <c r="A12636" i="2"/>
  <c r="D12635" i="2"/>
  <c r="C12635" i="2"/>
  <c r="B12635" i="2"/>
  <c r="A12635" i="2"/>
  <c r="D12634" i="2"/>
  <c r="C12634" i="2"/>
  <c r="B12634" i="2"/>
  <c r="A12634" i="2"/>
  <c r="D12633" i="2"/>
  <c r="C12633" i="2"/>
  <c r="B12633" i="2"/>
  <c r="A12633" i="2"/>
  <c r="D12632" i="2"/>
  <c r="C12632" i="2"/>
  <c r="B12632" i="2"/>
  <c r="A12632" i="2"/>
  <c r="D12631" i="2"/>
  <c r="C12631" i="2"/>
  <c r="B12631" i="2"/>
  <c r="A12631" i="2"/>
  <c r="D12630" i="2"/>
  <c r="C12630" i="2"/>
  <c r="B12630" i="2"/>
  <c r="A12630" i="2"/>
  <c r="D12629" i="2"/>
  <c r="C12629" i="2"/>
  <c r="B12629" i="2"/>
  <c r="A12629" i="2"/>
  <c r="D12628" i="2"/>
  <c r="C12628" i="2"/>
  <c r="B12628" i="2"/>
  <c r="A12628" i="2"/>
  <c r="D12627" i="2"/>
  <c r="C12627" i="2"/>
  <c r="B12627" i="2"/>
  <c r="A12627" i="2"/>
  <c r="D12626" i="2"/>
  <c r="C12626" i="2"/>
  <c r="B12626" i="2"/>
  <c r="A12626" i="2"/>
  <c r="D12625" i="2"/>
  <c r="C12625" i="2"/>
  <c r="B12625" i="2"/>
  <c r="A12625" i="2"/>
  <c r="D12624" i="2"/>
  <c r="C12624" i="2"/>
  <c r="B12624" i="2"/>
  <c r="A12624" i="2"/>
  <c r="D12623" i="2"/>
  <c r="C12623" i="2"/>
  <c r="B12623" i="2"/>
  <c r="A12623" i="2"/>
  <c r="D12622" i="2"/>
  <c r="C12622" i="2"/>
  <c r="B12622" i="2"/>
  <c r="A12622" i="2"/>
  <c r="D12621" i="2"/>
  <c r="C12621" i="2"/>
  <c r="B12621" i="2"/>
  <c r="A12621" i="2"/>
  <c r="D12620" i="2"/>
  <c r="C12620" i="2"/>
  <c r="B12620" i="2"/>
  <c r="A12620" i="2"/>
  <c r="D12619" i="2"/>
  <c r="C12619" i="2"/>
  <c r="B12619" i="2"/>
  <c r="A12619" i="2"/>
  <c r="D12618" i="2"/>
  <c r="C12618" i="2"/>
  <c r="B12618" i="2"/>
  <c r="A12618" i="2"/>
  <c r="D12617" i="2"/>
  <c r="C12617" i="2"/>
  <c r="B12617" i="2"/>
  <c r="A12617" i="2"/>
  <c r="D12616" i="2"/>
  <c r="C12616" i="2"/>
  <c r="B12616" i="2"/>
  <c r="A12616" i="2"/>
  <c r="D12615" i="2"/>
  <c r="C12615" i="2"/>
  <c r="B12615" i="2"/>
  <c r="A12615" i="2"/>
  <c r="D12614" i="2"/>
  <c r="C12614" i="2"/>
  <c r="B12614" i="2"/>
  <c r="A12614" i="2"/>
  <c r="D12613" i="2"/>
  <c r="C12613" i="2"/>
  <c r="B12613" i="2"/>
  <c r="A12613" i="2"/>
  <c r="D12612" i="2"/>
  <c r="C12612" i="2"/>
  <c r="B12612" i="2"/>
  <c r="A12612" i="2"/>
  <c r="D12611" i="2"/>
  <c r="C12611" i="2"/>
  <c r="B12611" i="2"/>
  <c r="A12611" i="2"/>
  <c r="D12610" i="2"/>
  <c r="C12610" i="2"/>
  <c r="B12610" i="2"/>
  <c r="A12610" i="2"/>
  <c r="D12609" i="2"/>
  <c r="C12609" i="2"/>
  <c r="B12609" i="2"/>
  <c r="A12609" i="2"/>
  <c r="D12608" i="2"/>
  <c r="C12608" i="2"/>
  <c r="B12608" i="2"/>
  <c r="A12608" i="2"/>
  <c r="D12607" i="2"/>
  <c r="C12607" i="2"/>
  <c r="B12607" i="2"/>
  <c r="A12607" i="2"/>
  <c r="D12606" i="2"/>
  <c r="C12606" i="2"/>
  <c r="B12606" i="2"/>
  <c r="A12606" i="2"/>
  <c r="D12605" i="2"/>
  <c r="C12605" i="2"/>
  <c r="B12605" i="2"/>
  <c r="A12605" i="2"/>
  <c r="D12604" i="2"/>
  <c r="C12604" i="2"/>
  <c r="B12604" i="2"/>
  <c r="A12604" i="2"/>
  <c r="D12603" i="2"/>
  <c r="C12603" i="2"/>
  <c r="B12603" i="2"/>
  <c r="A12603" i="2"/>
  <c r="D12602" i="2"/>
  <c r="C12602" i="2"/>
  <c r="B12602" i="2"/>
  <c r="A12602" i="2"/>
  <c r="D12601" i="2"/>
  <c r="C12601" i="2"/>
  <c r="B12601" i="2"/>
  <c r="A12601" i="2"/>
  <c r="D12600" i="2"/>
  <c r="C12600" i="2"/>
  <c r="B12600" i="2"/>
  <c r="A12600" i="2"/>
  <c r="D12599" i="2"/>
  <c r="C12599" i="2"/>
  <c r="B12599" i="2"/>
  <c r="A12599" i="2"/>
  <c r="D12598" i="2"/>
  <c r="C12598" i="2"/>
  <c r="B12598" i="2"/>
  <c r="A12598" i="2"/>
  <c r="D12597" i="2"/>
  <c r="C12597" i="2"/>
  <c r="B12597" i="2"/>
  <c r="A12597" i="2"/>
  <c r="D12596" i="2"/>
  <c r="C12596" i="2"/>
  <c r="B12596" i="2"/>
  <c r="A12596" i="2"/>
  <c r="D12595" i="2"/>
  <c r="C12595" i="2"/>
  <c r="B12595" i="2"/>
  <c r="A12595" i="2"/>
  <c r="D12594" i="2"/>
  <c r="C12594" i="2"/>
  <c r="B12594" i="2"/>
  <c r="A12594" i="2"/>
  <c r="D12593" i="2"/>
  <c r="C12593" i="2"/>
  <c r="B12593" i="2"/>
  <c r="A12593" i="2"/>
  <c r="D12592" i="2"/>
  <c r="C12592" i="2"/>
  <c r="B12592" i="2"/>
  <c r="A12592" i="2"/>
  <c r="D12591" i="2"/>
  <c r="C12591" i="2"/>
  <c r="B12591" i="2"/>
  <c r="A12591" i="2"/>
  <c r="D12590" i="2"/>
  <c r="C12590" i="2"/>
  <c r="B12590" i="2"/>
  <c r="A12590" i="2"/>
  <c r="D12589" i="2"/>
  <c r="C12589" i="2"/>
  <c r="B12589" i="2"/>
  <c r="A12589" i="2"/>
  <c r="D12588" i="2"/>
  <c r="C12588" i="2"/>
  <c r="B12588" i="2"/>
  <c r="A12588" i="2"/>
  <c r="D12587" i="2"/>
  <c r="C12587" i="2"/>
  <c r="B12587" i="2"/>
  <c r="A12587" i="2"/>
  <c r="D12586" i="2"/>
  <c r="C12586" i="2"/>
  <c r="B12586" i="2"/>
  <c r="A12586" i="2"/>
  <c r="D12585" i="2"/>
  <c r="C12585" i="2"/>
  <c r="B12585" i="2"/>
  <c r="A12585" i="2"/>
  <c r="D12584" i="2"/>
  <c r="C12584" i="2"/>
  <c r="B12584" i="2"/>
  <c r="A12584" i="2"/>
  <c r="D12583" i="2"/>
  <c r="C12583" i="2"/>
  <c r="B12583" i="2"/>
  <c r="A12583" i="2"/>
  <c r="D12582" i="2"/>
  <c r="C12582" i="2"/>
  <c r="B12582" i="2"/>
  <c r="A12582" i="2"/>
  <c r="D12581" i="2"/>
  <c r="C12581" i="2"/>
  <c r="B12581" i="2"/>
  <c r="A12581" i="2"/>
  <c r="D12580" i="2"/>
  <c r="C12580" i="2"/>
  <c r="B12580" i="2"/>
  <c r="A12580" i="2"/>
  <c r="D12579" i="2"/>
  <c r="C12579" i="2"/>
  <c r="B12579" i="2"/>
  <c r="A12579" i="2"/>
  <c r="D12578" i="2"/>
  <c r="C12578" i="2"/>
  <c r="B12578" i="2"/>
  <c r="A12578" i="2"/>
  <c r="D12577" i="2"/>
  <c r="C12577" i="2"/>
  <c r="B12577" i="2"/>
  <c r="A12577" i="2"/>
  <c r="D12576" i="2"/>
  <c r="C12576" i="2"/>
  <c r="B12576" i="2"/>
  <c r="A12576" i="2"/>
  <c r="D12575" i="2"/>
  <c r="C12575" i="2"/>
  <c r="B12575" i="2"/>
  <c r="A12575" i="2"/>
  <c r="D12574" i="2"/>
  <c r="C12574" i="2"/>
  <c r="B12574" i="2"/>
  <c r="A12574" i="2"/>
  <c r="D12573" i="2"/>
  <c r="C12573" i="2"/>
  <c r="B12573" i="2"/>
  <c r="A12573" i="2"/>
  <c r="D12572" i="2"/>
  <c r="C12572" i="2"/>
  <c r="B12572" i="2"/>
  <c r="A12572" i="2"/>
  <c r="D12571" i="2"/>
  <c r="C12571" i="2"/>
  <c r="B12571" i="2"/>
  <c r="A12571" i="2"/>
  <c r="D12570" i="2"/>
  <c r="C12570" i="2"/>
  <c r="B12570" i="2"/>
  <c r="A12570" i="2"/>
  <c r="D12569" i="2"/>
  <c r="C12569" i="2"/>
  <c r="B12569" i="2"/>
  <c r="A12569" i="2"/>
  <c r="D12568" i="2"/>
  <c r="C12568" i="2"/>
  <c r="B12568" i="2"/>
  <c r="A12568" i="2"/>
  <c r="D12567" i="2"/>
  <c r="C12567" i="2"/>
  <c r="B12567" i="2"/>
  <c r="A12567" i="2"/>
  <c r="D12566" i="2"/>
  <c r="C12566" i="2"/>
  <c r="B12566" i="2"/>
  <c r="A12566" i="2"/>
  <c r="D12565" i="2"/>
  <c r="C12565" i="2"/>
  <c r="B12565" i="2"/>
  <c r="A12565" i="2"/>
  <c r="D12564" i="2"/>
  <c r="C12564" i="2"/>
  <c r="B12564" i="2"/>
  <c r="A12564" i="2"/>
  <c r="D12563" i="2"/>
  <c r="C12563" i="2"/>
  <c r="B12563" i="2"/>
  <c r="A12563" i="2"/>
  <c r="D12562" i="2"/>
  <c r="C12562" i="2"/>
  <c r="B12562" i="2"/>
  <c r="A12562" i="2"/>
  <c r="D12561" i="2"/>
  <c r="C12561" i="2"/>
  <c r="B12561" i="2"/>
  <c r="A12561" i="2"/>
  <c r="D12560" i="2"/>
  <c r="C12560" i="2"/>
  <c r="B12560" i="2"/>
  <c r="A12560" i="2"/>
  <c r="D12559" i="2"/>
  <c r="C12559" i="2"/>
  <c r="B12559" i="2"/>
  <c r="A12559" i="2"/>
  <c r="D12558" i="2"/>
  <c r="C12558" i="2"/>
  <c r="B12558" i="2"/>
  <c r="A12558" i="2"/>
  <c r="D12557" i="2"/>
  <c r="C12557" i="2"/>
  <c r="B12557" i="2"/>
  <c r="A12557" i="2"/>
  <c r="D12556" i="2"/>
  <c r="C12556" i="2"/>
  <c r="B12556" i="2"/>
  <c r="A12556" i="2"/>
  <c r="D12555" i="2"/>
  <c r="C12555" i="2"/>
  <c r="B12555" i="2"/>
  <c r="A12555" i="2"/>
  <c r="D12554" i="2"/>
  <c r="C12554" i="2"/>
  <c r="B12554" i="2"/>
  <c r="A12554" i="2"/>
  <c r="D12553" i="2"/>
  <c r="C12553" i="2"/>
  <c r="B12553" i="2"/>
  <c r="A12553" i="2"/>
  <c r="D12552" i="2"/>
  <c r="C12552" i="2"/>
  <c r="B12552" i="2"/>
  <c r="A12552" i="2"/>
  <c r="D12551" i="2"/>
  <c r="C12551" i="2"/>
  <c r="B12551" i="2"/>
  <c r="A12551" i="2"/>
  <c r="D12550" i="2"/>
  <c r="C12550" i="2"/>
  <c r="B12550" i="2"/>
  <c r="A12550" i="2"/>
  <c r="D12549" i="2"/>
  <c r="C12549" i="2"/>
  <c r="B12549" i="2"/>
  <c r="A12549" i="2"/>
  <c r="D12548" i="2"/>
  <c r="C12548" i="2"/>
  <c r="B12548" i="2"/>
  <c r="A12548" i="2"/>
  <c r="D12547" i="2"/>
  <c r="C12547" i="2"/>
  <c r="B12547" i="2"/>
  <c r="A12547" i="2"/>
  <c r="D12546" i="2"/>
  <c r="C12546" i="2"/>
  <c r="B12546" i="2"/>
  <c r="A12546" i="2"/>
  <c r="D12545" i="2"/>
  <c r="C12545" i="2"/>
  <c r="B12545" i="2"/>
  <c r="A12545" i="2"/>
  <c r="D12544" i="2"/>
  <c r="C12544" i="2"/>
  <c r="B12544" i="2"/>
  <c r="A12544" i="2"/>
  <c r="D12543" i="2"/>
  <c r="C12543" i="2"/>
  <c r="B12543" i="2"/>
  <c r="A12543" i="2"/>
  <c r="D12542" i="2"/>
  <c r="C12542" i="2"/>
  <c r="B12542" i="2"/>
  <c r="A12542" i="2"/>
  <c r="D12541" i="2"/>
  <c r="C12541" i="2"/>
  <c r="B12541" i="2"/>
  <c r="A12541" i="2"/>
  <c r="D12540" i="2"/>
  <c r="C12540" i="2"/>
  <c r="B12540" i="2"/>
  <c r="A12540" i="2"/>
  <c r="D12539" i="2"/>
  <c r="C12539" i="2"/>
  <c r="B12539" i="2"/>
  <c r="A12539" i="2"/>
  <c r="D12538" i="2"/>
  <c r="C12538" i="2"/>
  <c r="B12538" i="2"/>
  <c r="A12538" i="2"/>
  <c r="D12537" i="2"/>
  <c r="C12537" i="2"/>
  <c r="B12537" i="2"/>
  <c r="A12537" i="2"/>
  <c r="D12536" i="2"/>
  <c r="C12536" i="2"/>
  <c r="B12536" i="2"/>
  <c r="A12536" i="2"/>
  <c r="D12535" i="2"/>
  <c r="C12535" i="2"/>
  <c r="B12535" i="2"/>
  <c r="A12535" i="2"/>
  <c r="D12534" i="2"/>
  <c r="C12534" i="2"/>
  <c r="B12534" i="2"/>
  <c r="A12534" i="2"/>
  <c r="D12533" i="2"/>
  <c r="C12533" i="2"/>
  <c r="B12533" i="2"/>
  <c r="A12533" i="2"/>
  <c r="D12532" i="2"/>
  <c r="C12532" i="2"/>
  <c r="B12532" i="2"/>
  <c r="A12532" i="2"/>
  <c r="D12531" i="2"/>
  <c r="C12531" i="2"/>
  <c r="B12531" i="2"/>
  <c r="A12531" i="2"/>
  <c r="D12530" i="2"/>
  <c r="C12530" i="2"/>
  <c r="B12530" i="2"/>
  <c r="A12530" i="2"/>
  <c r="D12529" i="2"/>
  <c r="C12529" i="2"/>
  <c r="B12529" i="2"/>
  <c r="A12529" i="2"/>
  <c r="D12528" i="2"/>
  <c r="C12528" i="2"/>
  <c r="B12528" i="2"/>
  <c r="A12528" i="2"/>
  <c r="D12527" i="2"/>
  <c r="C12527" i="2"/>
  <c r="B12527" i="2"/>
  <c r="A12527" i="2"/>
  <c r="D12526" i="2"/>
  <c r="C12526" i="2"/>
  <c r="B12526" i="2"/>
  <c r="A12526" i="2"/>
  <c r="D12525" i="2"/>
  <c r="C12525" i="2"/>
  <c r="B12525" i="2"/>
  <c r="A12525" i="2"/>
  <c r="D12524" i="2"/>
  <c r="C12524" i="2"/>
  <c r="B12524" i="2"/>
  <c r="A12524" i="2"/>
  <c r="D12523" i="2"/>
  <c r="C12523" i="2"/>
  <c r="B12523" i="2"/>
  <c r="A12523" i="2"/>
  <c r="D12522" i="2"/>
  <c r="C12522" i="2"/>
  <c r="B12522" i="2"/>
  <c r="A12522" i="2"/>
  <c r="D12521" i="2"/>
  <c r="C12521" i="2"/>
  <c r="B12521" i="2"/>
  <c r="A12521" i="2"/>
  <c r="D12520" i="2"/>
  <c r="C12520" i="2"/>
  <c r="B12520" i="2"/>
  <c r="A12520" i="2"/>
  <c r="D12519" i="2"/>
  <c r="C12519" i="2"/>
  <c r="B12519" i="2"/>
  <c r="A12519" i="2"/>
  <c r="D12518" i="2"/>
  <c r="C12518" i="2"/>
  <c r="B12518" i="2"/>
  <c r="A12518" i="2"/>
  <c r="D12517" i="2"/>
  <c r="C12517" i="2"/>
  <c r="B12517" i="2"/>
  <c r="A12517" i="2"/>
  <c r="D12516" i="2"/>
  <c r="C12516" i="2"/>
  <c r="B12516" i="2"/>
  <c r="A12516" i="2"/>
  <c r="D12515" i="2"/>
  <c r="C12515" i="2"/>
  <c r="B12515" i="2"/>
  <c r="A12515" i="2"/>
  <c r="D12514" i="2"/>
  <c r="C12514" i="2"/>
  <c r="B12514" i="2"/>
  <c r="A12514" i="2"/>
  <c r="D12513" i="2"/>
  <c r="C12513" i="2"/>
  <c r="B12513" i="2"/>
  <c r="A12513" i="2"/>
  <c r="D12512" i="2"/>
  <c r="C12512" i="2"/>
  <c r="B12512" i="2"/>
  <c r="A12512" i="2"/>
  <c r="D12511" i="2"/>
  <c r="C12511" i="2"/>
  <c r="B12511" i="2"/>
  <c r="A12511" i="2"/>
  <c r="D12510" i="2"/>
  <c r="C12510" i="2"/>
  <c r="B12510" i="2"/>
  <c r="A12510" i="2"/>
  <c r="D12509" i="2"/>
  <c r="C12509" i="2"/>
  <c r="B12509" i="2"/>
  <c r="A12509" i="2"/>
  <c r="D12508" i="2"/>
  <c r="C12508" i="2"/>
  <c r="B12508" i="2"/>
  <c r="A12508" i="2"/>
  <c r="D12507" i="2"/>
  <c r="C12507" i="2"/>
  <c r="B12507" i="2"/>
  <c r="A12507" i="2"/>
  <c r="D12506" i="2"/>
  <c r="C12506" i="2"/>
  <c r="B12506" i="2"/>
  <c r="A12506" i="2"/>
  <c r="D12505" i="2"/>
  <c r="C12505" i="2"/>
  <c r="B12505" i="2"/>
  <c r="A12505" i="2"/>
  <c r="D12504" i="2"/>
  <c r="C12504" i="2"/>
  <c r="B12504" i="2"/>
  <c r="A12504" i="2"/>
  <c r="D12503" i="2"/>
  <c r="C12503" i="2"/>
  <c r="B12503" i="2"/>
  <c r="A12503" i="2"/>
  <c r="D12502" i="2"/>
  <c r="C12502" i="2"/>
  <c r="B12502" i="2"/>
  <c r="A12502" i="2"/>
  <c r="D12501" i="2"/>
  <c r="C12501" i="2"/>
  <c r="B12501" i="2"/>
  <c r="A12501" i="2"/>
  <c r="D12500" i="2"/>
  <c r="C12500" i="2"/>
  <c r="B12500" i="2"/>
  <c r="A12500" i="2"/>
  <c r="D12499" i="2"/>
  <c r="C12499" i="2"/>
  <c r="B12499" i="2"/>
  <c r="A12499" i="2"/>
  <c r="D12498" i="2"/>
  <c r="C12498" i="2"/>
  <c r="B12498" i="2"/>
  <c r="A12498" i="2"/>
  <c r="D12497" i="2"/>
  <c r="C12497" i="2"/>
  <c r="B12497" i="2"/>
  <c r="A12497" i="2"/>
  <c r="D12496" i="2"/>
  <c r="C12496" i="2"/>
  <c r="B12496" i="2"/>
  <c r="A12496" i="2"/>
  <c r="D12495" i="2"/>
  <c r="C12495" i="2"/>
  <c r="B12495" i="2"/>
  <c r="A12495" i="2"/>
  <c r="D12494" i="2"/>
  <c r="C12494" i="2"/>
  <c r="B12494" i="2"/>
  <c r="A12494" i="2"/>
  <c r="D12493" i="2"/>
  <c r="C12493" i="2"/>
  <c r="B12493" i="2"/>
  <c r="A12493" i="2"/>
  <c r="D12492" i="2"/>
  <c r="C12492" i="2"/>
  <c r="B12492" i="2"/>
  <c r="A12492" i="2"/>
  <c r="D12491" i="2"/>
  <c r="C12491" i="2"/>
  <c r="B12491" i="2"/>
  <c r="A12491" i="2"/>
  <c r="D12490" i="2"/>
  <c r="C12490" i="2"/>
  <c r="B12490" i="2"/>
  <c r="A12490" i="2"/>
  <c r="D12489" i="2"/>
  <c r="C12489" i="2"/>
  <c r="B12489" i="2"/>
  <c r="A12489" i="2"/>
  <c r="D12488" i="2"/>
  <c r="C12488" i="2"/>
  <c r="B12488" i="2"/>
  <c r="A12488" i="2"/>
  <c r="D12487" i="2"/>
  <c r="C12487" i="2"/>
  <c r="B12487" i="2"/>
  <c r="A12487" i="2"/>
  <c r="D12486" i="2"/>
  <c r="C12486" i="2"/>
  <c r="B12486" i="2"/>
  <c r="A12486" i="2"/>
  <c r="D12485" i="2"/>
  <c r="C12485" i="2"/>
  <c r="B12485" i="2"/>
  <c r="A12485" i="2"/>
  <c r="D12484" i="2"/>
  <c r="C12484" i="2"/>
  <c r="B12484" i="2"/>
  <c r="A12484" i="2"/>
  <c r="D12483" i="2"/>
  <c r="C12483" i="2"/>
  <c r="B12483" i="2"/>
  <c r="A12483" i="2"/>
  <c r="D12482" i="2"/>
  <c r="C12482" i="2"/>
  <c r="B12482" i="2"/>
  <c r="A12482" i="2"/>
  <c r="D12481" i="2"/>
  <c r="C12481" i="2"/>
  <c r="B12481" i="2"/>
  <c r="A12481" i="2"/>
  <c r="D12480" i="2"/>
  <c r="C12480" i="2"/>
  <c r="B12480" i="2"/>
  <c r="A12480" i="2"/>
  <c r="D12479" i="2"/>
  <c r="C12479" i="2"/>
  <c r="B12479" i="2"/>
  <c r="A12479" i="2"/>
  <c r="D12478" i="2"/>
  <c r="C12478" i="2"/>
  <c r="B12478" i="2"/>
  <c r="A12478" i="2"/>
  <c r="D12477" i="2"/>
  <c r="C12477" i="2"/>
  <c r="B12477" i="2"/>
  <c r="A12477" i="2"/>
  <c r="D12476" i="2"/>
  <c r="C12476" i="2"/>
  <c r="B12476" i="2"/>
  <c r="A12476" i="2"/>
  <c r="D12475" i="2"/>
  <c r="C12475" i="2"/>
  <c r="B12475" i="2"/>
  <c r="A12475" i="2"/>
  <c r="D12474" i="2"/>
  <c r="C12474" i="2"/>
  <c r="B12474" i="2"/>
  <c r="A12474" i="2"/>
  <c r="D12473" i="2"/>
  <c r="C12473" i="2"/>
  <c r="B12473" i="2"/>
  <c r="A12473" i="2"/>
  <c r="D12472" i="2"/>
  <c r="C12472" i="2"/>
  <c r="B12472" i="2"/>
  <c r="A12472" i="2"/>
  <c r="D12471" i="2"/>
  <c r="C12471" i="2"/>
  <c r="B12471" i="2"/>
  <c r="A12471" i="2"/>
  <c r="D12470" i="2"/>
  <c r="C12470" i="2"/>
  <c r="B12470" i="2"/>
  <c r="A12470" i="2"/>
  <c r="D12469" i="2"/>
  <c r="C12469" i="2"/>
  <c r="B12469" i="2"/>
  <c r="A12469" i="2"/>
  <c r="D12468" i="2"/>
  <c r="C12468" i="2"/>
  <c r="B12468" i="2"/>
  <c r="A12468" i="2"/>
  <c r="D12467" i="2"/>
  <c r="C12467" i="2"/>
  <c r="B12467" i="2"/>
  <c r="A12467" i="2"/>
  <c r="D12466" i="2"/>
  <c r="C12466" i="2"/>
  <c r="B12466" i="2"/>
  <c r="A12466" i="2"/>
  <c r="D12465" i="2"/>
  <c r="C12465" i="2"/>
  <c r="B12465" i="2"/>
  <c r="A12465" i="2"/>
  <c r="D12464" i="2"/>
  <c r="C12464" i="2"/>
  <c r="B12464" i="2"/>
  <c r="A12464" i="2"/>
  <c r="D12463" i="2"/>
  <c r="C12463" i="2"/>
  <c r="B12463" i="2"/>
  <c r="A12463" i="2"/>
  <c r="D12462" i="2"/>
  <c r="C12462" i="2"/>
  <c r="B12462" i="2"/>
  <c r="A12462" i="2"/>
  <c r="D12461" i="2"/>
  <c r="C12461" i="2"/>
  <c r="B12461" i="2"/>
  <c r="A12461" i="2"/>
  <c r="D12460" i="2"/>
  <c r="C12460" i="2"/>
  <c r="B12460" i="2"/>
  <c r="A12460" i="2"/>
  <c r="D12459" i="2"/>
  <c r="C12459" i="2"/>
  <c r="B12459" i="2"/>
  <c r="A12459" i="2"/>
  <c r="D12458" i="2"/>
  <c r="C12458" i="2"/>
  <c r="B12458" i="2"/>
  <c r="A12458" i="2"/>
  <c r="D12457" i="2"/>
  <c r="C12457" i="2"/>
  <c r="B12457" i="2"/>
  <c r="A12457" i="2"/>
  <c r="D12456" i="2"/>
  <c r="C12456" i="2"/>
  <c r="B12456" i="2"/>
  <c r="A12456" i="2"/>
  <c r="D12455" i="2"/>
  <c r="C12455" i="2"/>
  <c r="B12455" i="2"/>
  <c r="A12455" i="2"/>
  <c r="D12454" i="2"/>
  <c r="C12454" i="2"/>
  <c r="B12454" i="2"/>
  <c r="A12454" i="2"/>
  <c r="D12453" i="2"/>
  <c r="C12453" i="2"/>
  <c r="B12453" i="2"/>
  <c r="A12453" i="2"/>
  <c r="D12452" i="2"/>
  <c r="C12452" i="2"/>
  <c r="B12452" i="2"/>
  <c r="A12452" i="2"/>
  <c r="D12451" i="2"/>
  <c r="C12451" i="2"/>
  <c r="B12451" i="2"/>
  <c r="A12451" i="2"/>
  <c r="D12450" i="2"/>
  <c r="C12450" i="2"/>
  <c r="B12450" i="2"/>
  <c r="A12450" i="2"/>
  <c r="D12449" i="2"/>
  <c r="C12449" i="2"/>
  <c r="B12449" i="2"/>
  <c r="A12449" i="2"/>
  <c r="D12448" i="2"/>
  <c r="C12448" i="2"/>
  <c r="B12448" i="2"/>
  <c r="A12448" i="2"/>
  <c r="D12447" i="2"/>
  <c r="C12447" i="2"/>
  <c r="B12447" i="2"/>
  <c r="A12447" i="2"/>
  <c r="D12446" i="2"/>
  <c r="C12446" i="2"/>
  <c r="B12446" i="2"/>
  <c r="A12446" i="2"/>
  <c r="D12445" i="2"/>
  <c r="C12445" i="2"/>
  <c r="B12445" i="2"/>
  <c r="A12445" i="2"/>
  <c r="D12444" i="2"/>
  <c r="C12444" i="2"/>
  <c r="B12444" i="2"/>
  <c r="A12444" i="2"/>
  <c r="D12443" i="2"/>
  <c r="C12443" i="2"/>
  <c r="B12443" i="2"/>
  <c r="A12443" i="2"/>
  <c r="D12442" i="2"/>
  <c r="C12442" i="2"/>
  <c r="B12442" i="2"/>
  <c r="A12442" i="2"/>
  <c r="D12441" i="2"/>
  <c r="C12441" i="2"/>
  <c r="B12441" i="2"/>
  <c r="A12441" i="2"/>
  <c r="D12440" i="2"/>
  <c r="C12440" i="2"/>
  <c r="B12440" i="2"/>
  <c r="A12440" i="2"/>
  <c r="D12439" i="2"/>
  <c r="C12439" i="2"/>
  <c r="B12439" i="2"/>
  <c r="A12439" i="2"/>
  <c r="D12438" i="2"/>
  <c r="C12438" i="2"/>
  <c r="B12438" i="2"/>
  <c r="A12438" i="2"/>
  <c r="D12437" i="2"/>
  <c r="C12437" i="2"/>
  <c r="B12437" i="2"/>
  <c r="A12437" i="2"/>
  <c r="D12436" i="2"/>
  <c r="C12436" i="2"/>
  <c r="B12436" i="2"/>
  <c r="A12436" i="2"/>
  <c r="D12435" i="2"/>
  <c r="C12435" i="2"/>
  <c r="B12435" i="2"/>
  <c r="A12435" i="2"/>
  <c r="D12434" i="2"/>
  <c r="C12434" i="2"/>
  <c r="B12434" i="2"/>
  <c r="A12434" i="2"/>
  <c r="D12433" i="2"/>
  <c r="C12433" i="2"/>
  <c r="B12433" i="2"/>
  <c r="A12433" i="2"/>
  <c r="D12432" i="2"/>
  <c r="C12432" i="2"/>
  <c r="B12432" i="2"/>
  <c r="A12432" i="2"/>
  <c r="D12431" i="2"/>
  <c r="C12431" i="2"/>
  <c r="B12431" i="2"/>
  <c r="A12431" i="2"/>
  <c r="D12430" i="2"/>
  <c r="C12430" i="2"/>
  <c r="B12430" i="2"/>
  <c r="A12430" i="2"/>
  <c r="D12429" i="2"/>
  <c r="C12429" i="2"/>
  <c r="B12429" i="2"/>
  <c r="A12429" i="2"/>
  <c r="D12428" i="2"/>
  <c r="C12428" i="2"/>
  <c r="B12428" i="2"/>
  <c r="A12428" i="2"/>
  <c r="D12427" i="2"/>
  <c r="C12427" i="2"/>
  <c r="B12427" i="2"/>
  <c r="A12427" i="2"/>
  <c r="D12426" i="2"/>
  <c r="C12426" i="2"/>
  <c r="B12426" i="2"/>
  <c r="A12426" i="2"/>
  <c r="D12425" i="2"/>
  <c r="C12425" i="2"/>
  <c r="B12425" i="2"/>
  <c r="A12425" i="2"/>
  <c r="D12424" i="2"/>
  <c r="C12424" i="2"/>
  <c r="B12424" i="2"/>
  <c r="A12424" i="2"/>
  <c r="D12423" i="2"/>
  <c r="C12423" i="2"/>
  <c r="B12423" i="2"/>
  <c r="A12423" i="2"/>
  <c r="D12422" i="2"/>
  <c r="C12422" i="2"/>
  <c r="B12422" i="2"/>
  <c r="A12422" i="2"/>
  <c r="D12421" i="2"/>
  <c r="C12421" i="2"/>
  <c r="B12421" i="2"/>
  <c r="A12421" i="2"/>
  <c r="D12420" i="2"/>
  <c r="C12420" i="2"/>
  <c r="B12420" i="2"/>
  <c r="A12420" i="2"/>
  <c r="D12419" i="2"/>
  <c r="C12419" i="2"/>
  <c r="B12419" i="2"/>
  <c r="A12419" i="2"/>
  <c r="D12418" i="2"/>
  <c r="C12418" i="2"/>
  <c r="B12418" i="2"/>
  <c r="A12418" i="2"/>
  <c r="D12417" i="2"/>
  <c r="C12417" i="2"/>
  <c r="B12417" i="2"/>
  <c r="A12417" i="2"/>
  <c r="D12416" i="2"/>
  <c r="C12416" i="2"/>
  <c r="B12416" i="2"/>
  <c r="A12416" i="2"/>
  <c r="D12415" i="2"/>
  <c r="C12415" i="2"/>
  <c r="B12415" i="2"/>
  <c r="A12415" i="2"/>
  <c r="D12414" i="2"/>
  <c r="C12414" i="2"/>
  <c r="B12414" i="2"/>
  <c r="A12414" i="2"/>
  <c r="D12413" i="2"/>
  <c r="C12413" i="2"/>
  <c r="B12413" i="2"/>
  <c r="A12413" i="2"/>
  <c r="D12412" i="2"/>
  <c r="C12412" i="2"/>
  <c r="B12412" i="2"/>
  <c r="A12412" i="2"/>
  <c r="D12411" i="2"/>
  <c r="C12411" i="2"/>
  <c r="B12411" i="2"/>
  <c r="A12411" i="2"/>
  <c r="D12410" i="2"/>
  <c r="C12410" i="2"/>
  <c r="B12410" i="2"/>
  <c r="A12410" i="2"/>
  <c r="D12409" i="2"/>
  <c r="C12409" i="2"/>
  <c r="B12409" i="2"/>
  <c r="A12409" i="2"/>
  <c r="D12408" i="2"/>
  <c r="C12408" i="2"/>
  <c r="B12408" i="2"/>
  <c r="A12408" i="2"/>
  <c r="D12407" i="2"/>
  <c r="C12407" i="2"/>
  <c r="B12407" i="2"/>
  <c r="A12407" i="2"/>
  <c r="D12406" i="2"/>
  <c r="C12406" i="2"/>
  <c r="B12406" i="2"/>
  <c r="A12406" i="2"/>
  <c r="D12405" i="2"/>
  <c r="C12405" i="2"/>
  <c r="B12405" i="2"/>
  <c r="A12405" i="2"/>
  <c r="D12404" i="2"/>
  <c r="C12404" i="2"/>
  <c r="B12404" i="2"/>
  <c r="A12404" i="2"/>
  <c r="D12403" i="2"/>
  <c r="C12403" i="2"/>
  <c r="B12403" i="2"/>
  <c r="A12403" i="2"/>
  <c r="D12402" i="2"/>
  <c r="C12402" i="2"/>
  <c r="B12402" i="2"/>
  <c r="A12402" i="2"/>
  <c r="D12401" i="2"/>
  <c r="C12401" i="2"/>
  <c r="B12401" i="2"/>
  <c r="A12401" i="2"/>
  <c r="D12400" i="2"/>
  <c r="C12400" i="2"/>
  <c r="B12400" i="2"/>
  <c r="A12400" i="2"/>
  <c r="D12399" i="2"/>
  <c r="C12399" i="2"/>
  <c r="B12399" i="2"/>
  <c r="A12399" i="2"/>
  <c r="D12398" i="2"/>
  <c r="C12398" i="2"/>
  <c r="B12398" i="2"/>
  <c r="A12398" i="2"/>
  <c r="D12397" i="2"/>
  <c r="C12397" i="2"/>
  <c r="B12397" i="2"/>
  <c r="A12397" i="2"/>
  <c r="D12396" i="2"/>
  <c r="C12396" i="2"/>
  <c r="B12396" i="2"/>
  <c r="A12396" i="2"/>
  <c r="D12395" i="2"/>
  <c r="C12395" i="2"/>
  <c r="B12395" i="2"/>
  <c r="A12395" i="2"/>
  <c r="D12394" i="2"/>
  <c r="C12394" i="2"/>
  <c r="B12394" i="2"/>
  <c r="A12394" i="2"/>
  <c r="D12393" i="2"/>
  <c r="C12393" i="2"/>
  <c r="B12393" i="2"/>
  <c r="A12393" i="2"/>
  <c r="D12392" i="2"/>
  <c r="C12392" i="2"/>
  <c r="B12392" i="2"/>
  <c r="A12392" i="2"/>
  <c r="D12391" i="2"/>
  <c r="C12391" i="2"/>
  <c r="B12391" i="2"/>
  <c r="A12391" i="2"/>
  <c r="D12390" i="2"/>
  <c r="C12390" i="2"/>
  <c r="B12390" i="2"/>
  <c r="A12390" i="2"/>
  <c r="D12389" i="2"/>
  <c r="C12389" i="2"/>
  <c r="B12389" i="2"/>
  <c r="A12389" i="2"/>
  <c r="D12388" i="2"/>
  <c r="C12388" i="2"/>
  <c r="B12388" i="2"/>
  <c r="A12388" i="2"/>
  <c r="D12387" i="2"/>
  <c r="C12387" i="2"/>
  <c r="B12387" i="2"/>
  <c r="A12387" i="2"/>
  <c r="D12386" i="2"/>
  <c r="C12386" i="2"/>
  <c r="B12386" i="2"/>
  <c r="A12386" i="2"/>
  <c r="D12385" i="2"/>
  <c r="C12385" i="2"/>
  <c r="B12385" i="2"/>
  <c r="A12385" i="2"/>
  <c r="D12384" i="2"/>
  <c r="C12384" i="2"/>
  <c r="B12384" i="2"/>
  <c r="A12384" i="2"/>
  <c r="D12383" i="2"/>
  <c r="C12383" i="2"/>
  <c r="B12383" i="2"/>
  <c r="A12383" i="2"/>
  <c r="D12382" i="2"/>
  <c r="C12382" i="2"/>
  <c r="B12382" i="2"/>
  <c r="A12382" i="2"/>
  <c r="D12381" i="2"/>
  <c r="C12381" i="2"/>
  <c r="B12381" i="2"/>
  <c r="A12381" i="2"/>
  <c r="D12380" i="2"/>
  <c r="C12380" i="2"/>
  <c r="B12380" i="2"/>
  <c r="A12380" i="2"/>
  <c r="D12379" i="2"/>
  <c r="C12379" i="2"/>
  <c r="B12379" i="2"/>
  <c r="A12379" i="2"/>
  <c r="D12378" i="2"/>
  <c r="C12378" i="2"/>
  <c r="B12378" i="2"/>
  <c r="A12378" i="2"/>
  <c r="D12377" i="2"/>
  <c r="C12377" i="2"/>
  <c r="B12377" i="2"/>
  <c r="A12377" i="2"/>
  <c r="D12376" i="2"/>
  <c r="C12376" i="2"/>
  <c r="B12376" i="2"/>
  <c r="A12376" i="2"/>
  <c r="D12375" i="2"/>
  <c r="C12375" i="2"/>
  <c r="B12375" i="2"/>
  <c r="A12375" i="2"/>
  <c r="D12374" i="2"/>
  <c r="C12374" i="2"/>
  <c r="B12374" i="2"/>
  <c r="A12374" i="2"/>
  <c r="D12373" i="2"/>
  <c r="C12373" i="2"/>
  <c r="B12373" i="2"/>
  <c r="A12373" i="2"/>
  <c r="D12372" i="2"/>
  <c r="C12372" i="2"/>
  <c r="B12372" i="2"/>
  <c r="A12372" i="2"/>
  <c r="D12371" i="2"/>
  <c r="C12371" i="2"/>
  <c r="B12371" i="2"/>
  <c r="A12371" i="2"/>
  <c r="D12370" i="2"/>
  <c r="C12370" i="2"/>
  <c r="B12370" i="2"/>
  <c r="A12370" i="2"/>
  <c r="D12369" i="2"/>
  <c r="C12369" i="2"/>
  <c r="B12369" i="2"/>
  <c r="A12369" i="2"/>
  <c r="D12368" i="2"/>
  <c r="C12368" i="2"/>
  <c r="B12368" i="2"/>
  <c r="A12368" i="2"/>
  <c r="D12367" i="2"/>
  <c r="C12367" i="2"/>
  <c r="B12367" i="2"/>
  <c r="A12367" i="2"/>
  <c r="D12366" i="2"/>
  <c r="C12366" i="2"/>
  <c r="B12366" i="2"/>
  <c r="A12366" i="2"/>
  <c r="D12365" i="2"/>
  <c r="C12365" i="2"/>
  <c r="B12365" i="2"/>
  <c r="A12365" i="2"/>
  <c r="D12364" i="2"/>
  <c r="C12364" i="2"/>
  <c r="B12364" i="2"/>
  <c r="A12364" i="2"/>
  <c r="D12363" i="2"/>
  <c r="C12363" i="2"/>
  <c r="B12363" i="2"/>
  <c r="A12363" i="2"/>
  <c r="D12362" i="2"/>
  <c r="C12362" i="2"/>
  <c r="B12362" i="2"/>
  <c r="A12362" i="2"/>
  <c r="D12361" i="2"/>
  <c r="C12361" i="2"/>
  <c r="B12361" i="2"/>
  <c r="A12361" i="2"/>
  <c r="D12360" i="2"/>
  <c r="C12360" i="2"/>
  <c r="B12360" i="2"/>
  <c r="A12360" i="2"/>
  <c r="D12359" i="2"/>
  <c r="C12359" i="2"/>
  <c r="B12359" i="2"/>
  <c r="A12359" i="2"/>
  <c r="D12358" i="2"/>
  <c r="C12358" i="2"/>
  <c r="B12358" i="2"/>
  <c r="A12358" i="2"/>
  <c r="D12357" i="2"/>
  <c r="C12357" i="2"/>
  <c r="B12357" i="2"/>
  <c r="A12357" i="2"/>
  <c r="D12356" i="2"/>
  <c r="C12356" i="2"/>
  <c r="B12356" i="2"/>
  <c r="A12356" i="2"/>
  <c r="D12355" i="2"/>
  <c r="C12355" i="2"/>
  <c r="B12355" i="2"/>
  <c r="A12355" i="2"/>
  <c r="D12354" i="2"/>
  <c r="C12354" i="2"/>
  <c r="B12354" i="2"/>
  <c r="A12354" i="2"/>
  <c r="D12353" i="2"/>
  <c r="C12353" i="2"/>
  <c r="B12353" i="2"/>
  <c r="A12353" i="2"/>
  <c r="D12352" i="2"/>
  <c r="C12352" i="2"/>
  <c r="B12352" i="2"/>
  <c r="A12352" i="2"/>
  <c r="D12351" i="2"/>
  <c r="C12351" i="2"/>
  <c r="B12351" i="2"/>
  <c r="A12351" i="2"/>
  <c r="D12350" i="2"/>
  <c r="C12350" i="2"/>
  <c r="B12350" i="2"/>
  <c r="A12350" i="2"/>
  <c r="D12349" i="2"/>
  <c r="C12349" i="2"/>
  <c r="B12349" i="2"/>
  <c r="A12349" i="2"/>
  <c r="D12348" i="2"/>
  <c r="C12348" i="2"/>
  <c r="B12348" i="2"/>
  <c r="A12348" i="2"/>
  <c r="D12347" i="2"/>
  <c r="C12347" i="2"/>
  <c r="B12347" i="2"/>
  <c r="A12347" i="2"/>
  <c r="D12346" i="2"/>
  <c r="C12346" i="2"/>
  <c r="B12346" i="2"/>
  <c r="A12346" i="2"/>
  <c r="D12345" i="2"/>
  <c r="C12345" i="2"/>
  <c r="B12345" i="2"/>
  <c r="A12345" i="2"/>
  <c r="D12344" i="2"/>
  <c r="C12344" i="2"/>
  <c r="B12344" i="2"/>
  <c r="A12344" i="2"/>
  <c r="D12343" i="2"/>
  <c r="C12343" i="2"/>
  <c r="B12343" i="2"/>
  <c r="A12343" i="2"/>
  <c r="D12342" i="2"/>
  <c r="C12342" i="2"/>
  <c r="B12342" i="2"/>
  <c r="A12342" i="2"/>
  <c r="D12341" i="2"/>
  <c r="C12341" i="2"/>
  <c r="B12341" i="2"/>
  <c r="A12341" i="2"/>
  <c r="D12340" i="2"/>
  <c r="C12340" i="2"/>
  <c r="B12340" i="2"/>
  <c r="A12340" i="2"/>
  <c r="D12339" i="2"/>
  <c r="C12339" i="2"/>
  <c r="B12339" i="2"/>
  <c r="A12339" i="2"/>
  <c r="D12338" i="2"/>
  <c r="C12338" i="2"/>
  <c r="B12338" i="2"/>
  <c r="A12338" i="2"/>
  <c r="D12337" i="2"/>
  <c r="C12337" i="2"/>
  <c r="B12337" i="2"/>
  <c r="A12337" i="2"/>
  <c r="D12336" i="2"/>
  <c r="C12336" i="2"/>
  <c r="B12336" i="2"/>
  <c r="A12336" i="2"/>
  <c r="D12335" i="2"/>
  <c r="C12335" i="2"/>
  <c r="B12335" i="2"/>
  <c r="A12335" i="2"/>
  <c r="D12334" i="2"/>
  <c r="C12334" i="2"/>
  <c r="B12334" i="2"/>
  <c r="A12334" i="2"/>
  <c r="D12333" i="2"/>
  <c r="C12333" i="2"/>
  <c r="B12333" i="2"/>
  <c r="A12333" i="2"/>
  <c r="D12332" i="2"/>
  <c r="C12332" i="2"/>
  <c r="B12332" i="2"/>
  <c r="A12332" i="2"/>
  <c r="D12331" i="2"/>
  <c r="C12331" i="2"/>
  <c r="B12331" i="2"/>
  <c r="A12331" i="2"/>
  <c r="D12330" i="2"/>
  <c r="C12330" i="2"/>
  <c r="B12330" i="2"/>
  <c r="A12330" i="2"/>
  <c r="D12329" i="2"/>
  <c r="C12329" i="2"/>
  <c r="B12329" i="2"/>
  <c r="A12329" i="2"/>
  <c r="D12328" i="2"/>
  <c r="C12328" i="2"/>
  <c r="B12328" i="2"/>
  <c r="A12328" i="2"/>
  <c r="D12327" i="2"/>
  <c r="C12327" i="2"/>
  <c r="B12327" i="2"/>
  <c r="A12327" i="2"/>
  <c r="D12326" i="2"/>
  <c r="C12326" i="2"/>
  <c r="B12326" i="2"/>
  <c r="A12326" i="2"/>
  <c r="D12325" i="2"/>
  <c r="C12325" i="2"/>
  <c r="B12325" i="2"/>
  <c r="A12325" i="2"/>
  <c r="D12324" i="2"/>
  <c r="C12324" i="2"/>
  <c r="B12324" i="2"/>
  <c r="A12324" i="2"/>
  <c r="D12323" i="2"/>
  <c r="C12323" i="2"/>
  <c r="B12323" i="2"/>
  <c r="A12323" i="2"/>
  <c r="D12322" i="2"/>
  <c r="C12322" i="2"/>
  <c r="B12322" i="2"/>
  <c r="A12322" i="2"/>
  <c r="D12321" i="2"/>
  <c r="C12321" i="2"/>
  <c r="B12321" i="2"/>
  <c r="A12321" i="2"/>
  <c r="D12320" i="2"/>
  <c r="C12320" i="2"/>
  <c r="B12320" i="2"/>
  <c r="A12320" i="2"/>
  <c r="D12319" i="2"/>
  <c r="C12319" i="2"/>
  <c r="B12319" i="2"/>
  <c r="A12319" i="2"/>
  <c r="D12318" i="2"/>
  <c r="C12318" i="2"/>
  <c r="B12318" i="2"/>
  <c r="A12318" i="2"/>
  <c r="D12317" i="2"/>
  <c r="C12317" i="2"/>
  <c r="B12317" i="2"/>
  <c r="A12317" i="2"/>
  <c r="D12316" i="2"/>
  <c r="C12316" i="2"/>
  <c r="B12316" i="2"/>
  <c r="A12316" i="2"/>
  <c r="D12315" i="2"/>
  <c r="C12315" i="2"/>
  <c r="B12315" i="2"/>
  <c r="A12315" i="2"/>
  <c r="D12314" i="2"/>
  <c r="C12314" i="2"/>
  <c r="B12314" i="2"/>
  <c r="A12314" i="2"/>
  <c r="D12313" i="2"/>
  <c r="C12313" i="2"/>
  <c r="B12313" i="2"/>
  <c r="A12313" i="2"/>
  <c r="D12312" i="2"/>
  <c r="C12312" i="2"/>
  <c r="B12312" i="2"/>
  <c r="A12312" i="2"/>
  <c r="D12311" i="2"/>
  <c r="C12311" i="2"/>
  <c r="B12311" i="2"/>
  <c r="A12311" i="2"/>
  <c r="D12310" i="2"/>
  <c r="C12310" i="2"/>
  <c r="B12310" i="2"/>
  <c r="A12310" i="2"/>
  <c r="D12309" i="2"/>
  <c r="C12309" i="2"/>
  <c r="B12309" i="2"/>
  <c r="A12309" i="2"/>
  <c r="D12308" i="2"/>
  <c r="C12308" i="2"/>
  <c r="B12308" i="2"/>
  <c r="A12308" i="2"/>
  <c r="D12307" i="2"/>
  <c r="C12307" i="2"/>
  <c r="B12307" i="2"/>
  <c r="A12307" i="2"/>
  <c r="D12306" i="2"/>
  <c r="C12306" i="2"/>
  <c r="B12306" i="2"/>
  <c r="A12306" i="2"/>
  <c r="D12305" i="2"/>
  <c r="C12305" i="2"/>
  <c r="B12305" i="2"/>
  <c r="A12305" i="2"/>
  <c r="D12304" i="2"/>
  <c r="C12304" i="2"/>
  <c r="B12304" i="2"/>
  <c r="A12304" i="2"/>
  <c r="D12303" i="2"/>
  <c r="C12303" i="2"/>
  <c r="B12303" i="2"/>
  <c r="A12303" i="2"/>
  <c r="D12302" i="2"/>
  <c r="C12302" i="2"/>
  <c r="B12302" i="2"/>
  <c r="A12302" i="2"/>
  <c r="D12301" i="2"/>
  <c r="C12301" i="2"/>
  <c r="B12301" i="2"/>
  <c r="A12301" i="2"/>
  <c r="D12300" i="2"/>
  <c r="C12300" i="2"/>
  <c r="B12300" i="2"/>
  <c r="A12300" i="2"/>
  <c r="D12299" i="2"/>
  <c r="C12299" i="2"/>
  <c r="B12299" i="2"/>
  <c r="A12299" i="2"/>
  <c r="D12298" i="2"/>
  <c r="C12298" i="2"/>
  <c r="B12298" i="2"/>
  <c r="A12298" i="2"/>
  <c r="D12297" i="2"/>
  <c r="C12297" i="2"/>
  <c r="B12297" i="2"/>
  <c r="A12297" i="2"/>
  <c r="D12296" i="2"/>
  <c r="C12296" i="2"/>
  <c r="B12296" i="2"/>
  <c r="A12296" i="2"/>
  <c r="D12295" i="2"/>
  <c r="C12295" i="2"/>
  <c r="B12295" i="2"/>
  <c r="A12295" i="2"/>
  <c r="D12294" i="2"/>
  <c r="C12294" i="2"/>
  <c r="B12294" i="2"/>
  <c r="A12294" i="2"/>
  <c r="D12293" i="2"/>
  <c r="C12293" i="2"/>
  <c r="B12293" i="2"/>
  <c r="A12293" i="2"/>
  <c r="D12292" i="2"/>
  <c r="C12292" i="2"/>
  <c r="B12292" i="2"/>
  <c r="A12292" i="2"/>
  <c r="D12291" i="2"/>
  <c r="C12291" i="2"/>
  <c r="B12291" i="2"/>
  <c r="A12291" i="2"/>
  <c r="D12290" i="2"/>
  <c r="C12290" i="2"/>
  <c r="B12290" i="2"/>
  <c r="A12290" i="2"/>
  <c r="D12289" i="2"/>
  <c r="C12289" i="2"/>
  <c r="B12289" i="2"/>
  <c r="A12289" i="2"/>
  <c r="D12288" i="2"/>
  <c r="C12288" i="2"/>
  <c r="B12288" i="2"/>
  <c r="A12288" i="2"/>
  <c r="D12287" i="2"/>
  <c r="C12287" i="2"/>
  <c r="B12287" i="2"/>
  <c r="A12287" i="2"/>
  <c r="D12286" i="2"/>
  <c r="C12286" i="2"/>
  <c r="B12286" i="2"/>
  <c r="A12286" i="2"/>
  <c r="D12285" i="2"/>
  <c r="C12285" i="2"/>
  <c r="B12285" i="2"/>
  <c r="A12285" i="2"/>
  <c r="D12284" i="2"/>
  <c r="C12284" i="2"/>
  <c r="B12284" i="2"/>
  <c r="A12284" i="2"/>
  <c r="D12283" i="2"/>
  <c r="C12283" i="2"/>
  <c r="B12283" i="2"/>
  <c r="A12283" i="2"/>
  <c r="D12282" i="2"/>
  <c r="C12282" i="2"/>
  <c r="B12282" i="2"/>
  <c r="A12282" i="2"/>
  <c r="D12281" i="2"/>
  <c r="C12281" i="2"/>
  <c r="B12281" i="2"/>
  <c r="A12281" i="2"/>
  <c r="D12280" i="2"/>
  <c r="C12280" i="2"/>
  <c r="B12280" i="2"/>
  <c r="A12280" i="2"/>
  <c r="D12279" i="2"/>
  <c r="C12279" i="2"/>
  <c r="B12279" i="2"/>
  <c r="A12279" i="2"/>
  <c r="D12278" i="2"/>
  <c r="C12278" i="2"/>
  <c r="B12278" i="2"/>
  <c r="A12278" i="2"/>
  <c r="D12277" i="2"/>
  <c r="C12277" i="2"/>
  <c r="B12277" i="2"/>
  <c r="A12277" i="2"/>
  <c r="D12276" i="2"/>
  <c r="C12276" i="2"/>
  <c r="B12276" i="2"/>
  <c r="A12276" i="2"/>
  <c r="D12275" i="2"/>
  <c r="C12275" i="2"/>
  <c r="B12275" i="2"/>
  <c r="A12275" i="2"/>
  <c r="D12274" i="2"/>
  <c r="C12274" i="2"/>
  <c r="B12274" i="2"/>
  <c r="A12274" i="2"/>
  <c r="D12273" i="2"/>
  <c r="C12273" i="2"/>
  <c r="B12273" i="2"/>
  <c r="A12273" i="2"/>
  <c r="D12272" i="2"/>
  <c r="C12272" i="2"/>
  <c r="B12272" i="2"/>
  <c r="A12272" i="2"/>
  <c r="D12271" i="2"/>
  <c r="C12271" i="2"/>
  <c r="B12271" i="2"/>
  <c r="A12271" i="2"/>
  <c r="D12270" i="2"/>
  <c r="C12270" i="2"/>
  <c r="B12270" i="2"/>
  <c r="A12270" i="2"/>
  <c r="D12269" i="2"/>
  <c r="C12269" i="2"/>
  <c r="B12269" i="2"/>
  <c r="A12269" i="2"/>
  <c r="D12268" i="2"/>
  <c r="C12268" i="2"/>
  <c r="B12268" i="2"/>
  <c r="A12268" i="2"/>
  <c r="D12267" i="2"/>
  <c r="C12267" i="2"/>
  <c r="B12267" i="2"/>
  <c r="A12267" i="2"/>
  <c r="D12266" i="2"/>
  <c r="C12266" i="2"/>
  <c r="B12266" i="2"/>
  <c r="A12266" i="2"/>
  <c r="D12265" i="2"/>
  <c r="C12265" i="2"/>
  <c r="B12265" i="2"/>
  <c r="A12265" i="2"/>
  <c r="D12264" i="2"/>
  <c r="C12264" i="2"/>
  <c r="B12264" i="2"/>
  <c r="A12264" i="2"/>
  <c r="D12263" i="2"/>
  <c r="C12263" i="2"/>
  <c r="B12263" i="2"/>
  <c r="A12263" i="2"/>
  <c r="D12262" i="2"/>
  <c r="C12262" i="2"/>
  <c r="B12262" i="2"/>
  <c r="A12262" i="2"/>
  <c r="D12261" i="2"/>
  <c r="C12261" i="2"/>
  <c r="B12261" i="2"/>
  <c r="A12261" i="2"/>
  <c r="D12260" i="2"/>
  <c r="C12260" i="2"/>
  <c r="B12260" i="2"/>
  <c r="A12260" i="2"/>
  <c r="D12259" i="2"/>
  <c r="C12259" i="2"/>
  <c r="B12259" i="2"/>
  <c r="A12259" i="2"/>
  <c r="D12258" i="2"/>
  <c r="C12258" i="2"/>
  <c r="B12258" i="2"/>
  <c r="A12258" i="2"/>
  <c r="D12257" i="2"/>
  <c r="C12257" i="2"/>
  <c r="B12257" i="2"/>
  <c r="A12257" i="2"/>
  <c r="D12256" i="2"/>
  <c r="C12256" i="2"/>
  <c r="B12256" i="2"/>
  <c r="A12256" i="2"/>
  <c r="D12255" i="2"/>
  <c r="C12255" i="2"/>
  <c r="B12255" i="2"/>
  <c r="A12255" i="2"/>
  <c r="D12254" i="2"/>
  <c r="C12254" i="2"/>
  <c r="B12254" i="2"/>
  <c r="A12254" i="2"/>
  <c r="D12253" i="2"/>
  <c r="C12253" i="2"/>
  <c r="B12253" i="2"/>
  <c r="A12253" i="2"/>
  <c r="D12252" i="2"/>
  <c r="C12252" i="2"/>
  <c r="B12252" i="2"/>
  <c r="A12252" i="2"/>
  <c r="D12251" i="2"/>
  <c r="C12251" i="2"/>
  <c r="B12251" i="2"/>
  <c r="A12251" i="2"/>
  <c r="D12250" i="2"/>
  <c r="C12250" i="2"/>
  <c r="B12250" i="2"/>
  <c r="A12250" i="2"/>
  <c r="D12249" i="2"/>
  <c r="C12249" i="2"/>
  <c r="B12249" i="2"/>
  <c r="A12249" i="2"/>
  <c r="D12248" i="2"/>
  <c r="C12248" i="2"/>
  <c r="B12248" i="2"/>
  <c r="A12248" i="2"/>
  <c r="D12247" i="2"/>
  <c r="C12247" i="2"/>
  <c r="B12247" i="2"/>
  <c r="A12247" i="2"/>
  <c r="D12246" i="2"/>
  <c r="C12246" i="2"/>
  <c r="B12246" i="2"/>
  <c r="A12246" i="2"/>
  <c r="D12245" i="2"/>
  <c r="C12245" i="2"/>
  <c r="B12245" i="2"/>
  <c r="A12245" i="2"/>
  <c r="D12244" i="2"/>
  <c r="C12244" i="2"/>
  <c r="B12244" i="2"/>
  <c r="A12244" i="2"/>
  <c r="D12243" i="2"/>
  <c r="C12243" i="2"/>
  <c r="B12243" i="2"/>
  <c r="A12243" i="2"/>
  <c r="D12242" i="2"/>
  <c r="C12242" i="2"/>
  <c r="B12242" i="2"/>
  <c r="A12242" i="2"/>
  <c r="D12241" i="2"/>
  <c r="C12241" i="2"/>
  <c r="B12241" i="2"/>
  <c r="A12241" i="2"/>
  <c r="D12240" i="2"/>
  <c r="C12240" i="2"/>
  <c r="B12240" i="2"/>
  <c r="A12240" i="2"/>
  <c r="D12239" i="2"/>
  <c r="C12239" i="2"/>
  <c r="B12239" i="2"/>
  <c r="A12239" i="2"/>
  <c r="D12238" i="2"/>
  <c r="C12238" i="2"/>
  <c r="B12238" i="2"/>
  <c r="A12238" i="2"/>
  <c r="D12237" i="2"/>
  <c r="C12237" i="2"/>
  <c r="B12237" i="2"/>
  <c r="A12237" i="2"/>
  <c r="D12236" i="2"/>
  <c r="C12236" i="2"/>
  <c r="B12236" i="2"/>
  <c r="A12236" i="2"/>
  <c r="D12235" i="2"/>
  <c r="C12235" i="2"/>
  <c r="B12235" i="2"/>
  <c r="A12235" i="2"/>
  <c r="D12234" i="2"/>
  <c r="C12234" i="2"/>
  <c r="B12234" i="2"/>
  <c r="A12234" i="2"/>
  <c r="D12233" i="2"/>
  <c r="C12233" i="2"/>
  <c r="B12233" i="2"/>
  <c r="A12233" i="2"/>
  <c r="D12232" i="2"/>
  <c r="C12232" i="2"/>
  <c r="B12232" i="2"/>
  <c r="A12232" i="2"/>
  <c r="D12231" i="2"/>
  <c r="C12231" i="2"/>
  <c r="B12231" i="2"/>
  <c r="A12231" i="2"/>
  <c r="D12230" i="2"/>
  <c r="C12230" i="2"/>
  <c r="B12230" i="2"/>
  <c r="A12230" i="2"/>
  <c r="D12229" i="2"/>
  <c r="C12229" i="2"/>
  <c r="B12229" i="2"/>
  <c r="A12229" i="2"/>
  <c r="D12228" i="2"/>
  <c r="C12228" i="2"/>
  <c r="B12228" i="2"/>
  <c r="A12228" i="2"/>
  <c r="D12227" i="2"/>
  <c r="C12227" i="2"/>
  <c r="B12227" i="2"/>
  <c r="A12227" i="2"/>
  <c r="D12226" i="2"/>
  <c r="C12226" i="2"/>
  <c r="B12226" i="2"/>
  <c r="A12226" i="2"/>
  <c r="D12225" i="2"/>
  <c r="C12225" i="2"/>
  <c r="B12225" i="2"/>
  <c r="A12225" i="2"/>
  <c r="D12224" i="2"/>
  <c r="C12224" i="2"/>
  <c r="B12224" i="2"/>
  <c r="A12224" i="2"/>
  <c r="D12223" i="2"/>
  <c r="C12223" i="2"/>
  <c r="B12223" i="2"/>
  <c r="A12223" i="2"/>
  <c r="D12222" i="2"/>
  <c r="C12222" i="2"/>
  <c r="B12222" i="2"/>
  <c r="A12222" i="2"/>
  <c r="D12221" i="2"/>
  <c r="C12221" i="2"/>
  <c r="B12221" i="2"/>
  <c r="A12221" i="2"/>
  <c r="D12220" i="2"/>
  <c r="C12220" i="2"/>
  <c r="B12220" i="2"/>
  <c r="A12220" i="2"/>
  <c r="D12219" i="2"/>
  <c r="C12219" i="2"/>
  <c r="B12219" i="2"/>
  <c r="A12219" i="2"/>
  <c r="D12218" i="2"/>
  <c r="C12218" i="2"/>
  <c r="B12218" i="2"/>
  <c r="A12218" i="2"/>
  <c r="D12217" i="2"/>
  <c r="C12217" i="2"/>
  <c r="B12217" i="2"/>
  <c r="A12217" i="2"/>
  <c r="D12216" i="2"/>
  <c r="C12216" i="2"/>
  <c r="B12216" i="2"/>
  <c r="A12216" i="2"/>
  <c r="D12215" i="2"/>
  <c r="C12215" i="2"/>
  <c r="B12215" i="2"/>
  <c r="A12215" i="2"/>
  <c r="D12214" i="2"/>
  <c r="C12214" i="2"/>
  <c r="B12214" i="2"/>
  <c r="A12214" i="2"/>
  <c r="D12213" i="2"/>
  <c r="C12213" i="2"/>
  <c r="B12213" i="2"/>
  <c r="A12213" i="2"/>
  <c r="D12212" i="2"/>
  <c r="C12212" i="2"/>
  <c r="B12212" i="2"/>
  <c r="A12212" i="2"/>
  <c r="D12211" i="2"/>
  <c r="C12211" i="2"/>
  <c r="B12211" i="2"/>
  <c r="A12211" i="2"/>
  <c r="D12210" i="2"/>
  <c r="C12210" i="2"/>
  <c r="B12210" i="2"/>
  <c r="A12210" i="2"/>
  <c r="D12209" i="2"/>
  <c r="C12209" i="2"/>
  <c r="B12209" i="2"/>
  <c r="A12209" i="2"/>
  <c r="D12208" i="2"/>
  <c r="C12208" i="2"/>
  <c r="B12208" i="2"/>
  <c r="A12208" i="2"/>
  <c r="D12207" i="2"/>
  <c r="C12207" i="2"/>
  <c r="B12207" i="2"/>
  <c r="A12207" i="2"/>
  <c r="D12206" i="2"/>
  <c r="C12206" i="2"/>
  <c r="B12206" i="2"/>
  <c r="A12206" i="2"/>
  <c r="D12205" i="2"/>
  <c r="C12205" i="2"/>
  <c r="B12205" i="2"/>
  <c r="A12205" i="2"/>
  <c r="D12204" i="2"/>
  <c r="C12204" i="2"/>
  <c r="B12204" i="2"/>
  <c r="A12204" i="2"/>
  <c r="D12203" i="2"/>
  <c r="C12203" i="2"/>
  <c r="B12203" i="2"/>
  <c r="A12203" i="2"/>
  <c r="D12202" i="2"/>
  <c r="C12202" i="2"/>
  <c r="B12202" i="2"/>
  <c r="A12202" i="2"/>
  <c r="D12201" i="2"/>
  <c r="C12201" i="2"/>
  <c r="B12201" i="2"/>
  <c r="A12201" i="2"/>
  <c r="D12200" i="2"/>
  <c r="C12200" i="2"/>
  <c r="B12200" i="2"/>
  <c r="A12200" i="2"/>
  <c r="D12199" i="2"/>
  <c r="C12199" i="2"/>
  <c r="B12199" i="2"/>
  <c r="A12199" i="2"/>
  <c r="D12198" i="2"/>
  <c r="C12198" i="2"/>
  <c r="B12198" i="2"/>
  <c r="A12198" i="2"/>
  <c r="D12197" i="2"/>
  <c r="C12197" i="2"/>
  <c r="B12197" i="2"/>
  <c r="A12197" i="2"/>
  <c r="D12196" i="2"/>
  <c r="C12196" i="2"/>
  <c r="B12196" i="2"/>
  <c r="A12196" i="2"/>
  <c r="D12195" i="2"/>
  <c r="C12195" i="2"/>
  <c r="B12195" i="2"/>
  <c r="A12195" i="2"/>
  <c r="D12194" i="2"/>
  <c r="C12194" i="2"/>
  <c r="B12194" i="2"/>
  <c r="A12194" i="2"/>
  <c r="D12193" i="2"/>
  <c r="C12193" i="2"/>
  <c r="B12193" i="2"/>
  <c r="A12193" i="2"/>
  <c r="D12192" i="2"/>
  <c r="C12192" i="2"/>
  <c r="B12192" i="2"/>
  <c r="A12192" i="2"/>
  <c r="D12191" i="2"/>
  <c r="C12191" i="2"/>
  <c r="B12191" i="2"/>
  <c r="A12191" i="2"/>
  <c r="D12190" i="2"/>
  <c r="C12190" i="2"/>
  <c r="B12190" i="2"/>
  <c r="A12190" i="2"/>
  <c r="D12189" i="2"/>
  <c r="C12189" i="2"/>
  <c r="B12189" i="2"/>
  <c r="A12189" i="2"/>
  <c r="D12188" i="2"/>
  <c r="C12188" i="2"/>
  <c r="B12188" i="2"/>
  <c r="A12188" i="2"/>
  <c r="D12187" i="2"/>
  <c r="C12187" i="2"/>
  <c r="B12187" i="2"/>
  <c r="A12187" i="2"/>
  <c r="D12186" i="2"/>
  <c r="C12186" i="2"/>
  <c r="B12186" i="2"/>
  <c r="A12186" i="2"/>
  <c r="D12185" i="2"/>
  <c r="C12185" i="2"/>
  <c r="B12185" i="2"/>
  <c r="A12185" i="2"/>
  <c r="D12184" i="2"/>
  <c r="C12184" i="2"/>
  <c r="B12184" i="2"/>
  <c r="A12184" i="2"/>
  <c r="D12183" i="2"/>
  <c r="C12183" i="2"/>
  <c r="B12183" i="2"/>
  <c r="A12183" i="2"/>
  <c r="D12182" i="2"/>
  <c r="C12182" i="2"/>
  <c r="B12182" i="2"/>
  <c r="A12182" i="2"/>
  <c r="D12181" i="2"/>
  <c r="C12181" i="2"/>
  <c r="B12181" i="2"/>
  <c r="A12181" i="2"/>
  <c r="D12180" i="2"/>
  <c r="C12180" i="2"/>
  <c r="B12180" i="2"/>
  <c r="A12180" i="2"/>
  <c r="D12179" i="2"/>
  <c r="C12179" i="2"/>
  <c r="B12179" i="2"/>
  <c r="A12179" i="2"/>
  <c r="D12178" i="2"/>
  <c r="C12178" i="2"/>
  <c r="B12178" i="2"/>
  <c r="A12178" i="2"/>
  <c r="D12177" i="2"/>
  <c r="C12177" i="2"/>
  <c r="B12177" i="2"/>
  <c r="A12177" i="2"/>
  <c r="D12176" i="2"/>
  <c r="C12176" i="2"/>
  <c r="B12176" i="2"/>
  <c r="A12176" i="2"/>
  <c r="D12175" i="2"/>
  <c r="C12175" i="2"/>
  <c r="B12175" i="2"/>
  <c r="A12175" i="2"/>
  <c r="D12174" i="2"/>
  <c r="C12174" i="2"/>
  <c r="B12174" i="2"/>
  <c r="A12174" i="2"/>
  <c r="D12173" i="2"/>
  <c r="C12173" i="2"/>
  <c r="B12173" i="2"/>
  <c r="A12173" i="2"/>
  <c r="D12172" i="2"/>
  <c r="C12172" i="2"/>
  <c r="B12172" i="2"/>
  <c r="A12172" i="2"/>
  <c r="D12171" i="2"/>
  <c r="C12171" i="2"/>
  <c r="B12171" i="2"/>
  <c r="A12171" i="2"/>
  <c r="D12170" i="2"/>
  <c r="C12170" i="2"/>
  <c r="B12170" i="2"/>
  <c r="A12170" i="2"/>
  <c r="D12169" i="2"/>
  <c r="C12169" i="2"/>
  <c r="B12169" i="2"/>
  <c r="A12169" i="2"/>
  <c r="D12168" i="2"/>
  <c r="C12168" i="2"/>
  <c r="B12168" i="2"/>
  <c r="A12168" i="2"/>
  <c r="D12167" i="2"/>
  <c r="C12167" i="2"/>
  <c r="B12167" i="2"/>
  <c r="A12167" i="2"/>
  <c r="D12166" i="2"/>
  <c r="C12166" i="2"/>
  <c r="B12166" i="2"/>
  <c r="A12166" i="2"/>
  <c r="D12165" i="2"/>
  <c r="C12165" i="2"/>
  <c r="B12165" i="2"/>
  <c r="A12165" i="2"/>
  <c r="D12164" i="2"/>
  <c r="C12164" i="2"/>
  <c r="B12164" i="2"/>
  <c r="A12164" i="2"/>
  <c r="D12163" i="2"/>
  <c r="C12163" i="2"/>
  <c r="B12163" i="2"/>
  <c r="A12163" i="2"/>
  <c r="D12162" i="2"/>
  <c r="C12162" i="2"/>
  <c r="B12162" i="2"/>
  <c r="A12162" i="2"/>
  <c r="D12161" i="2"/>
  <c r="C12161" i="2"/>
  <c r="B12161" i="2"/>
  <c r="A12161" i="2"/>
  <c r="D12160" i="2"/>
  <c r="C12160" i="2"/>
  <c r="B12160" i="2"/>
  <c r="A12160" i="2"/>
  <c r="D12159" i="2"/>
  <c r="C12159" i="2"/>
  <c r="B12159" i="2"/>
  <c r="A12159" i="2"/>
  <c r="D12158" i="2"/>
  <c r="C12158" i="2"/>
  <c r="B12158" i="2"/>
  <c r="A12158" i="2"/>
  <c r="D12157" i="2"/>
  <c r="C12157" i="2"/>
  <c r="B12157" i="2"/>
  <c r="A12157" i="2"/>
  <c r="D12156" i="2"/>
  <c r="C12156" i="2"/>
  <c r="B12156" i="2"/>
  <c r="A12156" i="2"/>
  <c r="D12155" i="2"/>
  <c r="C12155" i="2"/>
  <c r="B12155" i="2"/>
  <c r="A12155" i="2"/>
  <c r="D12154" i="2"/>
  <c r="C12154" i="2"/>
  <c r="B12154" i="2"/>
  <c r="A12154" i="2"/>
  <c r="D12153" i="2"/>
  <c r="C12153" i="2"/>
  <c r="B12153" i="2"/>
  <c r="A12153" i="2"/>
  <c r="D12152" i="2"/>
  <c r="C12152" i="2"/>
  <c r="B12152" i="2"/>
  <c r="A12152" i="2"/>
  <c r="D12151" i="2"/>
  <c r="C12151" i="2"/>
  <c r="B12151" i="2"/>
  <c r="A12151" i="2"/>
  <c r="D12150" i="2"/>
  <c r="C12150" i="2"/>
  <c r="B12150" i="2"/>
  <c r="A12150" i="2"/>
  <c r="D12149" i="2"/>
  <c r="C12149" i="2"/>
  <c r="B12149" i="2"/>
  <c r="A12149" i="2"/>
  <c r="D12148" i="2"/>
  <c r="C12148" i="2"/>
  <c r="B12148" i="2"/>
  <c r="A12148" i="2"/>
  <c r="D12147" i="2"/>
  <c r="C12147" i="2"/>
  <c r="B12147" i="2"/>
  <c r="A12147" i="2"/>
  <c r="D12146" i="2"/>
  <c r="C12146" i="2"/>
  <c r="B12146" i="2"/>
  <c r="A12146" i="2"/>
  <c r="D12145" i="2"/>
  <c r="C12145" i="2"/>
  <c r="B12145" i="2"/>
  <c r="A12145" i="2"/>
  <c r="D12144" i="2"/>
  <c r="C12144" i="2"/>
  <c r="B12144" i="2"/>
  <c r="A12144" i="2"/>
  <c r="D12143" i="2"/>
  <c r="C12143" i="2"/>
  <c r="B12143" i="2"/>
  <c r="A12143" i="2"/>
  <c r="D12142" i="2"/>
  <c r="C12142" i="2"/>
  <c r="B12142" i="2"/>
  <c r="A12142" i="2"/>
  <c r="D12141" i="2"/>
  <c r="C12141" i="2"/>
  <c r="B12141" i="2"/>
  <c r="A12141" i="2"/>
  <c r="D12140" i="2"/>
  <c r="C12140" i="2"/>
  <c r="B12140" i="2"/>
  <c r="A12140" i="2"/>
  <c r="D12139" i="2"/>
  <c r="C12139" i="2"/>
  <c r="B12139" i="2"/>
  <c r="A12139" i="2"/>
  <c r="D12138" i="2"/>
  <c r="C12138" i="2"/>
  <c r="B12138" i="2"/>
  <c r="A12138" i="2"/>
  <c r="D12137" i="2"/>
  <c r="C12137" i="2"/>
  <c r="B12137" i="2"/>
  <c r="A12137" i="2"/>
  <c r="D12136" i="2"/>
  <c r="C12136" i="2"/>
  <c r="B12136" i="2"/>
  <c r="A12136" i="2"/>
  <c r="D12135" i="2"/>
  <c r="C12135" i="2"/>
  <c r="B12135" i="2"/>
  <c r="A12135" i="2"/>
  <c r="D12134" i="2"/>
  <c r="C12134" i="2"/>
  <c r="B12134" i="2"/>
  <c r="A12134" i="2"/>
  <c r="D12133" i="2"/>
  <c r="C12133" i="2"/>
  <c r="B12133" i="2"/>
  <c r="A12133" i="2"/>
  <c r="D12132" i="2"/>
  <c r="C12132" i="2"/>
  <c r="B12132" i="2"/>
  <c r="A12132" i="2"/>
  <c r="D12131" i="2"/>
  <c r="C12131" i="2"/>
  <c r="B12131" i="2"/>
  <c r="A12131" i="2"/>
  <c r="D12130" i="2"/>
  <c r="C12130" i="2"/>
  <c r="B12130" i="2"/>
  <c r="A12130" i="2"/>
  <c r="D12129" i="2"/>
  <c r="C12129" i="2"/>
  <c r="B12129" i="2"/>
  <c r="A12129" i="2"/>
  <c r="D12128" i="2"/>
  <c r="C12128" i="2"/>
  <c r="B12128" i="2"/>
  <c r="A12128" i="2"/>
  <c r="D12127" i="2"/>
  <c r="C12127" i="2"/>
  <c r="B12127" i="2"/>
  <c r="A12127" i="2"/>
  <c r="D12126" i="2"/>
  <c r="C12126" i="2"/>
  <c r="B12126" i="2"/>
  <c r="A12126" i="2"/>
  <c r="D12125" i="2"/>
  <c r="C12125" i="2"/>
  <c r="B12125" i="2"/>
  <c r="A12125" i="2"/>
  <c r="D12124" i="2"/>
  <c r="C12124" i="2"/>
  <c r="B12124" i="2"/>
  <c r="A12124" i="2"/>
  <c r="D12123" i="2"/>
  <c r="C12123" i="2"/>
  <c r="B12123" i="2"/>
  <c r="A12123" i="2"/>
  <c r="D12122" i="2"/>
  <c r="C12122" i="2"/>
  <c r="B12122" i="2"/>
  <c r="A12122" i="2"/>
  <c r="D12121" i="2"/>
  <c r="C12121" i="2"/>
  <c r="B12121" i="2"/>
  <c r="A12121" i="2"/>
  <c r="D12120" i="2"/>
  <c r="C12120" i="2"/>
  <c r="B12120" i="2"/>
  <c r="A12120" i="2"/>
  <c r="D12119" i="2"/>
  <c r="C12119" i="2"/>
  <c r="B12119" i="2"/>
  <c r="A12119" i="2"/>
  <c r="D12118" i="2"/>
  <c r="C12118" i="2"/>
  <c r="B12118" i="2"/>
  <c r="A12118" i="2"/>
  <c r="D12117" i="2"/>
  <c r="C12117" i="2"/>
  <c r="B12117" i="2"/>
  <c r="A12117" i="2"/>
  <c r="D12116" i="2"/>
  <c r="C12116" i="2"/>
  <c r="B12116" i="2"/>
  <c r="A12116" i="2"/>
  <c r="D12115" i="2"/>
  <c r="C12115" i="2"/>
  <c r="B12115" i="2"/>
  <c r="A12115" i="2"/>
  <c r="D12114" i="2"/>
  <c r="C12114" i="2"/>
  <c r="B12114" i="2"/>
  <c r="A12114" i="2"/>
  <c r="D12113" i="2"/>
  <c r="C12113" i="2"/>
  <c r="B12113" i="2"/>
  <c r="A12113" i="2"/>
  <c r="D12112" i="2"/>
  <c r="C12112" i="2"/>
  <c r="B12112" i="2"/>
  <c r="A12112" i="2"/>
  <c r="D12111" i="2"/>
  <c r="C12111" i="2"/>
  <c r="B12111" i="2"/>
  <c r="A12111" i="2"/>
  <c r="D12110" i="2"/>
  <c r="C12110" i="2"/>
  <c r="B12110" i="2"/>
  <c r="A12110" i="2"/>
  <c r="D12109" i="2"/>
  <c r="C12109" i="2"/>
  <c r="B12109" i="2"/>
  <c r="A12109" i="2"/>
  <c r="D12108" i="2"/>
  <c r="C12108" i="2"/>
  <c r="B12108" i="2"/>
  <c r="A12108" i="2"/>
  <c r="D12107" i="2"/>
  <c r="C12107" i="2"/>
  <c r="B12107" i="2"/>
  <c r="A12107" i="2"/>
  <c r="D12106" i="2"/>
  <c r="C12106" i="2"/>
  <c r="B12106" i="2"/>
  <c r="A12106" i="2"/>
  <c r="D12105" i="2"/>
  <c r="C12105" i="2"/>
  <c r="B12105" i="2"/>
  <c r="A12105" i="2"/>
  <c r="D12104" i="2"/>
  <c r="C12104" i="2"/>
  <c r="B12104" i="2"/>
  <c r="A12104" i="2"/>
  <c r="D12103" i="2"/>
  <c r="C12103" i="2"/>
  <c r="B12103" i="2"/>
  <c r="A12103" i="2"/>
  <c r="D12102" i="2"/>
  <c r="C12102" i="2"/>
  <c r="B12102" i="2"/>
  <c r="A12102" i="2"/>
  <c r="D12101" i="2"/>
  <c r="C12101" i="2"/>
  <c r="B12101" i="2"/>
  <c r="A12101" i="2"/>
  <c r="D12100" i="2"/>
  <c r="C12100" i="2"/>
  <c r="B12100" i="2"/>
  <c r="A12100" i="2"/>
  <c r="D12099" i="2"/>
  <c r="C12099" i="2"/>
  <c r="B12099" i="2"/>
  <c r="A12099" i="2"/>
  <c r="D12098" i="2"/>
  <c r="C12098" i="2"/>
  <c r="B12098" i="2"/>
  <c r="A12098" i="2"/>
  <c r="D12097" i="2"/>
  <c r="C12097" i="2"/>
  <c r="B12097" i="2"/>
  <c r="A12097" i="2"/>
  <c r="D12096" i="2"/>
  <c r="C12096" i="2"/>
  <c r="B12096" i="2"/>
  <c r="A12096" i="2"/>
  <c r="D12095" i="2"/>
  <c r="C12095" i="2"/>
  <c r="B12095" i="2"/>
  <c r="A12095" i="2"/>
  <c r="D12094" i="2"/>
  <c r="C12094" i="2"/>
  <c r="B12094" i="2"/>
  <c r="A12094" i="2"/>
  <c r="D12093" i="2"/>
  <c r="C12093" i="2"/>
  <c r="B12093" i="2"/>
  <c r="A12093" i="2"/>
  <c r="D12092" i="2"/>
  <c r="C12092" i="2"/>
  <c r="B12092" i="2"/>
  <c r="A12092" i="2"/>
  <c r="D12091" i="2"/>
  <c r="C12091" i="2"/>
  <c r="B12091" i="2"/>
  <c r="A12091" i="2"/>
  <c r="D12090" i="2"/>
  <c r="C12090" i="2"/>
  <c r="B12090" i="2"/>
  <c r="A12090" i="2"/>
  <c r="D12089" i="2"/>
  <c r="C12089" i="2"/>
  <c r="B12089" i="2"/>
  <c r="A12089" i="2"/>
  <c r="D12088" i="2"/>
  <c r="C12088" i="2"/>
  <c r="B12088" i="2"/>
  <c r="A12088" i="2"/>
  <c r="D12087" i="2"/>
  <c r="C12087" i="2"/>
  <c r="B12087" i="2"/>
  <c r="A12087" i="2"/>
  <c r="D12086" i="2"/>
  <c r="C12086" i="2"/>
  <c r="B12086" i="2"/>
  <c r="A12086" i="2"/>
  <c r="D12085" i="2"/>
  <c r="C12085" i="2"/>
  <c r="B12085" i="2"/>
  <c r="A12085" i="2"/>
  <c r="D12084" i="2"/>
  <c r="C12084" i="2"/>
  <c r="B12084" i="2"/>
  <c r="A12084" i="2"/>
  <c r="D12083" i="2"/>
  <c r="C12083" i="2"/>
  <c r="B12083" i="2"/>
  <c r="A12083" i="2"/>
  <c r="D12082" i="2"/>
  <c r="C12082" i="2"/>
  <c r="B12082" i="2"/>
  <c r="A12082" i="2"/>
  <c r="D12081" i="2"/>
  <c r="C12081" i="2"/>
  <c r="B12081" i="2"/>
  <c r="A12081" i="2"/>
  <c r="D12080" i="2"/>
  <c r="C12080" i="2"/>
  <c r="B12080" i="2"/>
  <c r="A12080" i="2"/>
  <c r="D12079" i="2"/>
  <c r="C12079" i="2"/>
  <c r="B12079" i="2"/>
  <c r="A12079" i="2"/>
  <c r="D12078" i="2"/>
  <c r="C12078" i="2"/>
  <c r="B12078" i="2"/>
  <c r="A12078" i="2"/>
  <c r="D12077" i="2"/>
  <c r="C12077" i="2"/>
  <c r="B12077" i="2"/>
  <c r="A12077" i="2"/>
  <c r="D12076" i="2"/>
  <c r="C12076" i="2"/>
  <c r="B12076" i="2"/>
  <c r="A12076" i="2"/>
  <c r="D12075" i="2"/>
  <c r="C12075" i="2"/>
  <c r="B12075" i="2"/>
  <c r="A12075" i="2"/>
  <c r="D12074" i="2"/>
  <c r="C12074" i="2"/>
  <c r="B12074" i="2"/>
  <c r="A12074" i="2"/>
  <c r="D12073" i="2"/>
  <c r="C12073" i="2"/>
  <c r="B12073" i="2"/>
  <c r="A12073" i="2"/>
  <c r="D12072" i="2"/>
  <c r="C12072" i="2"/>
  <c r="B12072" i="2"/>
  <c r="A12072" i="2"/>
  <c r="D12071" i="2"/>
  <c r="C12071" i="2"/>
  <c r="B12071" i="2"/>
  <c r="A12071" i="2"/>
  <c r="D12070" i="2"/>
  <c r="C12070" i="2"/>
  <c r="B12070" i="2"/>
  <c r="A12070" i="2"/>
  <c r="D12069" i="2"/>
  <c r="C12069" i="2"/>
  <c r="B12069" i="2"/>
  <c r="A12069" i="2"/>
  <c r="D12068" i="2"/>
  <c r="C12068" i="2"/>
  <c r="B12068" i="2"/>
  <c r="A12068" i="2"/>
  <c r="D12067" i="2"/>
  <c r="C12067" i="2"/>
  <c r="B12067" i="2"/>
  <c r="A12067" i="2"/>
  <c r="D12066" i="2"/>
  <c r="C12066" i="2"/>
  <c r="B12066" i="2"/>
  <c r="A12066" i="2"/>
  <c r="D12065" i="2"/>
  <c r="C12065" i="2"/>
  <c r="B12065" i="2"/>
  <c r="A12065" i="2"/>
  <c r="D12064" i="2"/>
  <c r="C12064" i="2"/>
  <c r="B12064" i="2"/>
  <c r="A12064" i="2"/>
  <c r="D12063" i="2"/>
  <c r="C12063" i="2"/>
  <c r="B12063" i="2"/>
  <c r="A12063" i="2"/>
  <c r="D12062" i="2"/>
  <c r="C12062" i="2"/>
  <c r="B12062" i="2"/>
  <c r="A12062" i="2"/>
  <c r="D12061" i="2"/>
  <c r="C12061" i="2"/>
  <c r="B12061" i="2"/>
  <c r="A12061" i="2"/>
  <c r="D12060" i="2"/>
  <c r="C12060" i="2"/>
  <c r="B12060" i="2"/>
  <c r="A12060" i="2"/>
  <c r="D12059" i="2"/>
  <c r="C12059" i="2"/>
  <c r="B12059" i="2"/>
  <c r="A12059" i="2"/>
  <c r="D12058" i="2"/>
  <c r="C12058" i="2"/>
  <c r="B12058" i="2"/>
  <c r="A12058" i="2"/>
  <c r="D12057" i="2"/>
  <c r="C12057" i="2"/>
  <c r="B12057" i="2"/>
  <c r="A12057" i="2"/>
  <c r="D12056" i="2"/>
  <c r="C12056" i="2"/>
  <c r="B12056" i="2"/>
  <c r="A12056" i="2"/>
  <c r="D12055" i="2"/>
  <c r="C12055" i="2"/>
  <c r="B12055" i="2"/>
  <c r="A12055" i="2"/>
  <c r="D12054" i="2"/>
  <c r="C12054" i="2"/>
  <c r="B12054" i="2"/>
  <c r="A12054" i="2"/>
  <c r="D12053" i="2"/>
  <c r="C12053" i="2"/>
  <c r="B12053" i="2"/>
  <c r="A12053" i="2"/>
  <c r="D12052" i="2"/>
  <c r="C12052" i="2"/>
  <c r="B12052" i="2"/>
  <c r="A12052" i="2"/>
  <c r="D12051" i="2"/>
  <c r="C12051" i="2"/>
  <c r="B12051" i="2"/>
  <c r="A12051" i="2"/>
  <c r="D12050" i="2"/>
  <c r="C12050" i="2"/>
  <c r="B12050" i="2"/>
  <c r="A12050" i="2"/>
  <c r="D12049" i="2"/>
  <c r="C12049" i="2"/>
  <c r="B12049" i="2"/>
  <c r="A12049" i="2"/>
  <c r="D12048" i="2"/>
  <c r="C12048" i="2"/>
  <c r="B12048" i="2"/>
  <c r="A12048" i="2"/>
  <c r="D12047" i="2"/>
  <c r="C12047" i="2"/>
  <c r="B12047" i="2"/>
  <c r="A12047" i="2"/>
  <c r="D12046" i="2"/>
  <c r="C12046" i="2"/>
  <c r="B12046" i="2"/>
  <c r="A12046" i="2"/>
  <c r="D12045" i="2"/>
  <c r="C12045" i="2"/>
  <c r="B12045" i="2"/>
  <c r="A12045" i="2"/>
  <c r="D12044" i="2"/>
  <c r="C12044" i="2"/>
  <c r="B12044" i="2"/>
  <c r="A12044" i="2"/>
  <c r="D12043" i="2"/>
  <c r="C12043" i="2"/>
  <c r="B12043" i="2"/>
  <c r="A12043" i="2"/>
  <c r="D12042" i="2"/>
  <c r="C12042" i="2"/>
  <c r="B12042" i="2"/>
  <c r="A12042" i="2"/>
  <c r="D12041" i="2"/>
  <c r="C12041" i="2"/>
  <c r="B12041" i="2"/>
  <c r="A12041" i="2"/>
  <c r="D12040" i="2"/>
  <c r="C12040" i="2"/>
  <c r="B12040" i="2"/>
  <c r="A12040" i="2"/>
  <c r="D12039" i="2"/>
  <c r="C12039" i="2"/>
  <c r="B12039" i="2"/>
  <c r="A12039" i="2"/>
  <c r="D12038" i="2"/>
  <c r="C12038" i="2"/>
  <c r="B12038" i="2"/>
  <c r="A12038" i="2"/>
  <c r="D12037" i="2"/>
  <c r="C12037" i="2"/>
  <c r="B12037" i="2"/>
  <c r="A12037" i="2"/>
  <c r="D12036" i="2"/>
  <c r="C12036" i="2"/>
  <c r="B12036" i="2"/>
  <c r="A12036" i="2"/>
  <c r="D12035" i="2"/>
  <c r="C12035" i="2"/>
  <c r="B12035" i="2"/>
  <c r="A12035" i="2"/>
  <c r="D12034" i="2"/>
  <c r="C12034" i="2"/>
  <c r="B12034" i="2"/>
  <c r="A12034" i="2"/>
  <c r="D12033" i="2"/>
  <c r="C12033" i="2"/>
  <c r="B12033" i="2"/>
  <c r="A12033" i="2"/>
  <c r="D12032" i="2"/>
  <c r="C12032" i="2"/>
  <c r="B12032" i="2"/>
  <c r="A12032" i="2"/>
  <c r="D12031" i="2"/>
  <c r="C12031" i="2"/>
  <c r="B12031" i="2"/>
  <c r="A12031" i="2"/>
  <c r="D12030" i="2"/>
  <c r="C12030" i="2"/>
  <c r="B12030" i="2"/>
  <c r="A12030" i="2"/>
  <c r="D12029" i="2"/>
  <c r="C12029" i="2"/>
  <c r="B12029" i="2"/>
  <c r="A12029" i="2"/>
  <c r="D12028" i="2"/>
  <c r="C12028" i="2"/>
  <c r="B12028" i="2"/>
  <c r="A12028" i="2"/>
  <c r="D12027" i="2"/>
  <c r="C12027" i="2"/>
  <c r="B12027" i="2"/>
  <c r="A12027" i="2"/>
  <c r="D12026" i="2"/>
  <c r="C12026" i="2"/>
  <c r="B12026" i="2"/>
  <c r="A12026" i="2"/>
  <c r="D12025" i="2"/>
  <c r="C12025" i="2"/>
  <c r="B12025" i="2"/>
  <c r="A12025" i="2"/>
  <c r="D12024" i="2"/>
  <c r="C12024" i="2"/>
  <c r="B12024" i="2"/>
  <c r="A12024" i="2"/>
  <c r="D12023" i="2"/>
  <c r="C12023" i="2"/>
  <c r="B12023" i="2"/>
  <c r="A12023" i="2"/>
  <c r="D12022" i="2"/>
  <c r="C12022" i="2"/>
  <c r="B12022" i="2"/>
  <c r="A12022" i="2"/>
  <c r="D12021" i="2"/>
  <c r="C12021" i="2"/>
  <c r="B12021" i="2"/>
  <c r="A12021" i="2"/>
  <c r="D12020" i="2"/>
  <c r="C12020" i="2"/>
  <c r="B12020" i="2"/>
  <c r="A12020" i="2"/>
  <c r="D12019" i="2"/>
  <c r="C12019" i="2"/>
  <c r="B12019" i="2"/>
  <c r="A12019" i="2"/>
  <c r="D12018" i="2"/>
  <c r="C12018" i="2"/>
  <c r="B12018" i="2"/>
  <c r="A12018" i="2"/>
  <c r="D12017" i="2"/>
  <c r="C12017" i="2"/>
  <c r="B12017" i="2"/>
  <c r="A12017" i="2"/>
  <c r="D12016" i="2"/>
  <c r="C12016" i="2"/>
  <c r="B12016" i="2"/>
  <c r="A12016" i="2"/>
  <c r="D12015" i="2"/>
  <c r="C12015" i="2"/>
  <c r="B12015" i="2"/>
  <c r="A12015" i="2"/>
  <c r="D12014" i="2"/>
  <c r="C12014" i="2"/>
  <c r="B12014" i="2"/>
  <c r="A12014" i="2"/>
  <c r="D12013" i="2"/>
  <c r="C12013" i="2"/>
  <c r="B12013" i="2"/>
  <c r="A12013" i="2"/>
  <c r="D12012" i="2"/>
  <c r="C12012" i="2"/>
  <c r="B12012" i="2"/>
  <c r="A12012" i="2"/>
  <c r="D12011" i="2"/>
  <c r="C12011" i="2"/>
  <c r="B12011" i="2"/>
  <c r="A12011" i="2"/>
  <c r="D12010" i="2"/>
  <c r="C12010" i="2"/>
  <c r="B12010" i="2"/>
  <c r="A12010" i="2"/>
  <c r="D12009" i="2"/>
  <c r="C12009" i="2"/>
  <c r="B12009" i="2"/>
  <c r="A12009" i="2"/>
  <c r="D12008" i="2"/>
  <c r="C12008" i="2"/>
  <c r="B12008" i="2"/>
  <c r="A12008" i="2"/>
  <c r="D12007" i="2"/>
  <c r="C12007" i="2"/>
  <c r="B12007" i="2"/>
  <c r="A12007" i="2"/>
  <c r="D12006" i="2"/>
  <c r="C12006" i="2"/>
  <c r="B12006" i="2"/>
  <c r="A12006" i="2"/>
  <c r="D12005" i="2"/>
  <c r="C12005" i="2"/>
  <c r="B12005" i="2"/>
  <c r="A12005" i="2"/>
  <c r="D12004" i="2"/>
  <c r="C12004" i="2"/>
  <c r="B12004" i="2"/>
  <c r="A12004" i="2"/>
  <c r="D12003" i="2"/>
  <c r="C12003" i="2"/>
  <c r="B12003" i="2"/>
  <c r="A12003" i="2"/>
  <c r="D12002" i="2"/>
  <c r="C12002" i="2"/>
  <c r="B12002" i="2"/>
  <c r="A12002" i="2"/>
  <c r="D12001" i="2"/>
  <c r="C12001" i="2"/>
  <c r="B12001" i="2"/>
  <c r="A12001" i="2"/>
  <c r="D12000" i="2"/>
  <c r="C12000" i="2"/>
  <c r="B12000" i="2"/>
  <c r="A12000" i="2"/>
  <c r="D11999" i="2"/>
  <c r="C11999" i="2"/>
  <c r="B11999" i="2"/>
  <c r="A11999" i="2"/>
  <c r="D11998" i="2"/>
  <c r="C11998" i="2"/>
  <c r="B11998" i="2"/>
  <c r="A11998" i="2"/>
  <c r="D11997" i="2"/>
  <c r="C11997" i="2"/>
  <c r="B11997" i="2"/>
  <c r="A11997" i="2"/>
  <c r="D11996" i="2"/>
  <c r="C11996" i="2"/>
  <c r="B11996" i="2"/>
  <c r="A11996" i="2"/>
  <c r="D11995" i="2"/>
  <c r="C11995" i="2"/>
  <c r="B11995" i="2"/>
  <c r="A11995" i="2"/>
  <c r="D11994" i="2"/>
  <c r="C11994" i="2"/>
  <c r="B11994" i="2"/>
  <c r="A11994" i="2"/>
  <c r="D11993" i="2"/>
  <c r="C11993" i="2"/>
  <c r="B11993" i="2"/>
  <c r="A11993" i="2"/>
  <c r="D11992" i="2"/>
  <c r="C11992" i="2"/>
  <c r="B11992" i="2"/>
  <c r="A11992" i="2"/>
  <c r="D11991" i="2"/>
  <c r="C11991" i="2"/>
  <c r="B11991" i="2"/>
  <c r="A11991" i="2"/>
  <c r="D11990" i="2"/>
  <c r="C11990" i="2"/>
  <c r="B11990" i="2"/>
  <c r="A11990" i="2"/>
  <c r="D11989" i="2"/>
  <c r="C11989" i="2"/>
  <c r="B11989" i="2"/>
  <c r="A11989" i="2"/>
  <c r="D11988" i="2"/>
  <c r="C11988" i="2"/>
  <c r="B11988" i="2"/>
  <c r="A11988" i="2"/>
  <c r="D11987" i="2"/>
  <c r="C11987" i="2"/>
  <c r="B11987" i="2"/>
  <c r="A11987" i="2"/>
  <c r="D11986" i="2"/>
  <c r="C11986" i="2"/>
  <c r="B11986" i="2"/>
  <c r="A11986" i="2"/>
  <c r="D11985" i="2"/>
  <c r="C11985" i="2"/>
  <c r="B11985" i="2"/>
  <c r="A11985" i="2"/>
  <c r="D11984" i="2"/>
  <c r="C11984" i="2"/>
  <c r="B11984" i="2"/>
  <c r="A11984" i="2"/>
  <c r="D11983" i="2"/>
  <c r="C11983" i="2"/>
  <c r="B11983" i="2"/>
  <c r="A11983" i="2"/>
  <c r="D11982" i="2"/>
  <c r="C11982" i="2"/>
  <c r="B11982" i="2"/>
  <c r="A11982" i="2"/>
  <c r="D11981" i="2"/>
  <c r="C11981" i="2"/>
  <c r="B11981" i="2"/>
  <c r="A11981" i="2"/>
  <c r="D11980" i="2"/>
  <c r="C11980" i="2"/>
  <c r="B11980" i="2"/>
  <c r="A11980" i="2"/>
  <c r="D11979" i="2"/>
  <c r="C11979" i="2"/>
  <c r="B11979" i="2"/>
  <c r="A11979" i="2"/>
  <c r="D11978" i="2"/>
  <c r="C11978" i="2"/>
  <c r="B11978" i="2"/>
  <c r="A11978" i="2"/>
  <c r="D11977" i="2"/>
  <c r="C11977" i="2"/>
  <c r="B11977" i="2"/>
  <c r="A11977" i="2"/>
  <c r="D11976" i="2"/>
  <c r="C11976" i="2"/>
  <c r="B11976" i="2"/>
  <c r="A11976" i="2"/>
  <c r="D11975" i="2"/>
  <c r="C11975" i="2"/>
  <c r="B11975" i="2"/>
  <c r="A11975" i="2"/>
  <c r="D11974" i="2"/>
  <c r="C11974" i="2"/>
  <c r="B11974" i="2"/>
  <c r="A11974" i="2"/>
  <c r="D11973" i="2"/>
  <c r="C11973" i="2"/>
  <c r="B11973" i="2"/>
  <c r="A11973" i="2"/>
  <c r="D11972" i="2"/>
  <c r="C11972" i="2"/>
  <c r="B11972" i="2"/>
  <c r="A11972" i="2"/>
  <c r="D11971" i="2"/>
  <c r="C11971" i="2"/>
  <c r="B11971" i="2"/>
  <c r="A11971" i="2"/>
  <c r="D11970" i="2"/>
  <c r="C11970" i="2"/>
  <c r="B11970" i="2"/>
  <c r="A11970" i="2"/>
  <c r="D11969" i="2"/>
  <c r="C11969" i="2"/>
  <c r="B11969" i="2"/>
  <c r="A11969" i="2"/>
  <c r="D11968" i="2"/>
  <c r="C11968" i="2"/>
  <c r="B11968" i="2"/>
  <c r="A11968" i="2"/>
  <c r="D11967" i="2"/>
  <c r="C11967" i="2"/>
  <c r="B11967" i="2"/>
  <c r="A11967" i="2"/>
  <c r="D11966" i="2"/>
  <c r="C11966" i="2"/>
  <c r="B11966" i="2"/>
  <c r="A11966" i="2"/>
  <c r="D11965" i="2"/>
  <c r="C11965" i="2"/>
  <c r="B11965" i="2"/>
  <c r="A11965" i="2"/>
  <c r="D11964" i="2"/>
  <c r="C11964" i="2"/>
  <c r="B11964" i="2"/>
  <c r="A11964" i="2"/>
  <c r="D11963" i="2"/>
  <c r="C11963" i="2"/>
  <c r="B11963" i="2"/>
  <c r="A11963" i="2"/>
  <c r="D11962" i="2"/>
  <c r="C11962" i="2"/>
  <c r="B11962" i="2"/>
  <c r="A11962" i="2"/>
  <c r="D11961" i="2"/>
  <c r="C11961" i="2"/>
  <c r="B11961" i="2"/>
  <c r="A11961" i="2"/>
  <c r="D11960" i="2"/>
  <c r="C11960" i="2"/>
  <c r="B11960" i="2"/>
  <c r="A11960" i="2"/>
  <c r="D11959" i="2"/>
  <c r="C11959" i="2"/>
  <c r="B11959" i="2"/>
  <c r="A11959" i="2"/>
  <c r="D11958" i="2"/>
  <c r="C11958" i="2"/>
  <c r="B11958" i="2"/>
  <c r="A11958" i="2"/>
  <c r="D11957" i="2"/>
  <c r="C11957" i="2"/>
  <c r="B11957" i="2"/>
  <c r="A11957" i="2"/>
  <c r="D11956" i="2"/>
  <c r="C11956" i="2"/>
  <c r="B11956" i="2"/>
  <c r="A11956" i="2"/>
  <c r="D11955" i="2"/>
  <c r="C11955" i="2"/>
  <c r="B11955" i="2"/>
  <c r="A11955" i="2"/>
  <c r="D11954" i="2"/>
  <c r="C11954" i="2"/>
  <c r="B11954" i="2"/>
  <c r="A11954" i="2"/>
  <c r="D11953" i="2"/>
  <c r="C11953" i="2"/>
  <c r="B11953" i="2"/>
  <c r="A11953" i="2"/>
  <c r="D11952" i="2"/>
  <c r="C11952" i="2"/>
  <c r="B11952" i="2"/>
  <c r="A11952" i="2"/>
  <c r="D11951" i="2"/>
  <c r="C11951" i="2"/>
  <c r="B11951" i="2"/>
  <c r="A11951" i="2"/>
  <c r="D11950" i="2"/>
  <c r="C11950" i="2"/>
  <c r="B11950" i="2"/>
  <c r="A11950" i="2"/>
  <c r="D11949" i="2"/>
  <c r="C11949" i="2"/>
  <c r="B11949" i="2"/>
  <c r="A11949" i="2"/>
  <c r="D11948" i="2"/>
  <c r="C11948" i="2"/>
  <c r="B11948" i="2"/>
  <c r="A11948" i="2"/>
  <c r="D11947" i="2"/>
  <c r="C11947" i="2"/>
  <c r="B11947" i="2"/>
  <c r="A11947" i="2"/>
  <c r="D11946" i="2"/>
  <c r="C11946" i="2"/>
  <c r="B11946" i="2"/>
  <c r="A11946" i="2"/>
  <c r="D11945" i="2"/>
  <c r="C11945" i="2"/>
  <c r="B11945" i="2"/>
  <c r="A11945" i="2"/>
  <c r="D11944" i="2"/>
  <c r="C11944" i="2"/>
  <c r="B11944" i="2"/>
  <c r="A11944" i="2"/>
  <c r="D11943" i="2"/>
  <c r="C11943" i="2"/>
  <c r="B11943" i="2"/>
  <c r="A11943" i="2"/>
  <c r="D11942" i="2"/>
  <c r="C11942" i="2"/>
  <c r="B11942" i="2"/>
  <c r="A11942" i="2"/>
  <c r="D11941" i="2"/>
  <c r="C11941" i="2"/>
  <c r="B11941" i="2"/>
  <c r="A11941" i="2"/>
  <c r="D11940" i="2"/>
  <c r="C11940" i="2"/>
  <c r="B11940" i="2"/>
  <c r="A11940" i="2"/>
  <c r="D11939" i="2"/>
  <c r="C11939" i="2"/>
  <c r="B11939" i="2"/>
  <c r="A11939" i="2"/>
  <c r="D11938" i="2"/>
  <c r="C11938" i="2"/>
  <c r="B11938" i="2"/>
  <c r="A11938" i="2"/>
  <c r="D11937" i="2"/>
  <c r="C11937" i="2"/>
  <c r="B11937" i="2"/>
  <c r="A11937" i="2"/>
  <c r="D11936" i="2"/>
  <c r="C11936" i="2"/>
  <c r="B11936" i="2"/>
  <c r="A11936" i="2"/>
  <c r="D11935" i="2"/>
  <c r="C11935" i="2"/>
  <c r="B11935" i="2"/>
  <c r="A11935" i="2"/>
  <c r="D11934" i="2"/>
  <c r="C11934" i="2"/>
  <c r="B11934" i="2"/>
  <c r="A11934" i="2"/>
  <c r="D11933" i="2"/>
  <c r="C11933" i="2"/>
  <c r="B11933" i="2"/>
  <c r="A11933" i="2"/>
  <c r="D11932" i="2"/>
  <c r="C11932" i="2"/>
  <c r="B11932" i="2"/>
  <c r="A11932" i="2"/>
  <c r="D11931" i="2"/>
  <c r="C11931" i="2"/>
  <c r="B11931" i="2"/>
  <c r="A11931" i="2"/>
  <c r="D11930" i="2"/>
  <c r="C11930" i="2"/>
  <c r="B11930" i="2"/>
  <c r="A11930" i="2"/>
  <c r="D11929" i="2"/>
  <c r="C11929" i="2"/>
  <c r="B11929" i="2"/>
  <c r="A11929" i="2"/>
  <c r="D11928" i="2"/>
  <c r="C11928" i="2"/>
  <c r="B11928" i="2"/>
  <c r="A11928" i="2"/>
  <c r="D11927" i="2"/>
  <c r="C11927" i="2"/>
  <c r="B11927" i="2"/>
  <c r="A11927" i="2"/>
  <c r="D11926" i="2"/>
  <c r="C11926" i="2"/>
  <c r="B11926" i="2"/>
  <c r="A11926" i="2"/>
  <c r="D11925" i="2"/>
  <c r="C11925" i="2"/>
  <c r="B11925" i="2"/>
  <c r="A11925" i="2"/>
  <c r="D11924" i="2"/>
  <c r="C11924" i="2"/>
  <c r="B11924" i="2"/>
  <c r="A11924" i="2"/>
  <c r="D11923" i="2"/>
  <c r="C11923" i="2"/>
  <c r="B11923" i="2"/>
  <c r="A11923" i="2"/>
  <c r="D11922" i="2"/>
  <c r="C11922" i="2"/>
  <c r="B11922" i="2"/>
  <c r="A11922" i="2"/>
  <c r="D11921" i="2"/>
  <c r="C11921" i="2"/>
  <c r="B11921" i="2"/>
  <c r="A11921" i="2"/>
  <c r="D11920" i="2"/>
  <c r="C11920" i="2"/>
  <c r="B11920" i="2"/>
  <c r="A11920" i="2"/>
  <c r="D11919" i="2"/>
  <c r="C11919" i="2"/>
  <c r="B11919" i="2"/>
  <c r="A11919" i="2"/>
  <c r="D11918" i="2"/>
  <c r="C11918" i="2"/>
  <c r="B11918" i="2"/>
  <c r="A11918" i="2"/>
  <c r="D11917" i="2"/>
  <c r="C11917" i="2"/>
  <c r="B11917" i="2"/>
  <c r="A11917" i="2"/>
  <c r="D11916" i="2"/>
  <c r="C11916" i="2"/>
  <c r="B11916" i="2"/>
  <c r="A11916" i="2"/>
  <c r="D11915" i="2"/>
  <c r="C11915" i="2"/>
  <c r="B11915" i="2"/>
  <c r="A11915" i="2"/>
  <c r="D11914" i="2"/>
  <c r="C11914" i="2"/>
  <c r="B11914" i="2"/>
  <c r="A11914" i="2"/>
  <c r="D11913" i="2"/>
  <c r="C11913" i="2"/>
  <c r="B11913" i="2"/>
  <c r="A11913" i="2"/>
  <c r="D11912" i="2"/>
  <c r="C11912" i="2"/>
  <c r="B11912" i="2"/>
  <c r="A11912" i="2"/>
  <c r="D11911" i="2"/>
  <c r="C11911" i="2"/>
  <c r="B11911" i="2"/>
  <c r="A11911" i="2"/>
  <c r="D11910" i="2"/>
  <c r="C11910" i="2"/>
  <c r="B11910" i="2"/>
  <c r="A11910" i="2"/>
  <c r="D11909" i="2"/>
  <c r="C11909" i="2"/>
  <c r="B11909" i="2"/>
  <c r="A11909" i="2"/>
  <c r="D11908" i="2"/>
  <c r="C11908" i="2"/>
  <c r="B11908" i="2"/>
  <c r="A11908" i="2"/>
  <c r="D11907" i="2"/>
  <c r="C11907" i="2"/>
  <c r="B11907" i="2"/>
  <c r="A11907" i="2"/>
  <c r="D11906" i="2"/>
  <c r="C11906" i="2"/>
  <c r="B11906" i="2"/>
  <c r="A11906" i="2"/>
  <c r="D11905" i="2"/>
  <c r="C11905" i="2"/>
  <c r="B11905" i="2"/>
  <c r="A11905" i="2"/>
  <c r="D11904" i="2"/>
  <c r="C11904" i="2"/>
  <c r="B11904" i="2"/>
  <c r="A11904" i="2"/>
  <c r="D11903" i="2"/>
  <c r="C11903" i="2"/>
  <c r="B11903" i="2"/>
  <c r="A11903" i="2"/>
  <c r="D11902" i="2"/>
  <c r="C11902" i="2"/>
  <c r="B11902" i="2"/>
  <c r="A11902" i="2"/>
  <c r="D11901" i="2"/>
  <c r="C11901" i="2"/>
  <c r="B11901" i="2"/>
  <c r="A11901" i="2"/>
  <c r="D11900" i="2"/>
  <c r="C11900" i="2"/>
  <c r="B11900" i="2"/>
  <c r="A11900" i="2"/>
  <c r="D11899" i="2"/>
  <c r="C11899" i="2"/>
  <c r="B11899" i="2"/>
  <c r="A11899" i="2"/>
  <c r="D11898" i="2"/>
  <c r="C11898" i="2"/>
  <c r="B11898" i="2"/>
  <c r="A11898" i="2"/>
  <c r="D11897" i="2"/>
  <c r="C11897" i="2"/>
  <c r="B11897" i="2"/>
  <c r="A11897" i="2"/>
  <c r="D11896" i="2"/>
  <c r="C11896" i="2"/>
  <c r="B11896" i="2"/>
  <c r="A11896" i="2"/>
  <c r="D11895" i="2"/>
  <c r="C11895" i="2"/>
  <c r="B11895" i="2"/>
  <c r="A11895" i="2"/>
  <c r="D11894" i="2"/>
  <c r="C11894" i="2"/>
  <c r="B11894" i="2"/>
  <c r="A11894" i="2"/>
  <c r="D11893" i="2"/>
  <c r="C11893" i="2"/>
  <c r="B11893" i="2"/>
  <c r="A11893" i="2"/>
  <c r="D11892" i="2"/>
  <c r="C11892" i="2"/>
  <c r="B11892" i="2"/>
  <c r="A11892" i="2"/>
  <c r="D11891" i="2"/>
  <c r="C11891" i="2"/>
  <c r="B11891" i="2"/>
  <c r="A11891" i="2"/>
  <c r="D11890" i="2"/>
  <c r="C11890" i="2"/>
  <c r="B11890" i="2"/>
  <c r="A11890" i="2"/>
  <c r="D11889" i="2"/>
  <c r="C11889" i="2"/>
  <c r="B11889" i="2"/>
  <c r="A11889" i="2"/>
  <c r="D11888" i="2"/>
  <c r="C11888" i="2"/>
  <c r="B11888" i="2"/>
  <c r="A11888" i="2"/>
  <c r="D11887" i="2"/>
  <c r="C11887" i="2"/>
  <c r="B11887" i="2"/>
  <c r="A11887" i="2"/>
  <c r="D11886" i="2"/>
  <c r="C11886" i="2"/>
  <c r="B11886" i="2"/>
  <c r="A11886" i="2"/>
  <c r="D11885" i="2"/>
  <c r="C11885" i="2"/>
  <c r="B11885" i="2"/>
  <c r="A11885" i="2"/>
  <c r="D11884" i="2"/>
  <c r="C11884" i="2"/>
  <c r="B11884" i="2"/>
  <c r="A11884" i="2"/>
  <c r="D11883" i="2"/>
  <c r="C11883" i="2"/>
  <c r="B11883" i="2"/>
  <c r="A11883" i="2"/>
  <c r="D11882" i="2"/>
  <c r="C11882" i="2"/>
  <c r="B11882" i="2"/>
  <c r="A11882" i="2"/>
  <c r="D11881" i="2"/>
  <c r="C11881" i="2"/>
  <c r="B11881" i="2"/>
  <c r="A11881" i="2"/>
  <c r="D11880" i="2"/>
  <c r="C11880" i="2"/>
  <c r="B11880" i="2"/>
  <c r="A11880" i="2"/>
  <c r="D11879" i="2"/>
  <c r="C11879" i="2"/>
  <c r="B11879" i="2"/>
  <c r="A11879" i="2"/>
  <c r="D11878" i="2"/>
  <c r="C11878" i="2"/>
  <c r="B11878" i="2"/>
  <c r="A11878" i="2"/>
  <c r="D11877" i="2"/>
  <c r="C11877" i="2"/>
  <c r="B11877" i="2"/>
  <c r="A11877" i="2"/>
  <c r="D11876" i="2"/>
  <c r="C11876" i="2"/>
  <c r="B11876" i="2"/>
  <c r="A11876" i="2"/>
  <c r="D11875" i="2"/>
  <c r="C11875" i="2"/>
  <c r="B11875" i="2"/>
  <c r="A11875" i="2"/>
  <c r="D11874" i="2"/>
  <c r="C11874" i="2"/>
  <c r="B11874" i="2"/>
  <c r="A11874" i="2"/>
  <c r="D11873" i="2"/>
  <c r="C11873" i="2"/>
  <c r="B11873" i="2"/>
  <c r="A11873" i="2"/>
  <c r="D11872" i="2"/>
  <c r="C11872" i="2"/>
  <c r="B11872" i="2"/>
  <c r="A11872" i="2"/>
  <c r="D11871" i="2"/>
  <c r="C11871" i="2"/>
  <c r="B11871" i="2"/>
  <c r="A11871" i="2"/>
  <c r="D11870" i="2"/>
  <c r="C11870" i="2"/>
  <c r="B11870" i="2"/>
  <c r="A11870" i="2"/>
  <c r="D11869" i="2"/>
  <c r="C11869" i="2"/>
  <c r="B11869" i="2"/>
  <c r="A11869" i="2"/>
  <c r="D11868" i="2"/>
  <c r="C11868" i="2"/>
  <c r="B11868" i="2"/>
  <c r="A11868" i="2"/>
  <c r="D11867" i="2"/>
  <c r="C11867" i="2"/>
  <c r="B11867" i="2"/>
  <c r="A11867" i="2"/>
  <c r="D11866" i="2"/>
  <c r="C11866" i="2"/>
  <c r="B11866" i="2"/>
  <c r="A11866" i="2"/>
  <c r="D11865" i="2"/>
  <c r="C11865" i="2"/>
  <c r="B11865" i="2"/>
  <c r="A11865" i="2"/>
  <c r="D11864" i="2"/>
  <c r="C11864" i="2"/>
  <c r="B11864" i="2"/>
  <c r="A11864" i="2"/>
  <c r="D11863" i="2"/>
  <c r="C11863" i="2"/>
  <c r="B11863" i="2"/>
  <c r="A11863" i="2"/>
  <c r="D11862" i="2"/>
  <c r="C11862" i="2"/>
  <c r="B11862" i="2"/>
  <c r="A11862" i="2"/>
  <c r="D11861" i="2"/>
  <c r="C11861" i="2"/>
  <c r="B11861" i="2"/>
  <c r="A11861" i="2"/>
  <c r="D11860" i="2"/>
  <c r="C11860" i="2"/>
  <c r="B11860" i="2"/>
  <c r="A11860" i="2"/>
  <c r="D11859" i="2"/>
  <c r="C11859" i="2"/>
  <c r="B11859" i="2"/>
  <c r="A11859" i="2"/>
  <c r="D11858" i="2"/>
  <c r="C11858" i="2"/>
  <c r="B11858" i="2"/>
  <c r="A11858" i="2"/>
  <c r="D11857" i="2"/>
  <c r="C11857" i="2"/>
  <c r="B11857" i="2"/>
  <c r="A11857" i="2"/>
  <c r="D11856" i="2"/>
  <c r="C11856" i="2"/>
  <c r="B11856" i="2"/>
  <c r="A11856" i="2"/>
  <c r="D11855" i="2"/>
  <c r="C11855" i="2"/>
  <c r="B11855" i="2"/>
  <c r="A11855" i="2"/>
  <c r="D11854" i="2"/>
  <c r="C11854" i="2"/>
  <c r="B11854" i="2"/>
  <c r="A11854" i="2"/>
  <c r="D11853" i="2"/>
  <c r="C11853" i="2"/>
  <c r="B11853" i="2"/>
  <c r="A11853" i="2"/>
  <c r="D11852" i="2"/>
  <c r="C11852" i="2"/>
  <c r="B11852" i="2"/>
  <c r="A11852" i="2"/>
  <c r="D11851" i="2"/>
  <c r="C11851" i="2"/>
  <c r="B11851" i="2"/>
  <c r="A11851" i="2"/>
  <c r="D11850" i="2"/>
  <c r="C11850" i="2"/>
  <c r="B11850" i="2"/>
  <c r="A11850" i="2"/>
  <c r="D11849" i="2"/>
  <c r="C11849" i="2"/>
  <c r="B11849" i="2"/>
  <c r="A11849" i="2"/>
  <c r="D11848" i="2"/>
  <c r="C11848" i="2"/>
  <c r="B11848" i="2"/>
  <c r="A11848" i="2"/>
  <c r="D11847" i="2"/>
  <c r="C11847" i="2"/>
  <c r="B11847" i="2"/>
  <c r="A11847" i="2"/>
  <c r="D11846" i="2"/>
  <c r="C11846" i="2"/>
  <c r="B11846" i="2"/>
  <c r="A11846" i="2"/>
  <c r="D11845" i="2"/>
  <c r="C11845" i="2"/>
  <c r="B11845" i="2"/>
  <c r="A11845" i="2"/>
  <c r="D11844" i="2"/>
  <c r="C11844" i="2"/>
  <c r="B11844" i="2"/>
  <c r="A11844" i="2"/>
  <c r="D11843" i="2"/>
  <c r="C11843" i="2"/>
  <c r="B11843" i="2"/>
  <c r="A11843" i="2"/>
  <c r="D11842" i="2"/>
  <c r="C11842" i="2"/>
  <c r="B11842" i="2"/>
  <c r="A11842" i="2"/>
  <c r="D11841" i="2"/>
  <c r="C11841" i="2"/>
  <c r="B11841" i="2"/>
  <c r="A11841" i="2"/>
  <c r="D11840" i="2"/>
  <c r="C11840" i="2"/>
  <c r="B11840" i="2"/>
  <c r="A11840" i="2"/>
  <c r="D11839" i="2"/>
  <c r="C11839" i="2"/>
  <c r="B11839" i="2"/>
  <c r="A11839" i="2"/>
  <c r="D11838" i="2"/>
  <c r="C11838" i="2"/>
  <c r="B11838" i="2"/>
  <c r="A11838" i="2"/>
  <c r="D11837" i="2"/>
  <c r="C11837" i="2"/>
  <c r="B11837" i="2"/>
  <c r="A11837" i="2"/>
  <c r="D11836" i="2"/>
  <c r="C11836" i="2"/>
  <c r="B11836" i="2"/>
  <c r="A11836" i="2"/>
  <c r="D11835" i="2"/>
  <c r="C11835" i="2"/>
  <c r="B11835" i="2"/>
  <c r="A11835" i="2"/>
  <c r="D11834" i="2"/>
  <c r="C11834" i="2"/>
  <c r="B11834" i="2"/>
  <c r="A11834" i="2"/>
  <c r="D11833" i="2"/>
  <c r="C11833" i="2"/>
  <c r="B11833" i="2"/>
  <c r="A11833" i="2"/>
  <c r="D11832" i="2"/>
  <c r="C11832" i="2"/>
  <c r="B11832" i="2"/>
  <c r="A11832" i="2"/>
  <c r="D11831" i="2"/>
  <c r="C11831" i="2"/>
  <c r="B11831" i="2"/>
  <c r="A11831" i="2"/>
  <c r="D11830" i="2"/>
  <c r="C11830" i="2"/>
  <c r="B11830" i="2"/>
  <c r="A11830" i="2"/>
  <c r="D11829" i="2"/>
  <c r="C11829" i="2"/>
  <c r="B11829" i="2"/>
  <c r="A11829" i="2"/>
  <c r="D11828" i="2"/>
  <c r="C11828" i="2"/>
  <c r="B11828" i="2"/>
  <c r="A11828" i="2"/>
  <c r="D11827" i="2"/>
  <c r="C11827" i="2"/>
  <c r="B11827" i="2"/>
  <c r="A11827" i="2"/>
  <c r="D11826" i="2"/>
  <c r="C11826" i="2"/>
  <c r="B11826" i="2"/>
  <c r="A11826" i="2"/>
  <c r="D11825" i="2"/>
  <c r="C11825" i="2"/>
  <c r="B11825" i="2"/>
  <c r="A11825" i="2"/>
  <c r="D11824" i="2"/>
  <c r="C11824" i="2"/>
  <c r="B11824" i="2"/>
  <c r="A11824" i="2"/>
  <c r="D11823" i="2"/>
  <c r="C11823" i="2"/>
  <c r="B11823" i="2"/>
  <c r="A11823" i="2"/>
  <c r="D11822" i="2"/>
  <c r="C11822" i="2"/>
  <c r="B11822" i="2"/>
  <c r="A11822" i="2"/>
  <c r="D11821" i="2"/>
  <c r="C11821" i="2"/>
  <c r="B11821" i="2"/>
  <c r="A11821" i="2"/>
  <c r="D11820" i="2"/>
  <c r="C11820" i="2"/>
  <c r="B11820" i="2"/>
  <c r="A11820" i="2"/>
  <c r="D11819" i="2"/>
  <c r="C11819" i="2"/>
  <c r="B11819" i="2"/>
  <c r="A11819" i="2"/>
  <c r="D11818" i="2"/>
  <c r="C11818" i="2"/>
  <c r="B11818" i="2"/>
  <c r="A11818" i="2"/>
  <c r="D11817" i="2"/>
  <c r="C11817" i="2"/>
  <c r="B11817" i="2"/>
  <c r="A11817" i="2"/>
  <c r="D11816" i="2"/>
  <c r="C11816" i="2"/>
  <c r="B11816" i="2"/>
  <c r="A11816" i="2"/>
  <c r="D11815" i="2"/>
  <c r="C11815" i="2"/>
  <c r="B11815" i="2"/>
  <c r="A11815" i="2"/>
  <c r="D11814" i="2"/>
  <c r="C11814" i="2"/>
  <c r="B11814" i="2"/>
  <c r="A11814" i="2"/>
  <c r="D11813" i="2"/>
  <c r="C11813" i="2"/>
  <c r="B11813" i="2"/>
  <c r="A11813" i="2"/>
  <c r="D11812" i="2"/>
  <c r="C11812" i="2"/>
  <c r="B11812" i="2"/>
  <c r="A11812" i="2"/>
  <c r="D11811" i="2"/>
  <c r="C11811" i="2"/>
  <c r="B11811" i="2"/>
  <c r="A11811" i="2"/>
  <c r="D11810" i="2"/>
  <c r="C11810" i="2"/>
  <c r="B11810" i="2"/>
  <c r="A11810" i="2"/>
  <c r="D11809" i="2"/>
  <c r="C11809" i="2"/>
  <c r="B11809" i="2"/>
  <c r="A11809" i="2"/>
  <c r="D11808" i="2"/>
  <c r="C11808" i="2"/>
  <c r="B11808" i="2"/>
  <c r="A11808" i="2"/>
  <c r="D11807" i="2"/>
  <c r="C11807" i="2"/>
  <c r="B11807" i="2"/>
  <c r="A11807" i="2"/>
  <c r="D11806" i="2"/>
  <c r="C11806" i="2"/>
  <c r="B11806" i="2"/>
  <c r="A11806" i="2"/>
  <c r="D11805" i="2"/>
  <c r="C11805" i="2"/>
  <c r="B11805" i="2"/>
  <c r="A11805" i="2"/>
  <c r="D11804" i="2"/>
  <c r="C11804" i="2"/>
  <c r="B11804" i="2"/>
  <c r="A11804" i="2"/>
  <c r="D11803" i="2"/>
  <c r="C11803" i="2"/>
  <c r="B11803" i="2"/>
  <c r="A11803" i="2"/>
  <c r="D11802" i="2"/>
  <c r="C11802" i="2"/>
  <c r="B11802" i="2"/>
  <c r="A11802" i="2"/>
  <c r="D11801" i="2"/>
  <c r="C11801" i="2"/>
  <c r="B11801" i="2"/>
  <c r="A11801" i="2"/>
  <c r="D11800" i="2"/>
  <c r="C11800" i="2"/>
  <c r="B11800" i="2"/>
  <c r="A11800" i="2"/>
  <c r="D11799" i="2"/>
  <c r="C11799" i="2"/>
  <c r="B11799" i="2"/>
  <c r="A11799" i="2"/>
  <c r="D11798" i="2"/>
  <c r="C11798" i="2"/>
  <c r="B11798" i="2"/>
  <c r="A11798" i="2"/>
  <c r="D11797" i="2"/>
  <c r="C11797" i="2"/>
  <c r="B11797" i="2"/>
  <c r="A11797" i="2"/>
  <c r="D11796" i="2"/>
  <c r="C11796" i="2"/>
  <c r="B11796" i="2"/>
  <c r="A11796" i="2"/>
  <c r="D11795" i="2"/>
  <c r="C11795" i="2"/>
  <c r="B11795" i="2"/>
  <c r="A11795" i="2"/>
  <c r="D11794" i="2"/>
  <c r="C11794" i="2"/>
  <c r="B11794" i="2"/>
  <c r="A11794" i="2"/>
  <c r="D11793" i="2"/>
  <c r="C11793" i="2"/>
  <c r="B11793" i="2"/>
  <c r="A11793" i="2"/>
  <c r="D11792" i="2"/>
  <c r="C11792" i="2"/>
  <c r="B11792" i="2"/>
  <c r="A11792" i="2"/>
  <c r="D11791" i="2"/>
  <c r="C11791" i="2"/>
  <c r="B11791" i="2"/>
  <c r="A11791" i="2"/>
  <c r="D11790" i="2"/>
  <c r="C11790" i="2"/>
  <c r="B11790" i="2"/>
  <c r="A11790" i="2"/>
  <c r="D11789" i="2"/>
  <c r="C11789" i="2"/>
  <c r="B11789" i="2"/>
  <c r="A11789" i="2"/>
  <c r="D11788" i="2"/>
  <c r="C11788" i="2"/>
  <c r="B11788" i="2"/>
  <c r="A11788" i="2"/>
  <c r="D11787" i="2"/>
  <c r="C11787" i="2"/>
  <c r="B11787" i="2"/>
  <c r="A11787" i="2"/>
  <c r="D11786" i="2"/>
  <c r="C11786" i="2"/>
  <c r="B11786" i="2"/>
  <c r="A11786" i="2"/>
  <c r="D11785" i="2"/>
  <c r="C11785" i="2"/>
  <c r="B11785" i="2"/>
  <c r="A11785" i="2"/>
  <c r="D11784" i="2"/>
  <c r="C11784" i="2"/>
  <c r="B11784" i="2"/>
  <c r="A11784" i="2"/>
  <c r="D11783" i="2"/>
  <c r="C11783" i="2"/>
  <c r="B11783" i="2"/>
  <c r="A11783" i="2"/>
  <c r="D11782" i="2"/>
  <c r="C11782" i="2"/>
  <c r="B11782" i="2"/>
  <c r="A11782" i="2"/>
  <c r="D11781" i="2"/>
  <c r="C11781" i="2"/>
  <c r="B11781" i="2"/>
  <c r="A11781" i="2"/>
  <c r="D11780" i="2"/>
  <c r="C11780" i="2"/>
  <c r="B11780" i="2"/>
  <c r="A11780" i="2"/>
  <c r="D11779" i="2"/>
  <c r="C11779" i="2"/>
  <c r="B11779" i="2"/>
  <c r="A11779" i="2"/>
  <c r="D11778" i="2"/>
  <c r="C11778" i="2"/>
  <c r="B11778" i="2"/>
  <c r="A11778" i="2"/>
  <c r="D11777" i="2"/>
  <c r="C11777" i="2"/>
  <c r="B11777" i="2"/>
  <c r="A11777" i="2"/>
  <c r="D11776" i="2"/>
  <c r="C11776" i="2"/>
  <c r="B11776" i="2"/>
  <c r="A11776" i="2"/>
  <c r="D11775" i="2"/>
  <c r="C11775" i="2"/>
  <c r="B11775" i="2"/>
  <c r="A11775" i="2"/>
  <c r="D11774" i="2"/>
  <c r="C11774" i="2"/>
  <c r="B11774" i="2"/>
  <c r="A11774" i="2"/>
  <c r="D11773" i="2"/>
  <c r="C11773" i="2"/>
  <c r="B11773" i="2"/>
  <c r="A11773" i="2"/>
  <c r="D11772" i="2"/>
  <c r="C11772" i="2"/>
  <c r="B11772" i="2"/>
  <c r="A11772" i="2"/>
  <c r="D11771" i="2"/>
  <c r="C11771" i="2"/>
  <c r="B11771" i="2"/>
  <c r="A11771" i="2"/>
  <c r="D11770" i="2"/>
  <c r="C11770" i="2"/>
  <c r="B11770" i="2"/>
  <c r="A11770" i="2"/>
  <c r="D11769" i="2"/>
  <c r="C11769" i="2"/>
  <c r="B11769" i="2"/>
  <c r="A11769" i="2"/>
  <c r="D11768" i="2"/>
  <c r="C11768" i="2"/>
  <c r="B11768" i="2"/>
  <c r="A11768" i="2"/>
  <c r="D11767" i="2"/>
  <c r="C11767" i="2"/>
  <c r="B11767" i="2"/>
  <c r="A11767" i="2"/>
  <c r="D11766" i="2"/>
  <c r="C11766" i="2"/>
  <c r="B11766" i="2"/>
  <c r="A11766" i="2"/>
  <c r="D11765" i="2"/>
  <c r="C11765" i="2"/>
  <c r="B11765" i="2"/>
  <c r="A11765" i="2"/>
  <c r="D11764" i="2"/>
  <c r="C11764" i="2"/>
  <c r="B11764" i="2"/>
  <c r="A11764" i="2"/>
  <c r="D11763" i="2"/>
  <c r="C11763" i="2"/>
  <c r="B11763" i="2"/>
  <c r="A11763" i="2"/>
  <c r="D11762" i="2"/>
  <c r="C11762" i="2"/>
  <c r="B11762" i="2"/>
  <c r="A11762" i="2"/>
  <c r="D11761" i="2"/>
  <c r="C11761" i="2"/>
  <c r="B11761" i="2"/>
  <c r="A11761" i="2"/>
  <c r="D11760" i="2"/>
  <c r="C11760" i="2"/>
  <c r="B11760" i="2"/>
  <c r="A11760" i="2"/>
  <c r="D11759" i="2"/>
  <c r="C11759" i="2"/>
  <c r="B11759" i="2"/>
  <c r="A11759" i="2"/>
  <c r="D11758" i="2"/>
  <c r="C11758" i="2"/>
  <c r="B11758" i="2"/>
  <c r="A11758" i="2"/>
  <c r="D11757" i="2"/>
  <c r="C11757" i="2"/>
  <c r="B11757" i="2"/>
  <c r="A11757" i="2"/>
  <c r="D11756" i="2"/>
  <c r="C11756" i="2"/>
  <c r="B11756" i="2"/>
  <c r="A11756" i="2"/>
  <c r="D11755" i="2"/>
  <c r="C11755" i="2"/>
  <c r="B11755" i="2"/>
  <c r="A11755" i="2"/>
  <c r="D11754" i="2"/>
  <c r="C11754" i="2"/>
  <c r="B11754" i="2"/>
  <c r="A11754" i="2"/>
  <c r="D11753" i="2"/>
  <c r="C11753" i="2"/>
  <c r="B11753" i="2"/>
  <c r="A11753" i="2"/>
  <c r="D11752" i="2"/>
  <c r="C11752" i="2"/>
  <c r="B11752" i="2"/>
  <c r="A11752" i="2"/>
  <c r="D11751" i="2"/>
  <c r="C11751" i="2"/>
  <c r="B11751" i="2"/>
  <c r="A11751" i="2"/>
  <c r="D11750" i="2"/>
  <c r="C11750" i="2"/>
  <c r="B11750" i="2"/>
  <c r="A11750" i="2"/>
  <c r="D11749" i="2"/>
  <c r="C11749" i="2"/>
  <c r="B11749" i="2"/>
  <c r="A11749" i="2"/>
  <c r="D11748" i="2"/>
  <c r="C11748" i="2"/>
  <c r="B11748" i="2"/>
  <c r="A11748" i="2"/>
  <c r="D11747" i="2"/>
  <c r="C11747" i="2"/>
  <c r="B11747" i="2"/>
  <c r="A11747" i="2"/>
  <c r="D11746" i="2"/>
  <c r="C11746" i="2"/>
  <c r="B11746" i="2"/>
  <c r="A11746" i="2"/>
  <c r="D11745" i="2"/>
  <c r="C11745" i="2"/>
  <c r="B11745" i="2"/>
  <c r="A11745" i="2"/>
  <c r="D11744" i="2"/>
  <c r="C11744" i="2"/>
  <c r="B11744" i="2"/>
  <c r="A11744" i="2"/>
  <c r="D11743" i="2"/>
  <c r="C11743" i="2"/>
  <c r="B11743" i="2"/>
  <c r="A11743" i="2"/>
  <c r="D11742" i="2"/>
  <c r="C11742" i="2"/>
  <c r="B11742" i="2"/>
  <c r="A11742" i="2"/>
  <c r="D11741" i="2"/>
  <c r="C11741" i="2"/>
  <c r="B11741" i="2"/>
  <c r="A11741" i="2"/>
  <c r="D11740" i="2"/>
  <c r="C11740" i="2"/>
  <c r="B11740" i="2"/>
  <c r="A11740" i="2"/>
  <c r="D11739" i="2"/>
  <c r="C11739" i="2"/>
  <c r="B11739" i="2"/>
  <c r="A11739" i="2"/>
  <c r="D11738" i="2"/>
  <c r="C11738" i="2"/>
  <c r="B11738" i="2"/>
  <c r="A11738" i="2"/>
  <c r="D11737" i="2"/>
  <c r="C11737" i="2"/>
  <c r="B11737" i="2"/>
  <c r="A11737" i="2"/>
  <c r="D11736" i="2"/>
  <c r="C11736" i="2"/>
  <c r="B11736" i="2"/>
  <c r="A11736" i="2"/>
  <c r="D11735" i="2"/>
  <c r="C11735" i="2"/>
  <c r="B11735" i="2"/>
  <c r="A11735" i="2"/>
  <c r="D11734" i="2"/>
  <c r="C11734" i="2"/>
  <c r="B11734" i="2"/>
  <c r="A11734" i="2"/>
  <c r="D11733" i="2"/>
  <c r="C11733" i="2"/>
  <c r="B11733" i="2"/>
  <c r="A11733" i="2"/>
  <c r="D11732" i="2"/>
  <c r="C11732" i="2"/>
  <c r="B11732" i="2"/>
  <c r="A11732" i="2"/>
  <c r="D11731" i="2"/>
  <c r="C11731" i="2"/>
  <c r="B11731" i="2"/>
  <c r="A11731" i="2"/>
  <c r="D11730" i="2"/>
  <c r="C11730" i="2"/>
  <c r="B11730" i="2"/>
  <c r="A11730" i="2"/>
  <c r="D11729" i="2"/>
  <c r="C11729" i="2"/>
  <c r="B11729" i="2"/>
  <c r="A11729" i="2"/>
  <c r="D11728" i="2"/>
  <c r="C11728" i="2"/>
  <c r="B11728" i="2"/>
  <c r="A11728" i="2"/>
  <c r="D11727" i="2"/>
  <c r="C11727" i="2"/>
  <c r="B11727" i="2"/>
  <c r="A11727" i="2"/>
  <c r="D11726" i="2"/>
  <c r="C11726" i="2"/>
  <c r="B11726" i="2"/>
  <c r="A11726" i="2"/>
  <c r="D11725" i="2"/>
  <c r="C11725" i="2"/>
  <c r="B11725" i="2"/>
  <c r="A11725" i="2"/>
  <c r="D11724" i="2"/>
  <c r="C11724" i="2"/>
  <c r="B11724" i="2"/>
  <c r="A11724" i="2"/>
  <c r="D11723" i="2"/>
  <c r="C11723" i="2"/>
  <c r="B11723" i="2"/>
  <c r="A11723" i="2"/>
  <c r="D11722" i="2"/>
  <c r="C11722" i="2"/>
  <c r="B11722" i="2"/>
  <c r="A11722" i="2"/>
  <c r="D11721" i="2"/>
  <c r="C11721" i="2"/>
  <c r="B11721" i="2"/>
  <c r="A11721" i="2"/>
  <c r="D11720" i="2"/>
  <c r="C11720" i="2"/>
  <c r="B11720" i="2"/>
  <c r="A11720" i="2"/>
  <c r="D11719" i="2"/>
  <c r="C11719" i="2"/>
  <c r="B11719" i="2"/>
  <c r="A11719" i="2"/>
  <c r="D11718" i="2"/>
  <c r="C11718" i="2"/>
  <c r="B11718" i="2"/>
  <c r="A11718" i="2"/>
  <c r="D11717" i="2"/>
  <c r="C11717" i="2"/>
  <c r="B11717" i="2"/>
  <c r="A11717" i="2"/>
  <c r="D11716" i="2"/>
  <c r="C11716" i="2"/>
  <c r="B11716" i="2"/>
  <c r="A11716" i="2"/>
  <c r="D11715" i="2"/>
  <c r="C11715" i="2"/>
  <c r="B11715" i="2"/>
  <c r="A11715" i="2"/>
  <c r="D11714" i="2"/>
  <c r="C11714" i="2"/>
  <c r="B11714" i="2"/>
  <c r="A11714" i="2"/>
  <c r="D11713" i="2"/>
  <c r="C11713" i="2"/>
  <c r="B11713" i="2"/>
  <c r="A11713" i="2"/>
  <c r="D11712" i="2"/>
  <c r="C11712" i="2"/>
  <c r="B11712" i="2"/>
  <c r="A11712" i="2"/>
  <c r="D11711" i="2"/>
  <c r="C11711" i="2"/>
  <c r="B11711" i="2"/>
  <c r="A11711" i="2"/>
  <c r="D11710" i="2"/>
  <c r="C11710" i="2"/>
  <c r="B11710" i="2"/>
  <c r="A11710" i="2"/>
  <c r="D11709" i="2"/>
  <c r="C11709" i="2"/>
  <c r="B11709" i="2"/>
  <c r="A11709" i="2"/>
  <c r="D11708" i="2"/>
  <c r="C11708" i="2"/>
  <c r="B11708" i="2"/>
  <c r="A11708" i="2"/>
  <c r="D11707" i="2"/>
  <c r="C11707" i="2"/>
  <c r="B11707" i="2"/>
  <c r="A11707" i="2"/>
  <c r="D11706" i="2"/>
  <c r="C11706" i="2"/>
  <c r="B11706" i="2"/>
  <c r="A11706" i="2"/>
  <c r="D11705" i="2"/>
  <c r="C11705" i="2"/>
  <c r="B11705" i="2"/>
  <c r="A11705" i="2"/>
  <c r="D11704" i="2"/>
  <c r="C11704" i="2"/>
  <c r="B11704" i="2"/>
  <c r="A11704" i="2"/>
  <c r="D11703" i="2"/>
  <c r="C11703" i="2"/>
  <c r="B11703" i="2"/>
  <c r="A11703" i="2"/>
  <c r="D11702" i="2"/>
  <c r="C11702" i="2"/>
  <c r="B11702" i="2"/>
  <c r="A11702" i="2"/>
  <c r="D11701" i="2"/>
  <c r="C11701" i="2"/>
  <c r="B11701" i="2"/>
  <c r="A11701" i="2"/>
  <c r="D11700" i="2"/>
  <c r="C11700" i="2"/>
  <c r="B11700" i="2"/>
  <c r="A11700" i="2"/>
  <c r="D11699" i="2"/>
  <c r="C11699" i="2"/>
  <c r="B11699" i="2"/>
  <c r="A11699" i="2"/>
  <c r="D11698" i="2"/>
  <c r="C11698" i="2"/>
  <c r="B11698" i="2"/>
  <c r="A11698" i="2"/>
  <c r="D11697" i="2"/>
  <c r="C11697" i="2"/>
  <c r="B11697" i="2"/>
  <c r="A11697" i="2"/>
  <c r="D11696" i="2"/>
  <c r="C11696" i="2"/>
  <c r="B11696" i="2"/>
  <c r="A11696" i="2"/>
  <c r="D11695" i="2"/>
  <c r="C11695" i="2"/>
  <c r="B11695" i="2"/>
  <c r="A11695" i="2"/>
  <c r="D11694" i="2"/>
  <c r="C11694" i="2"/>
  <c r="B11694" i="2"/>
  <c r="A11694" i="2"/>
  <c r="D11693" i="2"/>
  <c r="C11693" i="2"/>
  <c r="B11693" i="2"/>
  <c r="A11693" i="2"/>
  <c r="D11692" i="2"/>
  <c r="C11692" i="2"/>
  <c r="B11692" i="2"/>
  <c r="A11692" i="2"/>
  <c r="D11691" i="2"/>
  <c r="C11691" i="2"/>
  <c r="B11691" i="2"/>
  <c r="A11691" i="2"/>
  <c r="D11690" i="2"/>
  <c r="C11690" i="2"/>
  <c r="B11690" i="2"/>
  <c r="A11690" i="2"/>
  <c r="D11689" i="2"/>
  <c r="C11689" i="2"/>
  <c r="B11689" i="2"/>
  <c r="A11689" i="2"/>
  <c r="D11688" i="2"/>
  <c r="C11688" i="2"/>
  <c r="B11688" i="2"/>
  <c r="A11688" i="2"/>
  <c r="D11687" i="2"/>
  <c r="C11687" i="2"/>
  <c r="B11687" i="2"/>
  <c r="A11687" i="2"/>
  <c r="D11686" i="2"/>
  <c r="C11686" i="2"/>
  <c r="B11686" i="2"/>
  <c r="A11686" i="2"/>
  <c r="D11685" i="2"/>
  <c r="C11685" i="2"/>
  <c r="B11685" i="2"/>
  <c r="A11685" i="2"/>
  <c r="D11684" i="2"/>
  <c r="C11684" i="2"/>
  <c r="B11684" i="2"/>
  <c r="A11684" i="2"/>
  <c r="D11683" i="2"/>
  <c r="C11683" i="2"/>
  <c r="B11683" i="2"/>
  <c r="A11683" i="2"/>
  <c r="D11682" i="2"/>
  <c r="C11682" i="2"/>
  <c r="B11682" i="2"/>
  <c r="A11682" i="2"/>
  <c r="D11681" i="2"/>
  <c r="C11681" i="2"/>
  <c r="B11681" i="2"/>
  <c r="A11681" i="2"/>
  <c r="D11680" i="2"/>
  <c r="C11680" i="2"/>
  <c r="B11680" i="2"/>
  <c r="A11680" i="2"/>
  <c r="D11679" i="2"/>
  <c r="C11679" i="2"/>
  <c r="B11679" i="2"/>
  <c r="A11679" i="2"/>
  <c r="D11678" i="2"/>
  <c r="C11678" i="2"/>
  <c r="B11678" i="2"/>
  <c r="A11678" i="2"/>
  <c r="D11677" i="2"/>
  <c r="C11677" i="2"/>
  <c r="B11677" i="2"/>
  <c r="A11677" i="2"/>
  <c r="D11676" i="2"/>
  <c r="C11676" i="2"/>
  <c r="B11676" i="2"/>
  <c r="A11676" i="2"/>
  <c r="D11675" i="2"/>
  <c r="C11675" i="2"/>
  <c r="B11675" i="2"/>
  <c r="A11675" i="2"/>
  <c r="D11674" i="2"/>
  <c r="C11674" i="2"/>
  <c r="B11674" i="2"/>
  <c r="A11674" i="2"/>
  <c r="D11673" i="2"/>
  <c r="C11673" i="2"/>
  <c r="B11673" i="2"/>
  <c r="A11673" i="2"/>
  <c r="D11672" i="2"/>
  <c r="C11672" i="2"/>
  <c r="B11672" i="2"/>
  <c r="A11672" i="2"/>
  <c r="D11671" i="2"/>
  <c r="C11671" i="2"/>
  <c r="B11671" i="2"/>
  <c r="A11671" i="2"/>
  <c r="D11670" i="2"/>
  <c r="C11670" i="2"/>
  <c r="B11670" i="2"/>
  <c r="A11670" i="2"/>
  <c r="D11669" i="2"/>
  <c r="C11669" i="2"/>
  <c r="B11669" i="2"/>
  <c r="A11669" i="2"/>
  <c r="D11668" i="2"/>
  <c r="C11668" i="2"/>
  <c r="B11668" i="2"/>
  <c r="A11668" i="2"/>
  <c r="D11667" i="2"/>
  <c r="C11667" i="2"/>
  <c r="B11667" i="2"/>
  <c r="A11667" i="2"/>
  <c r="D11666" i="2"/>
  <c r="C11666" i="2"/>
  <c r="B11666" i="2"/>
  <c r="A11666" i="2"/>
  <c r="D11665" i="2"/>
  <c r="C11665" i="2"/>
  <c r="B11665" i="2"/>
  <c r="A11665" i="2"/>
  <c r="D11664" i="2"/>
  <c r="C11664" i="2"/>
  <c r="B11664" i="2"/>
  <c r="A11664" i="2"/>
  <c r="D11663" i="2"/>
  <c r="C11663" i="2"/>
  <c r="B11663" i="2"/>
  <c r="A11663" i="2"/>
  <c r="D11662" i="2"/>
  <c r="C11662" i="2"/>
  <c r="B11662" i="2"/>
  <c r="A11662" i="2"/>
  <c r="D11661" i="2"/>
  <c r="C11661" i="2"/>
  <c r="B11661" i="2"/>
  <c r="A11661" i="2"/>
  <c r="D11660" i="2"/>
  <c r="C11660" i="2"/>
  <c r="B11660" i="2"/>
  <c r="A11660" i="2"/>
  <c r="D11659" i="2"/>
  <c r="C11659" i="2"/>
  <c r="B11659" i="2"/>
  <c r="A11659" i="2"/>
  <c r="D11658" i="2"/>
  <c r="C11658" i="2"/>
  <c r="B11658" i="2"/>
  <c r="A11658" i="2"/>
  <c r="D11657" i="2"/>
  <c r="B11657" i="2"/>
  <c r="A11657" i="2"/>
  <c r="D11656" i="2"/>
  <c r="C11656" i="2"/>
  <c r="B11656" i="2"/>
  <c r="A11656" i="2"/>
  <c r="D11655" i="2"/>
  <c r="C11655" i="2"/>
  <c r="B11655" i="2"/>
  <c r="A11655" i="2"/>
  <c r="D11654" i="2"/>
  <c r="C11654" i="2"/>
  <c r="B11654" i="2"/>
  <c r="A11654" i="2"/>
  <c r="D11653" i="2"/>
  <c r="B11653" i="2"/>
  <c r="A11653" i="2"/>
  <c r="D11652" i="2"/>
  <c r="C11652" i="2"/>
  <c r="B11652" i="2"/>
  <c r="A11652" i="2"/>
  <c r="D11651" i="2"/>
  <c r="C11651" i="2"/>
  <c r="B11651" i="2"/>
  <c r="A11651" i="2"/>
  <c r="D11650" i="2"/>
  <c r="C11650" i="2"/>
  <c r="B11650" i="2"/>
  <c r="A11650" i="2"/>
  <c r="D11649" i="2"/>
  <c r="C11649" i="2"/>
  <c r="B11649" i="2"/>
  <c r="A11649" i="2"/>
  <c r="D11648" i="2"/>
  <c r="B11648" i="2"/>
  <c r="A11648" i="2"/>
  <c r="D11647" i="2"/>
  <c r="C11647" i="2"/>
  <c r="B11647" i="2"/>
  <c r="A11647" i="2"/>
  <c r="D11646" i="2"/>
  <c r="C11646" i="2"/>
  <c r="B11646" i="2"/>
  <c r="A11646" i="2"/>
  <c r="D11645" i="2"/>
  <c r="C11645" i="2"/>
  <c r="B11645" i="2"/>
  <c r="A11645" i="2"/>
  <c r="D11644" i="2"/>
  <c r="C11644" i="2"/>
  <c r="B11644" i="2"/>
  <c r="A11644" i="2"/>
  <c r="D11643" i="2"/>
  <c r="C11643" i="2"/>
  <c r="B11643" i="2"/>
  <c r="A11643" i="2"/>
  <c r="D11642" i="2"/>
  <c r="C11642" i="2"/>
  <c r="B11642" i="2"/>
  <c r="A11642" i="2"/>
  <c r="D11641" i="2"/>
  <c r="C11641" i="2"/>
  <c r="B11641" i="2"/>
  <c r="A11641" i="2"/>
  <c r="D11640" i="2"/>
  <c r="C11640" i="2"/>
  <c r="B11640" i="2"/>
  <c r="A11640" i="2"/>
  <c r="D11639" i="2"/>
  <c r="C11639" i="2"/>
  <c r="B11639" i="2"/>
  <c r="A11639" i="2"/>
  <c r="D11638" i="2"/>
  <c r="B11638" i="2"/>
  <c r="A11638" i="2"/>
  <c r="D11637" i="2"/>
  <c r="C11637" i="2"/>
  <c r="B11637" i="2"/>
  <c r="A11637" i="2"/>
  <c r="D11636" i="2"/>
  <c r="C11636" i="2"/>
  <c r="B11636" i="2"/>
  <c r="A11636" i="2"/>
  <c r="D11635" i="2"/>
  <c r="C11635" i="2"/>
  <c r="B11635" i="2"/>
  <c r="A11635" i="2"/>
  <c r="D11634" i="2"/>
  <c r="C11634" i="2"/>
  <c r="B11634" i="2"/>
  <c r="A11634" i="2"/>
  <c r="D11633" i="2"/>
  <c r="C11633" i="2"/>
  <c r="B11633" i="2"/>
  <c r="A11633" i="2"/>
  <c r="D11632" i="2"/>
  <c r="B11632" i="2"/>
  <c r="A11632" i="2"/>
  <c r="D11631" i="2"/>
  <c r="C11631" i="2"/>
  <c r="B11631" i="2"/>
  <c r="A11631" i="2"/>
  <c r="D11630" i="2"/>
  <c r="B11630" i="2"/>
  <c r="A11630" i="2"/>
  <c r="D11629" i="2"/>
  <c r="C11629" i="2"/>
  <c r="B11629" i="2"/>
  <c r="A11629" i="2"/>
  <c r="D11628" i="2"/>
  <c r="C11628" i="2"/>
  <c r="B11628" i="2"/>
  <c r="A11628" i="2"/>
  <c r="D11627" i="2"/>
  <c r="C11627" i="2"/>
  <c r="B11627" i="2"/>
  <c r="A11627" i="2"/>
  <c r="D11626" i="2"/>
  <c r="C11626" i="2"/>
  <c r="B11626" i="2"/>
  <c r="A11626" i="2"/>
  <c r="D11625" i="2"/>
  <c r="C11625" i="2"/>
  <c r="B11625" i="2"/>
  <c r="A11625" i="2"/>
  <c r="D11624" i="2"/>
  <c r="B11624" i="2"/>
  <c r="A11624" i="2"/>
  <c r="D11623" i="2"/>
  <c r="B11623" i="2"/>
  <c r="A11623" i="2"/>
  <c r="D11622" i="2"/>
  <c r="B11622" i="2"/>
  <c r="A11622" i="2"/>
  <c r="D11621" i="2"/>
  <c r="B11621" i="2"/>
  <c r="A11621" i="2"/>
  <c r="D11620" i="2"/>
  <c r="B11620" i="2"/>
  <c r="A11620" i="2"/>
  <c r="D11619" i="2"/>
  <c r="C11619" i="2"/>
  <c r="B11619" i="2"/>
  <c r="A11619" i="2"/>
  <c r="D11618" i="2"/>
  <c r="B11618" i="2"/>
  <c r="A11618" i="2"/>
  <c r="D11617" i="2"/>
  <c r="C11617" i="2"/>
  <c r="B11617" i="2"/>
  <c r="A11617" i="2"/>
  <c r="D11616" i="2"/>
  <c r="B11616" i="2"/>
  <c r="A11616" i="2"/>
  <c r="D11615" i="2"/>
  <c r="B11615" i="2"/>
  <c r="A11615" i="2"/>
  <c r="D11614" i="2"/>
  <c r="C11614" i="2"/>
  <c r="B11614" i="2"/>
  <c r="A11614" i="2"/>
  <c r="D11613" i="2"/>
  <c r="C11613" i="2"/>
  <c r="B11613" i="2"/>
  <c r="A11613" i="2"/>
  <c r="D11612" i="2"/>
  <c r="C11612" i="2"/>
  <c r="B11612" i="2"/>
  <c r="A11612" i="2"/>
  <c r="D11611" i="2"/>
  <c r="C11611" i="2"/>
  <c r="B11611" i="2"/>
  <c r="A11611" i="2"/>
  <c r="D11610" i="2"/>
  <c r="C11610" i="2"/>
  <c r="B11610" i="2"/>
  <c r="A11610" i="2"/>
  <c r="D11609" i="2"/>
  <c r="C11609" i="2"/>
  <c r="B11609" i="2"/>
  <c r="A11609" i="2"/>
  <c r="D11608" i="2"/>
  <c r="C11608" i="2"/>
  <c r="B11608" i="2"/>
  <c r="A11608" i="2"/>
  <c r="D11607" i="2"/>
  <c r="C11607" i="2"/>
  <c r="B11607" i="2"/>
  <c r="A11607" i="2"/>
  <c r="D11606" i="2"/>
  <c r="C11606" i="2"/>
  <c r="B11606" i="2"/>
  <c r="A11606" i="2"/>
  <c r="D11605" i="2"/>
  <c r="B11605" i="2"/>
  <c r="A11605" i="2"/>
  <c r="D11604" i="2"/>
  <c r="C11604" i="2"/>
  <c r="B11604" i="2"/>
  <c r="A11604" i="2"/>
  <c r="D11603" i="2"/>
  <c r="C11603" i="2"/>
  <c r="B11603" i="2"/>
  <c r="A11603" i="2"/>
  <c r="D11602" i="2"/>
  <c r="C11602" i="2"/>
  <c r="B11602" i="2"/>
  <c r="A11602" i="2"/>
  <c r="D11601" i="2"/>
  <c r="C11601" i="2"/>
  <c r="B11601" i="2"/>
  <c r="A11601" i="2"/>
  <c r="D11600" i="2"/>
  <c r="C11600" i="2"/>
  <c r="B11600" i="2"/>
  <c r="A11600" i="2"/>
  <c r="D11599" i="2"/>
  <c r="B11599" i="2"/>
  <c r="A11599" i="2"/>
  <c r="D11598" i="2"/>
  <c r="B11598" i="2"/>
  <c r="A11598" i="2"/>
  <c r="D11597" i="2"/>
  <c r="C11597" i="2"/>
  <c r="B11597" i="2"/>
  <c r="A11597" i="2"/>
  <c r="D11596" i="2"/>
  <c r="C11596" i="2"/>
  <c r="B11596" i="2"/>
  <c r="A11596" i="2"/>
  <c r="D11595" i="2"/>
  <c r="C11595" i="2"/>
  <c r="B11595" i="2"/>
  <c r="A11595" i="2"/>
  <c r="D11594" i="2"/>
  <c r="C11594" i="2"/>
  <c r="B11594" i="2"/>
  <c r="A11594" i="2"/>
  <c r="D11593" i="2"/>
  <c r="B11593" i="2"/>
  <c r="A11593" i="2"/>
  <c r="D11592" i="2"/>
  <c r="C11592" i="2"/>
  <c r="B11592" i="2"/>
  <c r="A11592" i="2"/>
  <c r="D11591" i="2"/>
  <c r="B11591" i="2"/>
  <c r="A11591" i="2"/>
  <c r="D11590" i="2"/>
  <c r="C11590" i="2"/>
  <c r="B11590" i="2"/>
  <c r="A11590" i="2"/>
  <c r="D11589" i="2"/>
  <c r="C11589" i="2"/>
  <c r="B11589" i="2"/>
  <c r="A11589" i="2"/>
  <c r="D11588" i="2"/>
  <c r="B11588" i="2"/>
  <c r="A11588" i="2"/>
  <c r="D11587" i="2"/>
  <c r="B11587" i="2"/>
  <c r="A11587" i="2"/>
  <c r="D11586" i="2"/>
  <c r="C11586" i="2"/>
  <c r="B11586" i="2"/>
  <c r="A11586" i="2"/>
  <c r="D11585" i="2"/>
  <c r="C11585" i="2"/>
  <c r="B11585" i="2"/>
  <c r="A11585" i="2"/>
  <c r="D11584" i="2"/>
  <c r="B11584" i="2"/>
  <c r="A11584" i="2"/>
  <c r="D11583" i="2"/>
  <c r="C11583" i="2"/>
  <c r="B11583" i="2"/>
  <c r="A11583" i="2"/>
  <c r="D11582" i="2"/>
  <c r="C11582" i="2"/>
  <c r="B11582" i="2"/>
  <c r="A11582" i="2"/>
  <c r="D11581" i="2"/>
  <c r="C11581" i="2"/>
  <c r="B11581" i="2"/>
  <c r="A11581" i="2"/>
  <c r="D11580" i="2"/>
  <c r="C11580" i="2"/>
  <c r="B11580" i="2"/>
  <c r="A11580" i="2"/>
  <c r="D11579" i="2"/>
  <c r="C11579" i="2"/>
  <c r="B11579" i="2"/>
  <c r="A11579" i="2"/>
  <c r="D11578" i="2"/>
  <c r="C11578" i="2"/>
  <c r="B11578" i="2"/>
  <c r="A11578" i="2"/>
  <c r="D11577" i="2"/>
  <c r="C11577" i="2"/>
  <c r="B11577" i="2"/>
  <c r="A11577" i="2"/>
  <c r="D11576" i="2"/>
  <c r="C11576" i="2"/>
  <c r="B11576" i="2"/>
  <c r="A11576" i="2"/>
  <c r="D11575" i="2"/>
  <c r="C11575" i="2"/>
  <c r="B11575" i="2"/>
  <c r="A11575" i="2"/>
  <c r="D11574" i="2"/>
  <c r="C11574" i="2"/>
  <c r="B11574" i="2"/>
  <c r="A11574" i="2"/>
  <c r="D11573" i="2"/>
  <c r="C11573" i="2"/>
  <c r="B11573" i="2"/>
  <c r="A11573" i="2"/>
  <c r="D11572" i="2"/>
  <c r="C11572" i="2"/>
  <c r="B11572" i="2"/>
  <c r="A11572" i="2"/>
  <c r="D11571" i="2"/>
  <c r="C11571" i="2"/>
  <c r="B11571" i="2"/>
  <c r="A11571" i="2"/>
  <c r="D11570" i="2"/>
  <c r="C11570" i="2"/>
  <c r="B11570" i="2"/>
  <c r="A11570" i="2"/>
  <c r="D11569" i="2"/>
  <c r="C11569" i="2"/>
  <c r="B11569" i="2"/>
  <c r="A11569" i="2"/>
  <c r="D11568" i="2"/>
  <c r="C11568" i="2"/>
  <c r="B11568" i="2"/>
  <c r="A11568" i="2"/>
  <c r="D11567" i="2"/>
  <c r="C11567" i="2"/>
  <c r="B11567" i="2"/>
  <c r="A11567" i="2"/>
  <c r="D11566" i="2"/>
  <c r="C11566" i="2"/>
  <c r="B11566" i="2"/>
  <c r="A11566" i="2"/>
  <c r="D11565" i="2"/>
  <c r="C11565" i="2"/>
  <c r="B11565" i="2"/>
  <c r="A11565" i="2"/>
  <c r="D11564" i="2"/>
  <c r="C11564" i="2"/>
  <c r="B11564" i="2"/>
  <c r="A11564" i="2"/>
  <c r="D11563" i="2"/>
  <c r="C11563" i="2"/>
  <c r="B11563" i="2"/>
  <c r="A11563" i="2"/>
  <c r="D11562" i="2"/>
  <c r="C11562" i="2"/>
  <c r="B11562" i="2"/>
  <c r="A11562" i="2"/>
  <c r="D11561" i="2"/>
  <c r="C11561" i="2"/>
  <c r="B11561" i="2"/>
  <c r="A11561" i="2"/>
  <c r="D11560" i="2"/>
  <c r="C11560" i="2"/>
  <c r="B11560" i="2"/>
  <c r="A11560" i="2"/>
  <c r="D11559" i="2"/>
  <c r="C11559" i="2"/>
  <c r="B11559" i="2"/>
  <c r="A11559" i="2"/>
  <c r="D11558" i="2"/>
  <c r="C11558" i="2"/>
  <c r="B11558" i="2"/>
  <c r="A11558" i="2"/>
  <c r="D11557" i="2"/>
  <c r="C11557" i="2"/>
  <c r="B11557" i="2"/>
  <c r="A11557" i="2"/>
  <c r="D11556" i="2"/>
  <c r="C11556" i="2"/>
  <c r="B11556" i="2"/>
  <c r="A11556" i="2"/>
  <c r="D11555" i="2"/>
  <c r="C11555" i="2"/>
  <c r="B11555" i="2"/>
  <c r="A11555" i="2"/>
  <c r="D11554" i="2"/>
  <c r="C11554" i="2"/>
  <c r="B11554" i="2"/>
  <c r="A11554" i="2"/>
  <c r="D11553" i="2"/>
  <c r="C11553" i="2"/>
  <c r="B11553" i="2"/>
  <c r="A11553" i="2"/>
  <c r="D11552" i="2"/>
  <c r="C11552" i="2"/>
  <c r="B11552" i="2"/>
  <c r="A11552" i="2"/>
  <c r="D11551" i="2"/>
  <c r="C11551" i="2"/>
  <c r="B11551" i="2"/>
  <c r="A11551" i="2"/>
  <c r="D11550" i="2"/>
  <c r="C11550" i="2"/>
  <c r="B11550" i="2"/>
  <c r="A11550" i="2"/>
  <c r="D11549" i="2"/>
  <c r="C11549" i="2"/>
  <c r="B11549" i="2"/>
  <c r="A11549" i="2"/>
  <c r="D11548" i="2"/>
  <c r="C11548" i="2"/>
  <c r="B11548" i="2"/>
  <c r="A11548" i="2"/>
  <c r="D11547" i="2"/>
  <c r="C11547" i="2"/>
  <c r="B11547" i="2"/>
  <c r="A11547" i="2"/>
  <c r="D11546" i="2"/>
  <c r="C11546" i="2"/>
  <c r="B11546" i="2"/>
  <c r="A11546" i="2"/>
  <c r="D11545" i="2"/>
  <c r="C11545" i="2"/>
  <c r="B11545" i="2"/>
  <c r="A11545" i="2"/>
  <c r="D11544" i="2"/>
  <c r="C11544" i="2"/>
  <c r="B11544" i="2"/>
  <c r="A11544" i="2"/>
  <c r="D11543" i="2"/>
  <c r="C11543" i="2"/>
  <c r="B11543" i="2"/>
  <c r="A11543" i="2"/>
  <c r="D11542" i="2"/>
  <c r="C11542" i="2"/>
  <c r="B11542" i="2"/>
  <c r="A11542" i="2"/>
  <c r="D11541" i="2"/>
  <c r="C11541" i="2"/>
  <c r="B11541" i="2"/>
  <c r="A11541" i="2"/>
  <c r="D11540" i="2"/>
  <c r="C11540" i="2"/>
  <c r="B11540" i="2"/>
  <c r="A11540" i="2"/>
  <c r="D11539" i="2"/>
  <c r="C11539" i="2"/>
  <c r="B11539" i="2"/>
  <c r="A11539" i="2"/>
  <c r="D11538" i="2"/>
  <c r="C11538" i="2"/>
  <c r="B11538" i="2"/>
  <c r="A11538" i="2"/>
  <c r="D11537" i="2"/>
  <c r="B11537" i="2"/>
  <c r="A11537" i="2"/>
  <c r="D11536" i="2"/>
  <c r="C11536" i="2"/>
  <c r="B11536" i="2"/>
  <c r="A11536" i="2"/>
  <c r="D11535" i="2"/>
  <c r="C11535" i="2"/>
  <c r="B11535" i="2"/>
  <c r="A11535" i="2"/>
  <c r="D11534" i="2"/>
  <c r="C11534" i="2"/>
  <c r="B11534" i="2"/>
  <c r="A11534" i="2"/>
  <c r="D11533" i="2"/>
  <c r="C11533" i="2"/>
  <c r="B11533" i="2"/>
  <c r="A11533" i="2"/>
  <c r="D11532" i="2"/>
  <c r="C11532" i="2"/>
  <c r="B11532" i="2"/>
  <c r="A11532" i="2"/>
  <c r="D11531" i="2"/>
  <c r="C11531" i="2"/>
  <c r="B11531" i="2"/>
  <c r="A11531" i="2"/>
  <c r="D11530" i="2"/>
  <c r="C11530" i="2"/>
  <c r="B11530" i="2"/>
  <c r="A11530" i="2"/>
  <c r="D11529" i="2"/>
  <c r="C11529" i="2"/>
  <c r="B11529" i="2"/>
  <c r="A11529" i="2"/>
  <c r="D11528" i="2"/>
  <c r="C11528" i="2"/>
  <c r="B11528" i="2"/>
  <c r="A11528" i="2"/>
  <c r="D11527" i="2"/>
  <c r="C11527" i="2"/>
  <c r="B11527" i="2"/>
  <c r="A11527" i="2"/>
  <c r="D11526" i="2"/>
  <c r="C11526" i="2"/>
  <c r="B11526" i="2"/>
  <c r="A11526" i="2"/>
  <c r="D11525" i="2"/>
  <c r="C11525" i="2"/>
  <c r="B11525" i="2"/>
  <c r="A11525" i="2"/>
  <c r="D11524" i="2"/>
  <c r="C11524" i="2"/>
  <c r="B11524" i="2"/>
  <c r="A11524" i="2"/>
  <c r="D11523" i="2"/>
  <c r="C11523" i="2"/>
  <c r="B11523" i="2"/>
  <c r="A11523" i="2"/>
  <c r="D11522" i="2"/>
  <c r="C11522" i="2"/>
  <c r="B11522" i="2"/>
  <c r="A11522" i="2"/>
  <c r="D11521" i="2"/>
  <c r="C11521" i="2"/>
  <c r="B11521" i="2"/>
  <c r="A11521" i="2"/>
  <c r="D11520" i="2"/>
  <c r="C11520" i="2"/>
  <c r="B11520" i="2"/>
  <c r="A11520" i="2"/>
  <c r="D11519" i="2"/>
  <c r="C11519" i="2"/>
  <c r="B11519" i="2"/>
  <c r="A11519" i="2"/>
  <c r="D11518" i="2"/>
  <c r="C11518" i="2"/>
  <c r="B11518" i="2"/>
  <c r="A11518" i="2"/>
  <c r="D11517" i="2"/>
  <c r="C11517" i="2"/>
  <c r="B11517" i="2"/>
  <c r="A11517" i="2"/>
  <c r="D11516" i="2"/>
  <c r="C11516" i="2"/>
  <c r="B11516" i="2"/>
  <c r="A11516" i="2"/>
  <c r="D11515" i="2"/>
  <c r="C11515" i="2"/>
  <c r="B11515" i="2"/>
  <c r="A11515" i="2"/>
  <c r="D11514" i="2"/>
  <c r="C11514" i="2"/>
  <c r="B11514" i="2"/>
  <c r="A11514" i="2"/>
  <c r="D11513" i="2"/>
  <c r="C11513" i="2"/>
  <c r="B11513" i="2"/>
  <c r="A11513" i="2"/>
  <c r="D11512" i="2"/>
  <c r="C11512" i="2"/>
  <c r="B11512" i="2"/>
  <c r="A11512" i="2"/>
  <c r="D11511" i="2"/>
  <c r="C11511" i="2"/>
  <c r="B11511" i="2"/>
  <c r="A11511" i="2"/>
  <c r="D11510" i="2"/>
  <c r="C11510" i="2"/>
  <c r="B11510" i="2"/>
  <c r="A11510" i="2"/>
  <c r="D11509" i="2"/>
  <c r="C11509" i="2"/>
  <c r="B11509" i="2"/>
  <c r="A11509" i="2"/>
  <c r="D11508" i="2"/>
  <c r="C11508" i="2"/>
  <c r="B11508" i="2"/>
  <c r="A11508" i="2"/>
  <c r="D11507" i="2"/>
  <c r="C11507" i="2"/>
  <c r="B11507" i="2"/>
  <c r="A11507" i="2"/>
  <c r="D11506" i="2"/>
  <c r="C11506" i="2"/>
  <c r="B11506" i="2"/>
  <c r="A11506" i="2"/>
  <c r="D11505" i="2"/>
  <c r="C11505" i="2"/>
  <c r="B11505" i="2"/>
  <c r="A11505" i="2"/>
  <c r="D11504" i="2"/>
  <c r="C11504" i="2"/>
  <c r="B11504" i="2"/>
  <c r="A11504" i="2"/>
  <c r="D11503" i="2"/>
  <c r="C11503" i="2"/>
  <c r="B11503" i="2"/>
  <c r="A11503" i="2"/>
  <c r="D11502" i="2"/>
  <c r="C11502" i="2"/>
  <c r="B11502" i="2"/>
  <c r="A11502" i="2"/>
  <c r="D11501" i="2"/>
  <c r="C11501" i="2"/>
  <c r="B11501" i="2"/>
  <c r="A11501" i="2"/>
  <c r="D11500" i="2"/>
  <c r="C11500" i="2"/>
  <c r="B11500" i="2"/>
  <c r="A11500" i="2"/>
  <c r="D11499" i="2"/>
  <c r="C11499" i="2"/>
  <c r="B11499" i="2"/>
  <c r="A11499" i="2"/>
  <c r="D11498" i="2"/>
  <c r="C11498" i="2"/>
  <c r="B11498" i="2"/>
  <c r="A11498" i="2"/>
  <c r="D11497" i="2"/>
  <c r="C11497" i="2"/>
  <c r="B11497" i="2"/>
  <c r="A11497" i="2"/>
  <c r="D11496" i="2"/>
  <c r="C11496" i="2"/>
  <c r="B11496" i="2"/>
  <c r="A11496" i="2"/>
  <c r="D11495" i="2"/>
  <c r="C11495" i="2"/>
  <c r="B11495" i="2"/>
  <c r="A11495" i="2"/>
  <c r="D11494" i="2"/>
  <c r="C11494" i="2"/>
  <c r="B11494" i="2"/>
  <c r="A11494" i="2"/>
  <c r="D11493" i="2"/>
  <c r="C11493" i="2"/>
  <c r="B11493" i="2"/>
  <c r="A11493" i="2"/>
  <c r="D11492" i="2"/>
  <c r="C11492" i="2"/>
  <c r="B11492" i="2"/>
  <c r="A11492" i="2"/>
  <c r="D11491" i="2"/>
  <c r="C11491" i="2"/>
  <c r="B11491" i="2"/>
  <c r="A11491" i="2"/>
  <c r="D11490" i="2"/>
  <c r="C11490" i="2"/>
  <c r="B11490" i="2"/>
  <c r="A11490" i="2"/>
  <c r="D11489" i="2"/>
  <c r="C11489" i="2"/>
  <c r="B11489" i="2"/>
  <c r="A11489" i="2"/>
  <c r="D11488" i="2"/>
  <c r="C11488" i="2"/>
  <c r="B11488" i="2"/>
  <c r="A11488" i="2"/>
  <c r="D11487" i="2"/>
  <c r="C11487" i="2"/>
  <c r="B11487" i="2"/>
  <c r="A11487" i="2"/>
  <c r="D11486" i="2"/>
  <c r="C11486" i="2"/>
  <c r="B11486" i="2"/>
  <c r="A11486" i="2"/>
  <c r="D11485" i="2"/>
  <c r="C11485" i="2"/>
  <c r="B11485" i="2"/>
  <c r="A11485" i="2"/>
  <c r="D11484" i="2"/>
  <c r="C11484" i="2"/>
  <c r="B11484" i="2"/>
  <c r="A11484" i="2"/>
  <c r="D11483" i="2"/>
  <c r="C11483" i="2"/>
  <c r="B11483" i="2"/>
  <c r="A11483" i="2"/>
  <c r="D11482" i="2"/>
  <c r="C11482" i="2"/>
  <c r="B11482" i="2"/>
  <c r="A11482" i="2"/>
  <c r="D11481" i="2"/>
  <c r="C11481" i="2"/>
  <c r="B11481" i="2"/>
  <c r="A11481" i="2"/>
  <c r="D11480" i="2"/>
  <c r="C11480" i="2"/>
  <c r="B11480" i="2"/>
  <c r="A11480" i="2"/>
  <c r="D11479" i="2"/>
  <c r="C11479" i="2"/>
  <c r="B11479" i="2"/>
  <c r="A11479" i="2"/>
  <c r="D11478" i="2"/>
  <c r="C11478" i="2"/>
  <c r="B11478" i="2"/>
  <c r="A11478" i="2"/>
  <c r="D11477" i="2"/>
  <c r="C11477" i="2"/>
  <c r="B11477" i="2"/>
  <c r="A11477" i="2"/>
  <c r="D11476" i="2"/>
  <c r="C11476" i="2"/>
  <c r="B11476" i="2"/>
  <c r="A11476" i="2"/>
  <c r="D11475" i="2"/>
  <c r="C11475" i="2"/>
  <c r="B11475" i="2"/>
  <c r="A11475" i="2"/>
  <c r="D11474" i="2"/>
  <c r="C11474" i="2"/>
  <c r="B11474" i="2"/>
  <c r="A11474" i="2"/>
  <c r="D11473" i="2"/>
  <c r="C11473" i="2"/>
  <c r="B11473" i="2"/>
  <c r="A11473" i="2"/>
  <c r="D11472" i="2"/>
  <c r="C11472" i="2"/>
  <c r="B11472" i="2"/>
  <c r="A11472" i="2"/>
  <c r="D11471" i="2"/>
  <c r="C11471" i="2"/>
  <c r="B11471" i="2"/>
  <c r="A11471" i="2"/>
  <c r="D11470" i="2"/>
  <c r="C11470" i="2"/>
  <c r="B11470" i="2"/>
  <c r="A11470" i="2"/>
  <c r="D11469" i="2"/>
  <c r="C11469" i="2"/>
  <c r="B11469" i="2"/>
  <c r="A11469" i="2"/>
  <c r="D11468" i="2"/>
  <c r="C11468" i="2"/>
  <c r="B11468" i="2"/>
  <c r="A11468" i="2"/>
  <c r="D11467" i="2"/>
  <c r="C11467" i="2"/>
  <c r="B11467" i="2"/>
  <c r="A11467" i="2"/>
  <c r="D11466" i="2"/>
  <c r="C11466" i="2"/>
  <c r="B11466" i="2"/>
  <c r="A11466" i="2"/>
  <c r="D11465" i="2"/>
  <c r="C11465" i="2"/>
  <c r="B11465" i="2"/>
  <c r="A11465" i="2"/>
  <c r="D11464" i="2"/>
  <c r="C11464" i="2"/>
  <c r="B11464" i="2"/>
  <c r="A11464" i="2"/>
  <c r="D11463" i="2"/>
  <c r="C11463" i="2"/>
  <c r="B11463" i="2"/>
  <c r="A11463" i="2"/>
  <c r="D11462" i="2"/>
  <c r="C11462" i="2"/>
  <c r="B11462" i="2"/>
  <c r="A11462" i="2"/>
  <c r="D11461" i="2"/>
  <c r="C11461" i="2"/>
  <c r="B11461" i="2"/>
  <c r="A11461" i="2"/>
  <c r="D11460" i="2"/>
  <c r="C11460" i="2"/>
  <c r="B11460" i="2"/>
  <c r="A11460" i="2"/>
  <c r="D11459" i="2"/>
  <c r="C11459" i="2"/>
  <c r="B11459" i="2"/>
  <c r="A11459" i="2"/>
  <c r="D11458" i="2"/>
  <c r="C11458" i="2"/>
  <c r="B11458" i="2"/>
  <c r="A11458" i="2"/>
  <c r="D11457" i="2"/>
  <c r="C11457" i="2"/>
  <c r="B11457" i="2"/>
  <c r="A11457" i="2"/>
  <c r="D11456" i="2"/>
  <c r="C11456" i="2"/>
  <c r="B11456" i="2"/>
  <c r="A11456" i="2"/>
  <c r="D11455" i="2"/>
  <c r="C11455" i="2"/>
  <c r="B11455" i="2"/>
  <c r="A11455" i="2"/>
  <c r="D11454" i="2"/>
  <c r="C11454" i="2"/>
  <c r="B11454" i="2"/>
  <c r="A11454" i="2"/>
  <c r="D11453" i="2"/>
  <c r="C11453" i="2"/>
  <c r="B11453" i="2"/>
  <c r="A11453" i="2"/>
  <c r="D11452" i="2"/>
  <c r="C11452" i="2"/>
  <c r="B11452" i="2"/>
  <c r="A11452" i="2"/>
  <c r="D11451" i="2"/>
  <c r="C11451" i="2"/>
  <c r="B11451" i="2"/>
  <c r="A11451" i="2"/>
  <c r="D11450" i="2"/>
  <c r="C11450" i="2"/>
  <c r="B11450" i="2"/>
  <c r="A11450" i="2"/>
  <c r="D11449" i="2"/>
  <c r="C11449" i="2"/>
  <c r="B11449" i="2"/>
  <c r="A11449" i="2"/>
  <c r="D11448" i="2"/>
  <c r="C11448" i="2"/>
  <c r="B11448" i="2"/>
  <c r="A11448" i="2"/>
  <c r="D11447" i="2"/>
  <c r="C11447" i="2"/>
  <c r="B11447" i="2"/>
  <c r="A11447" i="2"/>
  <c r="D11446" i="2"/>
  <c r="C11446" i="2"/>
  <c r="B11446" i="2"/>
  <c r="A11446" i="2"/>
  <c r="D11445" i="2"/>
  <c r="C11445" i="2"/>
  <c r="B11445" i="2"/>
  <c r="A11445" i="2"/>
  <c r="D11444" i="2"/>
  <c r="C11444" i="2"/>
  <c r="B11444" i="2"/>
  <c r="A11444" i="2"/>
  <c r="D11443" i="2"/>
  <c r="C11443" i="2"/>
  <c r="B11443" i="2"/>
  <c r="A11443" i="2"/>
  <c r="D11442" i="2"/>
  <c r="C11442" i="2"/>
  <c r="B11442" i="2"/>
  <c r="A11442" i="2"/>
  <c r="D11441" i="2"/>
  <c r="C11441" i="2"/>
  <c r="B11441" i="2"/>
  <c r="A11441" i="2"/>
  <c r="D11440" i="2"/>
  <c r="C11440" i="2"/>
  <c r="B11440" i="2"/>
  <c r="A11440" i="2"/>
  <c r="D11439" i="2"/>
  <c r="C11439" i="2"/>
  <c r="B11439" i="2"/>
  <c r="A11439" i="2"/>
  <c r="D11438" i="2"/>
  <c r="C11438" i="2"/>
  <c r="B11438" i="2"/>
  <c r="A11438" i="2"/>
  <c r="D11437" i="2"/>
  <c r="C11437" i="2"/>
  <c r="B11437" i="2"/>
  <c r="A11437" i="2"/>
  <c r="D11436" i="2"/>
  <c r="C11436" i="2"/>
  <c r="B11436" i="2"/>
  <c r="A11436" i="2"/>
  <c r="D11435" i="2"/>
  <c r="C11435" i="2"/>
  <c r="B11435" i="2"/>
  <c r="A11435" i="2"/>
  <c r="D11434" i="2"/>
  <c r="C11434" i="2"/>
  <c r="B11434" i="2"/>
  <c r="A11434" i="2"/>
  <c r="D11433" i="2"/>
  <c r="C11433" i="2"/>
  <c r="B11433" i="2"/>
  <c r="A11433" i="2"/>
  <c r="D11432" i="2"/>
  <c r="C11432" i="2"/>
  <c r="B11432" i="2"/>
  <c r="A11432" i="2"/>
  <c r="D11431" i="2"/>
  <c r="C11431" i="2"/>
  <c r="B11431" i="2"/>
  <c r="A11431" i="2"/>
  <c r="D11430" i="2"/>
  <c r="C11430" i="2"/>
  <c r="B11430" i="2"/>
  <c r="A11430" i="2"/>
  <c r="D11429" i="2"/>
  <c r="C11429" i="2"/>
  <c r="B11429" i="2"/>
  <c r="A11429" i="2"/>
  <c r="D11428" i="2"/>
  <c r="C11428" i="2"/>
  <c r="B11428" i="2"/>
  <c r="A11428" i="2"/>
  <c r="D11427" i="2"/>
  <c r="C11427" i="2"/>
  <c r="B11427" i="2"/>
  <c r="A11427" i="2"/>
  <c r="D11426" i="2"/>
  <c r="C11426" i="2"/>
  <c r="B11426" i="2"/>
  <c r="A11426" i="2"/>
  <c r="D11425" i="2"/>
  <c r="C11425" i="2"/>
  <c r="B11425" i="2"/>
  <c r="A11425" i="2"/>
  <c r="D11424" i="2"/>
  <c r="C11424" i="2"/>
  <c r="B11424" i="2"/>
  <c r="A11424" i="2"/>
  <c r="D11423" i="2"/>
  <c r="C11423" i="2"/>
  <c r="B11423" i="2"/>
  <c r="A11423" i="2"/>
  <c r="D11422" i="2"/>
  <c r="C11422" i="2"/>
  <c r="B11422" i="2"/>
  <c r="A11422" i="2"/>
  <c r="D11421" i="2"/>
  <c r="C11421" i="2"/>
  <c r="B11421" i="2"/>
  <c r="A11421" i="2"/>
  <c r="D11420" i="2"/>
  <c r="C11420" i="2"/>
  <c r="B11420" i="2"/>
  <c r="A11420" i="2"/>
  <c r="D11419" i="2"/>
  <c r="C11419" i="2"/>
  <c r="B11419" i="2"/>
  <c r="A11419" i="2"/>
  <c r="D11418" i="2"/>
  <c r="C11418" i="2"/>
  <c r="B11418" i="2"/>
  <c r="A11418" i="2"/>
  <c r="D11417" i="2"/>
  <c r="C11417" i="2"/>
  <c r="B11417" i="2"/>
  <c r="A11417" i="2"/>
  <c r="D11416" i="2"/>
  <c r="C11416" i="2"/>
  <c r="B11416" i="2"/>
  <c r="A11416" i="2"/>
  <c r="D11415" i="2"/>
  <c r="C11415" i="2"/>
  <c r="B11415" i="2"/>
  <c r="A11415" i="2"/>
  <c r="D11414" i="2"/>
  <c r="C11414" i="2"/>
  <c r="B11414" i="2"/>
  <c r="A11414" i="2"/>
  <c r="D11413" i="2"/>
  <c r="C11413" i="2"/>
  <c r="B11413" i="2"/>
  <c r="A11413" i="2"/>
  <c r="D11412" i="2"/>
  <c r="C11412" i="2"/>
  <c r="B11412" i="2"/>
  <c r="A11412" i="2"/>
  <c r="D11411" i="2"/>
  <c r="C11411" i="2"/>
  <c r="B11411" i="2"/>
  <c r="A11411" i="2"/>
  <c r="D11410" i="2"/>
  <c r="C11410" i="2"/>
  <c r="B11410" i="2"/>
  <c r="A11410" i="2"/>
  <c r="D11409" i="2"/>
  <c r="C11409" i="2"/>
  <c r="B11409" i="2"/>
  <c r="A11409" i="2"/>
  <c r="D11408" i="2"/>
  <c r="C11408" i="2"/>
  <c r="B11408" i="2"/>
  <c r="A11408" i="2"/>
  <c r="D11407" i="2"/>
  <c r="C11407" i="2"/>
  <c r="B11407" i="2"/>
  <c r="A11407" i="2"/>
  <c r="D11406" i="2"/>
  <c r="C11406" i="2"/>
  <c r="B11406" i="2"/>
  <c r="A11406" i="2"/>
  <c r="D11405" i="2"/>
  <c r="C11405" i="2"/>
  <c r="B11405" i="2"/>
  <c r="A11405" i="2"/>
  <c r="D11404" i="2"/>
  <c r="C11404" i="2"/>
  <c r="B11404" i="2"/>
  <c r="A11404" i="2"/>
  <c r="D11403" i="2"/>
  <c r="C11403" i="2"/>
  <c r="B11403" i="2"/>
  <c r="A11403" i="2"/>
  <c r="D11402" i="2"/>
  <c r="C11402" i="2"/>
  <c r="B11402" i="2"/>
  <c r="A11402" i="2"/>
  <c r="D11401" i="2"/>
  <c r="C11401" i="2"/>
  <c r="B11401" i="2"/>
  <c r="A11401" i="2"/>
  <c r="D11400" i="2"/>
  <c r="C11400" i="2"/>
  <c r="B11400" i="2"/>
  <c r="A11400" i="2"/>
  <c r="D11399" i="2"/>
  <c r="C11399" i="2"/>
  <c r="B11399" i="2"/>
  <c r="A11399" i="2"/>
  <c r="D11398" i="2"/>
  <c r="B11398" i="2"/>
  <c r="A11398" i="2"/>
  <c r="D11397" i="2"/>
  <c r="C11397" i="2"/>
  <c r="B11397" i="2"/>
  <c r="A11397" i="2"/>
  <c r="D11396" i="2"/>
  <c r="C11396" i="2"/>
  <c r="B11396" i="2"/>
  <c r="A11396" i="2"/>
  <c r="D11395" i="2"/>
  <c r="C11395" i="2"/>
  <c r="B11395" i="2"/>
  <c r="A11395" i="2"/>
  <c r="D11394" i="2"/>
  <c r="C11394" i="2"/>
  <c r="B11394" i="2"/>
  <c r="A11394" i="2"/>
  <c r="D11393" i="2"/>
  <c r="B11393" i="2"/>
  <c r="A11393" i="2"/>
  <c r="D11392" i="2"/>
  <c r="C11392" i="2"/>
  <c r="B11392" i="2"/>
  <c r="A11392" i="2"/>
  <c r="D11391" i="2"/>
  <c r="C11391" i="2"/>
  <c r="B11391" i="2"/>
  <c r="A11391" i="2"/>
  <c r="D11390" i="2"/>
  <c r="C11390" i="2"/>
  <c r="B11390" i="2"/>
  <c r="A11390" i="2"/>
  <c r="D11389" i="2"/>
  <c r="C11389" i="2"/>
  <c r="B11389" i="2"/>
  <c r="A11389" i="2"/>
  <c r="D11388" i="2"/>
  <c r="C11388" i="2"/>
  <c r="B11388" i="2"/>
  <c r="A11388" i="2"/>
  <c r="D11387" i="2"/>
  <c r="C11387" i="2"/>
  <c r="B11387" i="2"/>
  <c r="A11387" i="2"/>
  <c r="D11386" i="2"/>
  <c r="C11386" i="2"/>
  <c r="B11386" i="2"/>
  <c r="A11386" i="2"/>
  <c r="D11385" i="2"/>
  <c r="C11385" i="2"/>
  <c r="B11385" i="2"/>
  <c r="A11385" i="2"/>
  <c r="D11384" i="2"/>
  <c r="C11384" i="2"/>
  <c r="B11384" i="2"/>
  <c r="A11384" i="2"/>
  <c r="D11383" i="2"/>
  <c r="B11383" i="2"/>
  <c r="A11383" i="2"/>
  <c r="D11382" i="2"/>
  <c r="C11382" i="2"/>
  <c r="B11382" i="2"/>
  <c r="A11382" i="2"/>
  <c r="D11381" i="2"/>
  <c r="C11381" i="2"/>
  <c r="B11381" i="2"/>
  <c r="A11381" i="2"/>
  <c r="D11380" i="2"/>
  <c r="C11380" i="2"/>
  <c r="B11380" i="2"/>
  <c r="A11380" i="2"/>
  <c r="D11379" i="2"/>
  <c r="B11379" i="2"/>
  <c r="A11379" i="2"/>
  <c r="D11378" i="2"/>
  <c r="C11378" i="2"/>
  <c r="B11378" i="2"/>
  <c r="A11378" i="2"/>
  <c r="D11377" i="2"/>
  <c r="C11377" i="2"/>
  <c r="B11377" i="2"/>
  <c r="A11377" i="2"/>
  <c r="D11376" i="2"/>
  <c r="C11376" i="2"/>
  <c r="B11376" i="2"/>
  <c r="A11376" i="2"/>
  <c r="D11375" i="2"/>
  <c r="C11375" i="2"/>
  <c r="B11375" i="2"/>
  <c r="A11375" i="2"/>
  <c r="D11374" i="2"/>
  <c r="B11374" i="2"/>
  <c r="A11374" i="2"/>
  <c r="D11373" i="2"/>
  <c r="C11373" i="2"/>
  <c r="B11373" i="2"/>
  <c r="A11373" i="2"/>
  <c r="D11372" i="2"/>
  <c r="C11372" i="2"/>
  <c r="B11372" i="2"/>
  <c r="A11372" i="2"/>
  <c r="D11371" i="2"/>
  <c r="C11371" i="2"/>
  <c r="B11371" i="2"/>
  <c r="A11371" i="2"/>
  <c r="D11370" i="2"/>
  <c r="C11370" i="2"/>
  <c r="B11370" i="2"/>
  <c r="A11370" i="2"/>
  <c r="D11369" i="2"/>
  <c r="C11369" i="2"/>
  <c r="B11369" i="2"/>
  <c r="A11369" i="2"/>
  <c r="D11368" i="2"/>
  <c r="C11368" i="2"/>
  <c r="B11368" i="2"/>
  <c r="A11368" i="2"/>
  <c r="D11367" i="2"/>
  <c r="C11367" i="2"/>
  <c r="B11367" i="2"/>
  <c r="A11367" i="2"/>
  <c r="D11366" i="2"/>
  <c r="C11366" i="2"/>
  <c r="B11366" i="2"/>
  <c r="A11366" i="2"/>
  <c r="D11365" i="2"/>
  <c r="C11365" i="2"/>
  <c r="B11365" i="2"/>
  <c r="A11365" i="2"/>
  <c r="D11364" i="2"/>
  <c r="C11364" i="2"/>
  <c r="B11364" i="2"/>
  <c r="A11364" i="2"/>
  <c r="D11363" i="2"/>
  <c r="C11363" i="2"/>
  <c r="B11363" i="2"/>
  <c r="A11363" i="2"/>
  <c r="D11362" i="2"/>
  <c r="C11362" i="2"/>
  <c r="B11362" i="2"/>
  <c r="A11362" i="2"/>
  <c r="D11361" i="2"/>
  <c r="C11361" i="2"/>
  <c r="B11361" i="2"/>
  <c r="A11361" i="2"/>
  <c r="D11360" i="2"/>
  <c r="B11360" i="2"/>
  <c r="A11360" i="2"/>
  <c r="D11359" i="2"/>
  <c r="C11359" i="2"/>
  <c r="B11359" i="2"/>
  <c r="A11359" i="2"/>
  <c r="D11358" i="2"/>
  <c r="C11358" i="2"/>
  <c r="B11358" i="2"/>
  <c r="A11358" i="2"/>
  <c r="D11357" i="2"/>
  <c r="B11357" i="2"/>
  <c r="A11357" i="2"/>
  <c r="D11356" i="2"/>
  <c r="C11356" i="2"/>
  <c r="B11356" i="2"/>
  <c r="A11356" i="2"/>
  <c r="D11355" i="2"/>
  <c r="C11355" i="2"/>
  <c r="B11355" i="2"/>
  <c r="A11355" i="2"/>
  <c r="D11354" i="2"/>
  <c r="C11354" i="2"/>
  <c r="B11354" i="2"/>
  <c r="A11354" i="2"/>
  <c r="D11353" i="2"/>
  <c r="C11353" i="2"/>
  <c r="B11353" i="2"/>
  <c r="A11353" i="2"/>
  <c r="D11352" i="2"/>
  <c r="C11352" i="2"/>
  <c r="B11352" i="2"/>
  <c r="A11352" i="2"/>
  <c r="D11351" i="2"/>
  <c r="C11351" i="2"/>
  <c r="B11351" i="2"/>
  <c r="A11351" i="2"/>
  <c r="D11350" i="2"/>
  <c r="C11350" i="2"/>
  <c r="B11350" i="2"/>
  <c r="A11350" i="2"/>
  <c r="D11349" i="2"/>
  <c r="C11349" i="2"/>
  <c r="B11349" i="2"/>
  <c r="A11349" i="2"/>
  <c r="D11348" i="2"/>
  <c r="B11348" i="2"/>
  <c r="A11348" i="2"/>
  <c r="D11347" i="2"/>
  <c r="C11347" i="2"/>
  <c r="B11347" i="2"/>
  <c r="A11347" i="2"/>
  <c r="D11346" i="2"/>
  <c r="C11346" i="2"/>
  <c r="B11346" i="2"/>
  <c r="A11346" i="2"/>
  <c r="D11345" i="2"/>
  <c r="C11345" i="2"/>
  <c r="B11345" i="2"/>
  <c r="A11345" i="2"/>
  <c r="D11344" i="2"/>
  <c r="B11344" i="2"/>
  <c r="A11344" i="2"/>
  <c r="D11343" i="2"/>
  <c r="B11343" i="2"/>
  <c r="A11343" i="2"/>
  <c r="D11342" i="2"/>
  <c r="B11342" i="2"/>
  <c r="A11342" i="2"/>
  <c r="D11341" i="2"/>
  <c r="B11341" i="2"/>
  <c r="A11341" i="2"/>
  <c r="D11340" i="2"/>
  <c r="B11340" i="2"/>
  <c r="A11340" i="2"/>
  <c r="D11339" i="2"/>
  <c r="B11339" i="2"/>
  <c r="A11339" i="2"/>
  <c r="D11338" i="2"/>
  <c r="C11338" i="2"/>
  <c r="B11338" i="2"/>
  <c r="A11338" i="2"/>
  <c r="D11337" i="2"/>
  <c r="B11337" i="2"/>
  <c r="A11337" i="2"/>
  <c r="D11336" i="2"/>
  <c r="C11336" i="2"/>
  <c r="B11336" i="2"/>
  <c r="A11336" i="2"/>
  <c r="D11335" i="2"/>
  <c r="B11335" i="2"/>
  <c r="A11335" i="2"/>
  <c r="D11334" i="2"/>
  <c r="B11334" i="2"/>
  <c r="A11334" i="2"/>
  <c r="D11333" i="2"/>
  <c r="C11333" i="2"/>
  <c r="B11333" i="2"/>
  <c r="A11333" i="2"/>
  <c r="D11332" i="2"/>
  <c r="C11332" i="2"/>
  <c r="B11332" i="2"/>
  <c r="A11332" i="2"/>
  <c r="D11331" i="2"/>
  <c r="B11331" i="2"/>
  <c r="A11331" i="2"/>
  <c r="D11330" i="2"/>
  <c r="C11330" i="2"/>
  <c r="B11330" i="2"/>
  <c r="A11330" i="2"/>
  <c r="D11329" i="2"/>
  <c r="C11329" i="2"/>
  <c r="B11329" i="2"/>
  <c r="A11329" i="2"/>
  <c r="D11328" i="2"/>
  <c r="C11328" i="2"/>
  <c r="B11328" i="2"/>
  <c r="A11328" i="2"/>
  <c r="D11327" i="2"/>
  <c r="C11327" i="2"/>
  <c r="B11327" i="2"/>
  <c r="A11327" i="2"/>
  <c r="D11326" i="2"/>
  <c r="C11326" i="2"/>
  <c r="B11326" i="2"/>
  <c r="A11326" i="2"/>
  <c r="D11325" i="2"/>
  <c r="C11325" i="2"/>
  <c r="B11325" i="2"/>
  <c r="A11325" i="2"/>
  <c r="D11324" i="2"/>
  <c r="B11324" i="2"/>
  <c r="A11324" i="2"/>
  <c r="D11323" i="2"/>
  <c r="C11323" i="2"/>
  <c r="B11323" i="2"/>
  <c r="A11323" i="2"/>
  <c r="D11322" i="2"/>
  <c r="C11322" i="2"/>
  <c r="B11322" i="2"/>
  <c r="A11322" i="2"/>
  <c r="D11321" i="2"/>
  <c r="C11321" i="2"/>
  <c r="B11321" i="2"/>
  <c r="A11321" i="2"/>
  <c r="D11320" i="2"/>
  <c r="C11320" i="2"/>
  <c r="B11320" i="2"/>
  <c r="A11320" i="2"/>
  <c r="D11319" i="2"/>
  <c r="C11319" i="2"/>
  <c r="B11319" i="2"/>
  <c r="A11319" i="2"/>
  <c r="D11318" i="2"/>
  <c r="B11318" i="2"/>
  <c r="A11318" i="2"/>
  <c r="D11317" i="2"/>
  <c r="C11317" i="2"/>
  <c r="B11317" i="2"/>
  <c r="A11317" i="2"/>
  <c r="D11316" i="2"/>
  <c r="B11316" i="2"/>
  <c r="A11316" i="2"/>
  <c r="D11315" i="2"/>
  <c r="B11315" i="2"/>
  <c r="A11315" i="2"/>
  <c r="D11314" i="2"/>
  <c r="B11314" i="2"/>
  <c r="A11314" i="2"/>
  <c r="D11313" i="2"/>
  <c r="B11313" i="2"/>
  <c r="A11313" i="2"/>
  <c r="D11312" i="2"/>
  <c r="C11312" i="2"/>
  <c r="B11312" i="2"/>
  <c r="A11312" i="2"/>
  <c r="D11311" i="2"/>
  <c r="C11311" i="2"/>
  <c r="B11311" i="2"/>
  <c r="A11311" i="2"/>
  <c r="D11310" i="2"/>
  <c r="C11310" i="2"/>
  <c r="B11310" i="2"/>
  <c r="A11310" i="2"/>
  <c r="D11309" i="2"/>
  <c r="B11309" i="2"/>
  <c r="A11309" i="2"/>
  <c r="D11308" i="2"/>
  <c r="C11308" i="2"/>
  <c r="B11308" i="2"/>
  <c r="A11308" i="2"/>
  <c r="D11307" i="2"/>
  <c r="B11307" i="2"/>
  <c r="A11307" i="2"/>
  <c r="D11306" i="2"/>
  <c r="C11306" i="2"/>
  <c r="B11306" i="2"/>
  <c r="A11306" i="2"/>
  <c r="D11305" i="2"/>
  <c r="C11305" i="2"/>
  <c r="B11305" i="2"/>
  <c r="A11305" i="2"/>
  <c r="D11304" i="2"/>
  <c r="C11304" i="2"/>
  <c r="B11304" i="2"/>
  <c r="A11304" i="2"/>
  <c r="D11303" i="2"/>
  <c r="C11303" i="2"/>
  <c r="B11303" i="2"/>
  <c r="A11303" i="2"/>
  <c r="D11302" i="2"/>
  <c r="C11302" i="2"/>
  <c r="B11302" i="2"/>
  <c r="A11302" i="2"/>
  <c r="D11301" i="2"/>
  <c r="C11301" i="2"/>
  <c r="B11301" i="2"/>
  <c r="A11301" i="2"/>
  <c r="D11300" i="2"/>
  <c r="C11300" i="2"/>
  <c r="B11300" i="2"/>
  <c r="A11300" i="2"/>
  <c r="D11299" i="2"/>
  <c r="C11299" i="2"/>
  <c r="B11299" i="2"/>
  <c r="A11299" i="2"/>
  <c r="D11298" i="2"/>
  <c r="C11298" i="2"/>
  <c r="B11298" i="2"/>
  <c r="A11298" i="2"/>
  <c r="D11297" i="2"/>
  <c r="C11297" i="2"/>
  <c r="B11297" i="2"/>
  <c r="A11297" i="2"/>
  <c r="D11296" i="2"/>
  <c r="C11296" i="2"/>
  <c r="B11296" i="2"/>
  <c r="A11296" i="2"/>
  <c r="D11295" i="2"/>
  <c r="C11295" i="2"/>
  <c r="B11295" i="2"/>
  <c r="A11295" i="2"/>
  <c r="D11294" i="2"/>
  <c r="C11294" i="2"/>
  <c r="B11294" i="2"/>
  <c r="A11294" i="2"/>
  <c r="D11293" i="2"/>
  <c r="C11293" i="2"/>
  <c r="B11293" i="2"/>
  <c r="A11293" i="2"/>
  <c r="D11292" i="2"/>
  <c r="C11292" i="2"/>
  <c r="B11292" i="2"/>
  <c r="A11292" i="2"/>
  <c r="D11291" i="2"/>
  <c r="C11291" i="2"/>
  <c r="B11291" i="2"/>
  <c r="A11291" i="2"/>
  <c r="D11290" i="2"/>
  <c r="C11290" i="2"/>
  <c r="B11290" i="2"/>
  <c r="A11290" i="2"/>
  <c r="D11289" i="2"/>
  <c r="C11289" i="2"/>
  <c r="B11289" i="2"/>
  <c r="A11289" i="2"/>
  <c r="D11288" i="2"/>
  <c r="C11288" i="2"/>
  <c r="B11288" i="2"/>
  <c r="A11288" i="2"/>
  <c r="D11287" i="2"/>
  <c r="C11287" i="2"/>
  <c r="B11287" i="2"/>
  <c r="A11287" i="2"/>
  <c r="D11286" i="2"/>
  <c r="C11286" i="2"/>
  <c r="B11286" i="2"/>
  <c r="A11286" i="2"/>
  <c r="D11285" i="2"/>
  <c r="C11285" i="2"/>
  <c r="B11285" i="2"/>
  <c r="A11285" i="2"/>
  <c r="D11284" i="2"/>
  <c r="C11284" i="2"/>
  <c r="B11284" i="2"/>
  <c r="A11284" i="2"/>
  <c r="D11283" i="2"/>
  <c r="C11283" i="2"/>
  <c r="B11283" i="2"/>
  <c r="A11283" i="2"/>
  <c r="D11282" i="2"/>
  <c r="C11282" i="2"/>
  <c r="B11282" i="2"/>
  <c r="A11282" i="2"/>
  <c r="D11281" i="2"/>
  <c r="C11281" i="2"/>
  <c r="B11281" i="2"/>
  <c r="A11281" i="2"/>
  <c r="D11280" i="2"/>
  <c r="C11280" i="2"/>
  <c r="B11280" i="2"/>
  <c r="A11280" i="2"/>
  <c r="D11279" i="2"/>
  <c r="C11279" i="2"/>
  <c r="B11279" i="2"/>
  <c r="A11279" i="2"/>
  <c r="D11278" i="2"/>
  <c r="C11278" i="2"/>
  <c r="B11278" i="2"/>
  <c r="A11278" i="2"/>
  <c r="D11277" i="2"/>
  <c r="C11277" i="2"/>
  <c r="B11277" i="2"/>
  <c r="A11277" i="2"/>
  <c r="D11276" i="2"/>
  <c r="C11276" i="2"/>
  <c r="B11276" i="2"/>
  <c r="A11276" i="2"/>
  <c r="D11275" i="2"/>
  <c r="C11275" i="2"/>
  <c r="B11275" i="2"/>
  <c r="A11275" i="2"/>
  <c r="D11274" i="2"/>
  <c r="C11274" i="2"/>
  <c r="B11274" i="2"/>
  <c r="A11274" i="2"/>
  <c r="D11273" i="2"/>
  <c r="B11273" i="2"/>
  <c r="A11273" i="2"/>
  <c r="D11272" i="2"/>
  <c r="C11272" i="2"/>
  <c r="B11272" i="2"/>
  <c r="A11272" i="2"/>
  <c r="D11271" i="2"/>
  <c r="B11271" i="2"/>
  <c r="A11271" i="2"/>
  <c r="D11270" i="2"/>
  <c r="B11270" i="2"/>
  <c r="A11270" i="2"/>
  <c r="D11269" i="2"/>
  <c r="C11269" i="2"/>
  <c r="B11269" i="2"/>
  <c r="A11269" i="2"/>
  <c r="D11268" i="2"/>
  <c r="C11268" i="2"/>
  <c r="B11268" i="2"/>
  <c r="A11268" i="2"/>
  <c r="D11267" i="2"/>
  <c r="C11267" i="2"/>
  <c r="B11267" i="2"/>
  <c r="A11267" i="2"/>
  <c r="D11266" i="2"/>
  <c r="C11266" i="2"/>
  <c r="B11266" i="2"/>
  <c r="A11266" i="2"/>
  <c r="D11265" i="2"/>
  <c r="C11265" i="2"/>
  <c r="B11265" i="2"/>
  <c r="A11265" i="2"/>
  <c r="D11264" i="2"/>
  <c r="B11264" i="2"/>
  <c r="A11264" i="2"/>
  <c r="D11263" i="2"/>
  <c r="B11263" i="2"/>
  <c r="A11263" i="2"/>
  <c r="D11262" i="2"/>
  <c r="B11262" i="2"/>
  <c r="A11262" i="2"/>
  <c r="D11261" i="2"/>
  <c r="B11261" i="2"/>
  <c r="A11261" i="2"/>
  <c r="D11260" i="2"/>
  <c r="C11260" i="2"/>
  <c r="B11260" i="2"/>
  <c r="A11260" i="2"/>
  <c r="D11259" i="2"/>
  <c r="B11259" i="2"/>
  <c r="A11259" i="2"/>
  <c r="D11258" i="2"/>
  <c r="C11258" i="2"/>
  <c r="B11258" i="2"/>
  <c r="A11258" i="2"/>
  <c r="D11257" i="2"/>
  <c r="C11257" i="2"/>
  <c r="B11257" i="2"/>
  <c r="A11257" i="2"/>
  <c r="D11256" i="2"/>
  <c r="B11256" i="2"/>
  <c r="A11256" i="2"/>
  <c r="D11255" i="2"/>
  <c r="C11255" i="2"/>
  <c r="B11255" i="2"/>
  <c r="A11255" i="2"/>
  <c r="D11254" i="2"/>
  <c r="C11254" i="2"/>
  <c r="B11254" i="2"/>
  <c r="A11254" i="2"/>
  <c r="D11253" i="2"/>
  <c r="B11253" i="2"/>
  <c r="A11253" i="2"/>
  <c r="D11252" i="2"/>
  <c r="C11252" i="2"/>
  <c r="B11252" i="2"/>
  <c r="A11252" i="2"/>
  <c r="D11251" i="2"/>
  <c r="C11251" i="2"/>
  <c r="B11251" i="2"/>
  <c r="A11251" i="2"/>
  <c r="D11250" i="2"/>
  <c r="C11250" i="2"/>
  <c r="B11250" i="2"/>
  <c r="A11250" i="2"/>
  <c r="D11249" i="2"/>
  <c r="C11249" i="2"/>
  <c r="B11249" i="2"/>
  <c r="A11249" i="2"/>
  <c r="D11248" i="2"/>
  <c r="C11248" i="2"/>
  <c r="B11248" i="2"/>
  <c r="A11248" i="2"/>
  <c r="D11247" i="2"/>
  <c r="C11247" i="2"/>
  <c r="B11247" i="2"/>
  <c r="A11247" i="2"/>
  <c r="D11246" i="2"/>
  <c r="B11246" i="2"/>
  <c r="A11246" i="2"/>
  <c r="D11245" i="2"/>
  <c r="C11245" i="2"/>
  <c r="B11245" i="2"/>
  <c r="A11245" i="2"/>
  <c r="D11244" i="2"/>
  <c r="C11244" i="2"/>
  <c r="B11244" i="2"/>
  <c r="A11244" i="2"/>
  <c r="D11243" i="2"/>
  <c r="C11243" i="2"/>
  <c r="B11243" i="2"/>
  <c r="A11243" i="2"/>
  <c r="D11242" i="2"/>
  <c r="C11242" i="2"/>
  <c r="B11242" i="2"/>
  <c r="A11242" i="2"/>
  <c r="D11241" i="2"/>
  <c r="C11241" i="2"/>
  <c r="B11241" i="2"/>
  <c r="A11241" i="2"/>
  <c r="D11240" i="2"/>
  <c r="C11240" i="2"/>
  <c r="B11240" i="2"/>
  <c r="A11240" i="2"/>
  <c r="D11239" i="2"/>
  <c r="C11239" i="2"/>
  <c r="B11239" i="2"/>
  <c r="A11239" i="2"/>
  <c r="D11238" i="2"/>
  <c r="B11238" i="2"/>
  <c r="A11238" i="2"/>
  <c r="D11237" i="2"/>
  <c r="C11237" i="2"/>
  <c r="B11237" i="2"/>
  <c r="A11237" i="2"/>
  <c r="D11236" i="2"/>
  <c r="B11236" i="2"/>
  <c r="A11236" i="2"/>
  <c r="D11235" i="2"/>
  <c r="C11235" i="2"/>
  <c r="B11235" i="2"/>
  <c r="A11235" i="2"/>
  <c r="D11234" i="2"/>
  <c r="B11234" i="2"/>
  <c r="A11234" i="2"/>
  <c r="D11233" i="2"/>
  <c r="C11233" i="2"/>
  <c r="B11233" i="2"/>
  <c r="A11233" i="2"/>
  <c r="D11232" i="2"/>
  <c r="C11232" i="2"/>
  <c r="B11232" i="2"/>
  <c r="A11232" i="2"/>
  <c r="D11231" i="2"/>
  <c r="B11231" i="2"/>
  <c r="A11231" i="2"/>
  <c r="D11230" i="2"/>
  <c r="C11230" i="2"/>
  <c r="B11230" i="2"/>
  <c r="A11230" i="2"/>
  <c r="D11229" i="2"/>
  <c r="C11229" i="2"/>
  <c r="B11229" i="2"/>
  <c r="A11229" i="2"/>
  <c r="D11228" i="2"/>
  <c r="B11228" i="2"/>
  <c r="A11228" i="2"/>
  <c r="D11227" i="2"/>
  <c r="C11227" i="2"/>
  <c r="B11227" i="2"/>
  <c r="A11227" i="2"/>
  <c r="D11226" i="2"/>
  <c r="C11226" i="2"/>
  <c r="B11226" i="2"/>
  <c r="A11226" i="2"/>
  <c r="D11225" i="2"/>
  <c r="C11225" i="2"/>
  <c r="B11225" i="2"/>
  <c r="A11225" i="2"/>
  <c r="D11224" i="2"/>
  <c r="C11224" i="2"/>
  <c r="B11224" i="2"/>
  <c r="A11224" i="2"/>
  <c r="D11223" i="2"/>
  <c r="C11223" i="2"/>
  <c r="B11223" i="2"/>
  <c r="A11223" i="2"/>
  <c r="D11222" i="2"/>
  <c r="C11222" i="2"/>
  <c r="B11222" i="2"/>
  <c r="A11222" i="2"/>
  <c r="D11221" i="2"/>
  <c r="C11221" i="2"/>
  <c r="B11221" i="2"/>
  <c r="A11221" i="2"/>
  <c r="D11220" i="2"/>
  <c r="C11220" i="2"/>
  <c r="B11220" i="2"/>
  <c r="A11220" i="2"/>
  <c r="D11219" i="2"/>
  <c r="C11219" i="2"/>
  <c r="B11219" i="2"/>
  <c r="A11219" i="2"/>
  <c r="D11218" i="2"/>
  <c r="C11218" i="2"/>
  <c r="B11218" i="2"/>
  <c r="A11218" i="2"/>
  <c r="D11217" i="2"/>
  <c r="C11217" i="2"/>
  <c r="B11217" i="2"/>
  <c r="A11217" i="2"/>
  <c r="D11216" i="2"/>
  <c r="C11216" i="2"/>
  <c r="B11216" i="2"/>
  <c r="A11216" i="2"/>
  <c r="D11215" i="2"/>
  <c r="C11215" i="2"/>
  <c r="B11215" i="2"/>
  <c r="A11215" i="2"/>
  <c r="D11214" i="2"/>
  <c r="C11214" i="2"/>
  <c r="B11214" i="2"/>
  <c r="A11214" i="2"/>
  <c r="D11213" i="2"/>
  <c r="C11213" i="2"/>
  <c r="B11213" i="2"/>
  <c r="A11213" i="2"/>
  <c r="D11212" i="2"/>
  <c r="C11212" i="2"/>
  <c r="B11212" i="2"/>
  <c r="A11212" i="2"/>
  <c r="D11211" i="2"/>
  <c r="C11211" i="2"/>
  <c r="B11211" i="2"/>
  <c r="A11211" i="2"/>
  <c r="D11210" i="2"/>
  <c r="C11210" i="2"/>
  <c r="B11210" i="2"/>
  <c r="A11210" i="2"/>
  <c r="D11209" i="2"/>
  <c r="C11209" i="2"/>
  <c r="B11209" i="2"/>
  <c r="A11209" i="2"/>
  <c r="D11208" i="2"/>
  <c r="C11208" i="2"/>
  <c r="B11208" i="2"/>
  <c r="A11208" i="2"/>
  <c r="D11207" i="2"/>
  <c r="C11207" i="2"/>
  <c r="B11207" i="2"/>
  <c r="A11207" i="2"/>
  <c r="D11206" i="2"/>
  <c r="C11206" i="2"/>
  <c r="B11206" i="2"/>
  <c r="A11206" i="2"/>
  <c r="D11205" i="2"/>
  <c r="C11205" i="2"/>
  <c r="B11205" i="2"/>
  <c r="A11205" i="2"/>
  <c r="D11204" i="2"/>
  <c r="C11204" i="2"/>
  <c r="B11204" i="2"/>
  <c r="A11204" i="2"/>
  <c r="D11203" i="2"/>
  <c r="C11203" i="2"/>
  <c r="B11203" i="2"/>
  <c r="A11203" i="2"/>
  <c r="D11202" i="2"/>
  <c r="C11202" i="2"/>
  <c r="B11202" i="2"/>
  <c r="A11202" i="2"/>
  <c r="D11201" i="2"/>
  <c r="C11201" i="2"/>
  <c r="B11201" i="2"/>
  <c r="A11201" i="2"/>
  <c r="D11200" i="2"/>
  <c r="C11200" i="2"/>
  <c r="B11200" i="2"/>
  <c r="A11200" i="2"/>
  <c r="D11199" i="2"/>
  <c r="C11199" i="2"/>
  <c r="B11199" i="2"/>
  <c r="A11199" i="2"/>
  <c r="D11198" i="2"/>
  <c r="C11198" i="2"/>
  <c r="B11198" i="2"/>
  <c r="A11198" i="2"/>
  <c r="D11197" i="2"/>
  <c r="C11197" i="2"/>
  <c r="B11197" i="2"/>
  <c r="A11197" i="2"/>
  <c r="D11196" i="2"/>
  <c r="C11196" i="2"/>
  <c r="B11196" i="2"/>
  <c r="A11196" i="2"/>
  <c r="D11195" i="2"/>
  <c r="C11195" i="2"/>
  <c r="B11195" i="2"/>
  <c r="A11195" i="2"/>
  <c r="D11194" i="2"/>
  <c r="C11194" i="2"/>
  <c r="B11194" i="2"/>
  <c r="A11194" i="2"/>
  <c r="D11193" i="2"/>
  <c r="C11193" i="2"/>
  <c r="B11193" i="2"/>
  <c r="A11193" i="2"/>
  <c r="D11192" i="2"/>
  <c r="C11192" i="2"/>
  <c r="B11192" i="2"/>
  <c r="A11192" i="2"/>
  <c r="D11191" i="2"/>
  <c r="C11191" i="2"/>
  <c r="B11191" i="2"/>
  <c r="A11191" i="2"/>
  <c r="D11190" i="2"/>
  <c r="C11190" i="2"/>
  <c r="B11190" i="2"/>
  <c r="A11190" i="2"/>
  <c r="D11189" i="2"/>
  <c r="C11189" i="2"/>
  <c r="B11189" i="2"/>
  <c r="A11189" i="2"/>
  <c r="D11188" i="2"/>
  <c r="C11188" i="2"/>
  <c r="B11188" i="2"/>
  <c r="A11188" i="2"/>
  <c r="D11187" i="2"/>
  <c r="C11187" i="2"/>
  <c r="B11187" i="2"/>
  <c r="A11187" i="2"/>
  <c r="D11186" i="2"/>
  <c r="C11186" i="2"/>
  <c r="B11186" i="2"/>
  <c r="A11186" i="2"/>
  <c r="D11185" i="2"/>
  <c r="C11185" i="2"/>
  <c r="B11185" i="2"/>
  <c r="A11185" i="2"/>
  <c r="D11184" i="2"/>
  <c r="C11184" i="2"/>
  <c r="B11184" i="2"/>
  <c r="A11184" i="2"/>
  <c r="D11183" i="2"/>
  <c r="C11183" i="2"/>
  <c r="B11183" i="2"/>
  <c r="A11183" i="2"/>
  <c r="D11182" i="2"/>
  <c r="C11182" i="2"/>
  <c r="B11182" i="2"/>
  <c r="A11182" i="2"/>
  <c r="D11181" i="2"/>
  <c r="C11181" i="2"/>
  <c r="B11181" i="2"/>
  <c r="A11181" i="2"/>
  <c r="D11180" i="2"/>
  <c r="C11180" i="2"/>
  <c r="B11180" i="2"/>
  <c r="A11180" i="2"/>
  <c r="D11179" i="2"/>
  <c r="C11179" i="2"/>
  <c r="B11179" i="2"/>
  <c r="A11179" i="2"/>
  <c r="D11178" i="2"/>
  <c r="B11178" i="2"/>
  <c r="A11178" i="2"/>
  <c r="D11177" i="2"/>
  <c r="C11177" i="2"/>
  <c r="B11177" i="2"/>
  <c r="A11177" i="2"/>
  <c r="D11176" i="2"/>
  <c r="C11176" i="2"/>
  <c r="B11176" i="2"/>
  <c r="A11176" i="2"/>
  <c r="D11175" i="2"/>
  <c r="C11175" i="2"/>
  <c r="B11175" i="2"/>
  <c r="A11175" i="2"/>
  <c r="D11174" i="2"/>
  <c r="C11174" i="2"/>
  <c r="B11174" i="2"/>
  <c r="A11174" i="2"/>
  <c r="D11173" i="2"/>
  <c r="C11173" i="2"/>
  <c r="B11173" i="2"/>
  <c r="A11173" i="2"/>
  <c r="D11172" i="2"/>
  <c r="C11172" i="2"/>
  <c r="B11172" i="2"/>
  <c r="A11172" i="2"/>
  <c r="D11171" i="2"/>
  <c r="C11171" i="2"/>
  <c r="B11171" i="2"/>
  <c r="A11171" i="2"/>
  <c r="D11170" i="2"/>
  <c r="C11170" i="2"/>
  <c r="B11170" i="2"/>
  <c r="A11170" i="2"/>
  <c r="D11169" i="2"/>
  <c r="C11169" i="2"/>
  <c r="B11169" i="2"/>
  <c r="A11169" i="2"/>
  <c r="D11168" i="2"/>
  <c r="C11168" i="2"/>
  <c r="B11168" i="2"/>
  <c r="A11168" i="2"/>
  <c r="D11167" i="2"/>
  <c r="C11167" i="2"/>
  <c r="B11167" i="2"/>
  <c r="A11167" i="2"/>
  <c r="D11166" i="2"/>
  <c r="C11166" i="2"/>
  <c r="B11166" i="2"/>
  <c r="A11166" i="2"/>
  <c r="D11165" i="2"/>
  <c r="C11165" i="2"/>
  <c r="B11165" i="2"/>
  <c r="A11165" i="2"/>
  <c r="D11164" i="2"/>
  <c r="C11164" i="2"/>
  <c r="B11164" i="2"/>
  <c r="A11164" i="2"/>
  <c r="D11163" i="2"/>
  <c r="C11163" i="2"/>
  <c r="B11163" i="2"/>
  <c r="A11163" i="2"/>
  <c r="D11162" i="2"/>
  <c r="C11162" i="2"/>
  <c r="B11162" i="2"/>
  <c r="A11162" i="2"/>
  <c r="D11161" i="2"/>
  <c r="C11161" i="2"/>
  <c r="B11161" i="2"/>
  <c r="A11161" i="2"/>
  <c r="D11160" i="2"/>
  <c r="C11160" i="2"/>
  <c r="B11160" i="2"/>
  <c r="A11160" i="2"/>
  <c r="D11159" i="2"/>
  <c r="C11159" i="2"/>
  <c r="B11159" i="2"/>
  <c r="A11159" i="2"/>
  <c r="D11158" i="2"/>
  <c r="C11158" i="2"/>
  <c r="B11158" i="2"/>
  <c r="A11158" i="2"/>
  <c r="D11157" i="2"/>
  <c r="C11157" i="2"/>
  <c r="B11157" i="2"/>
  <c r="A11157" i="2"/>
  <c r="D11156" i="2"/>
  <c r="C11156" i="2"/>
  <c r="B11156" i="2"/>
  <c r="A11156" i="2"/>
  <c r="D11155" i="2"/>
  <c r="C11155" i="2"/>
  <c r="B11155" i="2"/>
  <c r="A11155" i="2"/>
  <c r="D11154" i="2"/>
  <c r="C11154" i="2"/>
  <c r="B11154" i="2"/>
  <c r="A11154" i="2"/>
  <c r="D11153" i="2"/>
  <c r="C11153" i="2"/>
  <c r="B11153" i="2"/>
  <c r="A11153" i="2"/>
  <c r="D11152" i="2"/>
  <c r="C11152" i="2"/>
  <c r="B11152" i="2"/>
  <c r="A11152" i="2"/>
  <c r="D11151" i="2"/>
  <c r="C11151" i="2"/>
  <c r="B11151" i="2"/>
  <c r="A11151" i="2"/>
  <c r="D11150" i="2"/>
  <c r="C11150" i="2"/>
  <c r="B11150" i="2"/>
  <c r="A11150" i="2"/>
  <c r="D11149" i="2"/>
  <c r="C11149" i="2"/>
  <c r="B11149" i="2"/>
  <c r="A11149" i="2"/>
  <c r="D11148" i="2"/>
  <c r="C11148" i="2"/>
  <c r="B11148" i="2"/>
  <c r="A11148" i="2"/>
  <c r="D11147" i="2"/>
  <c r="C11147" i="2"/>
  <c r="B11147" i="2"/>
  <c r="A11147" i="2"/>
  <c r="D11146" i="2"/>
  <c r="C11146" i="2"/>
  <c r="B11146" i="2"/>
  <c r="A11146" i="2"/>
  <c r="D11145" i="2"/>
  <c r="C11145" i="2"/>
  <c r="B11145" i="2"/>
  <c r="A11145" i="2"/>
  <c r="D11144" i="2"/>
  <c r="C11144" i="2"/>
  <c r="B11144" i="2"/>
  <c r="A11144" i="2"/>
  <c r="D11143" i="2"/>
  <c r="C11143" i="2"/>
  <c r="B11143" i="2"/>
  <c r="A11143" i="2"/>
  <c r="D11142" i="2"/>
  <c r="C11142" i="2"/>
  <c r="B11142" i="2"/>
  <c r="A11142" i="2"/>
  <c r="D11141" i="2"/>
  <c r="C11141" i="2"/>
  <c r="B11141" i="2"/>
  <c r="A11141" i="2"/>
  <c r="D11140" i="2"/>
  <c r="C11140" i="2"/>
  <c r="B11140" i="2"/>
  <c r="A11140" i="2"/>
  <c r="D11139" i="2"/>
  <c r="C11139" i="2"/>
  <c r="B11139" i="2"/>
  <c r="A11139" i="2"/>
  <c r="D11138" i="2"/>
  <c r="C11138" i="2"/>
  <c r="B11138" i="2"/>
  <c r="A11138" i="2"/>
  <c r="D11137" i="2"/>
  <c r="C11137" i="2"/>
  <c r="B11137" i="2"/>
  <c r="A11137" i="2"/>
  <c r="D11136" i="2"/>
  <c r="C11136" i="2"/>
  <c r="B11136" i="2"/>
  <c r="A11136" i="2"/>
  <c r="D11135" i="2"/>
  <c r="C11135" i="2"/>
  <c r="B11135" i="2"/>
  <c r="A11135" i="2"/>
  <c r="D11134" i="2"/>
  <c r="C11134" i="2"/>
  <c r="B11134" i="2"/>
  <c r="A11134" i="2"/>
  <c r="D11133" i="2"/>
  <c r="C11133" i="2"/>
  <c r="B11133" i="2"/>
  <c r="A11133" i="2"/>
  <c r="D11132" i="2"/>
  <c r="C11132" i="2"/>
  <c r="B11132" i="2"/>
  <c r="A11132" i="2"/>
  <c r="D11131" i="2"/>
  <c r="C11131" i="2"/>
  <c r="B11131" i="2"/>
  <c r="A11131" i="2"/>
  <c r="D11130" i="2"/>
  <c r="C11130" i="2"/>
  <c r="B11130" i="2"/>
  <c r="A11130" i="2"/>
  <c r="D11129" i="2"/>
  <c r="C11129" i="2"/>
  <c r="B11129" i="2"/>
  <c r="A11129" i="2"/>
  <c r="D11128" i="2"/>
  <c r="C11128" i="2"/>
  <c r="B11128" i="2"/>
  <c r="A11128" i="2"/>
  <c r="D11127" i="2"/>
  <c r="C11127" i="2"/>
  <c r="B11127" i="2"/>
  <c r="A11127" i="2"/>
  <c r="D11126" i="2"/>
  <c r="C11126" i="2"/>
  <c r="B11126" i="2"/>
  <c r="A11126" i="2"/>
  <c r="D11125" i="2"/>
  <c r="C11125" i="2"/>
  <c r="B11125" i="2"/>
  <c r="A11125" i="2"/>
  <c r="D11124" i="2"/>
  <c r="C11124" i="2"/>
  <c r="B11124" i="2"/>
  <c r="A11124" i="2"/>
  <c r="D11123" i="2"/>
  <c r="C11123" i="2"/>
  <c r="B11123" i="2"/>
  <c r="A11123" i="2"/>
  <c r="D11122" i="2"/>
  <c r="C11122" i="2"/>
  <c r="B11122" i="2"/>
  <c r="A11122" i="2"/>
  <c r="D11121" i="2"/>
  <c r="C11121" i="2"/>
  <c r="B11121" i="2"/>
  <c r="A11121" i="2"/>
  <c r="D11120" i="2"/>
  <c r="C11120" i="2"/>
  <c r="B11120" i="2"/>
  <c r="A11120" i="2"/>
  <c r="D11119" i="2"/>
  <c r="C11119" i="2"/>
  <c r="B11119" i="2"/>
  <c r="A11119" i="2"/>
  <c r="D11118" i="2"/>
  <c r="C11118" i="2"/>
  <c r="B11118" i="2"/>
  <c r="A11118" i="2"/>
  <c r="D11117" i="2"/>
  <c r="C11117" i="2"/>
  <c r="B11117" i="2"/>
  <c r="A11117" i="2"/>
  <c r="D11116" i="2"/>
  <c r="C11116" i="2"/>
  <c r="B11116" i="2"/>
  <c r="A11116" i="2"/>
  <c r="D11115" i="2"/>
  <c r="C11115" i="2"/>
  <c r="B11115" i="2"/>
  <c r="A11115" i="2"/>
  <c r="D11114" i="2"/>
  <c r="C11114" i="2"/>
  <c r="B11114" i="2"/>
  <c r="A11114" i="2"/>
  <c r="D11113" i="2"/>
  <c r="C11113" i="2"/>
  <c r="B11113" i="2"/>
  <c r="A11113" i="2"/>
  <c r="D11112" i="2"/>
  <c r="C11112" i="2"/>
  <c r="B11112" i="2"/>
  <c r="A11112" i="2"/>
  <c r="D11111" i="2"/>
  <c r="C11111" i="2"/>
  <c r="B11111" i="2"/>
  <c r="A11111" i="2"/>
  <c r="D11110" i="2"/>
  <c r="C11110" i="2"/>
  <c r="B11110" i="2"/>
  <c r="A11110" i="2"/>
  <c r="D11109" i="2"/>
  <c r="C11109" i="2"/>
  <c r="B11109" i="2"/>
  <c r="A11109" i="2"/>
  <c r="D11108" i="2"/>
  <c r="C11108" i="2"/>
  <c r="B11108" i="2"/>
  <c r="A11108" i="2"/>
  <c r="D11107" i="2"/>
  <c r="C11107" i="2"/>
  <c r="B11107" i="2"/>
  <c r="A11107" i="2"/>
  <c r="D11106" i="2"/>
  <c r="C11106" i="2"/>
  <c r="B11106" i="2"/>
  <c r="A11106" i="2"/>
  <c r="D11105" i="2"/>
  <c r="C11105" i="2"/>
  <c r="B11105" i="2"/>
  <c r="A11105" i="2"/>
  <c r="D11104" i="2"/>
  <c r="C11104" i="2"/>
  <c r="B11104" i="2"/>
  <c r="A11104" i="2"/>
  <c r="D11103" i="2"/>
  <c r="B11103" i="2"/>
  <c r="A11103" i="2"/>
  <c r="D11102" i="2"/>
  <c r="C11102" i="2"/>
  <c r="B11102" i="2"/>
  <c r="A11102" i="2"/>
  <c r="D11101" i="2"/>
  <c r="C11101" i="2"/>
  <c r="B11101" i="2"/>
  <c r="A11101" i="2"/>
  <c r="D11100" i="2"/>
  <c r="C11100" i="2"/>
  <c r="B11100" i="2"/>
  <c r="A11100" i="2"/>
  <c r="D11099" i="2"/>
  <c r="C11099" i="2"/>
  <c r="B11099" i="2"/>
  <c r="A11099" i="2"/>
  <c r="D11098" i="2"/>
  <c r="C11098" i="2"/>
  <c r="B11098" i="2"/>
  <c r="A11098" i="2"/>
  <c r="D11097" i="2"/>
  <c r="C11097" i="2"/>
  <c r="B11097" i="2"/>
  <c r="A11097" i="2"/>
  <c r="D11096" i="2"/>
  <c r="C11096" i="2"/>
  <c r="B11096" i="2"/>
  <c r="A11096" i="2"/>
  <c r="D11095" i="2"/>
  <c r="C11095" i="2"/>
  <c r="B11095" i="2"/>
  <c r="A11095" i="2"/>
  <c r="D11094" i="2"/>
  <c r="C11094" i="2"/>
  <c r="B11094" i="2"/>
  <c r="A11094" i="2"/>
  <c r="D11093" i="2"/>
  <c r="C11093" i="2"/>
  <c r="B11093" i="2"/>
  <c r="A11093" i="2"/>
  <c r="D11092" i="2"/>
  <c r="C11092" i="2"/>
  <c r="B11092" i="2"/>
  <c r="A11092" i="2"/>
  <c r="D11091" i="2"/>
  <c r="C11091" i="2"/>
  <c r="B11091" i="2"/>
  <c r="A11091" i="2"/>
  <c r="D11090" i="2"/>
  <c r="C11090" i="2"/>
  <c r="B11090" i="2"/>
  <c r="A11090" i="2"/>
  <c r="D11089" i="2"/>
  <c r="C11089" i="2"/>
  <c r="B11089" i="2"/>
  <c r="A11089" i="2"/>
  <c r="D11088" i="2"/>
  <c r="C11088" i="2"/>
  <c r="B11088" i="2"/>
  <c r="A11088" i="2"/>
  <c r="D11087" i="2"/>
  <c r="C11087" i="2"/>
  <c r="B11087" i="2"/>
  <c r="A11087" i="2"/>
  <c r="D11086" i="2"/>
  <c r="C11086" i="2"/>
  <c r="B11086" i="2"/>
  <c r="A11086" i="2"/>
  <c r="D11085" i="2"/>
  <c r="C11085" i="2"/>
  <c r="B11085" i="2"/>
  <c r="A11085" i="2"/>
  <c r="D11084" i="2"/>
  <c r="C11084" i="2"/>
  <c r="B11084" i="2"/>
  <c r="A11084" i="2"/>
  <c r="D11083" i="2"/>
  <c r="C11083" i="2"/>
  <c r="B11083" i="2"/>
  <c r="A11083" i="2"/>
  <c r="D11082" i="2"/>
  <c r="C11082" i="2"/>
  <c r="B11082" i="2"/>
  <c r="A11082" i="2"/>
  <c r="D11081" i="2"/>
  <c r="C11081" i="2"/>
  <c r="B11081" i="2"/>
  <c r="A11081" i="2"/>
  <c r="D11080" i="2"/>
  <c r="C11080" i="2"/>
  <c r="B11080" i="2"/>
  <c r="A11080" i="2"/>
  <c r="D11079" i="2"/>
  <c r="C11079" i="2"/>
  <c r="B11079" i="2"/>
  <c r="A11079" i="2"/>
  <c r="D11078" i="2"/>
  <c r="C11078" i="2"/>
  <c r="B11078" i="2"/>
  <c r="A11078" i="2"/>
  <c r="D11077" i="2"/>
  <c r="C11077" i="2"/>
  <c r="B11077" i="2"/>
  <c r="A11077" i="2"/>
  <c r="D11076" i="2"/>
  <c r="C11076" i="2"/>
  <c r="B11076" i="2"/>
  <c r="A11076" i="2"/>
  <c r="D11075" i="2"/>
  <c r="C11075" i="2"/>
  <c r="B11075" i="2"/>
  <c r="A11075" i="2"/>
  <c r="D11074" i="2"/>
  <c r="C11074" i="2"/>
  <c r="B11074" i="2"/>
  <c r="A11074" i="2"/>
  <c r="D11073" i="2"/>
  <c r="C11073" i="2"/>
  <c r="B11073" i="2"/>
  <c r="A11073" i="2"/>
  <c r="D11072" i="2"/>
  <c r="C11072" i="2"/>
  <c r="B11072" i="2"/>
  <c r="A11072" i="2"/>
  <c r="D11071" i="2"/>
  <c r="C11071" i="2"/>
  <c r="B11071" i="2"/>
  <c r="A11071" i="2"/>
  <c r="D11070" i="2"/>
  <c r="C11070" i="2"/>
  <c r="B11070" i="2"/>
  <c r="A11070" i="2"/>
  <c r="D11069" i="2"/>
  <c r="C11069" i="2"/>
  <c r="B11069" i="2"/>
  <c r="A11069" i="2"/>
  <c r="D11068" i="2"/>
  <c r="C11068" i="2"/>
  <c r="B11068" i="2"/>
  <c r="A11068" i="2"/>
  <c r="D11067" i="2"/>
  <c r="C11067" i="2"/>
  <c r="B11067" i="2"/>
  <c r="A11067" i="2"/>
  <c r="D11066" i="2"/>
  <c r="C11066" i="2"/>
  <c r="B11066" i="2"/>
  <c r="A11066" i="2"/>
  <c r="D11065" i="2"/>
  <c r="C11065" i="2"/>
  <c r="B11065" i="2"/>
  <c r="A11065" i="2"/>
  <c r="D11064" i="2"/>
  <c r="C11064" i="2"/>
  <c r="B11064" i="2"/>
  <c r="A11064" i="2"/>
  <c r="D11063" i="2"/>
  <c r="C11063" i="2"/>
  <c r="B11063" i="2"/>
  <c r="A11063" i="2"/>
  <c r="D11062" i="2"/>
  <c r="C11062" i="2"/>
  <c r="B11062" i="2"/>
  <c r="A11062" i="2"/>
  <c r="D11061" i="2"/>
  <c r="C11061" i="2"/>
  <c r="B11061" i="2"/>
  <c r="A11061" i="2"/>
  <c r="D11060" i="2"/>
  <c r="C11060" i="2"/>
  <c r="B11060" i="2"/>
  <c r="A11060" i="2"/>
  <c r="D11059" i="2"/>
  <c r="C11059" i="2"/>
  <c r="B11059" i="2"/>
  <c r="A11059" i="2"/>
  <c r="D11058" i="2"/>
  <c r="C11058" i="2"/>
  <c r="B11058" i="2"/>
  <c r="A11058" i="2"/>
  <c r="D11057" i="2"/>
  <c r="C11057" i="2"/>
  <c r="B11057" i="2"/>
  <c r="A11057" i="2"/>
  <c r="D11056" i="2"/>
  <c r="C11056" i="2"/>
  <c r="B11056" i="2"/>
  <c r="A11056" i="2"/>
  <c r="D11055" i="2"/>
  <c r="C11055" i="2"/>
  <c r="B11055" i="2"/>
  <c r="A11055" i="2"/>
  <c r="D11054" i="2"/>
  <c r="C11054" i="2"/>
  <c r="B11054" i="2"/>
  <c r="A11054" i="2"/>
  <c r="D11053" i="2"/>
  <c r="C11053" i="2"/>
  <c r="B11053" i="2"/>
  <c r="A11053" i="2"/>
  <c r="D11052" i="2"/>
  <c r="C11052" i="2"/>
  <c r="B11052" i="2"/>
  <c r="A11052" i="2"/>
  <c r="D11051" i="2"/>
  <c r="C11051" i="2"/>
  <c r="B11051" i="2"/>
  <c r="A11051" i="2"/>
  <c r="D11050" i="2"/>
  <c r="C11050" i="2"/>
  <c r="B11050" i="2"/>
  <c r="A11050" i="2"/>
  <c r="D11049" i="2"/>
  <c r="C11049" i="2"/>
  <c r="B11049" i="2"/>
  <c r="A11049" i="2"/>
  <c r="D11048" i="2"/>
  <c r="C11048" i="2"/>
  <c r="B11048" i="2"/>
  <c r="A11048" i="2"/>
  <c r="D11047" i="2"/>
  <c r="C11047" i="2"/>
  <c r="B11047" i="2"/>
  <c r="A11047" i="2"/>
  <c r="D11046" i="2"/>
  <c r="C11046" i="2"/>
  <c r="B11046" i="2"/>
  <c r="A11046" i="2"/>
  <c r="D11045" i="2"/>
  <c r="C11045" i="2"/>
  <c r="B11045" i="2"/>
  <c r="A11045" i="2"/>
  <c r="D11044" i="2"/>
  <c r="C11044" i="2"/>
  <c r="B11044" i="2"/>
  <c r="A11044" i="2"/>
  <c r="D11043" i="2"/>
  <c r="C11043" i="2"/>
  <c r="B11043" i="2"/>
  <c r="A11043" i="2"/>
  <c r="D11042" i="2"/>
  <c r="C11042" i="2"/>
  <c r="B11042" i="2"/>
  <c r="A11042" i="2"/>
  <c r="D11041" i="2"/>
  <c r="C11041" i="2"/>
  <c r="B11041" i="2"/>
  <c r="A11041" i="2"/>
  <c r="D11040" i="2"/>
  <c r="C11040" i="2"/>
  <c r="B11040" i="2"/>
  <c r="A11040" i="2"/>
  <c r="D11039" i="2"/>
  <c r="C11039" i="2"/>
  <c r="B11039" i="2"/>
  <c r="A11039" i="2"/>
  <c r="D11038" i="2"/>
  <c r="C11038" i="2"/>
  <c r="B11038" i="2"/>
  <c r="A11038" i="2"/>
  <c r="D11037" i="2"/>
  <c r="C11037" i="2"/>
  <c r="B11037" i="2"/>
  <c r="A11037" i="2"/>
  <c r="D11036" i="2"/>
  <c r="C11036" i="2"/>
  <c r="B11036" i="2"/>
  <c r="A11036" i="2"/>
  <c r="D11035" i="2"/>
  <c r="C11035" i="2"/>
  <c r="B11035" i="2"/>
  <c r="A11035" i="2"/>
  <c r="D11034" i="2"/>
  <c r="C11034" i="2"/>
  <c r="B11034" i="2"/>
  <c r="A11034" i="2"/>
  <c r="D11033" i="2"/>
  <c r="C11033" i="2"/>
  <c r="B11033" i="2"/>
  <c r="A11033" i="2"/>
  <c r="D11032" i="2"/>
  <c r="C11032" i="2"/>
  <c r="B11032" i="2"/>
  <c r="A11032" i="2"/>
  <c r="D11031" i="2"/>
  <c r="C11031" i="2"/>
  <c r="B11031" i="2"/>
  <c r="A11031" i="2"/>
  <c r="D11030" i="2"/>
  <c r="C11030" i="2"/>
  <c r="B11030" i="2"/>
  <c r="A11030" i="2"/>
  <c r="D11029" i="2"/>
  <c r="C11029" i="2"/>
  <c r="B11029" i="2"/>
  <c r="A11029" i="2"/>
  <c r="D11028" i="2"/>
  <c r="C11028" i="2"/>
  <c r="B11028" i="2"/>
  <c r="A11028" i="2"/>
  <c r="D11027" i="2"/>
  <c r="C11027" i="2"/>
  <c r="B11027" i="2"/>
  <c r="A11027" i="2"/>
  <c r="D11026" i="2"/>
  <c r="C11026" i="2"/>
  <c r="B11026" i="2"/>
  <c r="A11026" i="2"/>
  <c r="D11025" i="2"/>
  <c r="C11025" i="2"/>
  <c r="B11025" i="2"/>
  <c r="A11025" i="2"/>
  <c r="D11024" i="2"/>
  <c r="C11024" i="2"/>
  <c r="B11024" i="2"/>
  <c r="A11024" i="2"/>
  <c r="D11023" i="2"/>
  <c r="C11023" i="2"/>
  <c r="B11023" i="2"/>
  <c r="A11023" i="2"/>
  <c r="D11022" i="2"/>
  <c r="C11022" i="2"/>
  <c r="B11022" i="2"/>
  <c r="A11022" i="2"/>
  <c r="D11021" i="2"/>
  <c r="C11021" i="2"/>
  <c r="B11021" i="2"/>
  <c r="A11021" i="2"/>
  <c r="D11020" i="2"/>
  <c r="C11020" i="2"/>
  <c r="B11020" i="2"/>
  <c r="A11020" i="2"/>
  <c r="D11019" i="2"/>
  <c r="C11019" i="2"/>
  <c r="B11019" i="2"/>
  <c r="A11019" i="2"/>
  <c r="D11018" i="2"/>
  <c r="C11018" i="2"/>
  <c r="B11018" i="2"/>
  <c r="A11018" i="2"/>
  <c r="D11017" i="2"/>
  <c r="C11017" i="2"/>
  <c r="B11017" i="2"/>
  <c r="A11017" i="2"/>
  <c r="D11016" i="2"/>
  <c r="C11016" i="2"/>
  <c r="B11016" i="2"/>
  <c r="A11016" i="2"/>
  <c r="D11015" i="2"/>
  <c r="C11015" i="2"/>
  <c r="B11015" i="2"/>
  <c r="A11015" i="2"/>
  <c r="D11014" i="2"/>
  <c r="C11014" i="2"/>
  <c r="B11014" i="2"/>
  <c r="A11014" i="2"/>
  <c r="D11013" i="2"/>
  <c r="C11013" i="2"/>
  <c r="B11013" i="2"/>
  <c r="A11013" i="2"/>
  <c r="D11012" i="2"/>
  <c r="C11012" i="2"/>
  <c r="B11012" i="2"/>
  <c r="A11012" i="2"/>
  <c r="D11011" i="2"/>
  <c r="C11011" i="2"/>
  <c r="B11011" i="2"/>
  <c r="A11011" i="2"/>
  <c r="D11010" i="2"/>
  <c r="C11010" i="2"/>
  <c r="B11010" i="2"/>
  <c r="A11010" i="2"/>
  <c r="D11009" i="2"/>
  <c r="C11009" i="2"/>
  <c r="B11009" i="2"/>
  <c r="A11009" i="2"/>
  <c r="D11008" i="2"/>
  <c r="C11008" i="2"/>
  <c r="B11008" i="2"/>
  <c r="A11008" i="2"/>
  <c r="D11007" i="2"/>
  <c r="C11007" i="2"/>
  <c r="B11007" i="2"/>
  <c r="A11007" i="2"/>
  <c r="D11006" i="2"/>
  <c r="C11006" i="2"/>
  <c r="B11006" i="2"/>
  <c r="A11006" i="2"/>
  <c r="D11005" i="2"/>
  <c r="C11005" i="2"/>
  <c r="B11005" i="2"/>
  <c r="A11005" i="2"/>
  <c r="D11004" i="2"/>
  <c r="C11004" i="2"/>
  <c r="B11004" i="2"/>
  <c r="A11004" i="2"/>
  <c r="D11003" i="2"/>
  <c r="C11003" i="2"/>
  <c r="B11003" i="2"/>
  <c r="A11003" i="2"/>
  <c r="D11002" i="2"/>
  <c r="C11002" i="2"/>
  <c r="B11002" i="2"/>
  <c r="A11002" i="2"/>
  <c r="D11001" i="2"/>
  <c r="C11001" i="2"/>
  <c r="B11001" i="2"/>
  <c r="A11001" i="2"/>
  <c r="D11000" i="2"/>
  <c r="C11000" i="2"/>
  <c r="B11000" i="2"/>
  <c r="A11000" i="2"/>
  <c r="D10999" i="2"/>
  <c r="C10999" i="2"/>
  <c r="B10999" i="2"/>
  <c r="A10999" i="2"/>
  <c r="D10998" i="2"/>
  <c r="C10998" i="2"/>
  <c r="B10998" i="2"/>
  <c r="A10998" i="2"/>
  <c r="D10997" i="2"/>
  <c r="C10997" i="2"/>
  <c r="B10997" i="2"/>
  <c r="A10997" i="2"/>
  <c r="D10996" i="2"/>
  <c r="C10996" i="2"/>
  <c r="B10996" i="2"/>
  <c r="A10996" i="2"/>
  <c r="D10995" i="2"/>
  <c r="C10995" i="2"/>
  <c r="B10995" i="2"/>
  <c r="A10995" i="2"/>
  <c r="D10994" i="2"/>
  <c r="C10994" i="2"/>
  <c r="B10994" i="2"/>
  <c r="A10994" i="2"/>
  <c r="D10993" i="2"/>
  <c r="C10993" i="2"/>
  <c r="B10993" i="2"/>
  <c r="A10993" i="2"/>
  <c r="D10992" i="2"/>
  <c r="C10992" i="2"/>
  <c r="B10992" i="2"/>
  <c r="A10992" i="2"/>
  <c r="D10991" i="2"/>
  <c r="C10991" i="2"/>
  <c r="B10991" i="2"/>
  <c r="A10991" i="2"/>
  <c r="D10990" i="2"/>
  <c r="C10990" i="2"/>
  <c r="B10990" i="2"/>
  <c r="A10990" i="2"/>
  <c r="D10989" i="2"/>
  <c r="C10989" i="2"/>
  <c r="B10989" i="2"/>
  <c r="A10989" i="2"/>
  <c r="D10988" i="2"/>
  <c r="C10988" i="2"/>
  <c r="B10988" i="2"/>
  <c r="A10988" i="2"/>
  <c r="D10987" i="2"/>
  <c r="C10987" i="2"/>
  <c r="B10987" i="2"/>
  <c r="A10987" i="2"/>
  <c r="D10986" i="2"/>
  <c r="C10986" i="2"/>
  <c r="B10986" i="2"/>
  <c r="A10986" i="2"/>
  <c r="D10985" i="2"/>
  <c r="C10985" i="2"/>
  <c r="B10985" i="2"/>
  <c r="A10985" i="2"/>
  <c r="D10984" i="2"/>
  <c r="C10984" i="2"/>
  <c r="B10984" i="2"/>
  <c r="A10984" i="2"/>
  <c r="D10983" i="2"/>
  <c r="C10983" i="2"/>
  <c r="B10983" i="2"/>
  <c r="A10983" i="2"/>
  <c r="D10982" i="2"/>
  <c r="C10982" i="2"/>
  <c r="B10982" i="2"/>
  <c r="A10982" i="2"/>
  <c r="D10981" i="2"/>
  <c r="C10981" i="2"/>
  <c r="B10981" i="2"/>
  <c r="A10981" i="2"/>
  <c r="D10980" i="2"/>
  <c r="C10980" i="2"/>
  <c r="B10980" i="2"/>
  <c r="A10980" i="2"/>
  <c r="D10979" i="2"/>
  <c r="C10979" i="2"/>
  <c r="B10979" i="2"/>
  <c r="A10979" i="2"/>
  <c r="D10978" i="2"/>
  <c r="C10978" i="2"/>
  <c r="B10978" i="2"/>
  <c r="A10978" i="2"/>
  <c r="D10977" i="2"/>
  <c r="C10977" i="2"/>
  <c r="B10977" i="2"/>
  <c r="A10977" i="2"/>
  <c r="D10976" i="2"/>
  <c r="C10976" i="2"/>
  <c r="B10976" i="2"/>
  <c r="A10976" i="2"/>
  <c r="D10975" i="2"/>
  <c r="C10975" i="2"/>
  <c r="B10975" i="2"/>
  <c r="A10975" i="2"/>
  <c r="D10974" i="2"/>
  <c r="C10974" i="2"/>
  <c r="B10974" i="2"/>
  <c r="A10974" i="2"/>
  <c r="D10973" i="2"/>
  <c r="C10973" i="2"/>
  <c r="B10973" i="2"/>
  <c r="A10973" i="2"/>
  <c r="D10972" i="2"/>
  <c r="C10972" i="2"/>
  <c r="B10972" i="2"/>
  <c r="A10972" i="2"/>
  <c r="D10971" i="2"/>
  <c r="C10971" i="2"/>
  <c r="B10971" i="2"/>
  <c r="A10971" i="2"/>
  <c r="D10970" i="2"/>
  <c r="C10970" i="2"/>
  <c r="B10970" i="2"/>
  <c r="A10970" i="2"/>
  <c r="D10969" i="2"/>
  <c r="C10969" i="2"/>
  <c r="B10969" i="2"/>
  <c r="A10969" i="2"/>
  <c r="D10968" i="2"/>
  <c r="C10968" i="2"/>
  <c r="B10968" i="2"/>
  <c r="A10968" i="2"/>
  <c r="D10967" i="2"/>
  <c r="C10967" i="2"/>
  <c r="B10967" i="2"/>
  <c r="A10967" i="2"/>
  <c r="D10966" i="2"/>
  <c r="C10966" i="2"/>
  <c r="B10966" i="2"/>
  <c r="A10966" i="2"/>
  <c r="D10965" i="2"/>
  <c r="C10965" i="2"/>
  <c r="B10965" i="2"/>
  <c r="A10965" i="2"/>
  <c r="D10964" i="2"/>
  <c r="C10964" i="2"/>
  <c r="B10964" i="2"/>
  <c r="A10964" i="2"/>
  <c r="D10963" i="2"/>
  <c r="C10963" i="2"/>
  <c r="B10963" i="2"/>
  <c r="A10963" i="2"/>
  <c r="D10962" i="2"/>
  <c r="C10962" i="2"/>
  <c r="B10962" i="2"/>
  <c r="A10962" i="2"/>
  <c r="D10961" i="2"/>
  <c r="C10961" i="2"/>
  <c r="B10961" i="2"/>
  <c r="A10961" i="2"/>
  <c r="D10960" i="2"/>
  <c r="C10960" i="2"/>
  <c r="B10960" i="2"/>
  <c r="A10960" i="2"/>
  <c r="D10959" i="2"/>
  <c r="C10959" i="2"/>
  <c r="B10959" i="2"/>
  <c r="A10959" i="2"/>
  <c r="D10958" i="2"/>
  <c r="C10958" i="2"/>
  <c r="B10958" i="2"/>
  <c r="A10958" i="2"/>
  <c r="D10957" i="2"/>
  <c r="C10957" i="2"/>
  <c r="B10957" i="2"/>
  <c r="A10957" i="2"/>
  <c r="D10956" i="2"/>
  <c r="C10956" i="2"/>
  <c r="B10956" i="2"/>
  <c r="A10956" i="2"/>
  <c r="D10955" i="2"/>
  <c r="C10955" i="2"/>
  <c r="B10955" i="2"/>
  <c r="A10955" i="2"/>
  <c r="D10954" i="2"/>
  <c r="C10954" i="2"/>
  <c r="B10954" i="2"/>
  <c r="A10954" i="2"/>
  <c r="D10953" i="2"/>
  <c r="C10953" i="2"/>
  <c r="B10953" i="2"/>
  <c r="A10953" i="2"/>
  <c r="D10952" i="2"/>
  <c r="C10952" i="2"/>
  <c r="B10952" i="2"/>
  <c r="A10952" i="2"/>
  <c r="D10951" i="2"/>
  <c r="C10951" i="2"/>
  <c r="B10951" i="2"/>
  <c r="A10951" i="2"/>
  <c r="D10950" i="2"/>
  <c r="C10950" i="2"/>
  <c r="B10950" i="2"/>
  <c r="A10950" i="2"/>
  <c r="D10949" i="2"/>
  <c r="C10949" i="2"/>
  <c r="B10949" i="2"/>
  <c r="A10949" i="2"/>
  <c r="D10948" i="2"/>
  <c r="C10948" i="2"/>
  <c r="B10948" i="2"/>
  <c r="A10948" i="2"/>
  <c r="D10947" i="2"/>
  <c r="C10947" i="2"/>
  <c r="B10947" i="2"/>
  <c r="A10947" i="2"/>
  <c r="D10946" i="2"/>
  <c r="C10946" i="2"/>
  <c r="B10946" i="2"/>
  <c r="A10946" i="2"/>
  <c r="D10945" i="2"/>
  <c r="C10945" i="2"/>
  <c r="B10945" i="2"/>
  <c r="A10945" i="2"/>
  <c r="D10944" i="2"/>
  <c r="C10944" i="2"/>
  <c r="B10944" i="2"/>
  <c r="A10944" i="2"/>
  <c r="D10943" i="2"/>
  <c r="C10943" i="2"/>
  <c r="B10943" i="2"/>
  <c r="A10943" i="2"/>
  <c r="D10942" i="2"/>
  <c r="C10942" i="2"/>
  <c r="B10942" i="2"/>
  <c r="A10942" i="2"/>
  <c r="D10941" i="2"/>
  <c r="C10941" i="2"/>
  <c r="B10941" i="2"/>
  <c r="A10941" i="2"/>
  <c r="D10940" i="2"/>
  <c r="C10940" i="2"/>
  <c r="B10940" i="2"/>
  <c r="A10940" i="2"/>
  <c r="D10939" i="2"/>
  <c r="C10939" i="2"/>
  <c r="B10939" i="2"/>
  <c r="A10939" i="2"/>
  <c r="D10938" i="2"/>
  <c r="C10938" i="2"/>
  <c r="B10938" i="2"/>
  <c r="A10938" i="2"/>
  <c r="D10937" i="2"/>
  <c r="C10937" i="2"/>
  <c r="B10937" i="2"/>
  <c r="A10937" i="2"/>
  <c r="D10936" i="2"/>
  <c r="C10936" i="2"/>
  <c r="B10936" i="2"/>
  <c r="A10936" i="2"/>
  <c r="D10935" i="2"/>
  <c r="C10935" i="2"/>
  <c r="B10935" i="2"/>
  <c r="A10935" i="2"/>
  <c r="D10934" i="2"/>
  <c r="C10934" i="2"/>
  <c r="B10934" i="2"/>
  <c r="A10934" i="2"/>
  <c r="D10933" i="2"/>
  <c r="C10933" i="2"/>
  <c r="B10933" i="2"/>
  <c r="A10933" i="2"/>
  <c r="D10932" i="2"/>
  <c r="C10932" i="2"/>
  <c r="B10932" i="2"/>
  <c r="A10932" i="2"/>
  <c r="D10931" i="2"/>
  <c r="C10931" i="2"/>
  <c r="B10931" i="2"/>
  <c r="A10931" i="2"/>
  <c r="D10930" i="2"/>
  <c r="C10930" i="2"/>
  <c r="B10930" i="2"/>
  <c r="A10930" i="2"/>
  <c r="D10929" i="2"/>
  <c r="C10929" i="2"/>
  <c r="B10929" i="2"/>
  <c r="A10929" i="2"/>
  <c r="D10928" i="2"/>
  <c r="C10928" i="2"/>
  <c r="B10928" i="2"/>
  <c r="A10928" i="2"/>
  <c r="D10927" i="2"/>
  <c r="C10927" i="2"/>
  <c r="B10927" i="2"/>
  <c r="A10927" i="2"/>
  <c r="D10926" i="2"/>
  <c r="C10926" i="2"/>
  <c r="B10926" i="2"/>
  <c r="A10926" i="2"/>
  <c r="D10925" i="2"/>
  <c r="C10925" i="2"/>
  <c r="B10925" i="2"/>
  <c r="A10925" i="2"/>
  <c r="D10924" i="2"/>
  <c r="C10924" i="2"/>
  <c r="B10924" i="2"/>
  <c r="A10924" i="2"/>
  <c r="D10923" i="2"/>
  <c r="C10923" i="2"/>
  <c r="B10923" i="2"/>
  <c r="A10923" i="2"/>
  <c r="D10922" i="2"/>
  <c r="C10922" i="2"/>
  <c r="B10922" i="2"/>
  <c r="A10922" i="2"/>
  <c r="D10921" i="2"/>
  <c r="C10921" i="2"/>
  <c r="B10921" i="2"/>
  <c r="A10921" i="2"/>
  <c r="D10920" i="2"/>
  <c r="C10920" i="2"/>
  <c r="B10920" i="2"/>
  <c r="A10920" i="2"/>
  <c r="D10919" i="2"/>
  <c r="C10919" i="2"/>
  <c r="B10919" i="2"/>
  <c r="A10919" i="2"/>
  <c r="D10918" i="2"/>
  <c r="C10918" i="2"/>
  <c r="B10918" i="2"/>
  <c r="A10918" i="2"/>
  <c r="D10917" i="2"/>
  <c r="C10917" i="2"/>
  <c r="B10917" i="2"/>
  <c r="A10917" i="2"/>
  <c r="D10916" i="2"/>
  <c r="C10916" i="2"/>
  <c r="B10916" i="2"/>
  <c r="A10916" i="2"/>
  <c r="D10915" i="2"/>
  <c r="C10915" i="2"/>
  <c r="B10915" i="2"/>
  <c r="A10915" i="2"/>
  <c r="D10914" i="2"/>
  <c r="C10914" i="2"/>
  <c r="B10914" i="2"/>
  <c r="A10914" i="2"/>
  <c r="D10913" i="2"/>
  <c r="C10913" i="2"/>
  <c r="B10913" i="2"/>
  <c r="A10913" i="2"/>
  <c r="D10912" i="2"/>
  <c r="C10912" i="2"/>
  <c r="B10912" i="2"/>
  <c r="A10912" i="2"/>
  <c r="D10911" i="2"/>
  <c r="C10911" i="2"/>
  <c r="B10911" i="2"/>
  <c r="A10911" i="2"/>
  <c r="D10910" i="2"/>
  <c r="C10910" i="2"/>
  <c r="B10910" i="2"/>
  <c r="A10910" i="2"/>
  <c r="D10909" i="2"/>
  <c r="C10909" i="2"/>
  <c r="B10909" i="2"/>
  <c r="A10909" i="2"/>
  <c r="D10908" i="2"/>
  <c r="C10908" i="2"/>
  <c r="B10908" i="2"/>
  <c r="A10908" i="2"/>
  <c r="D10907" i="2"/>
  <c r="C10907" i="2"/>
  <c r="B10907" i="2"/>
  <c r="A10907" i="2"/>
  <c r="D10906" i="2"/>
  <c r="C10906" i="2"/>
  <c r="B10906" i="2"/>
  <c r="A10906" i="2"/>
  <c r="D10905" i="2"/>
  <c r="C10905" i="2"/>
  <c r="B10905" i="2"/>
  <c r="A10905" i="2"/>
  <c r="D10904" i="2"/>
  <c r="C10904" i="2"/>
  <c r="B10904" i="2"/>
  <c r="A10904" i="2"/>
  <c r="D10903" i="2"/>
  <c r="C10903" i="2"/>
  <c r="B10903" i="2"/>
  <c r="A10903" i="2"/>
  <c r="D10902" i="2"/>
  <c r="C10902" i="2"/>
  <c r="B10902" i="2"/>
  <c r="A10902" i="2"/>
  <c r="D10901" i="2"/>
  <c r="C10901" i="2"/>
  <c r="B10901" i="2"/>
  <c r="A10901" i="2"/>
  <c r="D10900" i="2"/>
  <c r="C10900" i="2"/>
  <c r="B10900" i="2"/>
  <c r="A10900" i="2"/>
  <c r="D10899" i="2"/>
  <c r="C10899" i="2"/>
  <c r="B10899" i="2"/>
  <c r="A10899" i="2"/>
  <c r="D10898" i="2"/>
  <c r="C10898" i="2"/>
  <c r="B10898" i="2"/>
  <c r="A10898" i="2"/>
  <c r="D10897" i="2"/>
  <c r="C10897" i="2"/>
  <c r="B10897" i="2"/>
  <c r="A10897" i="2"/>
  <c r="D10896" i="2"/>
  <c r="C10896" i="2"/>
  <c r="B10896" i="2"/>
  <c r="A10896" i="2"/>
  <c r="D10895" i="2"/>
  <c r="C10895" i="2"/>
  <c r="B10895" i="2"/>
  <c r="A10895" i="2"/>
  <c r="D10894" i="2"/>
  <c r="C10894" i="2"/>
  <c r="B10894" i="2"/>
  <c r="A10894" i="2"/>
  <c r="D10893" i="2"/>
  <c r="B10893" i="2"/>
  <c r="A10893" i="2"/>
  <c r="D10892" i="2"/>
  <c r="C10892" i="2"/>
  <c r="B10892" i="2"/>
  <c r="A10892" i="2"/>
  <c r="D10891" i="2"/>
  <c r="C10891" i="2"/>
  <c r="B10891" i="2"/>
  <c r="A10891" i="2"/>
  <c r="D10890" i="2"/>
  <c r="C10890" i="2"/>
  <c r="B10890" i="2"/>
  <c r="A10890" i="2"/>
  <c r="D10889" i="2"/>
  <c r="C10889" i="2"/>
  <c r="B10889" i="2"/>
  <c r="A10889" i="2"/>
  <c r="D10888" i="2"/>
  <c r="C10888" i="2"/>
  <c r="B10888" i="2"/>
  <c r="A10888" i="2"/>
  <c r="D10887" i="2"/>
  <c r="C10887" i="2"/>
  <c r="B10887" i="2"/>
  <c r="A10887" i="2"/>
  <c r="D10886" i="2"/>
  <c r="C10886" i="2"/>
  <c r="B10886" i="2"/>
  <c r="A10886" i="2"/>
  <c r="D10885" i="2"/>
  <c r="C10885" i="2"/>
  <c r="B10885" i="2"/>
  <c r="A10885" i="2"/>
  <c r="D10884" i="2"/>
  <c r="C10884" i="2"/>
  <c r="B10884" i="2"/>
  <c r="A10884" i="2"/>
  <c r="D10883" i="2"/>
  <c r="C10883" i="2"/>
  <c r="B10883" i="2"/>
  <c r="A10883" i="2"/>
  <c r="D10882" i="2"/>
  <c r="C10882" i="2"/>
  <c r="B10882" i="2"/>
  <c r="A10882" i="2"/>
  <c r="D10881" i="2"/>
  <c r="C10881" i="2"/>
  <c r="B10881" i="2"/>
  <c r="A10881" i="2"/>
  <c r="D10880" i="2"/>
  <c r="C10880" i="2"/>
  <c r="B10880" i="2"/>
  <c r="A10880" i="2"/>
  <c r="D10879" i="2"/>
  <c r="C10879" i="2"/>
  <c r="B10879" i="2"/>
  <c r="A10879" i="2"/>
  <c r="D10878" i="2"/>
  <c r="C10878" i="2"/>
  <c r="B10878" i="2"/>
  <c r="A10878" i="2"/>
  <c r="D10877" i="2"/>
  <c r="C10877" i="2"/>
  <c r="B10877" i="2"/>
  <c r="A10877" i="2"/>
  <c r="D10876" i="2"/>
  <c r="C10876" i="2"/>
  <c r="B10876" i="2"/>
  <c r="A10876" i="2"/>
  <c r="D10875" i="2"/>
  <c r="C10875" i="2"/>
  <c r="B10875" i="2"/>
  <c r="A10875" i="2"/>
  <c r="D10874" i="2"/>
  <c r="B10874" i="2"/>
  <c r="A10874" i="2"/>
  <c r="D10873" i="2"/>
  <c r="C10873" i="2"/>
  <c r="B10873" i="2"/>
  <c r="A10873" i="2"/>
  <c r="D10872" i="2"/>
  <c r="C10872" i="2"/>
  <c r="B10872" i="2"/>
  <c r="A10872" i="2"/>
  <c r="D10871" i="2"/>
  <c r="C10871" i="2"/>
  <c r="B10871" i="2"/>
  <c r="A10871" i="2"/>
  <c r="D10870" i="2"/>
  <c r="C10870" i="2"/>
  <c r="B10870" i="2"/>
  <c r="A10870" i="2"/>
  <c r="D10869" i="2"/>
  <c r="C10869" i="2"/>
  <c r="B10869" i="2"/>
  <c r="A10869" i="2"/>
  <c r="D10868" i="2"/>
  <c r="B10868" i="2"/>
  <c r="A10868" i="2"/>
  <c r="D10867" i="2"/>
  <c r="C10867" i="2"/>
  <c r="B10867" i="2"/>
  <c r="A10867" i="2"/>
  <c r="D10866" i="2"/>
  <c r="B10866" i="2"/>
  <c r="A10866" i="2"/>
  <c r="D10865" i="2"/>
  <c r="C10865" i="2"/>
  <c r="B10865" i="2"/>
  <c r="A10865" i="2"/>
  <c r="D10864" i="2"/>
  <c r="C10864" i="2"/>
  <c r="B10864" i="2"/>
  <c r="A10864" i="2"/>
  <c r="D10863" i="2"/>
  <c r="C10863" i="2"/>
  <c r="B10863" i="2"/>
  <c r="A10863" i="2"/>
  <c r="D10862" i="2"/>
  <c r="C10862" i="2"/>
  <c r="B10862" i="2"/>
  <c r="A10862" i="2"/>
  <c r="D10861" i="2"/>
  <c r="B10861" i="2"/>
  <c r="A10861" i="2"/>
  <c r="D10860" i="2"/>
  <c r="B10860" i="2"/>
  <c r="A10860" i="2"/>
  <c r="D10859" i="2"/>
  <c r="C10859" i="2"/>
  <c r="B10859" i="2"/>
  <c r="A10859" i="2"/>
  <c r="D10858" i="2"/>
  <c r="C10858" i="2"/>
  <c r="B10858" i="2"/>
  <c r="A10858" i="2"/>
  <c r="D10857" i="2"/>
  <c r="B10857" i="2"/>
  <c r="A10857" i="2"/>
  <c r="D10856" i="2"/>
  <c r="B10856" i="2"/>
  <c r="A10856" i="2"/>
  <c r="D10855" i="2"/>
  <c r="C10855" i="2"/>
  <c r="B10855" i="2"/>
  <c r="A10855" i="2"/>
  <c r="D10854" i="2"/>
  <c r="B10854" i="2"/>
  <c r="A10854" i="2"/>
  <c r="D10853" i="2"/>
  <c r="C10853" i="2"/>
  <c r="B10853" i="2"/>
  <c r="A10853" i="2"/>
  <c r="D10852" i="2"/>
  <c r="C10852" i="2"/>
  <c r="B10852" i="2"/>
  <c r="A10852" i="2"/>
  <c r="D10851" i="2"/>
  <c r="B10851" i="2"/>
  <c r="A10851" i="2"/>
  <c r="D10850" i="2"/>
  <c r="C10850" i="2"/>
  <c r="B10850" i="2"/>
  <c r="A10850" i="2"/>
  <c r="D10849" i="2"/>
  <c r="C10849" i="2"/>
  <c r="B10849" i="2"/>
  <c r="A10849" i="2"/>
  <c r="D10848" i="2"/>
  <c r="B10848" i="2"/>
  <c r="A10848" i="2"/>
  <c r="D10847" i="2"/>
  <c r="C10847" i="2"/>
  <c r="B10847" i="2"/>
  <c r="A10847" i="2"/>
  <c r="D10846" i="2"/>
  <c r="C10846" i="2"/>
  <c r="B10846" i="2"/>
  <c r="A10846" i="2"/>
  <c r="D10845" i="2"/>
  <c r="C10845" i="2"/>
  <c r="B10845" i="2"/>
  <c r="A10845" i="2"/>
  <c r="D10844" i="2"/>
  <c r="C10844" i="2"/>
  <c r="B10844" i="2"/>
  <c r="A10844" i="2"/>
  <c r="D10843" i="2"/>
  <c r="C10843" i="2"/>
  <c r="B10843" i="2"/>
  <c r="A10843" i="2"/>
  <c r="D10842" i="2"/>
  <c r="C10842" i="2"/>
  <c r="B10842" i="2"/>
  <c r="A10842" i="2"/>
  <c r="D10841" i="2"/>
  <c r="B10841" i="2"/>
  <c r="A10841" i="2"/>
  <c r="D10840" i="2"/>
  <c r="C10840" i="2"/>
  <c r="B10840" i="2"/>
  <c r="A10840" i="2"/>
  <c r="D10839" i="2"/>
  <c r="C10839" i="2"/>
  <c r="B10839" i="2"/>
  <c r="A10839" i="2"/>
  <c r="D10838" i="2"/>
  <c r="C10838" i="2"/>
  <c r="B10838" i="2"/>
  <c r="A10838" i="2"/>
  <c r="D10837" i="2"/>
  <c r="C10837" i="2"/>
  <c r="B10837" i="2"/>
  <c r="A10837" i="2"/>
  <c r="D10836" i="2"/>
  <c r="C10836" i="2"/>
  <c r="B10836" i="2"/>
  <c r="A10836" i="2"/>
  <c r="D10835" i="2"/>
  <c r="C10835" i="2"/>
  <c r="B10835" i="2"/>
  <c r="A10835" i="2"/>
  <c r="D10834" i="2"/>
  <c r="B10834" i="2"/>
  <c r="A10834" i="2"/>
  <c r="D10833" i="2"/>
  <c r="B10833" i="2"/>
  <c r="A10833" i="2"/>
  <c r="D10832" i="2"/>
  <c r="B10832" i="2"/>
  <c r="A10832" i="2"/>
  <c r="D10831" i="2"/>
  <c r="B10831" i="2"/>
  <c r="A10831" i="2"/>
  <c r="D10830" i="2"/>
  <c r="B10830" i="2"/>
  <c r="A10830" i="2"/>
  <c r="D10829" i="2"/>
  <c r="C10829" i="2"/>
  <c r="B10829" i="2"/>
  <c r="A10829" i="2"/>
  <c r="D10828" i="2"/>
  <c r="C10828" i="2"/>
  <c r="B10828" i="2"/>
  <c r="A10828" i="2"/>
  <c r="D10827" i="2"/>
  <c r="C10827" i="2"/>
  <c r="B10827" i="2"/>
  <c r="A10827" i="2"/>
  <c r="D10826" i="2"/>
  <c r="B10826" i="2"/>
  <c r="A10826" i="2"/>
  <c r="D10825" i="2"/>
  <c r="C10825" i="2"/>
  <c r="B10825" i="2"/>
  <c r="A10825" i="2"/>
  <c r="D10824" i="2"/>
  <c r="C10824" i="2"/>
  <c r="B10824" i="2"/>
  <c r="A10824" i="2"/>
  <c r="D10823" i="2"/>
  <c r="C10823" i="2"/>
  <c r="B10823" i="2"/>
  <c r="A10823" i="2"/>
  <c r="D10822" i="2"/>
  <c r="C10822" i="2"/>
  <c r="B10822" i="2"/>
  <c r="A10822" i="2"/>
  <c r="D10821" i="2"/>
  <c r="B10821" i="2"/>
  <c r="A10821" i="2"/>
  <c r="D10820" i="2"/>
  <c r="C10820" i="2"/>
  <c r="B10820" i="2"/>
  <c r="A10820" i="2"/>
  <c r="D10819" i="2"/>
  <c r="C10819" i="2"/>
  <c r="B10819" i="2"/>
  <c r="A10819" i="2"/>
  <c r="D10818" i="2"/>
  <c r="C10818" i="2"/>
  <c r="B10818" i="2"/>
  <c r="A10818" i="2"/>
  <c r="D10817" i="2"/>
  <c r="C10817" i="2"/>
  <c r="B10817" i="2"/>
  <c r="A10817" i="2"/>
  <c r="D10816" i="2"/>
  <c r="C10816" i="2"/>
  <c r="B10816" i="2"/>
  <c r="A10816" i="2"/>
  <c r="D10815" i="2"/>
  <c r="C10815" i="2"/>
  <c r="B10815" i="2"/>
  <c r="A10815" i="2"/>
  <c r="D10814" i="2"/>
  <c r="C10814" i="2"/>
  <c r="B10814" i="2"/>
  <c r="A10814" i="2"/>
  <c r="D10813" i="2"/>
  <c r="C10813" i="2"/>
  <c r="B10813" i="2"/>
  <c r="A10813" i="2"/>
  <c r="D10812" i="2"/>
  <c r="C10812" i="2"/>
  <c r="B10812" i="2"/>
  <c r="A10812" i="2"/>
  <c r="D10811" i="2"/>
  <c r="C10811" i="2"/>
  <c r="B10811" i="2"/>
  <c r="A10811" i="2"/>
  <c r="D10810" i="2"/>
  <c r="C10810" i="2"/>
  <c r="B10810" i="2"/>
  <c r="A10810" i="2"/>
  <c r="D10809" i="2"/>
  <c r="C10809" i="2"/>
  <c r="B10809" i="2"/>
  <c r="A10809" i="2"/>
  <c r="D10808" i="2"/>
  <c r="C10808" i="2"/>
  <c r="B10808" i="2"/>
  <c r="A10808" i="2"/>
  <c r="D10807" i="2"/>
  <c r="C10807" i="2"/>
  <c r="B10807" i="2"/>
  <c r="A10807" i="2"/>
  <c r="D10806" i="2"/>
  <c r="C10806" i="2"/>
  <c r="B10806" i="2"/>
  <c r="A10806" i="2"/>
  <c r="D10805" i="2"/>
  <c r="C10805" i="2"/>
  <c r="B10805" i="2"/>
  <c r="A10805" i="2"/>
  <c r="D10804" i="2"/>
  <c r="C10804" i="2"/>
  <c r="B10804" i="2"/>
  <c r="A10804" i="2"/>
  <c r="D10803" i="2"/>
  <c r="C10803" i="2"/>
  <c r="B10803" i="2"/>
  <c r="A10803" i="2"/>
  <c r="D10802" i="2"/>
  <c r="C10802" i="2"/>
  <c r="B10802" i="2"/>
  <c r="A10802" i="2"/>
  <c r="D10801" i="2"/>
  <c r="C10801" i="2"/>
  <c r="B10801" i="2"/>
  <c r="A10801" i="2"/>
  <c r="D10800" i="2"/>
  <c r="C10800" i="2"/>
  <c r="B10800" i="2"/>
  <c r="A10800" i="2"/>
  <c r="D10799" i="2"/>
  <c r="C10799" i="2"/>
  <c r="B10799" i="2"/>
  <c r="A10799" i="2"/>
  <c r="D10798" i="2"/>
  <c r="C10798" i="2"/>
  <c r="B10798" i="2"/>
  <c r="A10798" i="2"/>
  <c r="D10797" i="2"/>
  <c r="C10797" i="2"/>
  <c r="B10797" i="2"/>
  <c r="A10797" i="2"/>
  <c r="D10796" i="2"/>
  <c r="C10796" i="2"/>
  <c r="B10796" i="2"/>
  <c r="A10796" i="2"/>
  <c r="D10795" i="2"/>
  <c r="C10795" i="2"/>
  <c r="B10795" i="2"/>
  <c r="A10795" i="2"/>
  <c r="D10794" i="2"/>
  <c r="C10794" i="2"/>
  <c r="B10794" i="2"/>
  <c r="A10794" i="2"/>
  <c r="D10793" i="2"/>
  <c r="C10793" i="2"/>
  <c r="B10793" i="2"/>
  <c r="A10793" i="2"/>
  <c r="D10792" i="2"/>
  <c r="C10792" i="2"/>
  <c r="B10792" i="2"/>
  <c r="A10792" i="2"/>
  <c r="D10791" i="2"/>
  <c r="C10791" i="2"/>
  <c r="B10791" i="2"/>
  <c r="A10791" i="2"/>
  <c r="D10790" i="2"/>
  <c r="C10790" i="2"/>
  <c r="B10790" i="2"/>
  <c r="A10790" i="2"/>
  <c r="D10789" i="2"/>
  <c r="C10789" i="2"/>
  <c r="B10789" i="2"/>
  <c r="A10789" i="2"/>
  <c r="D10788" i="2"/>
  <c r="C10788" i="2"/>
  <c r="B10788" i="2"/>
  <c r="A10788" i="2"/>
  <c r="D10787" i="2"/>
  <c r="C10787" i="2"/>
  <c r="B10787" i="2"/>
  <c r="A10787" i="2"/>
  <c r="D10786" i="2"/>
  <c r="C10786" i="2"/>
  <c r="B10786" i="2"/>
  <c r="A10786" i="2"/>
  <c r="D10785" i="2"/>
  <c r="C10785" i="2"/>
  <c r="B10785" i="2"/>
  <c r="A10785" i="2"/>
  <c r="D10784" i="2"/>
  <c r="C10784" i="2"/>
  <c r="B10784" i="2"/>
  <c r="A10784" i="2"/>
  <c r="D10783" i="2"/>
  <c r="C10783" i="2"/>
  <c r="B10783" i="2"/>
  <c r="A10783" i="2"/>
  <c r="D10782" i="2"/>
  <c r="C10782" i="2"/>
  <c r="B10782" i="2"/>
  <c r="A10782" i="2"/>
  <c r="D10781" i="2"/>
  <c r="C10781" i="2"/>
  <c r="B10781" i="2"/>
  <c r="A10781" i="2"/>
  <c r="D10780" i="2"/>
  <c r="C10780" i="2"/>
  <c r="B10780" i="2"/>
  <c r="A10780" i="2"/>
  <c r="D10779" i="2"/>
  <c r="C10779" i="2"/>
  <c r="B10779" i="2"/>
  <c r="A10779" i="2"/>
  <c r="D10778" i="2"/>
  <c r="C10778" i="2"/>
  <c r="B10778" i="2"/>
  <c r="A10778" i="2"/>
  <c r="D10777" i="2"/>
  <c r="C10777" i="2"/>
  <c r="B10777" i="2"/>
  <c r="A10777" i="2"/>
  <c r="D10776" i="2"/>
  <c r="B10776" i="2"/>
  <c r="A10776" i="2"/>
  <c r="D10775" i="2"/>
  <c r="C10775" i="2"/>
  <c r="B10775" i="2"/>
  <c r="A10775" i="2"/>
  <c r="D10774" i="2"/>
  <c r="C10774" i="2"/>
  <c r="B10774" i="2"/>
  <c r="A10774" i="2"/>
  <c r="D10773" i="2"/>
  <c r="B10773" i="2"/>
  <c r="A10773" i="2"/>
  <c r="D10772" i="2"/>
  <c r="C10772" i="2"/>
  <c r="B10772" i="2"/>
  <c r="A10772" i="2"/>
  <c r="D10771" i="2"/>
  <c r="C10771" i="2"/>
  <c r="B10771" i="2"/>
  <c r="A10771" i="2"/>
  <c r="D10770" i="2"/>
  <c r="C10770" i="2"/>
  <c r="B10770" i="2"/>
  <c r="A10770" i="2"/>
  <c r="D10769" i="2"/>
  <c r="C10769" i="2"/>
  <c r="B10769" i="2"/>
  <c r="A10769" i="2"/>
  <c r="D10768" i="2"/>
  <c r="C10768" i="2"/>
  <c r="B10768" i="2"/>
  <c r="A10768" i="2"/>
  <c r="D10767" i="2"/>
  <c r="C10767" i="2"/>
  <c r="B10767" i="2"/>
  <c r="A10767" i="2"/>
  <c r="D10766" i="2"/>
  <c r="C10766" i="2"/>
  <c r="B10766" i="2"/>
  <c r="A10766" i="2"/>
  <c r="D10765" i="2"/>
  <c r="C10765" i="2"/>
  <c r="B10765" i="2"/>
  <c r="A10765" i="2"/>
  <c r="D10764" i="2"/>
  <c r="C10764" i="2"/>
  <c r="B10764" i="2"/>
  <c r="A10764" i="2"/>
  <c r="D10763" i="2"/>
  <c r="C10763" i="2"/>
  <c r="B10763" i="2"/>
  <c r="A10763" i="2"/>
  <c r="D10762" i="2"/>
  <c r="C10762" i="2"/>
  <c r="B10762" i="2"/>
  <c r="A10762" i="2"/>
  <c r="D10761" i="2"/>
  <c r="C10761" i="2"/>
  <c r="B10761" i="2"/>
  <c r="A10761" i="2"/>
  <c r="D10760" i="2"/>
  <c r="C10760" i="2"/>
  <c r="B10760" i="2"/>
  <c r="A10760" i="2"/>
  <c r="D10759" i="2"/>
  <c r="C10759" i="2"/>
  <c r="B10759" i="2"/>
  <c r="A10759" i="2"/>
  <c r="D10758" i="2"/>
  <c r="C10758" i="2"/>
  <c r="B10758" i="2"/>
  <c r="A10758" i="2"/>
  <c r="D10757" i="2"/>
  <c r="C10757" i="2"/>
  <c r="B10757" i="2"/>
  <c r="A10757" i="2"/>
  <c r="D10756" i="2"/>
  <c r="C10756" i="2"/>
  <c r="B10756" i="2"/>
  <c r="A10756" i="2"/>
  <c r="D10755" i="2"/>
  <c r="C10755" i="2"/>
  <c r="B10755" i="2"/>
  <c r="A10755" i="2"/>
  <c r="D10754" i="2"/>
  <c r="C10754" i="2"/>
  <c r="B10754" i="2"/>
  <c r="A10754" i="2"/>
  <c r="D10753" i="2"/>
  <c r="C10753" i="2"/>
  <c r="B10753" i="2"/>
  <c r="A10753" i="2"/>
  <c r="D10752" i="2"/>
  <c r="C10752" i="2"/>
  <c r="B10752" i="2"/>
  <c r="A10752" i="2"/>
  <c r="D10751" i="2"/>
  <c r="C10751" i="2"/>
  <c r="B10751" i="2"/>
  <c r="A10751" i="2"/>
  <c r="D10750" i="2"/>
  <c r="C10750" i="2"/>
  <c r="B10750" i="2"/>
  <c r="A10750" i="2"/>
  <c r="D10749" i="2"/>
  <c r="C10749" i="2"/>
  <c r="B10749" i="2"/>
  <c r="A10749" i="2"/>
  <c r="D10748" i="2"/>
  <c r="C10748" i="2"/>
  <c r="B10748" i="2"/>
  <c r="A10748" i="2"/>
  <c r="D10747" i="2"/>
  <c r="C10747" i="2"/>
  <c r="B10747" i="2"/>
  <c r="A10747" i="2"/>
  <c r="D10746" i="2"/>
  <c r="C10746" i="2"/>
  <c r="B10746" i="2"/>
  <c r="A10746" i="2"/>
  <c r="D10745" i="2"/>
  <c r="C10745" i="2"/>
  <c r="B10745" i="2"/>
  <c r="A10745" i="2"/>
  <c r="D10744" i="2"/>
  <c r="C10744" i="2"/>
  <c r="B10744" i="2"/>
  <c r="A10744" i="2"/>
  <c r="D10743" i="2"/>
  <c r="C10743" i="2"/>
  <c r="B10743" i="2"/>
  <c r="A10743" i="2"/>
  <c r="D10742" i="2"/>
  <c r="C10742" i="2"/>
  <c r="B10742" i="2"/>
  <c r="A10742" i="2"/>
  <c r="D10741" i="2"/>
  <c r="C10741" i="2"/>
  <c r="B10741" i="2"/>
  <c r="A10741" i="2"/>
  <c r="D10740" i="2"/>
  <c r="C10740" i="2"/>
  <c r="B10740" i="2"/>
  <c r="A10740" i="2"/>
  <c r="D10739" i="2"/>
  <c r="C10739" i="2"/>
  <c r="B10739" i="2"/>
  <c r="A10739" i="2"/>
  <c r="D10738" i="2"/>
  <c r="C10738" i="2"/>
  <c r="B10738" i="2"/>
  <c r="A10738" i="2"/>
  <c r="D10737" i="2"/>
  <c r="C10737" i="2"/>
  <c r="B10737" i="2"/>
  <c r="A10737" i="2"/>
  <c r="D10736" i="2"/>
  <c r="C10736" i="2"/>
  <c r="B10736" i="2"/>
  <c r="A10736" i="2"/>
  <c r="D10735" i="2"/>
  <c r="C10735" i="2"/>
  <c r="B10735" i="2"/>
  <c r="A10735" i="2"/>
  <c r="D10734" i="2"/>
  <c r="C10734" i="2"/>
  <c r="B10734" i="2"/>
  <c r="A10734" i="2"/>
  <c r="D10733" i="2"/>
  <c r="C10733" i="2"/>
  <c r="B10733" i="2"/>
  <c r="A10733" i="2"/>
  <c r="D10732" i="2"/>
  <c r="C10732" i="2"/>
  <c r="B10732" i="2"/>
  <c r="A10732" i="2"/>
  <c r="D10731" i="2"/>
  <c r="C10731" i="2"/>
  <c r="B10731" i="2"/>
  <c r="A10731" i="2"/>
  <c r="D10730" i="2"/>
  <c r="C10730" i="2"/>
  <c r="B10730" i="2"/>
  <c r="A10730" i="2"/>
  <c r="D10729" i="2"/>
  <c r="C10729" i="2"/>
  <c r="B10729" i="2"/>
  <c r="A10729" i="2"/>
  <c r="D10728" i="2"/>
  <c r="C10728" i="2"/>
  <c r="B10728" i="2"/>
  <c r="A10728" i="2"/>
  <c r="D10727" i="2"/>
  <c r="C10727" i="2"/>
  <c r="B10727" i="2"/>
  <c r="A10727" i="2"/>
  <c r="D10726" i="2"/>
  <c r="C10726" i="2"/>
  <c r="B10726" i="2"/>
  <c r="A10726" i="2"/>
  <c r="D10725" i="2"/>
  <c r="C10725" i="2"/>
  <c r="B10725" i="2"/>
  <c r="A10725" i="2"/>
  <c r="D10724" i="2"/>
  <c r="C10724" i="2"/>
  <c r="B10724" i="2"/>
  <c r="A10724" i="2"/>
  <c r="D10723" i="2"/>
  <c r="C10723" i="2"/>
  <c r="B10723" i="2"/>
  <c r="A10723" i="2"/>
  <c r="D10722" i="2"/>
  <c r="C10722" i="2"/>
  <c r="B10722" i="2"/>
  <c r="A10722" i="2"/>
  <c r="D10721" i="2"/>
  <c r="C10721" i="2"/>
  <c r="B10721" i="2"/>
  <c r="A10721" i="2"/>
  <c r="D10720" i="2"/>
  <c r="C10720" i="2"/>
  <c r="B10720" i="2"/>
  <c r="A10720" i="2"/>
  <c r="D10719" i="2"/>
  <c r="C10719" i="2"/>
  <c r="B10719" i="2"/>
  <c r="A10719" i="2"/>
  <c r="D10718" i="2"/>
  <c r="C10718" i="2"/>
  <c r="B10718" i="2"/>
  <c r="A10718" i="2"/>
  <c r="D10717" i="2"/>
  <c r="C10717" i="2"/>
  <c r="B10717" i="2"/>
  <c r="A10717" i="2"/>
  <c r="D10716" i="2"/>
  <c r="C10716" i="2"/>
  <c r="B10716" i="2"/>
  <c r="A10716" i="2"/>
  <c r="D10715" i="2"/>
  <c r="C10715" i="2"/>
  <c r="B10715" i="2"/>
  <c r="A10715" i="2"/>
  <c r="D10714" i="2"/>
  <c r="C10714" i="2"/>
  <c r="B10714" i="2"/>
  <c r="A10714" i="2"/>
  <c r="D10713" i="2"/>
  <c r="C10713" i="2"/>
  <c r="B10713" i="2"/>
  <c r="A10713" i="2"/>
  <c r="D10712" i="2"/>
  <c r="C10712" i="2"/>
  <c r="B10712" i="2"/>
  <c r="A10712" i="2"/>
  <c r="D10711" i="2"/>
  <c r="C10711" i="2"/>
  <c r="B10711" i="2"/>
  <c r="A10711" i="2"/>
  <c r="D10710" i="2"/>
  <c r="C10710" i="2"/>
  <c r="B10710" i="2"/>
  <c r="A10710" i="2"/>
  <c r="D10709" i="2"/>
  <c r="C10709" i="2"/>
  <c r="B10709" i="2"/>
  <c r="A10709" i="2"/>
  <c r="D10708" i="2"/>
  <c r="C10708" i="2"/>
  <c r="B10708" i="2"/>
  <c r="A10708" i="2"/>
  <c r="D10707" i="2"/>
  <c r="C10707" i="2"/>
  <c r="B10707" i="2"/>
  <c r="A10707" i="2"/>
  <c r="D10706" i="2"/>
  <c r="C10706" i="2"/>
  <c r="B10706" i="2"/>
  <c r="A10706" i="2"/>
  <c r="D10705" i="2"/>
  <c r="C10705" i="2"/>
  <c r="B10705" i="2"/>
  <c r="A10705" i="2"/>
  <c r="D10704" i="2"/>
  <c r="C10704" i="2"/>
  <c r="B10704" i="2"/>
  <c r="A10704" i="2"/>
  <c r="D10703" i="2"/>
  <c r="C10703" i="2"/>
  <c r="B10703" i="2"/>
  <c r="A10703" i="2"/>
  <c r="D10702" i="2"/>
  <c r="C10702" i="2"/>
  <c r="B10702" i="2"/>
  <c r="A10702" i="2"/>
  <c r="D10701" i="2"/>
  <c r="C10701" i="2"/>
  <c r="B10701" i="2"/>
  <c r="A10701" i="2"/>
  <c r="D10700" i="2"/>
  <c r="C10700" i="2"/>
  <c r="B10700" i="2"/>
  <c r="A10700" i="2"/>
  <c r="D10699" i="2"/>
  <c r="C10699" i="2"/>
  <c r="B10699" i="2"/>
  <c r="A10699" i="2"/>
  <c r="D10698" i="2"/>
  <c r="C10698" i="2"/>
  <c r="B10698" i="2"/>
  <c r="A10698" i="2"/>
  <c r="D10697" i="2"/>
  <c r="C10697" i="2"/>
  <c r="B10697" i="2"/>
  <c r="A10697" i="2"/>
  <c r="D10696" i="2"/>
  <c r="C10696" i="2"/>
  <c r="B10696" i="2"/>
  <c r="A10696" i="2"/>
  <c r="D10695" i="2"/>
  <c r="C10695" i="2"/>
  <c r="B10695" i="2"/>
  <c r="A10695" i="2"/>
  <c r="D10694" i="2"/>
  <c r="C10694" i="2"/>
  <c r="B10694" i="2"/>
  <c r="A10694" i="2"/>
  <c r="D10693" i="2"/>
  <c r="C10693" i="2"/>
  <c r="B10693" i="2"/>
  <c r="A10693" i="2"/>
  <c r="D10692" i="2"/>
  <c r="C10692" i="2"/>
  <c r="B10692" i="2"/>
  <c r="A10692" i="2"/>
  <c r="D10691" i="2"/>
  <c r="C10691" i="2"/>
  <c r="B10691" i="2"/>
  <c r="A10691" i="2"/>
  <c r="D10690" i="2"/>
  <c r="C10690" i="2"/>
  <c r="B10690" i="2"/>
  <c r="A10690" i="2"/>
  <c r="D10689" i="2"/>
  <c r="C10689" i="2"/>
  <c r="B10689" i="2"/>
  <c r="A10689" i="2"/>
  <c r="D10688" i="2"/>
  <c r="C10688" i="2"/>
  <c r="B10688" i="2"/>
  <c r="A10688" i="2"/>
  <c r="D10687" i="2"/>
  <c r="C10687" i="2"/>
  <c r="B10687" i="2"/>
  <c r="A10687" i="2"/>
  <c r="D10686" i="2"/>
  <c r="C10686" i="2"/>
  <c r="B10686" i="2"/>
  <c r="A10686" i="2"/>
  <c r="D10685" i="2"/>
  <c r="C10685" i="2"/>
  <c r="B10685" i="2"/>
  <c r="A10685" i="2"/>
  <c r="D10684" i="2"/>
  <c r="C10684" i="2"/>
  <c r="B10684" i="2"/>
  <c r="A10684" i="2"/>
  <c r="D10683" i="2"/>
  <c r="C10683" i="2"/>
  <c r="B10683" i="2"/>
  <c r="A10683" i="2"/>
  <c r="D10682" i="2"/>
  <c r="C10682" i="2"/>
  <c r="B10682" i="2"/>
  <c r="A10682" i="2"/>
  <c r="D10681" i="2"/>
  <c r="C10681" i="2"/>
  <c r="B10681" i="2"/>
  <c r="A10681" i="2"/>
  <c r="D10680" i="2"/>
  <c r="C10680" i="2"/>
  <c r="B10680" i="2"/>
  <c r="A10680" i="2"/>
  <c r="D10679" i="2"/>
  <c r="C10679" i="2"/>
  <c r="B10679" i="2"/>
  <c r="A10679" i="2"/>
  <c r="D10678" i="2"/>
  <c r="C10678" i="2"/>
  <c r="B10678" i="2"/>
  <c r="A10678" i="2"/>
  <c r="D10677" i="2"/>
  <c r="C10677" i="2"/>
  <c r="B10677" i="2"/>
  <c r="A10677" i="2"/>
  <c r="D10676" i="2"/>
  <c r="C10676" i="2"/>
  <c r="B10676" i="2"/>
  <c r="A10676" i="2"/>
  <c r="D10675" i="2"/>
  <c r="C10675" i="2"/>
  <c r="B10675" i="2"/>
  <c r="A10675" i="2"/>
  <c r="D10674" i="2"/>
  <c r="C10674" i="2"/>
  <c r="B10674" i="2"/>
  <c r="A10674" i="2"/>
  <c r="D10673" i="2"/>
  <c r="C10673" i="2"/>
  <c r="B10673" i="2"/>
  <c r="A10673" i="2"/>
  <c r="D10672" i="2"/>
  <c r="C10672" i="2"/>
  <c r="B10672" i="2"/>
  <c r="A10672" i="2"/>
  <c r="D10671" i="2"/>
  <c r="C10671" i="2"/>
  <c r="B10671" i="2"/>
  <c r="A10671" i="2"/>
  <c r="D10670" i="2"/>
  <c r="C10670" i="2"/>
  <c r="B10670" i="2"/>
  <c r="A10670" i="2"/>
  <c r="D10669" i="2"/>
  <c r="C10669" i="2"/>
  <c r="B10669" i="2"/>
  <c r="A10669" i="2"/>
  <c r="D10668" i="2"/>
  <c r="C10668" i="2"/>
  <c r="B10668" i="2"/>
  <c r="A10668" i="2"/>
  <c r="D10667" i="2"/>
  <c r="C10667" i="2"/>
  <c r="B10667" i="2"/>
  <c r="A10667" i="2"/>
  <c r="D10666" i="2"/>
  <c r="C10666" i="2"/>
  <c r="B10666" i="2"/>
  <c r="A10666" i="2"/>
  <c r="D10665" i="2"/>
  <c r="C10665" i="2"/>
  <c r="B10665" i="2"/>
  <c r="A10665" i="2"/>
  <c r="D10664" i="2"/>
  <c r="C10664" i="2"/>
  <c r="B10664" i="2"/>
  <c r="A10664" i="2"/>
  <c r="D10663" i="2"/>
  <c r="C10663" i="2"/>
  <c r="B10663" i="2"/>
  <c r="A10663" i="2"/>
  <c r="D10662" i="2"/>
  <c r="C10662" i="2"/>
  <c r="B10662" i="2"/>
  <c r="A10662" i="2"/>
  <c r="D10661" i="2"/>
  <c r="C10661" i="2"/>
  <c r="B10661" i="2"/>
  <c r="A10661" i="2"/>
  <c r="D10660" i="2"/>
  <c r="C10660" i="2"/>
  <c r="B10660" i="2"/>
  <c r="A10660" i="2"/>
  <c r="D10659" i="2"/>
  <c r="C10659" i="2"/>
  <c r="B10659" i="2"/>
  <c r="A10659" i="2"/>
  <c r="D10658" i="2"/>
  <c r="C10658" i="2"/>
  <c r="B10658" i="2"/>
  <c r="A10658" i="2"/>
  <c r="D10657" i="2"/>
  <c r="C10657" i="2"/>
  <c r="B10657" i="2"/>
  <c r="A10657" i="2"/>
  <c r="D10656" i="2"/>
  <c r="C10656" i="2"/>
  <c r="B10656" i="2"/>
  <c r="A10656" i="2"/>
  <c r="D10655" i="2"/>
  <c r="C10655" i="2"/>
  <c r="B10655" i="2"/>
  <c r="A10655" i="2"/>
  <c r="D10654" i="2"/>
  <c r="C10654" i="2"/>
  <c r="B10654" i="2"/>
  <c r="A10654" i="2"/>
  <c r="D10653" i="2"/>
  <c r="C10653" i="2"/>
  <c r="B10653" i="2"/>
  <c r="A10653" i="2"/>
  <c r="D10652" i="2"/>
  <c r="C10652" i="2"/>
  <c r="B10652" i="2"/>
  <c r="A10652" i="2"/>
  <c r="D10651" i="2"/>
  <c r="C10651" i="2"/>
  <c r="B10651" i="2"/>
  <c r="A10651" i="2"/>
  <c r="D10650" i="2"/>
  <c r="C10650" i="2"/>
  <c r="B10650" i="2"/>
  <c r="A10650" i="2"/>
  <c r="D10649" i="2"/>
  <c r="C10649" i="2"/>
  <c r="B10649" i="2"/>
  <c r="A10649" i="2"/>
  <c r="D10648" i="2"/>
  <c r="C10648" i="2"/>
  <c r="B10648" i="2"/>
  <c r="A10648" i="2"/>
  <c r="D10647" i="2"/>
  <c r="C10647" i="2"/>
  <c r="B10647" i="2"/>
  <c r="A10647" i="2"/>
  <c r="D10646" i="2"/>
  <c r="C10646" i="2"/>
  <c r="B10646" i="2"/>
  <c r="A10646" i="2"/>
  <c r="D10645" i="2"/>
  <c r="C10645" i="2"/>
  <c r="B10645" i="2"/>
  <c r="A10645" i="2"/>
  <c r="D10644" i="2"/>
  <c r="C10644" i="2"/>
  <c r="B10644" i="2"/>
  <c r="A10644" i="2"/>
  <c r="D10643" i="2"/>
  <c r="C10643" i="2"/>
  <c r="B10643" i="2"/>
  <c r="A10643" i="2"/>
  <c r="D10642" i="2"/>
  <c r="C10642" i="2"/>
  <c r="B10642" i="2"/>
  <c r="A10642" i="2"/>
  <c r="D10641" i="2"/>
  <c r="C10641" i="2"/>
  <c r="B10641" i="2"/>
  <c r="A10641" i="2"/>
  <c r="D10640" i="2"/>
  <c r="C10640" i="2"/>
  <c r="B10640" i="2"/>
  <c r="A10640" i="2"/>
  <c r="D10639" i="2"/>
  <c r="C10639" i="2"/>
  <c r="B10639" i="2"/>
  <c r="A10639" i="2"/>
  <c r="D10638" i="2"/>
  <c r="C10638" i="2"/>
  <c r="B10638" i="2"/>
  <c r="A10638" i="2"/>
  <c r="D10637" i="2"/>
  <c r="C10637" i="2"/>
  <c r="B10637" i="2"/>
  <c r="A10637" i="2"/>
  <c r="D10636" i="2"/>
  <c r="C10636" i="2"/>
  <c r="B10636" i="2"/>
  <c r="A10636" i="2"/>
  <c r="D10635" i="2"/>
  <c r="C10635" i="2"/>
  <c r="B10635" i="2"/>
  <c r="A10635" i="2"/>
  <c r="D10634" i="2"/>
  <c r="C10634" i="2"/>
  <c r="B10634" i="2"/>
  <c r="A10634" i="2"/>
  <c r="D10633" i="2"/>
  <c r="C10633" i="2"/>
  <c r="B10633" i="2"/>
  <c r="A10633" i="2"/>
  <c r="D10632" i="2"/>
  <c r="C10632" i="2"/>
  <c r="B10632" i="2"/>
  <c r="A10632" i="2"/>
  <c r="D10631" i="2"/>
  <c r="C10631" i="2"/>
  <c r="B10631" i="2"/>
  <c r="A10631" i="2"/>
  <c r="D10630" i="2"/>
  <c r="C10630" i="2"/>
  <c r="B10630" i="2"/>
  <c r="A10630" i="2"/>
  <c r="D10629" i="2"/>
  <c r="C10629" i="2"/>
  <c r="B10629" i="2"/>
  <c r="A10629" i="2"/>
  <c r="D10628" i="2"/>
  <c r="C10628" i="2"/>
  <c r="B10628" i="2"/>
  <c r="A10628" i="2"/>
  <c r="D10627" i="2"/>
  <c r="C10627" i="2"/>
  <c r="B10627" i="2"/>
  <c r="A10627" i="2"/>
  <c r="D10626" i="2"/>
  <c r="C10626" i="2"/>
  <c r="B10626" i="2"/>
  <c r="A10626" i="2"/>
  <c r="D10625" i="2"/>
  <c r="C10625" i="2"/>
  <c r="B10625" i="2"/>
  <c r="A10625" i="2"/>
  <c r="D10624" i="2"/>
  <c r="C10624" i="2"/>
  <c r="B10624" i="2"/>
  <c r="A10624" i="2"/>
  <c r="D10623" i="2"/>
  <c r="C10623" i="2"/>
  <c r="B10623" i="2"/>
  <c r="A10623" i="2"/>
  <c r="D10622" i="2"/>
  <c r="C10622" i="2"/>
  <c r="B10622" i="2"/>
  <c r="A10622" i="2"/>
  <c r="D10621" i="2"/>
  <c r="C10621" i="2"/>
  <c r="B10621" i="2"/>
  <c r="A10621" i="2"/>
  <c r="D10620" i="2"/>
  <c r="C10620" i="2"/>
  <c r="B10620" i="2"/>
  <c r="A10620" i="2"/>
  <c r="D10619" i="2"/>
  <c r="C10619" i="2"/>
  <c r="B10619" i="2"/>
  <c r="A10619" i="2"/>
  <c r="D10618" i="2"/>
  <c r="C10618" i="2"/>
  <c r="B10618" i="2"/>
  <c r="A10618" i="2"/>
  <c r="D10617" i="2"/>
  <c r="C10617" i="2"/>
  <c r="B10617" i="2"/>
  <c r="A10617" i="2"/>
  <c r="D10616" i="2"/>
  <c r="C10616" i="2"/>
  <c r="B10616" i="2"/>
  <c r="A10616" i="2"/>
  <c r="D10615" i="2"/>
  <c r="C10615" i="2"/>
  <c r="B10615" i="2"/>
  <c r="A10615" i="2"/>
  <c r="D10614" i="2"/>
  <c r="C10614" i="2"/>
  <c r="B10614" i="2"/>
  <c r="A10614" i="2"/>
  <c r="D10613" i="2"/>
  <c r="C10613" i="2"/>
  <c r="B10613" i="2"/>
  <c r="A10613" i="2"/>
  <c r="D10612" i="2"/>
  <c r="C10612" i="2"/>
  <c r="B10612" i="2"/>
  <c r="A10612" i="2"/>
  <c r="D10611" i="2"/>
  <c r="C10611" i="2"/>
  <c r="B10611" i="2"/>
  <c r="A10611" i="2"/>
  <c r="D10610" i="2"/>
  <c r="C10610" i="2"/>
  <c r="B10610" i="2"/>
  <c r="A10610" i="2"/>
  <c r="D10609" i="2"/>
  <c r="C10609" i="2"/>
  <c r="B10609" i="2"/>
  <c r="A10609" i="2"/>
  <c r="D10608" i="2"/>
  <c r="C10608" i="2"/>
  <c r="B10608" i="2"/>
  <c r="A10608" i="2"/>
  <c r="D10607" i="2"/>
  <c r="C10607" i="2"/>
  <c r="B10607" i="2"/>
  <c r="A10607" i="2"/>
  <c r="D10606" i="2"/>
  <c r="C10606" i="2"/>
  <c r="B10606" i="2"/>
  <c r="A10606" i="2"/>
  <c r="D10605" i="2"/>
  <c r="C10605" i="2"/>
  <c r="B10605" i="2"/>
  <c r="A10605" i="2"/>
  <c r="D10604" i="2"/>
  <c r="C10604" i="2"/>
  <c r="B10604" i="2"/>
  <c r="A10604" i="2"/>
  <c r="D10603" i="2"/>
  <c r="C10603" i="2"/>
  <c r="B10603" i="2"/>
  <c r="A10603" i="2"/>
  <c r="D10602" i="2"/>
  <c r="C10602" i="2"/>
  <c r="B10602" i="2"/>
  <c r="A10602" i="2"/>
  <c r="D10601" i="2"/>
  <c r="C10601" i="2"/>
  <c r="B10601" i="2"/>
  <c r="A10601" i="2"/>
  <c r="D10600" i="2"/>
  <c r="C10600" i="2"/>
  <c r="B10600" i="2"/>
  <c r="A10600" i="2"/>
  <c r="D10599" i="2"/>
  <c r="C10599" i="2"/>
  <c r="B10599" i="2"/>
  <c r="A10599" i="2"/>
  <c r="D10598" i="2"/>
  <c r="C10598" i="2"/>
  <c r="B10598" i="2"/>
  <c r="A10598" i="2"/>
  <c r="D10597" i="2"/>
  <c r="C10597" i="2"/>
  <c r="B10597" i="2"/>
  <c r="A10597" i="2"/>
  <c r="D10596" i="2"/>
  <c r="C10596" i="2"/>
  <c r="B10596" i="2"/>
  <c r="A10596" i="2"/>
  <c r="D10595" i="2"/>
  <c r="C10595" i="2"/>
  <c r="B10595" i="2"/>
  <c r="A10595" i="2"/>
  <c r="D10594" i="2"/>
  <c r="C10594" i="2"/>
  <c r="B10594" i="2"/>
  <c r="A10594" i="2"/>
  <c r="D10593" i="2"/>
  <c r="C10593" i="2"/>
  <c r="B10593" i="2"/>
  <c r="A10593" i="2"/>
  <c r="D10592" i="2"/>
  <c r="C10592" i="2"/>
  <c r="B10592" i="2"/>
  <c r="A10592" i="2"/>
  <c r="D10591" i="2"/>
  <c r="C10591" i="2"/>
  <c r="B10591" i="2"/>
  <c r="A10591" i="2"/>
  <c r="D10590" i="2"/>
  <c r="C10590" i="2"/>
  <c r="B10590" i="2"/>
  <c r="A10590" i="2"/>
  <c r="D10589" i="2"/>
  <c r="C10589" i="2"/>
  <c r="B10589" i="2"/>
  <c r="A10589" i="2"/>
  <c r="D10588" i="2"/>
  <c r="C10588" i="2"/>
  <c r="B10588" i="2"/>
  <c r="A10588" i="2"/>
  <c r="D10587" i="2"/>
  <c r="C10587" i="2"/>
  <c r="B10587" i="2"/>
  <c r="A10587" i="2"/>
  <c r="D10586" i="2"/>
  <c r="C10586" i="2"/>
  <c r="B10586" i="2"/>
  <c r="A10586" i="2"/>
  <c r="D10585" i="2"/>
  <c r="C10585" i="2"/>
  <c r="B10585" i="2"/>
  <c r="A10585" i="2"/>
  <c r="D10584" i="2"/>
  <c r="C10584" i="2"/>
  <c r="B10584" i="2"/>
  <c r="A10584" i="2"/>
  <c r="D10583" i="2"/>
  <c r="C10583" i="2"/>
  <c r="B10583" i="2"/>
  <c r="A10583" i="2"/>
  <c r="D10582" i="2"/>
  <c r="C10582" i="2"/>
  <c r="B10582" i="2"/>
  <c r="A10582" i="2"/>
  <c r="D10581" i="2"/>
  <c r="C10581" i="2"/>
  <c r="B10581" i="2"/>
  <c r="A10581" i="2"/>
  <c r="D10580" i="2"/>
  <c r="C10580" i="2"/>
  <c r="B10580" i="2"/>
  <c r="A10580" i="2"/>
  <c r="D10579" i="2"/>
  <c r="C10579" i="2"/>
  <c r="B10579" i="2"/>
  <c r="A10579" i="2"/>
  <c r="D10578" i="2"/>
  <c r="C10578" i="2"/>
  <c r="B10578" i="2"/>
  <c r="A10578" i="2"/>
  <c r="D10577" i="2"/>
  <c r="C10577" i="2"/>
  <c r="B10577" i="2"/>
  <c r="A10577" i="2"/>
  <c r="D10576" i="2"/>
  <c r="C10576" i="2"/>
  <c r="B10576" i="2"/>
  <c r="A10576" i="2"/>
  <c r="D10575" i="2"/>
  <c r="C10575" i="2"/>
  <c r="B10575" i="2"/>
  <c r="A10575" i="2"/>
  <c r="D10574" i="2"/>
  <c r="C10574" i="2"/>
  <c r="B10574" i="2"/>
  <c r="A10574" i="2"/>
  <c r="D10573" i="2"/>
  <c r="C10573" i="2"/>
  <c r="B10573" i="2"/>
  <c r="A10573" i="2"/>
  <c r="D10572" i="2"/>
  <c r="C10572" i="2"/>
  <c r="B10572" i="2"/>
  <c r="A10572" i="2"/>
  <c r="D10571" i="2"/>
  <c r="C10571" i="2"/>
  <c r="B10571" i="2"/>
  <c r="A10571" i="2"/>
  <c r="D10570" i="2"/>
  <c r="C10570" i="2"/>
  <c r="B10570" i="2"/>
  <c r="A10570" i="2"/>
  <c r="D10569" i="2"/>
  <c r="C10569" i="2"/>
  <c r="B10569" i="2"/>
  <c r="A10569" i="2"/>
  <c r="D10568" i="2"/>
  <c r="C10568" i="2"/>
  <c r="B10568" i="2"/>
  <c r="A10568" i="2"/>
  <c r="D10567" i="2"/>
  <c r="C10567" i="2"/>
  <c r="B10567" i="2"/>
  <c r="A10567" i="2"/>
  <c r="D10566" i="2"/>
  <c r="C10566" i="2"/>
  <c r="B10566" i="2"/>
  <c r="A10566" i="2"/>
  <c r="D10565" i="2"/>
  <c r="C10565" i="2"/>
  <c r="B10565" i="2"/>
  <c r="A10565" i="2"/>
  <c r="D10564" i="2"/>
  <c r="C10564" i="2"/>
  <c r="B10564" i="2"/>
  <c r="A10564" i="2"/>
  <c r="D10563" i="2"/>
  <c r="C10563" i="2"/>
  <c r="B10563" i="2"/>
  <c r="A10563" i="2"/>
  <c r="D10562" i="2"/>
  <c r="C10562" i="2"/>
  <c r="B10562" i="2"/>
  <c r="A10562" i="2"/>
  <c r="D10561" i="2"/>
  <c r="C10561" i="2"/>
  <c r="B10561" i="2"/>
  <c r="A10561" i="2"/>
  <c r="D10560" i="2"/>
  <c r="C10560" i="2"/>
  <c r="B10560" i="2"/>
  <c r="A10560" i="2"/>
  <c r="D10559" i="2"/>
  <c r="C10559" i="2"/>
  <c r="B10559" i="2"/>
  <c r="A10559" i="2"/>
  <c r="D10558" i="2"/>
  <c r="C10558" i="2"/>
  <c r="B10558" i="2"/>
  <c r="A10558" i="2"/>
  <c r="D10557" i="2"/>
  <c r="C10557" i="2"/>
  <c r="B10557" i="2"/>
  <c r="A10557" i="2"/>
  <c r="D10556" i="2"/>
  <c r="C10556" i="2"/>
  <c r="B10556" i="2"/>
  <c r="A10556" i="2"/>
  <c r="D10555" i="2"/>
  <c r="C10555" i="2"/>
  <c r="B10555" i="2"/>
  <c r="A10555" i="2"/>
  <c r="D10554" i="2"/>
  <c r="C10554" i="2"/>
  <c r="B10554" i="2"/>
  <c r="A10554" i="2"/>
  <c r="D10553" i="2"/>
  <c r="C10553" i="2"/>
  <c r="B10553" i="2"/>
  <c r="A10553" i="2"/>
  <c r="D10552" i="2"/>
  <c r="C10552" i="2"/>
  <c r="B10552" i="2"/>
  <c r="A10552" i="2"/>
  <c r="D10551" i="2"/>
  <c r="C10551" i="2"/>
  <c r="B10551" i="2"/>
  <c r="A10551" i="2"/>
  <c r="D10550" i="2"/>
  <c r="C10550" i="2"/>
  <c r="B10550" i="2"/>
  <c r="A10550" i="2"/>
  <c r="D10549" i="2"/>
  <c r="C10549" i="2"/>
  <c r="B10549" i="2"/>
  <c r="A10549" i="2"/>
  <c r="D10548" i="2"/>
  <c r="C10548" i="2"/>
  <c r="B10548" i="2"/>
  <c r="A10548" i="2"/>
  <c r="D10547" i="2"/>
  <c r="C10547" i="2"/>
  <c r="B10547" i="2"/>
  <c r="A10547" i="2"/>
  <c r="D10546" i="2"/>
  <c r="C10546" i="2"/>
  <c r="B10546" i="2"/>
  <c r="A10546" i="2"/>
  <c r="D10545" i="2"/>
  <c r="C10545" i="2"/>
  <c r="B10545" i="2"/>
  <c r="A10545" i="2"/>
  <c r="D10544" i="2"/>
  <c r="C10544" i="2"/>
  <c r="B10544" i="2"/>
  <c r="A10544" i="2"/>
  <c r="D10543" i="2"/>
  <c r="C10543" i="2"/>
  <c r="B10543" i="2"/>
  <c r="A10543" i="2"/>
  <c r="D10542" i="2"/>
  <c r="C10542" i="2"/>
  <c r="B10542" i="2"/>
  <c r="A10542" i="2"/>
  <c r="D10541" i="2"/>
  <c r="C10541" i="2"/>
  <c r="B10541" i="2"/>
  <c r="A10541" i="2"/>
  <c r="D10540" i="2"/>
  <c r="C10540" i="2"/>
  <c r="B10540" i="2"/>
  <c r="A10540" i="2"/>
  <c r="D10539" i="2"/>
  <c r="C10539" i="2"/>
  <c r="B10539" i="2"/>
  <c r="A10539" i="2"/>
  <c r="D10538" i="2"/>
  <c r="C10538" i="2"/>
  <c r="B10538" i="2"/>
  <c r="A10538" i="2"/>
  <c r="D10537" i="2"/>
  <c r="C10537" i="2"/>
  <c r="B10537" i="2"/>
  <c r="A10537" i="2"/>
  <c r="D10536" i="2"/>
  <c r="C10536" i="2"/>
  <c r="B10536" i="2"/>
  <c r="A10536" i="2"/>
  <c r="D10535" i="2"/>
  <c r="C10535" i="2"/>
  <c r="B10535" i="2"/>
  <c r="A10535" i="2"/>
  <c r="D10534" i="2"/>
  <c r="C10534" i="2"/>
  <c r="B10534" i="2"/>
  <c r="A10534" i="2"/>
  <c r="D10533" i="2"/>
  <c r="C10533" i="2"/>
  <c r="B10533" i="2"/>
  <c r="A10533" i="2"/>
  <c r="D10532" i="2"/>
  <c r="C10532" i="2"/>
  <c r="B10532" i="2"/>
  <c r="A10532" i="2"/>
  <c r="D10531" i="2"/>
  <c r="C10531" i="2"/>
  <c r="B10531" i="2"/>
  <c r="A10531" i="2"/>
  <c r="D10530" i="2"/>
  <c r="C10530" i="2"/>
  <c r="B10530" i="2"/>
  <c r="A10530" i="2"/>
  <c r="D10529" i="2"/>
  <c r="C10529" i="2"/>
  <c r="B10529" i="2"/>
  <c r="A10529" i="2"/>
  <c r="D10528" i="2"/>
  <c r="C10528" i="2"/>
  <c r="B10528" i="2"/>
  <c r="A10528" i="2"/>
  <c r="D10527" i="2"/>
  <c r="C10527" i="2"/>
  <c r="B10527" i="2"/>
  <c r="A10527" i="2"/>
  <c r="D10526" i="2"/>
  <c r="C10526" i="2"/>
  <c r="B10526" i="2"/>
  <c r="A10526" i="2"/>
  <c r="D10525" i="2"/>
  <c r="C10525" i="2"/>
  <c r="B10525" i="2"/>
  <c r="A10525" i="2"/>
  <c r="D10524" i="2"/>
  <c r="C10524" i="2"/>
  <c r="B10524" i="2"/>
  <c r="A10524" i="2"/>
  <c r="D10523" i="2"/>
  <c r="C10523" i="2"/>
  <c r="B10523" i="2"/>
  <c r="A10523" i="2"/>
  <c r="D10522" i="2"/>
  <c r="C10522" i="2"/>
  <c r="B10522" i="2"/>
  <c r="A10522" i="2"/>
  <c r="D10521" i="2"/>
  <c r="C10521" i="2"/>
  <c r="B10521" i="2"/>
  <c r="A10521" i="2"/>
  <c r="D10520" i="2"/>
  <c r="C10520" i="2"/>
  <c r="B10520" i="2"/>
  <c r="A10520" i="2"/>
  <c r="D10519" i="2"/>
  <c r="C10519" i="2"/>
  <c r="B10519" i="2"/>
  <c r="A10519" i="2"/>
  <c r="D10518" i="2"/>
  <c r="C10518" i="2"/>
  <c r="B10518" i="2"/>
  <c r="A10518" i="2"/>
  <c r="D10517" i="2"/>
  <c r="C10517" i="2"/>
  <c r="B10517" i="2"/>
  <c r="A10517" i="2"/>
  <c r="D10516" i="2"/>
  <c r="C10516" i="2"/>
  <c r="B10516" i="2"/>
  <c r="A10516" i="2"/>
  <c r="D10515" i="2"/>
  <c r="C10515" i="2"/>
  <c r="B10515" i="2"/>
  <c r="A10515" i="2"/>
  <c r="D10514" i="2"/>
  <c r="C10514" i="2"/>
  <c r="B10514" i="2"/>
  <c r="A10514" i="2"/>
  <c r="D10513" i="2"/>
  <c r="C10513" i="2"/>
  <c r="B10513" i="2"/>
  <c r="A10513" i="2"/>
  <c r="D10512" i="2"/>
  <c r="C10512" i="2"/>
  <c r="B10512" i="2"/>
  <c r="A10512" i="2"/>
  <c r="D10511" i="2"/>
  <c r="C10511" i="2"/>
  <c r="B10511" i="2"/>
  <c r="A10511" i="2"/>
  <c r="D10510" i="2"/>
  <c r="C10510" i="2"/>
  <c r="B10510" i="2"/>
  <c r="A10510" i="2"/>
  <c r="D10509" i="2"/>
  <c r="C10509" i="2"/>
  <c r="B10509" i="2"/>
  <c r="A10509" i="2"/>
  <c r="D10508" i="2"/>
  <c r="C10508" i="2"/>
  <c r="B10508" i="2"/>
  <c r="A10508" i="2"/>
  <c r="D10507" i="2"/>
  <c r="C10507" i="2"/>
  <c r="B10507" i="2"/>
  <c r="A10507" i="2"/>
  <c r="D10506" i="2"/>
  <c r="C10506" i="2"/>
  <c r="B10506" i="2"/>
  <c r="A10506" i="2"/>
  <c r="D10505" i="2"/>
  <c r="C10505" i="2"/>
  <c r="B10505" i="2"/>
  <c r="A10505" i="2"/>
  <c r="D10504" i="2"/>
  <c r="C10504" i="2"/>
  <c r="B10504" i="2"/>
  <c r="A10504" i="2"/>
  <c r="D10503" i="2"/>
  <c r="C10503" i="2"/>
  <c r="B10503" i="2"/>
  <c r="A10503" i="2"/>
  <c r="D10502" i="2"/>
  <c r="C10502" i="2"/>
  <c r="B10502" i="2"/>
  <c r="A10502" i="2"/>
  <c r="D10501" i="2"/>
  <c r="C10501" i="2"/>
  <c r="B10501" i="2"/>
  <c r="A10501" i="2"/>
  <c r="D10500" i="2"/>
  <c r="C10500" i="2"/>
  <c r="B10500" i="2"/>
  <c r="A10500" i="2"/>
  <c r="D10499" i="2"/>
  <c r="C10499" i="2"/>
  <c r="B10499" i="2"/>
  <c r="A10499" i="2"/>
  <c r="D10498" i="2"/>
  <c r="C10498" i="2"/>
  <c r="B10498" i="2"/>
  <c r="A10498" i="2"/>
  <c r="D10497" i="2"/>
  <c r="C10497" i="2"/>
  <c r="B10497" i="2"/>
  <c r="A10497" i="2"/>
  <c r="D10496" i="2"/>
  <c r="C10496" i="2"/>
  <c r="B10496" i="2"/>
  <c r="A10496" i="2"/>
  <c r="D10495" i="2"/>
  <c r="C10495" i="2"/>
  <c r="B10495" i="2"/>
  <c r="A10495" i="2"/>
  <c r="D10494" i="2"/>
  <c r="C10494" i="2"/>
  <c r="B10494" i="2"/>
  <c r="A10494" i="2"/>
  <c r="D10493" i="2"/>
  <c r="C10493" i="2"/>
  <c r="B10493" i="2"/>
  <c r="A10493" i="2"/>
  <c r="D10492" i="2"/>
  <c r="C10492" i="2"/>
  <c r="B10492" i="2"/>
  <c r="A10492" i="2"/>
  <c r="D10491" i="2"/>
  <c r="C10491" i="2"/>
  <c r="B10491" i="2"/>
  <c r="A10491" i="2"/>
  <c r="D10490" i="2"/>
  <c r="C10490" i="2"/>
  <c r="B10490" i="2"/>
  <c r="A10490" i="2"/>
  <c r="D10489" i="2"/>
  <c r="C10489" i="2"/>
  <c r="B10489" i="2"/>
  <c r="A10489" i="2"/>
  <c r="D10488" i="2"/>
  <c r="C10488" i="2"/>
  <c r="B10488" i="2"/>
  <c r="A10488" i="2"/>
  <c r="D10487" i="2"/>
  <c r="C10487" i="2"/>
  <c r="B10487" i="2"/>
  <c r="A10487" i="2"/>
  <c r="D10486" i="2"/>
  <c r="C10486" i="2"/>
  <c r="B10486" i="2"/>
  <c r="A10486" i="2"/>
  <c r="D10485" i="2"/>
  <c r="C10485" i="2"/>
  <c r="B10485" i="2"/>
  <c r="A10485" i="2"/>
  <c r="D10484" i="2"/>
  <c r="C10484" i="2"/>
  <c r="B10484" i="2"/>
  <c r="A10484" i="2"/>
  <c r="D10483" i="2"/>
  <c r="C10483" i="2"/>
  <c r="B10483" i="2"/>
  <c r="A10483" i="2"/>
  <c r="D10482" i="2"/>
  <c r="C10482" i="2"/>
  <c r="B10482" i="2"/>
  <c r="A10482" i="2"/>
  <c r="D10481" i="2"/>
  <c r="C10481" i="2"/>
  <c r="B10481" i="2"/>
  <c r="A10481" i="2"/>
  <c r="D10480" i="2"/>
  <c r="C10480" i="2"/>
  <c r="B10480" i="2"/>
  <c r="A10480" i="2"/>
  <c r="D10479" i="2"/>
  <c r="C10479" i="2"/>
  <c r="B10479" i="2"/>
  <c r="A10479" i="2"/>
  <c r="D10478" i="2"/>
  <c r="C10478" i="2"/>
  <c r="B10478" i="2"/>
  <c r="A10478" i="2"/>
  <c r="D10477" i="2"/>
  <c r="C10477" i="2"/>
  <c r="B10477" i="2"/>
  <c r="A10477" i="2"/>
  <c r="D10476" i="2"/>
  <c r="C10476" i="2"/>
  <c r="B10476" i="2"/>
  <c r="A10476" i="2"/>
  <c r="D10475" i="2"/>
  <c r="C10475" i="2"/>
  <c r="B10475" i="2"/>
  <c r="A10475" i="2"/>
  <c r="D10474" i="2"/>
  <c r="C10474" i="2"/>
  <c r="B10474" i="2"/>
  <c r="A10474" i="2"/>
  <c r="D10473" i="2"/>
  <c r="C10473" i="2"/>
  <c r="B10473" i="2"/>
  <c r="A10473" i="2"/>
  <c r="D10472" i="2"/>
  <c r="C10472" i="2"/>
  <c r="B10472" i="2"/>
  <c r="A10472" i="2"/>
  <c r="D10471" i="2"/>
  <c r="C10471" i="2"/>
  <c r="B10471" i="2"/>
  <c r="A10471" i="2"/>
  <c r="D10470" i="2"/>
  <c r="C10470" i="2"/>
  <c r="B10470" i="2"/>
  <c r="A10470" i="2"/>
  <c r="D10469" i="2"/>
  <c r="C10469" i="2"/>
  <c r="B10469" i="2"/>
  <c r="A10469" i="2"/>
  <c r="D10468" i="2"/>
  <c r="C10468" i="2"/>
  <c r="B10468" i="2"/>
  <c r="A10468" i="2"/>
  <c r="D10467" i="2"/>
  <c r="C10467" i="2"/>
  <c r="B10467" i="2"/>
  <c r="A10467" i="2"/>
  <c r="D10466" i="2"/>
  <c r="C10466" i="2"/>
  <c r="B10466" i="2"/>
  <c r="A10466" i="2"/>
  <c r="D10465" i="2"/>
  <c r="C10465" i="2"/>
  <c r="B10465" i="2"/>
  <c r="A10465" i="2"/>
  <c r="D10464" i="2"/>
  <c r="C10464" i="2"/>
  <c r="B10464" i="2"/>
  <c r="A10464" i="2"/>
  <c r="D10463" i="2"/>
  <c r="C10463" i="2"/>
  <c r="B10463" i="2"/>
  <c r="A10463" i="2"/>
  <c r="D10462" i="2"/>
  <c r="C10462" i="2"/>
  <c r="B10462" i="2"/>
  <c r="A10462" i="2"/>
  <c r="D10461" i="2"/>
  <c r="C10461" i="2"/>
  <c r="B10461" i="2"/>
  <c r="A10461" i="2"/>
  <c r="D10460" i="2"/>
  <c r="C10460" i="2"/>
  <c r="B10460" i="2"/>
  <c r="A10460" i="2"/>
  <c r="D10459" i="2"/>
  <c r="C10459" i="2"/>
  <c r="B10459" i="2"/>
  <c r="A10459" i="2"/>
  <c r="D10458" i="2"/>
  <c r="C10458" i="2"/>
  <c r="B10458" i="2"/>
  <c r="A10458" i="2"/>
  <c r="D10457" i="2"/>
  <c r="C10457" i="2"/>
  <c r="B10457" i="2"/>
  <c r="A10457" i="2"/>
  <c r="D10456" i="2"/>
  <c r="C10456" i="2"/>
  <c r="B10456" i="2"/>
  <c r="A10456" i="2"/>
  <c r="D10455" i="2"/>
  <c r="C10455" i="2"/>
  <c r="B10455" i="2"/>
  <c r="A10455" i="2"/>
  <c r="D10454" i="2"/>
  <c r="C10454" i="2"/>
  <c r="B10454" i="2"/>
  <c r="A10454" i="2"/>
  <c r="D10453" i="2"/>
  <c r="C10453" i="2"/>
  <c r="B10453" i="2"/>
  <c r="A10453" i="2"/>
  <c r="D10452" i="2"/>
  <c r="C10452" i="2"/>
  <c r="B10452" i="2"/>
  <c r="A10452" i="2"/>
  <c r="D10451" i="2"/>
  <c r="C10451" i="2"/>
  <c r="B10451" i="2"/>
  <c r="A10451" i="2"/>
  <c r="D10450" i="2"/>
  <c r="C10450" i="2"/>
  <c r="B10450" i="2"/>
  <c r="A10450" i="2"/>
  <c r="D10449" i="2"/>
  <c r="C10449" i="2"/>
  <c r="B10449" i="2"/>
  <c r="A10449" i="2"/>
  <c r="D10448" i="2"/>
  <c r="C10448" i="2"/>
  <c r="B10448" i="2"/>
  <c r="A10448" i="2"/>
  <c r="D10447" i="2"/>
  <c r="C10447" i="2"/>
  <c r="B10447" i="2"/>
  <c r="A10447" i="2"/>
  <c r="D10446" i="2"/>
  <c r="C10446" i="2"/>
  <c r="B10446" i="2"/>
  <c r="A10446" i="2"/>
  <c r="D10445" i="2"/>
  <c r="C10445" i="2"/>
  <c r="B10445" i="2"/>
  <c r="A10445" i="2"/>
  <c r="D10444" i="2"/>
  <c r="C10444" i="2"/>
  <c r="B10444" i="2"/>
  <c r="A10444" i="2"/>
  <c r="D10443" i="2"/>
  <c r="C10443" i="2"/>
  <c r="B10443" i="2"/>
  <c r="A10443" i="2"/>
  <c r="D10442" i="2"/>
  <c r="C10442" i="2"/>
  <c r="B10442" i="2"/>
  <c r="A10442" i="2"/>
  <c r="D10441" i="2"/>
  <c r="C10441" i="2"/>
  <c r="B10441" i="2"/>
  <c r="A10441" i="2"/>
  <c r="D10440" i="2"/>
  <c r="C10440" i="2"/>
  <c r="B10440" i="2"/>
  <c r="A10440" i="2"/>
  <c r="D10439" i="2"/>
  <c r="C10439" i="2"/>
  <c r="B10439" i="2"/>
  <c r="A10439" i="2"/>
  <c r="D10438" i="2"/>
  <c r="C10438" i="2"/>
  <c r="B10438" i="2"/>
  <c r="A10438" i="2"/>
  <c r="D10437" i="2"/>
  <c r="C10437" i="2"/>
  <c r="B10437" i="2"/>
  <c r="A10437" i="2"/>
  <c r="D10436" i="2"/>
  <c r="C10436" i="2"/>
  <c r="B10436" i="2"/>
  <c r="A10436" i="2"/>
  <c r="D10435" i="2"/>
  <c r="C10435" i="2"/>
  <c r="B10435" i="2"/>
  <c r="A10435" i="2"/>
  <c r="D10434" i="2"/>
  <c r="C10434" i="2"/>
  <c r="B10434" i="2"/>
  <c r="A10434" i="2"/>
  <c r="D10433" i="2"/>
  <c r="C10433" i="2"/>
  <c r="B10433" i="2"/>
  <c r="A10433" i="2"/>
  <c r="D10432" i="2"/>
  <c r="C10432" i="2"/>
  <c r="B10432" i="2"/>
  <c r="A10432" i="2"/>
  <c r="D10431" i="2"/>
  <c r="C10431" i="2"/>
  <c r="B10431" i="2"/>
  <c r="A10431" i="2"/>
  <c r="D10430" i="2"/>
  <c r="C10430" i="2"/>
  <c r="B10430" i="2"/>
  <c r="A10430" i="2"/>
  <c r="D10429" i="2"/>
  <c r="C10429" i="2"/>
  <c r="B10429" i="2"/>
  <c r="A10429" i="2"/>
  <c r="D10428" i="2"/>
  <c r="C10428" i="2"/>
  <c r="B10428" i="2"/>
  <c r="A10428" i="2"/>
  <c r="D10427" i="2"/>
  <c r="C10427" i="2"/>
  <c r="B10427" i="2"/>
  <c r="A10427" i="2"/>
  <c r="D10426" i="2"/>
  <c r="C10426" i="2"/>
  <c r="B10426" i="2"/>
  <c r="A10426" i="2"/>
  <c r="D10425" i="2"/>
  <c r="C10425" i="2"/>
  <c r="B10425" i="2"/>
  <c r="A10425" i="2"/>
  <c r="D10424" i="2"/>
  <c r="C10424" i="2"/>
  <c r="B10424" i="2"/>
  <c r="A10424" i="2"/>
  <c r="D10423" i="2"/>
  <c r="C10423" i="2"/>
  <c r="B10423" i="2"/>
  <c r="A10423" i="2"/>
  <c r="D10422" i="2"/>
  <c r="C10422" i="2"/>
  <c r="B10422" i="2"/>
  <c r="A10422" i="2"/>
  <c r="D10421" i="2"/>
  <c r="C10421" i="2"/>
  <c r="B10421" i="2"/>
  <c r="A10421" i="2"/>
  <c r="D10420" i="2"/>
  <c r="C10420" i="2"/>
  <c r="B10420" i="2"/>
  <c r="A10420" i="2"/>
  <c r="D10419" i="2"/>
  <c r="C10419" i="2"/>
  <c r="B10419" i="2"/>
  <c r="A10419" i="2"/>
  <c r="D10418" i="2"/>
  <c r="C10418" i="2"/>
  <c r="B10418" i="2"/>
  <c r="A10418" i="2"/>
  <c r="D10417" i="2"/>
  <c r="C10417" i="2"/>
  <c r="B10417" i="2"/>
  <c r="A10417" i="2"/>
  <c r="D10416" i="2"/>
  <c r="C10416" i="2"/>
  <c r="B10416" i="2"/>
  <c r="A10416" i="2"/>
  <c r="D10415" i="2"/>
  <c r="C10415" i="2"/>
  <c r="B10415" i="2"/>
  <c r="A10415" i="2"/>
  <c r="D10414" i="2"/>
  <c r="C10414" i="2"/>
  <c r="B10414" i="2"/>
  <c r="A10414" i="2"/>
  <c r="D10413" i="2"/>
  <c r="C10413" i="2"/>
  <c r="B10413" i="2"/>
  <c r="A10413" i="2"/>
  <c r="D10412" i="2"/>
  <c r="C10412" i="2"/>
  <c r="B10412" i="2"/>
  <c r="A10412" i="2"/>
  <c r="D10411" i="2"/>
  <c r="C10411" i="2"/>
  <c r="B10411" i="2"/>
  <c r="A10411" i="2"/>
  <c r="D10410" i="2"/>
  <c r="C10410" i="2"/>
  <c r="B10410" i="2"/>
  <c r="A10410" i="2"/>
  <c r="D10409" i="2"/>
  <c r="C10409" i="2"/>
  <c r="B10409" i="2"/>
  <c r="A10409" i="2"/>
  <c r="D10408" i="2"/>
  <c r="C10408" i="2"/>
  <c r="B10408" i="2"/>
  <c r="A10408" i="2"/>
  <c r="D10407" i="2"/>
  <c r="C10407" i="2"/>
  <c r="B10407" i="2"/>
  <c r="A10407" i="2"/>
  <c r="D10406" i="2"/>
  <c r="C10406" i="2"/>
  <c r="B10406" i="2"/>
  <c r="A10406" i="2"/>
  <c r="D10405" i="2"/>
  <c r="C10405" i="2"/>
  <c r="B10405" i="2"/>
  <c r="A10405" i="2"/>
  <c r="D10404" i="2"/>
  <c r="C10404" i="2"/>
  <c r="B10404" i="2"/>
  <c r="A10404" i="2"/>
  <c r="D10403" i="2"/>
  <c r="C10403" i="2"/>
  <c r="B10403" i="2"/>
  <c r="A10403" i="2"/>
  <c r="D10402" i="2"/>
  <c r="C10402" i="2"/>
  <c r="B10402" i="2"/>
  <c r="A10402" i="2"/>
  <c r="D10401" i="2"/>
  <c r="C10401" i="2"/>
  <c r="B10401" i="2"/>
  <c r="A10401" i="2"/>
  <c r="D10400" i="2"/>
  <c r="C10400" i="2"/>
  <c r="B10400" i="2"/>
  <c r="A10400" i="2"/>
  <c r="D10399" i="2"/>
  <c r="C10399" i="2"/>
  <c r="B10399" i="2"/>
  <c r="A10399" i="2"/>
  <c r="D10398" i="2"/>
  <c r="C10398" i="2"/>
  <c r="B10398" i="2"/>
  <c r="A10398" i="2"/>
  <c r="D10397" i="2"/>
  <c r="C10397" i="2"/>
  <c r="B10397" i="2"/>
  <c r="A10397" i="2"/>
  <c r="D10396" i="2"/>
  <c r="C10396" i="2"/>
  <c r="B10396" i="2"/>
  <c r="A10396" i="2"/>
  <c r="D10395" i="2"/>
  <c r="C10395" i="2"/>
  <c r="B10395" i="2"/>
  <c r="A10395" i="2"/>
  <c r="D10394" i="2"/>
  <c r="C10394" i="2"/>
  <c r="B10394" i="2"/>
  <c r="A10394" i="2"/>
  <c r="D10393" i="2"/>
  <c r="C10393" i="2"/>
  <c r="B10393" i="2"/>
  <c r="A10393" i="2"/>
  <c r="D10392" i="2"/>
  <c r="C10392" i="2"/>
  <c r="B10392" i="2"/>
  <c r="A10392" i="2"/>
  <c r="D10391" i="2"/>
  <c r="C10391" i="2"/>
  <c r="B10391" i="2"/>
  <c r="A10391" i="2"/>
  <c r="D10390" i="2"/>
  <c r="C10390" i="2"/>
  <c r="B10390" i="2"/>
  <c r="A10390" i="2"/>
  <c r="D10389" i="2"/>
  <c r="C10389" i="2"/>
  <c r="B10389" i="2"/>
  <c r="A10389" i="2"/>
  <c r="D10388" i="2"/>
  <c r="C10388" i="2"/>
  <c r="B10388" i="2"/>
  <c r="A10388" i="2"/>
  <c r="D10387" i="2"/>
  <c r="C10387" i="2"/>
  <c r="B10387" i="2"/>
  <c r="A10387" i="2"/>
  <c r="D10386" i="2"/>
  <c r="C10386" i="2"/>
  <c r="B10386" i="2"/>
  <c r="A10386" i="2"/>
  <c r="D10385" i="2"/>
  <c r="C10385" i="2"/>
  <c r="B10385" i="2"/>
  <c r="A10385" i="2"/>
  <c r="D10384" i="2"/>
  <c r="C10384" i="2"/>
  <c r="B10384" i="2"/>
  <c r="A10384" i="2"/>
  <c r="D10383" i="2"/>
  <c r="C10383" i="2"/>
  <c r="B10383" i="2"/>
  <c r="A10383" i="2"/>
  <c r="D10382" i="2"/>
  <c r="C10382" i="2"/>
  <c r="B10382" i="2"/>
  <c r="A10382" i="2"/>
  <c r="D10381" i="2"/>
  <c r="C10381" i="2"/>
  <c r="B10381" i="2"/>
  <c r="A10381" i="2"/>
  <c r="D10380" i="2"/>
  <c r="C10380" i="2"/>
  <c r="B10380" i="2"/>
  <c r="A10380" i="2"/>
  <c r="D10379" i="2"/>
  <c r="C10379" i="2"/>
  <c r="B10379" i="2"/>
  <c r="A10379" i="2"/>
  <c r="D10378" i="2"/>
  <c r="C10378" i="2"/>
  <c r="B10378" i="2"/>
  <c r="A10378" i="2"/>
  <c r="D10377" i="2"/>
  <c r="C10377" i="2"/>
  <c r="B10377" i="2"/>
  <c r="A10377" i="2"/>
  <c r="D10376" i="2"/>
  <c r="C10376" i="2"/>
  <c r="B10376" i="2"/>
  <c r="A10376" i="2"/>
  <c r="D10375" i="2"/>
  <c r="C10375" i="2"/>
  <c r="B10375" i="2"/>
  <c r="A10375" i="2"/>
  <c r="D10374" i="2"/>
  <c r="C10374" i="2"/>
  <c r="B10374" i="2"/>
  <c r="A10374" i="2"/>
  <c r="D10373" i="2"/>
  <c r="C10373" i="2"/>
  <c r="B10373" i="2"/>
  <c r="A10373" i="2"/>
  <c r="D10372" i="2"/>
  <c r="C10372" i="2"/>
  <c r="B10372" i="2"/>
  <c r="A10372" i="2"/>
  <c r="D10371" i="2"/>
  <c r="C10371" i="2"/>
  <c r="B10371" i="2"/>
  <c r="A10371" i="2"/>
  <c r="D10370" i="2"/>
  <c r="C10370" i="2"/>
  <c r="B10370" i="2"/>
  <c r="A10370" i="2"/>
  <c r="D10369" i="2"/>
  <c r="C10369" i="2"/>
  <c r="B10369" i="2"/>
  <c r="A10369" i="2"/>
  <c r="D10368" i="2"/>
  <c r="C10368" i="2"/>
  <c r="B10368" i="2"/>
  <c r="A10368" i="2"/>
  <c r="D10367" i="2"/>
  <c r="C10367" i="2"/>
  <c r="B10367" i="2"/>
  <c r="A10367" i="2"/>
  <c r="D10366" i="2"/>
  <c r="C10366" i="2"/>
  <c r="B10366" i="2"/>
  <c r="A10366" i="2"/>
  <c r="D10365" i="2"/>
  <c r="C10365" i="2"/>
  <c r="B10365" i="2"/>
  <c r="A10365" i="2"/>
  <c r="D10364" i="2"/>
  <c r="C10364" i="2"/>
  <c r="B10364" i="2"/>
  <c r="A10364" i="2"/>
  <c r="D10363" i="2"/>
  <c r="C10363" i="2"/>
  <c r="B10363" i="2"/>
  <c r="A10363" i="2"/>
  <c r="D10362" i="2"/>
  <c r="C10362" i="2"/>
  <c r="B10362" i="2"/>
  <c r="A10362" i="2"/>
  <c r="D10361" i="2"/>
  <c r="C10361" i="2"/>
  <c r="B10361" i="2"/>
  <c r="A10361" i="2"/>
  <c r="D10360" i="2"/>
  <c r="C10360" i="2"/>
  <c r="B10360" i="2"/>
  <c r="A10360" i="2"/>
  <c r="D10359" i="2"/>
  <c r="C10359" i="2"/>
  <c r="B10359" i="2"/>
  <c r="A10359" i="2"/>
  <c r="D10358" i="2"/>
  <c r="C10358" i="2"/>
  <c r="B10358" i="2"/>
  <c r="A10358" i="2"/>
  <c r="D10357" i="2"/>
  <c r="C10357" i="2"/>
  <c r="B10357" i="2"/>
  <c r="A10357" i="2"/>
  <c r="D10356" i="2"/>
  <c r="C10356" i="2"/>
  <c r="B10356" i="2"/>
  <c r="A10356" i="2"/>
  <c r="D10355" i="2"/>
  <c r="C10355" i="2"/>
  <c r="B10355" i="2"/>
  <c r="A10355" i="2"/>
  <c r="D10354" i="2"/>
  <c r="C10354" i="2"/>
  <c r="B10354" i="2"/>
  <c r="A10354" i="2"/>
  <c r="D10353" i="2"/>
  <c r="C10353" i="2"/>
  <c r="B10353" i="2"/>
  <c r="A10353" i="2"/>
  <c r="D10352" i="2"/>
  <c r="C10352" i="2"/>
  <c r="B10352" i="2"/>
  <c r="A10352" i="2"/>
  <c r="D10351" i="2"/>
  <c r="C10351" i="2"/>
  <c r="B10351" i="2"/>
  <c r="A10351" i="2"/>
  <c r="D10350" i="2"/>
  <c r="C10350" i="2"/>
  <c r="B10350" i="2"/>
  <c r="A10350" i="2"/>
  <c r="D10349" i="2"/>
  <c r="C10349" i="2"/>
  <c r="B10349" i="2"/>
  <c r="A10349" i="2"/>
  <c r="D10348" i="2"/>
  <c r="C10348" i="2"/>
  <c r="B10348" i="2"/>
  <c r="A10348" i="2"/>
  <c r="D10347" i="2"/>
  <c r="C10347" i="2"/>
  <c r="B10347" i="2"/>
  <c r="A10347" i="2"/>
  <c r="D10346" i="2"/>
  <c r="C10346" i="2"/>
  <c r="B10346" i="2"/>
  <c r="A10346" i="2"/>
  <c r="D10345" i="2"/>
  <c r="C10345" i="2"/>
  <c r="B10345" i="2"/>
  <c r="A10345" i="2"/>
  <c r="D10344" i="2"/>
  <c r="C10344" i="2"/>
  <c r="B10344" i="2"/>
  <c r="A10344" i="2"/>
  <c r="D10343" i="2"/>
  <c r="C10343" i="2"/>
  <c r="B10343" i="2"/>
  <c r="A10343" i="2"/>
  <c r="D10342" i="2"/>
  <c r="C10342" i="2"/>
  <c r="B10342" i="2"/>
  <c r="A10342" i="2"/>
  <c r="D10341" i="2"/>
  <c r="C10341" i="2"/>
  <c r="B10341" i="2"/>
  <c r="A10341" i="2"/>
  <c r="D10340" i="2"/>
  <c r="C10340" i="2"/>
  <c r="B10340" i="2"/>
  <c r="A10340" i="2"/>
  <c r="D10339" i="2"/>
  <c r="C10339" i="2"/>
  <c r="B10339" i="2"/>
  <c r="A10339" i="2"/>
  <c r="D10338" i="2"/>
  <c r="C10338" i="2"/>
  <c r="B10338" i="2"/>
  <c r="A10338" i="2"/>
  <c r="D10337" i="2"/>
  <c r="C10337" i="2"/>
  <c r="B10337" i="2"/>
  <c r="A10337" i="2"/>
  <c r="D10336" i="2"/>
  <c r="C10336" i="2"/>
  <c r="B10336" i="2"/>
  <c r="A10336" i="2"/>
  <c r="D10335" i="2"/>
  <c r="C10335" i="2"/>
  <c r="B10335" i="2"/>
  <c r="A10335" i="2"/>
  <c r="D10334" i="2"/>
  <c r="C10334" i="2"/>
  <c r="B10334" i="2"/>
  <c r="A10334" i="2"/>
  <c r="D10333" i="2"/>
  <c r="C10333" i="2"/>
  <c r="B10333" i="2"/>
  <c r="A10333" i="2"/>
  <c r="D10332" i="2"/>
  <c r="C10332" i="2"/>
  <c r="B10332" i="2"/>
  <c r="A10332" i="2"/>
  <c r="D10331" i="2"/>
  <c r="C10331" i="2"/>
  <c r="B10331" i="2"/>
  <c r="A10331" i="2"/>
  <c r="D10330" i="2"/>
  <c r="C10330" i="2"/>
  <c r="B10330" i="2"/>
  <c r="A10330" i="2"/>
  <c r="D10329" i="2"/>
  <c r="C10329" i="2"/>
  <c r="B10329" i="2"/>
  <c r="A10329" i="2"/>
  <c r="D10328" i="2"/>
  <c r="C10328" i="2"/>
  <c r="B10328" i="2"/>
  <c r="A10328" i="2"/>
  <c r="D10327" i="2"/>
  <c r="C10327" i="2"/>
  <c r="B10327" i="2"/>
  <c r="A10327" i="2"/>
  <c r="D10326" i="2"/>
  <c r="C10326" i="2"/>
  <c r="B10326" i="2"/>
  <c r="A10326" i="2"/>
  <c r="D10325" i="2"/>
  <c r="C10325" i="2"/>
  <c r="B10325" i="2"/>
  <c r="A10325" i="2"/>
  <c r="D10324" i="2"/>
  <c r="C10324" i="2"/>
  <c r="B10324" i="2"/>
  <c r="A10324" i="2"/>
  <c r="D10323" i="2"/>
  <c r="C10323" i="2"/>
  <c r="B10323" i="2"/>
  <c r="A10323" i="2"/>
  <c r="D10322" i="2"/>
  <c r="C10322" i="2"/>
  <c r="B10322" i="2"/>
  <c r="A10322" i="2"/>
  <c r="D10321" i="2"/>
  <c r="C10321" i="2"/>
  <c r="B10321" i="2"/>
  <c r="A10321" i="2"/>
  <c r="D10320" i="2"/>
  <c r="C10320" i="2"/>
  <c r="B10320" i="2"/>
  <c r="A10320" i="2"/>
  <c r="D10319" i="2"/>
  <c r="C10319" i="2"/>
  <c r="B10319" i="2"/>
  <c r="A10319" i="2"/>
  <c r="D10318" i="2"/>
  <c r="C10318" i="2"/>
  <c r="B10318" i="2"/>
  <c r="A10318" i="2"/>
  <c r="D10317" i="2"/>
  <c r="C10317" i="2"/>
  <c r="B10317" i="2"/>
  <c r="A10317" i="2"/>
  <c r="D10316" i="2"/>
  <c r="C10316" i="2"/>
  <c r="B10316" i="2"/>
  <c r="A10316" i="2"/>
  <c r="D10315" i="2"/>
  <c r="C10315" i="2"/>
  <c r="B10315" i="2"/>
  <c r="A10315" i="2"/>
  <c r="D10314" i="2"/>
  <c r="C10314" i="2"/>
  <c r="B10314" i="2"/>
  <c r="A10314" i="2"/>
  <c r="D10313" i="2"/>
  <c r="C10313" i="2"/>
  <c r="B10313" i="2"/>
  <c r="A10313" i="2"/>
  <c r="D10312" i="2"/>
  <c r="C10312" i="2"/>
  <c r="B10312" i="2"/>
  <c r="A10312" i="2"/>
  <c r="D10311" i="2"/>
  <c r="C10311" i="2"/>
  <c r="B10311" i="2"/>
  <c r="A10311" i="2"/>
  <c r="D10310" i="2"/>
  <c r="C10310" i="2"/>
  <c r="B10310" i="2"/>
  <c r="A10310" i="2"/>
  <c r="D10309" i="2"/>
  <c r="C10309" i="2"/>
  <c r="B10309" i="2"/>
  <c r="A10309" i="2"/>
  <c r="D10308" i="2"/>
  <c r="C10308" i="2"/>
  <c r="B10308" i="2"/>
  <c r="A10308" i="2"/>
  <c r="D10307" i="2"/>
  <c r="C10307" i="2"/>
  <c r="B10307" i="2"/>
  <c r="A10307" i="2"/>
  <c r="D10306" i="2"/>
  <c r="C10306" i="2"/>
  <c r="B10306" i="2"/>
  <c r="A10306" i="2"/>
  <c r="D10305" i="2"/>
  <c r="C10305" i="2"/>
  <c r="B10305" i="2"/>
  <c r="A10305" i="2"/>
  <c r="D10304" i="2"/>
  <c r="C10304" i="2"/>
  <c r="B10304" i="2"/>
  <c r="A10304" i="2"/>
  <c r="D10303" i="2"/>
  <c r="C10303" i="2"/>
  <c r="B10303" i="2"/>
  <c r="A10303" i="2"/>
  <c r="D10302" i="2"/>
  <c r="C10302" i="2"/>
  <c r="B10302" i="2"/>
  <c r="A10302" i="2"/>
  <c r="D10301" i="2"/>
  <c r="C10301" i="2"/>
  <c r="B10301" i="2"/>
  <c r="A10301" i="2"/>
  <c r="D10300" i="2"/>
  <c r="C10300" i="2"/>
  <c r="B10300" i="2"/>
  <c r="A10300" i="2"/>
  <c r="D10299" i="2"/>
  <c r="C10299" i="2"/>
  <c r="B10299" i="2"/>
  <c r="A10299" i="2"/>
  <c r="D10298" i="2"/>
  <c r="C10298" i="2"/>
  <c r="B10298" i="2"/>
  <c r="A10298" i="2"/>
  <c r="D10297" i="2"/>
  <c r="C10297" i="2"/>
  <c r="B10297" i="2"/>
  <c r="A10297" i="2"/>
  <c r="D10296" i="2"/>
  <c r="C10296" i="2"/>
  <c r="B10296" i="2"/>
  <c r="A10296" i="2"/>
  <c r="D10295" i="2"/>
  <c r="C10295" i="2"/>
  <c r="B10295" i="2"/>
  <c r="A10295" i="2"/>
  <c r="D10294" i="2"/>
  <c r="C10294" i="2"/>
  <c r="B10294" i="2"/>
  <c r="A10294" i="2"/>
  <c r="D10293" i="2"/>
  <c r="C10293" i="2"/>
  <c r="B10293" i="2"/>
  <c r="A10293" i="2"/>
  <c r="D10292" i="2"/>
  <c r="C10292" i="2"/>
  <c r="B10292" i="2"/>
  <c r="A10292" i="2"/>
  <c r="D10291" i="2"/>
  <c r="C10291" i="2"/>
  <c r="B10291" i="2"/>
  <c r="A10291" i="2"/>
  <c r="D10290" i="2"/>
  <c r="C10290" i="2"/>
  <c r="B10290" i="2"/>
  <c r="A10290" i="2"/>
  <c r="D10289" i="2"/>
  <c r="C10289" i="2"/>
  <c r="B10289" i="2"/>
  <c r="A10289" i="2"/>
  <c r="D10288" i="2"/>
  <c r="C10288" i="2"/>
  <c r="B10288" i="2"/>
  <c r="A10288" i="2"/>
  <c r="D10287" i="2"/>
  <c r="C10287" i="2"/>
  <c r="B10287" i="2"/>
  <c r="A10287" i="2"/>
  <c r="D10286" i="2"/>
  <c r="C10286" i="2"/>
  <c r="B10286" i="2"/>
  <c r="A10286" i="2"/>
  <c r="D10285" i="2"/>
  <c r="C10285" i="2"/>
  <c r="B10285" i="2"/>
  <c r="A10285" i="2"/>
  <c r="D10284" i="2"/>
  <c r="C10284" i="2"/>
  <c r="B10284" i="2"/>
  <c r="A10284" i="2"/>
  <c r="D10283" i="2"/>
  <c r="C10283" i="2"/>
  <c r="B10283" i="2"/>
  <c r="A10283" i="2"/>
  <c r="D10282" i="2"/>
  <c r="C10282" i="2"/>
  <c r="B10282" i="2"/>
  <c r="A10282" i="2"/>
  <c r="D10281" i="2"/>
  <c r="C10281" i="2"/>
  <c r="B10281" i="2"/>
  <c r="A10281" i="2"/>
  <c r="D10280" i="2"/>
  <c r="C10280" i="2"/>
  <c r="B10280" i="2"/>
  <c r="A10280" i="2"/>
  <c r="D10279" i="2"/>
  <c r="C10279" i="2"/>
  <c r="B10279" i="2"/>
  <c r="A10279" i="2"/>
  <c r="D10278" i="2"/>
  <c r="C10278" i="2"/>
  <c r="B10278" i="2"/>
  <c r="A10278" i="2"/>
  <c r="D10277" i="2"/>
  <c r="C10277" i="2"/>
  <c r="B10277" i="2"/>
  <c r="A10277" i="2"/>
  <c r="D10276" i="2"/>
  <c r="C10276" i="2"/>
  <c r="B10276" i="2"/>
  <c r="A10276" i="2"/>
  <c r="D10275" i="2"/>
  <c r="C10275" i="2"/>
  <c r="B10275" i="2"/>
  <c r="A10275" i="2"/>
  <c r="D10274" i="2"/>
  <c r="C10274" i="2"/>
  <c r="B10274" i="2"/>
  <c r="A10274" i="2"/>
  <c r="D10273" i="2"/>
  <c r="C10273" i="2"/>
  <c r="B10273" i="2"/>
  <c r="A10273" i="2"/>
  <c r="D10272" i="2"/>
  <c r="C10272" i="2"/>
  <c r="B10272" i="2"/>
  <c r="A10272" i="2"/>
  <c r="D10271" i="2"/>
  <c r="C10271" i="2"/>
  <c r="B10271" i="2"/>
  <c r="A10271" i="2"/>
  <c r="D10270" i="2"/>
  <c r="C10270" i="2"/>
  <c r="B10270" i="2"/>
  <c r="A10270" i="2"/>
  <c r="D10269" i="2"/>
  <c r="C10269" i="2"/>
  <c r="B10269" i="2"/>
  <c r="A10269" i="2"/>
  <c r="D10268" i="2"/>
  <c r="C10268" i="2"/>
  <c r="B10268" i="2"/>
  <c r="A10268" i="2"/>
  <c r="D10267" i="2"/>
  <c r="C10267" i="2"/>
  <c r="B10267" i="2"/>
  <c r="A10267" i="2"/>
  <c r="D10266" i="2"/>
  <c r="C10266" i="2"/>
  <c r="B10266" i="2"/>
  <c r="A10266" i="2"/>
  <c r="D10265" i="2"/>
  <c r="C10265" i="2"/>
  <c r="B10265" i="2"/>
  <c r="A10265" i="2"/>
  <c r="D10264" i="2"/>
  <c r="C10264" i="2"/>
  <c r="B10264" i="2"/>
  <c r="A10264" i="2"/>
  <c r="D10263" i="2"/>
  <c r="C10263" i="2"/>
  <c r="B10263" i="2"/>
  <c r="A10263" i="2"/>
  <c r="D10262" i="2"/>
  <c r="C10262" i="2"/>
  <c r="B10262" i="2"/>
  <c r="A10262" i="2"/>
  <c r="D10261" i="2"/>
  <c r="C10261" i="2"/>
  <c r="B10261" i="2"/>
  <c r="A10261" i="2"/>
  <c r="D10260" i="2"/>
  <c r="C10260" i="2"/>
  <c r="B10260" i="2"/>
  <c r="A10260" i="2"/>
  <c r="D10259" i="2"/>
  <c r="C10259" i="2"/>
  <c r="B10259" i="2"/>
  <c r="A10259" i="2"/>
  <c r="D10258" i="2"/>
  <c r="C10258" i="2"/>
  <c r="B10258" i="2"/>
  <c r="A10258" i="2"/>
  <c r="D10257" i="2"/>
  <c r="C10257" i="2"/>
  <c r="B10257" i="2"/>
  <c r="A10257" i="2"/>
  <c r="D10256" i="2"/>
  <c r="C10256" i="2"/>
  <c r="B10256" i="2"/>
  <c r="A10256" i="2"/>
  <c r="D10255" i="2"/>
  <c r="C10255" i="2"/>
  <c r="B10255" i="2"/>
  <c r="A10255" i="2"/>
  <c r="D10254" i="2"/>
  <c r="C10254" i="2"/>
  <c r="B10254" i="2"/>
  <c r="A10254" i="2"/>
  <c r="D10253" i="2"/>
  <c r="C10253" i="2"/>
  <c r="B10253" i="2"/>
  <c r="A10253" i="2"/>
  <c r="D10252" i="2"/>
  <c r="C10252" i="2"/>
  <c r="B10252" i="2"/>
  <c r="A10252" i="2"/>
  <c r="D10251" i="2"/>
  <c r="C10251" i="2"/>
  <c r="B10251" i="2"/>
  <c r="A10251" i="2"/>
  <c r="D10250" i="2"/>
  <c r="C10250" i="2"/>
  <c r="B10250" i="2"/>
  <c r="A10250" i="2"/>
  <c r="D10249" i="2"/>
  <c r="C10249" i="2"/>
  <c r="B10249" i="2"/>
  <c r="A10249" i="2"/>
  <c r="D10248" i="2"/>
  <c r="C10248" i="2"/>
  <c r="B10248" i="2"/>
  <c r="A10248" i="2"/>
  <c r="D10247" i="2"/>
  <c r="C10247" i="2"/>
  <c r="B10247" i="2"/>
  <c r="A10247" i="2"/>
  <c r="D10246" i="2"/>
  <c r="C10246" i="2"/>
  <c r="B10246" i="2"/>
  <c r="A10246" i="2"/>
  <c r="D10245" i="2"/>
  <c r="C10245" i="2"/>
  <c r="B10245" i="2"/>
  <c r="A10245" i="2"/>
  <c r="D10244" i="2"/>
  <c r="C10244" i="2"/>
  <c r="B10244" i="2"/>
  <c r="A10244" i="2"/>
  <c r="D10243" i="2"/>
  <c r="C10243" i="2"/>
  <c r="B10243" i="2"/>
  <c r="A10243" i="2"/>
  <c r="D10242" i="2"/>
  <c r="C10242" i="2"/>
  <c r="B10242" i="2"/>
  <c r="A10242" i="2"/>
  <c r="D10241" i="2"/>
  <c r="C10241" i="2"/>
  <c r="B10241" i="2"/>
  <c r="A10241" i="2"/>
  <c r="D10240" i="2"/>
  <c r="C10240" i="2"/>
  <c r="B10240" i="2"/>
  <c r="A10240" i="2"/>
  <c r="D10239" i="2"/>
  <c r="C10239" i="2"/>
  <c r="B10239" i="2"/>
  <c r="A10239" i="2"/>
  <c r="D10238" i="2"/>
  <c r="C10238" i="2"/>
  <c r="B10238" i="2"/>
  <c r="A10238" i="2"/>
  <c r="D10237" i="2"/>
  <c r="C10237" i="2"/>
  <c r="B10237" i="2"/>
  <c r="A10237" i="2"/>
  <c r="D10236" i="2"/>
  <c r="C10236" i="2"/>
  <c r="B10236" i="2"/>
  <c r="A10236" i="2"/>
  <c r="D10235" i="2"/>
  <c r="C10235" i="2"/>
  <c r="B10235" i="2"/>
  <c r="A10235" i="2"/>
  <c r="D10234" i="2"/>
  <c r="C10234" i="2"/>
  <c r="B10234" i="2"/>
  <c r="A10234" i="2"/>
  <c r="D10233" i="2"/>
  <c r="C10233" i="2"/>
  <c r="B10233" i="2"/>
  <c r="A10233" i="2"/>
  <c r="D10232" i="2"/>
  <c r="C10232" i="2"/>
  <c r="B10232" i="2"/>
  <c r="A10232" i="2"/>
  <c r="D10231" i="2"/>
  <c r="C10231" i="2"/>
  <c r="B10231" i="2"/>
  <c r="A10231" i="2"/>
  <c r="D10230" i="2"/>
  <c r="C10230" i="2"/>
  <c r="B10230" i="2"/>
  <c r="A10230" i="2"/>
  <c r="D10229" i="2"/>
  <c r="C10229" i="2"/>
  <c r="B10229" i="2"/>
  <c r="A10229" i="2"/>
  <c r="D10228" i="2"/>
  <c r="C10228" i="2"/>
  <c r="B10228" i="2"/>
  <c r="A10228" i="2"/>
  <c r="D10227" i="2"/>
  <c r="C10227" i="2"/>
  <c r="B10227" i="2"/>
  <c r="A10227" i="2"/>
  <c r="D10226" i="2"/>
  <c r="C10226" i="2"/>
  <c r="B10226" i="2"/>
  <c r="A10226" i="2"/>
  <c r="D10225" i="2"/>
  <c r="C10225" i="2"/>
  <c r="B10225" i="2"/>
  <c r="A10225" i="2"/>
  <c r="D10224" i="2"/>
  <c r="C10224" i="2"/>
  <c r="B10224" i="2"/>
  <c r="A10224" i="2"/>
  <c r="D10223" i="2"/>
  <c r="C10223" i="2"/>
  <c r="B10223" i="2"/>
  <c r="A10223" i="2"/>
  <c r="D10222" i="2"/>
  <c r="C10222" i="2"/>
  <c r="B10222" i="2"/>
  <c r="A10222" i="2"/>
  <c r="D10221" i="2"/>
  <c r="C10221" i="2"/>
  <c r="B10221" i="2"/>
  <c r="A10221" i="2"/>
  <c r="D10220" i="2"/>
  <c r="C10220" i="2"/>
  <c r="B10220" i="2"/>
  <c r="A10220" i="2"/>
  <c r="D10219" i="2"/>
  <c r="C10219" i="2"/>
  <c r="B10219" i="2"/>
  <c r="A10219" i="2"/>
  <c r="D10218" i="2"/>
  <c r="C10218" i="2"/>
  <c r="B10218" i="2"/>
  <c r="A10218" i="2"/>
  <c r="D10217" i="2"/>
  <c r="C10217" i="2"/>
  <c r="B10217" i="2"/>
  <c r="A10217" i="2"/>
  <c r="D10216" i="2"/>
  <c r="C10216" i="2"/>
  <c r="B10216" i="2"/>
  <c r="A10216" i="2"/>
  <c r="D10215" i="2"/>
  <c r="C10215" i="2"/>
  <c r="B10215" i="2"/>
  <c r="A10215" i="2"/>
  <c r="D10214" i="2"/>
  <c r="C10214" i="2"/>
  <c r="B10214" i="2"/>
  <c r="A10214" i="2"/>
  <c r="D10213" i="2"/>
  <c r="C10213" i="2"/>
  <c r="B10213" i="2"/>
  <c r="A10213" i="2"/>
  <c r="D10212" i="2"/>
  <c r="C10212" i="2"/>
  <c r="B10212" i="2"/>
  <c r="A10212" i="2"/>
  <c r="D10211" i="2"/>
  <c r="C10211" i="2"/>
  <c r="B10211" i="2"/>
  <c r="A10211" i="2"/>
  <c r="D10210" i="2"/>
  <c r="C10210" i="2"/>
  <c r="B10210" i="2"/>
  <c r="A10210" i="2"/>
  <c r="D10209" i="2"/>
  <c r="C10209" i="2"/>
  <c r="B10209" i="2"/>
  <c r="A10209" i="2"/>
  <c r="D10208" i="2"/>
  <c r="C10208" i="2"/>
  <c r="B10208" i="2"/>
  <c r="A10208" i="2"/>
  <c r="D10207" i="2"/>
  <c r="C10207" i="2"/>
  <c r="B10207" i="2"/>
  <c r="A10207" i="2"/>
  <c r="D10206" i="2"/>
  <c r="C10206" i="2"/>
  <c r="B10206" i="2"/>
  <c r="A10206" i="2"/>
  <c r="D10205" i="2"/>
  <c r="C10205" i="2"/>
  <c r="B10205" i="2"/>
  <c r="A10205" i="2"/>
  <c r="D10204" i="2"/>
  <c r="C10204" i="2"/>
  <c r="B10204" i="2"/>
  <c r="A10204" i="2"/>
  <c r="D10203" i="2"/>
  <c r="C10203" i="2"/>
  <c r="B10203" i="2"/>
  <c r="A10203" i="2"/>
  <c r="D10202" i="2"/>
  <c r="C10202" i="2"/>
  <c r="B10202" i="2"/>
  <c r="A10202" i="2"/>
  <c r="D10201" i="2"/>
  <c r="C10201" i="2"/>
  <c r="B10201" i="2"/>
  <c r="A10201" i="2"/>
  <c r="D10200" i="2"/>
  <c r="C10200" i="2"/>
  <c r="B10200" i="2"/>
  <c r="A10200" i="2"/>
  <c r="D10199" i="2"/>
  <c r="C10199" i="2"/>
  <c r="B10199" i="2"/>
  <c r="A10199" i="2"/>
  <c r="D10198" i="2"/>
  <c r="C10198" i="2"/>
  <c r="B10198" i="2"/>
  <c r="A10198" i="2"/>
  <c r="D10197" i="2"/>
  <c r="C10197" i="2"/>
  <c r="B10197" i="2"/>
  <c r="A10197" i="2"/>
  <c r="D10196" i="2"/>
  <c r="C10196" i="2"/>
  <c r="B10196" i="2"/>
  <c r="A10196" i="2"/>
  <c r="D10195" i="2"/>
  <c r="C10195" i="2"/>
  <c r="B10195" i="2"/>
  <c r="A10195" i="2"/>
  <c r="D10194" i="2"/>
  <c r="C10194" i="2"/>
  <c r="B10194" i="2"/>
  <c r="A10194" i="2"/>
  <c r="D10193" i="2"/>
  <c r="C10193" i="2"/>
  <c r="B10193" i="2"/>
  <c r="A10193" i="2"/>
  <c r="D10192" i="2"/>
  <c r="C10192" i="2"/>
  <c r="B10192" i="2"/>
  <c r="A10192" i="2"/>
  <c r="D10191" i="2"/>
  <c r="C10191" i="2"/>
  <c r="B10191" i="2"/>
  <c r="A10191" i="2"/>
  <c r="D10190" i="2"/>
  <c r="C10190" i="2"/>
  <c r="B10190" i="2"/>
  <c r="A10190" i="2"/>
  <c r="D10189" i="2"/>
  <c r="C10189" i="2"/>
  <c r="B10189" i="2"/>
  <c r="A10189" i="2"/>
  <c r="D10188" i="2"/>
  <c r="C10188" i="2"/>
  <c r="B10188" i="2"/>
  <c r="A10188" i="2"/>
  <c r="D10187" i="2"/>
  <c r="C10187" i="2"/>
  <c r="B10187" i="2"/>
  <c r="A10187" i="2"/>
  <c r="D10186" i="2"/>
  <c r="C10186" i="2"/>
  <c r="B10186" i="2"/>
  <c r="A10186" i="2"/>
  <c r="D10185" i="2"/>
  <c r="C10185" i="2"/>
  <c r="B10185" i="2"/>
  <c r="A10185" i="2"/>
  <c r="D10184" i="2"/>
  <c r="C10184" i="2"/>
  <c r="B10184" i="2"/>
  <c r="A10184" i="2"/>
  <c r="D10183" i="2"/>
  <c r="C10183" i="2"/>
  <c r="B10183" i="2"/>
  <c r="A10183" i="2"/>
  <c r="D10182" i="2"/>
  <c r="C10182" i="2"/>
  <c r="B10182" i="2"/>
  <c r="A10182" i="2"/>
  <c r="D10181" i="2"/>
  <c r="C10181" i="2"/>
  <c r="B10181" i="2"/>
  <c r="A10181" i="2"/>
  <c r="D10180" i="2"/>
  <c r="C10180" i="2"/>
  <c r="B10180" i="2"/>
  <c r="A10180" i="2"/>
  <c r="D10179" i="2"/>
  <c r="C10179" i="2"/>
  <c r="B10179" i="2"/>
  <c r="A10179" i="2"/>
  <c r="D10178" i="2"/>
  <c r="C10178" i="2"/>
  <c r="B10178" i="2"/>
  <c r="A10178" i="2"/>
  <c r="D10177" i="2"/>
  <c r="C10177" i="2"/>
  <c r="B10177" i="2"/>
  <c r="A10177" i="2"/>
  <c r="D10176" i="2"/>
  <c r="C10176" i="2"/>
  <c r="B10176" i="2"/>
  <c r="A10176" i="2"/>
  <c r="D10175" i="2"/>
  <c r="C10175" i="2"/>
  <c r="B10175" i="2"/>
  <c r="A10175" i="2"/>
  <c r="D10174" i="2"/>
  <c r="C10174" i="2"/>
  <c r="B10174" i="2"/>
  <c r="A10174" i="2"/>
  <c r="D10173" i="2"/>
  <c r="C10173" i="2"/>
  <c r="B10173" i="2"/>
  <c r="A10173" i="2"/>
  <c r="D10172" i="2"/>
  <c r="C10172" i="2"/>
  <c r="B10172" i="2"/>
  <c r="A10172" i="2"/>
  <c r="D10171" i="2"/>
  <c r="C10171" i="2"/>
  <c r="B10171" i="2"/>
  <c r="A10171" i="2"/>
  <c r="D10170" i="2"/>
  <c r="C10170" i="2"/>
  <c r="B10170" i="2"/>
  <c r="A10170" i="2"/>
  <c r="D10169" i="2"/>
  <c r="C10169" i="2"/>
  <c r="B10169" i="2"/>
  <c r="A10169" i="2"/>
  <c r="D10168" i="2"/>
  <c r="C10168" i="2"/>
  <c r="B10168" i="2"/>
  <c r="A10168" i="2"/>
  <c r="D10167" i="2"/>
  <c r="C10167" i="2"/>
  <c r="B10167" i="2"/>
  <c r="A10167" i="2"/>
  <c r="D10166" i="2"/>
  <c r="C10166" i="2"/>
  <c r="B10166" i="2"/>
  <c r="A10166" i="2"/>
  <c r="D10165" i="2"/>
  <c r="C10165" i="2"/>
  <c r="B10165" i="2"/>
  <c r="A10165" i="2"/>
  <c r="D10164" i="2"/>
  <c r="C10164" i="2"/>
  <c r="B10164" i="2"/>
  <c r="A10164" i="2"/>
  <c r="D10163" i="2"/>
  <c r="C10163" i="2"/>
  <c r="B10163" i="2"/>
  <c r="A10163" i="2"/>
  <c r="D10162" i="2"/>
  <c r="C10162" i="2"/>
  <c r="B10162" i="2"/>
  <c r="A10162" i="2"/>
  <c r="D10161" i="2"/>
  <c r="C10161" i="2"/>
  <c r="B10161" i="2"/>
  <c r="A10161" i="2"/>
  <c r="D10160" i="2"/>
  <c r="C10160" i="2"/>
  <c r="B10160" i="2"/>
  <c r="A10160" i="2"/>
  <c r="D10159" i="2"/>
  <c r="C10159" i="2"/>
  <c r="B10159" i="2"/>
  <c r="A10159" i="2"/>
  <c r="D10158" i="2"/>
  <c r="C10158" i="2"/>
  <c r="B10158" i="2"/>
  <c r="A10158" i="2"/>
  <c r="D10157" i="2"/>
  <c r="C10157" i="2"/>
  <c r="B10157" i="2"/>
  <c r="A10157" i="2"/>
  <c r="D10156" i="2"/>
  <c r="C10156" i="2"/>
  <c r="B10156" i="2"/>
  <c r="A10156" i="2"/>
  <c r="D10155" i="2"/>
  <c r="C10155" i="2"/>
  <c r="B10155" i="2"/>
  <c r="A10155" i="2"/>
  <c r="D10154" i="2"/>
  <c r="C10154" i="2"/>
  <c r="B10154" i="2"/>
  <c r="A10154" i="2"/>
  <c r="D10153" i="2"/>
  <c r="C10153" i="2"/>
  <c r="B10153" i="2"/>
  <c r="A10153" i="2"/>
  <c r="D10152" i="2"/>
  <c r="C10152" i="2"/>
  <c r="B10152" i="2"/>
  <c r="A10152" i="2"/>
  <c r="D10151" i="2"/>
  <c r="C10151" i="2"/>
  <c r="B10151" i="2"/>
  <c r="A10151" i="2"/>
  <c r="D10150" i="2"/>
  <c r="C10150" i="2"/>
  <c r="B10150" i="2"/>
  <c r="A10150" i="2"/>
  <c r="D10149" i="2"/>
  <c r="C10149" i="2"/>
  <c r="B10149" i="2"/>
  <c r="A10149" i="2"/>
  <c r="D10148" i="2"/>
  <c r="C10148" i="2"/>
  <c r="B10148" i="2"/>
  <c r="A10148" i="2"/>
  <c r="D10147" i="2"/>
  <c r="C10147" i="2"/>
  <c r="B10147" i="2"/>
  <c r="A10147" i="2"/>
  <c r="D10146" i="2"/>
  <c r="C10146" i="2"/>
  <c r="B10146" i="2"/>
  <c r="A10146" i="2"/>
  <c r="D10145" i="2"/>
  <c r="C10145" i="2"/>
  <c r="B10145" i="2"/>
  <c r="A10145" i="2"/>
  <c r="D10144" i="2"/>
  <c r="C10144" i="2"/>
  <c r="B10144" i="2"/>
  <c r="A10144" i="2"/>
  <c r="D10143" i="2"/>
  <c r="C10143" i="2"/>
  <c r="B10143" i="2"/>
  <c r="A10143" i="2"/>
  <c r="D10142" i="2"/>
  <c r="C10142" i="2"/>
  <c r="B10142" i="2"/>
  <c r="A10142" i="2"/>
  <c r="D10141" i="2"/>
  <c r="C10141" i="2"/>
  <c r="B10141" i="2"/>
  <c r="A10141" i="2"/>
  <c r="D10140" i="2"/>
  <c r="C10140" i="2"/>
  <c r="B10140" i="2"/>
  <c r="A10140" i="2"/>
  <c r="D10139" i="2"/>
  <c r="C10139" i="2"/>
  <c r="B10139" i="2"/>
  <c r="A10139" i="2"/>
  <c r="D10138" i="2"/>
  <c r="C10138" i="2"/>
  <c r="B10138" i="2"/>
  <c r="A10138" i="2"/>
  <c r="D10137" i="2"/>
  <c r="C10137" i="2"/>
  <c r="B10137" i="2"/>
  <c r="A10137" i="2"/>
  <c r="D10136" i="2"/>
  <c r="C10136" i="2"/>
  <c r="B10136" i="2"/>
  <c r="A10136" i="2"/>
  <c r="D10135" i="2"/>
  <c r="C10135" i="2"/>
  <c r="B10135" i="2"/>
  <c r="A10135" i="2"/>
  <c r="D10134" i="2"/>
  <c r="C10134" i="2"/>
  <c r="B10134" i="2"/>
  <c r="A10134" i="2"/>
  <c r="D10133" i="2"/>
  <c r="C10133" i="2"/>
  <c r="B10133" i="2"/>
  <c r="A10133" i="2"/>
  <c r="D10132" i="2"/>
  <c r="C10132" i="2"/>
  <c r="B10132" i="2"/>
  <c r="A10132" i="2"/>
  <c r="D10131" i="2"/>
  <c r="C10131" i="2"/>
  <c r="B10131" i="2"/>
  <c r="A10131" i="2"/>
  <c r="D10130" i="2"/>
  <c r="C10130" i="2"/>
  <c r="B10130" i="2"/>
  <c r="A10130" i="2"/>
  <c r="D10129" i="2"/>
  <c r="C10129" i="2"/>
  <c r="B10129" i="2"/>
  <c r="A10129" i="2"/>
  <c r="D10128" i="2"/>
  <c r="C10128" i="2"/>
  <c r="B10128" i="2"/>
  <c r="A10128" i="2"/>
  <c r="D10127" i="2"/>
  <c r="C10127" i="2"/>
  <c r="B10127" i="2"/>
  <c r="A10127" i="2"/>
  <c r="D10126" i="2"/>
  <c r="C10126" i="2"/>
  <c r="B10126" i="2"/>
  <c r="A10126" i="2"/>
  <c r="D10125" i="2"/>
  <c r="C10125" i="2"/>
  <c r="B10125" i="2"/>
  <c r="A10125" i="2"/>
  <c r="D10124" i="2"/>
  <c r="C10124" i="2"/>
  <c r="B10124" i="2"/>
  <c r="A10124" i="2"/>
  <c r="D10123" i="2"/>
  <c r="C10123" i="2"/>
  <c r="B10123" i="2"/>
  <c r="A10123" i="2"/>
  <c r="D10122" i="2"/>
  <c r="C10122" i="2"/>
  <c r="B10122" i="2"/>
  <c r="A10122" i="2"/>
  <c r="D10121" i="2"/>
  <c r="C10121" i="2"/>
  <c r="B10121" i="2"/>
  <c r="A10121" i="2"/>
  <c r="D10120" i="2"/>
  <c r="C10120" i="2"/>
  <c r="B10120" i="2"/>
  <c r="A10120" i="2"/>
  <c r="D10119" i="2"/>
  <c r="C10119" i="2"/>
  <c r="B10119" i="2"/>
  <c r="A10119" i="2"/>
  <c r="D10118" i="2"/>
  <c r="C10118" i="2"/>
  <c r="B10118" i="2"/>
  <c r="A10118" i="2"/>
  <c r="D10117" i="2"/>
  <c r="C10117" i="2"/>
  <c r="B10117" i="2"/>
  <c r="A10117" i="2"/>
  <c r="D10116" i="2"/>
  <c r="C10116" i="2"/>
  <c r="B10116" i="2"/>
  <c r="A10116" i="2"/>
  <c r="D10115" i="2"/>
  <c r="C10115" i="2"/>
  <c r="B10115" i="2"/>
  <c r="A10115" i="2"/>
  <c r="D10114" i="2"/>
  <c r="C10114" i="2"/>
  <c r="B10114" i="2"/>
  <c r="A10114" i="2"/>
  <c r="D10113" i="2"/>
  <c r="C10113" i="2"/>
  <c r="B10113" i="2"/>
  <c r="A10113" i="2"/>
  <c r="D10112" i="2"/>
  <c r="C10112" i="2"/>
  <c r="B10112" i="2"/>
  <c r="A10112" i="2"/>
  <c r="D10111" i="2"/>
  <c r="C10111" i="2"/>
  <c r="B10111" i="2"/>
  <c r="A10111" i="2"/>
  <c r="D10110" i="2"/>
  <c r="C10110" i="2"/>
  <c r="B10110" i="2"/>
  <c r="A10110" i="2"/>
  <c r="D10109" i="2"/>
  <c r="C10109" i="2"/>
  <c r="B10109" i="2"/>
  <c r="A10109" i="2"/>
  <c r="D10108" i="2"/>
  <c r="C10108" i="2"/>
  <c r="B10108" i="2"/>
  <c r="A10108" i="2"/>
  <c r="D10107" i="2"/>
  <c r="C10107" i="2"/>
  <c r="B10107" i="2"/>
  <c r="A10107" i="2"/>
  <c r="D10106" i="2"/>
  <c r="C10106" i="2"/>
  <c r="B10106" i="2"/>
  <c r="A10106" i="2"/>
  <c r="D10105" i="2"/>
  <c r="C10105" i="2"/>
  <c r="B10105" i="2"/>
  <c r="A10105" i="2"/>
  <c r="D10104" i="2"/>
  <c r="C10104" i="2"/>
  <c r="B10104" i="2"/>
  <c r="A10104" i="2"/>
  <c r="D10103" i="2"/>
  <c r="C10103" i="2"/>
  <c r="B10103" i="2"/>
  <c r="A10103" i="2"/>
  <c r="D10102" i="2"/>
  <c r="C10102" i="2"/>
  <c r="B10102" i="2"/>
  <c r="A10102" i="2"/>
  <c r="D10101" i="2"/>
  <c r="C10101" i="2"/>
  <c r="B10101" i="2"/>
  <c r="A10101" i="2"/>
  <c r="D10100" i="2"/>
  <c r="C10100" i="2"/>
  <c r="B10100" i="2"/>
  <c r="A10100" i="2"/>
  <c r="D10099" i="2"/>
  <c r="C10099" i="2"/>
  <c r="B10099" i="2"/>
  <c r="A10099" i="2"/>
  <c r="D10098" i="2"/>
  <c r="C10098" i="2"/>
  <c r="B10098" i="2"/>
  <c r="A10098" i="2"/>
  <c r="D10097" i="2"/>
  <c r="C10097" i="2"/>
  <c r="B10097" i="2"/>
  <c r="A10097" i="2"/>
  <c r="D10096" i="2"/>
  <c r="C10096" i="2"/>
  <c r="B10096" i="2"/>
  <c r="A10096" i="2"/>
  <c r="D10095" i="2"/>
  <c r="C10095" i="2"/>
  <c r="B10095" i="2"/>
  <c r="A10095" i="2"/>
  <c r="D10094" i="2"/>
  <c r="C10094" i="2"/>
  <c r="B10094" i="2"/>
  <c r="A10094" i="2"/>
  <c r="D10093" i="2"/>
  <c r="C10093" i="2"/>
  <c r="B10093" i="2"/>
  <c r="A10093" i="2"/>
  <c r="D10092" i="2"/>
  <c r="C10092" i="2"/>
  <c r="B10092" i="2"/>
  <c r="A10092" i="2"/>
  <c r="D10091" i="2"/>
  <c r="C10091" i="2"/>
  <c r="B10091" i="2"/>
  <c r="A10091" i="2"/>
  <c r="D10090" i="2"/>
  <c r="C10090" i="2"/>
  <c r="B10090" i="2"/>
  <c r="A10090" i="2"/>
  <c r="D10089" i="2"/>
  <c r="C10089" i="2"/>
  <c r="B10089" i="2"/>
  <c r="A10089" i="2"/>
  <c r="D10088" i="2"/>
  <c r="C10088" i="2"/>
  <c r="B10088" i="2"/>
  <c r="A10088" i="2"/>
  <c r="D10087" i="2"/>
  <c r="C10087" i="2"/>
  <c r="B10087" i="2"/>
  <c r="A10087" i="2"/>
  <c r="D10086" i="2"/>
  <c r="C10086" i="2"/>
  <c r="B10086" i="2"/>
  <c r="A10086" i="2"/>
  <c r="D10085" i="2"/>
  <c r="C10085" i="2"/>
  <c r="B10085" i="2"/>
  <c r="A10085" i="2"/>
  <c r="D10084" i="2"/>
  <c r="C10084" i="2"/>
  <c r="B10084" i="2"/>
  <c r="A10084" i="2"/>
  <c r="D10083" i="2"/>
  <c r="C10083" i="2"/>
  <c r="B10083" i="2"/>
  <c r="A10083" i="2"/>
  <c r="D10082" i="2"/>
  <c r="C10082" i="2"/>
  <c r="B10082" i="2"/>
  <c r="A10082" i="2"/>
  <c r="D10081" i="2"/>
  <c r="C10081" i="2"/>
  <c r="B10081" i="2"/>
  <c r="A10081" i="2"/>
  <c r="D10080" i="2"/>
  <c r="C10080" i="2"/>
  <c r="B10080" i="2"/>
  <c r="A10080" i="2"/>
  <c r="D10079" i="2"/>
  <c r="C10079" i="2"/>
  <c r="B10079" i="2"/>
  <c r="A10079" i="2"/>
  <c r="D10078" i="2"/>
  <c r="C10078" i="2"/>
  <c r="B10078" i="2"/>
  <c r="A10078" i="2"/>
  <c r="D10077" i="2"/>
  <c r="C10077" i="2"/>
  <c r="B10077" i="2"/>
  <c r="A10077" i="2"/>
  <c r="D10076" i="2"/>
  <c r="C10076" i="2"/>
  <c r="B10076" i="2"/>
  <c r="A10076" i="2"/>
  <c r="D10075" i="2"/>
  <c r="C10075" i="2"/>
  <c r="B10075" i="2"/>
  <c r="A10075" i="2"/>
  <c r="D10074" i="2"/>
  <c r="C10074" i="2"/>
  <c r="B10074" i="2"/>
  <c r="A10074" i="2"/>
  <c r="D10073" i="2"/>
  <c r="C10073" i="2"/>
  <c r="B10073" i="2"/>
  <c r="A10073" i="2"/>
  <c r="D10072" i="2"/>
  <c r="C10072" i="2"/>
  <c r="B10072" i="2"/>
  <c r="A10072" i="2"/>
  <c r="D10071" i="2"/>
  <c r="C10071" i="2"/>
  <c r="B10071" i="2"/>
  <c r="A10071" i="2"/>
  <c r="D10070" i="2"/>
  <c r="C10070" i="2"/>
  <c r="B10070" i="2"/>
  <c r="A10070" i="2"/>
  <c r="D10069" i="2"/>
  <c r="C10069" i="2"/>
  <c r="B10069" i="2"/>
  <c r="A10069" i="2"/>
  <c r="D10068" i="2"/>
  <c r="C10068" i="2"/>
  <c r="B10068" i="2"/>
  <c r="A10068" i="2"/>
  <c r="D10067" i="2"/>
  <c r="C10067" i="2"/>
  <c r="B10067" i="2"/>
  <c r="A10067" i="2"/>
  <c r="D10066" i="2"/>
  <c r="C10066" i="2"/>
  <c r="B10066" i="2"/>
  <c r="A10066" i="2"/>
  <c r="D10065" i="2"/>
  <c r="C10065" i="2"/>
  <c r="B10065" i="2"/>
  <c r="A10065" i="2"/>
  <c r="D10064" i="2"/>
  <c r="C10064" i="2"/>
  <c r="B10064" i="2"/>
  <c r="A10064" i="2"/>
  <c r="D10063" i="2"/>
  <c r="C10063" i="2"/>
  <c r="B10063" i="2"/>
  <c r="A10063" i="2"/>
  <c r="D10062" i="2"/>
  <c r="C10062" i="2"/>
  <c r="B10062" i="2"/>
  <c r="A10062" i="2"/>
  <c r="D10061" i="2"/>
  <c r="C10061" i="2"/>
  <c r="B10061" i="2"/>
  <c r="A10061" i="2"/>
  <c r="D10060" i="2"/>
  <c r="C10060" i="2"/>
  <c r="B10060" i="2"/>
  <c r="A10060" i="2"/>
  <c r="D10059" i="2"/>
  <c r="C10059" i="2"/>
  <c r="B10059" i="2"/>
  <c r="A10059" i="2"/>
  <c r="D10058" i="2"/>
  <c r="C10058" i="2"/>
  <c r="B10058" i="2"/>
  <c r="A10058" i="2"/>
  <c r="D10057" i="2"/>
  <c r="C10057" i="2"/>
  <c r="B10057" i="2"/>
  <c r="A10057" i="2"/>
  <c r="D10056" i="2"/>
  <c r="C10056" i="2"/>
  <c r="B10056" i="2"/>
  <c r="A10056" i="2"/>
  <c r="D10055" i="2"/>
  <c r="C10055" i="2"/>
  <c r="B10055" i="2"/>
  <c r="A10055" i="2"/>
  <c r="D10054" i="2"/>
  <c r="C10054" i="2"/>
  <c r="B10054" i="2"/>
  <c r="A10054" i="2"/>
  <c r="D10053" i="2"/>
  <c r="C10053" i="2"/>
  <c r="B10053" i="2"/>
  <c r="A10053" i="2"/>
  <c r="D10052" i="2"/>
  <c r="C10052" i="2"/>
  <c r="B10052" i="2"/>
  <c r="A10052" i="2"/>
  <c r="D10051" i="2"/>
  <c r="C10051" i="2"/>
  <c r="B10051" i="2"/>
  <c r="A10051" i="2"/>
  <c r="D10050" i="2"/>
  <c r="C10050" i="2"/>
  <c r="B10050" i="2"/>
  <c r="A10050" i="2"/>
  <c r="D10049" i="2"/>
  <c r="C10049" i="2"/>
  <c r="B10049" i="2"/>
  <c r="A10049" i="2"/>
  <c r="D10048" i="2"/>
  <c r="C10048" i="2"/>
  <c r="B10048" i="2"/>
  <c r="A10048" i="2"/>
  <c r="D10047" i="2"/>
  <c r="C10047" i="2"/>
  <c r="B10047" i="2"/>
  <c r="A10047" i="2"/>
  <c r="D10046" i="2"/>
  <c r="C10046" i="2"/>
  <c r="B10046" i="2"/>
  <c r="A10046" i="2"/>
  <c r="D10045" i="2"/>
  <c r="C10045" i="2"/>
  <c r="B10045" i="2"/>
  <c r="A10045" i="2"/>
  <c r="D10044" i="2"/>
  <c r="C10044" i="2"/>
  <c r="B10044" i="2"/>
  <c r="A10044" i="2"/>
  <c r="D10043" i="2"/>
  <c r="C10043" i="2"/>
  <c r="B10043" i="2"/>
  <c r="A10043" i="2"/>
  <c r="D10042" i="2"/>
  <c r="C10042" i="2"/>
  <c r="B10042" i="2"/>
  <c r="A10042" i="2"/>
  <c r="D10041" i="2"/>
  <c r="C10041" i="2"/>
  <c r="B10041" i="2"/>
  <c r="A10041" i="2"/>
  <c r="D10040" i="2"/>
  <c r="C10040" i="2"/>
  <c r="B10040" i="2"/>
  <c r="A10040" i="2"/>
  <c r="D10039" i="2"/>
  <c r="C10039" i="2"/>
  <c r="B10039" i="2"/>
  <c r="A10039" i="2"/>
  <c r="D10038" i="2"/>
  <c r="C10038" i="2"/>
  <c r="B10038" i="2"/>
  <c r="A10038" i="2"/>
  <c r="D10037" i="2"/>
  <c r="C10037" i="2"/>
  <c r="B10037" i="2"/>
  <c r="A10037" i="2"/>
  <c r="D10036" i="2"/>
  <c r="C10036" i="2"/>
  <c r="B10036" i="2"/>
  <c r="A10036" i="2"/>
  <c r="D10035" i="2"/>
  <c r="C10035" i="2"/>
  <c r="B10035" i="2"/>
  <c r="A10035" i="2"/>
  <c r="D10034" i="2"/>
  <c r="C10034" i="2"/>
  <c r="B10034" i="2"/>
  <c r="A10034" i="2"/>
  <c r="D10033" i="2"/>
  <c r="C10033" i="2"/>
  <c r="B10033" i="2"/>
  <c r="A10033" i="2"/>
  <c r="D10032" i="2"/>
  <c r="C10032" i="2"/>
  <c r="B10032" i="2"/>
  <c r="A10032" i="2"/>
  <c r="D10031" i="2"/>
  <c r="C10031" i="2"/>
  <c r="B10031" i="2"/>
  <c r="A10031" i="2"/>
  <c r="D10030" i="2"/>
  <c r="C10030" i="2"/>
  <c r="B10030" i="2"/>
  <c r="A10030" i="2"/>
  <c r="D10029" i="2"/>
  <c r="C10029" i="2"/>
  <c r="B10029" i="2"/>
  <c r="A10029" i="2"/>
  <c r="D10028" i="2"/>
  <c r="C10028" i="2"/>
  <c r="B10028" i="2"/>
  <c r="A10028" i="2"/>
  <c r="D10027" i="2"/>
  <c r="C10027" i="2"/>
  <c r="B10027" i="2"/>
  <c r="A10027" i="2"/>
  <c r="D10026" i="2"/>
  <c r="C10026" i="2"/>
  <c r="B10026" i="2"/>
  <c r="A10026" i="2"/>
  <c r="D10025" i="2"/>
  <c r="C10025" i="2"/>
  <c r="B10025" i="2"/>
  <c r="A10025" i="2"/>
  <c r="D10024" i="2"/>
  <c r="C10024" i="2"/>
  <c r="B10024" i="2"/>
  <c r="A10024" i="2"/>
  <c r="D10023" i="2"/>
  <c r="C10023" i="2"/>
  <c r="B10023" i="2"/>
  <c r="A10023" i="2"/>
  <c r="D10022" i="2"/>
  <c r="C10022" i="2"/>
  <c r="B10022" i="2"/>
  <c r="A10022" i="2"/>
  <c r="D10021" i="2"/>
  <c r="C10021" i="2"/>
  <c r="B10021" i="2"/>
  <c r="A10021" i="2"/>
  <c r="D10020" i="2"/>
  <c r="C10020" i="2"/>
  <c r="B10020" i="2"/>
  <c r="A10020" i="2"/>
  <c r="D10019" i="2"/>
  <c r="C10019" i="2"/>
  <c r="B10019" i="2"/>
  <c r="A10019" i="2"/>
  <c r="D10018" i="2"/>
  <c r="C10018" i="2"/>
  <c r="B10018" i="2"/>
  <c r="A10018" i="2"/>
  <c r="D10017" i="2"/>
  <c r="C10017" i="2"/>
  <c r="B10017" i="2"/>
  <c r="A10017" i="2"/>
  <c r="D10016" i="2"/>
  <c r="C10016" i="2"/>
  <c r="B10016" i="2"/>
  <c r="A10016" i="2"/>
  <c r="D10015" i="2"/>
  <c r="C10015" i="2"/>
  <c r="B10015" i="2"/>
  <c r="A10015" i="2"/>
  <c r="D10014" i="2"/>
  <c r="C10014" i="2"/>
  <c r="B10014" i="2"/>
  <c r="A10014" i="2"/>
  <c r="D10013" i="2"/>
  <c r="C10013" i="2"/>
  <c r="B10013" i="2"/>
  <c r="A10013" i="2"/>
  <c r="D10012" i="2"/>
  <c r="C10012" i="2"/>
  <c r="B10012" i="2"/>
  <c r="A10012" i="2"/>
  <c r="D10011" i="2"/>
  <c r="C10011" i="2"/>
  <c r="B10011" i="2"/>
  <c r="A10011" i="2"/>
  <c r="D10010" i="2"/>
  <c r="C10010" i="2"/>
  <c r="B10010" i="2"/>
  <c r="A10010" i="2"/>
  <c r="D10009" i="2"/>
  <c r="C10009" i="2"/>
  <c r="B10009" i="2"/>
  <c r="A10009" i="2"/>
  <c r="D10008" i="2"/>
  <c r="C10008" i="2"/>
  <c r="B10008" i="2"/>
  <c r="A10008" i="2"/>
  <c r="D10007" i="2"/>
  <c r="C10007" i="2"/>
  <c r="B10007" i="2"/>
  <c r="A10007" i="2"/>
  <c r="D10006" i="2"/>
  <c r="C10006" i="2"/>
  <c r="B10006" i="2"/>
  <c r="A10006" i="2"/>
  <c r="D10005" i="2"/>
  <c r="C10005" i="2"/>
  <c r="B10005" i="2"/>
  <c r="A10005" i="2"/>
  <c r="D10004" i="2"/>
  <c r="C10004" i="2"/>
  <c r="B10004" i="2"/>
  <c r="A10004" i="2"/>
  <c r="D10003" i="2"/>
  <c r="C10003" i="2"/>
  <c r="B10003" i="2"/>
  <c r="A10003" i="2"/>
  <c r="D10002" i="2"/>
  <c r="C10002" i="2"/>
  <c r="B10002" i="2"/>
  <c r="A10002" i="2"/>
  <c r="D10001" i="2"/>
  <c r="C10001" i="2"/>
  <c r="B10001" i="2"/>
  <c r="A10001" i="2"/>
  <c r="D10000" i="2"/>
  <c r="C10000" i="2"/>
  <c r="B10000" i="2"/>
  <c r="A10000" i="2"/>
  <c r="D9999" i="2"/>
  <c r="C9999" i="2"/>
  <c r="B9999" i="2"/>
  <c r="A9999" i="2"/>
  <c r="D9998" i="2"/>
  <c r="C9998" i="2"/>
  <c r="B9998" i="2"/>
  <c r="A9998" i="2"/>
  <c r="D9997" i="2"/>
  <c r="C9997" i="2"/>
  <c r="B9997" i="2"/>
  <c r="A9997" i="2"/>
  <c r="D9996" i="2"/>
  <c r="C9996" i="2"/>
  <c r="B9996" i="2"/>
  <c r="A9996" i="2"/>
  <c r="D9995" i="2"/>
  <c r="C9995" i="2"/>
  <c r="B9995" i="2"/>
  <c r="A9995" i="2"/>
  <c r="D9994" i="2"/>
  <c r="C9994" i="2"/>
  <c r="B9994" i="2"/>
  <c r="A9994" i="2"/>
  <c r="D9993" i="2"/>
  <c r="C9993" i="2"/>
  <c r="B9993" i="2"/>
  <c r="A9993" i="2"/>
  <c r="D9992" i="2"/>
  <c r="C9992" i="2"/>
  <c r="B9992" i="2"/>
  <c r="A9992" i="2"/>
  <c r="D9991" i="2"/>
  <c r="C9991" i="2"/>
  <c r="B9991" i="2"/>
  <c r="A9991" i="2"/>
  <c r="D9990" i="2"/>
  <c r="C9990" i="2"/>
  <c r="B9990" i="2"/>
  <c r="A9990" i="2"/>
  <c r="D9989" i="2"/>
  <c r="C9989" i="2"/>
  <c r="B9989" i="2"/>
  <c r="A9989" i="2"/>
  <c r="D9988" i="2"/>
  <c r="C9988" i="2"/>
  <c r="B9988" i="2"/>
  <c r="A9988" i="2"/>
  <c r="D9987" i="2"/>
  <c r="C9987" i="2"/>
  <c r="B9987" i="2"/>
  <c r="A9987" i="2"/>
  <c r="D9986" i="2"/>
  <c r="C9986" i="2"/>
  <c r="B9986" i="2"/>
  <c r="A9986" i="2"/>
  <c r="D9985" i="2"/>
  <c r="C9985" i="2"/>
  <c r="B9985" i="2"/>
  <c r="A9985" i="2"/>
  <c r="D9984" i="2"/>
  <c r="C9984" i="2"/>
  <c r="B9984" i="2"/>
  <c r="A9984" i="2"/>
  <c r="D9983" i="2"/>
  <c r="C9983" i="2"/>
  <c r="B9983" i="2"/>
  <c r="A9983" i="2"/>
  <c r="D9982" i="2"/>
  <c r="C9982" i="2"/>
  <c r="B9982" i="2"/>
  <c r="A9982" i="2"/>
  <c r="D9981" i="2"/>
  <c r="C9981" i="2"/>
  <c r="B9981" i="2"/>
  <c r="A9981" i="2"/>
  <c r="D9980" i="2"/>
  <c r="C9980" i="2"/>
  <c r="B9980" i="2"/>
  <c r="A9980" i="2"/>
  <c r="D9979" i="2"/>
  <c r="C9979" i="2"/>
  <c r="B9979" i="2"/>
  <c r="A9979" i="2"/>
  <c r="D9978" i="2"/>
  <c r="C9978" i="2"/>
  <c r="B9978" i="2"/>
  <c r="A9978" i="2"/>
  <c r="D9977" i="2"/>
  <c r="C9977" i="2"/>
  <c r="B9977" i="2"/>
  <c r="A9977" i="2"/>
  <c r="D9976" i="2"/>
  <c r="C9976" i="2"/>
  <c r="B9976" i="2"/>
  <c r="A9976" i="2"/>
  <c r="D9975" i="2"/>
  <c r="C9975" i="2"/>
  <c r="B9975" i="2"/>
  <c r="A9975" i="2"/>
  <c r="D9974" i="2"/>
  <c r="C9974" i="2"/>
  <c r="B9974" i="2"/>
  <c r="A9974" i="2"/>
  <c r="D9973" i="2"/>
  <c r="C9973" i="2"/>
  <c r="B9973" i="2"/>
  <c r="A9973" i="2"/>
  <c r="D9972" i="2"/>
  <c r="C9972" i="2"/>
  <c r="B9972" i="2"/>
  <c r="A9972" i="2"/>
  <c r="D9971" i="2"/>
  <c r="C9971" i="2"/>
  <c r="B9971" i="2"/>
  <c r="A9971" i="2"/>
  <c r="D9970" i="2"/>
  <c r="C9970" i="2"/>
  <c r="B9970" i="2"/>
  <c r="A9970" i="2"/>
  <c r="D9969" i="2"/>
  <c r="C9969" i="2"/>
  <c r="B9969" i="2"/>
  <c r="A9969" i="2"/>
  <c r="D9968" i="2"/>
  <c r="C9968" i="2"/>
  <c r="B9968" i="2"/>
  <c r="A9968" i="2"/>
  <c r="D9967" i="2"/>
  <c r="C9967" i="2"/>
  <c r="B9967" i="2"/>
  <c r="A9967" i="2"/>
  <c r="D9966" i="2"/>
  <c r="C9966" i="2"/>
  <c r="B9966" i="2"/>
  <c r="A9966" i="2"/>
  <c r="D9965" i="2"/>
  <c r="C9965" i="2"/>
  <c r="B9965" i="2"/>
  <c r="A9965" i="2"/>
  <c r="D9964" i="2"/>
  <c r="C9964" i="2"/>
  <c r="B9964" i="2"/>
  <c r="A9964" i="2"/>
  <c r="D9963" i="2"/>
  <c r="C9963" i="2"/>
  <c r="B9963" i="2"/>
  <c r="A9963" i="2"/>
  <c r="D9962" i="2"/>
  <c r="C9962" i="2"/>
  <c r="B9962" i="2"/>
  <c r="A9962" i="2"/>
  <c r="D9961" i="2"/>
  <c r="C9961" i="2"/>
  <c r="B9961" i="2"/>
  <c r="A9961" i="2"/>
  <c r="D9960" i="2"/>
  <c r="C9960" i="2"/>
  <c r="B9960" i="2"/>
  <c r="A9960" i="2"/>
  <c r="D9959" i="2"/>
  <c r="C9959" i="2"/>
  <c r="B9959" i="2"/>
  <c r="A9959" i="2"/>
  <c r="D9958" i="2"/>
  <c r="C9958" i="2"/>
  <c r="B9958" i="2"/>
  <c r="A9958" i="2"/>
  <c r="D9957" i="2"/>
  <c r="C9957" i="2"/>
  <c r="B9957" i="2"/>
  <c r="A9957" i="2"/>
  <c r="D9956" i="2"/>
  <c r="C9956" i="2"/>
  <c r="B9956" i="2"/>
  <c r="A9956" i="2"/>
  <c r="D9955" i="2"/>
  <c r="C9955" i="2"/>
  <c r="B9955" i="2"/>
  <c r="A9955" i="2"/>
  <c r="D9954" i="2"/>
  <c r="C9954" i="2"/>
  <c r="B9954" i="2"/>
  <c r="A9954" i="2"/>
  <c r="D9953" i="2"/>
  <c r="C9953" i="2"/>
  <c r="B9953" i="2"/>
  <c r="A9953" i="2"/>
  <c r="D9952" i="2"/>
  <c r="C9952" i="2"/>
  <c r="B9952" i="2"/>
  <c r="A9952" i="2"/>
  <c r="D9951" i="2"/>
  <c r="C9951" i="2"/>
  <c r="B9951" i="2"/>
  <c r="A9951" i="2"/>
  <c r="D9950" i="2"/>
  <c r="C9950" i="2"/>
  <c r="B9950" i="2"/>
  <c r="A9950" i="2"/>
  <c r="D9949" i="2"/>
  <c r="C9949" i="2"/>
  <c r="B9949" i="2"/>
  <c r="A9949" i="2"/>
  <c r="D9948" i="2"/>
  <c r="C9948" i="2"/>
  <c r="B9948" i="2"/>
  <c r="A9948" i="2"/>
  <c r="D9947" i="2"/>
  <c r="C9947" i="2"/>
  <c r="B9947" i="2"/>
  <c r="A9947" i="2"/>
  <c r="D9946" i="2"/>
  <c r="C9946" i="2"/>
  <c r="B9946" i="2"/>
  <c r="A9946" i="2"/>
  <c r="D9945" i="2"/>
  <c r="C9945" i="2"/>
  <c r="B9945" i="2"/>
  <c r="A9945" i="2"/>
  <c r="D9944" i="2"/>
  <c r="C9944" i="2"/>
  <c r="B9944" i="2"/>
  <c r="A9944" i="2"/>
  <c r="D9943" i="2"/>
  <c r="C9943" i="2"/>
  <c r="B9943" i="2"/>
  <c r="A9943" i="2"/>
  <c r="D9942" i="2"/>
  <c r="C9942" i="2"/>
  <c r="B9942" i="2"/>
  <c r="A9942" i="2"/>
  <c r="D9941" i="2"/>
  <c r="C9941" i="2"/>
  <c r="B9941" i="2"/>
  <c r="A9941" i="2"/>
  <c r="D9940" i="2"/>
  <c r="C9940" i="2"/>
  <c r="B9940" i="2"/>
  <c r="A9940" i="2"/>
  <c r="D9939" i="2"/>
  <c r="C9939" i="2"/>
  <c r="B9939" i="2"/>
  <c r="A9939" i="2"/>
  <c r="D9938" i="2"/>
  <c r="C9938" i="2"/>
  <c r="B9938" i="2"/>
  <c r="A9938" i="2"/>
  <c r="D9937" i="2"/>
  <c r="C9937" i="2"/>
  <c r="B9937" i="2"/>
  <c r="A9937" i="2"/>
  <c r="D9936" i="2"/>
  <c r="C9936" i="2"/>
  <c r="B9936" i="2"/>
  <c r="A9936" i="2"/>
  <c r="D9935" i="2"/>
  <c r="C9935" i="2"/>
  <c r="B9935" i="2"/>
  <c r="A9935" i="2"/>
  <c r="D9934" i="2"/>
  <c r="C9934" i="2"/>
  <c r="B9934" i="2"/>
  <c r="A9934" i="2"/>
  <c r="D9933" i="2"/>
  <c r="C9933" i="2"/>
  <c r="B9933" i="2"/>
  <c r="A9933" i="2"/>
  <c r="D9932" i="2"/>
  <c r="C9932" i="2"/>
  <c r="B9932" i="2"/>
  <c r="A9932" i="2"/>
  <c r="D9931" i="2"/>
  <c r="C9931" i="2"/>
  <c r="B9931" i="2"/>
  <c r="A9931" i="2"/>
  <c r="D9930" i="2"/>
  <c r="C9930" i="2"/>
  <c r="B9930" i="2"/>
  <c r="A9930" i="2"/>
  <c r="D9929" i="2"/>
  <c r="C9929" i="2"/>
  <c r="B9929" i="2"/>
  <c r="A9929" i="2"/>
  <c r="D9928" i="2"/>
  <c r="C9928" i="2"/>
  <c r="B9928" i="2"/>
  <c r="A9928" i="2"/>
  <c r="D9927" i="2"/>
  <c r="C9927" i="2"/>
  <c r="B9927" i="2"/>
  <c r="A9927" i="2"/>
  <c r="D9926" i="2"/>
  <c r="C9926" i="2"/>
  <c r="B9926" i="2"/>
  <c r="A9926" i="2"/>
  <c r="D9925" i="2"/>
  <c r="C9925" i="2"/>
  <c r="B9925" i="2"/>
  <c r="A9925" i="2"/>
  <c r="D9924" i="2"/>
  <c r="C9924" i="2"/>
  <c r="B9924" i="2"/>
  <c r="A9924" i="2"/>
  <c r="D9923" i="2"/>
  <c r="C9923" i="2"/>
  <c r="B9923" i="2"/>
  <c r="A9923" i="2"/>
  <c r="D9922" i="2"/>
  <c r="C9922" i="2"/>
  <c r="B9922" i="2"/>
  <c r="A9922" i="2"/>
  <c r="D9921" i="2"/>
  <c r="C9921" i="2"/>
  <c r="B9921" i="2"/>
  <c r="A9921" i="2"/>
  <c r="D9920" i="2"/>
  <c r="C9920" i="2"/>
  <c r="B9920" i="2"/>
  <c r="A9920" i="2"/>
  <c r="D9919" i="2"/>
  <c r="C9919" i="2"/>
  <c r="B9919" i="2"/>
  <c r="A9919" i="2"/>
  <c r="D9918" i="2"/>
  <c r="C9918" i="2"/>
  <c r="B9918" i="2"/>
  <c r="A9918" i="2"/>
  <c r="D9917" i="2"/>
  <c r="C9917" i="2"/>
  <c r="B9917" i="2"/>
  <c r="A9917" i="2"/>
  <c r="D9916" i="2"/>
  <c r="C9916" i="2"/>
  <c r="B9916" i="2"/>
  <c r="A9916" i="2"/>
  <c r="D9915" i="2"/>
  <c r="B9915" i="2"/>
  <c r="A9915" i="2"/>
  <c r="D9914" i="2"/>
  <c r="C9914" i="2"/>
  <c r="B9914" i="2"/>
  <c r="A9914" i="2"/>
  <c r="D9913" i="2"/>
  <c r="C9913" i="2"/>
  <c r="B9913" i="2"/>
  <c r="A9913" i="2"/>
  <c r="D9912" i="2"/>
  <c r="C9912" i="2"/>
  <c r="B9912" i="2"/>
  <c r="A9912" i="2"/>
  <c r="D9911" i="2"/>
  <c r="C9911" i="2"/>
  <c r="B9911" i="2"/>
  <c r="A9911" i="2"/>
  <c r="D9910" i="2"/>
  <c r="C9910" i="2"/>
  <c r="B9910" i="2"/>
  <c r="A9910" i="2"/>
  <c r="D9909" i="2"/>
  <c r="C9909" i="2"/>
  <c r="B9909" i="2"/>
  <c r="A9909" i="2"/>
  <c r="D9908" i="2"/>
  <c r="C9908" i="2"/>
  <c r="B9908" i="2"/>
  <c r="A9908" i="2"/>
  <c r="D9907" i="2"/>
  <c r="C9907" i="2"/>
  <c r="B9907" i="2"/>
  <c r="A9907" i="2"/>
  <c r="D9906" i="2"/>
  <c r="C9906" i="2"/>
  <c r="B9906" i="2"/>
  <c r="A9906" i="2"/>
  <c r="D9905" i="2"/>
  <c r="C9905" i="2"/>
  <c r="B9905" i="2"/>
  <c r="A9905" i="2"/>
  <c r="D9904" i="2"/>
  <c r="C9904" i="2"/>
  <c r="B9904" i="2"/>
  <c r="A9904" i="2"/>
  <c r="D9903" i="2"/>
  <c r="C9903" i="2"/>
  <c r="B9903" i="2"/>
  <c r="A9903" i="2"/>
  <c r="D9902" i="2"/>
  <c r="C9902" i="2"/>
  <c r="B9902" i="2"/>
  <c r="A9902" i="2"/>
  <c r="D9901" i="2"/>
  <c r="C9901" i="2"/>
  <c r="B9901" i="2"/>
  <c r="A9901" i="2"/>
  <c r="D9900" i="2"/>
  <c r="C9900" i="2"/>
  <c r="B9900" i="2"/>
  <c r="A9900" i="2"/>
  <c r="D9899" i="2"/>
  <c r="C9899" i="2"/>
  <c r="B9899" i="2"/>
  <c r="A9899" i="2"/>
  <c r="D9898" i="2"/>
  <c r="C9898" i="2"/>
  <c r="B9898" i="2"/>
  <c r="A9898" i="2"/>
  <c r="D9897" i="2"/>
  <c r="C9897" i="2"/>
  <c r="B9897" i="2"/>
  <c r="A9897" i="2"/>
  <c r="D9896" i="2"/>
  <c r="C9896" i="2"/>
  <c r="B9896" i="2"/>
  <c r="A9896" i="2"/>
  <c r="D9895" i="2"/>
  <c r="C9895" i="2"/>
  <c r="B9895" i="2"/>
  <c r="A9895" i="2"/>
  <c r="D9894" i="2"/>
  <c r="C9894" i="2"/>
  <c r="B9894" i="2"/>
  <c r="A9894" i="2"/>
  <c r="D9893" i="2"/>
  <c r="C9893" i="2"/>
  <c r="B9893" i="2"/>
  <c r="A9893" i="2"/>
  <c r="D9892" i="2"/>
  <c r="C9892" i="2"/>
  <c r="B9892" i="2"/>
  <c r="A9892" i="2"/>
  <c r="D9891" i="2"/>
  <c r="C9891" i="2"/>
  <c r="B9891" i="2"/>
  <c r="A9891" i="2"/>
  <c r="D9890" i="2"/>
  <c r="C9890" i="2"/>
  <c r="B9890" i="2"/>
  <c r="A9890" i="2"/>
  <c r="D9889" i="2"/>
  <c r="C9889" i="2"/>
  <c r="B9889" i="2"/>
  <c r="A9889" i="2"/>
  <c r="D9888" i="2"/>
  <c r="C9888" i="2"/>
  <c r="B9888" i="2"/>
  <c r="A9888" i="2"/>
  <c r="D9887" i="2"/>
  <c r="C9887" i="2"/>
  <c r="B9887" i="2"/>
  <c r="A9887" i="2"/>
  <c r="D9886" i="2"/>
  <c r="C9886" i="2"/>
  <c r="B9886" i="2"/>
  <c r="A9886" i="2"/>
  <c r="D9885" i="2"/>
  <c r="C9885" i="2"/>
  <c r="B9885" i="2"/>
  <c r="A9885" i="2"/>
  <c r="D9884" i="2"/>
  <c r="C9884" i="2"/>
  <c r="B9884" i="2"/>
  <c r="A9884" i="2"/>
  <c r="D9883" i="2"/>
  <c r="C9883" i="2"/>
  <c r="B9883" i="2"/>
  <c r="A9883" i="2"/>
  <c r="D9882" i="2"/>
  <c r="C9882" i="2"/>
  <c r="B9882" i="2"/>
  <c r="A9882" i="2"/>
  <c r="D9881" i="2"/>
  <c r="C9881" i="2"/>
  <c r="B9881" i="2"/>
  <c r="A9881" i="2"/>
  <c r="D9880" i="2"/>
  <c r="C9880" i="2"/>
  <c r="B9880" i="2"/>
  <c r="A9880" i="2"/>
  <c r="D9879" i="2"/>
  <c r="C9879" i="2"/>
  <c r="B9879" i="2"/>
  <c r="A9879" i="2"/>
  <c r="D9878" i="2"/>
  <c r="C9878" i="2"/>
  <c r="B9878" i="2"/>
  <c r="A9878" i="2"/>
  <c r="D9877" i="2"/>
  <c r="C9877" i="2"/>
  <c r="B9877" i="2"/>
  <c r="A9877" i="2"/>
  <c r="D9876" i="2"/>
  <c r="C9876" i="2"/>
  <c r="B9876" i="2"/>
  <c r="A9876" i="2"/>
  <c r="D9875" i="2"/>
  <c r="C9875" i="2"/>
  <c r="B9875" i="2"/>
  <c r="A9875" i="2"/>
  <c r="D9874" i="2"/>
  <c r="C9874" i="2"/>
  <c r="B9874" i="2"/>
  <c r="A9874" i="2"/>
  <c r="D9873" i="2"/>
  <c r="C9873" i="2"/>
  <c r="B9873" i="2"/>
  <c r="A9873" i="2"/>
  <c r="D9872" i="2"/>
  <c r="C9872" i="2"/>
  <c r="B9872" i="2"/>
  <c r="A9872" i="2"/>
  <c r="D9871" i="2"/>
  <c r="C9871" i="2"/>
  <c r="B9871" i="2"/>
  <c r="A9871" i="2"/>
  <c r="D9870" i="2"/>
  <c r="C9870" i="2"/>
  <c r="B9870" i="2"/>
  <c r="A9870" i="2"/>
  <c r="D9869" i="2"/>
  <c r="C9869" i="2"/>
  <c r="B9869" i="2"/>
  <c r="A9869" i="2"/>
  <c r="D9868" i="2"/>
  <c r="C9868" i="2"/>
  <c r="B9868" i="2"/>
  <c r="A9868" i="2"/>
  <c r="D9867" i="2"/>
  <c r="C9867" i="2"/>
  <c r="B9867" i="2"/>
  <c r="A9867" i="2"/>
  <c r="D9866" i="2"/>
  <c r="C9866" i="2"/>
  <c r="B9866" i="2"/>
  <c r="A9866" i="2"/>
  <c r="D9865" i="2"/>
  <c r="C9865" i="2"/>
  <c r="B9865" i="2"/>
  <c r="A9865" i="2"/>
  <c r="D9864" i="2"/>
  <c r="C9864" i="2"/>
  <c r="B9864" i="2"/>
  <c r="A9864" i="2"/>
  <c r="D9863" i="2"/>
  <c r="C9863" i="2"/>
  <c r="B9863" i="2"/>
  <c r="A9863" i="2"/>
  <c r="D9862" i="2"/>
  <c r="C9862" i="2"/>
  <c r="B9862" i="2"/>
  <c r="A9862" i="2"/>
  <c r="D9861" i="2"/>
  <c r="C9861" i="2"/>
  <c r="B9861" i="2"/>
  <c r="A9861" i="2"/>
  <c r="D9860" i="2"/>
  <c r="C9860" i="2"/>
  <c r="B9860" i="2"/>
  <c r="A9860" i="2"/>
  <c r="D9859" i="2"/>
  <c r="C9859" i="2"/>
  <c r="B9859" i="2"/>
  <c r="A9859" i="2"/>
  <c r="D9858" i="2"/>
  <c r="C9858" i="2"/>
  <c r="B9858" i="2"/>
  <c r="A9858" i="2"/>
  <c r="D9857" i="2"/>
  <c r="C9857" i="2"/>
  <c r="B9857" i="2"/>
  <c r="A9857" i="2"/>
  <c r="D9856" i="2"/>
  <c r="C9856" i="2"/>
  <c r="B9856" i="2"/>
  <c r="A9856" i="2"/>
  <c r="D9855" i="2"/>
  <c r="C9855" i="2"/>
  <c r="B9855" i="2"/>
  <c r="A9855" i="2"/>
  <c r="D9854" i="2"/>
  <c r="C9854" i="2"/>
  <c r="B9854" i="2"/>
  <c r="A9854" i="2"/>
  <c r="D9853" i="2"/>
  <c r="C9853" i="2"/>
  <c r="B9853" i="2"/>
  <c r="A9853" i="2"/>
  <c r="D9852" i="2"/>
  <c r="C9852" i="2"/>
  <c r="B9852" i="2"/>
  <c r="A9852" i="2"/>
  <c r="D9851" i="2"/>
  <c r="C9851" i="2"/>
  <c r="B9851" i="2"/>
  <c r="A9851" i="2"/>
  <c r="D9850" i="2"/>
  <c r="C9850" i="2"/>
  <c r="B9850" i="2"/>
  <c r="A9850" i="2"/>
  <c r="D9849" i="2"/>
  <c r="C9849" i="2"/>
  <c r="B9849" i="2"/>
  <c r="A9849" i="2"/>
  <c r="D9848" i="2"/>
  <c r="C9848" i="2"/>
  <c r="B9848" i="2"/>
  <c r="A9848" i="2"/>
  <c r="D9847" i="2"/>
  <c r="C9847" i="2"/>
  <c r="B9847" i="2"/>
  <c r="A9847" i="2"/>
  <c r="D9846" i="2"/>
  <c r="C9846" i="2"/>
  <c r="B9846" i="2"/>
  <c r="A9846" i="2"/>
  <c r="D9845" i="2"/>
  <c r="C9845" i="2"/>
  <c r="B9845" i="2"/>
  <c r="A9845" i="2"/>
  <c r="D9844" i="2"/>
  <c r="C9844" i="2"/>
  <c r="B9844" i="2"/>
  <c r="A9844" i="2"/>
  <c r="D9843" i="2"/>
  <c r="C9843" i="2"/>
  <c r="B9843" i="2"/>
  <c r="A9843" i="2"/>
  <c r="D9842" i="2"/>
  <c r="C9842" i="2"/>
  <c r="B9842" i="2"/>
  <c r="A9842" i="2"/>
  <c r="D9841" i="2"/>
  <c r="C9841" i="2"/>
  <c r="B9841" i="2"/>
  <c r="A9841" i="2"/>
  <c r="D9840" i="2"/>
  <c r="C9840" i="2"/>
  <c r="B9840" i="2"/>
  <c r="A9840" i="2"/>
  <c r="D9839" i="2"/>
  <c r="C9839" i="2"/>
  <c r="B9839" i="2"/>
  <c r="A9839" i="2"/>
  <c r="D9838" i="2"/>
  <c r="C9838" i="2"/>
  <c r="B9838" i="2"/>
  <c r="A9838" i="2"/>
  <c r="D9837" i="2"/>
  <c r="C9837" i="2"/>
  <c r="B9837" i="2"/>
  <c r="A9837" i="2"/>
  <c r="D9836" i="2"/>
  <c r="C9836" i="2"/>
  <c r="B9836" i="2"/>
  <c r="A9836" i="2"/>
  <c r="D9835" i="2"/>
  <c r="C9835" i="2"/>
  <c r="B9835" i="2"/>
  <c r="A9835" i="2"/>
  <c r="D9834" i="2"/>
  <c r="C9834" i="2"/>
  <c r="B9834" i="2"/>
  <c r="A9834" i="2"/>
  <c r="D9833" i="2"/>
  <c r="C9833" i="2"/>
  <c r="B9833" i="2"/>
  <c r="A9833" i="2"/>
  <c r="D9832" i="2"/>
  <c r="C9832" i="2"/>
  <c r="B9832" i="2"/>
  <c r="A9832" i="2"/>
  <c r="D9831" i="2"/>
  <c r="C9831" i="2"/>
  <c r="B9831" i="2"/>
  <c r="A9831" i="2"/>
  <c r="D9830" i="2"/>
  <c r="C9830" i="2"/>
  <c r="B9830" i="2"/>
  <c r="A9830" i="2"/>
  <c r="D9829" i="2"/>
  <c r="C9829" i="2"/>
  <c r="B9829" i="2"/>
  <c r="A9829" i="2"/>
  <c r="D9828" i="2"/>
  <c r="C9828" i="2"/>
  <c r="B9828" i="2"/>
  <c r="A9828" i="2"/>
  <c r="D9827" i="2"/>
  <c r="C9827" i="2"/>
  <c r="B9827" i="2"/>
  <c r="A9827" i="2"/>
  <c r="D9826" i="2"/>
  <c r="C9826" i="2"/>
  <c r="B9826" i="2"/>
  <c r="A9826" i="2"/>
  <c r="D9825" i="2"/>
  <c r="C9825" i="2"/>
  <c r="B9825" i="2"/>
  <c r="A9825" i="2"/>
  <c r="D9824" i="2"/>
  <c r="C9824" i="2"/>
  <c r="B9824" i="2"/>
  <c r="A9824" i="2"/>
  <c r="D9823" i="2"/>
  <c r="C9823" i="2"/>
  <c r="B9823" i="2"/>
  <c r="A9823" i="2"/>
  <c r="D9822" i="2"/>
  <c r="C9822" i="2"/>
  <c r="B9822" i="2"/>
  <c r="A9822" i="2"/>
  <c r="D9821" i="2"/>
  <c r="C9821" i="2"/>
  <c r="B9821" i="2"/>
  <c r="A9821" i="2"/>
  <c r="D9820" i="2"/>
  <c r="C9820" i="2"/>
  <c r="B9820" i="2"/>
  <c r="A9820" i="2"/>
  <c r="D9819" i="2"/>
  <c r="C9819" i="2"/>
  <c r="B9819" i="2"/>
  <c r="A9819" i="2"/>
  <c r="D9818" i="2"/>
  <c r="C9818" i="2"/>
  <c r="B9818" i="2"/>
  <c r="A9818" i="2"/>
  <c r="D9817" i="2"/>
  <c r="C9817" i="2"/>
  <c r="B9817" i="2"/>
  <c r="A9817" i="2"/>
  <c r="D9816" i="2"/>
  <c r="C9816" i="2"/>
  <c r="B9816" i="2"/>
  <c r="A9816" i="2"/>
  <c r="D9815" i="2"/>
  <c r="C9815" i="2"/>
  <c r="B9815" i="2"/>
  <c r="A9815" i="2"/>
  <c r="D9814" i="2"/>
  <c r="C9814" i="2"/>
  <c r="B9814" i="2"/>
  <c r="A9814" i="2"/>
  <c r="D9813" i="2"/>
  <c r="C9813" i="2"/>
  <c r="B9813" i="2"/>
  <c r="A9813" i="2"/>
  <c r="D9812" i="2"/>
  <c r="C9812" i="2"/>
  <c r="B9812" i="2"/>
  <c r="A9812" i="2"/>
  <c r="D9811" i="2"/>
  <c r="C9811" i="2"/>
  <c r="B9811" i="2"/>
  <c r="A9811" i="2"/>
  <c r="D9810" i="2"/>
  <c r="C9810" i="2"/>
  <c r="B9810" i="2"/>
  <c r="A9810" i="2"/>
  <c r="D9809" i="2"/>
  <c r="C9809" i="2"/>
  <c r="B9809" i="2"/>
  <c r="A9809" i="2"/>
  <c r="D9808" i="2"/>
  <c r="C9808" i="2"/>
  <c r="B9808" i="2"/>
  <c r="A9808" i="2"/>
  <c r="D9807" i="2"/>
  <c r="C9807" i="2"/>
  <c r="B9807" i="2"/>
  <c r="A9807" i="2"/>
  <c r="D9806" i="2"/>
  <c r="C9806" i="2"/>
  <c r="B9806" i="2"/>
  <c r="A9806" i="2"/>
  <c r="D9805" i="2"/>
  <c r="C9805" i="2"/>
  <c r="B9805" i="2"/>
  <c r="A9805" i="2"/>
  <c r="D9804" i="2"/>
  <c r="C9804" i="2"/>
  <c r="B9804" i="2"/>
  <c r="A9804" i="2"/>
  <c r="D9803" i="2"/>
  <c r="C9803" i="2"/>
  <c r="B9803" i="2"/>
  <c r="A9803" i="2"/>
  <c r="D9802" i="2"/>
  <c r="C9802" i="2"/>
  <c r="B9802" i="2"/>
  <c r="A9802" i="2"/>
  <c r="D9801" i="2"/>
  <c r="C9801" i="2"/>
  <c r="B9801" i="2"/>
  <c r="A9801" i="2"/>
  <c r="D9800" i="2"/>
  <c r="C9800" i="2"/>
  <c r="B9800" i="2"/>
  <c r="A9800" i="2"/>
  <c r="D9799" i="2"/>
  <c r="C9799" i="2"/>
  <c r="B9799" i="2"/>
  <c r="A9799" i="2"/>
  <c r="D9798" i="2"/>
  <c r="C9798" i="2"/>
  <c r="B9798" i="2"/>
  <c r="A9798" i="2"/>
  <c r="D9797" i="2"/>
  <c r="C9797" i="2"/>
  <c r="B9797" i="2"/>
  <c r="A9797" i="2"/>
  <c r="D9796" i="2"/>
  <c r="C9796" i="2"/>
  <c r="B9796" i="2"/>
  <c r="A9796" i="2"/>
  <c r="D9795" i="2"/>
  <c r="C9795" i="2"/>
  <c r="B9795" i="2"/>
  <c r="A9795" i="2"/>
  <c r="D9794" i="2"/>
  <c r="C9794" i="2"/>
  <c r="B9794" i="2"/>
  <c r="A9794" i="2"/>
  <c r="D9793" i="2"/>
  <c r="C9793" i="2"/>
  <c r="B9793" i="2"/>
  <c r="A9793" i="2"/>
  <c r="D9792" i="2"/>
  <c r="C9792" i="2"/>
  <c r="B9792" i="2"/>
  <c r="A9792" i="2"/>
  <c r="D9791" i="2"/>
  <c r="C9791" i="2"/>
  <c r="B9791" i="2"/>
  <c r="A9791" i="2"/>
  <c r="D9790" i="2"/>
  <c r="C9790" i="2"/>
  <c r="B9790" i="2"/>
  <c r="A9790" i="2"/>
  <c r="D9789" i="2"/>
  <c r="C9789" i="2"/>
  <c r="B9789" i="2"/>
  <c r="A9789" i="2"/>
  <c r="D9788" i="2"/>
  <c r="C9788" i="2"/>
  <c r="B9788" i="2"/>
  <c r="A9788" i="2"/>
  <c r="D9787" i="2"/>
  <c r="C9787" i="2"/>
  <c r="B9787" i="2"/>
  <c r="A9787" i="2"/>
  <c r="D9786" i="2"/>
  <c r="C9786" i="2"/>
  <c r="B9786" i="2"/>
  <c r="A9786" i="2"/>
  <c r="D9785" i="2"/>
  <c r="C9785" i="2"/>
  <c r="B9785" i="2"/>
  <c r="A9785" i="2"/>
  <c r="D9784" i="2"/>
  <c r="C9784" i="2"/>
  <c r="B9784" i="2"/>
  <c r="A9784" i="2"/>
  <c r="D9783" i="2"/>
  <c r="C9783" i="2"/>
  <c r="B9783" i="2"/>
  <c r="A9783" i="2"/>
  <c r="D9782" i="2"/>
  <c r="C9782" i="2"/>
  <c r="B9782" i="2"/>
  <c r="A9782" i="2"/>
  <c r="D9781" i="2"/>
  <c r="C9781" i="2"/>
  <c r="B9781" i="2"/>
  <c r="A9781" i="2"/>
  <c r="D9780" i="2"/>
  <c r="C9780" i="2"/>
  <c r="B9780" i="2"/>
  <c r="A9780" i="2"/>
  <c r="D9779" i="2"/>
  <c r="C9779" i="2"/>
  <c r="B9779" i="2"/>
  <c r="A9779" i="2"/>
  <c r="D9778" i="2"/>
  <c r="C9778" i="2"/>
  <c r="B9778" i="2"/>
  <c r="A9778" i="2"/>
  <c r="D9777" i="2"/>
  <c r="C9777" i="2"/>
  <c r="B9777" i="2"/>
  <c r="A9777" i="2"/>
  <c r="D9776" i="2"/>
  <c r="C9776" i="2"/>
  <c r="B9776" i="2"/>
  <c r="A9776" i="2"/>
  <c r="D9775" i="2"/>
  <c r="C9775" i="2"/>
  <c r="B9775" i="2"/>
  <c r="A9775" i="2"/>
  <c r="D9774" i="2"/>
  <c r="C9774" i="2"/>
  <c r="B9774" i="2"/>
  <c r="A9774" i="2"/>
  <c r="D9773" i="2"/>
  <c r="C9773" i="2"/>
  <c r="B9773" i="2"/>
  <c r="A9773" i="2"/>
  <c r="D9772" i="2"/>
  <c r="C9772" i="2"/>
  <c r="B9772" i="2"/>
  <c r="A9772" i="2"/>
  <c r="D9771" i="2"/>
  <c r="C9771" i="2"/>
  <c r="B9771" i="2"/>
  <c r="A9771" i="2"/>
  <c r="D9770" i="2"/>
  <c r="C9770" i="2"/>
  <c r="B9770" i="2"/>
  <c r="A9770" i="2"/>
  <c r="D9769" i="2"/>
  <c r="C9769" i="2"/>
  <c r="B9769" i="2"/>
  <c r="A9769" i="2"/>
  <c r="D9768" i="2"/>
  <c r="C9768" i="2"/>
  <c r="B9768" i="2"/>
  <c r="A9768" i="2"/>
  <c r="D9767" i="2"/>
  <c r="C9767" i="2"/>
  <c r="B9767" i="2"/>
  <c r="A9767" i="2"/>
  <c r="D9766" i="2"/>
  <c r="C9766" i="2"/>
  <c r="B9766" i="2"/>
  <c r="A9766" i="2"/>
  <c r="D9765" i="2"/>
  <c r="C9765" i="2"/>
  <c r="B9765" i="2"/>
  <c r="A9765" i="2"/>
  <c r="D9764" i="2"/>
  <c r="C9764" i="2"/>
  <c r="B9764" i="2"/>
  <c r="A9764" i="2"/>
  <c r="D9763" i="2"/>
  <c r="C9763" i="2"/>
  <c r="B9763" i="2"/>
  <c r="A9763" i="2"/>
  <c r="D9762" i="2"/>
  <c r="C9762" i="2"/>
  <c r="B9762" i="2"/>
  <c r="A9762" i="2"/>
  <c r="D9761" i="2"/>
  <c r="C9761" i="2"/>
  <c r="B9761" i="2"/>
  <c r="A9761" i="2"/>
  <c r="D9760" i="2"/>
  <c r="C9760" i="2"/>
  <c r="B9760" i="2"/>
  <c r="A9760" i="2"/>
  <c r="D9759" i="2"/>
  <c r="C9759" i="2"/>
  <c r="B9759" i="2"/>
  <c r="A9759" i="2"/>
  <c r="D9758" i="2"/>
  <c r="C9758" i="2"/>
  <c r="B9758" i="2"/>
  <c r="A9758" i="2"/>
  <c r="D9757" i="2"/>
  <c r="C9757" i="2"/>
  <c r="B9757" i="2"/>
  <c r="A9757" i="2"/>
  <c r="D9756" i="2"/>
  <c r="C9756" i="2"/>
  <c r="B9756" i="2"/>
  <c r="A9756" i="2"/>
  <c r="D9755" i="2"/>
  <c r="C9755" i="2"/>
  <c r="B9755" i="2"/>
  <c r="A9755" i="2"/>
  <c r="D9754" i="2"/>
  <c r="C9754" i="2"/>
  <c r="B9754" i="2"/>
  <c r="A9754" i="2"/>
  <c r="D9753" i="2"/>
  <c r="C9753" i="2"/>
  <c r="B9753" i="2"/>
  <c r="A9753" i="2"/>
  <c r="D9752" i="2"/>
  <c r="C9752" i="2"/>
  <c r="B9752" i="2"/>
  <c r="A9752" i="2"/>
  <c r="D9751" i="2"/>
  <c r="C9751" i="2"/>
  <c r="B9751" i="2"/>
  <c r="A9751" i="2"/>
  <c r="D9750" i="2"/>
  <c r="C9750" i="2"/>
  <c r="B9750" i="2"/>
  <c r="A9750" i="2"/>
  <c r="D9749" i="2"/>
  <c r="C9749" i="2"/>
  <c r="B9749" i="2"/>
  <c r="A9749" i="2"/>
  <c r="D9748" i="2"/>
  <c r="C9748" i="2"/>
  <c r="B9748" i="2"/>
  <c r="A9748" i="2"/>
  <c r="D9747" i="2"/>
  <c r="C9747" i="2"/>
  <c r="B9747" i="2"/>
  <c r="A9747" i="2"/>
  <c r="D9746" i="2"/>
  <c r="C9746" i="2"/>
  <c r="B9746" i="2"/>
  <c r="A9746" i="2"/>
  <c r="D9745" i="2"/>
  <c r="C9745" i="2"/>
  <c r="B9745" i="2"/>
  <c r="A9745" i="2"/>
  <c r="D9744" i="2"/>
  <c r="C9744" i="2"/>
  <c r="B9744" i="2"/>
  <c r="A9744" i="2"/>
  <c r="D9743" i="2"/>
  <c r="C9743" i="2"/>
  <c r="B9743" i="2"/>
  <c r="A9743" i="2"/>
  <c r="D9742" i="2"/>
  <c r="C9742" i="2"/>
  <c r="B9742" i="2"/>
  <c r="A9742" i="2"/>
  <c r="D9741" i="2"/>
  <c r="C9741" i="2"/>
  <c r="B9741" i="2"/>
  <c r="A9741" i="2"/>
  <c r="D9740" i="2"/>
  <c r="C9740" i="2"/>
  <c r="B9740" i="2"/>
  <c r="A9740" i="2"/>
  <c r="D9739" i="2"/>
  <c r="C9739" i="2"/>
  <c r="B9739" i="2"/>
  <c r="A9739" i="2"/>
  <c r="D9738" i="2"/>
  <c r="C9738" i="2"/>
  <c r="B9738" i="2"/>
  <c r="A9738" i="2"/>
  <c r="D9737" i="2"/>
  <c r="C9737" i="2"/>
  <c r="B9737" i="2"/>
  <c r="A9737" i="2"/>
  <c r="D9736" i="2"/>
  <c r="C9736" i="2"/>
  <c r="B9736" i="2"/>
  <c r="A9736" i="2"/>
  <c r="D9735" i="2"/>
  <c r="C9735" i="2"/>
  <c r="B9735" i="2"/>
  <c r="A9735" i="2"/>
  <c r="D9734" i="2"/>
  <c r="C9734" i="2"/>
  <c r="B9734" i="2"/>
  <c r="A9734" i="2"/>
  <c r="D9733" i="2"/>
  <c r="C9733" i="2"/>
  <c r="B9733" i="2"/>
  <c r="A9733" i="2"/>
  <c r="D9732" i="2"/>
  <c r="C9732" i="2"/>
  <c r="B9732" i="2"/>
  <c r="A9732" i="2"/>
  <c r="D9731" i="2"/>
  <c r="C9731" i="2"/>
  <c r="B9731" i="2"/>
  <c r="A9731" i="2"/>
  <c r="D9730" i="2"/>
  <c r="C9730" i="2"/>
  <c r="B9730" i="2"/>
  <c r="A9730" i="2"/>
  <c r="D9729" i="2"/>
  <c r="C9729" i="2"/>
  <c r="B9729" i="2"/>
  <c r="A9729" i="2"/>
  <c r="D9728" i="2"/>
  <c r="C9728" i="2"/>
  <c r="B9728" i="2"/>
  <c r="A9728" i="2"/>
  <c r="D9727" i="2"/>
  <c r="C9727" i="2"/>
  <c r="B9727" i="2"/>
  <c r="A9727" i="2"/>
  <c r="D9726" i="2"/>
  <c r="C9726" i="2"/>
  <c r="B9726" i="2"/>
  <c r="A9726" i="2"/>
  <c r="D9725" i="2"/>
  <c r="C9725" i="2"/>
  <c r="B9725" i="2"/>
  <c r="A9725" i="2"/>
  <c r="D9724" i="2"/>
  <c r="C9724" i="2"/>
  <c r="B9724" i="2"/>
  <c r="A9724" i="2"/>
  <c r="D9723" i="2"/>
  <c r="C9723" i="2"/>
  <c r="B9723" i="2"/>
  <c r="A9723" i="2"/>
  <c r="D9722" i="2"/>
  <c r="C9722" i="2"/>
  <c r="B9722" i="2"/>
  <c r="A9722" i="2"/>
  <c r="D9721" i="2"/>
  <c r="C9721" i="2"/>
  <c r="B9721" i="2"/>
  <c r="A9721" i="2"/>
  <c r="D9720" i="2"/>
  <c r="C9720" i="2"/>
  <c r="B9720" i="2"/>
  <c r="A9720" i="2"/>
  <c r="D9719" i="2"/>
  <c r="C9719" i="2"/>
  <c r="B9719" i="2"/>
  <c r="A9719" i="2"/>
  <c r="D9718" i="2"/>
  <c r="C9718" i="2"/>
  <c r="B9718" i="2"/>
  <c r="A9718" i="2"/>
  <c r="D9717" i="2"/>
  <c r="C9717" i="2"/>
  <c r="B9717" i="2"/>
  <c r="A9717" i="2"/>
  <c r="D9716" i="2"/>
  <c r="C9716" i="2"/>
  <c r="B9716" i="2"/>
  <c r="A9716" i="2"/>
  <c r="D9715" i="2"/>
  <c r="C9715" i="2"/>
  <c r="B9715" i="2"/>
  <c r="A9715" i="2"/>
  <c r="D9714" i="2"/>
  <c r="C9714" i="2"/>
  <c r="B9714" i="2"/>
  <c r="A9714" i="2"/>
  <c r="D9713" i="2"/>
  <c r="C9713" i="2"/>
  <c r="B9713" i="2"/>
  <c r="A9713" i="2"/>
  <c r="D9712" i="2"/>
  <c r="B9712" i="2"/>
  <c r="A9712" i="2"/>
  <c r="D9711" i="2"/>
  <c r="C9711" i="2"/>
  <c r="B9711" i="2"/>
  <c r="A9711" i="2"/>
  <c r="D9710" i="2"/>
  <c r="C9710" i="2"/>
  <c r="B9710" i="2"/>
  <c r="A9710" i="2"/>
  <c r="D9709" i="2"/>
  <c r="C9709" i="2"/>
  <c r="B9709" i="2"/>
  <c r="A9709" i="2"/>
  <c r="D9708" i="2"/>
  <c r="B9708" i="2"/>
  <c r="A9708" i="2"/>
  <c r="D9707" i="2"/>
  <c r="C9707" i="2"/>
  <c r="B9707" i="2"/>
  <c r="A9707" i="2"/>
  <c r="D9706" i="2"/>
  <c r="B9706" i="2"/>
  <c r="A9706" i="2"/>
  <c r="D9705" i="2"/>
  <c r="C9705" i="2"/>
  <c r="B9705" i="2"/>
  <c r="A9705" i="2"/>
  <c r="D9704" i="2"/>
  <c r="C9704" i="2"/>
  <c r="B9704" i="2"/>
  <c r="A9704" i="2"/>
  <c r="D9703" i="2"/>
  <c r="C9703" i="2"/>
  <c r="B9703" i="2"/>
  <c r="A9703" i="2"/>
  <c r="D9702" i="2"/>
  <c r="B9702" i="2"/>
  <c r="A9702" i="2"/>
  <c r="D9701" i="2"/>
  <c r="C9701" i="2"/>
  <c r="B9701" i="2"/>
  <c r="A9701" i="2"/>
  <c r="D9700" i="2"/>
  <c r="C9700" i="2"/>
  <c r="B9700" i="2"/>
  <c r="A9700" i="2"/>
  <c r="D9699" i="2"/>
  <c r="C9699" i="2"/>
  <c r="B9699" i="2"/>
  <c r="A9699" i="2"/>
  <c r="D9698" i="2"/>
  <c r="C9698" i="2"/>
  <c r="B9698" i="2"/>
  <c r="A9698" i="2"/>
  <c r="D9697" i="2"/>
  <c r="C9697" i="2"/>
  <c r="B9697" i="2"/>
  <c r="A9697" i="2"/>
  <c r="D9696" i="2"/>
  <c r="C9696" i="2"/>
  <c r="B9696" i="2"/>
  <c r="A9696" i="2"/>
  <c r="D9695" i="2"/>
  <c r="C9695" i="2"/>
  <c r="B9695" i="2"/>
  <c r="A9695" i="2"/>
  <c r="D9694" i="2"/>
  <c r="C9694" i="2"/>
  <c r="B9694" i="2"/>
  <c r="A9694" i="2"/>
  <c r="D9693" i="2"/>
  <c r="B9693" i="2"/>
  <c r="A9693" i="2"/>
  <c r="D9692" i="2"/>
  <c r="C9692" i="2"/>
  <c r="B9692" i="2"/>
  <c r="A9692" i="2"/>
  <c r="D9691" i="2"/>
  <c r="C9691" i="2"/>
  <c r="B9691" i="2"/>
  <c r="A9691" i="2"/>
  <c r="D9690" i="2"/>
  <c r="C9690" i="2"/>
  <c r="B9690" i="2"/>
  <c r="A9690" i="2"/>
  <c r="D9689" i="2"/>
  <c r="C9689" i="2"/>
  <c r="B9689" i="2"/>
  <c r="A9689" i="2"/>
  <c r="D9688" i="2"/>
  <c r="B9688" i="2"/>
  <c r="A9688" i="2"/>
  <c r="D9687" i="2"/>
  <c r="C9687" i="2"/>
  <c r="B9687" i="2"/>
  <c r="A9687" i="2"/>
  <c r="D9686" i="2"/>
  <c r="B9686" i="2"/>
  <c r="A9686" i="2"/>
  <c r="D9685" i="2"/>
  <c r="B9685" i="2"/>
  <c r="A9685" i="2"/>
  <c r="D9684" i="2"/>
  <c r="B9684" i="2"/>
  <c r="A9684" i="2"/>
  <c r="D9683" i="2"/>
  <c r="C9683" i="2"/>
  <c r="B9683" i="2"/>
  <c r="A9683" i="2"/>
  <c r="D9682" i="2"/>
  <c r="C9682" i="2"/>
  <c r="B9682" i="2"/>
  <c r="A9682" i="2"/>
  <c r="D9681" i="2"/>
  <c r="C9681" i="2"/>
  <c r="B9681" i="2"/>
  <c r="A9681" i="2"/>
  <c r="D9680" i="2"/>
  <c r="C9680" i="2"/>
  <c r="B9680" i="2"/>
  <c r="A9680" i="2"/>
  <c r="D9679" i="2"/>
  <c r="B9679" i="2"/>
  <c r="A9679" i="2"/>
  <c r="D9678" i="2"/>
  <c r="B9678" i="2"/>
  <c r="A9678" i="2"/>
  <c r="D9677" i="2"/>
  <c r="B9677" i="2"/>
  <c r="A9677" i="2"/>
  <c r="D9676" i="2"/>
  <c r="B9676" i="2"/>
  <c r="A9676" i="2"/>
  <c r="D9675" i="2"/>
  <c r="B9675" i="2"/>
  <c r="A9675" i="2"/>
  <c r="D9674" i="2"/>
  <c r="B9674" i="2"/>
  <c r="A9674" i="2"/>
  <c r="D9673" i="2"/>
  <c r="C9673" i="2"/>
  <c r="B9673" i="2"/>
  <c r="A9673" i="2"/>
  <c r="D9672" i="2"/>
  <c r="B9672" i="2"/>
  <c r="A9672" i="2"/>
  <c r="D9671" i="2"/>
  <c r="B9671" i="2"/>
  <c r="A9671" i="2"/>
  <c r="D9670" i="2"/>
  <c r="B9670" i="2"/>
  <c r="A9670" i="2"/>
  <c r="D9669" i="2"/>
  <c r="C9669" i="2"/>
  <c r="B9669" i="2"/>
  <c r="A9669" i="2"/>
  <c r="D9668" i="2"/>
  <c r="B9668" i="2"/>
  <c r="A9668" i="2"/>
  <c r="D9667" i="2"/>
  <c r="C9667" i="2"/>
  <c r="B9667" i="2"/>
  <c r="A9667" i="2"/>
  <c r="D9666" i="2"/>
  <c r="C9666" i="2"/>
  <c r="B9666" i="2"/>
  <c r="A9666" i="2"/>
  <c r="D9665" i="2"/>
  <c r="C9665" i="2"/>
  <c r="B9665" i="2"/>
  <c r="A9665" i="2"/>
  <c r="D9664" i="2"/>
  <c r="B9664" i="2"/>
  <c r="A9664" i="2"/>
  <c r="D9663" i="2"/>
  <c r="C9663" i="2"/>
  <c r="B9663" i="2"/>
  <c r="A9663" i="2"/>
  <c r="D9662" i="2"/>
  <c r="C9662" i="2"/>
  <c r="B9662" i="2"/>
  <c r="A9662" i="2"/>
  <c r="D9661" i="2"/>
  <c r="B9661" i="2"/>
  <c r="A9661" i="2"/>
  <c r="D9660" i="2"/>
  <c r="C9660" i="2"/>
  <c r="B9660" i="2"/>
  <c r="A9660" i="2"/>
  <c r="D9659" i="2"/>
  <c r="C9659" i="2"/>
  <c r="B9659" i="2"/>
  <c r="A9659" i="2"/>
  <c r="D9658" i="2"/>
  <c r="C9658" i="2"/>
  <c r="B9658" i="2"/>
  <c r="A9658" i="2"/>
  <c r="D9657" i="2"/>
  <c r="C9657" i="2"/>
  <c r="B9657" i="2"/>
  <c r="A9657" i="2"/>
  <c r="D9656" i="2"/>
  <c r="C9656" i="2"/>
  <c r="B9656" i="2"/>
  <c r="A9656" i="2"/>
  <c r="D9655" i="2"/>
  <c r="C9655" i="2"/>
  <c r="B9655" i="2"/>
  <c r="A9655" i="2"/>
  <c r="D9654" i="2"/>
  <c r="B9654" i="2"/>
  <c r="A9654" i="2"/>
  <c r="D9653" i="2"/>
  <c r="B9653" i="2"/>
  <c r="A9653" i="2"/>
  <c r="D9652" i="2"/>
  <c r="B9652" i="2"/>
  <c r="A9652" i="2"/>
  <c r="D9651" i="2"/>
  <c r="B9651" i="2"/>
  <c r="A9651" i="2"/>
  <c r="D9650" i="2"/>
  <c r="B9650" i="2"/>
  <c r="A9650" i="2"/>
  <c r="D9649" i="2"/>
  <c r="C9649" i="2"/>
  <c r="B9649" i="2"/>
  <c r="A9649" i="2"/>
  <c r="D9648" i="2"/>
  <c r="C9648" i="2"/>
  <c r="B9648" i="2"/>
  <c r="A9648" i="2"/>
  <c r="D9647" i="2"/>
  <c r="C9647" i="2"/>
  <c r="B9647" i="2"/>
  <c r="A9647" i="2"/>
  <c r="D9646" i="2"/>
  <c r="C9646" i="2"/>
  <c r="B9646" i="2"/>
  <c r="A9646" i="2"/>
  <c r="D9645" i="2"/>
  <c r="C9645" i="2"/>
  <c r="B9645" i="2"/>
  <c r="A9645" i="2"/>
  <c r="D9644" i="2"/>
  <c r="B9644" i="2"/>
  <c r="A9644" i="2"/>
  <c r="D9643" i="2"/>
  <c r="B9643" i="2"/>
  <c r="A9643" i="2"/>
  <c r="D9642" i="2"/>
  <c r="C9642" i="2"/>
  <c r="B9642" i="2"/>
  <c r="A9642" i="2"/>
  <c r="D9641" i="2"/>
  <c r="C9641" i="2"/>
  <c r="B9641" i="2"/>
  <c r="A9641" i="2"/>
  <c r="D9640" i="2"/>
  <c r="C9640" i="2"/>
  <c r="B9640" i="2"/>
  <c r="A9640" i="2"/>
  <c r="D9639" i="2"/>
  <c r="C9639" i="2"/>
  <c r="B9639" i="2"/>
  <c r="A9639" i="2"/>
  <c r="D9638" i="2"/>
  <c r="B9638" i="2"/>
  <c r="A9638" i="2"/>
  <c r="D9637" i="2"/>
  <c r="C9637" i="2"/>
  <c r="B9637" i="2"/>
  <c r="A9637" i="2"/>
  <c r="D9636" i="2"/>
  <c r="C9636" i="2"/>
  <c r="B9636" i="2"/>
  <c r="A9636" i="2"/>
  <c r="D9635" i="2"/>
  <c r="C9635" i="2"/>
  <c r="B9635" i="2"/>
  <c r="A9635" i="2"/>
  <c r="D9634" i="2"/>
  <c r="C9634" i="2"/>
  <c r="B9634" i="2"/>
  <c r="A9634" i="2"/>
  <c r="D9633" i="2"/>
  <c r="C9633" i="2"/>
  <c r="B9633" i="2"/>
  <c r="A9633" i="2"/>
  <c r="D9632" i="2"/>
  <c r="C9632" i="2"/>
  <c r="B9632" i="2"/>
  <c r="A9632" i="2"/>
  <c r="D9631" i="2"/>
  <c r="C9631" i="2"/>
  <c r="B9631" i="2"/>
  <c r="A9631" i="2"/>
  <c r="D9630" i="2"/>
  <c r="C9630" i="2"/>
  <c r="B9630" i="2"/>
  <c r="A9630" i="2"/>
  <c r="D9629" i="2"/>
  <c r="C9629" i="2"/>
  <c r="B9629" i="2"/>
  <c r="A9629" i="2"/>
  <c r="D9628" i="2"/>
  <c r="C9628" i="2"/>
  <c r="B9628" i="2"/>
  <c r="A9628" i="2"/>
  <c r="D9627" i="2"/>
  <c r="B9627" i="2"/>
  <c r="A9627" i="2"/>
  <c r="D9626" i="2"/>
  <c r="C9626" i="2"/>
  <c r="B9626" i="2"/>
  <c r="A9626" i="2"/>
  <c r="D9625" i="2"/>
  <c r="C9625" i="2"/>
  <c r="B9625" i="2"/>
  <c r="A9625" i="2"/>
  <c r="D9624" i="2"/>
  <c r="C9624" i="2"/>
  <c r="B9624" i="2"/>
  <c r="A9624" i="2"/>
  <c r="D9623" i="2"/>
  <c r="C9623" i="2"/>
  <c r="B9623" i="2"/>
  <c r="A9623" i="2"/>
  <c r="D9622" i="2"/>
  <c r="C9622" i="2"/>
  <c r="B9622" i="2"/>
  <c r="A9622" i="2"/>
  <c r="D9621" i="2"/>
  <c r="C9621" i="2"/>
  <c r="B9621" i="2"/>
  <c r="A9621" i="2"/>
  <c r="D9620" i="2"/>
  <c r="C9620" i="2"/>
  <c r="B9620" i="2"/>
  <c r="A9620" i="2"/>
  <c r="D9619" i="2"/>
  <c r="C9619" i="2"/>
  <c r="B9619" i="2"/>
  <c r="A9619" i="2"/>
  <c r="D9618" i="2"/>
  <c r="C9618" i="2"/>
  <c r="B9618" i="2"/>
  <c r="A9618" i="2"/>
  <c r="D9617" i="2"/>
  <c r="C9617" i="2"/>
  <c r="B9617" i="2"/>
  <c r="A9617" i="2"/>
  <c r="D9616" i="2"/>
  <c r="C9616" i="2"/>
  <c r="B9616" i="2"/>
  <c r="A9616" i="2"/>
  <c r="D9615" i="2"/>
  <c r="C9615" i="2"/>
  <c r="B9615" i="2"/>
  <c r="A9615" i="2"/>
  <c r="D9614" i="2"/>
  <c r="C9614" i="2"/>
  <c r="B9614" i="2"/>
  <c r="A9614" i="2"/>
  <c r="D9613" i="2"/>
  <c r="C9613" i="2"/>
  <c r="B9613" i="2"/>
  <c r="A9613" i="2"/>
  <c r="D9612" i="2"/>
  <c r="C9612" i="2"/>
  <c r="B9612" i="2"/>
  <c r="A9612" i="2"/>
  <c r="D9611" i="2"/>
  <c r="C9611" i="2"/>
  <c r="B9611" i="2"/>
  <c r="A9611" i="2"/>
  <c r="D9610" i="2"/>
  <c r="C9610" i="2"/>
  <c r="B9610" i="2"/>
  <c r="A9610" i="2"/>
  <c r="D9609" i="2"/>
  <c r="C9609" i="2"/>
  <c r="B9609" i="2"/>
  <c r="A9609" i="2"/>
  <c r="D9608" i="2"/>
  <c r="C9608" i="2"/>
  <c r="B9608" i="2"/>
  <c r="A9608" i="2"/>
  <c r="D9607" i="2"/>
  <c r="C9607" i="2"/>
  <c r="B9607" i="2"/>
  <c r="A9607" i="2"/>
  <c r="D9606" i="2"/>
  <c r="C9606" i="2"/>
  <c r="B9606" i="2"/>
  <c r="A9606" i="2"/>
  <c r="D9605" i="2"/>
  <c r="C9605" i="2"/>
  <c r="B9605" i="2"/>
  <c r="A9605" i="2"/>
  <c r="D9604" i="2"/>
  <c r="C9604" i="2"/>
  <c r="B9604" i="2"/>
  <c r="A9604" i="2"/>
  <c r="D9603" i="2"/>
  <c r="B9603" i="2"/>
  <c r="A9603" i="2"/>
  <c r="D9602" i="2"/>
  <c r="C9602" i="2"/>
  <c r="B9602" i="2"/>
  <c r="A9602" i="2"/>
  <c r="D9601" i="2"/>
  <c r="C9601" i="2"/>
  <c r="B9601" i="2"/>
  <c r="A9601" i="2"/>
  <c r="D9600" i="2"/>
  <c r="C9600" i="2"/>
  <c r="B9600" i="2"/>
  <c r="A9600" i="2"/>
  <c r="D9599" i="2"/>
  <c r="B9599" i="2"/>
  <c r="A9599" i="2"/>
  <c r="D9598" i="2"/>
  <c r="C9598" i="2"/>
  <c r="B9598" i="2"/>
  <c r="A9598" i="2"/>
  <c r="D9597" i="2"/>
  <c r="B9597" i="2"/>
  <c r="A9597" i="2"/>
  <c r="D9596" i="2"/>
  <c r="C9596" i="2"/>
  <c r="B9596" i="2"/>
  <c r="A9596" i="2"/>
  <c r="D9595" i="2"/>
  <c r="C9595" i="2"/>
  <c r="B9595" i="2"/>
  <c r="A9595" i="2"/>
  <c r="D9594" i="2"/>
  <c r="C9594" i="2"/>
  <c r="B9594" i="2"/>
  <c r="A9594" i="2"/>
  <c r="D9593" i="2"/>
  <c r="C9593" i="2"/>
  <c r="B9593" i="2"/>
  <c r="A9593" i="2"/>
  <c r="D9592" i="2"/>
  <c r="C9592" i="2"/>
  <c r="B9592" i="2"/>
  <c r="A9592" i="2"/>
  <c r="D9591" i="2"/>
  <c r="C9591" i="2"/>
  <c r="B9591" i="2"/>
  <c r="A9591" i="2"/>
  <c r="D9590" i="2"/>
  <c r="C9590" i="2"/>
  <c r="B9590" i="2"/>
  <c r="A9590" i="2"/>
  <c r="D9589" i="2"/>
  <c r="C9589" i="2"/>
  <c r="B9589" i="2"/>
  <c r="A9589" i="2"/>
  <c r="D9588" i="2"/>
  <c r="C9588" i="2"/>
  <c r="B9588" i="2"/>
  <c r="A9588" i="2"/>
  <c r="D9587" i="2"/>
  <c r="C9587" i="2"/>
  <c r="B9587" i="2"/>
  <c r="A9587" i="2"/>
  <c r="D9586" i="2"/>
  <c r="C9586" i="2"/>
  <c r="B9586" i="2"/>
  <c r="A9586" i="2"/>
  <c r="D9585" i="2"/>
  <c r="C9585" i="2"/>
  <c r="B9585" i="2"/>
  <c r="A9585" i="2"/>
  <c r="D9584" i="2"/>
  <c r="C9584" i="2"/>
  <c r="B9584" i="2"/>
  <c r="A9584" i="2"/>
  <c r="D9583" i="2"/>
  <c r="C9583" i="2"/>
  <c r="B9583" i="2"/>
  <c r="A9583" i="2"/>
  <c r="D9582" i="2"/>
  <c r="C9582" i="2"/>
  <c r="B9582" i="2"/>
  <c r="A9582" i="2"/>
  <c r="D9581" i="2"/>
  <c r="C9581" i="2"/>
  <c r="B9581" i="2"/>
  <c r="A9581" i="2"/>
  <c r="D9580" i="2"/>
  <c r="C9580" i="2"/>
  <c r="B9580" i="2"/>
  <c r="A9580" i="2"/>
  <c r="D9579" i="2"/>
  <c r="C9579" i="2"/>
  <c r="B9579" i="2"/>
  <c r="A9579" i="2"/>
  <c r="D9578" i="2"/>
  <c r="C9578" i="2"/>
  <c r="B9578" i="2"/>
  <c r="A9578" i="2"/>
  <c r="D9577" i="2"/>
  <c r="C9577" i="2"/>
  <c r="B9577" i="2"/>
  <c r="A9577" i="2"/>
  <c r="D9576" i="2"/>
  <c r="C9576" i="2"/>
  <c r="B9576" i="2"/>
  <c r="A9576" i="2"/>
  <c r="D9575" i="2"/>
  <c r="C9575" i="2"/>
  <c r="B9575" i="2"/>
  <c r="A9575" i="2"/>
  <c r="D9574" i="2"/>
  <c r="C9574" i="2"/>
  <c r="B9574" i="2"/>
  <c r="A9574" i="2"/>
  <c r="D9573" i="2"/>
  <c r="C9573" i="2"/>
  <c r="B9573" i="2"/>
  <c r="A9573" i="2"/>
  <c r="D9572" i="2"/>
  <c r="C9572" i="2"/>
  <c r="B9572" i="2"/>
  <c r="A9572" i="2"/>
  <c r="D9571" i="2"/>
  <c r="C9571" i="2"/>
  <c r="B9571" i="2"/>
  <c r="A9571" i="2"/>
  <c r="D9570" i="2"/>
  <c r="C9570" i="2"/>
  <c r="B9570" i="2"/>
  <c r="A9570" i="2"/>
  <c r="D9569" i="2"/>
  <c r="C9569" i="2"/>
  <c r="B9569" i="2"/>
  <c r="A9569" i="2"/>
  <c r="D9568" i="2"/>
  <c r="C9568" i="2"/>
  <c r="B9568" i="2"/>
  <c r="A9568" i="2"/>
  <c r="D9567" i="2"/>
  <c r="C9567" i="2"/>
  <c r="B9567" i="2"/>
  <c r="A9567" i="2"/>
  <c r="D9566" i="2"/>
  <c r="C9566" i="2"/>
  <c r="B9566" i="2"/>
  <c r="A9566" i="2"/>
  <c r="D9565" i="2"/>
  <c r="C9565" i="2"/>
  <c r="B9565" i="2"/>
  <c r="A9565" i="2"/>
  <c r="D9564" i="2"/>
  <c r="C9564" i="2"/>
  <c r="B9564" i="2"/>
  <c r="A9564" i="2"/>
  <c r="D9563" i="2"/>
  <c r="C9563" i="2"/>
  <c r="B9563" i="2"/>
  <c r="A9563" i="2"/>
  <c r="D9562" i="2"/>
  <c r="C9562" i="2"/>
  <c r="B9562" i="2"/>
  <c r="A9562" i="2"/>
  <c r="D9561" i="2"/>
  <c r="C9561" i="2"/>
  <c r="B9561" i="2"/>
  <c r="A9561" i="2"/>
  <c r="D9560" i="2"/>
  <c r="C9560" i="2"/>
  <c r="B9560" i="2"/>
  <c r="A9560" i="2"/>
  <c r="D9559" i="2"/>
  <c r="C9559" i="2"/>
  <c r="B9559" i="2"/>
  <c r="A9559" i="2"/>
  <c r="D9558" i="2"/>
  <c r="C9558" i="2"/>
  <c r="B9558" i="2"/>
  <c r="A9558" i="2"/>
  <c r="D9557" i="2"/>
  <c r="C9557" i="2"/>
  <c r="B9557" i="2"/>
  <c r="A9557" i="2"/>
  <c r="D9556" i="2"/>
  <c r="C9556" i="2"/>
  <c r="B9556" i="2"/>
  <c r="A9556" i="2"/>
  <c r="D9555" i="2"/>
  <c r="C9555" i="2"/>
  <c r="B9555" i="2"/>
  <c r="A9555" i="2"/>
  <c r="D9554" i="2"/>
  <c r="C9554" i="2"/>
  <c r="B9554" i="2"/>
  <c r="A9554" i="2"/>
  <c r="D9553" i="2"/>
  <c r="C9553" i="2"/>
  <c r="B9553" i="2"/>
  <c r="A9553" i="2"/>
  <c r="D9552" i="2"/>
  <c r="C9552" i="2"/>
  <c r="B9552" i="2"/>
  <c r="A9552" i="2"/>
  <c r="D9551" i="2"/>
  <c r="C9551" i="2"/>
  <c r="B9551" i="2"/>
  <c r="A9551" i="2"/>
  <c r="D9550" i="2"/>
  <c r="C9550" i="2"/>
  <c r="B9550" i="2"/>
  <c r="A9550" i="2"/>
  <c r="D9549" i="2"/>
  <c r="C9549" i="2"/>
  <c r="B9549" i="2"/>
  <c r="A9549" i="2"/>
  <c r="D9548" i="2"/>
  <c r="C9548" i="2"/>
  <c r="B9548" i="2"/>
  <c r="A9548" i="2"/>
  <c r="D9547" i="2"/>
  <c r="C9547" i="2"/>
  <c r="B9547" i="2"/>
  <c r="A9547" i="2"/>
  <c r="D9546" i="2"/>
  <c r="C9546" i="2"/>
  <c r="B9546" i="2"/>
  <c r="A9546" i="2"/>
  <c r="D9545" i="2"/>
  <c r="C9545" i="2"/>
  <c r="B9545" i="2"/>
  <c r="A9545" i="2"/>
  <c r="D9544" i="2"/>
  <c r="C9544" i="2"/>
  <c r="B9544" i="2"/>
  <c r="A9544" i="2"/>
  <c r="D9543" i="2"/>
  <c r="C9543" i="2"/>
  <c r="B9543" i="2"/>
  <c r="A9543" i="2"/>
  <c r="D9542" i="2"/>
  <c r="C9542" i="2"/>
  <c r="B9542" i="2"/>
  <c r="A9542" i="2"/>
  <c r="D9541" i="2"/>
  <c r="C9541" i="2"/>
  <c r="B9541" i="2"/>
  <c r="A9541" i="2"/>
  <c r="D9540" i="2"/>
  <c r="C9540" i="2"/>
  <c r="B9540" i="2"/>
  <c r="A9540" i="2"/>
  <c r="D9539" i="2"/>
  <c r="C9539" i="2"/>
  <c r="B9539" i="2"/>
  <c r="A9539" i="2"/>
  <c r="D9538" i="2"/>
  <c r="C9538" i="2"/>
  <c r="B9538" i="2"/>
  <c r="A9538" i="2"/>
  <c r="D9537" i="2"/>
  <c r="C9537" i="2"/>
  <c r="B9537" i="2"/>
  <c r="A9537" i="2"/>
  <c r="D9536" i="2"/>
  <c r="C9536" i="2"/>
  <c r="B9536" i="2"/>
  <c r="A9536" i="2"/>
  <c r="D9535" i="2"/>
  <c r="C9535" i="2"/>
  <c r="B9535" i="2"/>
  <c r="A9535" i="2"/>
  <c r="D9534" i="2"/>
  <c r="C9534" i="2"/>
  <c r="B9534" i="2"/>
  <c r="A9534" i="2"/>
  <c r="D9533" i="2"/>
  <c r="C9533" i="2"/>
  <c r="B9533" i="2"/>
  <c r="A9533" i="2"/>
  <c r="D9532" i="2"/>
  <c r="C9532" i="2"/>
  <c r="B9532" i="2"/>
  <c r="A9532" i="2"/>
  <c r="D9531" i="2"/>
  <c r="C9531" i="2"/>
  <c r="B9531" i="2"/>
  <c r="A9531" i="2"/>
  <c r="D9530" i="2"/>
  <c r="C9530" i="2"/>
  <c r="B9530" i="2"/>
  <c r="A9530" i="2"/>
  <c r="D9529" i="2"/>
  <c r="C9529" i="2"/>
  <c r="B9529" i="2"/>
  <c r="A9529" i="2"/>
  <c r="D9528" i="2"/>
  <c r="C9528" i="2"/>
  <c r="B9528" i="2"/>
  <c r="A9528" i="2"/>
  <c r="D9527" i="2"/>
  <c r="C9527" i="2"/>
  <c r="B9527" i="2"/>
  <c r="A9527" i="2"/>
  <c r="D9526" i="2"/>
  <c r="C9526" i="2"/>
  <c r="B9526" i="2"/>
  <c r="A9526" i="2"/>
  <c r="D9525" i="2"/>
  <c r="C9525" i="2"/>
  <c r="B9525" i="2"/>
  <c r="A9525" i="2"/>
  <c r="D9524" i="2"/>
  <c r="C9524" i="2"/>
  <c r="B9524" i="2"/>
  <c r="A9524" i="2"/>
  <c r="D9523" i="2"/>
  <c r="C9523" i="2"/>
  <c r="B9523" i="2"/>
  <c r="A9523" i="2"/>
  <c r="D9522" i="2"/>
  <c r="C9522" i="2"/>
  <c r="B9522" i="2"/>
  <c r="A9522" i="2"/>
  <c r="D9521" i="2"/>
  <c r="C9521" i="2"/>
  <c r="B9521" i="2"/>
  <c r="A9521" i="2"/>
  <c r="D9520" i="2"/>
  <c r="C9520" i="2"/>
  <c r="B9520" i="2"/>
  <c r="A9520" i="2"/>
  <c r="D9519" i="2"/>
  <c r="C9519" i="2"/>
  <c r="B9519" i="2"/>
  <c r="A9519" i="2"/>
  <c r="D9518" i="2"/>
  <c r="C9518" i="2"/>
  <c r="B9518" i="2"/>
  <c r="A9518" i="2"/>
  <c r="D9517" i="2"/>
  <c r="C9517" i="2"/>
  <c r="B9517" i="2"/>
  <c r="A9517" i="2"/>
  <c r="D9516" i="2"/>
  <c r="C9516" i="2"/>
  <c r="B9516" i="2"/>
  <c r="A9516" i="2"/>
  <c r="D9515" i="2"/>
  <c r="C9515" i="2"/>
  <c r="B9515" i="2"/>
  <c r="A9515" i="2"/>
  <c r="D9514" i="2"/>
  <c r="C9514" i="2"/>
  <c r="B9514" i="2"/>
  <c r="A9514" i="2"/>
  <c r="D9513" i="2"/>
  <c r="C9513" i="2"/>
  <c r="B9513" i="2"/>
  <c r="A9513" i="2"/>
  <c r="D9512" i="2"/>
  <c r="C9512" i="2"/>
  <c r="B9512" i="2"/>
  <c r="A9512" i="2"/>
  <c r="D9511" i="2"/>
  <c r="C9511" i="2"/>
  <c r="B9511" i="2"/>
  <c r="A9511" i="2"/>
  <c r="D9510" i="2"/>
  <c r="C9510" i="2"/>
  <c r="B9510" i="2"/>
  <c r="A9510" i="2"/>
  <c r="D9509" i="2"/>
  <c r="C9509" i="2"/>
  <c r="B9509" i="2"/>
  <c r="A9509" i="2"/>
  <c r="D9508" i="2"/>
  <c r="C9508" i="2"/>
  <c r="B9508" i="2"/>
  <c r="A9508" i="2"/>
  <c r="D9507" i="2"/>
  <c r="C9507" i="2"/>
  <c r="B9507" i="2"/>
  <c r="A9507" i="2"/>
  <c r="D9506" i="2"/>
  <c r="C9506" i="2"/>
  <c r="B9506" i="2"/>
  <c r="A9506" i="2"/>
  <c r="D9505" i="2"/>
  <c r="C9505" i="2"/>
  <c r="B9505" i="2"/>
  <c r="A9505" i="2"/>
  <c r="D9504" i="2"/>
  <c r="C9504" i="2"/>
  <c r="B9504" i="2"/>
  <c r="A9504" i="2"/>
  <c r="D9503" i="2"/>
  <c r="C9503" i="2"/>
  <c r="B9503" i="2"/>
  <c r="A9503" i="2"/>
  <c r="D9502" i="2"/>
  <c r="C9502" i="2"/>
  <c r="B9502" i="2"/>
  <c r="A9502" i="2"/>
  <c r="D9501" i="2"/>
  <c r="C9501" i="2"/>
  <c r="B9501" i="2"/>
  <c r="A9501" i="2"/>
  <c r="D9500" i="2"/>
  <c r="C9500" i="2"/>
  <c r="B9500" i="2"/>
  <c r="A9500" i="2"/>
  <c r="D9499" i="2"/>
  <c r="C9499" i="2"/>
  <c r="B9499" i="2"/>
  <c r="A9499" i="2"/>
  <c r="D9498" i="2"/>
  <c r="C9498" i="2"/>
  <c r="B9498" i="2"/>
  <c r="A9498" i="2"/>
  <c r="D9497" i="2"/>
  <c r="C9497" i="2"/>
  <c r="B9497" i="2"/>
  <c r="A9497" i="2"/>
  <c r="D9496" i="2"/>
  <c r="C9496" i="2"/>
  <c r="B9496" i="2"/>
  <c r="A9496" i="2"/>
  <c r="D9495" i="2"/>
  <c r="C9495" i="2"/>
  <c r="B9495" i="2"/>
  <c r="A9495" i="2"/>
  <c r="D9494" i="2"/>
  <c r="C9494" i="2"/>
  <c r="B9494" i="2"/>
  <c r="A9494" i="2"/>
  <c r="D9493" i="2"/>
  <c r="C9493" i="2"/>
  <c r="B9493" i="2"/>
  <c r="A9493" i="2"/>
  <c r="D9492" i="2"/>
  <c r="C9492" i="2"/>
  <c r="B9492" i="2"/>
  <c r="A9492" i="2"/>
  <c r="D9491" i="2"/>
  <c r="C9491" i="2"/>
  <c r="B9491" i="2"/>
  <c r="A9491" i="2"/>
  <c r="D9490" i="2"/>
  <c r="C9490" i="2"/>
  <c r="B9490" i="2"/>
  <c r="A9490" i="2"/>
  <c r="D9489" i="2"/>
  <c r="C9489" i="2"/>
  <c r="B9489" i="2"/>
  <c r="A9489" i="2"/>
  <c r="D9488" i="2"/>
  <c r="C9488" i="2"/>
  <c r="B9488" i="2"/>
  <c r="A9488" i="2"/>
  <c r="D9487" i="2"/>
  <c r="C9487" i="2"/>
  <c r="B9487" i="2"/>
  <c r="A9487" i="2"/>
  <c r="D9486" i="2"/>
  <c r="C9486" i="2"/>
  <c r="B9486" i="2"/>
  <c r="A9486" i="2"/>
  <c r="D9485" i="2"/>
  <c r="C9485" i="2"/>
  <c r="B9485" i="2"/>
  <c r="A9485" i="2"/>
  <c r="D9484" i="2"/>
  <c r="C9484" i="2"/>
  <c r="B9484" i="2"/>
  <c r="A9484" i="2"/>
  <c r="D9483" i="2"/>
  <c r="C9483" i="2"/>
  <c r="B9483" i="2"/>
  <c r="A9483" i="2"/>
  <c r="D9482" i="2"/>
  <c r="C9482" i="2"/>
  <c r="B9482" i="2"/>
  <c r="A9482" i="2"/>
  <c r="D9481" i="2"/>
  <c r="C9481" i="2"/>
  <c r="B9481" i="2"/>
  <c r="A9481" i="2"/>
  <c r="D9480" i="2"/>
  <c r="C9480" i="2"/>
  <c r="B9480" i="2"/>
  <c r="A9480" i="2"/>
  <c r="D9479" i="2"/>
  <c r="C9479" i="2"/>
  <c r="B9479" i="2"/>
  <c r="A9479" i="2"/>
  <c r="D9478" i="2"/>
  <c r="C9478" i="2"/>
  <c r="B9478" i="2"/>
  <c r="A9478" i="2"/>
  <c r="D9477" i="2"/>
  <c r="C9477" i="2"/>
  <c r="B9477" i="2"/>
  <c r="A9477" i="2"/>
  <c r="D9476" i="2"/>
  <c r="C9476" i="2"/>
  <c r="B9476" i="2"/>
  <c r="A9476" i="2"/>
  <c r="D9475" i="2"/>
  <c r="C9475" i="2"/>
  <c r="B9475" i="2"/>
  <c r="A9475" i="2"/>
  <c r="D9474" i="2"/>
  <c r="C9474" i="2"/>
  <c r="B9474" i="2"/>
  <c r="A9474" i="2"/>
  <c r="D9473" i="2"/>
  <c r="C9473" i="2"/>
  <c r="B9473" i="2"/>
  <c r="A9473" i="2"/>
  <c r="D9472" i="2"/>
  <c r="C9472" i="2"/>
  <c r="B9472" i="2"/>
  <c r="A9472" i="2"/>
  <c r="D9471" i="2"/>
  <c r="C9471" i="2"/>
  <c r="B9471" i="2"/>
  <c r="A9471" i="2"/>
  <c r="D9470" i="2"/>
  <c r="C9470" i="2"/>
  <c r="B9470" i="2"/>
  <c r="A9470" i="2"/>
  <c r="D9469" i="2"/>
  <c r="C9469" i="2"/>
  <c r="B9469" i="2"/>
  <c r="A9469" i="2"/>
  <c r="D9468" i="2"/>
  <c r="C9468" i="2"/>
  <c r="B9468" i="2"/>
  <c r="A9468" i="2"/>
  <c r="D9467" i="2"/>
  <c r="C9467" i="2"/>
  <c r="B9467" i="2"/>
  <c r="A9467" i="2"/>
  <c r="D9466" i="2"/>
  <c r="C9466" i="2"/>
  <c r="B9466" i="2"/>
  <c r="A9466" i="2"/>
  <c r="D9465" i="2"/>
  <c r="C9465" i="2"/>
  <c r="B9465" i="2"/>
  <c r="A9465" i="2"/>
  <c r="D9464" i="2"/>
  <c r="C9464" i="2"/>
  <c r="B9464" i="2"/>
  <c r="A9464" i="2"/>
  <c r="D9463" i="2"/>
  <c r="C9463" i="2"/>
  <c r="B9463" i="2"/>
  <c r="A9463" i="2"/>
  <c r="D9462" i="2"/>
  <c r="C9462" i="2"/>
  <c r="B9462" i="2"/>
  <c r="A9462" i="2"/>
  <c r="D9461" i="2"/>
  <c r="C9461" i="2"/>
  <c r="B9461" i="2"/>
  <c r="A9461" i="2"/>
  <c r="D9460" i="2"/>
  <c r="C9460" i="2"/>
  <c r="B9460" i="2"/>
  <c r="A9460" i="2"/>
  <c r="D9459" i="2"/>
  <c r="C9459" i="2"/>
  <c r="B9459" i="2"/>
  <c r="A9459" i="2"/>
  <c r="D9458" i="2"/>
  <c r="C9458" i="2"/>
  <c r="B9458" i="2"/>
  <c r="A9458" i="2"/>
  <c r="D9457" i="2"/>
  <c r="B9457" i="2"/>
  <c r="A9457" i="2"/>
  <c r="D9456" i="2"/>
  <c r="C9456" i="2"/>
  <c r="B9456" i="2"/>
  <c r="A9456" i="2"/>
  <c r="D9455" i="2"/>
  <c r="C9455" i="2"/>
  <c r="B9455" i="2"/>
  <c r="A9455" i="2"/>
  <c r="D9454" i="2"/>
  <c r="B9454" i="2"/>
  <c r="A9454" i="2"/>
  <c r="D9453" i="2"/>
  <c r="C9453" i="2"/>
  <c r="B9453" i="2"/>
  <c r="A9453" i="2"/>
  <c r="D9452" i="2"/>
  <c r="C9452" i="2"/>
  <c r="B9452" i="2"/>
  <c r="A9452" i="2"/>
  <c r="D9451" i="2"/>
  <c r="C9451" i="2"/>
  <c r="B9451" i="2"/>
  <c r="A9451" i="2"/>
  <c r="D9450" i="2"/>
  <c r="C9450" i="2"/>
  <c r="B9450" i="2"/>
  <c r="A9450" i="2"/>
  <c r="D9449" i="2"/>
  <c r="C9449" i="2"/>
  <c r="B9449" i="2"/>
  <c r="A9449" i="2"/>
  <c r="D9448" i="2"/>
  <c r="C9448" i="2"/>
  <c r="B9448" i="2"/>
  <c r="A9448" i="2"/>
  <c r="D9447" i="2"/>
  <c r="C9447" i="2"/>
  <c r="B9447" i="2"/>
  <c r="A9447" i="2"/>
  <c r="D9446" i="2"/>
  <c r="C9446" i="2"/>
  <c r="B9446" i="2"/>
  <c r="A9446" i="2"/>
  <c r="D9445" i="2"/>
  <c r="C9445" i="2"/>
  <c r="B9445" i="2"/>
  <c r="A9445" i="2"/>
  <c r="D9444" i="2"/>
  <c r="C9444" i="2"/>
  <c r="B9444" i="2"/>
  <c r="A9444" i="2"/>
  <c r="D9443" i="2"/>
  <c r="C9443" i="2"/>
  <c r="B9443" i="2"/>
  <c r="A9443" i="2"/>
  <c r="D9442" i="2"/>
  <c r="C9442" i="2"/>
  <c r="B9442" i="2"/>
  <c r="A9442" i="2"/>
  <c r="D9441" i="2"/>
  <c r="C9441" i="2"/>
  <c r="B9441" i="2"/>
  <c r="A9441" i="2"/>
  <c r="D9440" i="2"/>
  <c r="C9440" i="2"/>
  <c r="B9440" i="2"/>
  <c r="A9440" i="2"/>
  <c r="D9439" i="2"/>
  <c r="C9439" i="2"/>
  <c r="B9439" i="2"/>
  <c r="A9439" i="2"/>
  <c r="D9438" i="2"/>
  <c r="C9438" i="2"/>
  <c r="B9438" i="2"/>
  <c r="A9438" i="2"/>
  <c r="D9437" i="2"/>
  <c r="C9437" i="2"/>
  <c r="B9437" i="2"/>
  <c r="A9437" i="2"/>
  <c r="D9436" i="2"/>
  <c r="C9436" i="2"/>
  <c r="B9436" i="2"/>
  <c r="A9436" i="2"/>
  <c r="D9435" i="2"/>
  <c r="B9435" i="2"/>
  <c r="A9435" i="2"/>
  <c r="D9434" i="2"/>
  <c r="C9434" i="2"/>
  <c r="B9434" i="2"/>
  <c r="A9434" i="2"/>
  <c r="D9433" i="2"/>
  <c r="C9433" i="2"/>
  <c r="B9433" i="2"/>
  <c r="A9433" i="2"/>
  <c r="D9432" i="2"/>
  <c r="C9432" i="2"/>
  <c r="B9432" i="2"/>
  <c r="A9432" i="2"/>
  <c r="D9431" i="2"/>
  <c r="C9431" i="2"/>
  <c r="B9431" i="2"/>
  <c r="A9431" i="2"/>
  <c r="D9430" i="2"/>
  <c r="B9430" i="2"/>
  <c r="A9430" i="2"/>
  <c r="D9429" i="2"/>
  <c r="C9429" i="2"/>
  <c r="B9429" i="2"/>
  <c r="A9429" i="2"/>
  <c r="D9428" i="2"/>
  <c r="B9428" i="2"/>
  <c r="A9428" i="2"/>
  <c r="D9427" i="2"/>
  <c r="B9427" i="2"/>
  <c r="A9427" i="2"/>
  <c r="D9426" i="2"/>
  <c r="C9426" i="2"/>
  <c r="B9426" i="2"/>
  <c r="A9426" i="2"/>
  <c r="D9425" i="2"/>
  <c r="C9425" i="2"/>
  <c r="B9425" i="2"/>
  <c r="A9425" i="2"/>
  <c r="D9424" i="2"/>
  <c r="C9424" i="2"/>
  <c r="B9424" i="2"/>
  <c r="A9424" i="2"/>
  <c r="D9423" i="2"/>
  <c r="B9423" i="2"/>
  <c r="A9423" i="2"/>
  <c r="D9422" i="2"/>
  <c r="C9422" i="2"/>
  <c r="B9422" i="2"/>
  <c r="A9422" i="2"/>
  <c r="D9421" i="2"/>
  <c r="B9421" i="2"/>
  <c r="A9421" i="2"/>
  <c r="D9420" i="2"/>
  <c r="C9420" i="2"/>
  <c r="B9420" i="2"/>
  <c r="A9420" i="2"/>
  <c r="D9419" i="2"/>
  <c r="B9419" i="2"/>
  <c r="A9419" i="2"/>
  <c r="D9418" i="2"/>
  <c r="B9418" i="2"/>
  <c r="A9418" i="2"/>
  <c r="D9417" i="2"/>
  <c r="B9417" i="2"/>
  <c r="A9417" i="2"/>
  <c r="D9416" i="2"/>
  <c r="B9416" i="2"/>
  <c r="A9416" i="2"/>
  <c r="D9415" i="2"/>
  <c r="C9415" i="2"/>
  <c r="B9415" i="2"/>
  <c r="A9415" i="2"/>
  <c r="D9414" i="2"/>
  <c r="C9414" i="2"/>
  <c r="B9414" i="2"/>
  <c r="A9414" i="2"/>
  <c r="D9413" i="2"/>
  <c r="C9413" i="2"/>
  <c r="B9413" i="2"/>
  <c r="A9413" i="2"/>
  <c r="D9412" i="2"/>
  <c r="C9412" i="2"/>
  <c r="B9412" i="2"/>
  <c r="A9412" i="2"/>
  <c r="D9411" i="2"/>
  <c r="C9411" i="2"/>
  <c r="B9411" i="2"/>
  <c r="A9411" i="2"/>
  <c r="D9410" i="2"/>
  <c r="B9410" i="2"/>
  <c r="A9410" i="2"/>
  <c r="D9409" i="2"/>
  <c r="C9409" i="2"/>
  <c r="B9409" i="2"/>
  <c r="A9409" i="2"/>
  <c r="D9408" i="2"/>
  <c r="B9408" i="2"/>
  <c r="A9408" i="2"/>
  <c r="D9407" i="2"/>
  <c r="C9407" i="2"/>
  <c r="B9407" i="2"/>
  <c r="A9407" i="2"/>
  <c r="D9406" i="2"/>
  <c r="B9406" i="2"/>
  <c r="A9406" i="2"/>
  <c r="D9405" i="2"/>
  <c r="B9405" i="2"/>
  <c r="A9405" i="2"/>
  <c r="D9404" i="2"/>
  <c r="B9404" i="2"/>
  <c r="A9404" i="2"/>
  <c r="D9403" i="2"/>
  <c r="B9403" i="2"/>
  <c r="A9403" i="2"/>
  <c r="D9402" i="2"/>
  <c r="C9402" i="2"/>
  <c r="B9402" i="2"/>
  <c r="A9402" i="2"/>
  <c r="D9401" i="2"/>
  <c r="C9401" i="2"/>
  <c r="B9401" i="2"/>
  <c r="A9401" i="2"/>
  <c r="D9400" i="2"/>
  <c r="C9400" i="2"/>
  <c r="B9400" i="2"/>
  <c r="A9400" i="2"/>
  <c r="D9399" i="2"/>
  <c r="C9399" i="2"/>
  <c r="B9399" i="2"/>
  <c r="A9399" i="2"/>
  <c r="D9398" i="2"/>
  <c r="B9398" i="2"/>
  <c r="A9398" i="2"/>
  <c r="D9397" i="2"/>
  <c r="B9397" i="2"/>
  <c r="A9397" i="2"/>
  <c r="D9396" i="2"/>
  <c r="B9396" i="2"/>
  <c r="A9396" i="2"/>
  <c r="D9395" i="2"/>
  <c r="B9395" i="2"/>
  <c r="A9395" i="2"/>
  <c r="D9394" i="2"/>
  <c r="C9394" i="2"/>
  <c r="B9394" i="2"/>
  <c r="A9394" i="2"/>
  <c r="D9393" i="2"/>
  <c r="C9393" i="2"/>
  <c r="B9393" i="2"/>
  <c r="A9393" i="2"/>
  <c r="D9392" i="2"/>
  <c r="C9392" i="2"/>
  <c r="B9392" i="2"/>
  <c r="A9392" i="2"/>
  <c r="D9391" i="2"/>
  <c r="B9391" i="2"/>
  <c r="A9391" i="2"/>
  <c r="D9390" i="2"/>
  <c r="C9390" i="2"/>
  <c r="B9390" i="2"/>
  <c r="A9390" i="2"/>
  <c r="D9389" i="2"/>
  <c r="C9389" i="2"/>
  <c r="B9389" i="2"/>
  <c r="A9389" i="2"/>
  <c r="D9388" i="2"/>
  <c r="C9388" i="2"/>
  <c r="B9388" i="2"/>
  <c r="A9388" i="2"/>
  <c r="D9387" i="2"/>
  <c r="C9387" i="2"/>
  <c r="B9387" i="2"/>
  <c r="A9387" i="2"/>
  <c r="D9386" i="2"/>
  <c r="B9386" i="2"/>
  <c r="A9386" i="2"/>
  <c r="D9385" i="2"/>
  <c r="B9385" i="2"/>
  <c r="A9385" i="2"/>
  <c r="D9384" i="2"/>
  <c r="C9384" i="2"/>
  <c r="B9384" i="2"/>
  <c r="A9384" i="2"/>
  <c r="D9383" i="2"/>
  <c r="C9383" i="2"/>
  <c r="B9383" i="2"/>
  <c r="A9383" i="2"/>
  <c r="D9382" i="2"/>
  <c r="C9382" i="2"/>
  <c r="B9382" i="2"/>
  <c r="A9382" i="2"/>
  <c r="D9381" i="2"/>
  <c r="B9381" i="2"/>
  <c r="A9381" i="2"/>
  <c r="D9380" i="2"/>
  <c r="B9380" i="2"/>
  <c r="A9380" i="2"/>
  <c r="D9379" i="2"/>
  <c r="C9379" i="2"/>
  <c r="B9379" i="2"/>
  <c r="A9379" i="2"/>
  <c r="D9378" i="2"/>
  <c r="C9378" i="2"/>
  <c r="B9378" i="2"/>
  <c r="A9378" i="2"/>
  <c r="D9377" i="2"/>
  <c r="C9377" i="2"/>
  <c r="B9377" i="2"/>
  <c r="A9377" i="2"/>
  <c r="D9376" i="2"/>
  <c r="C9376" i="2"/>
  <c r="B9376" i="2"/>
  <c r="A9376" i="2"/>
  <c r="D9375" i="2"/>
  <c r="C9375" i="2"/>
  <c r="B9375" i="2"/>
  <c r="A9375" i="2"/>
  <c r="D9374" i="2"/>
  <c r="C9374" i="2"/>
  <c r="B9374" i="2"/>
  <c r="A9374" i="2"/>
  <c r="D9373" i="2"/>
  <c r="C9373" i="2"/>
  <c r="B9373" i="2"/>
  <c r="A9373" i="2"/>
  <c r="D9372" i="2"/>
  <c r="C9372" i="2"/>
  <c r="B9372" i="2"/>
  <c r="A9372" i="2"/>
  <c r="D9371" i="2"/>
  <c r="C9371" i="2"/>
  <c r="B9371" i="2"/>
  <c r="A9371" i="2"/>
  <c r="D9370" i="2"/>
  <c r="C9370" i="2"/>
  <c r="B9370" i="2"/>
  <c r="A9370" i="2"/>
  <c r="D9369" i="2"/>
  <c r="C9369" i="2"/>
  <c r="B9369" i="2"/>
  <c r="A9369" i="2"/>
  <c r="D9368" i="2"/>
  <c r="C9368" i="2"/>
  <c r="B9368" i="2"/>
  <c r="A9368" i="2"/>
  <c r="D9367" i="2"/>
  <c r="C9367" i="2"/>
  <c r="B9367" i="2"/>
  <c r="A9367" i="2"/>
  <c r="D9366" i="2"/>
  <c r="C9366" i="2"/>
  <c r="B9366" i="2"/>
  <c r="A9366" i="2"/>
  <c r="D9365" i="2"/>
  <c r="C9365" i="2"/>
  <c r="B9365" i="2"/>
  <c r="A9365" i="2"/>
  <c r="D9364" i="2"/>
  <c r="C9364" i="2"/>
  <c r="B9364" i="2"/>
  <c r="A9364" i="2"/>
  <c r="D9363" i="2"/>
  <c r="C9363" i="2"/>
  <c r="B9363" i="2"/>
  <c r="A9363" i="2"/>
  <c r="D9362" i="2"/>
  <c r="C9362" i="2"/>
  <c r="B9362" i="2"/>
  <c r="A9362" i="2"/>
  <c r="D9361" i="2"/>
  <c r="B9361" i="2"/>
  <c r="A9361" i="2"/>
  <c r="D9360" i="2"/>
  <c r="B9360" i="2"/>
  <c r="A9360" i="2"/>
  <c r="D9359" i="2"/>
  <c r="C9359" i="2"/>
  <c r="B9359" i="2"/>
  <c r="A9359" i="2"/>
  <c r="D9358" i="2"/>
  <c r="C9358" i="2"/>
  <c r="B9358" i="2"/>
  <c r="A9358" i="2"/>
  <c r="D9357" i="2"/>
  <c r="C9357" i="2"/>
  <c r="B9357" i="2"/>
  <c r="A9357" i="2"/>
  <c r="D9356" i="2"/>
  <c r="C9356" i="2"/>
  <c r="B9356" i="2"/>
  <c r="A9356" i="2"/>
  <c r="D9355" i="2"/>
  <c r="C9355" i="2"/>
  <c r="B9355" i="2"/>
  <c r="A9355" i="2"/>
  <c r="D9354" i="2"/>
  <c r="C9354" i="2"/>
  <c r="B9354" i="2"/>
  <c r="A9354" i="2"/>
  <c r="D9353" i="2"/>
  <c r="C9353" i="2"/>
  <c r="B9353" i="2"/>
  <c r="A9353" i="2"/>
  <c r="D9352" i="2"/>
  <c r="C9352" i="2"/>
  <c r="B9352" i="2"/>
  <c r="A9352" i="2"/>
  <c r="D9351" i="2"/>
  <c r="C9351" i="2"/>
  <c r="B9351" i="2"/>
  <c r="A9351" i="2"/>
  <c r="D9350" i="2"/>
  <c r="C9350" i="2"/>
  <c r="B9350" i="2"/>
  <c r="A9350" i="2"/>
  <c r="D9349" i="2"/>
  <c r="C9349" i="2"/>
  <c r="B9349" i="2"/>
  <c r="A9349" i="2"/>
  <c r="D9348" i="2"/>
  <c r="C9348" i="2"/>
  <c r="B9348" i="2"/>
  <c r="A9348" i="2"/>
  <c r="D9347" i="2"/>
  <c r="C9347" i="2"/>
  <c r="B9347" i="2"/>
  <c r="A9347" i="2"/>
  <c r="D9346" i="2"/>
  <c r="C9346" i="2"/>
  <c r="B9346" i="2"/>
  <c r="A9346" i="2"/>
  <c r="D9345" i="2"/>
  <c r="C9345" i="2"/>
  <c r="B9345" i="2"/>
  <c r="A9345" i="2"/>
  <c r="D9344" i="2"/>
  <c r="C9344" i="2"/>
  <c r="B9344" i="2"/>
  <c r="A9344" i="2"/>
  <c r="D9343" i="2"/>
  <c r="C9343" i="2"/>
  <c r="B9343" i="2"/>
  <c r="A9343" i="2"/>
  <c r="D9342" i="2"/>
  <c r="C9342" i="2"/>
  <c r="B9342" i="2"/>
  <c r="A9342" i="2"/>
  <c r="D9341" i="2"/>
  <c r="C9341" i="2"/>
  <c r="B9341" i="2"/>
  <c r="A9341" i="2"/>
  <c r="D9340" i="2"/>
  <c r="C9340" i="2"/>
  <c r="B9340" i="2"/>
  <c r="A9340" i="2"/>
  <c r="D9339" i="2"/>
  <c r="C9339" i="2"/>
  <c r="B9339" i="2"/>
  <c r="A9339" i="2"/>
  <c r="D9338" i="2"/>
  <c r="C9338" i="2"/>
  <c r="B9338" i="2"/>
  <c r="A9338" i="2"/>
  <c r="D9337" i="2"/>
  <c r="C9337" i="2"/>
  <c r="B9337" i="2"/>
  <c r="A9337" i="2"/>
  <c r="D9336" i="2"/>
  <c r="C9336" i="2"/>
  <c r="B9336" i="2"/>
  <c r="A9336" i="2"/>
  <c r="D9335" i="2"/>
  <c r="C9335" i="2"/>
  <c r="B9335" i="2"/>
  <c r="A9335" i="2"/>
  <c r="D9334" i="2"/>
  <c r="C9334" i="2"/>
  <c r="B9334" i="2"/>
  <c r="A9334" i="2"/>
  <c r="D9333" i="2"/>
  <c r="C9333" i="2"/>
  <c r="B9333" i="2"/>
  <c r="A9333" i="2"/>
  <c r="D9332" i="2"/>
  <c r="C9332" i="2"/>
  <c r="B9332" i="2"/>
  <c r="A9332" i="2"/>
  <c r="D9331" i="2"/>
  <c r="C9331" i="2"/>
  <c r="B9331" i="2"/>
  <c r="A9331" i="2"/>
  <c r="D9330" i="2"/>
  <c r="C9330" i="2"/>
  <c r="B9330" i="2"/>
  <c r="A9330" i="2"/>
  <c r="D9329" i="2"/>
  <c r="C9329" i="2"/>
  <c r="B9329" i="2"/>
  <c r="A9329" i="2"/>
  <c r="D9328" i="2"/>
  <c r="C9328" i="2"/>
  <c r="B9328" i="2"/>
  <c r="A9328" i="2"/>
  <c r="D9327" i="2"/>
  <c r="C9327" i="2"/>
  <c r="B9327" i="2"/>
  <c r="A9327" i="2"/>
  <c r="D9326" i="2"/>
  <c r="C9326" i="2"/>
  <c r="B9326" i="2"/>
  <c r="A9326" i="2"/>
  <c r="D9325" i="2"/>
  <c r="C9325" i="2"/>
  <c r="B9325" i="2"/>
  <c r="A9325" i="2"/>
  <c r="D9324" i="2"/>
  <c r="C9324" i="2"/>
  <c r="B9324" i="2"/>
  <c r="A9324" i="2"/>
  <c r="D9323" i="2"/>
  <c r="C9323" i="2"/>
  <c r="B9323" i="2"/>
  <c r="A9323" i="2"/>
  <c r="D9322" i="2"/>
  <c r="C9322" i="2"/>
  <c r="B9322" i="2"/>
  <c r="A9322" i="2"/>
  <c r="D9321" i="2"/>
  <c r="C9321" i="2"/>
  <c r="B9321" i="2"/>
  <c r="A9321" i="2"/>
  <c r="D9320" i="2"/>
  <c r="C9320" i="2"/>
  <c r="B9320" i="2"/>
  <c r="A9320" i="2"/>
  <c r="D9319" i="2"/>
  <c r="C9319" i="2"/>
  <c r="B9319" i="2"/>
  <c r="A9319" i="2"/>
  <c r="D9318" i="2"/>
  <c r="C9318" i="2"/>
  <c r="B9318" i="2"/>
  <c r="A9318" i="2"/>
  <c r="D9317" i="2"/>
  <c r="C9317" i="2"/>
  <c r="B9317" i="2"/>
  <c r="A9317" i="2"/>
  <c r="D9316" i="2"/>
  <c r="C9316" i="2"/>
  <c r="B9316" i="2"/>
  <c r="A9316" i="2"/>
  <c r="D9315" i="2"/>
  <c r="C9315" i="2"/>
  <c r="B9315" i="2"/>
  <c r="A9315" i="2"/>
  <c r="D9314" i="2"/>
  <c r="C9314" i="2"/>
  <c r="B9314" i="2"/>
  <c r="A9314" i="2"/>
  <c r="D9313" i="2"/>
  <c r="C9313" i="2"/>
  <c r="B9313" i="2"/>
  <c r="A9313" i="2"/>
  <c r="D9312" i="2"/>
  <c r="C9312" i="2"/>
  <c r="B9312" i="2"/>
  <c r="A9312" i="2"/>
  <c r="D9311" i="2"/>
  <c r="C9311" i="2"/>
  <c r="B9311" i="2"/>
  <c r="A9311" i="2"/>
  <c r="D9310" i="2"/>
  <c r="C9310" i="2"/>
  <c r="B9310" i="2"/>
  <c r="A9310" i="2"/>
  <c r="D9309" i="2"/>
  <c r="C9309" i="2"/>
  <c r="B9309" i="2"/>
  <c r="A9309" i="2"/>
  <c r="D9308" i="2"/>
  <c r="C9308" i="2"/>
  <c r="B9308" i="2"/>
  <c r="A9308" i="2"/>
  <c r="D9307" i="2"/>
  <c r="C9307" i="2"/>
  <c r="B9307" i="2"/>
  <c r="A9307" i="2"/>
  <c r="D9306" i="2"/>
  <c r="C9306" i="2"/>
  <c r="B9306" i="2"/>
  <c r="A9306" i="2"/>
  <c r="D9305" i="2"/>
  <c r="C9305" i="2"/>
  <c r="B9305" i="2"/>
  <c r="A9305" i="2"/>
  <c r="D9304" i="2"/>
  <c r="C9304" i="2"/>
  <c r="B9304" i="2"/>
  <c r="A9304" i="2"/>
  <c r="D9303" i="2"/>
  <c r="C9303" i="2"/>
  <c r="B9303" i="2"/>
  <c r="A9303" i="2"/>
  <c r="D9302" i="2"/>
  <c r="C9302" i="2"/>
  <c r="B9302" i="2"/>
  <c r="A9302" i="2"/>
  <c r="D9301" i="2"/>
  <c r="C9301" i="2"/>
  <c r="B9301" i="2"/>
  <c r="A9301" i="2"/>
  <c r="D9300" i="2"/>
  <c r="C9300" i="2"/>
  <c r="B9300" i="2"/>
  <c r="A9300" i="2"/>
  <c r="D9299" i="2"/>
  <c r="C9299" i="2"/>
  <c r="B9299" i="2"/>
  <c r="A9299" i="2"/>
  <c r="D9298" i="2"/>
  <c r="C9298" i="2"/>
  <c r="B9298" i="2"/>
  <c r="A9298" i="2"/>
  <c r="D9297" i="2"/>
  <c r="C9297" i="2"/>
  <c r="B9297" i="2"/>
  <c r="A9297" i="2"/>
  <c r="D9296" i="2"/>
  <c r="C9296" i="2"/>
  <c r="B9296" i="2"/>
  <c r="A9296" i="2"/>
  <c r="D9295" i="2"/>
  <c r="C9295" i="2"/>
  <c r="B9295" i="2"/>
  <c r="A9295" i="2"/>
  <c r="D9294" i="2"/>
  <c r="C9294" i="2"/>
  <c r="B9294" i="2"/>
  <c r="A9294" i="2"/>
  <c r="D9293" i="2"/>
  <c r="C9293" i="2"/>
  <c r="B9293" i="2"/>
  <c r="A9293" i="2"/>
  <c r="D9292" i="2"/>
  <c r="C9292" i="2"/>
  <c r="B9292" i="2"/>
  <c r="A9292" i="2"/>
  <c r="D9291" i="2"/>
  <c r="C9291" i="2"/>
  <c r="B9291" i="2"/>
  <c r="A9291" i="2"/>
  <c r="D9290" i="2"/>
  <c r="C9290" i="2"/>
  <c r="B9290" i="2"/>
  <c r="A9290" i="2"/>
  <c r="D9289" i="2"/>
  <c r="C9289" i="2"/>
  <c r="B9289" i="2"/>
  <c r="A9289" i="2"/>
  <c r="D9288" i="2"/>
  <c r="C9288" i="2"/>
  <c r="B9288" i="2"/>
  <c r="A9288" i="2"/>
  <c r="D9287" i="2"/>
  <c r="C9287" i="2"/>
  <c r="B9287" i="2"/>
  <c r="A9287" i="2"/>
  <c r="D9286" i="2"/>
  <c r="C9286" i="2"/>
  <c r="B9286" i="2"/>
  <c r="A9286" i="2"/>
  <c r="D9285" i="2"/>
  <c r="C9285" i="2"/>
  <c r="B9285" i="2"/>
  <c r="A9285" i="2"/>
  <c r="D9284" i="2"/>
  <c r="C9284" i="2"/>
  <c r="B9284" i="2"/>
  <c r="A9284" i="2"/>
  <c r="D9283" i="2"/>
  <c r="C9283" i="2"/>
  <c r="B9283" i="2"/>
  <c r="A9283" i="2"/>
  <c r="D9282" i="2"/>
  <c r="C9282" i="2"/>
  <c r="B9282" i="2"/>
  <c r="A9282" i="2"/>
  <c r="D9281" i="2"/>
  <c r="C9281" i="2"/>
  <c r="B9281" i="2"/>
  <c r="A9281" i="2"/>
  <c r="D9280" i="2"/>
  <c r="C9280" i="2"/>
  <c r="B9280" i="2"/>
  <c r="A9280" i="2"/>
  <c r="D9279" i="2"/>
  <c r="C9279" i="2"/>
  <c r="B9279" i="2"/>
  <c r="A9279" i="2"/>
  <c r="D9278" i="2"/>
  <c r="C9278" i="2"/>
  <c r="B9278" i="2"/>
  <c r="A9278" i="2"/>
  <c r="D9277" i="2"/>
  <c r="C9277" i="2"/>
  <c r="B9277" i="2"/>
  <c r="A9277" i="2"/>
  <c r="D9276" i="2"/>
  <c r="C9276" i="2"/>
  <c r="B9276" i="2"/>
  <c r="A9276" i="2"/>
  <c r="D9275" i="2"/>
  <c r="C9275" i="2"/>
  <c r="B9275" i="2"/>
  <c r="A9275" i="2"/>
  <c r="D9274" i="2"/>
  <c r="C9274" i="2"/>
  <c r="B9274" i="2"/>
  <c r="A9274" i="2"/>
  <c r="D9273" i="2"/>
  <c r="C9273" i="2"/>
  <c r="B9273" i="2"/>
  <c r="A9273" i="2"/>
  <c r="D9272" i="2"/>
  <c r="C9272" i="2"/>
  <c r="B9272" i="2"/>
  <c r="A9272" i="2"/>
  <c r="D9271" i="2"/>
  <c r="C9271" i="2"/>
  <c r="B9271" i="2"/>
  <c r="A9271" i="2"/>
  <c r="D9270" i="2"/>
  <c r="C9270" i="2"/>
  <c r="B9270" i="2"/>
  <c r="A9270" i="2"/>
  <c r="D9269" i="2"/>
  <c r="C9269" i="2"/>
  <c r="B9269" i="2"/>
  <c r="A9269" i="2"/>
  <c r="D9268" i="2"/>
  <c r="C9268" i="2"/>
  <c r="B9268" i="2"/>
  <c r="A9268" i="2"/>
  <c r="D9267" i="2"/>
  <c r="C9267" i="2"/>
  <c r="B9267" i="2"/>
  <c r="A9267" i="2"/>
  <c r="D9266" i="2"/>
  <c r="C9266" i="2"/>
  <c r="B9266" i="2"/>
  <c r="A9266" i="2"/>
  <c r="D9265" i="2"/>
  <c r="C9265" i="2"/>
  <c r="B9265" i="2"/>
  <c r="A9265" i="2"/>
  <c r="D9264" i="2"/>
  <c r="C9264" i="2"/>
  <c r="B9264" i="2"/>
  <c r="A9264" i="2"/>
  <c r="D9263" i="2"/>
  <c r="C9263" i="2"/>
  <c r="B9263" i="2"/>
  <c r="A9263" i="2"/>
  <c r="D9262" i="2"/>
  <c r="C9262" i="2"/>
  <c r="B9262" i="2"/>
  <c r="A9262" i="2"/>
  <c r="D9261" i="2"/>
  <c r="C9261" i="2"/>
  <c r="B9261" i="2"/>
  <c r="A9261" i="2"/>
  <c r="D9260" i="2"/>
  <c r="C9260" i="2"/>
  <c r="B9260" i="2"/>
  <c r="A9260" i="2"/>
  <c r="D9259" i="2"/>
  <c r="C9259" i="2"/>
  <c r="B9259" i="2"/>
  <c r="A9259" i="2"/>
  <c r="D9258" i="2"/>
  <c r="C9258" i="2"/>
  <c r="B9258" i="2"/>
  <c r="A9258" i="2"/>
  <c r="D9257" i="2"/>
  <c r="C9257" i="2"/>
  <c r="B9257" i="2"/>
  <c r="A9257" i="2"/>
  <c r="D9256" i="2"/>
  <c r="C9256" i="2"/>
  <c r="B9256" i="2"/>
  <c r="A9256" i="2"/>
  <c r="D9255" i="2"/>
  <c r="C9255" i="2"/>
  <c r="B9255" i="2"/>
  <c r="A9255" i="2"/>
  <c r="D9254" i="2"/>
  <c r="C9254" i="2"/>
  <c r="B9254" i="2"/>
  <c r="A9254" i="2"/>
  <c r="D9253" i="2"/>
  <c r="C9253" i="2"/>
  <c r="B9253" i="2"/>
  <c r="A9253" i="2"/>
  <c r="D9252" i="2"/>
  <c r="C9252" i="2"/>
  <c r="B9252" i="2"/>
  <c r="A9252" i="2"/>
  <c r="D9251" i="2"/>
  <c r="C9251" i="2"/>
  <c r="B9251" i="2"/>
  <c r="A9251" i="2"/>
  <c r="D9250" i="2"/>
  <c r="C9250" i="2"/>
  <c r="B9250" i="2"/>
  <c r="A9250" i="2"/>
  <c r="D9249" i="2"/>
  <c r="C9249" i="2"/>
  <c r="B9249" i="2"/>
  <c r="A9249" i="2"/>
  <c r="D9248" i="2"/>
  <c r="C9248" i="2"/>
  <c r="B9248" i="2"/>
  <c r="A9248" i="2"/>
  <c r="D9247" i="2"/>
  <c r="C9247" i="2"/>
  <c r="B9247" i="2"/>
  <c r="A9247" i="2"/>
  <c r="D9246" i="2"/>
  <c r="C9246" i="2"/>
  <c r="B9246" i="2"/>
  <c r="A9246" i="2"/>
  <c r="D9245" i="2"/>
  <c r="C9245" i="2"/>
  <c r="B9245" i="2"/>
  <c r="A9245" i="2"/>
  <c r="D9244" i="2"/>
  <c r="C9244" i="2"/>
  <c r="B9244" i="2"/>
  <c r="A9244" i="2"/>
  <c r="D9243" i="2"/>
  <c r="C9243" i="2"/>
  <c r="B9243" i="2"/>
  <c r="A9243" i="2"/>
  <c r="D9242" i="2"/>
  <c r="C9242" i="2"/>
  <c r="B9242" i="2"/>
  <c r="A9242" i="2"/>
  <c r="D9241" i="2"/>
  <c r="C9241" i="2"/>
  <c r="B9241" i="2"/>
  <c r="A9241" i="2"/>
  <c r="D9240" i="2"/>
  <c r="C9240" i="2"/>
  <c r="B9240" i="2"/>
  <c r="A9240" i="2"/>
  <c r="D9239" i="2"/>
  <c r="C9239" i="2"/>
  <c r="B9239" i="2"/>
  <c r="A9239" i="2"/>
  <c r="D9238" i="2"/>
  <c r="C9238" i="2"/>
  <c r="B9238" i="2"/>
  <c r="A9238" i="2"/>
  <c r="D9237" i="2"/>
  <c r="C9237" i="2"/>
  <c r="B9237" i="2"/>
  <c r="A9237" i="2"/>
  <c r="D9236" i="2"/>
  <c r="C9236" i="2"/>
  <c r="B9236" i="2"/>
  <c r="A9236" i="2"/>
  <c r="D9235" i="2"/>
  <c r="C9235" i="2"/>
  <c r="B9235" i="2"/>
  <c r="A9235" i="2"/>
  <c r="D9234" i="2"/>
  <c r="C9234" i="2"/>
  <c r="B9234" i="2"/>
  <c r="A9234" i="2"/>
  <c r="D9233" i="2"/>
  <c r="C9233" i="2"/>
  <c r="B9233" i="2"/>
  <c r="A9233" i="2"/>
  <c r="D9232" i="2"/>
  <c r="C9232" i="2"/>
  <c r="B9232" i="2"/>
  <c r="A9232" i="2"/>
  <c r="D9231" i="2"/>
  <c r="C9231" i="2"/>
  <c r="B9231" i="2"/>
  <c r="A9231" i="2"/>
  <c r="D9230" i="2"/>
  <c r="C9230" i="2"/>
  <c r="B9230" i="2"/>
  <c r="A9230" i="2"/>
  <c r="D9229" i="2"/>
  <c r="C9229" i="2"/>
  <c r="B9229" i="2"/>
  <c r="A9229" i="2"/>
  <c r="D9228" i="2"/>
  <c r="C9228" i="2"/>
  <c r="B9228" i="2"/>
  <c r="A9228" i="2"/>
  <c r="D9227" i="2"/>
  <c r="C9227" i="2"/>
  <c r="B9227" i="2"/>
  <c r="A9227" i="2"/>
  <c r="D9226" i="2"/>
  <c r="C9226" i="2"/>
  <c r="B9226" i="2"/>
  <c r="A9226" i="2"/>
  <c r="D9225" i="2"/>
  <c r="C9225" i="2"/>
  <c r="B9225" i="2"/>
  <c r="A9225" i="2"/>
  <c r="D9224" i="2"/>
  <c r="C9224" i="2"/>
  <c r="B9224" i="2"/>
  <c r="A9224" i="2"/>
  <c r="D9223" i="2"/>
  <c r="C9223" i="2"/>
  <c r="B9223" i="2"/>
  <c r="A9223" i="2"/>
  <c r="D9222" i="2"/>
  <c r="C9222" i="2"/>
  <c r="B9222" i="2"/>
  <c r="A9222" i="2"/>
  <c r="D9221" i="2"/>
  <c r="C9221" i="2"/>
  <c r="B9221" i="2"/>
  <c r="A9221" i="2"/>
  <c r="D9220" i="2"/>
  <c r="C9220" i="2"/>
  <c r="B9220" i="2"/>
  <c r="A9220" i="2"/>
  <c r="D9219" i="2"/>
  <c r="C9219" i="2"/>
  <c r="B9219" i="2"/>
  <c r="A9219" i="2"/>
  <c r="D9218" i="2"/>
  <c r="C9218" i="2"/>
  <c r="B9218" i="2"/>
  <c r="A9218" i="2"/>
  <c r="D9217" i="2"/>
  <c r="C9217" i="2"/>
  <c r="B9217" i="2"/>
  <c r="A9217" i="2"/>
  <c r="D9216" i="2"/>
  <c r="C9216" i="2"/>
  <c r="B9216" i="2"/>
  <c r="A9216" i="2"/>
  <c r="D9215" i="2"/>
  <c r="C9215" i="2"/>
  <c r="B9215" i="2"/>
  <c r="A9215" i="2"/>
  <c r="D9214" i="2"/>
  <c r="C9214" i="2"/>
  <c r="B9214" i="2"/>
  <c r="A9214" i="2"/>
  <c r="D9213" i="2"/>
  <c r="C9213" i="2"/>
  <c r="B9213" i="2"/>
  <c r="A9213" i="2"/>
  <c r="D9212" i="2"/>
  <c r="C9212" i="2"/>
  <c r="B9212" i="2"/>
  <c r="A9212" i="2"/>
  <c r="D9211" i="2"/>
  <c r="C9211" i="2"/>
  <c r="B9211" i="2"/>
  <c r="A9211" i="2"/>
  <c r="D9210" i="2"/>
  <c r="C9210" i="2"/>
  <c r="B9210" i="2"/>
  <c r="A9210" i="2"/>
  <c r="D9209" i="2"/>
  <c r="C9209" i="2"/>
  <c r="B9209" i="2"/>
  <c r="A9209" i="2"/>
  <c r="D9208" i="2"/>
  <c r="C9208" i="2"/>
  <c r="B9208" i="2"/>
  <c r="A9208" i="2"/>
  <c r="D9207" i="2"/>
  <c r="C9207" i="2"/>
  <c r="B9207" i="2"/>
  <c r="A9207" i="2"/>
  <c r="D9206" i="2"/>
  <c r="C9206" i="2"/>
  <c r="B9206" i="2"/>
  <c r="A9206" i="2"/>
  <c r="D9205" i="2"/>
  <c r="C9205" i="2"/>
  <c r="B9205" i="2"/>
  <c r="A9205" i="2"/>
  <c r="D9204" i="2"/>
  <c r="C9204" i="2"/>
  <c r="B9204" i="2"/>
  <c r="A9204" i="2"/>
  <c r="D9203" i="2"/>
  <c r="C9203" i="2"/>
  <c r="B9203" i="2"/>
  <c r="A9203" i="2"/>
  <c r="D9202" i="2"/>
  <c r="C9202" i="2"/>
  <c r="B9202" i="2"/>
  <c r="A9202" i="2"/>
  <c r="D9201" i="2"/>
  <c r="C9201" i="2"/>
  <c r="B9201" i="2"/>
  <c r="A9201" i="2"/>
  <c r="D9200" i="2"/>
  <c r="C9200" i="2"/>
  <c r="B9200" i="2"/>
  <c r="A9200" i="2"/>
  <c r="D9199" i="2"/>
  <c r="C9199" i="2"/>
  <c r="B9199" i="2"/>
  <c r="A9199" i="2"/>
  <c r="D9198" i="2"/>
  <c r="C9198" i="2"/>
  <c r="B9198" i="2"/>
  <c r="A9198" i="2"/>
  <c r="D9197" i="2"/>
  <c r="C9197" i="2"/>
  <c r="B9197" i="2"/>
  <c r="A9197" i="2"/>
  <c r="D9196" i="2"/>
  <c r="B9196" i="2"/>
  <c r="A9196" i="2"/>
  <c r="D9195" i="2"/>
  <c r="C9195" i="2"/>
  <c r="B9195" i="2"/>
  <c r="A9195" i="2"/>
  <c r="D9194" i="2"/>
  <c r="B9194" i="2"/>
  <c r="A9194" i="2"/>
  <c r="D9193" i="2"/>
  <c r="C9193" i="2"/>
  <c r="B9193" i="2"/>
  <c r="A9193" i="2"/>
  <c r="D9192" i="2"/>
  <c r="C9192" i="2"/>
  <c r="B9192" i="2"/>
  <c r="A9192" i="2"/>
  <c r="D9191" i="2"/>
  <c r="C9191" i="2"/>
  <c r="B9191" i="2"/>
  <c r="A9191" i="2"/>
  <c r="D9190" i="2"/>
  <c r="C9190" i="2"/>
  <c r="B9190" i="2"/>
  <c r="A9190" i="2"/>
  <c r="D9189" i="2"/>
  <c r="C9189" i="2"/>
  <c r="B9189" i="2"/>
  <c r="A9189" i="2"/>
  <c r="D9188" i="2"/>
  <c r="C9188" i="2"/>
  <c r="B9188" i="2"/>
  <c r="A9188" i="2"/>
  <c r="D9187" i="2"/>
  <c r="C9187" i="2"/>
  <c r="B9187" i="2"/>
  <c r="A9187" i="2"/>
  <c r="D9186" i="2"/>
  <c r="B9186" i="2"/>
  <c r="A9186" i="2"/>
  <c r="D9185" i="2"/>
  <c r="C9185" i="2"/>
  <c r="B9185" i="2"/>
  <c r="A9185" i="2"/>
  <c r="D9184" i="2"/>
  <c r="C9184" i="2"/>
  <c r="B9184" i="2"/>
  <c r="A9184" i="2"/>
  <c r="D9183" i="2"/>
  <c r="C9183" i="2"/>
  <c r="B9183" i="2"/>
  <c r="A9183" i="2"/>
  <c r="D9182" i="2"/>
  <c r="C9182" i="2"/>
  <c r="B9182" i="2"/>
  <c r="A9182" i="2"/>
  <c r="D9181" i="2"/>
  <c r="C9181" i="2"/>
  <c r="B9181" i="2"/>
  <c r="A9181" i="2"/>
  <c r="D9180" i="2"/>
  <c r="C9180" i="2"/>
  <c r="B9180" i="2"/>
  <c r="A9180" i="2"/>
  <c r="D9179" i="2"/>
  <c r="C9179" i="2"/>
  <c r="B9179" i="2"/>
  <c r="A9179" i="2"/>
  <c r="D9178" i="2"/>
  <c r="C9178" i="2"/>
  <c r="B9178" i="2"/>
  <c r="A9178" i="2"/>
  <c r="D9177" i="2"/>
  <c r="C9177" i="2"/>
  <c r="B9177" i="2"/>
  <c r="A9177" i="2"/>
  <c r="D9176" i="2"/>
  <c r="C9176" i="2"/>
  <c r="B9176" i="2"/>
  <c r="A9176" i="2"/>
  <c r="D9175" i="2"/>
  <c r="C9175" i="2"/>
  <c r="B9175" i="2"/>
  <c r="A9175" i="2"/>
  <c r="D9174" i="2"/>
  <c r="C9174" i="2"/>
  <c r="B9174" i="2"/>
  <c r="A9174" i="2"/>
  <c r="D9173" i="2"/>
  <c r="C9173" i="2"/>
  <c r="B9173" i="2"/>
  <c r="A9173" i="2"/>
  <c r="D9172" i="2"/>
  <c r="B9172" i="2"/>
  <c r="A9172" i="2"/>
  <c r="D9171" i="2"/>
  <c r="C9171" i="2"/>
  <c r="B9171" i="2"/>
  <c r="A9171" i="2"/>
  <c r="D9170" i="2"/>
  <c r="B9170" i="2"/>
  <c r="A9170" i="2"/>
  <c r="D9169" i="2"/>
  <c r="B9169" i="2"/>
  <c r="A9169" i="2"/>
  <c r="D9168" i="2"/>
  <c r="C9168" i="2"/>
  <c r="B9168" i="2"/>
  <c r="A9168" i="2"/>
  <c r="D9167" i="2"/>
  <c r="B9167" i="2"/>
  <c r="A9167" i="2"/>
  <c r="D9166" i="2"/>
  <c r="C9166" i="2"/>
  <c r="B9166" i="2"/>
  <c r="A9166" i="2"/>
  <c r="D9165" i="2"/>
  <c r="B9165" i="2"/>
  <c r="A9165" i="2"/>
  <c r="D9164" i="2"/>
  <c r="C9164" i="2"/>
  <c r="B9164" i="2"/>
  <c r="A9164" i="2"/>
  <c r="D9163" i="2"/>
  <c r="B9163" i="2"/>
  <c r="A9163" i="2"/>
  <c r="D9162" i="2"/>
  <c r="C9162" i="2"/>
  <c r="B9162" i="2"/>
  <c r="A9162" i="2"/>
  <c r="D9161" i="2"/>
  <c r="C9161" i="2"/>
  <c r="B9161" i="2"/>
  <c r="A9161" i="2"/>
  <c r="D9160" i="2"/>
  <c r="B9160" i="2"/>
  <c r="A9160" i="2"/>
  <c r="D9159" i="2"/>
  <c r="B9159" i="2"/>
  <c r="A9159" i="2"/>
  <c r="D9158" i="2"/>
  <c r="B9158" i="2"/>
  <c r="A9158" i="2"/>
  <c r="D9157" i="2"/>
  <c r="C9157" i="2"/>
  <c r="B9157" i="2"/>
  <c r="A9157" i="2"/>
  <c r="D9156" i="2"/>
  <c r="C9156" i="2"/>
  <c r="B9156" i="2"/>
  <c r="A9156" i="2"/>
  <c r="D9155" i="2"/>
  <c r="B9155" i="2"/>
  <c r="A9155" i="2"/>
  <c r="D9154" i="2"/>
  <c r="C9154" i="2"/>
  <c r="B9154" i="2"/>
  <c r="A9154" i="2"/>
  <c r="D9153" i="2"/>
  <c r="C9153" i="2"/>
  <c r="B9153" i="2"/>
  <c r="A9153" i="2"/>
  <c r="D9152" i="2"/>
  <c r="B9152" i="2"/>
  <c r="A9152" i="2"/>
  <c r="D9151" i="2"/>
  <c r="C9151" i="2"/>
  <c r="B9151" i="2"/>
  <c r="A9151" i="2"/>
  <c r="D9150" i="2"/>
  <c r="B9150" i="2"/>
  <c r="A9150" i="2"/>
  <c r="D9149" i="2"/>
  <c r="C9149" i="2"/>
  <c r="B9149" i="2"/>
  <c r="A9149" i="2"/>
  <c r="D9148" i="2"/>
  <c r="B9148" i="2"/>
  <c r="A9148" i="2"/>
  <c r="D9147" i="2"/>
  <c r="B9147" i="2"/>
  <c r="A9147" i="2"/>
  <c r="D9146" i="2"/>
  <c r="C9146" i="2"/>
  <c r="B9146" i="2"/>
  <c r="A9146" i="2"/>
  <c r="D9145" i="2"/>
  <c r="C9145" i="2"/>
  <c r="B9145" i="2"/>
  <c r="A9145" i="2"/>
  <c r="D9144" i="2"/>
  <c r="C9144" i="2"/>
  <c r="B9144" i="2"/>
  <c r="A9144" i="2"/>
  <c r="D9143" i="2"/>
  <c r="C9143" i="2"/>
  <c r="B9143" i="2"/>
  <c r="A9143" i="2"/>
  <c r="D9142" i="2"/>
  <c r="C9142" i="2"/>
  <c r="B9142" i="2"/>
  <c r="A9142" i="2"/>
  <c r="D9141" i="2"/>
  <c r="C9141" i="2"/>
  <c r="B9141" i="2"/>
  <c r="A9141" i="2"/>
  <c r="D9140" i="2"/>
  <c r="C9140" i="2"/>
  <c r="B9140" i="2"/>
  <c r="A9140" i="2"/>
  <c r="D9139" i="2"/>
  <c r="B9139" i="2"/>
  <c r="A9139" i="2"/>
  <c r="D9138" i="2"/>
  <c r="B9138" i="2"/>
  <c r="A9138" i="2"/>
  <c r="D9137" i="2"/>
  <c r="B9137" i="2"/>
  <c r="A9137" i="2"/>
  <c r="D9136" i="2"/>
  <c r="C9136" i="2"/>
  <c r="B9136" i="2"/>
  <c r="A9136" i="2"/>
  <c r="D9135" i="2"/>
  <c r="B9135" i="2"/>
  <c r="A9135" i="2"/>
  <c r="D9134" i="2"/>
  <c r="B9134" i="2"/>
  <c r="A9134" i="2"/>
  <c r="D9133" i="2"/>
  <c r="C9133" i="2"/>
  <c r="B9133" i="2"/>
  <c r="A9133" i="2"/>
  <c r="D9132" i="2"/>
  <c r="B9132" i="2"/>
  <c r="A9132" i="2"/>
  <c r="D9131" i="2"/>
  <c r="C9131" i="2"/>
  <c r="B9131" i="2"/>
  <c r="A9131" i="2"/>
  <c r="D9130" i="2"/>
  <c r="C9130" i="2"/>
  <c r="B9130" i="2"/>
  <c r="A9130" i="2"/>
  <c r="D9129" i="2"/>
  <c r="C9129" i="2"/>
  <c r="B9129" i="2"/>
  <c r="A9129" i="2"/>
  <c r="D9128" i="2"/>
  <c r="B9128" i="2"/>
  <c r="A9128" i="2"/>
  <c r="D9127" i="2"/>
  <c r="C9127" i="2"/>
  <c r="B9127" i="2"/>
  <c r="A9127" i="2"/>
  <c r="D9126" i="2"/>
  <c r="B9126" i="2"/>
  <c r="A9126" i="2"/>
  <c r="D9125" i="2"/>
  <c r="C9125" i="2"/>
  <c r="B9125" i="2"/>
  <c r="A9125" i="2"/>
  <c r="D9124" i="2"/>
  <c r="C9124" i="2"/>
  <c r="B9124" i="2"/>
  <c r="A9124" i="2"/>
  <c r="D9123" i="2"/>
  <c r="C9123" i="2"/>
  <c r="B9123" i="2"/>
  <c r="A9123" i="2"/>
  <c r="D9122" i="2"/>
  <c r="C9122" i="2"/>
  <c r="B9122" i="2"/>
  <c r="A9122" i="2"/>
  <c r="D9121" i="2"/>
  <c r="C9121" i="2"/>
  <c r="B9121" i="2"/>
  <c r="A9121" i="2"/>
  <c r="D9120" i="2"/>
  <c r="C9120" i="2"/>
  <c r="B9120" i="2"/>
  <c r="A9120" i="2"/>
  <c r="D9119" i="2"/>
  <c r="C9119" i="2"/>
  <c r="B9119" i="2"/>
  <c r="A9119" i="2"/>
  <c r="D9118" i="2"/>
  <c r="C9118" i="2"/>
  <c r="B9118" i="2"/>
  <c r="A9118" i="2"/>
  <c r="D9117" i="2"/>
  <c r="C9117" i="2"/>
  <c r="B9117" i="2"/>
  <c r="A9117" i="2"/>
  <c r="D9116" i="2"/>
  <c r="C9116" i="2"/>
  <c r="B9116" i="2"/>
  <c r="A9116" i="2"/>
  <c r="D9115" i="2"/>
  <c r="C9115" i="2"/>
  <c r="B9115" i="2"/>
  <c r="A9115" i="2"/>
  <c r="D9114" i="2"/>
  <c r="C9114" i="2"/>
  <c r="B9114" i="2"/>
  <c r="A9114" i="2"/>
  <c r="D9113" i="2"/>
  <c r="C9113" i="2"/>
  <c r="B9113" i="2"/>
  <c r="A9113" i="2"/>
  <c r="D9112" i="2"/>
  <c r="C9112" i="2"/>
  <c r="B9112" i="2"/>
  <c r="A9112" i="2"/>
  <c r="D9111" i="2"/>
  <c r="C9111" i="2"/>
  <c r="B9111" i="2"/>
  <c r="A9111" i="2"/>
  <c r="D9110" i="2"/>
  <c r="C9110" i="2"/>
  <c r="B9110" i="2"/>
  <c r="A9110" i="2"/>
  <c r="D9109" i="2"/>
  <c r="C9109" i="2"/>
  <c r="B9109" i="2"/>
  <c r="A9109" i="2"/>
  <c r="D9108" i="2"/>
  <c r="C9108" i="2"/>
  <c r="B9108" i="2"/>
  <c r="A9108" i="2"/>
  <c r="D9107" i="2"/>
  <c r="C9107" i="2"/>
  <c r="B9107" i="2"/>
  <c r="A9107" i="2"/>
  <c r="D9106" i="2"/>
  <c r="C9106" i="2"/>
  <c r="B9106" i="2"/>
  <c r="A9106" i="2"/>
  <c r="D9105" i="2"/>
  <c r="C9105" i="2"/>
  <c r="B9105" i="2"/>
  <c r="A9105" i="2"/>
  <c r="D9104" i="2"/>
  <c r="C9104" i="2"/>
  <c r="B9104" i="2"/>
  <c r="A9104" i="2"/>
  <c r="D9103" i="2"/>
  <c r="B9103" i="2"/>
  <c r="A9103" i="2"/>
  <c r="D9102" i="2"/>
  <c r="C9102" i="2"/>
  <c r="B9102" i="2"/>
  <c r="A9102" i="2"/>
  <c r="D9101" i="2"/>
  <c r="C9101" i="2"/>
  <c r="B9101" i="2"/>
  <c r="A9101" i="2"/>
  <c r="D9100" i="2"/>
  <c r="C9100" i="2"/>
  <c r="B9100" i="2"/>
  <c r="A9100" i="2"/>
  <c r="D9099" i="2"/>
  <c r="C9099" i="2"/>
  <c r="B9099" i="2"/>
  <c r="A9099" i="2"/>
  <c r="D9098" i="2"/>
  <c r="C9098" i="2"/>
  <c r="B9098" i="2"/>
  <c r="A9098" i="2"/>
  <c r="D9097" i="2"/>
  <c r="C9097" i="2"/>
  <c r="B9097" i="2"/>
  <c r="A9097" i="2"/>
  <c r="D9096" i="2"/>
  <c r="C9096" i="2"/>
  <c r="B9096" i="2"/>
  <c r="A9096" i="2"/>
  <c r="D9095" i="2"/>
  <c r="C9095" i="2"/>
  <c r="B9095" i="2"/>
  <c r="A9095" i="2"/>
  <c r="D9094" i="2"/>
  <c r="C9094" i="2"/>
  <c r="B9094" i="2"/>
  <c r="A9094" i="2"/>
  <c r="D9093" i="2"/>
  <c r="C9093" i="2"/>
  <c r="B9093" i="2"/>
  <c r="A9093" i="2"/>
  <c r="D9092" i="2"/>
  <c r="C9092" i="2"/>
  <c r="B9092" i="2"/>
  <c r="A9092" i="2"/>
  <c r="D9091" i="2"/>
  <c r="C9091" i="2"/>
  <c r="B9091" i="2"/>
  <c r="A9091" i="2"/>
  <c r="D9090" i="2"/>
  <c r="C9090" i="2"/>
  <c r="B9090" i="2"/>
  <c r="A9090" i="2"/>
  <c r="D9089" i="2"/>
  <c r="C9089" i="2"/>
  <c r="B9089" i="2"/>
  <c r="A9089" i="2"/>
  <c r="D9088" i="2"/>
  <c r="C9088" i="2"/>
  <c r="B9088" i="2"/>
  <c r="A9088" i="2"/>
  <c r="D9087" i="2"/>
  <c r="C9087" i="2"/>
  <c r="B9087" i="2"/>
  <c r="A9087" i="2"/>
  <c r="D9086" i="2"/>
  <c r="C9086" i="2"/>
  <c r="B9086" i="2"/>
  <c r="A9086" i="2"/>
  <c r="D9085" i="2"/>
  <c r="C9085" i="2"/>
  <c r="B9085" i="2"/>
  <c r="A9085" i="2"/>
  <c r="D9084" i="2"/>
  <c r="C9084" i="2"/>
  <c r="B9084" i="2"/>
  <c r="A9084" i="2"/>
  <c r="D9083" i="2"/>
  <c r="B9083" i="2"/>
  <c r="A9083" i="2"/>
  <c r="D9082" i="2"/>
  <c r="B9082" i="2"/>
  <c r="A9082" i="2"/>
  <c r="D9081" i="2"/>
  <c r="B9081" i="2"/>
  <c r="A9081" i="2"/>
  <c r="D9080" i="2"/>
  <c r="C9080" i="2"/>
  <c r="B9080" i="2"/>
  <c r="A9080" i="2"/>
  <c r="D9079" i="2"/>
  <c r="C9079" i="2"/>
  <c r="B9079" i="2"/>
  <c r="A9079" i="2"/>
  <c r="D9078" i="2"/>
  <c r="C9078" i="2"/>
  <c r="B9078" i="2"/>
  <c r="A9078" i="2"/>
  <c r="D9077" i="2"/>
  <c r="C9077" i="2"/>
  <c r="B9077" i="2"/>
  <c r="A9077" i="2"/>
  <c r="D9076" i="2"/>
  <c r="B9076" i="2"/>
  <c r="A9076" i="2"/>
  <c r="D9075" i="2"/>
  <c r="C9075" i="2"/>
  <c r="B9075" i="2"/>
  <c r="A9075" i="2"/>
  <c r="D9074" i="2"/>
  <c r="C9074" i="2"/>
  <c r="B9074" i="2"/>
  <c r="A9074" i="2"/>
  <c r="D9073" i="2"/>
  <c r="C9073" i="2"/>
  <c r="B9073" i="2"/>
  <c r="A9073" i="2"/>
  <c r="D9072" i="2"/>
  <c r="C9072" i="2"/>
  <c r="B9072" i="2"/>
  <c r="A9072" i="2"/>
  <c r="D9071" i="2"/>
  <c r="C9071" i="2"/>
  <c r="B9071" i="2"/>
  <c r="A9071" i="2"/>
  <c r="D9070" i="2"/>
  <c r="C9070" i="2"/>
  <c r="B9070" i="2"/>
  <c r="A9070" i="2"/>
  <c r="D9069" i="2"/>
  <c r="C9069" i="2"/>
  <c r="B9069" i="2"/>
  <c r="A9069" i="2"/>
  <c r="D9068" i="2"/>
  <c r="C9068" i="2"/>
  <c r="B9068" i="2"/>
  <c r="A9068" i="2"/>
  <c r="D9067" i="2"/>
  <c r="C9067" i="2"/>
  <c r="B9067" i="2"/>
  <c r="A9067" i="2"/>
  <c r="D9066" i="2"/>
  <c r="C9066" i="2"/>
  <c r="B9066" i="2"/>
  <c r="A9066" i="2"/>
  <c r="D9065" i="2"/>
  <c r="C9065" i="2"/>
  <c r="B9065" i="2"/>
  <c r="A9065" i="2"/>
  <c r="D9064" i="2"/>
  <c r="C9064" i="2"/>
  <c r="B9064" i="2"/>
  <c r="A9064" i="2"/>
  <c r="D9063" i="2"/>
  <c r="C9063" i="2"/>
  <c r="B9063" i="2"/>
  <c r="A9063" i="2"/>
  <c r="D9062" i="2"/>
  <c r="C9062" i="2"/>
  <c r="B9062" i="2"/>
  <c r="A9062" i="2"/>
  <c r="D9061" i="2"/>
  <c r="C9061" i="2"/>
  <c r="B9061" i="2"/>
  <c r="A9061" i="2"/>
  <c r="D9060" i="2"/>
  <c r="C9060" i="2"/>
  <c r="B9060" i="2"/>
  <c r="A9060" i="2"/>
  <c r="D9059" i="2"/>
  <c r="C9059" i="2"/>
  <c r="B9059" i="2"/>
  <c r="A9059" i="2"/>
  <c r="D9058" i="2"/>
  <c r="C9058" i="2"/>
  <c r="B9058" i="2"/>
  <c r="A9058" i="2"/>
  <c r="D9057" i="2"/>
  <c r="C9057" i="2"/>
  <c r="B9057" i="2"/>
  <c r="A9057" i="2"/>
  <c r="D9056" i="2"/>
  <c r="C9056" i="2"/>
  <c r="B9056" i="2"/>
  <c r="A9056" i="2"/>
  <c r="D9055" i="2"/>
  <c r="C9055" i="2"/>
  <c r="B9055" i="2"/>
  <c r="A9055" i="2"/>
  <c r="D9054" i="2"/>
  <c r="C9054" i="2"/>
  <c r="B9054" i="2"/>
  <c r="A9054" i="2"/>
  <c r="D9053" i="2"/>
  <c r="C9053" i="2"/>
  <c r="B9053" i="2"/>
  <c r="A9053" i="2"/>
  <c r="D9052" i="2"/>
  <c r="C9052" i="2"/>
  <c r="B9052" i="2"/>
  <c r="A9052" i="2"/>
  <c r="D9051" i="2"/>
  <c r="C9051" i="2"/>
  <c r="B9051" i="2"/>
  <c r="A9051" i="2"/>
  <c r="D9050" i="2"/>
  <c r="C9050" i="2"/>
  <c r="B9050" i="2"/>
  <c r="A9050" i="2"/>
  <c r="D9049" i="2"/>
  <c r="C9049" i="2"/>
  <c r="B9049" i="2"/>
  <c r="A9049" i="2"/>
  <c r="D9048" i="2"/>
  <c r="C9048" i="2"/>
  <c r="B9048" i="2"/>
  <c r="A9048" i="2"/>
  <c r="D9047" i="2"/>
  <c r="C9047" i="2"/>
  <c r="B9047" i="2"/>
  <c r="A9047" i="2"/>
  <c r="D9046" i="2"/>
  <c r="C9046" i="2"/>
  <c r="B9046" i="2"/>
  <c r="A9046" i="2"/>
  <c r="D9045" i="2"/>
  <c r="C9045" i="2"/>
  <c r="B9045" i="2"/>
  <c r="A9045" i="2"/>
  <c r="D9044" i="2"/>
  <c r="C9044" i="2"/>
  <c r="B9044" i="2"/>
  <c r="A9044" i="2"/>
  <c r="D9043" i="2"/>
  <c r="C9043" i="2"/>
  <c r="B9043" i="2"/>
  <c r="A9043" i="2"/>
  <c r="D9042" i="2"/>
  <c r="C9042" i="2"/>
  <c r="B9042" i="2"/>
  <c r="A9042" i="2"/>
  <c r="D9041" i="2"/>
  <c r="C9041" i="2"/>
  <c r="B9041" i="2"/>
  <c r="A9041" i="2"/>
  <c r="D9040" i="2"/>
  <c r="C9040" i="2"/>
  <c r="B9040" i="2"/>
  <c r="A9040" i="2"/>
  <c r="D9039" i="2"/>
  <c r="C9039" i="2"/>
  <c r="B9039" i="2"/>
  <c r="A9039" i="2"/>
  <c r="D9038" i="2"/>
  <c r="C9038" i="2"/>
  <c r="B9038" i="2"/>
  <c r="A9038" i="2"/>
  <c r="D9037" i="2"/>
  <c r="C9037" i="2"/>
  <c r="B9037" i="2"/>
  <c r="A9037" i="2"/>
  <c r="D9036" i="2"/>
  <c r="C9036" i="2"/>
  <c r="B9036" i="2"/>
  <c r="A9036" i="2"/>
  <c r="D9035" i="2"/>
  <c r="C9035" i="2"/>
  <c r="B9035" i="2"/>
  <c r="A9035" i="2"/>
  <c r="D9034" i="2"/>
  <c r="C9034" i="2"/>
  <c r="B9034" i="2"/>
  <c r="A9034" i="2"/>
  <c r="D9033" i="2"/>
  <c r="C9033" i="2"/>
  <c r="B9033" i="2"/>
  <c r="A9033" i="2"/>
  <c r="D9032" i="2"/>
  <c r="C9032" i="2"/>
  <c r="B9032" i="2"/>
  <c r="A9032" i="2"/>
  <c r="D9031" i="2"/>
  <c r="C9031" i="2"/>
  <c r="B9031" i="2"/>
  <c r="A9031" i="2"/>
  <c r="D9030" i="2"/>
  <c r="C9030" i="2"/>
  <c r="B9030" i="2"/>
  <c r="A9030" i="2"/>
  <c r="D9029" i="2"/>
  <c r="C9029" i="2"/>
  <c r="B9029" i="2"/>
  <c r="A9029" i="2"/>
  <c r="D9028" i="2"/>
  <c r="C9028" i="2"/>
  <c r="B9028" i="2"/>
  <c r="A9028" i="2"/>
  <c r="D9027" i="2"/>
  <c r="C9027" i="2"/>
  <c r="B9027" i="2"/>
  <c r="A9027" i="2"/>
  <c r="D9026" i="2"/>
  <c r="C9026" i="2"/>
  <c r="B9026" i="2"/>
  <c r="A9026" i="2"/>
  <c r="D9025" i="2"/>
  <c r="C9025" i="2"/>
  <c r="B9025" i="2"/>
  <c r="A9025" i="2"/>
  <c r="D9024" i="2"/>
  <c r="C9024" i="2"/>
  <c r="B9024" i="2"/>
  <c r="A9024" i="2"/>
  <c r="D9023" i="2"/>
  <c r="C9023" i="2"/>
  <c r="B9023" i="2"/>
  <c r="A9023" i="2"/>
  <c r="D9022" i="2"/>
  <c r="C9022" i="2"/>
  <c r="B9022" i="2"/>
  <c r="A9022" i="2"/>
  <c r="D9021" i="2"/>
  <c r="C9021" i="2"/>
  <c r="B9021" i="2"/>
  <c r="A9021" i="2"/>
  <c r="D9020" i="2"/>
  <c r="C9020" i="2"/>
  <c r="B9020" i="2"/>
  <c r="A9020" i="2"/>
  <c r="D9019" i="2"/>
  <c r="C9019" i="2"/>
  <c r="B9019" i="2"/>
  <c r="A9019" i="2"/>
  <c r="D9018" i="2"/>
  <c r="C9018" i="2"/>
  <c r="B9018" i="2"/>
  <c r="A9018" i="2"/>
  <c r="D9017" i="2"/>
  <c r="C9017" i="2"/>
  <c r="B9017" i="2"/>
  <c r="A9017" i="2"/>
  <c r="D9016" i="2"/>
  <c r="C9016" i="2"/>
  <c r="B9016" i="2"/>
  <c r="A9016" i="2"/>
  <c r="D9015" i="2"/>
  <c r="C9015" i="2"/>
  <c r="B9015" i="2"/>
  <c r="A9015" i="2"/>
  <c r="D9014" i="2"/>
  <c r="C9014" i="2"/>
  <c r="B9014" i="2"/>
  <c r="A9014" i="2"/>
  <c r="D9013" i="2"/>
  <c r="C9013" i="2"/>
  <c r="B9013" i="2"/>
  <c r="A9013" i="2"/>
  <c r="D9012" i="2"/>
  <c r="C9012" i="2"/>
  <c r="B9012" i="2"/>
  <c r="A9012" i="2"/>
  <c r="D9011" i="2"/>
  <c r="C9011" i="2"/>
  <c r="B9011" i="2"/>
  <c r="A9011" i="2"/>
  <c r="D9010" i="2"/>
  <c r="C9010" i="2"/>
  <c r="B9010" i="2"/>
  <c r="A9010" i="2"/>
  <c r="D9009" i="2"/>
  <c r="C9009" i="2"/>
  <c r="B9009" i="2"/>
  <c r="A9009" i="2"/>
  <c r="D9008" i="2"/>
  <c r="C9008" i="2"/>
  <c r="B9008" i="2"/>
  <c r="A9008" i="2"/>
  <c r="D9007" i="2"/>
  <c r="C9007" i="2"/>
  <c r="B9007" i="2"/>
  <c r="A9007" i="2"/>
  <c r="D9006" i="2"/>
  <c r="C9006" i="2"/>
  <c r="B9006" i="2"/>
  <c r="A9006" i="2"/>
  <c r="D9005" i="2"/>
  <c r="C9005" i="2"/>
  <c r="B9005" i="2"/>
  <c r="A9005" i="2"/>
  <c r="D9004" i="2"/>
  <c r="C9004" i="2"/>
  <c r="B9004" i="2"/>
  <c r="A9004" i="2"/>
  <c r="D9003" i="2"/>
  <c r="C9003" i="2"/>
  <c r="B9003" i="2"/>
  <c r="A9003" i="2"/>
  <c r="D9002" i="2"/>
  <c r="C9002" i="2"/>
  <c r="B9002" i="2"/>
  <c r="A9002" i="2"/>
  <c r="D9001" i="2"/>
  <c r="C9001" i="2"/>
  <c r="B9001" i="2"/>
  <c r="A9001" i="2"/>
  <c r="D9000" i="2"/>
  <c r="C9000" i="2"/>
  <c r="B9000" i="2"/>
  <c r="A9000" i="2"/>
  <c r="D8999" i="2"/>
  <c r="C8999" i="2"/>
  <c r="B8999" i="2"/>
  <c r="A8999" i="2"/>
  <c r="D8998" i="2"/>
  <c r="C8998" i="2"/>
  <c r="B8998" i="2"/>
  <c r="A8998" i="2"/>
  <c r="D8997" i="2"/>
  <c r="C8997" i="2"/>
  <c r="B8997" i="2"/>
  <c r="A8997" i="2"/>
  <c r="D8996" i="2"/>
  <c r="C8996" i="2"/>
  <c r="B8996" i="2"/>
  <c r="A8996" i="2"/>
  <c r="D8995" i="2"/>
  <c r="C8995" i="2"/>
  <c r="B8995" i="2"/>
  <c r="A8995" i="2"/>
  <c r="D8994" i="2"/>
  <c r="C8994" i="2"/>
  <c r="B8994" i="2"/>
  <c r="A8994" i="2"/>
  <c r="D8993" i="2"/>
  <c r="C8993" i="2"/>
  <c r="B8993" i="2"/>
  <c r="A8993" i="2"/>
  <c r="D8992" i="2"/>
  <c r="C8992" i="2"/>
  <c r="B8992" i="2"/>
  <c r="A8992" i="2"/>
  <c r="D8991" i="2"/>
  <c r="C8991" i="2"/>
  <c r="B8991" i="2"/>
  <c r="A8991" i="2"/>
  <c r="D8990" i="2"/>
  <c r="C8990" i="2"/>
  <c r="B8990" i="2"/>
  <c r="A8990" i="2"/>
  <c r="D8989" i="2"/>
  <c r="C8989" i="2"/>
  <c r="B8989" i="2"/>
  <c r="A8989" i="2"/>
  <c r="D8988" i="2"/>
  <c r="C8988" i="2"/>
  <c r="B8988" i="2"/>
  <c r="A8988" i="2"/>
  <c r="D8987" i="2"/>
  <c r="C8987" i="2"/>
  <c r="B8987" i="2"/>
  <c r="A8987" i="2"/>
  <c r="D8986" i="2"/>
  <c r="C8986" i="2"/>
  <c r="B8986" i="2"/>
  <c r="A8986" i="2"/>
  <c r="D8985" i="2"/>
  <c r="C8985" i="2"/>
  <c r="B8985" i="2"/>
  <c r="A8985" i="2"/>
  <c r="D8984" i="2"/>
  <c r="C8984" i="2"/>
  <c r="B8984" i="2"/>
  <c r="A8984" i="2"/>
  <c r="D8983" i="2"/>
  <c r="C8983" i="2"/>
  <c r="B8983" i="2"/>
  <c r="A8983" i="2"/>
  <c r="D8982" i="2"/>
  <c r="C8982" i="2"/>
  <c r="B8982" i="2"/>
  <c r="A8982" i="2"/>
  <c r="D8981" i="2"/>
  <c r="C8981" i="2"/>
  <c r="B8981" i="2"/>
  <c r="A8981" i="2"/>
  <c r="D8980" i="2"/>
  <c r="C8980" i="2"/>
  <c r="B8980" i="2"/>
  <c r="A8980" i="2"/>
  <c r="D8979" i="2"/>
  <c r="C8979" i="2"/>
  <c r="B8979" i="2"/>
  <c r="A8979" i="2"/>
  <c r="D8978" i="2"/>
  <c r="C8978" i="2"/>
  <c r="B8978" i="2"/>
  <c r="A8978" i="2"/>
  <c r="D8977" i="2"/>
  <c r="C8977" i="2"/>
  <c r="B8977" i="2"/>
  <c r="A8977" i="2"/>
  <c r="D8976" i="2"/>
  <c r="C8976" i="2"/>
  <c r="B8976" i="2"/>
  <c r="A8976" i="2"/>
  <c r="D8975" i="2"/>
  <c r="C8975" i="2"/>
  <c r="B8975" i="2"/>
  <c r="A8975" i="2"/>
  <c r="D8974" i="2"/>
  <c r="C8974" i="2"/>
  <c r="B8974" i="2"/>
  <c r="A8974" i="2"/>
  <c r="D8973" i="2"/>
  <c r="C8973" i="2"/>
  <c r="B8973" i="2"/>
  <c r="A8973" i="2"/>
  <c r="D8972" i="2"/>
  <c r="C8972" i="2"/>
  <c r="B8972" i="2"/>
  <c r="A8972" i="2"/>
  <c r="D8971" i="2"/>
  <c r="C8971" i="2"/>
  <c r="B8971" i="2"/>
  <c r="A8971" i="2"/>
  <c r="D8970" i="2"/>
  <c r="C8970" i="2"/>
  <c r="B8970" i="2"/>
  <c r="A8970" i="2"/>
  <c r="D8969" i="2"/>
  <c r="C8969" i="2"/>
  <c r="B8969" i="2"/>
  <c r="A8969" i="2"/>
  <c r="D8968" i="2"/>
  <c r="C8968" i="2"/>
  <c r="B8968" i="2"/>
  <c r="A8968" i="2"/>
  <c r="D8967" i="2"/>
  <c r="C8967" i="2"/>
  <c r="B8967" i="2"/>
  <c r="A8967" i="2"/>
  <c r="D8966" i="2"/>
  <c r="C8966" i="2"/>
  <c r="B8966" i="2"/>
  <c r="A8966" i="2"/>
  <c r="D8965" i="2"/>
  <c r="C8965" i="2"/>
  <c r="B8965" i="2"/>
  <c r="A8965" i="2"/>
  <c r="D8964" i="2"/>
  <c r="C8964" i="2"/>
  <c r="B8964" i="2"/>
  <c r="A8964" i="2"/>
  <c r="D8963" i="2"/>
  <c r="C8963" i="2"/>
  <c r="B8963" i="2"/>
  <c r="A8963" i="2"/>
  <c r="D8962" i="2"/>
  <c r="C8962" i="2"/>
  <c r="B8962" i="2"/>
  <c r="A8962" i="2"/>
  <c r="D8961" i="2"/>
  <c r="C8961" i="2"/>
  <c r="B8961" i="2"/>
  <c r="A8961" i="2"/>
  <c r="D8960" i="2"/>
  <c r="C8960" i="2"/>
  <c r="B8960" i="2"/>
  <c r="A8960" i="2"/>
  <c r="D8959" i="2"/>
  <c r="C8959" i="2"/>
  <c r="B8959" i="2"/>
  <c r="A8959" i="2"/>
  <c r="D8958" i="2"/>
  <c r="C8958" i="2"/>
  <c r="B8958" i="2"/>
  <c r="A8958" i="2"/>
  <c r="D8957" i="2"/>
  <c r="C8957" i="2"/>
  <c r="B8957" i="2"/>
  <c r="A8957" i="2"/>
  <c r="D8956" i="2"/>
  <c r="C8956" i="2"/>
  <c r="B8956" i="2"/>
  <c r="A8956" i="2"/>
  <c r="D8955" i="2"/>
  <c r="C8955" i="2"/>
  <c r="B8955" i="2"/>
  <c r="A8955" i="2"/>
  <c r="D8954" i="2"/>
  <c r="C8954" i="2"/>
  <c r="B8954" i="2"/>
  <c r="A8954" i="2"/>
  <c r="D8953" i="2"/>
  <c r="C8953" i="2"/>
  <c r="B8953" i="2"/>
  <c r="A8953" i="2"/>
  <c r="D8952" i="2"/>
  <c r="C8952" i="2"/>
  <c r="B8952" i="2"/>
  <c r="A8952" i="2"/>
  <c r="D8951" i="2"/>
  <c r="C8951" i="2"/>
  <c r="B8951" i="2"/>
  <c r="A8951" i="2"/>
  <c r="D8950" i="2"/>
  <c r="C8950" i="2"/>
  <c r="B8950" i="2"/>
  <c r="A8950" i="2"/>
  <c r="D8949" i="2"/>
  <c r="C8949" i="2"/>
  <c r="B8949" i="2"/>
  <c r="A8949" i="2"/>
  <c r="D8948" i="2"/>
  <c r="C8948" i="2"/>
  <c r="B8948" i="2"/>
  <c r="A8948" i="2"/>
  <c r="D8947" i="2"/>
  <c r="C8947" i="2"/>
  <c r="B8947" i="2"/>
  <c r="A8947" i="2"/>
  <c r="D8946" i="2"/>
  <c r="C8946" i="2"/>
  <c r="B8946" i="2"/>
  <c r="A8946" i="2"/>
  <c r="D8945" i="2"/>
  <c r="C8945" i="2"/>
  <c r="B8945" i="2"/>
  <c r="A8945" i="2"/>
  <c r="D8944" i="2"/>
  <c r="B8944" i="2"/>
  <c r="A8944" i="2"/>
  <c r="D8943" i="2"/>
  <c r="C8943" i="2"/>
  <c r="B8943" i="2"/>
  <c r="A8943" i="2"/>
  <c r="D8942" i="2"/>
  <c r="C8942" i="2"/>
  <c r="B8942" i="2"/>
  <c r="A8942" i="2"/>
  <c r="D8941" i="2"/>
  <c r="C8941" i="2"/>
  <c r="B8941" i="2"/>
  <c r="A8941" i="2"/>
  <c r="D8940" i="2"/>
  <c r="C8940" i="2"/>
  <c r="B8940" i="2"/>
  <c r="A8940" i="2"/>
  <c r="D8939" i="2"/>
  <c r="B8939" i="2"/>
  <c r="A8939" i="2"/>
  <c r="D8938" i="2"/>
  <c r="C8938" i="2"/>
  <c r="B8938" i="2"/>
  <c r="A8938" i="2"/>
  <c r="D8937" i="2"/>
  <c r="B8937" i="2"/>
  <c r="A8937" i="2"/>
  <c r="D8936" i="2"/>
  <c r="C8936" i="2"/>
  <c r="B8936" i="2"/>
  <c r="A8936" i="2"/>
  <c r="D8935" i="2"/>
  <c r="C8935" i="2"/>
  <c r="B8935" i="2"/>
  <c r="A8935" i="2"/>
  <c r="D8934" i="2"/>
  <c r="C8934" i="2"/>
  <c r="B8934" i="2"/>
  <c r="A8934" i="2"/>
  <c r="D8933" i="2"/>
  <c r="C8933" i="2"/>
  <c r="B8933" i="2"/>
  <c r="A8933" i="2"/>
  <c r="D8932" i="2"/>
  <c r="C8932" i="2"/>
  <c r="B8932" i="2"/>
  <c r="A8932" i="2"/>
  <c r="D8931" i="2"/>
  <c r="C8931" i="2"/>
  <c r="B8931" i="2"/>
  <c r="A8931" i="2"/>
  <c r="D8930" i="2"/>
  <c r="C8930" i="2"/>
  <c r="B8930" i="2"/>
  <c r="A8930" i="2"/>
  <c r="D8929" i="2"/>
  <c r="C8929" i="2"/>
  <c r="B8929" i="2"/>
  <c r="A8929" i="2"/>
  <c r="D8928" i="2"/>
  <c r="C8928" i="2"/>
  <c r="B8928" i="2"/>
  <c r="A8928" i="2"/>
  <c r="D8927" i="2"/>
  <c r="C8927" i="2"/>
  <c r="B8927" i="2"/>
  <c r="A8927" i="2"/>
  <c r="D8926" i="2"/>
  <c r="C8926" i="2"/>
  <c r="B8926" i="2"/>
  <c r="A8926" i="2"/>
  <c r="D8925" i="2"/>
  <c r="C8925" i="2"/>
  <c r="B8925" i="2"/>
  <c r="A8925" i="2"/>
  <c r="D8924" i="2"/>
  <c r="C8924" i="2"/>
  <c r="B8924" i="2"/>
  <c r="A8924" i="2"/>
  <c r="D8923" i="2"/>
  <c r="C8923" i="2"/>
  <c r="B8923" i="2"/>
  <c r="A8923" i="2"/>
  <c r="D8922" i="2"/>
  <c r="B8922" i="2"/>
  <c r="A8922" i="2"/>
  <c r="D8921" i="2"/>
  <c r="C8921" i="2"/>
  <c r="B8921" i="2"/>
  <c r="A8921" i="2"/>
  <c r="D8920" i="2"/>
  <c r="C8920" i="2"/>
  <c r="B8920" i="2"/>
  <c r="A8920" i="2"/>
  <c r="D8919" i="2"/>
  <c r="C8919" i="2"/>
  <c r="B8919" i="2"/>
  <c r="A8919" i="2"/>
  <c r="D8918" i="2"/>
  <c r="C8918" i="2"/>
  <c r="B8918" i="2"/>
  <c r="A8918" i="2"/>
  <c r="D8917" i="2"/>
  <c r="C8917" i="2"/>
  <c r="B8917" i="2"/>
  <c r="A8917" i="2"/>
  <c r="D8916" i="2"/>
  <c r="C8916" i="2"/>
  <c r="B8916" i="2"/>
  <c r="A8916" i="2"/>
  <c r="D8915" i="2"/>
  <c r="C8915" i="2"/>
  <c r="B8915" i="2"/>
  <c r="A8915" i="2"/>
  <c r="D8914" i="2"/>
  <c r="C8914" i="2"/>
  <c r="B8914" i="2"/>
  <c r="A8914" i="2"/>
  <c r="D8913" i="2"/>
  <c r="C8913" i="2"/>
  <c r="B8913" i="2"/>
  <c r="A8913" i="2"/>
  <c r="D8912" i="2"/>
  <c r="C8912" i="2"/>
  <c r="B8912" i="2"/>
  <c r="A8912" i="2"/>
  <c r="D8911" i="2"/>
  <c r="C8911" i="2"/>
  <c r="B8911" i="2"/>
  <c r="A8911" i="2"/>
  <c r="D8910" i="2"/>
  <c r="C8910" i="2"/>
  <c r="B8910" i="2"/>
  <c r="A8910" i="2"/>
  <c r="D8909" i="2"/>
  <c r="C8909" i="2"/>
  <c r="B8909" i="2"/>
  <c r="A8909" i="2"/>
  <c r="D8908" i="2"/>
  <c r="C8908" i="2"/>
  <c r="B8908" i="2"/>
  <c r="A8908" i="2"/>
  <c r="D8907" i="2"/>
  <c r="C8907" i="2"/>
  <c r="B8907" i="2"/>
  <c r="A8907" i="2"/>
  <c r="D8906" i="2"/>
  <c r="C8906" i="2"/>
  <c r="B8906" i="2"/>
  <c r="A8906" i="2"/>
  <c r="D8905" i="2"/>
  <c r="C8905" i="2"/>
  <c r="B8905" i="2"/>
  <c r="A8905" i="2"/>
  <c r="D8904" i="2"/>
  <c r="C8904" i="2"/>
  <c r="B8904" i="2"/>
  <c r="A8904" i="2"/>
  <c r="D8903" i="2"/>
  <c r="C8903" i="2"/>
  <c r="B8903" i="2"/>
  <c r="A8903" i="2"/>
  <c r="D8902" i="2"/>
  <c r="C8902" i="2"/>
  <c r="B8902" i="2"/>
  <c r="A8902" i="2"/>
  <c r="D8901" i="2"/>
  <c r="C8901" i="2"/>
  <c r="B8901" i="2"/>
  <c r="A8901" i="2"/>
  <c r="D8900" i="2"/>
  <c r="C8900" i="2"/>
  <c r="B8900" i="2"/>
  <c r="A8900" i="2"/>
  <c r="D8899" i="2"/>
  <c r="C8899" i="2"/>
  <c r="B8899" i="2"/>
  <c r="A8899" i="2"/>
  <c r="D8898" i="2"/>
  <c r="C8898" i="2"/>
  <c r="B8898" i="2"/>
  <c r="A8898" i="2"/>
  <c r="D8897" i="2"/>
  <c r="C8897" i="2"/>
  <c r="B8897" i="2"/>
  <c r="A8897" i="2"/>
  <c r="D8896" i="2"/>
  <c r="C8896" i="2"/>
  <c r="B8896" i="2"/>
  <c r="A8896" i="2"/>
  <c r="D8895" i="2"/>
  <c r="C8895" i="2"/>
  <c r="B8895" i="2"/>
  <c r="A8895" i="2"/>
  <c r="D8894" i="2"/>
  <c r="C8894" i="2"/>
  <c r="B8894" i="2"/>
  <c r="A8894" i="2"/>
  <c r="D8893" i="2"/>
  <c r="C8893" i="2"/>
  <c r="B8893" i="2"/>
  <c r="A8893" i="2"/>
  <c r="D8892" i="2"/>
  <c r="C8892" i="2"/>
  <c r="B8892" i="2"/>
  <c r="A8892" i="2"/>
  <c r="D8891" i="2"/>
  <c r="C8891" i="2"/>
  <c r="B8891" i="2"/>
  <c r="A8891" i="2"/>
  <c r="D8890" i="2"/>
  <c r="C8890" i="2"/>
  <c r="B8890" i="2"/>
  <c r="A8890" i="2"/>
  <c r="D8889" i="2"/>
  <c r="C8889" i="2"/>
  <c r="B8889" i="2"/>
  <c r="A8889" i="2"/>
  <c r="D8888" i="2"/>
  <c r="C8888" i="2"/>
  <c r="B8888" i="2"/>
  <c r="A8888" i="2"/>
  <c r="D8887" i="2"/>
  <c r="C8887" i="2"/>
  <c r="B8887" i="2"/>
  <c r="A8887" i="2"/>
  <c r="D8886" i="2"/>
  <c r="C8886" i="2"/>
  <c r="B8886" i="2"/>
  <c r="A8886" i="2"/>
  <c r="D8885" i="2"/>
  <c r="C8885" i="2"/>
  <c r="B8885" i="2"/>
  <c r="A8885" i="2"/>
  <c r="D8884" i="2"/>
  <c r="C8884" i="2"/>
  <c r="B8884" i="2"/>
  <c r="A8884" i="2"/>
  <c r="D8883" i="2"/>
  <c r="C8883" i="2"/>
  <c r="B8883" i="2"/>
  <c r="A8883" i="2"/>
  <c r="D8882" i="2"/>
  <c r="C8882" i="2"/>
  <c r="B8882" i="2"/>
  <c r="A8882" i="2"/>
  <c r="D8881" i="2"/>
  <c r="C8881" i="2"/>
  <c r="B8881" i="2"/>
  <c r="A8881" i="2"/>
  <c r="D8880" i="2"/>
  <c r="C8880" i="2"/>
  <c r="B8880" i="2"/>
  <c r="A8880" i="2"/>
  <c r="D8879" i="2"/>
  <c r="C8879" i="2"/>
  <c r="B8879" i="2"/>
  <c r="A8879" i="2"/>
  <c r="D8878" i="2"/>
  <c r="C8878" i="2"/>
  <c r="B8878" i="2"/>
  <c r="A8878" i="2"/>
  <c r="D8877" i="2"/>
  <c r="C8877" i="2"/>
  <c r="B8877" i="2"/>
  <c r="A8877" i="2"/>
  <c r="D8876" i="2"/>
  <c r="C8876" i="2"/>
  <c r="B8876" i="2"/>
  <c r="A8876" i="2"/>
  <c r="D8875" i="2"/>
  <c r="C8875" i="2"/>
  <c r="B8875" i="2"/>
  <c r="A8875" i="2"/>
  <c r="D8874" i="2"/>
  <c r="C8874" i="2"/>
  <c r="B8874" i="2"/>
  <c r="A8874" i="2"/>
  <c r="D8873" i="2"/>
  <c r="C8873" i="2"/>
  <c r="B8873" i="2"/>
  <c r="A8873" i="2"/>
  <c r="D8872" i="2"/>
  <c r="C8872" i="2"/>
  <c r="B8872" i="2"/>
  <c r="A8872" i="2"/>
  <c r="D8871" i="2"/>
  <c r="C8871" i="2"/>
  <c r="B8871" i="2"/>
  <c r="A8871" i="2"/>
  <c r="D8870" i="2"/>
  <c r="C8870" i="2"/>
  <c r="B8870" i="2"/>
  <c r="A8870" i="2"/>
  <c r="D8869" i="2"/>
  <c r="C8869" i="2"/>
  <c r="B8869" i="2"/>
  <c r="A8869" i="2"/>
  <c r="D8868" i="2"/>
  <c r="C8868" i="2"/>
  <c r="B8868" i="2"/>
  <c r="A8868" i="2"/>
  <c r="D8867" i="2"/>
  <c r="C8867" i="2"/>
  <c r="B8867" i="2"/>
  <c r="A8867" i="2"/>
  <c r="D8866" i="2"/>
  <c r="C8866" i="2"/>
  <c r="B8866" i="2"/>
  <c r="A8866" i="2"/>
  <c r="D8865" i="2"/>
  <c r="C8865" i="2"/>
  <c r="B8865" i="2"/>
  <c r="A8865" i="2"/>
  <c r="D8864" i="2"/>
  <c r="C8864" i="2"/>
  <c r="B8864" i="2"/>
  <c r="A8864" i="2"/>
  <c r="D8863" i="2"/>
  <c r="C8863" i="2"/>
  <c r="B8863" i="2"/>
  <c r="A8863" i="2"/>
  <c r="D8862" i="2"/>
  <c r="C8862" i="2"/>
  <c r="B8862" i="2"/>
  <c r="A8862" i="2"/>
  <c r="D8861" i="2"/>
  <c r="C8861" i="2"/>
  <c r="B8861" i="2"/>
  <c r="A8861" i="2"/>
  <c r="D8860" i="2"/>
  <c r="C8860" i="2"/>
  <c r="B8860" i="2"/>
  <c r="A8860" i="2"/>
  <c r="D8859" i="2"/>
  <c r="C8859" i="2"/>
  <c r="B8859" i="2"/>
  <c r="A8859" i="2"/>
  <c r="D8858" i="2"/>
  <c r="C8858" i="2"/>
  <c r="B8858" i="2"/>
  <c r="A8858" i="2"/>
  <c r="D8857" i="2"/>
  <c r="C8857" i="2"/>
  <c r="B8857" i="2"/>
  <c r="A8857" i="2"/>
  <c r="D8856" i="2"/>
  <c r="C8856" i="2"/>
  <c r="B8856" i="2"/>
  <c r="A8856" i="2"/>
  <c r="D8855" i="2"/>
  <c r="C8855" i="2"/>
  <c r="B8855" i="2"/>
  <c r="A8855" i="2"/>
  <c r="D8854" i="2"/>
  <c r="C8854" i="2"/>
  <c r="B8854" i="2"/>
  <c r="A8854" i="2"/>
  <c r="D8853" i="2"/>
  <c r="C8853" i="2"/>
  <c r="B8853" i="2"/>
  <c r="A8853" i="2"/>
  <c r="D8852" i="2"/>
  <c r="C8852" i="2"/>
  <c r="B8852" i="2"/>
  <c r="A8852" i="2"/>
  <c r="D8851" i="2"/>
  <c r="C8851" i="2"/>
  <c r="B8851" i="2"/>
  <c r="A8851" i="2"/>
  <c r="D8850" i="2"/>
  <c r="C8850" i="2"/>
  <c r="B8850" i="2"/>
  <c r="A8850" i="2"/>
  <c r="D8849" i="2"/>
  <c r="C8849" i="2"/>
  <c r="B8849" i="2"/>
  <c r="A8849" i="2"/>
  <c r="D8848" i="2"/>
  <c r="C8848" i="2"/>
  <c r="B8848" i="2"/>
  <c r="A8848" i="2"/>
  <c r="D8847" i="2"/>
  <c r="C8847" i="2"/>
  <c r="B8847" i="2"/>
  <c r="A8847" i="2"/>
  <c r="D8846" i="2"/>
  <c r="C8846" i="2"/>
  <c r="B8846" i="2"/>
  <c r="A8846" i="2"/>
  <c r="D8845" i="2"/>
  <c r="C8845" i="2"/>
  <c r="B8845" i="2"/>
  <c r="A8845" i="2"/>
  <c r="D8844" i="2"/>
  <c r="C8844" i="2"/>
  <c r="B8844" i="2"/>
  <c r="A8844" i="2"/>
  <c r="D8843" i="2"/>
  <c r="C8843" i="2"/>
  <c r="B8843" i="2"/>
  <c r="A8843" i="2"/>
  <c r="D8842" i="2"/>
  <c r="C8842" i="2"/>
  <c r="B8842" i="2"/>
  <c r="A8842" i="2"/>
  <c r="D8841" i="2"/>
  <c r="C8841" i="2"/>
  <c r="B8841" i="2"/>
  <c r="A8841" i="2"/>
  <c r="D8840" i="2"/>
  <c r="C8840" i="2"/>
  <c r="B8840" i="2"/>
  <c r="A8840" i="2"/>
  <c r="D8839" i="2"/>
  <c r="C8839" i="2"/>
  <c r="B8839" i="2"/>
  <c r="A8839" i="2"/>
  <c r="D8838" i="2"/>
  <c r="C8838" i="2"/>
  <c r="B8838" i="2"/>
  <c r="A8838" i="2"/>
  <c r="D8837" i="2"/>
  <c r="C8837" i="2"/>
  <c r="B8837" i="2"/>
  <c r="A8837" i="2"/>
  <c r="D8836" i="2"/>
  <c r="C8836" i="2"/>
  <c r="B8836" i="2"/>
  <c r="A8836" i="2"/>
  <c r="D8835" i="2"/>
  <c r="C8835" i="2"/>
  <c r="B8835" i="2"/>
  <c r="A8835" i="2"/>
  <c r="D8834" i="2"/>
  <c r="C8834" i="2"/>
  <c r="B8834" i="2"/>
  <c r="A8834" i="2"/>
  <c r="D8833" i="2"/>
  <c r="C8833" i="2"/>
  <c r="B8833" i="2"/>
  <c r="A8833" i="2"/>
  <c r="D8832" i="2"/>
  <c r="C8832" i="2"/>
  <c r="B8832" i="2"/>
  <c r="A8832" i="2"/>
  <c r="D8831" i="2"/>
  <c r="C8831" i="2"/>
  <c r="B8831" i="2"/>
  <c r="A8831" i="2"/>
  <c r="D8830" i="2"/>
  <c r="C8830" i="2"/>
  <c r="B8830" i="2"/>
  <c r="A8830" i="2"/>
  <c r="D8829" i="2"/>
  <c r="C8829" i="2"/>
  <c r="B8829" i="2"/>
  <c r="A8829" i="2"/>
  <c r="D8828" i="2"/>
  <c r="C8828" i="2"/>
  <c r="B8828" i="2"/>
  <c r="A8828" i="2"/>
  <c r="D8827" i="2"/>
  <c r="C8827" i="2"/>
  <c r="B8827" i="2"/>
  <c r="A8827" i="2"/>
  <c r="D8826" i="2"/>
  <c r="C8826" i="2"/>
  <c r="B8826" i="2"/>
  <c r="A8826" i="2"/>
  <c r="D8825" i="2"/>
  <c r="C8825" i="2"/>
  <c r="B8825" i="2"/>
  <c r="A8825" i="2"/>
  <c r="D8824" i="2"/>
  <c r="C8824" i="2"/>
  <c r="B8824" i="2"/>
  <c r="A8824" i="2"/>
  <c r="D8823" i="2"/>
  <c r="C8823" i="2"/>
  <c r="B8823" i="2"/>
  <c r="A8823" i="2"/>
  <c r="D8822" i="2"/>
  <c r="C8822" i="2"/>
  <c r="B8822" i="2"/>
  <c r="A8822" i="2"/>
  <c r="D8821" i="2"/>
  <c r="C8821" i="2"/>
  <c r="B8821" i="2"/>
  <c r="A8821" i="2"/>
  <c r="D8820" i="2"/>
  <c r="C8820" i="2"/>
  <c r="B8820" i="2"/>
  <c r="A8820" i="2"/>
  <c r="D8819" i="2"/>
  <c r="C8819" i="2"/>
  <c r="B8819" i="2"/>
  <c r="A8819" i="2"/>
  <c r="D8818" i="2"/>
  <c r="C8818" i="2"/>
  <c r="B8818" i="2"/>
  <c r="A8818" i="2"/>
  <c r="D8817" i="2"/>
  <c r="C8817" i="2"/>
  <c r="B8817" i="2"/>
  <c r="A8817" i="2"/>
  <c r="D8816" i="2"/>
  <c r="C8816" i="2"/>
  <c r="B8816" i="2"/>
  <c r="A8816" i="2"/>
  <c r="D8815" i="2"/>
  <c r="C8815" i="2"/>
  <c r="B8815" i="2"/>
  <c r="A8815" i="2"/>
  <c r="D8814" i="2"/>
  <c r="C8814" i="2"/>
  <c r="B8814" i="2"/>
  <c r="A8814" i="2"/>
  <c r="D8813" i="2"/>
  <c r="C8813" i="2"/>
  <c r="B8813" i="2"/>
  <c r="A8813" i="2"/>
  <c r="D8812" i="2"/>
  <c r="C8812" i="2"/>
  <c r="B8812" i="2"/>
  <c r="A8812" i="2"/>
  <c r="D8811" i="2"/>
  <c r="C8811" i="2"/>
  <c r="B8811" i="2"/>
  <c r="A8811" i="2"/>
  <c r="D8810" i="2"/>
  <c r="C8810" i="2"/>
  <c r="B8810" i="2"/>
  <c r="A8810" i="2"/>
  <c r="D8809" i="2"/>
  <c r="C8809" i="2"/>
  <c r="B8809" i="2"/>
  <c r="A8809" i="2"/>
  <c r="D8808" i="2"/>
  <c r="C8808" i="2"/>
  <c r="B8808" i="2"/>
  <c r="A8808" i="2"/>
  <c r="D8807" i="2"/>
  <c r="C8807" i="2"/>
  <c r="B8807" i="2"/>
  <c r="A8807" i="2"/>
  <c r="D8806" i="2"/>
  <c r="C8806" i="2"/>
  <c r="B8806" i="2"/>
  <c r="A8806" i="2"/>
  <c r="D8805" i="2"/>
  <c r="C8805" i="2"/>
  <c r="B8805" i="2"/>
  <c r="A8805" i="2"/>
  <c r="D8804" i="2"/>
  <c r="C8804" i="2"/>
  <c r="B8804" i="2"/>
  <c r="A8804" i="2"/>
  <c r="D8803" i="2"/>
  <c r="C8803" i="2"/>
  <c r="B8803" i="2"/>
  <c r="A8803" i="2"/>
  <c r="D8802" i="2"/>
  <c r="C8802" i="2"/>
  <c r="B8802" i="2"/>
  <c r="A8802" i="2"/>
  <c r="D8801" i="2"/>
  <c r="C8801" i="2"/>
  <c r="B8801" i="2"/>
  <c r="A8801" i="2"/>
  <c r="D8800" i="2"/>
  <c r="C8800" i="2"/>
  <c r="B8800" i="2"/>
  <c r="A8800" i="2"/>
  <c r="D8799" i="2"/>
  <c r="C8799" i="2"/>
  <c r="B8799" i="2"/>
  <c r="A8799" i="2"/>
  <c r="D8798" i="2"/>
  <c r="C8798" i="2"/>
  <c r="B8798" i="2"/>
  <c r="A8798" i="2"/>
  <c r="D8797" i="2"/>
  <c r="C8797" i="2"/>
  <c r="B8797" i="2"/>
  <c r="A8797" i="2"/>
  <c r="D8796" i="2"/>
  <c r="C8796" i="2"/>
  <c r="B8796" i="2"/>
  <c r="A8796" i="2"/>
  <c r="D8795" i="2"/>
  <c r="C8795" i="2"/>
  <c r="B8795" i="2"/>
  <c r="A8795" i="2"/>
  <c r="D8794" i="2"/>
  <c r="C8794" i="2"/>
  <c r="B8794" i="2"/>
  <c r="A8794" i="2"/>
  <c r="D8793" i="2"/>
  <c r="C8793" i="2"/>
  <c r="B8793" i="2"/>
  <c r="A8793" i="2"/>
  <c r="D8792" i="2"/>
  <c r="C8792" i="2"/>
  <c r="B8792" i="2"/>
  <c r="A8792" i="2"/>
  <c r="D8791" i="2"/>
  <c r="C8791" i="2"/>
  <c r="B8791" i="2"/>
  <c r="A8791" i="2"/>
  <c r="D8790" i="2"/>
  <c r="C8790" i="2"/>
  <c r="B8790" i="2"/>
  <c r="A8790" i="2"/>
  <c r="D8789" i="2"/>
  <c r="C8789" i="2"/>
  <c r="B8789" i="2"/>
  <c r="A8789" i="2"/>
  <c r="D8788" i="2"/>
  <c r="C8788" i="2"/>
  <c r="B8788" i="2"/>
  <c r="A8788" i="2"/>
  <c r="D8787" i="2"/>
  <c r="C8787" i="2"/>
  <c r="B8787" i="2"/>
  <c r="A8787" i="2"/>
  <c r="D8786" i="2"/>
  <c r="C8786" i="2"/>
  <c r="B8786" i="2"/>
  <c r="A8786" i="2"/>
  <c r="D8785" i="2"/>
  <c r="C8785" i="2"/>
  <c r="B8785" i="2"/>
  <c r="A8785" i="2"/>
  <c r="D8784" i="2"/>
  <c r="C8784" i="2"/>
  <c r="B8784" i="2"/>
  <c r="A8784" i="2"/>
  <c r="D8783" i="2"/>
  <c r="C8783" i="2"/>
  <c r="B8783" i="2"/>
  <c r="A8783" i="2"/>
  <c r="D8782" i="2"/>
  <c r="C8782" i="2"/>
  <c r="B8782" i="2"/>
  <c r="A8782" i="2"/>
  <c r="D8781" i="2"/>
  <c r="C8781" i="2"/>
  <c r="B8781" i="2"/>
  <c r="A8781" i="2"/>
  <c r="D8780" i="2"/>
  <c r="C8780" i="2"/>
  <c r="B8780" i="2"/>
  <c r="A8780" i="2"/>
  <c r="D8779" i="2"/>
  <c r="C8779" i="2"/>
  <c r="B8779" i="2"/>
  <c r="A8779" i="2"/>
  <c r="D8778" i="2"/>
  <c r="C8778" i="2"/>
  <c r="B8778" i="2"/>
  <c r="A8778" i="2"/>
  <c r="D8777" i="2"/>
  <c r="C8777" i="2"/>
  <c r="B8777" i="2"/>
  <c r="A8777" i="2"/>
  <c r="D8776" i="2"/>
  <c r="C8776" i="2"/>
  <c r="B8776" i="2"/>
  <c r="A8776" i="2"/>
  <c r="D8775" i="2"/>
  <c r="C8775" i="2"/>
  <c r="B8775" i="2"/>
  <c r="A8775" i="2"/>
  <c r="D8774" i="2"/>
  <c r="C8774" i="2"/>
  <c r="B8774" i="2"/>
  <c r="A8774" i="2"/>
  <c r="D8773" i="2"/>
  <c r="C8773" i="2"/>
  <c r="B8773" i="2"/>
  <c r="A8773" i="2"/>
  <c r="D8772" i="2"/>
  <c r="C8772" i="2"/>
  <c r="B8772" i="2"/>
  <c r="A8772" i="2"/>
  <c r="D8771" i="2"/>
  <c r="C8771" i="2"/>
  <c r="B8771" i="2"/>
  <c r="A8771" i="2"/>
  <c r="D8770" i="2"/>
  <c r="C8770" i="2"/>
  <c r="B8770" i="2"/>
  <c r="A8770" i="2"/>
  <c r="D8769" i="2"/>
  <c r="C8769" i="2"/>
  <c r="B8769" i="2"/>
  <c r="A8769" i="2"/>
  <c r="D8768" i="2"/>
  <c r="C8768" i="2"/>
  <c r="B8768" i="2"/>
  <c r="A8768" i="2"/>
  <c r="D8767" i="2"/>
  <c r="C8767" i="2"/>
  <c r="B8767" i="2"/>
  <c r="A8767" i="2"/>
  <c r="D8766" i="2"/>
  <c r="C8766" i="2"/>
  <c r="B8766" i="2"/>
  <c r="A8766" i="2"/>
  <c r="D8765" i="2"/>
  <c r="C8765" i="2"/>
  <c r="B8765" i="2"/>
  <c r="A8765" i="2"/>
  <c r="D8764" i="2"/>
  <c r="C8764" i="2"/>
  <c r="B8764" i="2"/>
  <c r="A8764" i="2"/>
  <c r="D8763" i="2"/>
  <c r="C8763" i="2"/>
  <c r="B8763" i="2"/>
  <c r="A8763" i="2"/>
  <c r="D8762" i="2"/>
  <c r="C8762" i="2"/>
  <c r="B8762" i="2"/>
  <c r="A8762" i="2"/>
  <c r="D8761" i="2"/>
  <c r="C8761" i="2"/>
  <c r="B8761" i="2"/>
  <c r="A8761" i="2"/>
  <c r="D8760" i="2"/>
  <c r="C8760" i="2"/>
  <c r="B8760" i="2"/>
  <c r="A8760" i="2"/>
  <c r="D8759" i="2"/>
  <c r="C8759" i="2"/>
  <c r="B8759" i="2"/>
  <c r="A8759" i="2"/>
  <c r="D8758" i="2"/>
  <c r="C8758" i="2"/>
  <c r="B8758" i="2"/>
  <c r="A8758" i="2"/>
  <c r="D8757" i="2"/>
  <c r="C8757" i="2"/>
  <c r="B8757" i="2"/>
  <c r="A8757" i="2"/>
  <c r="D8756" i="2"/>
  <c r="C8756" i="2"/>
  <c r="B8756" i="2"/>
  <c r="A8756" i="2"/>
  <c r="D8755" i="2"/>
  <c r="C8755" i="2"/>
  <c r="B8755" i="2"/>
  <c r="A8755" i="2"/>
  <c r="D8754" i="2"/>
  <c r="C8754" i="2"/>
  <c r="B8754" i="2"/>
  <c r="A8754" i="2"/>
  <c r="D8753" i="2"/>
  <c r="C8753" i="2"/>
  <c r="B8753" i="2"/>
  <c r="A8753" i="2"/>
  <c r="D8752" i="2"/>
  <c r="C8752" i="2"/>
  <c r="B8752" i="2"/>
  <c r="A8752" i="2"/>
  <c r="D8751" i="2"/>
  <c r="C8751" i="2"/>
  <c r="B8751" i="2"/>
  <c r="A8751" i="2"/>
  <c r="D8750" i="2"/>
  <c r="C8750" i="2"/>
  <c r="B8750" i="2"/>
  <c r="A8750" i="2"/>
  <c r="D8749" i="2"/>
  <c r="C8749" i="2"/>
  <c r="B8749" i="2"/>
  <c r="A8749" i="2"/>
  <c r="D8748" i="2"/>
  <c r="C8748" i="2"/>
  <c r="B8748" i="2"/>
  <c r="A8748" i="2"/>
  <c r="D8747" i="2"/>
  <c r="C8747" i="2"/>
  <c r="B8747" i="2"/>
  <c r="A8747" i="2"/>
  <c r="D8746" i="2"/>
  <c r="C8746" i="2"/>
  <c r="B8746" i="2"/>
  <c r="A8746" i="2"/>
  <c r="D8745" i="2"/>
  <c r="C8745" i="2"/>
  <c r="B8745" i="2"/>
  <c r="A8745" i="2"/>
  <c r="D8744" i="2"/>
  <c r="C8744" i="2"/>
  <c r="B8744" i="2"/>
  <c r="A8744" i="2"/>
  <c r="D8743" i="2"/>
  <c r="C8743" i="2"/>
  <c r="B8743" i="2"/>
  <c r="A8743" i="2"/>
  <c r="D8742" i="2"/>
  <c r="C8742" i="2"/>
  <c r="B8742" i="2"/>
  <c r="A8742" i="2"/>
  <c r="D8741" i="2"/>
  <c r="C8741" i="2"/>
  <c r="B8741" i="2"/>
  <c r="A8741" i="2"/>
  <c r="D8740" i="2"/>
  <c r="C8740" i="2"/>
  <c r="B8740" i="2"/>
  <c r="A8740" i="2"/>
  <c r="D8739" i="2"/>
  <c r="C8739" i="2"/>
  <c r="B8739" i="2"/>
  <c r="A8739" i="2"/>
  <c r="D8738" i="2"/>
  <c r="C8738" i="2"/>
  <c r="B8738" i="2"/>
  <c r="A8738" i="2"/>
  <c r="D8737" i="2"/>
  <c r="C8737" i="2"/>
  <c r="B8737" i="2"/>
  <c r="A8737" i="2"/>
  <c r="D8736" i="2"/>
  <c r="C8736" i="2"/>
  <c r="B8736" i="2"/>
  <c r="A8736" i="2"/>
  <c r="D8735" i="2"/>
  <c r="C8735" i="2"/>
  <c r="B8735" i="2"/>
  <c r="A8735" i="2"/>
  <c r="D8734" i="2"/>
  <c r="C8734" i="2"/>
  <c r="B8734" i="2"/>
  <c r="A8734" i="2"/>
  <c r="D8733" i="2"/>
  <c r="C8733" i="2"/>
  <c r="B8733" i="2"/>
  <c r="A8733" i="2"/>
  <c r="D8732" i="2"/>
  <c r="C8732" i="2"/>
  <c r="B8732" i="2"/>
  <c r="A8732" i="2"/>
  <c r="D8731" i="2"/>
  <c r="C8731" i="2"/>
  <c r="B8731" i="2"/>
  <c r="A8731" i="2"/>
  <c r="D8730" i="2"/>
  <c r="C8730" i="2"/>
  <c r="B8730" i="2"/>
  <c r="A8730" i="2"/>
  <c r="D8729" i="2"/>
  <c r="C8729" i="2"/>
  <c r="B8729" i="2"/>
  <c r="A8729" i="2"/>
  <c r="D8728" i="2"/>
  <c r="C8728" i="2"/>
  <c r="B8728" i="2"/>
  <c r="A8728" i="2"/>
  <c r="D8727" i="2"/>
  <c r="C8727" i="2"/>
  <c r="B8727" i="2"/>
  <c r="A8727" i="2"/>
  <c r="D8726" i="2"/>
  <c r="C8726" i="2"/>
  <c r="B8726" i="2"/>
  <c r="A8726" i="2"/>
  <c r="D8725" i="2"/>
  <c r="C8725" i="2"/>
  <c r="B8725" i="2"/>
  <c r="A8725" i="2"/>
  <c r="D8724" i="2"/>
  <c r="C8724" i="2"/>
  <c r="B8724" i="2"/>
  <c r="A8724" i="2"/>
  <c r="D8723" i="2"/>
  <c r="C8723" i="2"/>
  <c r="B8723" i="2"/>
  <c r="A8723" i="2"/>
  <c r="D8722" i="2"/>
  <c r="C8722" i="2"/>
  <c r="B8722" i="2"/>
  <c r="A8722" i="2"/>
  <c r="D8721" i="2"/>
  <c r="C8721" i="2"/>
  <c r="B8721" i="2"/>
  <c r="A8721" i="2"/>
  <c r="D8720" i="2"/>
  <c r="C8720" i="2"/>
  <c r="B8720" i="2"/>
  <c r="A8720" i="2"/>
  <c r="D8719" i="2"/>
  <c r="C8719" i="2"/>
  <c r="B8719" i="2"/>
  <c r="A8719" i="2"/>
  <c r="D8718" i="2"/>
  <c r="C8718" i="2"/>
  <c r="B8718" i="2"/>
  <c r="A8718" i="2"/>
  <c r="D8717" i="2"/>
  <c r="C8717" i="2"/>
  <c r="B8717" i="2"/>
  <c r="A8717" i="2"/>
  <c r="D8716" i="2"/>
  <c r="C8716" i="2"/>
  <c r="B8716" i="2"/>
  <c r="A8716" i="2"/>
  <c r="D8715" i="2"/>
  <c r="C8715" i="2"/>
  <c r="B8715" i="2"/>
  <c r="A8715" i="2"/>
  <c r="D8714" i="2"/>
  <c r="C8714" i="2"/>
  <c r="B8714" i="2"/>
  <c r="A8714" i="2"/>
  <c r="D8713" i="2"/>
  <c r="C8713" i="2"/>
  <c r="B8713" i="2"/>
  <c r="A8713" i="2"/>
  <c r="D8712" i="2"/>
  <c r="C8712" i="2"/>
  <c r="B8712" i="2"/>
  <c r="A8712" i="2"/>
  <c r="D8711" i="2"/>
  <c r="C8711" i="2"/>
  <c r="B8711" i="2"/>
  <c r="A8711" i="2"/>
  <c r="D8710" i="2"/>
  <c r="C8710" i="2"/>
  <c r="B8710" i="2"/>
  <c r="A8710" i="2"/>
  <c r="D8709" i="2"/>
  <c r="C8709" i="2"/>
  <c r="B8709" i="2"/>
  <c r="A8709" i="2"/>
  <c r="D8708" i="2"/>
  <c r="C8708" i="2"/>
  <c r="B8708" i="2"/>
  <c r="A8708" i="2"/>
  <c r="D8707" i="2"/>
  <c r="C8707" i="2"/>
  <c r="B8707" i="2"/>
  <c r="A8707" i="2"/>
  <c r="D8706" i="2"/>
  <c r="C8706" i="2"/>
  <c r="B8706" i="2"/>
  <c r="A8706" i="2"/>
  <c r="D8705" i="2"/>
  <c r="C8705" i="2"/>
  <c r="B8705" i="2"/>
  <c r="A8705" i="2"/>
  <c r="D8704" i="2"/>
  <c r="C8704" i="2"/>
  <c r="B8704" i="2"/>
  <c r="A8704" i="2"/>
  <c r="D8703" i="2"/>
  <c r="C8703" i="2"/>
  <c r="B8703" i="2"/>
  <c r="A8703" i="2"/>
  <c r="D8702" i="2"/>
  <c r="C8702" i="2"/>
  <c r="B8702" i="2"/>
  <c r="A8702" i="2"/>
  <c r="D8701" i="2"/>
  <c r="C8701" i="2"/>
  <c r="B8701" i="2"/>
  <c r="A8701" i="2"/>
  <c r="D8700" i="2"/>
  <c r="C8700" i="2"/>
  <c r="B8700" i="2"/>
  <c r="A8700" i="2"/>
  <c r="D8699" i="2"/>
  <c r="C8699" i="2"/>
  <c r="B8699" i="2"/>
  <c r="A8699" i="2"/>
  <c r="D8698" i="2"/>
  <c r="C8698" i="2"/>
  <c r="B8698" i="2"/>
  <c r="A8698" i="2"/>
  <c r="D8697" i="2"/>
  <c r="C8697" i="2"/>
  <c r="B8697" i="2"/>
  <c r="A8697" i="2"/>
  <c r="D8696" i="2"/>
  <c r="C8696" i="2"/>
  <c r="B8696" i="2"/>
  <c r="A8696" i="2"/>
  <c r="D8695" i="2"/>
  <c r="C8695" i="2"/>
  <c r="B8695" i="2"/>
  <c r="A8695" i="2"/>
  <c r="D8694" i="2"/>
  <c r="C8694" i="2"/>
  <c r="B8694" i="2"/>
  <c r="A8694" i="2"/>
  <c r="D8693" i="2"/>
  <c r="C8693" i="2"/>
  <c r="B8693" i="2"/>
  <c r="A8693" i="2"/>
  <c r="D8692" i="2"/>
  <c r="C8692" i="2"/>
  <c r="B8692" i="2"/>
  <c r="A8692" i="2"/>
  <c r="D8691" i="2"/>
  <c r="C8691" i="2"/>
  <c r="B8691" i="2"/>
  <c r="A8691" i="2"/>
  <c r="D8690" i="2"/>
  <c r="C8690" i="2"/>
  <c r="B8690" i="2"/>
  <c r="A8690" i="2"/>
  <c r="D8689" i="2"/>
  <c r="C8689" i="2"/>
  <c r="B8689" i="2"/>
  <c r="A8689" i="2"/>
  <c r="D8688" i="2"/>
  <c r="B8688" i="2"/>
  <c r="A8688" i="2"/>
  <c r="D8687" i="2"/>
  <c r="C8687" i="2"/>
  <c r="B8687" i="2"/>
  <c r="A8687" i="2"/>
  <c r="D8686" i="2"/>
  <c r="C8686" i="2"/>
  <c r="B8686" i="2"/>
  <c r="A8686" i="2"/>
  <c r="D8685" i="2"/>
  <c r="C8685" i="2"/>
  <c r="B8685" i="2"/>
  <c r="A8685" i="2"/>
  <c r="D8684" i="2"/>
  <c r="C8684" i="2"/>
  <c r="B8684" i="2"/>
  <c r="A8684" i="2"/>
  <c r="D8683" i="2"/>
  <c r="C8683" i="2"/>
  <c r="B8683" i="2"/>
  <c r="A8683" i="2"/>
  <c r="D8682" i="2"/>
  <c r="C8682" i="2"/>
  <c r="B8682" i="2"/>
  <c r="A8682" i="2"/>
  <c r="D8681" i="2"/>
  <c r="B8681" i="2"/>
  <c r="A8681" i="2"/>
  <c r="D8680" i="2"/>
  <c r="C8680" i="2"/>
  <c r="B8680" i="2"/>
  <c r="A8680" i="2"/>
  <c r="D8679" i="2"/>
  <c r="C8679" i="2"/>
  <c r="B8679" i="2"/>
  <c r="A8679" i="2"/>
  <c r="D8678" i="2"/>
  <c r="C8678" i="2"/>
  <c r="B8678" i="2"/>
  <c r="A8678" i="2"/>
  <c r="D8677" i="2"/>
  <c r="C8677" i="2"/>
  <c r="B8677" i="2"/>
  <c r="A8677" i="2"/>
  <c r="D8676" i="2"/>
  <c r="C8676" i="2"/>
  <c r="B8676" i="2"/>
  <c r="A8676" i="2"/>
  <c r="D8675" i="2"/>
  <c r="C8675" i="2"/>
  <c r="B8675" i="2"/>
  <c r="A8675" i="2"/>
  <c r="D8674" i="2"/>
  <c r="C8674" i="2"/>
  <c r="B8674" i="2"/>
  <c r="A8674" i="2"/>
  <c r="D8673" i="2"/>
  <c r="C8673" i="2"/>
  <c r="B8673" i="2"/>
  <c r="A8673" i="2"/>
  <c r="D8672" i="2"/>
  <c r="C8672" i="2"/>
  <c r="B8672" i="2"/>
  <c r="A8672" i="2"/>
  <c r="D8671" i="2"/>
  <c r="C8671" i="2"/>
  <c r="B8671" i="2"/>
  <c r="A8671" i="2"/>
  <c r="D8670" i="2"/>
  <c r="C8670" i="2"/>
  <c r="B8670" i="2"/>
  <c r="A8670" i="2"/>
  <c r="D8669" i="2"/>
  <c r="C8669" i="2"/>
  <c r="B8669" i="2"/>
  <c r="A8669" i="2"/>
  <c r="D8668" i="2"/>
  <c r="C8668" i="2"/>
  <c r="B8668" i="2"/>
  <c r="A8668" i="2"/>
  <c r="D8667" i="2"/>
  <c r="C8667" i="2"/>
  <c r="B8667" i="2"/>
  <c r="A8667" i="2"/>
  <c r="D8666" i="2"/>
  <c r="B8666" i="2"/>
  <c r="A8666" i="2"/>
  <c r="D8665" i="2"/>
  <c r="C8665" i="2"/>
  <c r="B8665" i="2"/>
  <c r="A8665" i="2"/>
  <c r="D8664" i="2"/>
  <c r="C8664" i="2"/>
  <c r="B8664" i="2"/>
  <c r="A8664" i="2"/>
  <c r="D8663" i="2"/>
  <c r="C8663" i="2"/>
  <c r="B8663" i="2"/>
  <c r="A8663" i="2"/>
  <c r="D8662" i="2"/>
  <c r="C8662" i="2"/>
  <c r="B8662" i="2"/>
  <c r="A8662" i="2"/>
  <c r="D8661" i="2"/>
  <c r="B8661" i="2"/>
  <c r="A8661" i="2"/>
  <c r="D8660" i="2"/>
  <c r="C8660" i="2"/>
  <c r="B8660" i="2"/>
  <c r="A8660" i="2"/>
  <c r="D8659" i="2"/>
  <c r="B8659" i="2"/>
  <c r="A8659" i="2"/>
  <c r="D8658" i="2"/>
  <c r="C8658" i="2"/>
  <c r="B8658" i="2"/>
  <c r="A8658" i="2"/>
  <c r="D8657" i="2"/>
  <c r="B8657" i="2"/>
  <c r="A8657" i="2"/>
  <c r="D8656" i="2"/>
  <c r="B8656" i="2"/>
  <c r="A8656" i="2"/>
  <c r="D8655" i="2"/>
  <c r="C8655" i="2"/>
  <c r="B8655" i="2"/>
  <c r="A8655" i="2"/>
  <c r="D8654" i="2"/>
  <c r="B8654" i="2"/>
  <c r="A8654" i="2"/>
  <c r="D8653" i="2"/>
  <c r="C8653" i="2"/>
  <c r="B8653" i="2"/>
  <c r="A8653" i="2"/>
  <c r="D8652" i="2"/>
  <c r="B8652" i="2"/>
  <c r="A8652" i="2"/>
  <c r="D8651" i="2"/>
  <c r="B8651" i="2"/>
  <c r="A8651" i="2"/>
  <c r="D8650" i="2"/>
  <c r="B8650" i="2"/>
  <c r="A8650" i="2"/>
  <c r="D8649" i="2"/>
  <c r="B8649" i="2"/>
  <c r="A8649" i="2"/>
  <c r="D8648" i="2"/>
  <c r="C8648" i="2"/>
  <c r="B8648" i="2"/>
  <c r="A8648" i="2"/>
  <c r="D8647" i="2"/>
  <c r="B8647" i="2"/>
  <c r="A8647" i="2"/>
  <c r="D8646" i="2"/>
  <c r="C8646" i="2"/>
  <c r="B8646" i="2"/>
  <c r="A8646" i="2"/>
  <c r="D8645" i="2"/>
  <c r="C8645" i="2"/>
  <c r="B8645" i="2"/>
  <c r="A8645" i="2"/>
  <c r="D8644" i="2"/>
  <c r="C8644" i="2"/>
  <c r="B8644" i="2"/>
  <c r="A8644" i="2"/>
  <c r="D8643" i="2"/>
  <c r="C8643" i="2"/>
  <c r="B8643" i="2"/>
  <c r="A8643" i="2"/>
  <c r="D8642" i="2"/>
  <c r="C8642" i="2"/>
  <c r="B8642" i="2"/>
  <c r="A8642" i="2"/>
  <c r="D8641" i="2"/>
  <c r="B8641" i="2"/>
  <c r="A8641" i="2"/>
  <c r="D8640" i="2"/>
  <c r="C8640" i="2"/>
  <c r="B8640" i="2"/>
  <c r="A8640" i="2"/>
  <c r="D8639" i="2"/>
  <c r="B8639" i="2"/>
  <c r="A8639" i="2"/>
  <c r="D8638" i="2"/>
  <c r="C8638" i="2"/>
  <c r="B8638" i="2"/>
  <c r="A8638" i="2"/>
  <c r="D8637" i="2"/>
  <c r="B8637" i="2"/>
  <c r="A8637" i="2"/>
  <c r="D8636" i="2"/>
  <c r="B8636" i="2"/>
  <c r="A8636" i="2"/>
  <c r="D8635" i="2"/>
  <c r="B8635" i="2"/>
  <c r="A8635" i="2"/>
  <c r="D8634" i="2"/>
  <c r="B8634" i="2"/>
  <c r="A8634" i="2"/>
  <c r="D8633" i="2"/>
  <c r="C8633" i="2"/>
  <c r="B8633" i="2"/>
  <c r="A8633" i="2"/>
  <c r="D8632" i="2"/>
  <c r="C8632" i="2"/>
  <c r="B8632" i="2"/>
  <c r="A8632" i="2"/>
  <c r="D8631" i="2"/>
  <c r="C8631" i="2"/>
  <c r="B8631" i="2"/>
  <c r="A8631" i="2"/>
  <c r="D8630" i="2"/>
  <c r="C8630" i="2"/>
  <c r="B8630" i="2"/>
  <c r="A8630" i="2"/>
  <c r="D8629" i="2"/>
  <c r="C8629" i="2"/>
  <c r="B8629" i="2"/>
  <c r="A8629" i="2"/>
  <c r="D8628" i="2"/>
  <c r="B8628" i="2"/>
  <c r="A8628" i="2"/>
  <c r="D8627" i="2"/>
  <c r="B8627" i="2"/>
  <c r="A8627" i="2"/>
  <c r="D8626" i="2"/>
  <c r="B8626" i="2"/>
  <c r="A8626" i="2"/>
  <c r="D8625" i="2"/>
  <c r="B8625" i="2"/>
  <c r="A8625" i="2"/>
  <c r="D8624" i="2"/>
  <c r="B8624" i="2"/>
  <c r="A8624" i="2"/>
  <c r="D8623" i="2"/>
  <c r="C8623" i="2"/>
  <c r="B8623" i="2"/>
  <c r="A8623" i="2"/>
  <c r="D8622" i="2"/>
  <c r="B8622" i="2"/>
  <c r="A8622" i="2"/>
  <c r="D8621" i="2"/>
  <c r="B8621" i="2"/>
  <c r="A8621" i="2"/>
  <c r="D8620" i="2"/>
  <c r="C8620" i="2"/>
  <c r="B8620" i="2"/>
  <c r="A8620" i="2"/>
  <c r="D8619" i="2"/>
  <c r="C8619" i="2"/>
  <c r="B8619" i="2"/>
  <c r="A8619" i="2"/>
  <c r="D8618" i="2"/>
  <c r="C8618" i="2"/>
  <c r="B8618" i="2"/>
  <c r="A8618" i="2"/>
  <c r="D8617" i="2"/>
  <c r="B8617" i="2"/>
  <c r="A8617" i="2"/>
  <c r="D8616" i="2"/>
  <c r="B8616" i="2"/>
  <c r="A8616" i="2"/>
  <c r="D8615" i="2"/>
  <c r="B8615" i="2"/>
  <c r="A8615" i="2"/>
  <c r="D8614" i="2"/>
  <c r="C8614" i="2"/>
  <c r="B8614" i="2"/>
  <c r="A8614" i="2"/>
  <c r="D8613" i="2"/>
  <c r="C8613" i="2"/>
  <c r="B8613" i="2"/>
  <c r="A8613" i="2"/>
  <c r="D8612" i="2"/>
  <c r="C8612" i="2"/>
  <c r="B8612" i="2"/>
  <c r="A8612" i="2"/>
  <c r="D8611" i="2"/>
  <c r="B8611" i="2"/>
  <c r="A8611" i="2"/>
  <c r="D8610" i="2"/>
  <c r="C8610" i="2"/>
  <c r="B8610" i="2"/>
  <c r="A8610" i="2"/>
  <c r="D8609" i="2"/>
  <c r="C8609" i="2"/>
  <c r="B8609" i="2"/>
  <c r="A8609" i="2"/>
  <c r="D8608" i="2"/>
  <c r="C8608" i="2"/>
  <c r="B8608" i="2"/>
  <c r="A8608" i="2"/>
  <c r="D8607" i="2"/>
  <c r="C8607" i="2"/>
  <c r="B8607" i="2"/>
  <c r="A8607" i="2"/>
  <c r="D8606" i="2"/>
  <c r="C8606" i="2"/>
  <c r="B8606" i="2"/>
  <c r="A8606" i="2"/>
  <c r="D8605" i="2"/>
  <c r="C8605" i="2"/>
  <c r="B8605" i="2"/>
  <c r="A8605" i="2"/>
  <c r="D8604" i="2"/>
  <c r="C8604" i="2"/>
  <c r="B8604" i="2"/>
  <c r="A8604" i="2"/>
  <c r="D8603" i="2"/>
  <c r="C8603" i="2"/>
  <c r="B8603" i="2"/>
  <c r="A8603" i="2"/>
  <c r="D8602" i="2"/>
  <c r="C8602" i="2"/>
  <c r="B8602" i="2"/>
  <c r="A8602" i="2"/>
  <c r="D8601" i="2"/>
  <c r="C8601" i="2"/>
  <c r="B8601" i="2"/>
  <c r="A8601" i="2"/>
  <c r="D8600" i="2"/>
  <c r="C8600" i="2"/>
  <c r="B8600" i="2"/>
  <c r="A8600" i="2"/>
  <c r="D8599" i="2"/>
  <c r="C8599" i="2"/>
  <c r="B8599" i="2"/>
  <c r="A8599" i="2"/>
  <c r="D8598" i="2"/>
  <c r="C8598" i="2"/>
  <c r="B8598" i="2"/>
  <c r="A8598" i="2"/>
  <c r="D8597" i="2"/>
  <c r="C8597" i="2"/>
  <c r="B8597" i="2"/>
  <c r="A8597" i="2"/>
  <c r="D8596" i="2"/>
  <c r="C8596" i="2"/>
  <c r="B8596" i="2"/>
  <c r="A8596" i="2"/>
  <c r="D8595" i="2"/>
  <c r="C8595" i="2"/>
  <c r="B8595" i="2"/>
  <c r="A8595" i="2"/>
  <c r="D8594" i="2"/>
  <c r="C8594" i="2"/>
  <c r="B8594" i="2"/>
  <c r="A8594" i="2"/>
  <c r="D8593" i="2"/>
  <c r="C8593" i="2"/>
  <c r="B8593" i="2"/>
  <c r="A8593" i="2"/>
  <c r="D8592" i="2"/>
  <c r="B8592" i="2"/>
  <c r="A8592" i="2"/>
  <c r="D8591" i="2"/>
  <c r="C8591" i="2"/>
  <c r="B8591" i="2"/>
  <c r="A8591" i="2"/>
  <c r="D8590" i="2"/>
  <c r="C8590" i="2"/>
  <c r="B8590" i="2"/>
  <c r="A8590" i="2"/>
  <c r="D8589" i="2"/>
  <c r="C8589" i="2"/>
  <c r="B8589" i="2"/>
  <c r="A8589" i="2"/>
  <c r="D8588" i="2"/>
  <c r="C8588" i="2"/>
  <c r="B8588" i="2"/>
  <c r="A8588" i="2"/>
  <c r="D8587" i="2"/>
  <c r="C8587" i="2"/>
  <c r="B8587" i="2"/>
  <c r="A8587" i="2"/>
  <c r="D8586" i="2"/>
  <c r="C8586" i="2"/>
  <c r="B8586" i="2"/>
  <c r="A8586" i="2"/>
  <c r="D8585" i="2"/>
  <c r="C8585" i="2"/>
  <c r="B8585" i="2"/>
  <c r="A8585" i="2"/>
  <c r="D8584" i="2"/>
  <c r="C8584" i="2"/>
  <c r="B8584" i="2"/>
  <c r="A8584" i="2"/>
  <c r="D8583" i="2"/>
  <c r="C8583" i="2"/>
  <c r="B8583" i="2"/>
  <c r="A8583" i="2"/>
  <c r="D8582" i="2"/>
  <c r="C8582" i="2"/>
  <c r="B8582" i="2"/>
  <c r="A8582" i="2"/>
  <c r="D8581" i="2"/>
  <c r="C8581" i="2"/>
  <c r="B8581" i="2"/>
  <c r="A8581" i="2"/>
  <c r="D8580" i="2"/>
  <c r="C8580" i="2"/>
  <c r="B8580" i="2"/>
  <c r="A8580" i="2"/>
  <c r="D8579" i="2"/>
  <c r="C8579" i="2"/>
  <c r="B8579" i="2"/>
  <c r="A8579" i="2"/>
  <c r="D8578" i="2"/>
  <c r="C8578" i="2"/>
  <c r="B8578" i="2"/>
  <c r="A8578" i="2"/>
  <c r="D8577" i="2"/>
  <c r="B8577" i="2"/>
  <c r="A8577" i="2"/>
  <c r="D8576" i="2"/>
  <c r="C8576" i="2"/>
  <c r="B8576" i="2"/>
  <c r="A8576" i="2"/>
  <c r="D8575" i="2"/>
  <c r="C8575" i="2"/>
  <c r="B8575" i="2"/>
  <c r="A8575" i="2"/>
  <c r="D8574" i="2"/>
  <c r="C8574" i="2"/>
  <c r="B8574" i="2"/>
  <c r="A8574" i="2"/>
  <c r="D8573" i="2"/>
  <c r="C8573" i="2"/>
  <c r="B8573" i="2"/>
  <c r="A8573" i="2"/>
  <c r="D8572" i="2"/>
  <c r="B8572" i="2"/>
  <c r="A8572" i="2"/>
  <c r="D8571" i="2"/>
  <c r="C8571" i="2"/>
  <c r="B8571" i="2"/>
  <c r="A8571" i="2"/>
  <c r="D8570" i="2"/>
  <c r="C8570" i="2"/>
  <c r="B8570" i="2"/>
  <c r="A8570" i="2"/>
  <c r="D8569" i="2"/>
  <c r="C8569" i="2"/>
  <c r="B8569" i="2"/>
  <c r="A8569" i="2"/>
  <c r="D8568" i="2"/>
  <c r="C8568" i="2"/>
  <c r="B8568" i="2"/>
  <c r="A8568" i="2"/>
  <c r="D8567" i="2"/>
  <c r="C8567" i="2"/>
  <c r="B8567" i="2"/>
  <c r="A8567" i="2"/>
  <c r="D8566" i="2"/>
  <c r="C8566" i="2"/>
  <c r="B8566" i="2"/>
  <c r="A8566" i="2"/>
  <c r="D8565" i="2"/>
  <c r="C8565" i="2"/>
  <c r="B8565" i="2"/>
  <c r="A8565" i="2"/>
  <c r="D8564" i="2"/>
  <c r="C8564" i="2"/>
  <c r="B8564" i="2"/>
  <c r="A8564" i="2"/>
  <c r="D8563" i="2"/>
  <c r="C8563" i="2"/>
  <c r="B8563" i="2"/>
  <c r="A8563" i="2"/>
  <c r="D8562" i="2"/>
  <c r="C8562" i="2"/>
  <c r="B8562" i="2"/>
  <c r="A8562" i="2"/>
  <c r="D8561" i="2"/>
  <c r="C8561" i="2"/>
  <c r="B8561" i="2"/>
  <c r="A8561" i="2"/>
  <c r="D8560" i="2"/>
  <c r="C8560" i="2"/>
  <c r="B8560" i="2"/>
  <c r="A8560" i="2"/>
  <c r="D8559" i="2"/>
  <c r="C8559" i="2"/>
  <c r="B8559" i="2"/>
  <c r="A8559" i="2"/>
  <c r="D8558" i="2"/>
  <c r="C8558" i="2"/>
  <c r="B8558" i="2"/>
  <c r="A8558" i="2"/>
  <c r="D8557" i="2"/>
  <c r="C8557" i="2"/>
  <c r="B8557" i="2"/>
  <c r="A8557" i="2"/>
  <c r="D8556" i="2"/>
  <c r="C8556" i="2"/>
  <c r="B8556" i="2"/>
  <c r="A8556" i="2"/>
  <c r="D8555" i="2"/>
  <c r="C8555" i="2"/>
  <c r="B8555" i="2"/>
  <c r="A8555" i="2"/>
  <c r="D8554" i="2"/>
  <c r="C8554" i="2"/>
  <c r="B8554" i="2"/>
  <c r="A8554" i="2"/>
  <c r="D8553" i="2"/>
  <c r="C8553" i="2"/>
  <c r="B8553" i="2"/>
  <c r="A8553" i="2"/>
  <c r="D8552" i="2"/>
  <c r="C8552" i="2"/>
  <c r="B8552" i="2"/>
  <c r="A8552" i="2"/>
  <c r="D8551" i="2"/>
  <c r="C8551" i="2"/>
  <c r="B8551" i="2"/>
  <c r="A8551" i="2"/>
  <c r="D8550" i="2"/>
  <c r="C8550" i="2"/>
  <c r="B8550" i="2"/>
  <c r="A8550" i="2"/>
  <c r="D8549" i="2"/>
  <c r="C8549" i="2"/>
  <c r="B8549" i="2"/>
  <c r="A8549" i="2"/>
  <c r="D8548" i="2"/>
  <c r="C8548" i="2"/>
  <c r="B8548" i="2"/>
  <c r="A8548" i="2"/>
  <c r="D8547" i="2"/>
  <c r="C8547" i="2"/>
  <c r="B8547" i="2"/>
  <c r="A8547" i="2"/>
  <c r="D8546" i="2"/>
  <c r="C8546" i="2"/>
  <c r="B8546" i="2"/>
  <c r="A8546" i="2"/>
  <c r="D8545" i="2"/>
  <c r="C8545" i="2"/>
  <c r="B8545" i="2"/>
  <c r="A8545" i="2"/>
  <c r="D8544" i="2"/>
  <c r="C8544" i="2"/>
  <c r="B8544" i="2"/>
  <c r="A8544" i="2"/>
  <c r="D8543" i="2"/>
  <c r="C8543" i="2"/>
  <c r="B8543" i="2"/>
  <c r="A8543" i="2"/>
  <c r="D8542" i="2"/>
  <c r="C8542" i="2"/>
  <c r="B8542" i="2"/>
  <c r="A8542" i="2"/>
  <c r="D8541" i="2"/>
  <c r="C8541" i="2"/>
  <c r="B8541" i="2"/>
  <c r="A8541" i="2"/>
  <c r="D8540" i="2"/>
  <c r="C8540" i="2"/>
  <c r="B8540" i="2"/>
  <c r="A8540" i="2"/>
  <c r="D8539" i="2"/>
  <c r="C8539" i="2"/>
  <c r="B8539" i="2"/>
  <c r="A8539" i="2"/>
  <c r="D8538" i="2"/>
  <c r="C8538" i="2"/>
  <c r="B8538" i="2"/>
  <c r="A8538" i="2"/>
  <c r="D8537" i="2"/>
  <c r="C8537" i="2"/>
  <c r="B8537" i="2"/>
  <c r="A8537" i="2"/>
  <c r="D8536" i="2"/>
  <c r="C8536" i="2"/>
  <c r="B8536" i="2"/>
  <c r="A8536" i="2"/>
  <c r="D8535" i="2"/>
  <c r="C8535" i="2"/>
  <c r="B8535" i="2"/>
  <c r="A8535" i="2"/>
  <c r="D8534" i="2"/>
  <c r="C8534" i="2"/>
  <c r="B8534" i="2"/>
  <c r="A8534" i="2"/>
  <c r="D8533" i="2"/>
  <c r="C8533" i="2"/>
  <c r="B8533" i="2"/>
  <c r="A8533" i="2"/>
  <c r="D8532" i="2"/>
  <c r="C8532" i="2"/>
  <c r="B8532" i="2"/>
  <c r="A8532" i="2"/>
  <c r="D8531" i="2"/>
  <c r="C8531" i="2"/>
  <c r="B8531" i="2"/>
  <c r="A8531" i="2"/>
  <c r="D8530" i="2"/>
  <c r="C8530" i="2"/>
  <c r="B8530" i="2"/>
  <c r="A8530" i="2"/>
  <c r="D8529" i="2"/>
  <c r="C8529" i="2"/>
  <c r="B8529" i="2"/>
  <c r="A8529" i="2"/>
  <c r="D8528" i="2"/>
  <c r="C8528" i="2"/>
  <c r="B8528" i="2"/>
  <c r="A8528" i="2"/>
  <c r="D8527" i="2"/>
  <c r="C8527" i="2"/>
  <c r="B8527" i="2"/>
  <c r="A8527" i="2"/>
  <c r="D8526" i="2"/>
  <c r="C8526" i="2"/>
  <c r="B8526" i="2"/>
  <c r="A8526" i="2"/>
  <c r="D8525" i="2"/>
  <c r="C8525" i="2"/>
  <c r="B8525" i="2"/>
  <c r="A8525" i="2"/>
  <c r="D8524" i="2"/>
  <c r="C8524" i="2"/>
  <c r="B8524" i="2"/>
  <c r="A8524" i="2"/>
  <c r="D8523" i="2"/>
  <c r="C8523" i="2"/>
  <c r="B8523" i="2"/>
  <c r="A8523" i="2"/>
  <c r="D8522" i="2"/>
  <c r="C8522" i="2"/>
  <c r="B8522" i="2"/>
  <c r="A8522" i="2"/>
  <c r="D8521" i="2"/>
  <c r="C8521" i="2"/>
  <c r="B8521" i="2"/>
  <c r="A8521" i="2"/>
  <c r="D8520" i="2"/>
  <c r="C8520" i="2"/>
  <c r="B8520" i="2"/>
  <c r="A8520" i="2"/>
  <c r="D8519" i="2"/>
  <c r="C8519" i="2"/>
  <c r="B8519" i="2"/>
  <c r="A8519" i="2"/>
  <c r="D8518" i="2"/>
  <c r="C8518" i="2"/>
  <c r="B8518" i="2"/>
  <c r="A8518" i="2"/>
  <c r="D8517" i="2"/>
  <c r="C8517" i="2"/>
  <c r="B8517" i="2"/>
  <c r="A8517" i="2"/>
  <c r="D8516" i="2"/>
  <c r="C8516" i="2"/>
  <c r="B8516" i="2"/>
  <c r="A8516" i="2"/>
  <c r="D8515" i="2"/>
  <c r="C8515" i="2"/>
  <c r="B8515" i="2"/>
  <c r="A8515" i="2"/>
  <c r="D8514" i="2"/>
  <c r="C8514" i="2"/>
  <c r="B8514" i="2"/>
  <c r="A8514" i="2"/>
  <c r="D8513" i="2"/>
  <c r="C8513" i="2"/>
  <c r="B8513" i="2"/>
  <c r="A8513" i="2"/>
  <c r="D8512" i="2"/>
  <c r="C8512" i="2"/>
  <c r="B8512" i="2"/>
  <c r="A8512" i="2"/>
  <c r="D8511" i="2"/>
  <c r="C8511" i="2"/>
  <c r="B8511" i="2"/>
  <c r="A8511" i="2"/>
  <c r="D8510" i="2"/>
  <c r="C8510" i="2"/>
  <c r="B8510" i="2"/>
  <c r="A8510" i="2"/>
  <c r="D8509" i="2"/>
  <c r="C8509" i="2"/>
  <c r="B8509" i="2"/>
  <c r="A8509" i="2"/>
  <c r="D8508" i="2"/>
  <c r="C8508" i="2"/>
  <c r="B8508" i="2"/>
  <c r="A8508" i="2"/>
  <c r="D8507" i="2"/>
  <c r="C8507" i="2"/>
  <c r="B8507" i="2"/>
  <c r="A8507" i="2"/>
  <c r="D8506" i="2"/>
  <c r="C8506" i="2"/>
  <c r="B8506" i="2"/>
  <c r="A8506" i="2"/>
  <c r="D8505" i="2"/>
  <c r="C8505" i="2"/>
  <c r="B8505" i="2"/>
  <c r="A8505" i="2"/>
  <c r="D8504" i="2"/>
  <c r="C8504" i="2"/>
  <c r="B8504" i="2"/>
  <c r="A8504" i="2"/>
  <c r="D8503" i="2"/>
  <c r="C8503" i="2"/>
  <c r="B8503" i="2"/>
  <c r="A8503" i="2"/>
  <c r="D8502" i="2"/>
  <c r="C8502" i="2"/>
  <c r="B8502" i="2"/>
  <c r="A8502" i="2"/>
  <c r="D8501" i="2"/>
  <c r="C8501" i="2"/>
  <c r="B8501" i="2"/>
  <c r="A8501" i="2"/>
  <c r="D8500" i="2"/>
  <c r="C8500" i="2"/>
  <c r="B8500" i="2"/>
  <c r="A8500" i="2"/>
  <c r="D8499" i="2"/>
  <c r="C8499" i="2"/>
  <c r="B8499" i="2"/>
  <c r="A8499" i="2"/>
  <c r="D8498" i="2"/>
  <c r="C8498" i="2"/>
  <c r="B8498" i="2"/>
  <c r="A8498" i="2"/>
  <c r="D8497" i="2"/>
  <c r="C8497" i="2"/>
  <c r="B8497" i="2"/>
  <c r="A8497" i="2"/>
  <c r="D8496" i="2"/>
  <c r="C8496" i="2"/>
  <c r="B8496" i="2"/>
  <c r="A8496" i="2"/>
  <c r="D8495" i="2"/>
  <c r="C8495" i="2"/>
  <c r="B8495" i="2"/>
  <c r="A8495" i="2"/>
  <c r="D8494" i="2"/>
  <c r="C8494" i="2"/>
  <c r="B8494" i="2"/>
  <c r="A8494" i="2"/>
  <c r="D8493" i="2"/>
  <c r="C8493" i="2"/>
  <c r="B8493" i="2"/>
  <c r="A8493" i="2"/>
  <c r="D8492" i="2"/>
  <c r="C8492" i="2"/>
  <c r="B8492" i="2"/>
  <c r="A8492" i="2"/>
  <c r="D8491" i="2"/>
  <c r="C8491" i="2"/>
  <c r="B8491" i="2"/>
  <c r="A8491" i="2"/>
  <c r="D8490" i="2"/>
  <c r="C8490" i="2"/>
  <c r="B8490" i="2"/>
  <c r="A8490" i="2"/>
  <c r="D8489" i="2"/>
  <c r="C8489" i="2"/>
  <c r="B8489" i="2"/>
  <c r="A8489" i="2"/>
  <c r="D8488" i="2"/>
  <c r="C8488" i="2"/>
  <c r="B8488" i="2"/>
  <c r="A8488" i="2"/>
  <c r="D8487" i="2"/>
  <c r="C8487" i="2"/>
  <c r="B8487" i="2"/>
  <c r="A8487" i="2"/>
  <c r="D8486" i="2"/>
  <c r="C8486" i="2"/>
  <c r="B8486" i="2"/>
  <c r="A8486" i="2"/>
  <c r="D8485" i="2"/>
  <c r="C8485" i="2"/>
  <c r="B8485" i="2"/>
  <c r="A8485" i="2"/>
  <c r="D8484" i="2"/>
  <c r="C8484" i="2"/>
  <c r="B8484" i="2"/>
  <c r="A8484" i="2"/>
  <c r="D8483" i="2"/>
  <c r="C8483" i="2"/>
  <c r="B8483" i="2"/>
  <c r="A8483" i="2"/>
  <c r="D8482" i="2"/>
  <c r="C8482" i="2"/>
  <c r="B8482" i="2"/>
  <c r="A8482" i="2"/>
  <c r="D8481" i="2"/>
  <c r="C8481" i="2"/>
  <c r="B8481" i="2"/>
  <c r="A8481" i="2"/>
  <c r="D8480" i="2"/>
  <c r="C8480" i="2"/>
  <c r="B8480" i="2"/>
  <c r="A8480" i="2"/>
  <c r="D8479" i="2"/>
  <c r="C8479" i="2"/>
  <c r="B8479" i="2"/>
  <c r="A8479" i="2"/>
  <c r="D8478" i="2"/>
  <c r="C8478" i="2"/>
  <c r="B8478" i="2"/>
  <c r="A8478" i="2"/>
  <c r="D8477" i="2"/>
  <c r="C8477" i="2"/>
  <c r="B8477" i="2"/>
  <c r="A8477" i="2"/>
  <c r="D8476" i="2"/>
  <c r="C8476" i="2"/>
  <c r="B8476" i="2"/>
  <c r="A8476" i="2"/>
  <c r="D8475" i="2"/>
  <c r="C8475" i="2"/>
  <c r="B8475" i="2"/>
  <c r="A8475" i="2"/>
  <c r="D8474" i="2"/>
  <c r="C8474" i="2"/>
  <c r="B8474" i="2"/>
  <c r="A8474" i="2"/>
  <c r="D8473" i="2"/>
  <c r="C8473" i="2"/>
  <c r="B8473" i="2"/>
  <c r="A8473" i="2"/>
  <c r="D8472" i="2"/>
  <c r="C8472" i="2"/>
  <c r="B8472" i="2"/>
  <c r="A8472" i="2"/>
  <c r="D8471" i="2"/>
  <c r="C8471" i="2"/>
  <c r="B8471" i="2"/>
  <c r="A8471" i="2"/>
  <c r="D8470" i="2"/>
  <c r="C8470" i="2"/>
  <c r="B8470" i="2"/>
  <c r="A8470" i="2"/>
  <c r="D8469" i="2"/>
  <c r="C8469" i="2"/>
  <c r="B8469" i="2"/>
  <c r="A8469" i="2"/>
  <c r="D8468" i="2"/>
  <c r="C8468" i="2"/>
  <c r="B8468" i="2"/>
  <c r="A8468" i="2"/>
  <c r="D8467" i="2"/>
  <c r="C8467" i="2"/>
  <c r="B8467" i="2"/>
  <c r="A8467" i="2"/>
  <c r="D8466" i="2"/>
  <c r="C8466" i="2"/>
  <c r="B8466" i="2"/>
  <c r="A8466" i="2"/>
  <c r="D8465" i="2"/>
  <c r="C8465" i="2"/>
  <c r="B8465" i="2"/>
  <c r="A8465" i="2"/>
  <c r="D8464" i="2"/>
  <c r="C8464" i="2"/>
  <c r="B8464" i="2"/>
  <c r="A8464" i="2"/>
  <c r="D8463" i="2"/>
  <c r="C8463" i="2"/>
  <c r="B8463" i="2"/>
  <c r="A8463" i="2"/>
  <c r="D8462" i="2"/>
  <c r="C8462" i="2"/>
  <c r="B8462" i="2"/>
  <c r="A8462" i="2"/>
  <c r="D8461" i="2"/>
  <c r="C8461" i="2"/>
  <c r="B8461" i="2"/>
  <c r="A8461" i="2"/>
  <c r="D8460" i="2"/>
  <c r="C8460" i="2"/>
  <c r="B8460" i="2"/>
  <c r="A8460" i="2"/>
  <c r="D8459" i="2"/>
  <c r="C8459" i="2"/>
  <c r="B8459" i="2"/>
  <c r="A8459" i="2"/>
  <c r="D8458" i="2"/>
  <c r="C8458" i="2"/>
  <c r="B8458" i="2"/>
  <c r="A8458" i="2"/>
  <c r="D8457" i="2"/>
  <c r="C8457" i="2"/>
  <c r="B8457" i="2"/>
  <c r="A8457" i="2"/>
  <c r="D8456" i="2"/>
  <c r="C8456" i="2"/>
  <c r="B8456" i="2"/>
  <c r="A8456" i="2"/>
  <c r="D8455" i="2"/>
  <c r="C8455" i="2"/>
  <c r="B8455" i="2"/>
  <c r="A8455" i="2"/>
  <c r="D8454" i="2"/>
  <c r="C8454" i="2"/>
  <c r="B8454" i="2"/>
  <c r="A8454" i="2"/>
  <c r="D8453" i="2"/>
  <c r="C8453" i="2"/>
  <c r="B8453" i="2"/>
  <c r="A8453" i="2"/>
  <c r="D8452" i="2"/>
  <c r="C8452" i="2"/>
  <c r="B8452" i="2"/>
  <c r="A8452" i="2"/>
  <c r="D8451" i="2"/>
  <c r="C8451" i="2"/>
  <c r="B8451" i="2"/>
  <c r="A8451" i="2"/>
  <c r="D8450" i="2"/>
  <c r="C8450" i="2"/>
  <c r="B8450" i="2"/>
  <c r="A8450" i="2"/>
  <c r="D8449" i="2"/>
  <c r="C8449" i="2"/>
  <c r="B8449" i="2"/>
  <c r="A8449" i="2"/>
  <c r="D8448" i="2"/>
  <c r="C8448" i="2"/>
  <c r="B8448" i="2"/>
  <c r="A8448" i="2"/>
  <c r="D8447" i="2"/>
  <c r="C8447" i="2"/>
  <c r="B8447" i="2"/>
  <c r="A8447" i="2"/>
  <c r="D8446" i="2"/>
  <c r="C8446" i="2"/>
  <c r="B8446" i="2"/>
  <c r="A8446" i="2"/>
  <c r="D8445" i="2"/>
  <c r="C8445" i="2"/>
  <c r="B8445" i="2"/>
  <c r="A8445" i="2"/>
  <c r="D8444" i="2"/>
  <c r="C8444" i="2"/>
  <c r="B8444" i="2"/>
  <c r="A8444" i="2"/>
  <c r="D8443" i="2"/>
  <c r="C8443" i="2"/>
  <c r="B8443" i="2"/>
  <c r="A8443" i="2"/>
  <c r="D8442" i="2"/>
  <c r="C8442" i="2"/>
  <c r="B8442" i="2"/>
  <c r="A8442" i="2"/>
  <c r="D8441" i="2"/>
  <c r="C8441" i="2"/>
  <c r="B8441" i="2"/>
  <c r="A8441" i="2"/>
  <c r="D8440" i="2"/>
  <c r="C8440" i="2"/>
  <c r="B8440" i="2"/>
  <c r="A8440" i="2"/>
  <c r="D8439" i="2"/>
  <c r="C8439" i="2"/>
  <c r="B8439" i="2"/>
  <c r="A8439" i="2"/>
  <c r="D8438" i="2"/>
  <c r="C8438" i="2"/>
  <c r="B8438" i="2"/>
  <c r="A8438" i="2"/>
  <c r="D8437" i="2"/>
  <c r="C8437" i="2"/>
  <c r="B8437" i="2"/>
  <c r="A8437" i="2"/>
  <c r="D8436" i="2"/>
  <c r="C8436" i="2"/>
  <c r="B8436" i="2"/>
  <c r="A8436" i="2"/>
  <c r="D8435" i="2"/>
  <c r="C8435" i="2"/>
  <c r="B8435" i="2"/>
  <c r="A8435" i="2"/>
  <c r="D8434" i="2"/>
  <c r="C8434" i="2"/>
  <c r="B8434" i="2"/>
  <c r="A8434" i="2"/>
  <c r="D8433" i="2"/>
  <c r="B8433" i="2"/>
  <c r="A8433" i="2"/>
  <c r="D8432" i="2"/>
  <c r="C8432" i="2"/>
  <c r="B8432" i="2"/>
  <c r="A8432" i="2"/>
  <c r="D8431" i="2"/>
  <c r="B8431" i="2"/>
  <c r="A8431" i="2"/>
  <c r="D8430" i="2"/>
  <c r="B8430" i="2"/>
  <c r="A8430" i="2"/>
  <c r="D8429" i="2"/>
  <c r="C8429" i="2"/>
  <c r="B8429" i="2"/>
  <c r="A8429" i="2"/>
  <c r="D8428" i="2"/>
  <c r="C8428" i="2"/>
  <c r="B8428" i="2"/>
  <c r="A8428" i="2"/>
  <c r="D8427" i="2"/>
  <c r="B8427" i="2"/>
  <c r="A8427" i="2"/>
  <c r="D8426" i="2"/>
  <c r="B8426" i="2"/>
  <c r="A8426" i="2"/>
  <c r="D8425" i="2"/>
  <c r="C8425" i="2"/>
  <c r="B8425" i="2"/>
  <c r="A8425" i="2"/>
  <c r="D8424" i="2"/>
  <c r="B8424" i="2"/>
  <c r="A8424" i="2"/>
  <c r="D8423" i="2"/>
  <c r="C8423" i="2"/>
  <c r="B8423" i="2"/>
  <c r="A8423" i="2"/>
  <c r="D8422" i="2"/>
  <c r="C8422" i="2"/>
  <c r="B8422" i="2"/>
  <c r="A8422" i="2"/>
  <c r="D8421" i="2"/>
  <c r="B8421" i="2"/>
  <c r="A8421" i="2"/>
  <c r="D8420" i="2"/>
  <c r="C8420" i="2"/>
  <c r="B8420" i="2"/>
  <c r="A8420" i="2"/>
  <c r="D8419" i="2"/>
  <c r="B8419" i="2"/>
  <c r="A8419" i="2"/>
  <c r="D8418" i="2"/>
  <c r="C8418" i="2"/>
  <c r="B8418" i="2"/>
  <c r="A8418" i="2"/>
  <c r="D8417" i="2"/>
  <c r="C8417" i="2"/>
  <c r="B8417" i="2"/>
  <c r="A8417" i="2"/>
  <c r="D8416" i="2"/>
  <c r="C8416" i="2"/>
  <c r="B8416" i="2"/>
  <c r="A8416" i="2"/>
  <c r="D8415" i="2"/>
  <c r="C8415" i="2"/>
  <c r="B8415" i="2"/>
  <c r="A8415" i="2"/>
  <c r="D8414" i="2"/>
  <c r="C8414" i="2"/>
  <c r="B8414" i="2"/>
  <c r="A8414" i="2"/>
  <c r="D8413" i="2"/>
  <c r="B8413" i="2"/>
  <c r="A8413" i="2"/>
  <c r="D8412" i="2"/>
  <c r="C8412" i="2"/>
  <c r="B8412" i="2"/>
  <c r="A8412" i="2"/>
  <c r="D8411" i="2"/>
  <c r="C8411" i="2"/>
  <c r="B8411" i="2"/>
  <c r="A8411" i="2"/>
  <c r="D8410" i="2"/>
  <c r="B8410" i="2"/>
  <c r="A8410" i="2"/>
  <c r="D8409" i="2"/>
  <c r="C8409" i="2"/>
  <c r="B8409" i="2"/>
  <c r="A8409" i="2"/>
  <c r="D8408" i="2"/>
  <c r="B8408" i="2"/>
  <c r="A8408" i="2"/>
  <c r="D8407" i="2"/>
  <c r="C8407" i="2"/>
  <c r="B8407" i="2"/>
  <c r="A8407" i="2"/>
  <c r="D8406" i="2"/>
  <c r="B8406" i="2"/>
  <c r="A8406" i="2"/>
  <c r="D8405" i="2"/>
  <c r="C8405" i="2"/>
  <c r="B8405" i="2"/>
  <c r="A8405" i="2"/>
  <c r="D8404" i="2"/>
  <c r="C8404" i="2"/>
  <c r="B8404" i="2"/>
  <c r="A8404" i="2"/>
  <c r="D8403" i="2"/>
  <c r="C8403" i="2"/>
  <c r="B8403" i="2"/>
  <c r="A8403" i="2"/>
  <c r="D8402" i="2"/>
  <c r="C8402" i="2"/>
  <c r="B8402" i="2"/>
  <c r="A8402" i="2"/>
  <c r="D8401" i="2"/>
  <c r="C8401" i="2"/>
  <c r="B8401" i="2"/>
  <c r="A8401" i="2"/>
  <c r="D8400" i="2"/>
  <c r="B8400" i="2"/>
  <c r="A8400" i="2"/>
  <c r="D8399" i="2"/>
  <c r="B8399" i="2"/>
  <c r="A8399" i="2"/>
  <c r="D8398" i="2"/>
  <c r="B8398" i="2"/>
  <c r="A8398" i="2"/>
  <c r="D8397" i="2"/>
  <c r="B8397" i="2"/>
  <c r="A8397" i="2"/>
  <c r="D8396" i="2"/>
  <c r="B8396" i="2"/>
  <c r="A8396" i="2"/>
  <c r="D8395" i="2"/>
  <c r="C8395" i="2"/>
  <c r="B8395" i="2"/>
  <c r="A8395" i="2"/>
  <c r="D8394" i="2"/>
  <c r="C8394" i="2"/>
  <c r="B8394" i="2"/>
  <c r="A8394" i="2"/>
  <c r="D8393" i="2"/>
  <c r="B8393" i="2"/>
  <c r="A8393" i="2"/>
  <c r="D8392" i="2"/>
  <c r="C8392" i="2"/>
  <c r="B8392" i="2"/>
  <c r="A8392" i="2"/>
  <c r="D8391" i="2"/>
  <c r="C8391" i="2"/>
  <c r="B8391" i="2"/>
  <c r="A8391" i="2"/>
  <c r="D8390" i="2"/>
  <c r="C8390" i="2"/>
  <c r="B8390" i="2"/>
  <c r="A8390" i="2"/>
  <c r="D8389" i="2"/>
  <c r="B8389" i="2"/>
  <c r="A8389" i="2"/>
  <c r="D8388" i="2"/>
  <c r="B8388" i="2"/>
  <c r="A8388" i="2"/>
  <c r="D8387" i="2"/>
  <c r="C8387" i="2"/>
  <c r="B8387" i="2"/>
  <c r="A8387" i="2"/>
  <c r="D8386" i="2"/>
  <c r="C8386" i="2"/>
  <c r="B8386" i="2"/>
  <c r="A8386" i="2"/>
  <c r="D8385" i="2"/>
  <c r="B8385" i="2"/>
  <c r="A8385" i="2"/>
  <c r="D8384" i="2"/>
  <c r="C8384" i="2"/>
  <c r="B8384" i="2"/>
  <c r="A8384" i="2"/>
  <c r="D8383" i="2"/>
  <c r="C8383" i="2"/>
  <c r="B8383" i="2"/>
  <c r="A8383" i="2"/>
  <c r="D8382" i="2"/>
  <c r="C8382" i="2"/>
  <c r="B8382" i="2"/>
  <c r="A8382" i="2"/>
  <c r="D8381" i="2"/>
  <c r="C8381" i="2"/>
  <c r="B8381" i="2"/>
  <c r="A8381" i="2"/>
  <c r="D8380" i="2"/>
  <c r="C8380" i="2"/>
  <c r="B8380" i="2"/>
  <c r="A8380" i="2"/>
  <c r="D8379" i="2"/>
  <c r="C8379" i="2"/>
  <c r="B8379" i="2"/>
  <c r="A8379" i="2"/>
  <c r="D8378" i="2"/>
  <c r="C8378" i="2"/>
  <c r="B8378" i="2"/>
  <c r="A8378" i="2"/>
  <c r="D8377" i="2"/>
  <c r="C8377" i="2"/>
  <c r="B8377" i="2"/>
  <c r="A8377" i="2"/>
  <c r="D8376" i="2"/>
  <c r="C8376" i="2"/>
  <c r="B8376" i="2"/>
  <c r="A8376" i="2"/>
  <c r="D8375" i="2"/>
  <c r="C8375" i="2"/>
  <c r="B8375" i="2"/>
  <c r="A8375" i="2"/>
  <c r="D8374" i="2"/>
  <c r="C8374" i="2"/>
  <c r="B8374" i="2"/>
  <c r="A8374" i="2"/>
  <c r="D8373" i="2"/>
  <c r="C8373" i="2"/>
  <c r="B8373" i="2"/>
  <c r="A8373" i="2"/>
  <c r="D8372" i="2"/>
  <c r="C8372" i="2"/>
  <c r="B8372" i="2"/>
  <c r="A8372" i="2"/>
  <c r="D8371" i="2"/>
  <c r="C8371" i="2"/>
  <c r="B8371" i="2"/>
  <c r="A8371" i="2"/>
  <c r="D8370" i="2"/>
  <c r="C8370" i="2"/>
  <c r="B8370" i="2"/>
  <c r="A8370" i="2"/>
  <c r="D8369" i="2"/>
  <c r="C8369" i="2"/>
  <c r="B8369" i="2"/>
  <c r="A8369" i="2"/>
  <c r="D8368" i="2"/>
  <c r="C8368" i="2"/>
  <c r="B8368" i="2"/>
  <c r="A8368" i="2"/>
  <c r="D8367" i="2"/>
  <c r="C8367" i="2"/>
  <c r="B8367" i="2"/>
  <c r="A8367" i="2"/>
  <c r="D8366" i="2"/>
  <c r="C8366" i="2"/>
  <c r="B8366" i="2"/>
  <c r="A8366" i="2"/>
  <c r="D8365" i="2"/>
  <c r="C8365" i="2"/>
  <c r="B8365" i="2"/>
  <c r="A8365" i="2"/>
  <c r="D8364" i="2"/>
  <c r="C8364" i="2"/>
  <c r="B8364" i="2"/>
  <c r="A8364" i="2"/>
  <c r="D8363" i="2"/>
  <c r="B8363" i="2"/>
  <c r="A8363" i="2"/>
  <c r="D8362" i="2"/>
  <c r="C8362" i="2"/>
  <c r="B8362" i="2"/>
  <c r="A8362" i="2"/>
  <c r="D8361" i="2"/>
  <c r="C8361" i="2"/>
  <c r="B8361" i="2"/>
  <c r="A8361" i="2"/>
  <c r="D8360" i="2"/>
  <c r="C8360" i="2"/>
  <c r="B8360" i="2"/>
  <c r="A8360" i="2"/>
  <c r="D8359" i="2"/>
  <c r="C8359" i="2"/>
  <c r="B8359" i="2"/>
  <c r="A8359" i="2"/>
  <c r="D8358" i="2"/>
  <c r="C8358" i="2"/>
  <c r="B8358" i="2"/>
  <c r="A8358" i="2"/>
  <c r="D8357" i="2"/>
  <c r="C8357" i="2"/>
  <c r="B8357" i="2"/>
  <c r="A8357" i="2"/>
  <c r="D8356" i="2"/>
  <c r="C8356" i="2"/>
  <c r="B8356" i="2"/>
  <c r="A8356" i="2"/>
  <c r="D8355" i="2"/>
  <c r="C8355" i="2"/>
  <c r="B8355" i="2"/>
  <c r="A8355" i="2"/>
  <c r="D8354" i="2"/>
  <c r="C8354" i="2"/>
  <c r="B8354" i="2"/>
  <c r="A8354" i="2"/>
  <c r="D8353" i="2"/>
  <c r="C8353" i="2"/>
  <c r="B8353" i="2"/>
  <c r="A8353" i="2"/>
  <c r="D8352" i="2"/>
  <c r="C8352" i="2"/>
  <c r="B8352" i="2"/>
  <c r="A8352" i="2"/>
  <c r="D8351" i="2"/>
  <c r="C8351" i="2"/>
  <c r="B8351" i="2"/>
  <c r="A8351" i="2"/>
  <c r="D8350" i="2"/>
  <c r="C8350" i="2"/>
  <c r="B8350" i="2"/>
  <c r="A8350" i="2"/>
  <c r="D8349" i="2"/>
  <c r="C8349" i="2"/>
  <c r="B8349" i="2"/>
  <c r="A8349" i="2"/>
  <c r="D8348" i="2"/>
  <c r="C8348" i="2"/>
  <c r="B8348" i="2"/>
  <c r="A8348" i="2"/>
  <c r="D8347" i="2"/>
  <c r="C8347" i="2"/>
  <c r="B8347" i="2"/>
  <c r="A8347" i="2"/>
  <c r="D8346" i="2"/>
  <c r="C8346" i="2"/>
  <c r="B8346" i="2"/>
  <c r="A8346" i="2"/>
  <c r="D8345" i="2"/>
  <c r="B8345" i="2"/>
  <c r="A8345" i="2"/>
  <c r="D8344" i="2"/>
  <c r="C8344" i="2"/>
  <c r="B8344" i="2"/>
  <c r="A8344" i="2"/>
  <c r="D8343" i="2"/>
  <c r="B8343" i="2"/>
  <c r="A8343" i="2"/>
  <c r="D8342" i="2"/>
  <c r="C8342" i="2"/>
  <c r="B8342" i="2"/>
  <c r="A8342" i="2"/>
  <c r="D8341" i="2"/>
  <c r="B8341" i="2"/>
  <c r="A8341" i="2"/>
  <c r="D8340" i="2"/>
  <c r="C8340" i="2"/>
  <c r="B8340" i="2"/>
  <c r="A8340" i="2"/>
  <c r="D8339" i="2"/>
  <c r="C8339" i="2"/>
  <c r="B8339" i="2"/>
  <c r="A8339" i="2"/>
  <c r="D8338" i="2"/>
  <c r="C8338" i="2"/>
  <c r="B8338" i="2"/>
  <c r="A8338" i="2"/>
  <c r="D8337" i="2"/>
  <c r="B8337" i="2"/>
  <c r="A8337" i="2"/>
  <c r="D8336" i="2"/>
  <c r="C8336" i="2"/>
  <c r="B8336" i="2"/>
  <c r="A8336" i="2"/>
  <c r="D8335" i="2"/>
  <c r="C8335" i="2"/>
  <c r="B8335" i="2"/>
  <c r="A8335" i="2"/>
  <c r="D8334" i="2"/>
  <c r="C8334" i="2"/>
  <c r="B8334" i="2"/>
  <c r="A8334" i="2"/>
  <c r="D8333" i="2"/>
  <c r="C8333" i="2"/>
  <c r="B8333" i="2"/>
  <c r="A8333" i="2"/>
  <c r="D8332" i="2"/>
  <c r="C8332" i="2"/>
  <c r="B8332" i="2"/>
  <c r="A8332" i="2"/>
  <c r="D8331" i="2"/>
  <c r="C8331" i="2"/>
  <c r="B8331" i="2"/>
  <c r="A8331" i="2"/>
  <c r="D8330" i="2"/>
  <c r="C8330" i="2"/>
  <c r="B8330" i="2"/>
  <c r="A8330" i="2"/>
  <c r="D8329" i="2"/>
  <c r="C8329" i="2"/>
  <c r="B8329" i="2"/>
  <c r="A8329" i="2"/>
  <c r="D8328" i="2"/>
  <c r="C8328" i="2"/>
  <c r="B8328" i="2"/>
  <c r="A8328" i="2"/>
  <c r="D8327" i="2"/>
  <c r="C8327" i="2"/>
  <c r="B8327" i="2"/>
  <c r="A8327" i="2"/>
  <c r="D8326" i="2"/>
  <c r="C8326" i="2"/>
  <c r="B8326" i="2"/>
  <c r="A8326" i="2"/>
  <c r="D8325" i="2"/>
  <c r="C8325" i="2"/>
  <c r="B8325" i="2"/>
  <c r="A8325" i="2"/>
  <c r="D8324" i="2"/>
  <c r="C8324" i="2"/>
  <c r="B8324" i="2"/>
  <c r="A8324" i="2"/>
  <c r="D8323" i="2"/>
  <c r="C8323" i="2"/>
  <c r="B8323" i="2"/>
  <c r="A8323" i="2"/>
  <c r="D8322" i="2"/>
  <c r="C8322" i="2"/>
  <c r="B8322" i="2"/>
  <c r="A8322" i="2"/>
  <c r="D8321" i="2"/>
  <c r="C8321" i="2"/>
  <c r="B8321" i="2"/>
  <c r="A8321" i="2"/>
  <c r="D8320" i="2"/>
  <c r="C8320" i="2"/>
  <c r="B8320" i="2"/>
  <c r="A8320" i="2"/>
  <c r="D8319" i="2"/>
  <c r="C8319" i="2"/>
  <c r="B8319" i="2"/>
  <c r="A8319" i="2"/>
  <c r="D8318" i="2"/>
  <c r="C8318" i="2"/>
  <c r="B8318" i="2"/>
  <c r="A8318" i="2"/>
  <c r="D8317" i="2"/>
  <c r="C8317" i="2"/>
  <c r="B8317" i="2"/>
  <c r="A8317" i="2"/>
  <c r="D8316" i="2"/>
  <c r="C8316" i="2"/>
  <c r="B8316" i="2"/>
  <c r="A8316" i="2"/>
  <c r="D8315" i="2"/>
  <c r="C8315" i="2"/>
  <c r="B8315" i="2"/>
  <c r="A8315" i="2"/>
  <c r="D8314" i="2"/>
  <c r="C8314" i="2"/>
  <c r="B8314" i="2"/>
  <c r="A8314" i="2"/>
  <c r="D8313" i="2"/>
  <c r="C8313" i="2"/>
  <c r="B8313" i="2"/>
  <c r="A8313" i="2"/>
  <c r="D8312" i="2"/>
  <c r="C8312" i="2"/>
  <c r="B8312" i="2"/>
  <c r="A8312" i="2"/>
  <c r="D8311" i="2"/>
  <c r="C8311" i="2"/>
  <c r="B8311" i="2"/>
  <c r="A8311" i="2"/>
  <c r="D8310" i="2"/>
  <c r="C8310" i="2"/>
  <c r="B8310" i="2"/>
  <c r="A8310" i="2"/>
  <c r="D8309" i="2"/>
  <c r="C8309" i="2"/>
  <c r="B8309" i="2"/>
  <c r="A8309" i="2"/>
  <c r="D8308" i="2"/>
  <c r="C8308" i="2"/>
  <c r="B8308" i="2"/>
  <c r="A8308" i="2"/>
  <c r="D8307" i="2"/>
  <c r="C8307" i="2"/>
  <c r="B8307" i="2"/>
  <c r="A8307" i="2"/>
  <c r="D8306" i="2"/>
  <c r="C8306" i="2"/>
  <c r="B8306" i="2"/>
  <c r="A8306" i="2"/>
  <c r="D8305" i="2"/>
  <c r="C8305" i="2"/>
  <c r="B8305" i="2"/>
  <c r="A8305" i="2"/>
  <c r="D8304" i="2"/>
  <c r="C8304" i="2"/>
  <c r="B8304" i="2"/>
  <c r="A8304" i="2"/>
  <c r="D8303" i="2"/>
  <c r="C8303" i="2"/>
  <c r="B8303" i="2"/>
  <c r="A8303" i="2"/>
  <c r="D8302" i="2"/>
  <c r="C8302" i="2"/>
  <c r="B8302" i="2"/>
  <c r="A8302" i="2"/>
  <c r="D8301" i="2"/>
  <c r="C8301" i="2"/>
  <c r="B8301" i="2"/>
  <c r="A8301" i="2"/>
  <c r="D8300" i="2"/>
  <c r="C8300" i="2"/>
  <c r="B8300" i="2"/>
  <c r="A8300" i="2"/>
  <c r="D8299" i="2"/>
  <c r="C8299" i="2"/>
  <c r="B8299" i="2"/>
  <c r="A8299" i="2"/>
  <c r="D8298" i="2"/>
  <c r="C8298" i="2"/>
  <c r="B8298" i="2"/>
  <c r="A8298" i="2"/>
  <c r="D8297" i="2"/>
  <c r="C8297" i="2"/>
  <c r="B8297" i="2"/>
  <c r="A8297" i="2"/>
  <c r="D8296" i="2"/>
  <c r="C8296" i="2"/>
  <c r="B8296" i="2"/>
  <c r="A8296" i="2"/>
  <c r="D8295" i="2"/>
  <c r="C8295" i="2"/>
  <c r="B8295" i="2"/>
  <c r="A8295" i="2"/>
  <c r="D8294" i="2"/>
  <c r="C8294" i="2"/>
  <c r="B8294" i="2"/>
  <c r="A8294" i="2"/>
  <c r="D8293" i="2"/>
  <c r="C8293" i="2"/>
  <c r="B8293" i="2"/>
  <c r="A8293" i="2"/>
  <c r="D8292" i="2"/>
  <c r="C8292" i="2"/>
  <c r="B8292" i="2"/>
  <c r="A8292" i="2"/>
  <c r="D8291" i="2"/>
  <c r="C8291" i="2"/>
  <c r="B8291" i="2"/>
  <c r="A8291" i="2"/>
  <c r="D8290" i="2"/>
  <c r="C8290" i="2"/>
  <c r="B8290" i="2"/>
  <c r="A8290" i="2"/>
  <c r="D8289" i="2"/>
  <c r="C8289" i="2"/>
  <c r="B8289" i="2"/>
  <c r="A8289" i="2"/>
  <c r="D8288" i="2"/>
  <c r="C8288" i="2"/>
  <c r="B8288" i="2"/>
  <c r="A8288" i="2"/>
  <c r="D8287" i="2"/>
  <c r="C8287" i="2"/>
  <c r="B8287" i="2"/>
  <c r="A8287" i="2"/>
  <c r="D8286" i="2"/>
  <c r="C8286" i="2"/>
  <c r="B8286" i="2"/>
  <c r="A8286" i="2"/>
  <c r="D8285" i="2"/>
  <c r="C8285" i="2"/>
  <c r="B8285" i="2"/>
  <c r="A8285" i="2"/>
  <c r="D8284" i="2"/>
  <c r="C8284" i="2"/>
  <c r="B8284" i="2"/>
  <c r="A8284" i="2"/>
  <c r="D8283" i="2"/>
  <c r="C8283" i="2"/>
  <c r="B8283" i="2"/>
  <c r="A8283" i="2"/>
  <c r="D8282" i="2"/>
  <c r="C8282" i="2"/>
  <c r="B8282" i="2"/>
  <c r="A8282" i="2"/>
  <c r="D8281" i="2"/>
  <c r="C8281" i="2"/>
  <c r="B8281" i="2"/>
  <c r="A8281" i="2"/>
  <c r="D8280" i="2"/>
  <c r="C8280" i="2"/>
  <c r="B8280" i="2"/>
  <c r="A8280" i="2"/>
  <c r="D8279" i="2"/>
  <c r="C8279" i="2"/>
  <c r="B8279" i="2"/>
  <c r="A8279" i="2"/>
  <c r="D8278" i="2"/>
  <c r="C8278" i="2"/>
  <c r="B8278" i="2"/>
  <c r="A8278" i="2"/>
  <c r="D8277" i="2"/>
  <c r="C8277" i="2"/>
  <c r="B8277" i="2"/>
  <c r="A8277" i="2"/>
  <c r="D8276" i="2"/>
  <c r="C8276" i="2"/>
  <c r="B8276" i="2"/>
  <c r="A8276" i="2"/>
  <c r="D8275" i="2"/>
  <c r="C8275" i="2"/>
  <c r="B8275" i="2"/>
  <c r="A8275" i="2"/>
  <c r="D8274" i="2"/>
  <c r="C8274" i="2"/>
  <c r="B8274" i="2"/>
  <c r="A8274" i="2"/>
  <c r="D8273" i="2"/>
  <c r="C8273" i="2"/>
  <c r="B8273" i="2"/>
  <c r="A8273" i="2"/>
  <c r="D8272" i="2"/>
  <c r="C8272" i="2"/>
  <c r="B8272" i="2"/>
  <c r="A8272" i="2"/>
  <c r="D8271" i="2"/>
  <c r="C8271" i="2"/>
  <c r="B8271" i="2"/>
  <c r="A8271" i="2"/>
  <c r="D8270" i="2"/>
  <c r="C8270" i="2"/>
  <c r="B8270" i="2"/>
  <c r="A8270" i="2"/>
  <c r="D8269" i="2"/>
  <c r="C8269" i="2"/>
  <c r="B8269" i="2"/>
  <c r="A8269" i="2"/>
  <c r="D8268" i="2"/>
  <c r="C8268" i="2"/>
  <c r="B8268" i="2"/>
  <c r="A8268" i="2"/>
  <c r="D8267" i="2"/>
  <c r="C8267" i="2"/>
  <c r="B8267" i="2"/>
  <c r="A8267" i="2"/>
  <c r="D8266" i="2"/>
  <c r="C8266" i="2"/>
  <c r="B8266" i="2"/>
  <c r="A8266" i="2"/>
  <c r="D8265" i="2"/>
  <c r="C8265" i="2"/>
  <c r="B8265" i="2"/>
  <c r="A8265" i="2"/>
  <c r="D8264" i="2"/>
  <c r="C8264" i="2"/>
  <c r="B8264" i="2"/>
  <c r="A8264" i="2"/>
  <c r="D8263" i="2"/>
  <c r="C8263" i="2"/>
  <c r="B8263" i="2"/>
  <c r="A8263" i="2"/>
  <c r="D8262" i="2"/>
  <c r="C8262" i="2"/>
  <c r="B8262" i="2"/>
  <c r="A8262" i="2"/>
  <c r="D8261" i="2"/>
  <c r="C8261" i="2"/>
  <c r="B8261" i="2"/>
  <c r="A8261" i="2"/>
  <c r="D8260" i="2"/>
  <c r="C8260" i="2"/>
  <c r="B8260" i="2"/>
  <c r="A8260" i="2"/>
  <c r="D8259" i="2"/>
  <c r="C8259" i="2"/>
  <c r="B8259" i="2"/>
  <c r="A8259" i="2"/>
  <c r="D8258" i="2"/>
  <c r="C8258" i="2"/>
  <c r="B8258" i="2"/>
  <c r="A8258" i="2"/>
  <c r="D8257" i="2"/>
  <c r="C8257" i="2"/>
  <c r="B8257" i="2"/>
  <c r="A8257" i="2"/>
  <c r="D8256" i="2"/>
  <c r="C8256" i="2"/>
  <c r="B8256" i="2"/>
  <c r="A8256" i="2"/>
  <c r="D8255" i="2"/>
  <c r="C8255" i="2"/>
  <c r="B8255" i="2"/>
  <c r="A8255" i="2"/>
  <c r="D8254" i="2"/>
  <c r="C8254" i="2"/>
  <c r="B8254" i="2"/>
  <c r="A8254" i="2"/>
  <c r="D8253" i="2"/>
  <c r="C8253" i="2"/>
  <c r="B8253" i="2"/>
  <c r="A8253" i="2"/>
  <c r="D8252" i="2"/>
  <c r="C8252" i="2"/>
  <c r="B8252" i="2"/>
  <c r="A8252" i="2"/>
  <c r="D8251" i="2"/>
  <c r="C8251" i="2"/>
  <c r="B8251" i="2"/>
  <c r="A8251" i="2"/>
  <c r="D8250" i="2"/>
  <c r="C8250" i="2"/>
  <c r="B8250" i="2"/>
  <c r="A8250" i="2"/>
  <c r="D8249" i="2"/>
  <c r="C8249" i="2"/>
  <c r="B8249" i="2"/>
  <c r="A8249" i="2"/>
  <c r="D8248" i="2"/>
  <c r="C8248" i="2"/>
  <c r="B8248" i="2"/>
  <c r="A8248" i="2"/>
  <c r="D8247" i="2"/>
  <c r="C8247" i="2"/>
  <c r="B8247" i="2"/>
  <c r="A8247" i="2"/>
  <c r="D8246" i="2"/>
  <c r="C8246" i="2"/>
  <c r="B8246" i="2"/>
  <c r="A8246" i="2"/>
  <c r="D8245" i="2"/>
  <c r="C8245" i="2"/>
  <c r="B8245" i="2"/>
  <c r="A8245" i="2"/>
  <c r="D8244" i="2"/>
  <c r="C8244" i="2"/>
  <c r="B8244" i="2"/>
  <c r="A8244" i="2"/>
  <c r="D8243" i="2"/>
  <c r="C8243" i="2"/>
  <c r="B8243" i="2"/>
  <c r="A8243" i="2"/>
  <c r="D8242" i="2"/>
  <c r="C8242" i="2"/>
  <c r="B8242" i="2"/>
  <c r="A8242" i="2"/>
  <c r="D8241" i="2"/>
  <c r="C8241" i="2"/>
  <c r="B8241" i="2"/>
  <c r="A8241" i="2"/>
  <c r="D8240" i="2"/>
  <c r="C8240" i="2"/>
  <c r="B8240" i="2"/>
  <c r="A8240" i="2"/>
  <c r="D8239" i="2"/>
  <c r="C8239" i="2"/>
  <c r="B8239" i="2"/>
  <c r="A8239" i="2"/>
  <c r="D8238" i="2"/>
  <c r="C8238" i="2"/>
  <c r="B8238" i="2"/>
  <c r="A8238" i="2"/>
  <c r="D8237" i="2"/>
  <c r="C8237" i="2"/>
  <c r="B8237" i="2"/>
  <c r="A8237" i="2"/>
  <c r="D8236" i="2"/>
  <c r="C8236" i="2"/>
  <c r="B8236" i="2"/>
  <c r="A8236" i="2"/>
  <c r="D8235" i="2"/>
  <c r="C8235" i="2"/>
  <c r="B8235" i="2"/>
  <c r="A8235" i="2"/>
  <c r="D8234" i="2"/>
  <c r="C8234" i="2"/>
  <c r="B8234" i="2"/>
  <c r="A8234" i="2"/>
  <c r="D8233" i="2"/>
  <c r="C8233" i="2"/>
  <c r="B8233" i="2"/>
  <c r="A8233" i="2"/>
  <c r="D8232" i="2"/>
  <c r="C8232" i="2"/>
  <c r="B8232" i="2"/>
  <c r="A8232" i="2"/>
  <c r="D8231" i="2"/>
  <c r="C8231" i="2"/>
  <c r="B8231" i="2"/>
  <c r="A8231" i="2"/>
  <c r="D8230" i="2"/>
  <c r="C8230" i="2"/>
  <c r="B8230" i="2"/>
  <c r="A8230" i="2"/>
  <c r="D8229" i="2"/>
  <c r="C8229" i="2"/>
  <c r="B8229" i="2"/>
  <c r="A8229" i="2"/>
  <c r="D8228" i="2"/>
  <c r="C8228" i="2"/>
  <c r="B8228" i="2"/>
  <c r="A8228" i="2"/>
  <c r="D8227" i="2"/>
  <c r="C8227" i="2"/>
  <c r="B8227" i="2"/>
  <c r="A8227" i="2"/>
  <c r="D8226" i="2"/>
  <c r="C8226" i="2"/>
  <c r="B8226" i="2"/>
  <c r="A8226" i="2"/>
  <c r="D8225" i="2"/>
  <c r="C8225" i="2"/>
  <c r="B8225" i="2"/>
  <c r="A8225" i="2"/>
  <c r="D8224" i="2"/>
  <c r="C8224" i="2"/>
  <c r="B8224" i="2"/>
  <c r="A8224" i="2"/>
  <c r="D8223" i="2"/>
  <c r="C8223" i="2"/>
  <c r="B8223" i="2"/>
  <c r="A8223" i="2"/>
  <c r="D8222" i="2"/>
  <c r="C8222" i="2"/>
  <c r="B8222" i="2"/>
  <c r="A8222" i="2"/>
  <c r="D8221" i="2"/>
  <c r="C8221" i="2"/>
  <c r="B8221" i="2"/>
  <c r="A8221" i="2"/>
  <c r="D8220" i="2"/>
  <c r="C8220" i="2"/>
  <c r="B8220" i="2"/>
  <c r="A8220" i="2"/>
  <c r="D8219" i="2"/>
  <c r="C8219" i="2"/>
  <c r="B8219" i="2"/>
  <c r="A8219" i="2"/>
  <c r="D8218" i="2"/>
  <c r="C8218" i="2"/>
  <c r="B8218" i="2"/>
  <c r="A8218" i="2"/>
  <c r="D8217" i="2"/>
  <c r="C8217" i="2"/>
  <c r="B8217" i="2"/>
  <c r="A8217" i="2"/>
  <c r="D8216" i="2"/>
  <c r="C8216" i="2"/>
  <c r="B8216" i="2"/>
  <c r="A8216" i="2"/>
  <c r="D8215" i="2"/>
  <c r="C8215" i="2"/>
  <c r="B8215" i="2"/>
  <c r="A8215" i="2"/>
  <c r="D8214" i="2"/>
  <c r="C8214" i="2"/>
  <c r="B8214" i="2"/>
  <c r="A8214" i="2"/>
  <c r="D8213" i="2"/>
  <c r="C8213" i="2"/>
  <c r="B8213" i="2"/>
  <c r="A8213" i="2"/>
  <c r="D8212" i="2"/>
  <c r="C8212" i="2"/>
  <c r="B8212" i="2"/>
  <c r="A8212" i="2"/>
  <c r="D8211" i="2"/>
  <c r="C8211" i="2"/>
  <c r="B8211" i="2"/>
  <c r="A8211" i="2"/>
  <c r="D8210" i="2"/>
  <c r="C8210" i="2"/>
  <c r="B8210" i="2"/>
  <c r="A8210" i="2"/>
  <c r="D8209" i="2"/>
  <c r="C8209" i="2"/>
  <c r="B8209" i="2"/>
  <c r="A8209" i="2"/>
  <c r="D8208" i="2"/>
  <c r="C8208" i="2"/>
  <c r="B8208" i="2"/>
  <c r="A8208" i="2"/>
  <c r="D8207" i="2"/>
  <c r="C8207" i="2"/>
  <c r="B8207" i="2"/>
  <c r="A8207" i="2"/>
  <c r="D8206" i="2"/>
  <c r="C8206" i="2"/>
  <c r="B8206" i="2"/>
  <c r="A8206" i="2"/>
  <c r="D8205" i="2"/>
  <c r="C8205" i="2"/>
  <c r="B8205" i="2"/>
  <c r="A8205" i="2"/>
  <c r="D8204" i="2"/>
  <c r="C8204" i="2"/>
  <c r="B8204" i="2"/>
  <c r="A8204" i="2"/>
  <c r="D8203" i="2"/>
  <c r="C8203" i="2"/>
  <c r="B8203" i="2"/>
  <c r="A8203" i="2"/>
  <c r="D8202" i="2"/>
  <c r="C8202" i="2"/>
  <c r="B8202" i="2"/>
  <c r="A8202" i="2"/>
  <c r="D8201" i="2"/>
  <c r="C8201" i="2"/>
  <c r="B8201" i="2"/>
  <c r="A8201" i="2"/>
  <c r="D8200" i="2"/>
  <c r="C8200" i="2"/>
  <c r="B8200" i="2"/>
  <c r="A8200" i="2"/>
  <c r="D8199" i="2"/>
  <c r="C8199" i="2"/>
  <c r="B8199" i="2"/>
  <c r="A8199" i="2"/>
  <c r="D8198" i="2"/>
  <c r="C8198" i="2"/>
  <c r="B8198" i="2"/>
  <c r="A8198" i="2"/>
  <c r="D8197" i="2"/>
  <c r="C8197" i="2"/>
  <c r="B8197" i="2"/>
  <c r="A8197" i="2"/>
  <c r="D8196" i="2"/>
  <c r="C8196" i="2"/>
  <c r="B8196" i="2"/>
  <c r="A8196" i="2"/>
  <c r="D8195" i="2"/>
  <c r="C8195" i="2"/>
  <c r="B8195" i="2"/>
  <c r="A8195" i="2"/>
  <c r="D8194" i="2"/>
  <c r="C8194" i="2"/>
  <c r="B8194" i="2"/>
  <c r="A8194" i="2"/>
  <c r="D8193" i="2"/>
  <c r="C8193" i="2"/>
  <c r="B8193" i="2"/>
  <c r="A8193" i="2"/>
  <c r="D8192" i="2"/>
  <c r="C8192" i="2"/>
  <c r="B8192" i="2"/>
  <c r="A8192" i="2"/>
  <c r="D8191" i="2"/>
  <c r="C8191" i="2"/>
  <c r="B8191" i="2"/>
  <c r="A8191" i="2"/>
  <c r="D8190" i="2"/>
  <c r="C8190" i="2"/>
  <c r="B8190" i="2"/>
  <c r="A8190" i="2"/>
  <c r="D8189" i="2"/>
  <c r="C8189" i="2"/>
  <c r="B8189" i="2"/>
  <c r="A8189" i="2"/>
  <c r="D8188" i="2"/>
  <c r="C8188" i="2"/>
  <c r="B8188" i="2"/>
  <c r="A8188" i="2"/>
  <c r="D8187" i="2"/>
  <c r="C8187" i="2"/>
  <c r="B8187" i="2"/>
  <c r="A8187" i="2"/>
  <c r="D8186" i="2"/>
  <c r="C8186" i="2"/>
  <c r="B8186" i="2"/>
  <c r="A8186" i="2"/>
  <c r="D8185" i="2"/>
  <c r="C8185" i="2"/>
  <c r="B8185" i="2"/>
  <c r="A8185" i="2"/>
  <c r="D8184" i="2"/>
  <c r="C8184" i="2"/>
  <c r="B8184" i="2"/>
  <c r="A8184" i="2"/>
  <c r="D8183" i="2"/>
  <c r="C8183" i="2"/>
  <c r="B8183" i="2"/>
  <c r="A8183" i="2"/>
  <c r="D8182" i="2"/>
  <c r="C8182" i="2"/>
  <c r="B8182" i="2"/>
  <c r="A8182" i="2"/>
  <c r="D8181" i="2"/>
  <c r="C8181" i="2"/>
  <c r="B8181" i="2"/>
  <c r="A8181" i="2"/>
  <c r="D8180" i="2"/>
  <c r="C8180" i="2"/>
  <c r="B8180" i="2"/>
  <c r="A8180" i="2"/>
  <c r="D8179" i="2"/>
  <c r="C8179" i="2"/>
  <c r="B8179" i="2"/>
  <c r="A8179" i="2"/>
  <c r="D8178" i="2"/>
  <c r="C8178" i="2"/>
  <c r="B8178" i="2"/>
  <c r="A8178" i="2"/>
  <c r="D8177" i="2"/>
  <c r="C8177" i="2"/>
  <c r="B8177" i="2"/>
  <c r="A8177" i="2"/>
  <c r="D8176" i="2"/>
  <c r="C8176" i="2"/>
  <c r="B8176" i="2"/>
  <c r="A8176" i="2"/>
  <c r="D8175" i="2"/>
  <c r="C8175" i="2"/>
  <c r="B8175" i="2"/>
  <c r="A8175" i="2"/>
  <c r="D8174" i="2"/>
  <c r="C8174" i="2"/>
  <c r="B8174" i="2"/>
  <c r="A8174" i="2"/>
  <c r="D8173" i="2"/>
  <c r="C8173" i="2"/>
  <c r="B8173" i="2"/>
  <c r="A8173" i="2"/>
  <c r="D8172" i="2"/>
  <c r="C8172" i="2"/>
  <c r="B8172" i="2"/>
  <c r="A8172" i="2"/>
  <c r="D8171" i="2"/>
  <c r="C8171" i="2"/>
  <c r="B8171" i="2"/>
  <c r="A8171" i="2"/>
  <c r="D8170" i="2"/>
  <c r="C8170" i="2"/>
  <c r="B8170" i="2"/>
  <c r="A8170" i="2"/>
  <c r="D8169" i="2"/>
  <c r="C8169" i="2"/>
  <c r="B8169" i="2"/>
  <c r="A8169" i="2"/>
  <c r="D8168" i="2"/>
  <c r="C8168" i="2"/>
  <c r="B8168" i="2"/>
  <c r="A8168" i="2"/>
  <c r="D8167" i="2"/>
  <c r="C8167" i="2"/>
  <c r="B8167" i="2"/>
  <c r="A8167" i="2"/>
  <c r="D8166" i="2"/>
  <c r="C8166" i="2"/>
  <c r="B8166" i="2"/>
  <c r="A8166" i="2"/>
  <c r="D8165" i="2"/>
  <c r="C8165" i="2"/>
  <c r="B8165" i="2"/>
  <c r="A8165" i="2"/>
  <c r="D8164" i="2"/>
  <c r="C8164" i="2"/>
  <c r="B8164" i="2"/>
  <c r="A8164" i="2"/>
  <c r="D8163" i="2"/>
  <c r="C8163" i="2"/>
  <c r="B8163" i="2"/>
  <c r="A8163" i="2"/>
  <c r="D8162" i="2"/>
  <c r="C8162" i="2"/>
  <c r="B8162" i="2"/>
  <c r="A8162" i="2"/>
  <c r="D8161" i="2"/>
  <c r="C8161" i="2"/>
  <c r="B8161" i="2"/>
  <c r="A8161" i="2"/>
  <c r="D8160" i="2"/>
  <c r="C8160" i="2"/>
  <c r="B8160" i="2"/>
  <c r="A8160" i="2"/>
  <c r="D8159" i="2"/>
  <c r="C8159" i="2"/>
  <c r="B8159" i="2"/>
  <c r="A8159" i="2"/>
  <c r="D8158" i="2"/>
  <c r="C8158" i="2"/>
  <c r="B8158" i="2"/>
  <c r="A8158" i="2"/>
  <c r="D8157" i="2"/>
  <c r="C8157" i="2"/>
  <c r="B8157" i="2"/>
  <c r="A8157" i="2"/>
  <c r="D8156" i="2"/>
  <c r="C8156" i="2"/>
  <c r="B8156" i="2"/>
  <c r="A8156" i="2"/>
  <c r="D8155" i="2"/>
  <c r="C8155" i="2"/>
  <c r="B8155" i="2"/>
  <c r="A8155" i="2"/>
  <c r="D8154" i="2"/>
  <c r="C8154" i="2"/>
  <c r="B8154" i="2"/>
  <c r="A8154" i="2"/>
  <c r="D8153" i="2"/>
  <c r="C8153" i="2"/>
  <c r="B8153" i="2"/>
  <c r="A8153" i="2"/>
  <c r="D8152" i="2"/>
  <c r="C8152" i="2"/>
  <c r="B8152" i="2"/>
  <c r="A8152" i="2"/>
  <c r="D8151" i="2"/>
  <c r="C8151" i="2"/>
  <c r="B8151" i="2"/>
  <c r="A8151" i="2"/>
  <c r="D8150" i="2"/>
  <c r="C8150" i="2"/>
  <c r="B8150" i="2"/>
  <c r="A8150" i="2"/>
  <c r="D8149" i="2"/>
  <c r="C8149" i="2"/>
  <c r="B8149" i="2"/>
  <c r="A8149" i="2"/>
  <c r="D8148" i="2"/>
  <c r="C8148" i="2"/>
  <c r="B8148" i="2"/>
  <c r="A8148" i="2"/>
  <c r="D8147" i="2"/>
  <c r="C8147" i="2"/>
  <c r="B8147" i="2"/>
  <c r="A8147" i="2"/>
  <c r="D8146" i="2"/>
  <c r="C8146" i="2"/>
  <c r="B8146" i="2"/>
  <c r="A8146" i="2"/>
  <c r="D8145" i="2"/>
  <c r="C8145" i="2"/>
  <c r="B8145" i="2"/>
  <c r="A8145" i="2"/>
  <c r="D8144" i="2"/>
  <c r="C8144" i="2"/>
  <c r="B8144" i="2"/>
  <c r="A8144" i="2"/>
  <c r="D8143" i="2"/>
  <c r="C8143" i="2"/>
  <c r="B8143" i="2"/>
  <c r="A8143" i="2"/>
  <c r="D8142" i="2"/>
  <c r="C8142" i="2"/>
  <c r="B8142" i="2"/>
  <c r="A8142" i="2"/>
  <c r="D8141" i="2"/>
  <c r="C8141" i="2"/>
  <c r="B8141" i="2"/>
  <c r="A8141" i="2"/>
  <c r="D8140" i="2"/>
  <c r="C8140" i="2"/>
  <c r="B8140" i="2"/>
  <c r="A8140" i="2"/>
  <c r="D8139" i="2"/>
  <c r="C8139" i="2"/>
  <c r="B8139" i="2"/>
  <c r="A8139" i="2"/>
  <c r="D8138" i="2"/>
  <c r="C8138" i="2"/>
  <c r="B8138" i="2"/>
  <c r="A8138" i="2"/>
  <c r="D8137" i="2"/>
  <c r="C8137" i="2"/>
  <c r="B8137" i="2"/>
  <c r="A8137" i="2"/>
  <c r="D8136" i="2"/>
  <c r="C8136" i="2"/>
  <c r="B8136" i="2"/>
  <c r="A8136" i="2"/>
  <c r="D8135" i="2"/>
  <c r="C8135" i="2"/>
  <c r="B8135" i="2"/>
  <c r="A8135" i="2"/>
  <c r="D8134" i="2"/>
  <c r="C8134" i="2"/>
  <c r="B8134" i="2"/>
  <c r="A8134" i="2"/>
  <c r="D8133" i="2"/>
  <c r="C8133" i="2"/>
  <c r="B8133" i="2"/>
  <c r="A8133" i="2"/>
  <c r="D8132" i="2"/>
  <c r="C8132" i="2"/>
  <c r="B8132" i="2"/>
  <c r="A8132" i="2"/>
  <c r="D8131" i="2"/>
  <c r="C8131" i="2"/>
  <c r="B8131" i="2"/>
  <c r="A8131" i="2"/>
  <c r="D8130" i="2"/>
  <c r="C8130" i="2"/>
  <c r="B8130" i="2"/>
  <c r="A8130" i="2"/>
  <c r="D8129" i="2"/>
  <c r="C8129" i="2"/>
  <c r="B8129" i="2"/>
  <c r="A8129" i="2"/>
  <c r="D8128" i="2"/>
  <c r="C8128" i="2"/>
  <c r="B8128" i="2"/>
  <c r="A8128" i="2"/>
  <c r="D8127" i="2"/>
  <c r="C8127" i="2"/>
  <c r="B8127" i="2"/>
  <c r="A8127" i="2"/>
  <c r="D8126" i="2"/>
  <c r="C8126" i="2"/>
  <c r="B8126" i="2"/>
  <c r="A8126" i="2"/>
  <c r="D8125" i="2"/>
  <c r="C8125" i="2"/>
  <c r="B8125" i="2"/>
  <c r="A8125" i="2"/>
  <c r="D8124" i="2"/>
  <c r="C8124" i="2"/>
  <c r="B8124" i="2"/>
  <c r="A8124" i="2"/>
  <c r="D8123" i="2"/>
  <c r="C8123" i="2"/>
  <c r="B8123" i="2"/>
  <c r="A8123" i="2"/>
  <c r="D8122" i="2"/>
  <c r="C8122" i="2"/>
  <c r="B8122" i="2"/>
  <c r="A8122" i="2"/>
  <c r="D8121" i="2"/>
  <c r="C8121" i="2"/>
  <c r="B8121" i="2"/>
  <c r="A8121" i="2"/>
  <c r="D8120" i="2"/>
  <c r="C8120" i="2"/>
  <c r="B8120" i="2"/>
  <c r="A8120" i="2"/>
  <c r="D8119" i="2"/>
  <c r="C8119" i="2"/>
  <c r="B8119" i="2"/>
  <c r="A8119" i="2"/>
  <c r="D8118" i="2"/>
  <c r="C8118" i="2"/>
  <c r="B8118" i="2"/>
  <c r="A8118" i="2"/>
  <c r="D8117" i="2"/>
  <c r="C8117" i="2"/>
  <c r="B8117" i="2"/>
  <c r="A8117" i="2"/>
  <c r="D8116" i="2"/>
  <c r="C8116" i="2"/>
  <c r="B8116" i="2"/>
  <c r="A8116" i="2"/>
  <c r="D8115" i="2"/>
  <c r="C8115" i="2"/>
  <c r="B8115" i="2"/>
  <c r="A8115" i="2"/>
  <c r="D8114" i="2"/>
  <c r="C8114" i="2"/>
  <c r="B8114" i="2"/>
  <c r="A8114" i="2"/>
  <c r="D8113" i="2"/>
  <c r="C8113" i="2"/>
  <c r="B8113" i="2"/>
  <c r="A8113" i="2"/>
  <c r="D8112" i="2"/>
  <c r="C8112" i="2"/>
  <c r="B8112" i="2"/>
  <c r="A8112" i="2"/>
  <c r="D8111" i="2"/>
  <c r="C8111" i="2"/>
  <c r="B8111" i="2"/>
  <c r="A8111" i="2"/>
  <c r="D8110" i="2"/>
  <c r="C8110" i="2"/>
  <c r="B8110" i="2"/>
  <c r="A8110" i="2"/>
  <c r="D8109" i="2"/>
  <c r="C8109" i="2"/>
  <c r="B8109" i="2"/>
  <c r="A8109" i="2"/>
  <c r="D8108" i="2"/>
  <c r="C8108" i="2"/>
  <c r="B8108" i="2"/>
  <c r="A8108" i="2"/>
  <c r="D8107" i="2"/>
  <c r="C8107" i="2"/>
  <c r="B8107" i="2"/>
  <c r="A8107" i="2"/>
  <c r="D8106" i="2"/>
  <c r="C8106" i="2"/>
  <c r="B8106" i="2"/>
  <c r="A8106" i="2"/>
  <c r="D8105" i="2"/>
  <c r="C8105" i="2"/>
  <c r="B8105" i="2"/>
  <c r="A8105" i="2"/>
  <c r="D8104" i="2"/>
  <c r="C8104" i="2"/>
  <c r="B8104" i="2"/>
  <c r="A8104" i="2"/>
  <c r="D8103" i="2"/>
  <c r="C8103" i="2"/>
  <c r="B8103" i="2"/>
  <c r="A8103" i="2"/>
  <c r="D8102" i="2"/>
  <c r="C8102" i="2"/>
  <c r="B8102" i="2"/>
  <c r="A8102" i="2"/>
  <c r="D8101" i="2"/>
  <c r="C8101" i="2"/>
  <c r="B8101" i="2"/>
  <c r="A8101" i="2"/>
  <c r="D8100" i="2"/>
  <c r="C8100" i="2"/>
  <c r="B8100" i="2"/>
  <c r="A8100" i="2"/>
  <c r="D8099" i="2"/>
  <c r="C8099" i="2"/>
  <c r="B8099" i="2"/>
  <c r="A8099" i="2"/>
  <c r="D8098" i="2"/>
  <c r="C8098" i="2"/>
  <c r="B8098" i="2"/>
  <c r="A8098" i="2"/>
  <c r="D8097" i="2"/>
  <c r="C8097" i="2"/>
  <c r="B8097" i="2"/>
  <c r="A8097" i="2"/>
  <c r="D8096" i="2"/>
  <c r="C8096" i="2"/>
  <c r="B8096" i="2"/>
  <c r="A8096" i="2"/>
  <c r="D8095" i="2"/>
  <c r="C8095" i="2"/>
  <c r="B8095" i="2"/>
  <c r="A8095" i="2"/>
  <c r="D8094" i="2"/>
  <c r="C8094" i="2"/>
  <c r="B8094" i="2"/>
  <c r="A8094" i="2"/>
  <c r="D8093" i="2"/>
  <c r="C8093" i="2"/>
  <c r="B8093" i="2"/>
  <c r="A8093" i="2"/>
  <c r="D8092" i="2"/>
  <c r="C8092" i="2"/>
  <c r="B8092" i="2"/>
  <c r="A8092" i="2"/>
  <c r="D8091" i="2"/>
  <c r="C8091" i="2"/>
  <c r="B8091" i="2"/>
  <c r="A8091" i="2"/>
  <c r="D8090" i="2"/>
  <c r="C8090" i="2"/>
  <c r="B8090" i="2"/>
  <c r="A8090" i="2"/>
  <c r="D8089" i="2"/>
  <c r="C8089" i="2"/>
  <c r="B8089" i="2"/>
  <c r="A8089" i="2"/>
  <c r="D8088" i="2"/>
  <c r="C8088" i="2"/>
  <c r="B8088" i="2"/>
  <c r="A8088" i="2"/>
  <c r="D8087" i="2"/>
  <c r="C8087" i="2"/>
  <c r="B8087" i="2"/>
  <c r="A8087" i="2"/>
  <c r="D8086" i="2"/>
  <c r="C8086" i="2"/>
  <c r="B8086" i="2"/>
  <c r="A8086" i="2"/>
  <c r="D8085" i="2"/>
  <c r="C8085" i="2"/>
  <c r="B8085" i="2"/>
  <c r="A8085" i="2"/>
  <c r="D8084" i="2"/>
  <c r="C8084" i="2"/>
  <c r="B8084" i="2"/>
  <c r="A8084" i="2"/>
  <c r="D8083" i="2"/>
  <c r="C8083" i="2"/>
  <c r="B8083" i="2"/>
  <c r="A8083" i="2"/>
  <c r="D8082" i="2"/>
  <c r="C8082" i="2"/>
  <c r="B8082" i="2"/>
  <c r="A8082" i="2"/>
  <c r="D8081" i="2"/>
  <c r="C8081" i="2"/>
  <c r="B8081" i="2"/>
  <c r="A8081" i="2"/>
  <c r="D8080" i="2"/>
  <c r="C8080" i="2"/>
  <c r="B8080" i="2"/>
  <c r="A8080" i="2"/>
  <c r="D8079" i="2"/>
  <c r="C8079" i="2"/>
  <c r="B8079" i="2"/>
  <c r="A8079" i="2"/>
  <c r="D8078" i="2"/>
  <c r="C8078" i="2"/>
  <c r="B8078" i="2"/>
  <c r="A8078" i="2"/>
  <c r="D8077" i="2"/>
  <c r="C8077" i="2"/>
  <c r="B8077" i="2"/>
  <c r="A8077" i="2"/>
  <c r="D8076" i="2"/>
  <c r="C8076" i="2"/>
  <c r="B8076" i="2"/>
  <c r="A8076" i="2"/>
  <c r="D8075" i="2"/>
  <c r="C8075" i="2"/>
  <c r="B8075" i="2"/>
  <c r="A8075" i="2"/>
  <c r="D8074" i="2"/>
  <c r="C8074" i="2"/>
  <c r="B8074" i="2"/>
  <c r="A8074" i="2"/>
  <c r="D8073" i="2"/>
  <c r="C8073" i="2"/>
  <c r="B8073" i="2"/>
  <c r="A8073" i="2"/>
  <c r="D8072" i="2"/>
  <c r="C8072" i="2"/>
  <c r="B8072" i="2"/>
  <c r="A8072" i="2"/>
  <c r="D8071" i="2"/>
  <c r="C8071" i="2"/>
  <c r="B8071" i="2"/>
  <c r="A8071" i="2"/>
  <c r="D8070" i="2"/>
  <c r="C8070" i="2"/>
  <c r="B8070" i="2"/>
  <c r="A8070" i="2"/>
  <c r="D8069" i="2"/>
  <c r="C8069" i="2"/>
  <c r="B8069" i="2"/>
  <c r="A8069" i="2"/>
  <c r="D8068" i="2"/>
  <c r="C8068" i="2"/>
  <c r="B8068" i="2"/>
  <c r="A8068" i="2"/>
  <c r="D8067" i="2"/>
  <c r="C8067" i="2"/>
  <c r="B8067" i="2"/>
  <c r="A8067" i="2"/>
  <c r="D8066" i="2"/>
  <c r="C8066" i="2"/>
  <c r="B8066" i="2"/>
  <c r="A8066" i="2"/>
  <c r="D8065" i="2"/>
  <c r="C8065" i="2"/>
  <c r="B8065" i="2"/>
  <c r="A8065" i="2"/>
  <c r="D8064" i="2"/>
  <c r="C8064" i="2"/>
  <c r="B8064" i="2"/>
  <c r="A8064" i="2"/>
  <c r="D8063" i="2"/>
  <c r="C8063" i="2"/>
  <c r="B8063" i="2"/>
  <c r="A8063" i="2"/>
  <c r="D8062" i="2"/>
  <c r="C8062" i="2"/>
  <c r="B8062" i="2"/>
  <c r="A8062" i="2"/>
  <c r="D8061" i="2"/>
  <c r="C8061" i="2"/>
  <c r="B8061" i="2"/>
  <c r="A8061" i="2"/>
  <c r="D8060" i="2"/>
  <c r="C8060" i="2"/>
  <c r="B8060" i="2"/>
  <c r="A8060" i="2"/>
  <c r="D8059" i="2"/>
  <c r="C8059" i="2"/>
  <c r="B8059" i="2"/>
  <c r="A8059" i="2"/>
  <c r="D8058" i="2"/>
  <c r="C8058" i="2"/>
  <c r="B8058" i="2"/>
  <c r="A8058" i="2"/>
  <c r="D8057" i="2"/>
  <c r="C8057" i="2"/>
  <c r="B8057" i="2"/>
  <c r="A8057" i="2"/>
  <c r="D8056" i="2"/>
  <c r="C8056" i="2"/>
  <c r="B8056" i="2"/>
  <c r="A8056" i="2"/>
  <c r="D8055" i="2"/>
  <c r="C8055" i="2"/>
  <c r="B8055" i="2"/>
  <c r="A8055" i="2"/>
  <c r="D8054" i="2"/>
  <c r="C8054" i="2"/>
  <c r="B8054" i="2"/>
  <c r="A8054" i="2"/>
  <c r="D8053" i="2"/>
  <c r="C8053" i="2"/>
  <c r="B8053" i="2"/>
  <c r="A8053" i="2"/>
  <c r="D8052" i="2"/>
  <c r="C8052" i="2"/>
  <c r="B8052" i="2"/>
  <c r="A8052" i="2"/>
  <c r="D8051" i="2"/>
  <c r="C8051" i="2"/>
  <c r="B8051" i="2"/>
  <c r="A8051" i="2"/>
  <c r="D8050" i="2"/>
  <c r="C8050" i="2"/>
  <c r="B8050" i="2"/>
  <c r="A8050" i="2"/>
  <c r="D8049" i="2"/>
  <c r="C8049" i="2"/>
  <c r="B8049" i="2"/>
  <c r="A8049" i="2"/>
  <c r="D8048" i="2"/>
  <c r="C8048" i="2"/>
  <c r="B8048" i="2"/>
  <c r="A8048" i="2"/>
  <c r="D8047" i="2"/>
  <c r="C8047" i="2"/>
  <c r="B8047" i="2"/>
  <c r="A8047" i="2"/>
  <c r="D8046" i="2"/>
  <c r="C8046" i="2"/>
  <c r="B8046" i="2"/>
  <c r="A8046" i="2"/>
  <c r="D8045" i="2"/>
  <c r="C8045" i="2"/>
  <c r="B8045" i="2"/>
  <c r="A8045" i="2"/>
  <c r="D8044" i="2"/>
  <c r="C8044" i="2"/>
  <c r="B8044" i="2"/>
  <c r="A8044" i="2"/>
  <c r="D8043" i="2"/>
  <c r="C8043" i="2"/>
  <c r="B8043" i="2"/>
  <c r="A8043" i="2"/>
  <c r="D8042" i="2"/>
  <c r="C8042" i="2"/>
  <c r="B8042" i="2"/>
  <c r="A8042" i="2"/>
  <c r="D8041" i="2"/>
  <c r="C8041" i="2"/>
  <c r="B8041" i="2"/>
  <c r="A8041" i="2"/>
  <c r="D8040" i="2"/>
  <c r="C8040" i="2"/>
  <c r="B8040" i="2"/>
  <c r="A8040" i="2"/>
  <c r="D8039" i="2"/>
  <c r="C8039" i="2"/>
  <c r="B8039" i="2"/>
  <c r="A8039" i="2"/>
  <c r="D8038" i="2"/>
  <c r="C8038" i="2"/>
  <c r="B8038" i="2"/>
  <c r="A8038" i="2"/>
  <c r="D8037" i="2"/>
  <c r="C8037" i="2"/>
  <c r="B8037" i="2"/>
  <c r="A8037" i="2"/>
  <c r="D8036" i="2"/>
  <c r="C8036" i="2"/>
  <c r="B8036" i="2"/>
  <c r="A8036" i="2"/>
  <c r="D8035" i="2"/>
  <c r="C8035" i="2"/>
  <c r="B8035" i="2"/>
  <c r="A8035" i="2"/>
  <c r="D8034" i="2"/>
  <c r="C8034" i="2"/>
  <c r="B8034" i="2"/>
  <c r="A8034" i="2"/>
  <c r="D8033" i="2"/>
  <c r="C8033" i="2"/>
  <c r="B8033" i="2"/>
  <c r="A8033" i="2"/>
  <c r="D8032" i="2"/>
  <c r="C8032" i="2"/>
  <c r="B8032" i="2"/>
  <c r="A8032" i="2"/>
  <c r="D8031" i="2"/>
  <c r="C8031" i="2"/>
  <c r="B8031" i="2"/>
  <c r="A8031" i="2"/>
  <c r="D8030" i="2"/>
  <c r="C8030" i="2"/>
  <c r="B8030" i="2"/>
  <c r="A8030" i="2"/>
  <c r="D8029" i="2"/>
  <c r="C8029" i="2"/>
  <c r="B8029" i="2"/>
  <c r="A8029" i="2"/>
  <c r="D8028" i="2"/>
  <c r="B8028" i="2"/>
  <c r="A8028" i="2"/>
  <c r="D8027" i="2"/>
  <c r="C8027" i="2"/>
  <c r="B8027" i="2"/>
  <c r="A8027" i="2"/>
  <c r="D8026" i="2"/>
  <c r="C8026" i="2"/>
  <c r="B8026" i="2"/>
  <c r="A8026" i="2"/>
  <c r="D8025" i="2"/>
  <c r="C8025" i="2"/>
  <c r="B8025" i="2"/>
  <c r="A8025" i="2"/>
  <c r="D8024" i="2"/>
  <c r="C8024" i="2"/>
  <c r="B8024" i="2"/>
  <c r="A8024" i="2"/>
  <c r="D8023" i="2"/>
  <c r="C8023" i="2"/>
  <c r="B8023" i="2"/>
  <c r="A8023" i="2"/>
  <c r="D8022" i="2"/>
  <c r="C8022" i="2"/>
  <c r="B8022" i="2"/>
  <c r="A8022" i="2"/>
  <c r="D8021" i="2"/>
  <c r="C8021" i="2"/>
  <c r="B8021" i="2"/>
  <c r="A8021" i="2"/>
  <c r="D8020" i="2"/>
  <c r="C8020" i="2"/>
  <c r="B8020" i="2"/>
  <c r="A8020" i="2"/>
  <c r="D8019" i="2"/>
  <c r="C8019" i="2"/>
  <c r="B8019" i="2"/>
  <c r="A8019" i="2"/>
  <c r="D8018" i="2"/>
  <c r="C8018" i="2"/>
  <c r="B8018" i="2"/>
  <c r="A8018" i="2"/>
  <c r="D8017" i="2"/>
  <c r="C8017" i="2"/>
  <c r="B8017" i="2"/>
  <c r="A8017" i="2"/>
  <c r="D8016" i="2"/>
  <c r="C8016" i="2"/>
  <c r="B8016" i="2"/>
  <c r="A8016" i="2"/>
  <c r="D8015" i="2"/>
  <c r="C8015" i="2"/>
  <c r="B8015" i="2"/>
  <c r="A8015" i="2"/>
  <c r="D8014" i="2"/>
  <c r="C8014" i="2"/>
  <c r="B8014" i="2"/>
  <c r="A8014" i="2"/>
  <c r="D8013" i="2"/>
  <c r="C8013" i="2"/>
  <c r="B8013" i="2"/>
  <c r="A8013" i="2"/>
  <c r="D8012" i="2"/>
  <c r="C8012" i="2"/>
  <c r="B8012" i="2"/>
  <c r="A8012" i="2"/>
  <c r="D8011" i="2"/>
  <c r="C8011" i="2"/>
  <c r="B8011" i="2"/>
  <c r="A8011" i="2"/>
  <c r="D8010" i="2"/>
  <c r="C8010" i="2"/>
  <c r="B8010" i="2"/>
  <c r="A8010" i="2"/>
  <c r="D8009" i="2"/>
  <c r="C8009" i="2"/>
  <c r="B8009" i="2"/>
  <c r="A8009" i="2"/>
  <c r="D8008" i="2"/>
  <c r="C8008" i="2"/>
  <c r="B8008" i="2"/>
  <c r="A8008" i="2"/>
  <c r="D8007" i="2"/>
  <c r="C8007" i="2"/>
  <c r="B8007" i="2"/>
  <c r="A8007" i="2"/>
  <c r="D8006" i="2"/>
  <c r="C8006" i="2"/>
  <c r="B8006" i="2"/>
  <c r="A8006" i="2"/>
  <c r="D8005" i="2"/>
  <c r="C8005" i="2"/>
  <c r="B8005" i="2"/>
  <c r="A8005" i="2"/>
  <c r="D8004" i="2"/>
  <c r="C8004" i="2"/>
  <c r="B8004" i="2"/>
  <c r="A8004" i="2"/>
  <c r="D8003" i="2"/>
  <c r="C8003" i="2"/>
  <c r="B8003" i="2"/>
  <c r="A8003" i="2"/>
  <c r="D8002" i="2"/>
  <c r="C8002" i="2"/>
  <c r="B8002" i="2"/>
  <c r="A8002" i="2"/>
  <c r="D8001" i="2"/>
  <c r="C8001" i="2"/>
  <c r="B8001" i="2"/>
  <c r="A8001" i="2"/>
  <c r="D8000" i="2"/>
  <c r="C8000" i="2"/>
  <c r="B8000" i="2"/>
  <c r="A8000" i="2"/>
  <c r="D7999" i="2"/>
  <c r="C7999" i="2"/>
  <c r="B7999" i="2"/>
  <c r="A7999" i="2"/>
  <c r="D7998" i="2"/>
  <c r="C7998" i="2"/>
  <c r="B7998" i="2"/>
  <c r="A7998" i="2"/>
  <c r="D7997" i="2"/>
  <c r="C7997" i="2"/>
  <c r="B7997" i="2"/>
  <c r="A7997" i="2"/>
  <c r="D7996" i="2"/>
  <c r="C7996" i="2"/>
  <c r="B7996" i="2"/>
  <c r="A7996" i="2"/>
  <c r="D7995" i="2"/>
  <c r="C7995" i="2"/>
  <c r="B7995" i="2"/>
  <c r="A7995" i="2"/>
  <c r="D7994" i="2"/>
  <c r="C7994" i="2"/>
  <c r="B7994" i="2"/>
  <c r="A7994" i="2"/>
  <c r="D7993" i="2"/>
  <c r="C7993" i="2"/>
  <c r="B7993" i="2"/>
  <c r="A7993" i="2"/>
  <c r="D7992" i="2"/>
  <c r="C7992" i="2"/>
  <c r="B7992" i="2"/>
  <c r="A7992" i="2"/>
  <c r="D7991" i="2"/>
  <c r="C7991" i="2"/>
  <c r="B7991" i="2"/>
  <c r="A7991" i="2"/>
  <c r="D7990" i="2"/>
  <c r="C7990" i="2"/>
  <c r="B7990" i="2"/>
  <c r="A7990" i="2"/>
  <c r="D7989" i="2"/>
  <c r="C7989" i="2"/>
  <c r="B7989" i="2"/>
  <c r="A7989" i="2"/>
  <c r="D7988" i="2"/>
  <c r="C7988" i="2"/>
  <c r="B7988" i="2"/>
  <c r="A7988" i="2"/>
  <c r="D7987" i="2"/>
  <c r="C7987" i="2"/>
  <c r="B7987" i="2"/>
  <c r="A7987" i="2"/>
  <c r="D7986" i="2"/>
  <c r="C7986" i="2"/>
  <c r="B7986" i="2"/>
  <c r="A7986" i="2"/>
  <c r="D7985" i="2"/>
  <c r="C7985" i="2"/>
  <c r="B7985" i="2"/>
  <c r="A7985" i="2"/>
  <c r="D7984" i="2"/>
  <c r="C7984" i="2"/>
  <c r="B7984" i="2"/>
  <c r="A7984" i="2"/>
  <c r="D7983" i="2"/>
  <c r="C7983" i="2"/>
  <c r="B7983" i="2"/>
  <c r="A7983" i="2"/>
  <c r="D7982" i="2"/>
  <c r="C7982" i="2"/>
  <c r="B7982" i="2"/>
  <c r="A7982" i="2"/>
  <c r="D7981" i="2"/>
  <c r="C7981" i="2"/>
  <c r="B7981" i="2"/>
  <c r="A7981" i="2"/>
  <c r="D7980" i="2"/>
  <c r="C7980" i="2"/>
  <c r="B7980" i="2"/>
  <c r="A7980" i="2"/>
  <c r="D7979" i="2"/>
  <c r="C7979" i="2"/>
  <c r="B7979" i="2"/>
  <c r="A7979" i="2"/>
  <c r="D7978" i="2"/>
  <c r="C7978" i="2"/>
  <c r="B7978" i="2"/>
  <c r="A7978" i="2"/>
  <c r="D7977" i="2"/>
  <c r="C7977" i="2"/>
  <c r="B7977" i="2"/>
  <c r="A7977" i="2"/>
  <c r="D7976" i="2"/>
  <c r="C7976" i="2"/>
  <c r="B7976" i="2"/>
  <c r="A7976" i="2"/>
  <c r="D7975" i="2"/>
  <c r="C7975" i="2"/>
  <c r="B7975" i="2"/>
  <c r="A7975" i="2"/>
  <c r="D7974" i="2"/>
  <c r="C7974" i="2"/>
  <c r="B7974" i="2"/>
  <c r="A7974" i="2"/>
  <c r="D7973" i="2"/>
  <c r="C7973" i="2"/>
  <c r="B7973" i="2"/>
  <c r="A7973" i="2"/>
  <c r="D7972" i="2"/>
  <c r="C7972" i="2"/>
  <c r="B7972" i="2"/>
  <c r="A7972" i="2"/>
  <c r="D7971" i="2"/>
  <c r="C7971" i="2"/>
  <c r="B7971" i="2"/>
  <c r="A7971" i="2"/>
  <c r="D7970" i="2"/>
  <c r="C7970" i="2"/>
  <c r="B7970" i="2"/>
  <c r="A7970" i="2"/>
  <c r="D7969" i="2"/>
  <c r="C7969" i="2"/>
  <c r="B7969" i="2"/>
  <c r="A7969" i="2"/>
  <c r="D7968" i="2"/>
  <c r="C7968" i="2"/>
  <c r="B7968" i="2"/>
  <c r="A7968" i="2"/>
  <c r="D7967" i="2"/>
  <c r="C7967" i="2"/>
  <c r="B7967" i="2"/>
  <c r="A7967" i="2"/>
  <c r="D7966" i="2"/>
  <c r="C7966" i="2"/>
  <c r="B7966" i="2"/>
  <c r="A7966" i="2"/>
  <c r="D7965" i="2"/>
  <c r="C7965" i="2"/>
  <c r="B7965" i="2"/>
  <c r="A7965" i="2"/>
  <c r="D7964" i="2"/>
  <c r="C7964" i="2"/>
  <c r="B7964" i="2"/>
  <c r="A7964" i="2"/>
  <c r="D7963" i="2"/>
  <c r="C7963" i="2"/>
  <c r="B7963" i="2"/>
  <c r="A7963" i="2"/>
  <c r="D7962" i="2"/>
  <c r="C7962" i="2"/>
  <c r="B7962" i="2"/>
  <c r="A7962" i="2"/>
  <c r="D7961" i="2"/>
  <c r="C7961" i="2"/>
  <c r="B7961" i="2"/>
  <c r="A7961" i="2"/>
  <c r="D7960" i="2"/>
  <c r="C7960" i="2"/>
  <c r="B7960" i="2"/>
  <c r="A7960" i="2"/>
  <c r="D7959" i="2"/>
  <c r="C7959" i="2"/>
  <c r="B7959" i="2"/>
  <c r="A7959" i="2"/>
  <c r="D7958" i="2"/>
  <c r="C7958" i="2"/>
  <c r="B7958" i="2"/>
  <c r="A7958" i="2"/>
  <c r="D7957" i="2"/>
  <c r="C7957" i="2"/>
  <c r="B7957" i="2"/>
  <c r="A7957" i="2"/>
  <c r="D7956" i="2"/>
  <c r="C7956" i="2"/>
  <c r="B7956" i="2"/>
  <c r="A7956" i="2"/>
  <c r="D7955" i="2"/>
  <c r="C7955" i="2"/>
  <c r="B7955" i="2"/>
  <c r="A7955" i="2"/>
  <c r="D7954" i="2"/>
  <c r="C7954" i="2"/>
  <c r="B7954" i="2"/>
  <c r="A7954" i="2"/>
  <c r="D7953" i="2"/>
  <c r="C7953" i="2"/>
  <c r="B7953" i="2"/>
  <c r="A7953" i="2"/>
  <c r="D7952" i="2"/>
  <c r="C7952" i="2"/>
  <c r="B7952" i="2"/>
  <c r="A7952" i="2"/>
  <c r="D7951" i="2"/>
  <c r="C7951" i="2"/>
  <c r="B7951" i="2"/>
  <c r="A7951" i="2"/>
  <c r="D7950" i="2"/>
  <c r="C7950" i="2"/>
  <c r="B7950" i="2"/>
  <c r="A7950" i="2"/>
  <c r="D7949" i="2"/>
  <c r="C7949" i="2"/>
  <c r="B7949" i="2"/>
  <c r="A7949" i="2"/>
  <c r="D7948" i="2"/>
  <c r="C7948" i="2"/>
  <c r="B7948" i="2"/>
  <c r="A7948" i="2"/>
  <c r="D7947" i="2"/>
  <c r="C7947" i="2"/>
  <c r="B7947" i="2"/>
  <c r="A7947" i="2"/>
  <c r="D7946" i="2"/>
  <c r="C7946" i="2"/>
  <c r="B7946" i="2"/>
  <c r="A7946" i="2"/>
  <c r="D7945" i="2"/>
  <c r="C7945" i="2"/>
  <c r="B7945" i="2"/>
  <c r="A7945" i="2"/>
  <c r="D7944" i="2"/>
  <c r="C7944" i="2"/>
  <c r="B7944" i="2"/>
  <c r="A7944" i="2"/>
  <c r="D7943" i="2"/>
  <c r="C7943" i="2"/>
  <c r="B7943" i="2"/>
  <c r="A7943" i="2"/>
  <c r="D7942" i="2"/>
  <c r="C7942" i="2"/>
  <c r="B7942" i="2"/>
  <c r="A7942" i="2"/>
  <c r="D7941" i="2"/>
  <c r="C7941" i="2"/>
  <c r="B7941" i="2"/>
  <c r="A7941" i="2"/>
  <c r="D7940" i="2"/>
  <c r="C7940" i="2"/>
  <c r="B7940" i="2"/>
  <c r="A7940" i="2"/>
  <c r="D7939" i="2"/>
  <c r="C7939" i="2"/>
  <c r="B7939" i="2"/>
  <c r="A7939" i="2"/>
  <c r="D7938" i="2"/>
  <c r="C7938" i="2"/>
  <c r="B7938" i="2"/>
  <c r="A7938" i="2"/>
  <c r="D7937" i="2"/>
  <c r="C7937" i="2"/>
  <c r="B7937" i="2"/>
  <c r="A7937" i="2"/>
  <c r="D7936" i="2"/>
  <c r="C7936" i="2"/>
  <c r="B7936" i="2"/>
  <c r="A7936" i="2"/>
  <c r="D7935" i="2"/>
  <c r="C7935" i="2"/>
  <c r="B7935" i="2"/>
  <c r="A7935" i="2"/>
  <c r="D7934" i="2"/>
  <c r="C7934" i="2"/>
  <c r="B7934" i="2"/>
  <c r="A7934" i="2"/>
  <c r="D7933" i="2"/>
  <c r="C7933" i="2"/>
  <c r="B7933" i="2"/>
  <c r="A7933" i="2"/>
  <c r="D7932" i="2"/>
  <c r="C7932" i="2"/>
  <c r="B7932" i="2"/>
  <c r="A7932" i="2"/>
  <c r="D7931" i="2"/>
  <c r="C7931" i="2"/>
  <c r="B7931" i="2"/>
  <c r="A7931" i="2"/>
  <c r="D7930" i="2"/>
  <c r="C7930" i="2"/>
  <c r="B7930" i="2"/>
  <c r="A7930" i="2"/>
  <c r="D7929" i="2"/>
  <c r="C7929" i="2"/>
  <c r="B7929" i="2"/>
  <c r="A7929" i="2"/>
  <c r="D7928" i="2"/>
  <c r="C7928" i="2"/>
  <c r="B7928" i="2"/>
  <c r="A7928" i="2"/>
  <c r="D7927" i="2"/>
  <c r="C7927" i="2"/>
  <c r="B7927" i="2"/>
  <c r="A7927" i="2"/>
  <c r="D7926" i="2"/>
  <c r="C7926" i="2"/>
  <c r="B7926" i="2"/>
  <c r="A7926" i="2"/>
  <c r="D7925" i="2"/>
  <c r="C7925" i="2"/>
  <c r="B7925" i="2"/>
  <c r="A7925" i="2"/>
  <c r="D7924" i="2"/>
  <c r="C7924" i="2"/>
  <c r="B7924" i="2"/>
  <c r="A7924" i="2"/>
  <c r="D7923" i="2"/>
  <c r="C7923" i="2"/>
  <c r="B7923" i="2"/>
  <c r="A7923" i="2"/>
  <c r="D7922" i="2"/>
  <c r="C7922" i="2"/>
  <c r="B7922" i="2"/>
  <c r="A7922" i="2"/>
  <c r="D7921" i="2"/>
  <c r="C7921" i="2"/>
  <c r="B7921" i="2"/>
  <c r="A7921" i="2"/>
  <c r="D7920" i="2"/>
  <c r="C7920" i="2"/>
  <c r="B7920" i="2"/>
  <c r="A7920" i="2"/>
  <c r="D7919" i="2"/>
  <c r="C7919" i="2"/>
  <c r="B7919" i="2"/>
  <c r="A7919" i="2"/>
  <c r="D7918" i="2"/>
  <c r="C7918" i="2"/>
  <c r="B7918" i="2"/>
  <c r="A7918" i="2"/>
  <c r="D7917" i="2"/>
  <c r="C7917" i="2"/>
  <c r="B7917" i="2"/>
  <c r="A7917" i="2"/>
  <c r="D7916" i="2"/>
  <c r="C7916" i="2"/>
  <c r="B7916" i="2"/>
  <c r="A7916" i="2"/>
  <c r="D7915" i="2"/>
  <c r="C7915" i="2"/>
  <c r="B7915" i="2"/>
  <c r="A7915" i="2"/>
  <c r="D7914" i="2"/>
  <c r="C7914" i="2"/>
  <c r="B7914" i="2"/>
  <c r="A7914" i="2"/>
  <c r="D7913" i="2"/>
  <c r="C7913" i="2"/>
  <c r="B7913" i="2"/>
  <c r="A7913" i="2"/>
  <c r="D7912" i="2"/>
  <c r="C7912" i="2"/>
  <c r="B7912" i="2"/>
  <c r="A7912" i="2"/>
  <c r="D7911" i="2"/>
  <c r="C7911" i="2"/>
  <c r="B7911" i="2"/>
  <c r="A7911" i="2"/>
  <c r="D7910" i="2"/>
  <c r="C7910" i="2"/>
  <c r="B7910" i="2"/>
  <c r="A7910" i="2"/>
  <c r="D7909" i="2"/>
  <c r="C7909" i="2"/>
  <c r="B7909" i="2"/>
  <c r="A7909" i="2"/>
  <c r="D7908" i="2"/>
  <c r="C7908" i="2"/>
  <c r="B7908" i="2"/>
  <c r="A7908" i="2"/>
  <c r="D7907" i="2"/>
  <c r="C7907" i="2"/>
  <c r="B7907" i="2"/>
  <c r="A7907" i="2"/>
  <c r="D7906" i="2"/>
  <c r="C7906" i="2"/>
  <c r="B7906" i="2"/>
  <c r="A7906" i="2"/>
  <c r="D7905" i="2"/>
  <c r="C7905" i="2"/>
  <c r="B7905" i="2"/>
  <c r="A7905" i="2"/>
  <c r="D7904" i="2"/>
  <c r="C7904" i="2"/>
  <c r="B7904" i="2"/>
  <c r="A7904" i="2"/>
  <c r="D7903" i="2"/>
  <c r="C7903" i="2"/>
  <c r="B7903" i="2"/>
  <c r="A7903" i="2"/>
  <c r="D7902" i="2"/>
  <c r="C7902" i="2"/>
  <c r="B7902" i="2"/>
  <c r="A7902" i="2"/>
  <c r="D7901" i="2"/>
  <c r="C7901" i="2"/>
  <c r="B7901" i="2"/>
  <c r="A7901" i="2"/>
  <c r="D7900" i="2"/>
  <c r="C7900" i="2"/>
  <c r="B7900" i="2"/>
  <c r="A7900" i="2"/>
  <c r="D7899" i="2"/>
  <c r="C7899" i="2"/>
  <c r="B7899" i="2"/>
  <c r="A7899" i="2"/>
  <c r="D7898" i="2"/>
  <c r="C7898" i="2"/>
  <c r="B7898" i="2"/>
  <c r="A7898" i="2"/>
  <c r="D7897" i="2"/>
  <c r="C7897" i="2"/>
  <c r="B7897" i="2"/>
  <c r="A7897" i="2"/>
  <c r="D7896" i="2"/>
  <c r="C7896" i="2"/>
  <c r="B7896" i="2"/>
  <c r="A7896" i="2"/>
  <c r="D7895" i="2"/>
  <c r="C7895" i="2"/>
  <c r="B7895" i="2"/>
  <c r="A7895" i="2"/>
  <c r="D7894" i="2"/>
  <c r="C7894" i="2"/>
  <c r="B7894" i="2"/>
  <c r="A7894" i="2"/>
  <c r="D7893" i="2"/>
  <c r="C7893" i="2"/>
  <c r="B7893" i="2"/>
  <c r="A7893" i="2"/>
  <c r="D7892" i="2"/>
  <c r="C7892" i="2"/>
  <c r="B7892" i="2"/>
  <c r="A7892" i="2"/>
  <c r="D7891" i="2"/>
  <c r="C7891" i="2"/>
  <c r="B7891" i="2"/>
  <c r="A7891" i="2"/>
  <c r="D7890" i="2"/>
  <c r="C7890" i="2"/>
  <c r="B7890" i="2"/>
  <c r="A7890" i="2"/>
  <c r="D7889" i="2"/>
  <c r="C7889" i="2"/>
  <c r="B7889" i="2"/>
  <c r="A7889" i="2"/>
  <c r="D7888" i="2"/>
  <c r="C7888" i="2"/>
  <c r="B7888" i="2"/>
  <c r="A7888" i="2"/>
  <c r="D7887" i="2"/>
  <c r="C7887" i="2"/>
  <c r="B7887" i="2"/>
  <c r="A7887" i="2"/>
  <c r="D7886" i="2"/>
  <c r="C7886" i="2"/>
  <c r="B7886" i="2"/>
  <c r="A7886" i="2"/>
  <c r="D7885" i="2"/>
  <c r="C7885" i="2"/>
  <c r="B7885" i="2"/>
  <c r="A7885" i="2"/>
  <c r="D7884" i="2"/>
  <c r="C7884" i="2"/>
  <c r="B7884" i="2"/>
  <c r="A7884" i="2"/>
  <c r="D7883" i="2"/>
  <c r="C7883" i="2"/>
  <c r="B7883" i="2"/>
  <c r="A7883" i="2"/>
  <c r="D7882" i="2"/>
  <c r="C7882" i="2"/>
  <c r="B7882" i="2"/>
  <c r="A7882" i="2"/>
  <c r="D7881" i="2"/>
  <c r="C7881" i="2"/>
  <c r="B7881" i="2"/>
  <c r="A7881" i="2"/>
  <c r="D7880" i="2"/>
  <c r="C7880" i="2"/>
  <c r="B7880" i="2"/>
  <c r="A7880" i="2"/>
  <c r="D7879" i="2"/>
  <c r="C7879" i="2"/>
  <c r="B7879" i="2"/>
  <c r="A7879" i="2"/>
  <c r="D7878" i="2"/>
  <c r="C7878" i="2"/>
  <c r="B7878" i="2"/>
  <c r="A7878" i="2"/>
  <c r="D7877" i="2"/>
  <c r="C7877" i="2"/>
  <c r="B7877" i="2"/>
  <c r="A7877" i="2"/>
  <c r="D7876" i="2"/>
  <c r="C7876" i="2"/>
  <c r="B7876" i="2"/>
  <c r="A7876" i="2"/>
  <c r="D7875" i="2"/>
  <c r="C7875" i="2"/>
  <c r="B7875" i="2"/>
  <c r="A7875" i="2"/>
  <c r="D7874" i="2"/>
  <c r="C7874" i="2"/>
  <c r="B7874" i="2"/>
  <c r="A7874" i="2"/>
  <c r="D7873" i="2"/>
  <c r="C7873" i="2"/>
  <c r="B7873" i="2"/>
  <c r="A7873" i="2"/>
  <c r="D7872" i="2"/>
  <c r="C7872" i="2"/>
  <c r="B7872" i="2"/>
  <c r="A7872" i="2"/>
  <c r="D7871" i="2"/>
  <c r="C7871" i="2"/>
  <c r="B7871" i="2"/>
  <c r="A7871" i="2"/>
  <c r="D7870" i="2"/>
  <c r="C7870" i="2"/>
  <c r="B7870" i="2"/>
  <c r="A7870" i="2"/>
  <c r="D7869" i="2"/>
  <c r="C7869" i="2"/>
  <c r="B7869" i="2"/>
  <c r="A7869" i="2"/>
  <c r="D7868" i="2"/>
  <c r="C7868" i="2"/>
  <c r="B7868" i="2"/>
  <c r="A7868" i="2"/>
  <c r="D7867" i="2"/>
  <c r="C7867" i="2"/>
  <c r="B7867" i="2"/>
  <c r="A7867" i="2"/>
  <c r="D7866" i="2"/>
  <c r="C7866" i="2"/>
  <c r="B7866" i="2"/>
  <c r="A7866" i="2"/>
  <c r="D7865" i="2"/>
  <c r="C7865" i="2"/>
  <c r="B7865" i="2"/>
  <c r="A7865" i="2"/>
  <c r="D7864" i="2"/>
  <c r="C7864" i="2"/>
  <c r="B7864" i="2"/>
  <c r="A7864" i="2"/>
  <c r="D7863" i="2"/>
  <c r="C7863" i="2"/>
  <c r="B7863" i="2"/>
  <c r="A7863" i="2"/>
  <c r="D7862" i="2"/>
  <c r="C7862" i="2"/>
  <c r="B7862" i="2"/>
  <c r="A7862" i="2"/>
  <c r="D7861" i="2"/>
  <c r="C7861" i="2"/>
  <c r="B7861" i="2"/>
  <c r="A7861" i="2"/>
  <c r="D7860" i="2"/>
  <c r="C7860" i="2"/>
  <c r="B7860" i="2"/>
  <c r="A7860" i="2"/>
  <c r="D7859" i="2"/>
  <c r="C7859" i="2"/>
  <c r="B7859" i="2"/>
  <c r="A7859" i="2"/>
  <c r="D7858" i="2"/>
  <c r="C7858" i="2"/>
  <c r="B7858" i="2"/>
  <c r="A7858" i="2"/>
  <c r="D7857" i="2"/>
  <c r="C7857" i="2"/>
  <c r="B7857" i="2"/>
  <c r="A7857" i="2"/>
  <c r="D7856" i="2"/>
  <c r="C7856" i="2"/>
  <c r="B7856" i="2"/>
  <c r="A7856" i="2"/>
  <c r="D7855" i="2"/>
  <c r="C7855" i="2"/>
  <c r="B7855" i="2"/>
  <c r="A7855" i="2"/>
  <c r="D7854" i="2"/>
  <c r="C7854" i="2"/>
  <c r="B7854" i="2"/>
  <c r="A7854" i="2"/>
  <c r="D7853" i="2"/>
  <c r="C7853" i="2"/>
  <c r="B7853" i="2"/>
  <c r="A7853" i="2"/>
  <c r="D7852" i="2"/>
  <c r="C7852" i="2"/>
  <c r="B7852" i="2"/>
  <c r="A7852" i="2"/>
  <c r="D7851" i="2"/>
  <c r="C7851" i="2"/>
  <c r="B7851" i="2"/>
  <c r="A7851" i="2"/>
  <c r="D7850" i="2"/>
  <c r="C7850" i="2"/>
  <c r="B7850" i="2"/>
  <c r="A7850" i="2"/>
  <c r="D7849" i="2"/>
  <c r="C7849" i="2"/>
  <c r="B7849" i="2"/>
  <c r="A7849" i="2"/>
  <c r="D7848" i="2"/>
  <c r="C7848" i="2"/>
  <c r="B7848" i="2"/>
  <c r="A7848" i="2"/>
  <c r="D7847" i="2"/>
  <c r="C7847" i="2"/>
  <c r="B7847" i="2"/>
  <c r="A7847" i="2"/>
  <c r="D7846" i="2"/>
  <c r="C7846" i="2"/>
  <c r="B7846" i="2"/>
  <c r="A7846" i="2"/>
  <c r="D7845" i="2"/>
  <c r="C7845" i="2"/>
  <c r="B7845" i="2"/>
  <c r="A7845" i="2"/>
  <c r="D7844" i="2"/>
  <c r="C7844" i="2"/>
  <c r="B7844" i="2"/>
  <c r="A7844" i="2"/>
  <c r="D7843" i="2"/>
  <c r="C7843" i="2"/>
  <c r="B7843" i="2"/>
  <c r="A7843" i="2"/>
  <c r="D7842" i="2"/>
  <c r="C7842" i="2"/>
  <c r="B7842" i="2"/>
  <c r="A7842" i="2"/>
  <c r="D7841" i="2"/>
  <c r="C7841" i="2"/>
  <c r="B7841" i="2"/>
  <c r="A7841" i="2"/>
  <c r="D7840" i="2"/>
  <c r="C7840" i="2"/>
  <c r="B7840" i="2"/>
  <c r="A7840" i="2"/>
  <c r="D7839" i="2"/>
  <c r="C7839" i="2"/>
  <c r="B7839" i="2"/>
  <c r="A7839" i="2"/>
  <c r="D7838" i="2"/>
  <c r="C7838" i="2"/>
  <c r="B7838" i="2"/>
  <c r="A7838" i="2"/>
  <c r="D7837" i="2"/>
  <c r="C7837" i="2"/>
  <c r="B7837" i="2"/>
  <c r="A7837" i="2"/>
  <c r="D7836" i="2"/>
  <c r="C7836" i="2"/>
  <c r="B7836" i="2"/>
  <c r="A7836" i="2"/>
  <c r="D7835" i="2"/>
  <c r="C7835" i="2"/>
  <c r="B7835" i="2"/>
  <c r="A7835" i="2"/>
  <c r="D7834" i="2"/>
  <c r="C7834" i="2"/>
  <c r="B7834" i="2"/>
  <c r="A7834" i="2"/>
  <c r="D7833" i="2"/>
  <c r="C7833" i="2"/>
  <c r="B7833" i="2"/>
  <c r="A7833" i="2"/>
  <c r="D7832" i="2"/>
  <c r="C7832" i="2"/>
  <c r="B7832" i="2"/>
  <c r="A7832" i="2"/>
  <c r="D7831" i="2"/>
  <c r="C7831" i="2"/>
  <c r="B7831" i="2"/>
  <c r="A7831" i="2"/>
  <c r="D7830" i="2"/>
  <c r="C7830" i="2"/>
  <c r="B7830" i="2"/>
  <c r="A7830" i="2"/>
  <c r="D7829" i="2"/>
  <c r="C7829" i="2"/>
  <c r="B7829" i="2"/>
  <c r="A7829" i="2"/>
  <c r="D7828" i="2"/>
  <c r="C7828" i="2"/>
  <c r="B7828" i="2"/>
  <c r="A7828" i="2"/>
  <c r="D7827" i="2"/>
  <c r="C7827" i="2"/>
  <c r="B7827" i="2"/>
  <c r="A7827" i="2"/>
  <c r="D7826" i="2"/>
  <c r="C7826" i="2"/>
  <c r="B7826" i="2"/>
  <c r="A7826" i="2"/>
  <c r="D7825" i="2"/>
  <c r="C7825" i="2"/>
  <c r="B7825" i="2"/>
  <c r="A7825" i="2"/>
  <c r="D7824" i="2"/>
  <c r="C7824" i="2"/>
  <c r="B7824" i="2"/>
  <c r="A7824" i="2"/>
  <c r="D7823" i="2"/>
  <c r="C7823" i="2"/>
  <c r="B7823" i="2"/>
  <c r="A7823" i="2"/>
  <c r="D7822" i="2"/>
  <c r="C7822" i="2"/>
  <c r="B7822" i="2"/>
  <c r="A7822" i="2"/>
  <c r="D7821" i="2"/>
  <c r="C7821" i="2"/>
  <c r="B7821" i="2"/>
  <c r="A7821" i="2"/>
  <c r="D7820" i="2"/>
  <c r="C7820" i="2"/>
  <c r="B7820" i="2"/>
  <c r="A7820" i="2"/>
  <c r="D7819" i="2"/>
  <c r="C7819" i="2"/>
  <c r="B7819" i="2"/>
  <c r="A7819" i="2"/>
  <c r="D7818" i="2"/>
  <c r="C7818" i="2"/>
  <c r="B7818" i="2"/>
  <c r="A7818" i="2"/>
  <c r="D7817" i="2"/>
  <c r="C7817" i="2"/>
  <c r="B7817" i="2"/>
  <c r="A7817" i="2"/>
  <c r="D7816" i="2"/>
  <c r="C7816" i="2"/>
  <c r="B7816" i="2"/>
  <c r="A7816" i="2"/>
  <c r="D7815" i="2"/>
  <c r="C7815" i="2"/>
  <c r="B7815" i="2"/>
  <c r="A7815" i="2"/>
  <c r="D7814" i="2"/>
  <c r="C7814" i="2"/>
  <c r="B7814" i="2"/>
  <c r="A7814" i="2"/>
  <c r="D7813" i="2"/>
  <c r="C7813" i="2"/>
  <c r="B7813" i="2"/>
  <c r="A7813" i="2"/>
  <c r="D7812" i="2"/>
  <c r="C7812" i="2"/>
  <c r="B7812" i="2"/>
  <c r="A7812" i="2"/>
  <c r="D7811" i="2"/>
  <c r="C7811" i="2"/>
  <c r="B7811" i="2"/>
  <c r="A7811" i="2"/>
  <c r="D7810" i="2"/>
  <c r="C7810" i="2"/>
  <c r="B7810" i="2"/>
  <c r="A7810" i="2"/>
  <c r="D7809" i="2"/>
  <c r="C7809" i="2"/>
  <c r="B7809" i="2"/>
  <c r="A7809" i="2"/>
  <c r="D7808" i="2"/>
  <c r="C7808" i="2"/>
  <c r="B7808" i="2"/>
  <c r="A7808" i="2"/>
  <c r="D7807" i="2"/>
  <c r="C7807" i="2"/>
  <c r="B7807" i="2"/>
  <c r="A7807" i="2"/>
  <c r="D7806" i="2"/>
  <c r="C7806" i="2"/>
  <c r="B7806" i="2"/>
  <c r="A7806" i="2"/>
  <c r="D7805" i="2"/>
  <c r="C7805" i="2"/>
  <c r="B7805" i="2"/>
  <c r="A7805" i="2"/>
  <c r="D7804" i="2"/>
  <c r="C7804" i="2"/>
  <c r="B7804" i="2"/>
  <c r="A7804" i="2"/>
  <c r="D7803" i="2"/>
  <c r="C7803" i="2"/>
  <c r="B7803" i="2"/>
  <c r="A7803" i="2"/>
  <c r="D7802" i="2"/>
  <c r="C7802" i="2"/>
  <c r="B7802" i="2"/>
  <c r="A7802" i="2"/>
  <c r="D7801" i="2"/>
  <c r="C7801" i="2"/>
  <c r="B7801" i="2"/>
  <c r="A7801" i="2"/>
  <c r="D7800" i="2"/>
  <c r="C7800" i="2"/>
  <c r="B7800" i="2"/>
  <c r="A7800" i="2"/>
  <c r="D7799" i="2"/>
  <c r="C7799" i="2"/>
  <c r="B7799" i="2"/>
  <c r="A7799" i="2"/>
  <c r="D7798" i="2"/>
  <c r="C7798" i="2"/>
  <c r="B7798" i="2"/>
  <c r="A7798" i="2"/>
  <c r="D7797" i="2"/>
  <c r="C7797" i="2"/>
  <c r="B7797" i="2"/>
  <c r="A7797" i="2"/>
  <c r="D7796" i="2"/>
  <c r="C7796" i="2"/>
  <c r="B7796" i="2"/>
  <c r="A7796" i="2"/>
  <c r="D7795" i="2"/>
  <c r="C7795" i="2"/>
  <c r="B7795" i="2"/>
  <c r="A7795" i="2"/>
  <c r="D7794" i="2"/>
  <c r="C7794" i="2"/>
  <c r="B7794" i="2"/>
  <c r="A7794" i="2"/>
  <c r="D7793" i="2"/>
  <c r="C7793" i="2"/>
  <c r="B7793" i="2"/>
  <c r="A7793" i="2"/>
  <c r="D7792" i="2"/>
  <c r="C7792" i="2"/>
  <c r="B7792" i="2"/>
  <c r="A7792" i="2"/>
  <c r="D7791" i="2"/>
  <c r="C7791" i="2"/>
  <c r="B7791" i="2"/>
  <c r="A7791" i="2"/>
  <c r="D7790" i="2"/>
  <c r="C7790" i="2"/>
  <c r="B7790" i="2"/>
  <c r="A7790" i="2"/>
  <c r="D7789" i="2"/>
  <c r="C7789" i="2"/>
  <c r="B7789" i="2"/>
  <c r="A7789" i="2"/>
  <c r="D7788" i="2"/>
  <c r="C7788" i="2"/>
  <c r="B7788" i="2"/>
  <c r="A7788" i="2"/>
  <c r="D7787" i="2"/>
  <c r="C7787" i="2"/>
  <c r="B7787" i="2"/>
  <c r="A7787" i="2"/>
  <c r="D7786" i="2"/>
  <c r="C7786" i="2"/>
  <c r="B7786" i="2"/>
  <c r="A7786" i="2"/>
  <c r="D7785" i="2"/>
  <c r="C7785" i="2"/>
  <c r="B7785" i="2"/>
  <c r="A7785" i="2"/>
  <c r="D7784" i="2"/>
  <c r="C7784" i="2"/>
  <c r="B7784" i="2"/>
  <c r="A7784" i="2"/>
  <c r="D7783" i="2"/>
  <c r="C7783" i="2"/>
  <c r="B7783" i="2"/>
  <c r="A7783" i="2"/>
  <c r="D7782" i="2"/>
  <c r="C7782" i="2"/>
  <c r="B7782" i="2"/>
  <c r="A7782" i="2"/>
  <c r="D7781" i="2"/>
  <c r="C7781" i="2"/>
  <c r="B7781" i="2"/>
  <c r="A7781" i="2"/>
  <c r="D7780" i="2"/>
  <c r="C7780" i="2"/>
  <c r="B7780" i="2"/>
  <c r="A7780" i="2"/>
  <c r="D7779" i="2"/>
  <c r="C7779" i="2"/>
  <c r="B7779" i="2"/>
  <c r="A7779" i="2"/>
  <c r="D7778" i="2"/>
  <c r="C7778" i="2"/>
  <c r="B7778" i="2"/>
  <c r="A7778" i="2"/>
  <c r="D7777" i="2"/>
  <c r="C7777" i="2"/>
  <c r="B7777" i="2"/>
  <c r="A7777" i="2"/>
  <c r="D7776" i="2"/>
  <c r="C7776" i="2"/>
  <c r="B7776" i="2"/>
  <c r="A7776" i="2"/>
  <c r="D7775" i="2"/>
  <c r="C7775" i="2"/>
  <c r="B7775" i="2"/>
  <c r="A7775" i="2"/>
  <c r="D7774" i="2"/>
  <c r="C7774" i="2"/>
  <c r="B7774" i="2"/>
  <c r="A7774" i="2"/>
  <c r="D7773" i="2"/>
  <c r="C7773" i="2"/>
  <c r="B7773" i="2"/>
  <c r="A7773" i="2"/>
  <c r="D7772" i="2"/>
  <c r="C7772" i="2"/>
  <c r="B7772" i="2"/>
  <c r="A7772" i="2"/>
  <c r="D7771" i="2"/>
  <c r="C7771" i="2"/>
  <c r="B7771" i="2"/>
  <c r="A7771" i="2"/>
  <c r="D7770" i="2"/>
  <c r="C7770" i="2"/>
  <c r="B7770" i="2"/>
  <c r="A7770" i="2"/>
  <c r="D7769" i="2"/>
  <c r="C7769" i="2"/>
  <c r="B7769" i="2"/>
  <c r="A7769" i="2"/>
  <c r="D7768" i="2"/>
  <c r="C7768" i="2"/>
  <c r="B7768" i="2"/>
  <c r="A7768" i="2"/>
  <c r="D7767" i="2"/>
  <c r="C7767" i="2"/>
  <c r="B7767" i="2"/>
  <c r="A7767" i="2"/>
  <c r="D7766" i="2"/>
  <c r="C7766" i="2"/>
  <c r="B7766" i="2"/>
  <c r="A7766" i="2"/>
  <c r="D7765" i="2"/>
  <c r="C7765" i="2"/>
  <c r="B7765" i="2"/>
  <c r="A7765" i="2"/>
  <c r="D7764" i="2"/>
  <c r="C7764" i="2"/>
  <c r="B7764" i="2"/>
  <c r="A7764" i="2"/>
  <c r="D7763" i="2"/>
  <c r="C7763" i="2"/>
  <c r="B7763" i="2"/>
  <c r="A7763" i="2"/>
  <c r="D7762" i="2"/>
  <c r="C7762" i="2"/>
  <c r="B7762" i="2"/>
  <c r="A7762" i="2"/>
  <c r="D7761" i="2"/>
  <c r="C7761" i="2"/>
  <c r="B7761" i="2"/>
  <c r="A7761" i="2"/>
  <c r="D7760" i="2"/>
  <c r="C7760" i="2"/>
  <c r="B7760" i="2"/>
  <c r="A7760" i="2"/>
  <c r="D7759" i="2"/>
  <c r="C7759" i="2"/>
  <c r="B7759" i="2"/>
  <c r="A7759" i="2"/>
  <c r="D7758" i="2"/>
  <c r="C7758" i="2"/>
  <c r="B7758" i="2"/>
  <c r="A7758" i="2"/>
  <c r="D7757" i="2"/>
  <c r="C7757" i="2"/>
  <c r="B7757" i="2"/>
  <c r="A7757" i="2"/>
  <c r="D7756" i="2"/>
  <c r="C7756" i="2"/>
  <c r="B7756" i="2"/>
  <c r="A7756" i="2"/>
  <c r="D7755" i="2"/>
  <c r="C7755" i="2"/>
  <c r="B7755" i="2"/>
  <c r="A7755" i="2"/>
  <c r="D7754" i="2"/>
  <c r="C7754" i="2"/>
  <c r="B7754" i="2"/>
  <c r="A7754" i="2"/>
  <c r="D7753" i="2"/>
  <c r="C7753" i="2"/>
  <c r="B7753" i="2"/>
  <c r="A7753" i="2"/>
  <c r="D7752" i="2"/>
  <c r="C7752" i="2"/>
  <c r="B7752" i="2"/>
  <c r="A7752" i="2"/>
  <c r="D7751" i="2"/>
  <c r="C7751" i="2"/>
  <c r="B7751" i="2"/>
  <c r="A7751" i="2"/>
  <c r="D7750" i="2"/>
  <c r="C7750" i="2"/>
  <c r="B7750" i="2"/>
  <c r="A7750" i="2"/>
  <c r="D7749" i="2"/>
  <c r="C7749" i="2"/>
  <c r="B7749" i="2"/>
  <c r="A7749" i="2"/>
  <c r="D7748" i="2"/>
  <c r="C7748" i="2"/>
  <c r="B7748" i="2"/>
  <c r="A7748" i="2"/>
  <c r="D7747" i="2"/>
  <c r="C7747" i="2"/>
  <c r="B7747" i="2"/>
  <c r="A7747" i="2"/>
  <c r="D7746" i="2"/>
  <c r="C7746" i="2"/>
  <c r="B7746" i="2"/>
  <c r="A7746" i="2"/>
  <c r="D7745" i="2"/>
  <c r="C7745" i="2"/>
  <c r="B7745" i="2"/>
  <c r="A7745" i="2"/>
  <c r="D7744" i="2"/>
  <c r="C7744" i="2"/>
  <c r="B7744" i="2"/>
  <c r="A7744" i="2"/>
  <c r="D7743" i="2"/>
  <c r="C7743" i="2"/>
  <c r="B7743" i="2"/>
  <c r="A7743" i="2"/>
  <c r="D7742" i="2"/>
  <c r="C7742" i="2"/>
  <c r="B7742" i="2"/>
  <c r="A7742" i="2"/>
  <c r="D7741" i="2"/>
  <c r="C7741" i="2"/>
  <c r="B7741" i="2"/>
  <c r="A7741" i="2"/>
  <c r="D7740" i="2"/>
  <c r="C7740" i="2"/>
  <c r="B7740" i="2"/>
  <c r="A7740" i="2"/>
  <c r="D7739" i="2"/>
  <c r="C7739" i="2"/>
  <c r="B7739" i="2"/>
  <c r="A7739" i="2"/>
  <c r="D7738" i="2"/>
  <c r="C7738" i="2"/>
  <c r="B7738" i="2"/>
  <c r="A7738" i="2"/>
  <c r="D7737" i="2"/>
  <c r="C7737" i="2"/>
  <c r="B7737" i="2"/>
  <c r="A7737" i="2"/>
  <c r="D7736" i="2"/>
  <c r="C7736" i="2"/>
  <c r="B7736" i="2"/>
  <c r="A7736" i="2"/>
  <c r="D7735" i="2"/>
  <c r="C7735" i="2"/>
  <c r="B7735" i="2"/>
  <c r="A7735" i="2"/>
  <c r="D7734" i="2"/>
  <c r="C7734" i="2"/>
  <c r="B7734" i="2"/>
  <c r="A7734" i="2"/>
  <c r="D7733" i="2"/>
  <c r="C7733" i="2"/>
  <c r="B7733" i="2"/>
  <c r="A7733" i="2"/>
  <c r="D7732" i="2"/>
  <c r="C7732" i="2"/>
  <c r="B7732" i="2"/>
  <c r="A7732" i="2"/>
  <c r="D7731" i="2"/>
  <c r="C7731" i="2"/>
  <c r="B7731" i="2"/>
  <c r="A7731" i="2"/>
  <c r="D7730" i="2"/>
  <c r="C7730" i="2"/>
  <c r="B7730" i="2"/>
  <c r="A7730" i="2"/>
  <c r="D7729" i="2"/>
  <c r="C7729" i="2"/>
  <c r="B7729" i="2"/>
  <c r="A7729" i="2"/>
  <c r="D7728" i="2"/>
  <c r="C7728" i="2"/>
  <c r="B7728" i="2"/>
  <c r="A7728" i="2"/>
  <c r="D7727" i="2"/>
  <c r="C7727" i="2"/>
  <c r="B7727" i="2"/>
  <c r="A7727" i="2"/>
  <c r="D7726" i="2"/>
  <c r="C7726" i="2"/>
  <c r="B7726" i="2"/>
  <c r="A7726" i="2"/>
  <c r="D7725" i="2"/>
  <c r="C7725" i="2"/>
  <c r="B7725" i="2"/>
  <c r="A7725" i="2"/>
  <c r="D7724" i="2"/>
  <c r="C7724" i="2"/>
  <c r="B7724" i="2"/>
  <c r="A7724" i="2"/>
  <c r="D7723" i="2"/>
  <c r="C7723" i="2"/>
  <c r="B7723" i="2"/>
  <c r="A7723" i="2"/>
  <c r="D7722" i="2"/>
  <c r="C7722" i="2"/>
  <c r="B7722" i="2"/>
  <c r="A7722" i="2"/>
  <c r="D7721" i="2"/>
  <c r="C7721" i="2"/>
  <c r="B7721" i="2"/>
  <c r="A7721" i="2"/>
  <c r="D7720" i="2"/>
  <c r="C7720" i="2"/>
  <c r="B7720" i="2"/>
  <c r="A7720" i="2"/>
  <c r="D7719" i="2"/>
  <c r="C7719" i="2"/>
  <c r="B7719" i="2"/>
  <c r="A7719" i="2"/>
  <c r="D7718" i="2"/>
  <c r="C7718" i="2"/>
  <c r="B7718" i="2"/>
  <c r="A7718" i="2"/>
  <c r="D7717" i="2"/>
  <c r="C7717" i="2"/>
  <c r="B7717" i="2"/>
  <c r="A7717" i="2"/>
  <c r="D7716" i="2"/>
  <c r="C7716" i="2"/>
  <c r="B7716" i="2"/>
  <c r="A7716" i="2"/>
  <c r="D7715" i="2"/>
  <c r="C7715" i="2"/>
  <c r="B7715" i="2"/>
  <c r="A7715" i="2"/>
  <c r="D7714" i="2"/>
  <c r="C7714" i="2"/>
  <c r="B7714" i="2"/>
  <c r="A7714" i="2"/>
  <c r="D7713" i="2"/>
  <c r="C7713" i="2"/>
  <c r="B7713" i="2"/>
  <c r="A7713" i="2"/>
  <c r="D7712" i="2"/>
  <c r="C7712" i="2"/>
  <c r="B7712" i="2"/>
  <c r="A7712" i="2"/>
  <c r="D7711" i="2"/>
  <c r="C7711" i="2"/>
  <c r="B7711" i="2"/>
  <c r="A7711" i="2"/>
  <c r="D7710" i="2"/>
  <c r="C7710" i="2"/>
  <c r="B7710" i="2"/>
  <c r="A7710" i="2"/>
  <c r="D7709" i="2"/>
  <c r="C7709" i="2"/>
  <c r="B7709" i="2"/>
  <c r="A7709" i="2"/>
  <c r="D7708" i="2"/>
  <c r="C7708" i="2"/>
  <c r="B7708" i="2"/>
  <c r="A7708" i="2"/>
  <c r="D7707" i="2"/>
  <c r="C7707" i="2"/>
  <c r="B7707" i="2"/>
  <c r="A7707" i="2"/>
  <c r="D7706" i="2"/>
  <c r="C7706" i="2"/>
  <c r="B7706" i="2"/>
  <c r="A7706" i="2"/>
  <c r="D7705" i="2"/>
  <c r="C7705" i="2"/>
  <c r="B7705" i="2"/>
  <c r="A7705" i="2"/>
  <c r="D7704" i="2"/>
  <c r="C7704" i="2"/>
  <c r="B7704" i="2"/>
  <c r="A7704" i="2"/>
  <c r="D7703" i="2"/>
  <c r="C7703" i="2"/>
  <c r="B7703" i="2"/>
  <c r="A7703" i="2"/>
  <c r="D7702" i="2"/>
  <c r="C7702" i="2"/>
  <c r="B7702" i="2"/>
  <c r="A7702" i="2"/>
  <c r="D7701" i="2"/>
  <c r="C7701" i="2"/>
  <c r="B7701" i="2"/>
  <c r="A7701" i="2"/>
  <c r="D7700" i="2"/>
  <c r="C7700" i="2"/>
  <c r="B7700" i="2"/>
  <c r="A7700" i="2"/>
  <c r="D7699" i="2"/>
  <c r="C7699" i="2"/>
  <c r="B7699" i="2"/>
  <c r="A7699" i="2"/>
  <c r="D7698" i="2"/>
  <c r="C7698" i="2"/>
  <c r="B7698" i="2"/>
  <c r="A7698" i="2"/>
  <c r="D7697" i="2"/>
  <c r="C7697" i="2"/>
  <c r="B7697" i="2"/>
  <c r="A7697" i="2"/>
  <c r="D7696" i="2"/>
  <c r="C7696" i="2"/>
  <c r="B7696" i="2"/>
  <c r="A7696" i="2"/>
  <c r="D7695" i="2"/>
  <c r="C7695" i="2"/>
  <c r="B7695" i="2"/>
  <c r="A7695" i="2"/>
  <c r="D7694" i="2"/>
  <c r="C7694" i="2"/>
  <c r="B7694" i="2"/>
  <c r="A7694" i="2"/>
  <c r="D7693" i="2"/>
  <c r="C7693" i="2"/>
  <c r="B7693" i="2"/>
  <c r="A7693" i="2"/>
  <c r="D7692" i="2"/>
  <c r="C7692" i="2"/>
  <c r="B7692" i="2"/>
  <c r="A7692" i="2"/>
  <c r="D7691" i="2"/>
  <c r="C7691" i="2"/>
  <c r="B7691" i="2"/>
  <c r="A7691" i="2"/>
  <c r="D7690" i="2"/>
  <c r="C7690" i="2"/>
  <c r="B7690" i="2"/>
  <c r="A7690" i="2"/>
  <c r="D7689" i="2"/>
  <c r="C7689" i="2"/>
  <c r="B7689" i="2"/>
  <c r="A7689" i="2"/>
  <c r="D7688" i="2"/>
  <c r="C7688" i="2"/>
  <c r="B7688" i="2"/>
  <c r="A7688" i="2"/>
  <c r="D7687" i="2"/>
  <c r="C7687" i="2"/>
  <c r="B7687" i="2"/>
  <c r="A7687" i="2"/>
  <c r="D7686" i="2"/>
  <c r="C7686" i="2"/>
  <c r="B7686" i="2"/>
  <c r="A7686" i="2"/>
  <c r="D7685" i="2"/>
  <c r="C7685" i="2"/>
  <c r="B7685" i="2"/>
  <c r="A7685" i="2"/>
  <c r="D7684" i="2"/>
  <c r="C7684" i="2"/>
  <c r="B7684" i="2"/>
  <c r="A7684" i="2"/>
  <c r="D7683" i="2"/>
  <c r="C7683" i="2"/>
  <c r="B7683" i="2"/>
  <c r="A7683" i="2"/>
  <c r="D7682" i="2"/>
  <c r="C7682" i="2"/>
  <c r="B7682" i="2"/>
  <c r="A7682" i="2"/>
  <c r="D7681" i="2"/>
  <c r="C7681" i="2"/>
  <c r="B7681" i="2"/>
  <c r="A7681" i="2"/>
  <c r="D7680" i="2"/>
  <c r="C7680" i="2"/>
  <c r="B7680" i="2"/>
  <c r="A7680" i="2"/>
  <c r="D7679" i="2"/>
  <c r="C7679" i="2"/>
  <c r="B7679" i="2"/>
  <c r="A7679" i="2"/>
  <c r="D7678" i="2"/>
  <c r="C7678" i="2"/>
  <c r="B7678" i="2"/>
  <c r="A7678" i="2"/>
  <c r="D7677" i="2"/>
  <c r="C7677" i="2"/>
  <c r="B7677" i="2"/>
  <c r="A7677" i="2"/>
  <c r="D7676" i="2"/>
  <c r="C7676" i="2"/>
  <c r="B7676" i="2"/>
  <c r="A7676" i="2"/>
  <c r="D7675" i="2"/>
  <c r="C7675" i="2"/>
  <c r="B7675" i="2"/>
  <c r="A7675" i="2"/>
  <c r="D7674" i="2"/>
  <c r="C7674" i="2"/>
  <c r="B7674" i="2"/>
  <c r="A7674" i="2"/>
  <c r="D7673" i="2"/>
  <c r="C7673" i="2"/>
  <c r="B7673" i="2"/>
  <c r="A7673" i="2"/>
  <c r="D7672" i="2"/>
  <c r="C7672" i="2"/>
  <c r="B7672" i="2"/>
  <c r="A7672" i="2"/>
  <c r="D7671" i="2"/>
  <c r="C7671" i="2"/>
  <c r="B7671" i="2"/>
  <c r="A7671" i="2"/>
  <c r="D7670" i="2"/>
  <c r="C7670" i="2"/>
  <c r="B7670" i="2"/>
  <c r="A7670" i="2"/>
  <c r="D7669" i="2"/>
  <c r="C7669" i="2"/>
  <c r="B7669" i="2"/>
  <c r="A7669" i="2"/>
  <c r="D7668" i="2"/>
  <c r="C7668" i="2"/>
  <c r="B7668" i="2"/>
  <c r="A7668" i="2"/>
  <c r="D7667" i="2"/>
  <c r="C7667" i="2"/>
  <c r="B7667" i="2"/>
  <c r="A7667" i="2"/>
  <c r="D7666" i="2"/>
  <c r="C7666" i="2"/>
  <c r="B7666" i="2"/>
  <c r="A7666" i="2"/>
  <c r="D7665" i="2"/>
  <c r="C7665" i="2"/>
  <c r="B7665" i="2"/>
  <c r="A7665" i="2"/>
  <c r="D7664" i="2"/>
  <c r="C7664" i="2"/>
  <c r="B7664" i="2"/>
  <c r="A7664" i="2"/>
  <c r="D7663" i="2"/>
  <c r="C7663" i="2"/>
  <c r="B7663" i="2"/>
  <c r="A7663" i="2"/>
  <c r="D7662" i="2"/>
  <c r="C7662" i="2"/>
  <c r="B7662" i="2"/>
  <c r="A7662" i="2"/>
  <c r="D7661" i="2"/>
  <c r="C7661" i="2"/>
  <c r="B7661" i="2"/>
  <c r="A7661" i="2"/>
  <c r="D7660" i="2"/>
  <c r="C7660" i="2"/>
  <c r="B7660" i="2"/>
  <c r="A7660" i="2"/>
  <c r="D7659" i="2"/>
  <c r="C7659" i="2"/>
  <c r="B7659" i="2"/>
  <c r="A7659" i="2"/>
  <c r="D7658" i="2"/>
  <c r="C7658" i="2"/>
  <c r="B7658" i="2"/>
  <c r="A7658" i="2"/>
  <c r="D7657" i="2"/>
  <c r="C7657" i="2"/>
  <c r="B7657" i="2"/>
  <c r="A7657" i="2"/>
  <c r="D7656" i="2"/>
  <c r="C7656" i="2"/>
  <c r="B7656" i="2"/>
  <c r="A7656" i="2"/>
  <c r="D7655" i="2"/>
  <c r="C7655" i="2"/>
  <c r="B7655" i="2"/>
  <c r="A7655" i="2"/>
  <c r="D7654" i="2"/>
  <c r="C7654" i="2"/>
  <c r="B7654" i="2"/>
  <c r="A7654" i="2"/>
  <c r="D7653" i="2"/>
  <c r="C7653" i="2"/>
  <c r="B7653" i="2"/>
  <c r="A7653" i="2"/>
  <c r="D7652" i="2"/>
  <c r="C7652" i="2"/>
  <c r="B7652" i="2"/>
  <c r="A7652" i="2"/>
  <c r="D7651" i="2"/>
  <c r="C7651" i="2"/>
  <c r="B7651" i="2"/>
  <c r="A7651" i="2"/>
  <c r="D7650" i="2"/>
  <c r="C7650" i="2"/>
  <c r="B7650" i="2"/>
  <c r="A7650" i="2"/>
  <c r="D7649" i="2"/>
  <c r="C7649" i="2"/>
  <c r="B7649" i="2"/>
  <c r="A7649" i="2"/>
  <c r="D7648" i="2"/>
  <c r="C7648" i="2"/>
  <c r="B7648" i="2"/>
  <c r="A7648" i="2"/>
  <c r="D7647" i="2"/>
  <c r="C7647" i="2"/>
  <c r="B7647" i="2"/>
  <c r="A7647" i="2"/>
  <c r="D7646" i="2"/>
  <c r="C7646" i="2"/>
  <c r="B7646" i="2"/>
  <c r="A7646" i="2"/>
  <c r="D7645" i="2"/>
  <c r="C7645" i="2"/>
  <c r="B7645" i="2"/>
  <c r="A7645" i="2"/>
  <c r="D7644" i="2"/>
  <c r="C7644" i="2"/>
  <c r="B7644" i="2"/>
  <c r="A7644" i="2"/>
  <c r="D7643" i="2"/>
  <c r="C7643" i="2"/>
  <c r="B7643" i="2"/>
  <c r="A7643" i="2"/>
  <c r="D7642" i="2"/>
  <c r="C7642" i="2"/>
  <c r="B7642" i="2"/>
  <c r="A7642" i="2"/>
  <c r="D7641" i="2"/>
  <c r="C7641" i="2"/>
  <c r="B7641" i="2"/>
  <c r="A7641" i="2"/>
  <c r="D7640" i="2"/>
  <c r="C7640" i="2"/>
  <c r="B7640" i="2"/>
  <c r="A7640" i="2"/>
  <c r="D7639" i="2"/>
  <c r="C7639" i="2"/>
  <c r="B7639" i="2"/>
  <c r="A7639" i="2"/>
  <c r="D7638" i="2"/>
  <c r="C7638" i="2"/>
  <c r="B7638" i="2"/>
  <c r="A7638" i="2"/>
  <c r="D7637" i="2"/>
  <c r="C7637" i="2"/>
  <c r="B7637" i="2"/>
  <c r="A7637" i="2"/>
  <c r="D7636" i="2"/>
  <c r="C7636" i="2"/>
  <c r="B7636" i="2"/>
  <c r="A7636" i="2"/>
  <c r="D7635" i="2"/>
  <c r="C7635" i="2"/>
  <c r="B7635" i="2"/>
  <c r="A7635" i="2"/>
  <c r="D7634" i="2"/>
  <c r="C7634" i="2"/>
  <c r="B7634" i="2"/>
  <c r="A7634" i="2"/>
  <c r="D7633" i="2"/>
  <c r="C7633" i="2"/>
  <c r="B7633" i="2"/>
  <c r="A7633" i="2"/>
  <c r="D7632" i="2"/>
  <c r="C7632" i="2"/>
  <c r="B7632" i="2"/>
  <c r="A7632" i="2"/>
  <c r="D7631" i="2"/>
  <c r="C7631" i="2"/>
  <c r="B7631" i="2"/>
  <c r="A7631" i="2"/>
  <c r="D7630" i="2"/>
  <c r="C7630" i="2"/>
  <c r="B7630" i="2"/>
  <c r="A7630" i="2"/>
  <c r="D7629" i="2"/>
  <c r="C7629" i="2"/>
  <c r="B7629" i="2"/>
  <c r="A7629" i="2"/>
  <c r="D7628" i="2"/>
  <c r="C7628" i="2"/>
  <c r="B7628" i="2"/>
  <c r="A7628" i="2"/>
  <c r="D7627" i="2"/>
  <c r="C7627" i="2"/>
  <c r="B7627" i="2"/>
  <c r="A7627" i="2"/>
  <c r="D7626" i="2"/>
  <c r="C7626" i="2"/>
  <c r="B7626" i="2"/>
  <c r="A7626" i="2"/>
  <c r="D7625" i="2"/>
  <c r="C7625" i="2"/>
  <c r="B7625" i="2"/>
  <c r="A7625" i="2"/>
  <c r="D7624" i="2"/>
  <c r="C7624" i="2"/>
  <c r="B7624" i="2"/>
  <c r="A7624" i="2"/>
  <c r="D7623" i="2"/>
  <c r="C7623" i="2"/>
  <c r="B7623" i="2"/>
  <c r="A7623" i="2"/>
  <c r="D7622" i="2"/>
  <c r="C7622" i="2"/>
  <c r="B7622" i="2"/>
  <c r="A7622" i="2"/>
  <c r="D7621" i="2"/>
  <c r="C7621" i="2"/>
  <c r="B7621" i="2"/>
  <c r="A7621" i="2"/>
  <c r="D7620" i="2"/>
  <c r="C7620" i="2"/>
  <c r="B7620" i="2"/>
  <c r="A7620" i="2"/>
  <c r="D7619" i="2"/>
  <c r="C7619" i="2"/>
  <c r="B7619" i="2"/>
  <c r="A7619" i="2"/>
  <c r="D7618" i="2"/>
  <c r="C7618" i="2"/>
  <c r="B7618" i="2"/>
  <c r="A7618" i="2"/>
  <c r="D7617" i="2"/>
  <c r="C7617" i="2"/>
  <c r="B7617" i="2"/>
  <c r="A7617" i="2"/>
  <c r="D7616" i="2"/>
  <c r="C7616" i="2"/>
  <c r="B7616" i="2"/>
  <c r="A7616" i="2"/>
  <c r="D7615" i="2"/>
  <c r="C7615" i="2"/>
  <c r="B7615" i="2"/>
  <c r="A7615" i="2"/>
  <c r="D7614" i="2"/>
  <c r="C7614" i="2"/>
  <c r="B7614" i="2"/>
  <c r="A7614" i="2"/>
  <c r="D7613" i="2"/>
  <c r="C7613" i="2"/>
  <c r="B7613" i="2"/>
  <c r="A7613" i="2"/>
  <c r="D7612" i="2"/>
  <c r="C7612" i="2"/>
  <c r="B7612" i="2"/>
  <c r="A7612" i="2"/>
  <c r="D7611" i="2"/>
  <c r="C7611" i="2"/>
  <c r="B7611" i="2"/>
  <c r="A7611" i="2"/>
  <c r="D7610" i="2"/>
  <c r="C7610" i="2"/>
  <c r="B7610" i="2"/>
  <c r="A7610" i="2"/>
  <c r="D7609" i="2"/>
  <c r="C7609" i="2"/>
  <c r="B7609" i="2"/>
  <c r="A7609" i="2"/>
  <c r="D7608" i="2"/>
  <c r="C7608" i="2"/>
  <c r="B7608" i="2"/>
  <c r="A7608" i="2"/>
  <c r="D7607" i="2"/>
  <c r="C7607" i="2"/>
  <c r="B7607" i="2"/>
  <c r="A7607" i="2"/>
  <c r="D7606" i="2"/>
  <c r="C7606" i="2"/>
  <c r="B7606" i="2"/>
  <c r="A7606" i="2"/>
  <c r="D7605" i="2"/>
  <c r="C7605" i="2"/>
  <c r="B7605" i="2"/>
  <c r="A7605" i="2"/>
  <c r="D7604" i="2"/>
  <c r="C7604" i="2"/>
  <c r="B7604" i="2"/>
  <c r="A7604" i="2"/>
  <c r="D7603" i="2"/>
  <c r="C7603" i="2"/>
  <c r="B7603" i="2"/>
  <c r="A7603" i="2"/>
  <c r="D7602" i="2"/>
  <c r="C7602" i="2"/>
  <c r="B7602" i="2"/>
  <c r="A7602" i="2"/>
  <c r="D7601" i="2"/>
  <c r="C7601" i="2"/>
  <c r="B7601" i="2"/>
  <c r="A7601" i="2"/>
  <c r="D7600" i="2"/>
  <c r="C7600" i="2"/>
  <c r="B7600" i="2"/>
  <c r="A7600" i="2"/>
  <c r="D7599" i="2"/>
  <c r="C7599" i="2"/>
  <c r="B7599" i="2"/>
  <c r="A7599" i="2"/>
  <c r="D7598" i="2"/>
  <c r="C7598" i="2"/>
  <c r="B7598" i="2"/>
  <c r="A7598" i="2"/>
  <c r="D7597" i="2"/>
  <c r="C7597" i="2"/>
  <c r="B7597" i="2"/>
  <c r="A7597" i="2"/>
  <c r="D7596" i="2"/>
  <c r="C7596" i="2"/>
  <c r="B7596" i="2"/>
  <c r="A7596" i="2"/>
  <c r="D7595" i="2"/>
  <c r="C7595" i="2"/>
  <c r="B7595" i="2"/>
  <c r="A7595" i="2"/>
  <c r="D7594" i="2"/>
  <c r="C7594" i="2"/>
  <c r="B7594" i="2"/>
  <c r="A7594" i="2"/>
  <c r="D7593" i="2"/>
  <c r="C7593" i="2"/>
  <c r="B7593" i="2"/>
  <c r="A7593" i="2"/>
  <c r="D7592" i="2"/>
  <c r="C7592" i="2"/>
  <c r="B7592" i="2"/>
  <c r="A7592" i="2"/>
  <c r="D7591" i="2"/>
  <c r="C7591" i="2"/>
  <c r="B7591" i="2"/>
  <c r="A7591" i="2"/>
  <c r="D7590" i="2"/>
  <c r="C7590" i="2"/>
  <c r="B7590" i="2"/>
  <c r="A7590" i="2"/>
  <c r="D7589" i="2"/>
  <c r="C7589" i="2"/>
  <c r="B7589" i="2"/>
  <c r="A7589" i="2"/>
  <c r="D7588" i="2"/>
  <c r="C7588" i="2"/>
  <c r="B7588" i="2"/>
  <c r="A7588" i="2"/>
  <c r="D7587" i="2"/>
  <c r="C7587" i="2"/>
  <c r="B7587" i="2"/>
  <c r="A7587" i="2"/>
  <c r="D7586" i="2"/>
  <c r="C7586" i="2"/>
  <c r="B7586" i="2"/>
  <c r="A7586" i="2"/>
  <c r="D7585" i="2"/>
  <c r="C7585" i="2"/>
  <c r="B7585" i="2"/>
  <c r="A7585" i="2"/>
  <c r="D7584" i="2"/>
  <c r="C7584" i="2"/>
  <c r="B7584" i="2"/>
  <c r="A7584" i="2"/>
  <c r="D7583" i="2"/>
  <c r="C7583" i="2"/>
  <c r="B7583" i="2"/>
  <c r="A7583" i="2"/>
  <c r="D7582" i="2"/>
  <c r="C7582" i="2"/>
  <c r="B7582" i="2"/>
  <c r="A7582" i="2"/>
  <c r="D7581" i="2"/>
  <c r="C7581" i="2"/>
  <c r="B7581" i="2"/>
  <c r="A7581" i="2"/>
  <c r="D7580" i="2"/>
  <c r="C7580" i="2"/>
  <c r="B7580" i="2"/>
  <c r="A7580" i="2"/>
  <c r="D7579" i="2"/>
  <c r="C7579" i="2"/>
  <c r="B7579" i="2"/>
  <c r="A7579" i="2"/>
  <c r="D7578" i="2"/>
  <c r="C7578" i="2"/>
  <c r="B7578" i="2"/>
  <c r="A7578" i="2"/>
  <c r="D7577" i="2"/>
  <c r="C7577" i="2"/>
  <c r="B7577" i="2"/>
  <c r="A7577" i="2"/>
  <c r="D7576" i="2"/>
  <c r="C7576" i="2"/>
  <c r="B7576" i="2"/>
  <c r="A7576" i="2"/>
  <c r="D7575" i="2"/>
  <c r="C7575" i="2"/>
  <c r="B7575" i="2"/>
  <c r="A7575" i="2"/>
  <c r="D7574" i="2"/>
  <c r="C7574" i="2"/>
  <c r="B7574" i="2"/>
  <c r="A7574" i="2"/>
  <c r="D7573" i="2"/>
  <c r="C7573" i="2"/>
  <c r="B7573" i="2"/>
  <c r="A7573" i="2"/>
  <c r="D7572" i="2"/>
  <c r="C7572" i="2"/>
  <c r="B7572" i="2"/>
  <c r="A7572" i="2"/>
  <c r="D7571" i="2"/>
  <c r="C7571" i="2"/>
  <c r="B7571" i="2"/>
  <c r="A7571" i="2"/>
  <c r="D7570" i="2"/>
  <c r="C7570" i="2"/>
  <c r="B7570" i="2"/>
  <c r="A7570" i="2"/>
  <c r="D7569" i="2"/>
  <c r="C7569" i="2"/>
  <c r="B7569" i="2"/>
  <c r="A7569" i="2"/>
  <c r="D7568" i="2"/>
  <c r="C7568" i="2"/>
  <c r="B7568" i="2"/>
  <c r="A7568" i="2"/>
  <c r="D7567" i="2"/>
  <c r="C7567" i="2"/>
  <c r="B7567" i="2"/>
  <c r="A7567" i="2"/>
  <c r="D7566" i="2"/>
  <c r="C7566" i="2"/>
  <c r="B7566" i="2"/>
  <c r="A7566" i="2"/>
  <c r="D7565" i="2"/>
  <c r="C7565" i="2"/>
  <c r="B7565" i="2"/>
  <c r="A7565" i="2"/>
  <c r="D7564" i="2"/>
  <c r="C7564" i="2"/>
  <c r="B7564" i="2"/>
  <c r="A7564" i="2"/>
  <c r="D7563" i="2"/>
  <c r="C7563" i="2"/>
  <c r="B7563" i="2"/>
  <c r="A7563" i="2"/>
  <c r="D7562" i="2"/>
  <c r="C7562" i="2"/>
  <c r="B7562" i="2"/>
  <c r="A7562" i="2"/>
  <c r="D7561" i="2"/>
  <c r="C7561" i="2"/>
  <c r="B7561" i="2"/>
  <c r="A7561" i="2"/>
  <c r="D7560" i="2"/>
  <c r="C7560" i="2"/>
  <c r="B7560" i="2"/>
  <c r="A7560" i="2"/>
  <c r="D7559" i="2"/>
  <c r="C7559" i="2"/>
  <c r="B7559" i="2"/>
  <c r="A7559" i="2"/>
  <c r="D7558" i="2"/>
  <c r="C7558" i="2"/>
  <c r="B7558" i="2"/>
  <c r="A7558" i="2"/>
  <c r="D7557" i="2"/>
  <c r="C7557" i="2"/>
  <c r="B7557" i="2"/>
  <c r="A7557" i="2"/>
  <c r="D7556" i="2"/>
  <c r="C7556" i="2"/>
  <c r="B7556" i="2"/>
  <c r="A7556" i="2"/>
  <c r="D7555" i="2"/>
  <c r="C7555" i="2"/>
  <c r="B7555" i="2"/>
  <c r="A7555" i="2"/>
  <c r="D7554" i="2"/>
  <c r="C7554" i="2"/>
  <c r="B7554" i="2"/>
  <c r="A7554" i="2"/>
  <c r="D7553" i="2"/>
  <c r="C7553" i="2"/>
  <c r="B7553" i="2"/>
  <c r="A7553" i="2"/>
  <c r="D7552" i="2"/>
  <c r="C7552" i="2"/>
  <c r="B7552" i="2"/>
  <c r="A7552" i="2"/>
  <c r="D7551" i="2"/>
  <c r="C7551" i="2"/>
  <c r="B7551" i="2"/>
  <c r="A7551" i="2"/>
  <c r="D7550" i="2"/>
  <c r="C7550" i="2"/>
  <c r="B7550" i="2"/>
  <c r="A7550" i="2"/>
  <c r="D7549" i="2"/>
  <c r="C7549" i="2"/>
  <c r="B7549" i="2"/>
  <c r="A7549" i="2"/>
  <c r="D7548" i="2"/>
  <c r="C7548" i="2"/>
  <c r="B7548" i="2"/>
  <c r="A7548" i="2"/>
  <c r="D7547" i="2"/>
  <c r="C7547" i="2"/>
  <c r="B7547" i="2"/>
  <c r="A7547" i="2"/>
  <c r="D7546" i="2"/>
  <c r="C7546" i="2"/>
  <c r="B7546" i="2"/>
  <c r="A7546" i="2"/>
  <c r="D7545" i="2"/>
  <c r="C7545" i="2"/>
  <c r="B7545" i="2"/>
  <c r="A7545" i="2"/>
  <c r="D7544" i="2"/>
  <c r="C7544" i="2"/>
  <c r="B7544" i="2"/>
  <c r="A7544" i="2"/>
  <c r="D7543" i="2"/>
  <c r="C7543" i="2"/>
  <c r="B7543" i="2"/>
  <c r="A7543" i="2"/>
  <c r="D7542" i="2"/>
  <c r="C7542" i="2"/>
  <c r="B7542" i="2"/>
  <c r="A7542" i="2"/>
  <c r="D7541" i="2"/>
  <c r="C7541" i="2"/>
  <c r="B7541" i="2"/>
  <c r="A7541" i="2"/>
  <c r="D7540" i="2"/>
  <c r="C7540" i="2"/>
  <c r="B7540" i="2"/>
  <c r="A7540" i="2"/>
  <c r="D7539" i="2"/>
  <c r="C7539" i="2"/>
  <c r="B7539" i="2"/>
  <c r="A7539" i="2"/>
  <c r="D7538" i="2"/>
  <c r="C7538" i="2"/>
  <c r="B7538" i="2"/>
  <c r="A7538" i="2"/>
  <c r="D7537" i="2"/>
  <c r="C7537" i="2"/>
  <c r="B7537" i="2"/>
  <c r="A7537" i="2"/>
  <c r="D7536" i="2"/>
  <c r="C7536" i="2"/>
  <c r="B7536" i="2"/>
  <c r="A7536" i="2"/>
  <c r="D7535" i="2"/>
  <c r="C7535" i="2"/>
  <c r="B7535" i="2"/>
  <c r="A7535" i="2"/>
  <c r="D7534" i="2"/>
  <c r="C7534" i="2"/>
  <c r="B7534" i="2"/>
  <c r="A7534" i="2"/>
  <c r="D7533" i="2"/>
  <c r="C7533" i="2"/>
  <c r="B7533" i="2"/>
  <c r="A7533" i="2"/>
  <c r="D7532" i="2"/>
  <c r="C7532" i="2"/>
  <c r="B7532" i="2"/>
  <c r="A7532" i="2"/>
  <c r="D7531" i="2"/>
  <c r="C7531" i="2"/>
  <c r="B7531" i="2"/>
  <c r="A7531" i="2"/>
  <c r="D7530" i="2"/>
  <c r="C7530" i="2"/>
  <c r="B7530" i="2"/>
  <c r="A7530" i="2"/>
  <c r="D7529" i="2"/>
  <c r="C7529" i="2"/>
  <c r="B7529" i="2"/>
  <c r="A7529" i="2"/>
  <c r="D7528" i="2"/>
  <c r="C7528" i="2"/>
  <c r="B7528" i="2"/>
  <c r="A7528" i="2"/>
  <c r="D7527" i="2"/>
  <c r="C7527" i="2"/>
  <c r="B7527" i="2"/>
  <c r="A7527" i="2"/>
  <c r="D7526" i="2"/>
  <c r="C7526" i="2"/>
  <c r="B7526" i="2"/>
  <c r="A7526" i="2"/>
  <c r="D7525" i="2"/>
  <c r="C7525" i="2"/>
  <c r="B7525" i="2"/>
  <c r="A7525" i="2"/>
  <c r="D7524" i="2"/>
  <c r="C7524" i="2"/>
  <c r="B7524" i="2"/>
  <c r="A7524" i="2"/>
  <c r="D7523" i="2"/>
  <c r="C7523" i="2"/>
  <c r="B7523" i="2"/>
  <c r="A7523" i="2"/>
  <c r="D7522" i="2"/>
  <c r="C7522" i="2"/>
  <c r="B7522" i="2"/>
  <c r="A7522" i="2"/>
  <c r="D7521" i="2"/>
  <c r="C7521" i="2"/>
  <c r="B7521" i="2"/>
  <c r="A7521" i="2"/>
  <c r="D7520" i="2"/>
  <c r="C7520" i="2"/>
  <c r="B7520" i="2"/>
  <c r="A7520" i="2"/>
  <c r="D7519" i="2"/>
  <c r="C7519" i="2"/>
  <c r="B7519" i="2"/>
  <c r="A7519" i="2"/>
  <c r="D7518" i="2"/>
  <c r="C7518" i="2"/>
  <c r="B7518" i="2"/>
  <c r="A7518" i="2"/>
  <c r="D7517" i="2"/>
  <c r="C7517" i="2"/>
  <c r="B7517" i="2"/>
  <c r="A7517" i="2"/>
  <c r="D7516" i="2"/>
  <c r="C7516" i="2"/>
  <c r="B7516" i="2"/>
  <c r="A7516" i="2"/>
  <c r="D7515" i="2"/>
  <c r="C7515" i="2"/>
  <c r="B7515" i="2"/>
  <c r="A7515" i="2"/>
  <c r="D7514" i="2"/>
  <c r="C7514" i="2"/>
  <c r="B7514" i="2"/>
  <c r="A7514" i="2"/>
  <c r="D7513" i="2"/>
  <c r="C7513" i="2"/>
  <c r="B7513" i="2"/>
  <c r="A7513" i="2"/>
  <c r="D7512" i="2"/>
  <c r="C7512" i="2"/>
  <c r="B7512" i="2"/>
  <c r="A7512" i="2"/>
  <c r="D7511" i="2"/>
  <c r="C7511" i="2"/>
  <c r="B7511" i="2"/>
  <c r="A7511" i="2"/>
  <c r="D7510" i="2"/>
  <c r="C7510" i="2"/>
  <c r="B7510" i="2"/>
  <c r="A7510" i="2"/>
  <c r="D7509" i="2"/>
  <c r="C7509" i="2"/>
  <c r="B7509" i="2"/>
  <c r="A7509" i="2"/>
  <c r="D7508" i="2"/>
  <c r="C7508" i="2"/>
  <c r="B7508" i="2"/>
  <c r="A7508" i="2"/>
  <c r="D7507" i="2"/>
  <c r="C7507" i="2"/>
  <c r="B7507" i="2"/>
  <c r="A7507" i="2"/>
  <c r="D7506" i="2"/>
  <c r="C7506" i="2"/>
  <c r="B7506" i="2"/>
  <c r="A7506" i="2"/>
  <c r="D7505" i="2"/>
  <c r="C7505" i="2"/>
  <c r="B7505" i="2"/>
  <c r="A7505" i="2"/>
  <c r="D7504" i="2"/>
  <c r="C7504" i="2"/>
  <c r="B7504" i="2"/>
  <c r="A7504" i="2"/>
  <c r="D7503" i="2"/>
  <c r="C7503" i="2"/>
  <c r="B7503" i="2"/>
  <c r="A7503" i="2"/>
  <c r="D7502" i="2"/>
  <c r="C7502" i="2"/>
  <c r="B7502" i="2"/>
  <c r="A7502" i="2"/>
  <c r="D7501" i="2"/>
  <c r="C7501" i="2"/>
  <c r="B7501" i="2"/>
  <c r="A7501" i="2"/>
  <c r="D7500" i="2"/>
  <c r="C7500" i="2"/>
  <c r="B7500" i="2"/>
  <c r="A7500" i="2"/>
  <c r="D7499" i="2"/>
  <c r="C7499" i="2"/>
  <c r="B7499" i="2"/>
  <c r="A7499" i="2"/>
  <c r="D7498" i="2"/>
  <c r="C7498" i="2"/>
  <c r="B7498" i="2"/>
  <c r="A7498" i="2"/>
  <c r="D7497" i="2"/>
  <c r="C7497" i="2"/>
  <c r="B7497" i="2"/>
  <c r="A7497" i="2"/>
  <c r="D7496" i="2"/>
  <c r="C7496" i="2"/>
  <c r="B7496" i="2"/>
  <c r="A7496" i="2"/>
  <c r="D7495" i="2"/>
  <c r="C7495" i="2"/>
  <c r="B7495" i="2"/>
  <c r="A7495" i="2"/>
  <c r="D7494" i="2"/>
  <c r="C7494" i="2"/>
  <c r="B7494" i="2"/>
  <c r="A7494" i="2"/>
  <c r="D7493" i="2"/>
  <c r="C7493" i="2"/>
  <c r="B7493" i="2"/>
  <c r="A7493" i="2"/>
  <c r="D7492" i="2"/>
  <c r="C7492" i="2"/>
  <c r="B7492" i="2"/>
  <c r="A7492" i="2"/>
  <c r="D7491" i="2"/>
  <c r="C7491" i="2"/>
  <c r="B7491" i="2"/>
  <c r="A7491" i="2"/>
  <c r="D7490" i="2"/>
  <c r="C7490" i="2"/>
  <c r="B7490" i="2"/>
  <c r="A7490" i="2"/>
  <c r="D7489" i="2"/>
  <c r="C7489" i="2"/>
  <c r="B7489" i="2"/>
  <c r="A7489" i="2"/>
  <c r="D7488" i="2"/>
  <c r="C7488" i="2"/>
  <c r="B7488" i="2"/>
  <c r="A7488" i="2"/>
  <c r="D7487" i="2"/>
  <c r="C7487" i="2"/>
  <c r="B7487" i="2"/>
  <c r="A7487" i="2"/>
  <c r="D7486" i="2"/>
  <c r="C7486" i="2"/>
  <c r="B7486" i="2"/>
  <c r="A7486" i="2"/>
  <c r="D7485" i="2"/>
  <c r="C7485" i="2"/>
  <c r="B7485" i="2"/>
  <c r="A7485" i="2"/>
  <c r="D7484" i="2"/>
  <c r="C7484" i="2"/>
  <c r="B7484" i="2"/>
  <c r="A7484" i="2"/>
  <c r="D7483" i="2"/>
  <c r="C7483" i="2"/>
  <c r="B7483" i="2"/>
  <c r="A7483" i="2"/>
  <c r="D7482" i="2"/>
  <c r="C7482" i="2"/>
  <c r="B7482" i="2"/>
  <c r="A7482" i="2"/>
  <c r="D7481" i="2"/>
  <c r="C7481" i="2"/>
  <c r="B7481" i="2"/>
  <c r="A7481" i="2"/>
  <c r="D7480" i="2"/>
  <c r="C7480" i="2"/>
  <c r="B7480" i="2"/>
  <c r="A7480" i="2"/>
  <c r="D7479" i="2"/>
  <c r="C7479" i="2"/>
  <c r="B7479" i="2"/>
  <c r="A7479" i="2"/>
  <c r="D7478" i="2"/>
  <c r="C7478" i="2"/>
  <c r="B7478" i="2"/>
  <c r="A7478" i="2"/>
  <c r="D7477" i="2"/>
  <c r="C7477" i="2"/>
  <c r="B7477" i="2"/>
  <c r="A7477" i="2"/>
  <c r="D7476" i="2"/>
  <c r="C7476" i="2"/>
  <c r="B7476" i="2"/>
  <c r="A7476" i="2"/>
  <c r="D7475" i="2"/>
  <c r="C7475" i="2"/>
  <c r="B7475" i="2"/>
  <c r="A7475" i="2"/>
  <c r="D7474" i="2"/>
  <c r="C7474" i="2"/>
  <c r="B7474" i="2"/>
  <c r="A7474" i="2"/>
  <c r="D7473" i="2"/>
  <c r="C7473" i="2"/>
  <c r="B7473" i="2"/>
  <c r="A7473" i="2"/>
  <c r="D7472" i="2"/>
  <c r="C7472" i="2"/>
  <c r="B7472" i="2"/>
  <c r="A7472" i="2"/>
  <c r="D7471" i="2"/>
  <c r="C7471" i="2"/>
  <c r="B7471" i="2"/>
  <c r="A7471" i="2"/>
  <c r="D7470" i="2"/>
  <c r="C7470" i="2"/>
  <c r="B7470" i="2"/>
  <c r="A7470" i="2"/>
  <c r="D7469" i="2"/>
  <c r="C7469" i="2"/>
  <c r="B7469" i="2"/>
  <c r="A7469" i="2"/>
  <c r="D7468" i="2"/>
  <c r="C7468" i="2"/>
  <c r="B7468" i="2"/>
  <c r="A7468" i="2"/>
  <c r="D7467" i="2"/>
  <c r="C7467" i="2"/>
  <c r="B7467" i="2"/>
  <c r="A7467" i="2"/>
  <c r="D7466" i="2"/>
  <c r="C7466" i="2"/>
  <c r="B7466" i="2"/>
  <c r="A7466" i="2"/>
  <c r="D7465" i="2"/>
  <c r="C7465" i="2"/>
  <c r="B7465" i="2"/>
  <c r="A7465" i="2"/>
  <c r="D7464" i="2"/>
  <c r="C7464" i="2"/>
  <c r="B7464" i="2"/>
  <c r="A7464" i="2"/>
  <c r="D7463" i="2"/>
  <c r="C7463" i="2"/>
  <c r="B7463" i="2"/>
  <c r="A7463" i="2"/>
  <c r="D7462" i="2"/>
  <c r="C7462" i="2"/>
  <c r="B7462" i="2"/>
  <c r="A7462" i="2"/>
  <c r="D7461" i="2"/>
  <c r="C7461" i="2"/>
  <c r="B7461" i="2"/>
  <c r="A7461" i="2"/>
  <c r="D7460" i="2"/>
  <c r="C7460" i="2"/>
  <c r="B7460" i="2"/>
  <c r="A7460" i="2"/>
  <c r="D7459" i="2"/>
  <c r="C7459" i="2"/>
  <c r="B7459" i="2"/>
  <c r="A7459" i="2"/>
  <c r="D7458" i="2"/>
  <c r="C7458" i="2"/>
  <c r="B7458" i="2"/>
  <c r="A7458" i="2"/>
  <c r="D7457" i="2"/>
  <c r="C7457" i="2"/>
  <c r="B7457" i="2"/>
  <c r="A7457" i="2"/>
  <c r="D7456" i="2"/>
  <c r="C7456" i="2"/>
  <c r="B7456" i="2"/>
  <c r="A7456" i="2"/>
  <c r="D7455" i="2"/>
  <c r="C7455" i="2"/>
  <c r="B7455" i="2"/>
  <c r="A7455" i="2"/>
  <c r="D7454" i="2"/>
  <c r="C7454" i="2"/>
  <c r="B7454" i="2"/>
  <c r="A7454" i="2"/>
  <c r="D7453" i="2"/>
  <c r="C7453" i="2"/>
  <c r="B7453" i="2"/>
  <c r="A7453" i="2"/>
  <c r="D7452" i="2"/>
  <c r="C7452" i="2"/>
  <c r="B7452" i="2"/>
  <c r="A7452" i="2"/>
  <c r="D7451" i="2"/>
  <c r="C7451" i="2"/>
  <c r="B7451" i="2"/>
  <c r="A7451" i="2"/>
  <c r="D7450" i="2"/>
  <c r="C7450" i="2"/>
  <c r="B7450" i="2"/>
  <c r="A7450" i="2"/>
  <c r="D7449" i="2"/>
  <c r="C7449" i="2"/>
  <c r="B7449" i="2"/>
  <c r="A7449" i="2"/>
  <c r="D7448" i="2"/>
  <c r="C7448" i="2"/>
  <c r="B7448" i="2"/>
  <c r="A7448" i="2"/>
  <c r="D7447" i="2"/>
  <c r="C7447" i="2"/>
  <c r="B7447" i="2"/>
  <c r="A7447" i="2"/>
  <c r="D7446" i="2"/>
  <c r="C7446" i="2"/>
  <c r="B7446" i="2"/>
  <c r="A7446" i="2"/>
  <c r="D7445" i="2"/>
  <c r="C7445" i="2"/>
  <c r="B7445" i="2"/>
  <c r="A7445" i="2"/>
  <c r="D7444" i="2"/>
  <c r="C7444" i="2"/>
  <c r="B7444" i="2"/>
  <c r="A7444" i="2"/>
  <c r="D7443" i="2"/>
  <c r="C7443" i="2"/>
  <c r="B7443" i="2"/>
  <c r="A7443" i="2"/>
  <c r="D7442" i="2"/>
  <c r="C7442" i="2"/>
  <c r="B7442" i="2"/>
  <c r="A7442" i="2"/>
  <c r="D7441" i="2"/>
  <c r="C7441" i="2"/>
  <c r="B7441" i="2"/>
  <c r="A7441" i="2"/>
  <c r="D7440" i="2"/>
  <c r="C7440" i="2"/>
  <c r="B7440" i="2"/>
  <c r="A7440" i="2"/>
  <c r="D7439" i="2"/>
  <c r="C7439" i="2"/>
  <c r="B7439" i="2"/>
  <c r="A7439" i="2"/>
  <c r="D7438" i="2"/>
  <c r="C7438" i="2"/>
  <c r="B7438" i="2"/>
  <c r="A7438" i="2"/>
  <c r="D7437" i="2"/>
  <c r="C7437" i="2"/>
  <c r="B7437" i="2"/>
  <c r="A7437" i="2"/>
  <c r="D7436" i="2"/>
  <c r="C7436" i="2"/>
  <c r="B7436" i="2"/>
  <c r="A7436" i="2"/>
  <c r="D7435" i="2"/>
  <c r="C7435" i="2"/>
  <c r="B7435" i="2"/>
  <c r="A7435" i="2"/>
  <c r="D7434" i="2"/>
  <c r="C7434" i="2"/>
  <c r="B7434" i="2"/>
  <c r="A7434" i="2"/>
  <c r="D7433" i="2"/>
  <c r="C7433" i="2"/>
  <c r="B7433" i="2"/>
  <c r="A7433" i="2"/>
  <c r="D7432" i="2"/>
  <c r="C7432" i="2"/>
  <c r="B7432" i="2"/>
  <c r="A7432" i="2"/>
  <c r="D7431" i="2"/>
  <c r="C7431" i="2"/>
  <c r="B7431" i="2"/>
  <c r="A7431" i="2"/>
  <c r="D7430" i="2"/>
  <c r="C7430" i="2"/>
  <c r="B7430" i="2"/>
  <c r="A7430" i="2"/>
  <c r="D7429" i="2"/>
  <c r="C7429" i="2"/>
  <c r="B7429" i="2"/>
  <c r="A7429" i="2"/>
  <c r="D7428" i="2"/>
  <c r="C7428" i="2"/>
  <c r="B7428" i="2"/>
  <c r="A7428" i="2"/>
  <c r="D7427" i="2"/>
  <c r="C7427" i="2"/>
  <c r="B7427" i="2"/>
  <c r="A7427" i="2"/>
  <c r="D7426" i="2"/>
  <c r="C7426" i="2"/>
  <c r="B7426" i="2"/>
  <c r="A7426" i="2"/>
  <c r="D7425" i="2"/>
  <c r="C7425" i="2"/>
  <c r="B7425" i="2"/>
  <c r="A7425" i="2"/>
  <c r="D7424" i="2"/>
  <c r="C7424" i="2"/>
  <c r="B7424" i="2"/>
  <c r="A7424" i="2"/>
  <c r="D7423" i="2"/>
  <c r="C7423" i="2"/>
  <c r="B7423" i="2"/>
  <c r="A7423" i="2"/>
  <c r="D7422" i="2"/>
  <c r="C7422" i="2"/>
  <c r="B7422" i="2"/>
  <c r="A7422" i="2"/>
  <c r="D7421" i="2"/>
  <c r="C7421" i="2"/>
  <c r="B7421" i="2"/>
  <c r="A7421" i="2"/>
  <c r="D7420" i="2"/>
  <c r="C7420" i="2"/>
  <c r="B7420" i="2"/>
  <c r="A7420" i="2"/>
  <c r="D7419" i="2"/>
  <c r="C7419" i="2"/>
  <c r="B7419" i="2"/>
  <c r="A7419" i="2"/>
  <c r="D7418" i="2"/>
  <c r="C7418" i="2"/>
  <c r="B7418" i="2"/>
  <c r="A7418" i="2"/>
  <c r="D7417" i="2"/>
  <c r="C7417" i="2"/>
  <c r="B7417" i="2"/>
  <c r="A7417" i="2"/>
  <c r="D7416" i="2"/>
  <c r="C7416" i="2"/>
  <c r="B7416" i="2"/>
  <c r="A7416" i="2"/>
  <c r="D7415" i="2"/>
  <c r="C7415" i="2"/>
  <c r="B7415" i="2"/>
  <c r="A7415" i="2"/>
  <c r="D7414" i="2"/>
  <c r="C7414" i="2"/>
  <c r="B7414" i="2"/>
  <c r="A7414" i="2"/>
  <c r="D7413" i="2"/>
  <c r="C7413" i="2"/>
  <c r="B7413" i="2"/>
  <c r="A7413" i="2"/>
  <c r="D7412" i="2"/>
  <c r="C7412" i="2"/>
  <c r="B7412" i="2"/>
  <c r="A7412" i="2"/>
  <c r="D7411" i="2"/>
  <c r="C7411" i="2"/>
  <c r="B7411" i="2"/>
  <c r="A7411" i="2"/>
  <c r="D7410" i="2"/>
  <c r="C7410" i="2"/>
  <c r="B7410" i="2"/>
  <c r="A7410" i="2"/>
  <c r="D7409" i="2"/>
  <c r="C7409" i="2"/>
  <c r="B7409" i="2"/>
  <c r="A7409" i="2"/>
  <c r="D7408" i="2"/>
  <c r="C7408" i="2"/>
  <c r="B7408" i="2"/>
  <c r="A7408" i="2"/>
  <c r="D7407" i="2"/>
  <c r="C7407" i="2"/>
  <c r="B7407" i="2"/>
  <c r="A7407" i="2"/>
  <c r="D7406" i="2"/>
  <c r="C7406" i="2"/>
  <c r="B7406" i="2"/>
  <c r="A7406" i="2"/>
  <c r="D7405" i="2"/>
  <c r="C7405" i="2"/>
  <c r="B7405" i="2"/>
  <c r="A7405" i="2"/>
  <c r="D7404" i="2"/>
  <c r="C7404" i="2"/>
  <c r="B7404" i="2"/>
  <c r="A7404" i="2"/>
  <c r="D7403" i="2"/>
  <c r="C7403" i="2"/>
  <c r="B7403" i="2"/>
  <c r="A7403" i="2"/>
  <c r="D7402" i="2"/>
  <c r="C7402" i="2"/>
  <c r="B7402" i="2"/>
  <c r="A7402" i="2"/>
  <c r="D7401" i="2"/>
  <c r="C7401" i="2"/>
  <c r="B7401" i="2"/>
  <c r="A7401" i="2"/>
  <c r="D7400" i="2"/>
  <c r="C7400" i="2"/>
  <c r="B7400" i="2"/>
  <c r="A7400" i="2"/>
  <c r="D7399" i="2"/>
  <c r="C7399" i="2"/>
  <c r="B7399" i="2"/>
  <c r="A7399" i="2"/>
  <c r="D7398" i="2"/>
  <c r="C7398" i="2"/>
  <c r="B7398" i="2"/>
  <c r="A7398" i="2"/>
  <c r="D7397" i="2"/>
  <c r="C7397" i="2"/>
  <c r="B7397" i="2"/>
  <c r="A7397" i="2"/>
  <c r="D7396" i="2"/>
  <c r="C7396" i="2"/>
  <c r="B7396" i="2"/>
  <c r="A7396" i="2"/>
  <c r="D7395" i="2"/>
  <c r="C7395" i="2"/>
  <c r="B7395" i="2"/>
  <c r="A7395" i="2"/>
  <c r="D7394" i="2"/>
  <c r="C7394" i="2"/>
  <c r="B7394" i="2"/>
  <c r="A7394" i="2"/>
  <c r="D7393" i="2"/>
  <c r="C7393" i="2"/>
  <c r="B7393" i="2"/>
  <c r="A7393" i="2"/>
  <c r="D7392" i="2"/>
  <c r="C7392" i="2"/>
  <c r="B7392" i="2"/>
  <c r="A7392" i="2"/>
  <c r="D7391" i="2"/>
  <c r="C7391" i="2"/>
  <c r="B7391" i="2"/>
  <c r="A7391" i="2"/>
  <c r="D7390" i="2"/>
  <c r="C7390" i="2"/>
  <c r="B7390" i="2"/>
  <c r="A7390" i="2"/>
  <c r="D7389" i="2"/>
  <c r="C7389" i="2"/>
  <c r="B7389" i="2"/>
  <c r="A7389" i="2"/>
  <c r="D7388" i="2"/>
  <c r="C7388" i="2"/>
  <c r="B7388" i="2"/>
  <c r="A7388" i="2"/>
  <c r="D7387" i="2"/>
  <c r="C7387" i="2"/>
  <c r="B7387" i="2"/>
  <c r="A7387" i="2"/>
  <c r="D7386" i="2"/>
  <c r="C7386" i="2"/>
  <c r="B7386" i="2"/>
  <c r="A7386" i="2"/>
  <c r="D7385" i="2"/>
  <c r="C7385" i="2"/>
  <c r="B7385" i="2"/>
  <c r="A7385" i="2"/>
  <c r="D7384" i="2"/>
  <c r="C7384" i="2"/>
  <c r="B7384" i="2"/>
  <c r="A7384" i="2"/>
  <c r="D7383" i="2"/>
  <c r="C7383" i="2"/>
  <c r="B7383" i="2"/>
  <c r="A7383" i="2"/>
  <c r="D7382" i="2"/>
  <c r="C7382" i="2"/>
  <c r="B7382" i="2"/>
  <c r="A7382" i="2"/>
  <c r="D7381" i="2"/>
  <c r="C7381" i="2"/>
  <c r="B7381" i="2"/>
  <c r="A7381" i="2"/>
  <c r="D7380" i="2"/>
  <c r="C7380" i="2"/>
  <c r="B7380" i="2"/>
  <c r="A7380" i="2"/>
  <c r="D7379" i="2"/>
  <c r="C7379" i="2"/>
  <c r="B7379" i="2"/>
  <c r="A7379" i="2"/>
  <c r="D7378" i="2"/>
  <c r="C7378" i="2"/>
  <c r="B7378" i="2"/>
  <c r="A7378" i="2"/>
  <c r="D7377" i="2"/>
  <c r="C7377" i="2"/>
  <c r="B7377" i="2"/>
  <c r="A7377" i="2"/>
  <c r="D7376" i="2"/>
  <c r="C7376" i="2"/>
  <c r="B7376" i="2"/>
  <c r="A7376" i="2"/>
  <c r="D7375" i="2"/>
  <c r="C7375" i="2"/>
  <c r="B7375" i="2"/>
  <c r="A7375" i="2"/>
  <c r="D7374" i="2"/>
  <c r="C7374" i="2"/>
  <c r="B7374" i="2"/>
  <c r="A7374" i="2"/>
  <c r="D7373" i="2"/>
  <c r="C7373" i="2"/>
  <c r="B7373" i="2"/>
  <c r="A7373" i="2"/>
  <c r="D7372" i="2"/>
  <c r="C7372" i="2"/>
  <c r="B7372" i="2"/>
  <c r="A7372" i="2"/>
  <c r="D7371" i="2"/>
  <c r="C7371" i="2"/>
  <c r="B7371" i="2"/>
  <c r="A7371" i="2"/>
  <c r="D7370" i="2"/>
  <c r="C7370" i="2"/>
  <c r="B7370" i="2"/>
  <c r="A7370" i="2"/>
  <c r="D7369" i="2"/>
  <c r="C7369" i="2"/>
  <c r="B7369" i="2"/>
  <c r="A7369" i="2"/>
  <c r="D7368" i="2"/>
  <c r="C7368" i="2"/>
  <c r="B7368" i="2"/>
  <c r="A7368" i="2"/>
  <c r="D7367" i="2"/>
  <c r="C7367" i="2"/>
  <c r="B7367" i="2"/>
  <c r="A7367" i="2"/>
  <c r="D7366" i="2"/>
  <c r="C7366" i="2"/>
  <c r="B7366" i="2"/>
  <c r="A7366" i="2"/>
  <c r="D7365" i="2"/>
  <c r="C7365" i="2"/>
  <c r="B7365" i="2"/>
  <c r="A7365" i="2"/>
  <c r="D7364" i="2"/>
  <c r="C7364" i="2"/>
  <c r="B7364" i="2"/>
  <c r="A7364" i="2"/>
  <c r="D7363" i="2"/>
  <c r="C7363" i="2"/>
  <c r="B7363" i="2"/>
  <c r="A7363" i="2"/>
  <c r="D7362" i="2"/>
  <c r="C7362" i="2"/>
  <c r="B7362" i="2"/>
  <c r="A7362" i="2"/>
  <c r="D7361" i="2"/>
  <c r="C7361" i="2"/>
  <c r="B7361" i="2"/>
  <c r="A7361" i="2"/>
  <c r="D7360" i="2"/>
  <c r="C7360" i="2"/>
  <c r="B7360" i="2"/>
  <c r="A7360" i="2"/>
  <c r="D7359" i="2"/>
  <c r="C7359" i="2"/>
  <c r="B7359" i="2"/>
  <c r="A7359" i="2"/>
  <c r="D7358" i="2"/>
  <c r="C7358" i="2"/>
  <c r="B7358" i="2"/>
  <c r="A7358" i="2"/>
  <c r="D7357" i="2"/>
  <c r="C7357" i="2"/>
  <c r="B7357" i="2"/>
  <c r="A7357" i="2"/>
  <c r="D7356" i="2"/>
  <c r="C7356" i="2"/>
  <c r="B7356" i="2"/>
  <c r="A7356" i="2"/>
  <c r="D7355" i="2"/>
  <c r="C7355" i="2"/>
  <c r="B7355" i="2"/>
  <c r="A7355" i="2"/>
  <c r="D7354" i="2"/>
  <c r="C7354" i="2"/>
  <c r="B7354" i="2"/>
  <c r="A7354" i="2"/>
  <c r="D7353" i="2"/>
  <c r="C7353" i="2"/>
  <c r="B7353" i="2"/>
  <c r="A7353" i="2"/>
  <c r="D7352" i="2"/>
  <c r="C7352" i="2"/>
  <c r="B7352" i="2"/>
  <c r="A7352" i="2"/>
  <c r="D7351" i="2"/>
  <c r="C7351" i="2"/>
  <c r="B7351" i="2"/>
  <c r="A7351" i="2"/>
  <c r="D7350" i="2"/>
  <c r="C7350" i="2"/>
  <c r="B7350" i="2"/>
  <c r="A7350" i="2"/>
  <c r="D7349" i="2"/>
  <c r="C7349" i="2"/>
  <c r="B7349" i="2"/>
  <c r="A7349" i="2"/>
  <c r="D7348" i="2"/>
  <c r="C7348" i="2"/>
  <c r="B7348" i="2"/>
  <c r="A7348" i="2"/>
  <c r="D7347" i="2"/>
  <c r="C7347" i="2"/>
  <c r="B7347" i="2"/>
  <c r="A7347" i="2"/>
  <c r="D7346" i="2"/>
  <c r="C7346" i="2"/>
  <c r="B7346" i="2"/>
  <c r="A7346" i="2"/>
  <c r="D7345" i="2"/>
  <c r="C7345" i="2"/>
  <c r="B7345" i="2"/>
  <c r="A7345" i="2"/>
  <c r="D7344" i="2"/>
  <c r="C7344" i="2"/>
  <c r="B7344" i="2"/>
  <c r="A7344" i="2"/>
  <c r="D7343" i="2"/>
  <c r="C7343" i="2"/>
  <c r="B7343" i="2"/>
  <c r="A7343" i="2"/>
  <c r="D7342" i="2"/>
  <c r="C7342" i="2"/>
  <c r="B7342" i="2"/>
  <c r="A7342" i="2"/>
  <c r="D7341" i="2"/>
  <c r="C7341" i="2"/>
  <c r="B7341" i="2"/>
  <c r="A7341" i="2"/>
  <c r="D7340" i="2"/>
  <c r="C7340" i="2"/>
  <c r="B7340" i="2"/>
  <c r="A7340" i="2"/>
  <c r="D7339" i="2"/>
  <c r="C7339" i="2"/>
  <c r="B7339" i="2"/>
  <c r="A7339" i="2"/>
  <c r="D7338" i="2"/>
  <c r="C7338" i="2"/>
  <c r="B7338" i="2"/>
  <c r="A7338" i="2"/>
  <c r="D7337" i="2"/>
  <c r="C7337" i="2"/>
  <c r="B7337" i="2"/>
  <c r="A7337" i="2"/>
  <c r="D7336" i="2"/>
  <c r="C7336" i="2"/>
  <c r="B7336" i="2"/>
  <c r="A7336" i="2"/>
  <c r="D7335" i="2"/>
  <c r="C7335" i="2"/>
  <c r="B7335" i="2"/>
  <c r="A7335" i="2"/>
  <c r="D7334" i="2"/>
  <c r="C7334" i="2"/>
  <c r="B7334" i="2"/>
  <c r="A7334" i="2"/>
  <c r="D7333" i="2"/>
  <c r="C7333" i="2"/>
  <c r="B7333" i="2"/>
  <c r="A7333" i="2"/>
  <c r="D7332" i="2"/>
  <c r="C7332" i="2"/>
  <c r="B7332" i="2"/>
  <c r="A7332" i="2"/>
  <c r="D7331" i="2"/>
  <c r="C7331" i="2"/>
  <c r="B7331" i="2"/>
  <c r="A7331" i="2"/>
  <c r="D7330" i="2"/>
  <c r="C7330" i="2"/>
  <c r="B7330" i="2"/>
  <c r="A7330" i="2"/>
  <c r="D7329" i="2"/>
  <c r="C7329" i="2"/>
  <c r="B7329" i="2"/>
  <c r="A7329" i="2"/>
  <c r="D7328" i="2"/>
  <c r="C7328" i="2"/>
  <c r="B7328" i="2"/>
  <c r="A7328" i="2"/>
  <c r="D7327" i="2"/>
  <c r="C7327" i="2"/>
  <c r="B7327" i="2"/>
  <c r="A7327" i="2"/>
  <c r="D7326" i="2"/>
  <c r="C7326" i="2"/>
  <c r="B7326" i="2"/>
  <c r="A7326" i="2"/>
  <c r="D7325" i="2"/>
  <c r="C7325" i="2"/>
  <c r="B7325" i="2"/>
  <c r="A7325" i="2"/>
  <c r="D7324" i="2"/>
  <c r="C7324" i="2"/>
  <c r="B7324" i="2"/>
  <c r="A7324" i="2"/>
  <c r="D7323" i="2"/>
  <c r="C7323" i="2"/>
  <c r="B7323" i="2"/>
  <c r="A7323" i="2"/>
  <c r="D7322" i="2"/>
  <c r="C7322" i="2"/>
  <c r="B7322" i="2"/>
  <c r="A7322" i="2"/>
  <c r="D7321" i="2"/>
  <c r="C7321" i="2"/>
  <c r="B7321" i="2"/>
  <c r="A7321" i="2"/>
  <c r="D7320" i="2"/>
  <c r="C7320" i="2"/>
  <c r="B7320" i="2"/>
  <c r="A7320" i="2"/>
  <c r="D7319" i="2"/>
  <c r="C7319" i="2"/>
  <c r="B7319" i="2"/>
  <c r="A7319" i="2"/>
  <c r="D7318" i="2"/>
  <c r="C7318" i="2"/>
  <c r="B7318" i="2"/>
  <c r="A7318" i="2"/>
  <c r="D7317" i="2"/>
  <c r="C7317" i="2"/>
  <c r="B7317" i="2"/>
  <c r="A7317" i="2"/>
  <c r="D7316" i="2"/>
  <c r="C7316" i="2"/>
  <c r="B7316" i="2"/>
  <c r="A7316" i="2"/>
  <c r="D7315" i="2"/>
  <c r="C7315" i="2"/>
  <c r="B7315" i="2"/>
  <c r="A7315" i="2"/>
  <c r="D7314" i="2"/>
  <c r="C7314" i="2"/>
  <c r="B7314" i="2"/>
  <c r="A7314" i="2"/>
  <c r="D7313" i="2"/>
  <c r="C7313" i="2"/>
  <c r="B7313" i="2"/>
  <c r="A7313" i="2"/>
  <c r="D7312" i="2"/>
  <c r="C7312" i="2"/>
  <c r="B7312" i="2"/>
  <c r="A7312" i="2"/>
  <c r="D7311" i="2"/>
  <c r="C7311" i="2"/>
  <c r="B7311" i="2"/>
  <c r="A7311" i="2"/>
  <c r="D7310" i="2"/>
  <c r="C7310" i="2"/>
  <c r="B7310" i="2"/>
  <c r="A7310" i="2"/>
  <c r="D7309" i="2"/>
  <c r="C7309" i="2"/>
  <c r="B7309" i="2"/>
  <c r="A7309" i="2"/>
  <c r="D7308" i="2"/>
  <c r="C7308" i="2"/>
  <c r="B7308" i="2"/>
  <c r="A7308" i="2"/>
  <c r="D7307" i="2"/>
  <c r="C7307" i="2"/>
  <c r="B7307" i="2"/>
  <c r="A7307" i="2"/>
  <c r="D7306" i="2"/>
  <c r="C7306" i="2"/>
  <c r="B7306" i="2"/>
  <c r="A7306" i="2"/>
  <c r="D7305" i="2"/>
  <c r="C7305" i="2"/>
  <c r="B7305" i="2"/>
  <c r="A7305" i="2"/>
  <c r="D7304" i="2"/>
  <c r="C7304" i="2"/>
  <c r="B7304" i="2"/>
  <c r="A7304" i="2"/>
  <c r="D7303" i="2"/>
  <c r="C7303" i="2"/>
  <c r="B7303" i="2"/>
  <c r="A7303" i="2"/>
  <c r="D7302" i="2"/>
  <c r="C7302" i="2"/>
  <c r="B7302" i="2"/>
  <c r="A7302" i="2"/>
  <c r="D7301" i="2"/>
  <c r="C7301" i="2"/>
  <c r="B7301" i="2"/>
  <c r="A7301" i="2"/>
  <c r="D7300" i="2"/>
  <c r="C7300" i="2"/>
  <c r="B7300" i="2"/>
  <c r="A7300" i="2"/>
  <c r="D7299" i="2"/>
  <c r="C7299" i="2"/>
  <c r="B7299" i="2"/>
  <c r="A7299" i="2"/>
  <c r="D7298" i="2"/>
  <c r="C7298" i="2"/>
  <c r="B7298" i="2"/>
  <c r="A7298" i="2"/>
  <c r="D7297" i="2"/>
  <c r="C7297" i="2"/>
  <c r="B7297" i="2"/>
  <c r="A7297" i="2"/>
  <c r="D7296" i="2"/>
  <c r="C7296" i="2"/>
  <c r="B7296" i="2"/>
  <c r="A7296" i="2"/>
  <c r="D7295" i="2"/>
  <c r="C7295" i="2"/>
  <c r="B7295" i="2"/>
  <c r="A7295" i="2"/>
  <c r="D7294" i="2"/>
  <c r="C7294" i="2"/>
  <c r="B7294" i="2"/>
  <c r="A7294" i="2"/>
  <c r="D7293" i="2"/>
  <c r="C7293" i="2"/>
  <c r="B7293" i="2"/>
  <c r="A7293" i="2"/>
  <c r="D7292" i="2"/>
  <c r="C7292" i="2"/>
  <c r="B7292" i="2"/>
  <c r="A7292" i="2"/>
  <c r="D7291" i="2"/>
  <c r="C7291" i="2"/>
  <c r="B7291" i="2"/>
  <c r="A7291" i="2"/>
  <c r="D7290" i="2"/>
  <c r="C7290" i="2"/>
  <c r="B7290" i="2"/>
  <c r="A7290" i="2"/>
  <c r="D7289" i="2"/>
  <c r="C7289" i="2"/>
  <c r="B7289" i="2"/>
  <c r="A7289" i="2"/>
  <c r="D7288" i="2"/>
  <c r="C7288" i="2"/>
  <c r="B7288" i="2"/>
  <c r="A7288" i="2"/>
  <c r="D7287" i="2"/>
  <c r="C7287" i="2"/>
  <c r="B7287" i="2"/>
  <c r="A7287" i="2"/>
  <c r="D7286" i="2"/>
  <c r="C7286" i="2"/>
  <c r="B7286" i="2"/>
  <c r="A7286" i="2"/>
  <c r="D7285" i="2"/>
  <c r="C7285" i="2"/>
  <c r="B7285" i="2"/>
  <c r="A7285" i="2"/>
  <c r="D7284" i="2"/>
  <c r="C7284" i="2"/>
  <c r="B7284" i="2"/>
  <c r="A7284" i="2"/>
  <c r="D7283" i="2"/>
  <c r="C7283" i="2"/>
  <c r="B7283" i="2"/>
  <c r="A7283" i="2"/>
  <c r="D7282" i="2"/>
  <c r="B7282" i="2"/>
  <c r="A7282" i="2"/>
  <c r="D7281" i="2"/>
  <c r="C7281" i="2"/>
  <c r="B7281" i="2"/>
  <c r="A7281" i="2"/>
  <c r="D7280" i="2"/>
  <c r="C7280" i="2"/>
  <c r="B7280" i="2"/>
  <c r="A7280" i="2"/>
  <c r="D7279" i="2"/>
  <c r="C7279" i="2"/>
  <c r="B7279" i="2"/>
  <c r="A7279" i="2"/>
  <c r="D7278" i="2"/>
  <c r="C7278" i="2"/>
  <c r="B7278" i="2"/>
  <c r="A7278" i="2"/>
  <c r="D7277" i="2"/>
  <c r="C7277" i="2"/>
  <c r="B7277" i="2"/>
  <c r="A7277" i="2"/>
  <c r="D7276" i="2"/>
  <c r="C7276" i="2"/>
  <c r="B7276" i="2"/>
  <c r="A7276" i="2"/>
  <c r="D7275" i="2"/>
  <c r="C7275" i="2"/>
  <c r="B7275" i="2"/>
  <c r="A7275" i="2"/>
  <c r="D7274" i="2"/>
  <c r="C7274" i="2"/>
  <c r="B7274" i="2"/>
  <c r="A7274" i="2"/>
  <c r="D7273" i="2"/>
  <c r="C7273" i="2"/>
  <c r="B7273" i="2"/>
  <c r="A7273" i="2"/>
  <c r="D7272" i="2"/>
  <c r="C7272" i="2"/>
  <c r="B7272" i="2"/>
  <c r="A7272" i="2"/>
  <c r="D7271" i="2"/>
  <c r="C7271" i="2"/>
  <c r="B7271" i="2"/>
  <c r="A7271" i="2"/>
  <c r="D7270" i="2"/>
  <c r="C7270" i="2"/>
  <c r="B7270" i="2"/>
  <c r="A7270" i="2"/>
  <c r="D7269" i="2"/>
  <c r="C7269" i="2"/>
  <c r="B7269" i="2"/>
  <c r="A7269" i="2"/>
  <c r="D7268" i="2"/>
  <c r="C7268" i="2"/>
  <c r="B7268" i="2"/>
  <c r="A7268" i="2"/>
  <c r="D7267" i="2"/>
  <c r="C7267" i="2"/>
  <c r="B7267" i="2"/>
  <c r="A7267" i="2"/>
  <c r="D7266" i="2"/>
  <c r="B7266" i="2"/>
  <c r="A7266" i="2"/>
  <c r="D7265" i="2"/>
  <c r="C7265" i="2"/>
  <c r="B7265" i="2"/>
  <c r="A7265" i="2"/>
  <c r="D7264" i="2"/>
  <c r="C7264" i="2"/>
  <c r="B7264" i="2"/>
  <c r="A7264" i="2"/>
  <c r="D7263" i="2"/>
  <c r="C7263" i="2"/>
  <c r="B7263" i="2"/>
  <c r="A7263" i="2"/>
  <c r="D7262" i="2"/>
  <c r="C7262" i="2"/>
  <c r="B7262" i="2"/>
  <c r="A7262" i="2"/>
  <c r="D7261" i="2"/>
  <c r="C7261" i="2"/>
  <c r="B7261" i="2"/>
  <c r="A7261" i="2"/>
  <c r="D7260" i="2"/>
  <c r="C7260" i="2"/>
  <c r="B7260" i="2"/>
  <c r="A7260" i="2"/>
  <c r="D7259" i="2"/>
  <c r="C7259" i="2"/>
  <c r="B7259" i="2"/>
  <c r="A7259" i="2"/>
  <c r="D7258" i="2"/>
  <c r="B7258" i="2"/>
  <c r="A7258" i="2"/>
  <c r="D7257" i="2"/>
  <c r="C7257" i="2"/>
  <c r="B7257" i="2"/>
  <c r="A7257" i="2"/>
  <c r="D7256" i="2"/>
  <c r="B7256" i="2"/>
  <c r="A7256" i="2"/>
  <c r="D7255" i="2"/>
  <c r="C7255" i="2"/>
  <c r="B7255" i="2"/>
  <c r="A7255" i="2"/>
  <c r="D7254" i="2"/>
  <c r="C7254" i="2"/>
  <c r="B7254" i="2"/>
  <c r="A7254" i="2"/>
  <c r="D7253" i="2"/>
  <c r="B7253" i="2"/>
  <c r="A7253" i="2"/>
  <c r="D7252" i="2"/>
  <c r="C7252" i="2"/>
  <c r="B7252" i="2"/>
  <c r="A7252" i="2"/>
  <c r="D7251" i="2"/>
  <c r="C7251" i="2"/>
  <c r="B7251" i="2"/>
  <c r="A7251" i="2"/>
  <c r="D7250" i="2"/>
  <c r="C7250" i="2"/>
  <c r="B7250" i="2"/>
  <c r="A7250" i="2"/>
  <c r="D7249" i="2"/>
  <c r="B7249" i="2"/>
  <c r="A7249" i="2"/>
  <c r="D7248" i="2"/>
  <c r="C7248" i="2"/>
  <c r="B7248" i="2"/>
  <c r="A7248" i="2"/>
  <c r="D7247" i="2"/>
  <c r="B7247" i="2"/>
  <c r="A7247" i="2"/>
  <c r="D7246" i="2"/>
  <c r="B7246" i="2"/>
  <c r="A7246" i="2"/>
  <c r="D7245" i="2"/>
  <c r="C7245" i="2"/>
  <c r="B7245" i="2"/>
  <c r="A7245" i="2"/>
  <c r="D7244" i="2"/>
  <c r="B7244" i="2"/>
  <c r="A7244" i="2"/>
  <c r="D7243" i="2"/>
  <c r="C7243" i="2"/>
  <c r="B7243" i="2"/>
  <c r="A7243" i="2"/>
  <c r="D7242" i="2"/>
  <c r="B7242" i="2"/>
  <c r="A7242" i="2"/>
  <c r="D7241" i="2"/>
  <c r="C7241" i="2"/>
  <c r="B7241" i="2"/>
  <c r="A7241" i="2"/>
  <c r="D7240" i="2"/>
  <c r="C7240" i="2"/>
  <c r="B7240" i="2"/>
  <c r="A7240" i="2"/>
  <c r="D7239" i="2"/>
  <c r="C7239" i="2"/>
  <c r="B7239" i="2"/>
  <c r="A7239" i="2"/>
  <c r="D7238" i="2"/>
  <c r="B7238" i="2"/>
  <c r="A7238" i="2"/>
  <c r="D7237" i="2"/>
  <c r="C7237" i="2"/>
  <c r="B7237" i="2"/>
  <c r="A7237" i="2"/>
  <c r="D7236" i="2"/>
  <c r="B7236" i="2"/>
  <c r="A7236" i="2"/>
  <c r="D7235" i="2"/>
  <c r="C7235" i="2"/>
  <c r="B7235" i="2"/>
  <c r="A7235" i="2"/>
  <c r="D7234" i="2"/>
  <c r="B7234" i="2"/>
  <c r="A7234" i="2"/>
  <c r="D7233" i="2"/>
  <c r="C7233" i="2"/>
  <c r="B7233" i="2"/>
  <c r="A7233" i="2"/>
  <c r="D7232" i="2"/>
  <c r="C7232" i="2"/>
  <c r="B7232" i="2"/>
  <c r="A7232" i="2"/>
  <c r="D7231" i="2"/>
  <c r="B7231" i="2"/>
  <c r="A7231" i="2"/>
  <c r="D7230" i="2"/>
  <c r="C7230" i="2"/>
  <c r="B7230" i="2"/>
  <c r="A7230" i="2"/>
  <c r="D7229" i="2"/>
  <c r="C7229" i="2"/>
  <c r="B7229" i="2"/>
  <c r="A7229" i="2"/>
  <c r="D7228" i="2"/>
  <c r="C7228" i="2"/>
  <c r="B7228" i="2"/>
  <c r="A7228" i="2"/>
  <c r="D7227" i="2"/>
  <c r="C7227" i="2"/>
  <c r="B7227" i="2"/>
  <c r="A7227" i="2"/>
  <c r="D7226" i="2"/>
  <c r="C7226" i="2"/>
  <c r="B7226" i="2"/>
  <c r="A7226" i="2"/>
  <c r="D7225" i="2"/>
  <c r="B7225" i="2"/>
  <c r="A7225" i="2"/>
  <c r="D7224" i="2"/>
  <c r="B7224" i="2"/>
  <c r="A7224" i="2"/>
  <c r="D7223" i="2"/>
  <c r="B7223" i="2"/>
  <c r="A7223" i="2"/>
  <c r="D7222" i="2"/>
  <c r="C7222" i="2"/>
  <c r="B7222" i="2"/>
  <c r="A7222" i="2"/>
  <c r="D7221" i="2"/>
  <c r="C7221" i="2"/>
  <c r="B7221" i="2"/>
  <c r="A7221" i="2"/>
  <c r="D7220" i="2"/>
  <c r="B7220" i="2"/>
  <c r="A7220" i="2"/>
  <c r="D7219" i="2"/>
  <c r="C7219" i="2"/>
  <c r="B7219" i="2"/>
  <c r="A7219" i="2"/>
  <c r="D7218" i="2"/>
  <c r="C7218" i="2"/>
  <c r="B7218" i="2"/>
  <c r="A7218" i="2"/>
  <c r="D7217" i="2"/>
  <c r="C7217" i="2"/>
  <c r="B7217" i="2"/>
  <c r="A7217" i="2"/>
  <c r="D7216" i="2"/>
  <c r="C7216" i="2"/>
  <c r="B7216" i="2"/>
  <c r="A7216" i="2"/>
  <c r="D7215" i="2"/>
  <c r="C7215" i="2"/>
  <c r="B7215" i="2"/>
  <c r="A7215" i="2"/>
  <c r="D7214" i="2"/>
  <c r="B7214" i="2"/>
  <c r="A7214" i="2"/>
  <c r="D7213" i="2"/>
  <c r="C7213" i="2"/>
  <c r="B7213" i="2"/>
  <c r="A7213" i="2"/>
  <c r="D7212" i="2"/>
  <c r="B7212" i="2"/>
  <c r="A7212" i="2"/>
  <c r="D7211" i="2"/>
  <c r="C7211" i="2"/>
  <c r="B7211" i="2"/>
  <c r="A7211" i="2"/>
  <c r="D7210" i="2"/>
  <c r="C7210" i="2"/>
  <c r="B7210" i="2"/>
  <c r="A7210" i="2"/>
  <c r="D7209" i="2"/>
  <c r="B7209" i="2"/>
  <c r="A7209" i="2"/>
  <c r="D7208" i="2"/>
  <c r="C7208" i="2"/>
  <c r="B7208" i="2"/>
  <c r="A7208" i="2"/>
  <c r="D7207" i="2"/>
  <c r="C7207" i="2"/>
  <c r="B7207" i="2"/>
  <c r="A7207" i="2"/>
  <c r="D7206" i="2"/>
  <c r="C7206" i="2"/>
  <c r="B7206" i="2"/>
  <c r="A7206" i="2"/>
  <c r="D7205" i="2"/>
  <c r="C7205" i="2"/>
  <c r="B7205" i="2"/>
  <c r="A7205" i="2"/>
  <c r="D7204" i="2"/>
  <c r="C7204" i="2"/>
  <c r="B7204" i="2"/>
  <c r="A7204" i="2"/>
  <c r="D7203" i="2"/>
  <c r="C7203" i="2"/>
  <c r="B7203" i="2"/>
  <c r="A7203" i="2"/>
  <c r="D7202" i="2"/>
  <c r="C7202" i="2"/>
  <c r="B7202" i="2"/>
  <c r="A7202" i="2"/>
  <c r="D7201" i="2"/>
  <c r="C7201" i="2"/>
  <c r="B7201" i="2"/>
  <c r="A7201" i="2"/>
  <c r="D7200" i="2"/>
  <c r="C7200" i="2"/>
  <c r="B7200" i="2"/>
  <c r="A7200" i="2"/>
  <c r="D7199" i="2"/>
  <c r="C7199" i="2"/>
  <c r="B7199" i="2"/>
  <c r="A7199" i="2"/>
  <c r="D7198" i="2"/>
  <c r="C7198" i="2"/>
  <c r="B7198" i="2"/>
  <c r="A7198" i="2"/>
  <c r="D7197" i="2"/>
  <c r="C7197" i="2"/>
  <c r="B7197" i="2"/>
  <c r="A7197" i="2"/>
  <c r="D7196" i="2"/>
  <c r="C7196" i="2"/>
  <c r="B7196" i="2"/>
  <c r="A7196" i="2"/>
  <c r="D7195" i="2"/>
  <c r="C7195" i="2"/>
  <c r="B7195" i="2"/>
  <c r="A7195" i="2"/>
  <c r="D7194" i="2"/>
  <c r="C7194" i="2"/>
  <c r="B7194" i="2"/>
  <c r="A7194" i="2"/>
  <c r="D7193" i="2"/>
  <c r="C7193" i="2"/>
  <c r="B7193" i="2"/>
  <c r="A7193" i="2"/>
  <c r="D7192" i="2"/>
  <c r="C7192" i="2"/>
  <c r="B7192" i="2"/>
  <c r="A7192" i="2"/>
  <c r="D7191" i="2"/>
  <c r="C7191" i="2"/>
  <c r="B7191" i="2"/>
  <c r="A7191" i="2"/>
  <c r="D7190" i="2"/>
  <c r="C7190" i="2"/>
  <c r="B7190" i="2"/>
  <c r="A7190" i="2"/>
  <c r="D7189" i="2"/>
  <c r="C7189" i="2"/>
  <c r="B7189" i="2"/>
  <c r="A7189" i="2"/>
  <c r="D7188" i="2"/>
  <c r="C7188" i="2"/>
  <c r="B7188" i="2"/>
  <c r="A7188" i="2"/>
  <c r="D7187" i="2"/>
  <c r="C7187" i="2"/>
  <c r="B7187" i="2"/>
  <c r="A7187" i="2"/>
  <c r="D7186" i="2"/>
  <c r="C7186" i="2"/>
  <c r="B7186" i="2"/>
  <c r="A7186" i="2"/>
  <c r="D7185" i="2"/>
  <c r="C7185" i="2"/>
  <c r="B7185" i="2"/>
  <c r="A7185" i="2"/>
  <c r="D7184" i="2"/>
  <c r="C7184" i="2"/>
  <c r="B7184" i="2"/>
  <c r="A7184" i="2"/>
  <c r="D7183" i="2"/>
  <c r="C7183" i="2"/>
  <c r="B7183" i="2"/>
  <c r="A7183" i="2"/>
  <c r="D7182" i="2"/>
  <c r="C7182" i="2"/>
  <c r="B7182" i="2"/>
  <c r="A7182" i="2"/>
  <c r="D7181" i="2"/>
  <c r="C7181" i="2"/>
  <c r="B7181" i="2"/>
  <c r="A7181" i="2"/>
  <c r="D7180" i="2"/>
  <c r="C7180" i="2"/>
  <c r="B7180" i="2"/>
  <c r="A7180" i="2"/>
  <c r="D7179" i="2"/>
  <c r="C7179" i="2"/>
  <c r="B7179" i="2"/>
  <c r="A7179" i="2"/>
  <c r="D7178" i="2"/>
  <c r="C7178" i="2"/>
  <c r="B7178" i="2"/>
  <c r="A7178" i="2"/>
  <c r="D7177" i="2"/>
  <c r="C7177" i="2"/>
  <c r="B7177" i="2"/>
  <c r="A7177" i="2"/>
  <c r="D7176" i="2"/>
  <c r="C7176" i="2"/>
  <c r="B7176" i="2"/>
  <c r="A7176" i="2"/>
  <c r="D7175" i="2"/>
  <c r="C7175" i="2"/>
  <c r="B7175" i="2"/>
  <c r="A7175" i="2"/>
  <c r="D7174" i="2"/>
  <c r="C7174" i="2"/>
  <c r="B7174" i="2"/>
  <c r="A7174" i="2"/>
  <c r="D7173" i="2"/>
  <c r="C7173" i="2"/>
  <c r="B7173" i="2"/>
  <c r="A7173" i="2"/>
  <c r="D7172" i="2"/>
  <c r="C7172" i="2"/>
  <c r="B7172" i="2"/>
  <c r="A7172" i="2"/>
  <c r="D7171" i="2"/>
  <c r="C7171" i="2"/>
  <c r="B7171" i="2"/>
  <c r="A7171" i="2"/>
  <c r="D7170" i="2"/>
  <c r="C7170" i="2"/>
  <c r="B7170" i="2"/>
  <c r="A7170" i="2"/>
  <c r="D7169" i="2"/>
  <c r="C7169" i="2"/>
  <c r="B7169" i="2"/>
  <c r="A7169" i="2"/>
  <c r="D7168" i="2"/>
  <c r="C7168" i="2"/>
  <c r="B7168" i="2"/>
  <c r="A7168" i="2"/>
  <c r="D7167" i="2"/>
  <c r="C7167" i="2"/>
  <c r="B7167" i="2"/>
  <c r="A7167" i="2"/>
  <c r="D7166" i="2"/>
  <c r="C7166" i="2"/>
  <c r="B7166" i="2"/>
  <c r="A7166" i="2"/>
  <c r="D7165" i="2"/>
  <c r="C7165" i="2"/>
  <c r="B7165" i="2"/>
  <c r="A7165" i="2"/>
  <c r="D7164" i="2"/>
  <c r="C7164" i="2"/>
  <c r="B7164" i="2"/>
  <c r="A7164" i="2"/>
  <c r="D7163" i="2"/>
  <c r="C7163" i="2"/>
  <c r="B7163" i="2"/>
  <c r="A7163" i="2"/>
  <c r="D7162" i="2"/>
  <c r="C7162" i="2"/>
  <c r="B7162" i="2"/>
  <c r="A7162" i="2"/>
  <c r="D7161" i="2"/>
  <c r="C7161" i="2"/>
  <c r="B7161" i="2"/>
  <c r="A7161" i="2"/>
  <c r="D7160" i="2"/>
  <c r="C7160" i="2"/>
  <c r="B7160" i="2"/>
  <c r="A7160" i="2"/>
  <c r="D7159" i="2"/>
  <c r="C7159" i="2"/>
  <c r="B7159" i="2"/>
  <c r="A7159" i="2"/>
  <c r="D7158" i="2"/>
  <c r="C7158" i="2"/>
  <c r="B7158" i="2"/>
  <c r="A7158" i="2"/>
  <c r="D7157" i="2"/>
  <c r="C7157" i="2"/>
  <c r="B7157" i="2"/>
  <c r="A7157" i="2"/>
  <c r="D7156" i="2"/>
  <c r="C7156" i="2"/>
  <c r="B7156" i="2"/>
  <c r="A7156" i="2"/>
  <c r="D7155" i="2"/>
  <c r="C7155" i="2"/>
  <c r="B7155" i="2"/>
  <c r="A7155" i="2"/>
  <c r="D7154" i="2"/>
  <c r="C7154" i="2"/>
  <c r="B7154" i="2"/>
  <c r="A7154" i="2"/>
  <c r="D7153" i="2"/>
  <c r="C7153" i="2"/>
  <c r="B7153" i="2"/>
  <c r="A7153" i="2"/>
  <c r="D7152" i="2"/>
  <c r="C7152" i="2"/>
  <c r="B7152" i="2"/>
  <c r="A7152" i="2"/>
  <c r="D7151" i="2"/>
  <c r="C7151" i="2"/>
  <c r="B7151" i="2"/>
  <c r="A7151" i="2"/>
  <c r="D7150" i="2"/>
  <c r="C7150" i="2"/>
  <c r="B7150" i="2"/>
  <c r="A7150" i="2"/>
  <c r="D7149" i="2"/>
  <c r="C7149" i="2"/>
  <c r="B7149" i="2"/>
  <c r="A7149" i="2"/>
  <c r="D7148" i="2"/>
  <c r="C7148" i="2"/>
  <c r="B7148" i="2"/>
  <c r="A7148" i="2"/>
  <c r="D7147" i="2"/>
  <c r="C7147" i="2"/>
  <c r="B7147" i="2"/>
  <c r="A7147" i="2"/>
  <c r="D7146" i="2"/>
  <c r="C7146" i="2"/>
  <c r="B7146" i="2"/>
  <c r="A7146" i="2"/>
  <c r="D7145" i="2"/>
  <c r="C7145" i="2"/>
  <c r="B7145" i="2"/>
  <c r="A7145" i="2"/>
  <c r="D7144" i="2"/>
  <c r="C7144" i="2"/>
  <c r="B7144" i="2"/>
  <c r="A7144" i="2"/>
  <c r="D7143" i="2"/>
  <c r="C7143" i="2"/>
  <c r="B7143" i="2"/>
  <c r="A7143" i="2"/>
  <c r="D7142" i="2"/>
  <c r="C7142" i="2"/>
  <c r="B7142" i="2"/>
  <c r="A7142" i="2"/>
  <c r="D7141" i="2"/>
  <c r="C7141" i="2"/>
  <c r="B7141" i="2"/>
  <c r="A7141" i="2"/>
  <c r="D7140" i="2"/>
  <c r="C7140" i="2"/>
  <c r="B7140" i="2"/>
  <c r="A7140" i="2"/>
  <c r="D7139" i="2"/>
  <c r="C7139" i="2"/>
  <c r="B7139" i="2"/>
  <c r="A7139" i="2"/>
  <c r="D7138" i="2"/>
  <c r="C7138" i="2"/>
  <c r="B7138" i="2"/>
  <c r="A7138" i="2"/>
  <c r="D7137" i="2"/>
  <c r="C7137" i="2"/>
  <c r="B7137" i="2"/>
  <c r="A7137" i="2"/>
  <c r="D7136" i="2"/>
  <c r="C7136" i="2"/>
  <c r="B7136" i="2"/>
  <c r="A7136" i="2"/>
  <c r="D7135" i="2"/>
  <c r="C7135" i="2"/>
  <c r="B7135" i="2"/>
  <c r="A7135" i="2"/>
  <c r="D7134" i="2"/>
  <c r="C7134" i="2"/>
  <c r="B7134" i="2"/>
  <c r="A7134" i="2"/>
  <c r="D7133" i="2"/>
  <c r="C7133" i="2"/>
  <c r="B7133" i="2"/>
  <c r="A7133" i="2"/>
  <c r="D7132" i="2"/>
  <c r="C7132" i="2"/>
  <c r="B7132" i="2"/>
  <c r="A7132" i="2"/>
  <c r="D7131" i="2"/>
  <c r="C7131" i="2"/>
  <c r="B7131" i="2"/>
  <c r="A7131" i="2"/>
  <c r="D7130" i="2"/>
  <c r="C7130" i="2"/>
  <c r="B7130" i="2"/>
  <c r="A7130" i="2"/>
  <c r="D7129" i="2"/>
  <c r="C7129" i="2"/>
  <c r="B7129" i="2"/>
  <c r="A7129" i="2"/>
  <c r="D7128" i="2"/>
  <c r="C7128" i="2"/>
  <c r="B7128" i="2"/>
  <c r="A7128" i="2"/>
  <c r="D7127" i="2"/>
  <c r="C7127" i="2"/>
  <c r="B7127" i="2"/>
  <c r="A7127" i="2"/>
  <c r="D7126" i="2"/>
  <c r="C7126" i="2"/>
  <c r="B7126" i="2"/>
  <c r="A7126" i="2"/>
  <c r="D7125" i="2"/>
  <c r="C7125" i="2"/>
  <c r="B7125" i="2"/>
  <c r="A7125" i="2"/>
  <c r="D7124" i="2"/>
  <c r="C7124" i="2"/>
  <c r="B7124" i="2"/>
  <c r="A7124" i="2"/>
  <c r="D7123" i="2"/>
  <c r="C7123" i="2"/>
  <c r="B7123" i="2"/>
  <c r="A7123" i="2"/>
  <c r="D7122" i="2"/>
  <c r="C7122" i="2"/>
  <c r="B7122" i="2"/>
  <c r="A7122" i="2"/>
  <c r="D7121" i="2"/>
  <c r="C7121" i="2"/>
  <c r="B7121" i="2"/>
  <c r="A7121" i="2"/>
  <c r="D7120" i="2"/>
  <c r="C7120" i="2"/>
  <c r="B7120" i="2"/>
  <c r="A7120" i="2"/>
  <c r="D7119" i="2"/>
  <c r="C7119" i="2"/>
  <c r="B7119" i="2"/>
  <c r="A7119" i="2"/>
  <c r="D7118" i="2"/>
  <c r="C7118" i="2"/>
  <c r="B7118" i="2"/>
  <c r="A7118" i="2"/>
  <c r="D7117" i="2"/>
  <c r="C7117" i="2"/>
  <c r="B7117" i="2"/>
  <c r="A7117" i="2"/>
  <c r="D7116" i="2"/>
  <c r="C7116" i="2"/>
  <c r="B7116" i="2"/>
  <c r="A7116" i="2"/>
  <c r="D7115" i="2"/>
  <c r="C7115" i="2"/>
  <c r="B7115" i="2"/>
  <c r="A7115" i="2"/>
  <c r="D7114" i="2"/>
  <c r="C7114" i="2"/>
  <c r="B7114" i="2"/>
  <c r="A7114" i="2"/>
  <c r="D7113" i="2"/>
  <c r="C7113" i="2"/>
  <c r="B7113" i="2"/>
  <c r="A7113" i="2"/>
  <c r="D7112" i="2"/>
  <c r="C7112" i="2"/>
  <c r="B7112" i="2"/>
  <c r="A7112" i="2"/>
  <c r="D7111" i="2"/>
  <c r="C7111" i="2"/>
  <c r="B7111" i="2"/>
  <c r="A7111" i="2"/>
  <c r="D7110" i="2"/>
  <c r="C7110" i="2"/>
  <c r="B7110" i="2"/>
  <c r="A7110" i="2"/>
  <c r="D7109" i="2"/>
  <c r="C7109" i="2"/>
  <c r="B7109" i="2"/>
  <c r="A7109" i="2"/>
  <c r="D7108" i="2"/>
  <c r="C7108" i="2"/>
  <c r="B7108" i="2"/>
  <c r="A7108" i="2"/>
  <c r="D7107" i="2"/>
  <c r="C7107" i="2"/>
  <c r="B7107" i="2"/>
  <c r="A7107" i="2"/>
  <c r="D7106" i="2"/>
  <c r="C7106" i="2"/>
  <c r="B7106" i="2"/>
  <c r="A7106" i="2"/>
  <c r="D7105" i="2"/>
  <c r="C7105" i="2"/>
  <c r="B7105" i="2"/>
  <c r="A7105" i="2"/>
  <c r="D7104" i="2"/>
  <c r="C7104" i="2"/>
  <c r="B7104" i="2"/>
  <c r="A7104" i="2"/>
  <c r="D7103" i="2"/>
  <c r="C7103" i="2"/>
  <c r="B7103" i="2"/>
  <c r="A7103" i="2"/>
  <c r="D7102" i="2"/>
  <c r="C7102" i="2"/>
  <c r="B7102" i="2"/>
  <c r="A7102" i="2"/>
  <c r="D7101" i="2"/>
  <c r="C7101" i="2"/>
  <c r="B7101" i="2"/>
  <c r="A7101" i="2"/>
  <c r="D7100" i="2"/>
  <c r="C7100" i="2"/>
  <c r="B7100" i="2"/>
  <c r="A7100" i="2"/>
  <c r="D7099" i="2"/>
  <c r="C7099" i="2"/>
  <c r="B7099" i="2"/>
  <c r="A7099" i="2"/>
  <c r="D7098" i="2"/>
  <c r="C7098" i="2"/>
  <c r="B7098" i="2"/>
  <c r="A7098" i="2"/>
  <c r="D7097" i="2"/>
  <c r="C7097" i="2"/>
  <c r="B7097" i="2"/>
  <c r="A7097" i="2"/>
  <c r="D7096" i="2"/>
  <c r="C7096" i="2"/>
  <c r="B7096" i="2"/>
  <c r="A7096" i="2"/>
  <c r="D7095" i="2"/>
  <c r="C7095" i="2"/>
  <c r="B7095" i="2"/>
  <c r="A7095" i="2"/>
  <c r="D7094" i="2"/>
  <c r="C7094" i="2"/>
  <c r="B7094" i="2"/>
  <c r="A7094" i="2"/>
  <c r="D7093" i="2"/>
  <c r="C7093" i="2"/>
  <c r="B7093" i="2"/>
  <c r="A7093" i="2"/>
  <c r="D7092" i="2"/>
  <c r="C7092" i="2"/>
  <c r="B7092" i="2"/>
  <c r="A7092" i="2"/>
  <c r="D7091" i="2"/>
  <c r="C7091" i="2"/>
  <c r="B7091" i="2"/>
  <c r="A7091" i="2"/>
  <c r="D7090" i="2"/>
  <c r="C7090" i="2"/>
  <c r="B7090" i="2"/>
  <c r="A7090" i="2"/>
  <c r="D7089" i="2"/>
  <c r="C7089" i="2"/>
  <c r="B7089" i="2"/>
  <c r="A7089" i="2"/>
  <c r="D7088" i="2"/>
  <c r="C7088" i="2"/>
  <c r="B7088" i="2"/>
  <c r="A7088" i="2"/>
  <c r="D7087" i="2"/>
  <c r="C7087" i="2"/>
  <c r="B7087" i="2"/>
  <c r="A7087" i="2"/>
  <c r="D7086" i="2"/>
  <c r="C7086" i="2"/>
  <c r="B7086" i="2"/>
  <c r="A7086" i="2"/>
  <c r="D7085" i="2"/>
  <c r="C7085" i="2"/>
  <c r="B7085" i="2"/>
  <c r="A7085" i="2"/>
  <c r="D7084" i="2"/>
  <c r="C7084" i="2"/>
  <c r="B7084" i="2"/>
  <c r="A7084" i="2"/>
  <c r="D7083" i="2"/>
  <c r="C7083" i="2"/>
  <c r="B7083" i="2"/>
  <c r="A7083" i="2"/>
  <c r="D7082" i="2"/>
  <c r="C7082" i="2"/>
  <c r="B7082" i="2"/>
  <c r="A7082" i="2"/>
  <c r="D7081" i="2"/>
  <c r="C7081" i="2"/>
  <c r="B7081" i="2"/>
  <c r="A7081" i="2"/>
  <c r="D7080" i="2"/>
  <c r="C7080" i="2"/>
  <c r="B7080" i="2"/>
  <c r="A7080" i="2"/>
  <c r="D7079" i="2"/>
  <c r="C7079" i="2"/>
  <c r="B7079" i="2"/>
  <c r="A7079" i="2"/>
  <c r="D7078" i="2"/>
  <c r="C7078" i="2"/>
  <c r="B7078" i="2"/>
  <c r="A7078" i="2"/>
  <c r="D7077" i="2"/>
  <c r="C7077" i="2"/>
  <c r="B7077" i="2"/>
  <c r="A7077" i="2"/>
  <c r="D7076" i="2"/>
  <c r="C7076" i="2"/>
  <c r="B7076" i="2"/>
  <c r="A7076" i="2"/>
  <c r="D7075" i="2"/>
  <c r="C7075" i="2"/>
  <c r="B7075" i="2"/>
  <c r="A7075" i="2"/>
  <c r="D7074" i="2"/>
  <c r="C7074" i="2"/>
  <c r="B7074" i="2"/>
  <c r="A7074" i="2"/>
  <c r="D7073" i="2"/>
  <c r="C7073" i="2"/>
  <c r="B7073" i="2"/>
  <c r="A7073" i="2"/>
  <c r="D7072" i="2"/>
  <c r="C7072" i="2"/>
  <c r="B7072" i="2"/>
  <c r="A7072" i="2"/>
  <c r="D7071" i="2"/>
  <c r="C7071" i="2"/>
  <c r="B7071" i="2"/>
  <c r="A7071" i="2"/>
  <c r="D7070" i="2"/>
  <c r="C7070" i="2"/>
  <c r="B7070" i="2"/>
  <c r="A7070" i="2"/>
  <c r="D7069" i="2"/>
  <c r="C7069" i="2"/>
  <c r="B7069" i="2"/>
  <c r="A7069" i="2"/>
  <c r="D7068" i="2"/>
  <c r="C7068" i="2"/>
  <c r="B7068" i="2"/>
  <c r="A7068" i="2"/>
  <c r="D7067" i="2"/>
  <c r="C7067" i="2"/>
  <c r="B7067" i="2"/>
  <c r="A7067" i="2"/>
  <c r="D7066" i="2"/>
  <c r="C7066" i="2"/>
  <c r="B7066" i="2"/>
  <c r="A7066" i="2"/>
  <c r="D7065" i="2"/>
  <c r="C7065" i="2"/>
  <c r="B7065" i="2"/>
  <c r="A7065" i="2"/>
  <c r="D7064" i="2"/>
  <c r="C7064" i="2"/>
  <c r="B7064" i="2"/>
  <c r="A7064" i="2"/>
  <c r="D7063" i="2"/>
  <c r="C7063" i="2"/>
  <c r="B7063" i="2"/>
  <c r="A7063" i="2"/>
  <c r="D7062" i="2"/>
  <c r="C7062" i="2"/>
  <c r="B7062" i="2"/>
  <c r="A7062" i="2"/>
  <c r="D7061" i="2"/>
  <c r="C7061" i="2"/>
  <c r="B7061" i="2"/>
  <c r="A7061" i="2"/>
  <c r="D7060" i="2"/>
  <c r="C7060" i="2"/>
  <c r="B7060" i="2"/>
  <c r="A7060" i="2"/>
  <c r="D7059" i="2"/>
  <c r="C7059" i="2"/>
  <c r="B7059" i="2"/>
  <c r="A7059" i="2"/>
  <c r="D7058" i="2"/>
  <c r="C7058" i="2"/>
  <c r="B7058" i="2"/>
  <c r="A7058" i="2"/>
  <c r="D7057" i="2"/>
  <c r="C7057" i="2"/>
  <c r="B7057" i="2"/>
  <c r="A7057" i="2"/>
  <c r="D7056" i="2"/>
  <c r="C7056" i="2"/>
  <c r="B7056" i="2"/>
  <c r="A7056" i="2"/>
  <c r="D7055" i="2"/>
  <c r="C7055" i="2"/>
  <c r="B7055" i="2"/>
  <c r="A7055" i="2"/>
  <c r="D7054" i="2"/>
  <c r="C7054" i="2"/>
  <c r="B7054" i="2"/>
  <c r="A7054" i="2"/>
  <c r="D7053" i="2"/>
  <c r="C7053" i="2"/>
  <c r="B7053" i="2"/>
  <c r="A7053" i="2"/>
  <c r="D7052" i="2"/>
  <c r="C7052" i="2"/>
  <c r="B7052" i="2"/>
  <c r="A7052" i="2"/>
  <c r="D7051" i="2"/>
  <c r="C7051" i="2"/>
  <c r="B7051" i="2"/>
  <c r="A7051" i="2"/>
  <c r="D7050" i="2"/>
  <c r="C7050" i="2"/>
  <c r="B7050" i="2"/>
  <c r="A7050" i="2"/>
  <c r="D7049" i="2"/>
  <c r="C7049" i="2"/>
  <c r="B7049" i="2"/>
  <c r="A7049" i="2"/>
  <c r="D7048" i="2"/>
  <c r="C7048" i="2"/>
  <c r="B7048" i="2"/>
  <c r="A7048" i="2"/>
  <c r="D7047" i="2"/>
  <c r="C7047" i="2"/>
  <c r="B7047" i="2"/>
  <c r="A7047" i="2"/>
  <c r="D7046" i="2"/>
  <c r="C7046" i="2"/>
  <c r="B7046" i="2"/>
  <c r="A7046" i="2"/>
  <c r="D7045" i="2"/>
  <c r="C7045" i="2"/>
  <c r="B7045" i="2"/>
  <c r="A7045" i="2"/>
  <c r="D7044" i="2"/>
  <c r="C7044" i="2"/>
  <c r="B7044" i="2"/>
  <c r="A7044" i="2"/>
  <c r="D7043" i="2"/>
  <c r="C7043" i="2"/>
  <c r="B7043" i="2"/>
  <c r="A7043" i="2"/>
  <c r="D7042" i="2"/>
  <c r="C7042" i="2"/>
  <c r="B7042" i="2"/>
  <c r="A7042" i="2"/>
  <c r="D7041" i="2"/>
  <c r="C7041" i="2"/>
  <c r="B7041" i="2"/>
  <c r="A7041" i="2"/>
  <c r="D7040" i="2"/>
  <c r="C7040" i="2"/>
  <c r="B7040" i="2"/>
  <c r="A7040" i="2"/>
  <c r="D7039" i="2"/>
  <c r="C7039" i="2"/>
  <c r="B7039" i="2"/>
  <c r="A7039" i="2"/>
  <c r="D7038" i="2"/>
  <c r="C7038" i="2"/>
  <c r="B7038" i="2"/>
  <c r="A7038" i="2"/>
  <c r="D7037" i="2"/>
  <c r="C7037" i="2"/>
  <c r="B7037" i="2"/>
  <c r="A7037" i="2"/>
  <c r="D7036" i="2"/>
  <c r="C7036" i="2"/>
  <c r="B7036" i="2"/>
  <c r="A7036" i="2"/>
  <c r="D7035" i="2"/>
  <c r="C7035" i="2"/>
  <c r="B7035" i="2"/>
  <c r="A7035" i="2"/>
  <c r="D7034" i="2"/>
  <c r="C7034" i="2"/>
  <c r="B7034" i="2"/>
  <c r="A7034" i="2"/>
  <c r="D7033" i="2"/>
  <c r="C7033" i="2"/>
  <c r="B7033" i="2"/>
  <c r="A7033" i="2"/>
  <c r="D7032" i="2"/>
  <c r="C7032" i="2"/>
  <c r="B7032" i="2"/>
  <c r="A7032" i="2"/>
  <c r="D7031" i="2"/>
  <c r="C7031" i="2"/>
  <c r="B7031" i="2"/>
  <c r="A7031" i="2"/>
  <c r="D7030" i="2"/>
  <c r="C7030" i="2"/>
  <c r="B7030" i="2"/>
  <c r="A7030" i="2"/>
  <c r="D7029" i="2"/>
  <c r="C7029" i="2"/>
  <c r="B7029" i="2"/>
  <c r="A7029" i="2"/>
  <c r="D7028" i="2"/>
  <c r="C7028" i="2"/>
  <c r="B7028" i="2"/>
  <c r="A7028" i="2"/>
  <c r="D7027" i="2"/>
  <c r="C7027" i="2"/>
  <c r="B7027" i="2"/>
  <c r="A7027" i="2"/>
  <c r="D7026" i="2"/>
  <c r="C7026" i="2"/>
  <c r="B7026" i="2"/>
  <c r="A7026" i="2"/>
  <c r="D7025" i="2"/>
  <c r="B7025" i="2"/>
  <c r="A7025" i="2"/>
  <c r="D7024" i="2"/>
  <c r="C7024" i="2"/>
  <c r="B7024" i="2"/>
  <c r="A7024" i="2"/>
  <c r="D7023" i="2"/>
  <c r="C7023" i="2"/>
  <c r="B7023" i="2"/>
  <c r="A7023" i="2"/>
  <c r="D7022" i="2"/>
  <c r="C7022" i="2"/>
  <c r="B7022" i="2"/>
  <c r="A7022" i="2"/>
  <c r="D7021" i="2"/>
  <c r="C7021" i="2"/>
  <c r="B7021" i="2"/>
  <c r="A7021" i="2"/>
  <c r="D7020" i="2"/>
  <c r="C7020" i="2"/>
  <c r="B7020" i="2"/>
  <c r="A7020" i="2"/>
  <c r="D7019" i="2"/>
  <c r="C7019" i="2"/>
  <c r="B7019" i="2"/>
  <c r="A7019" i="2"/>
  <c r="D7018" i="2"/>
  <c r="C7018" i="2"/>
  <c r="B7018" i="2"/>
  <c r="A7018" i="2"/>
  <c r="D7017" i="2"/>
  <c r="C7017" i="2"/>
  <c r="B7017" i="2"/>
  <c r="A7017" i="2"/>
  <c r="D7016" i="2"/>
  <c r="C7016" i="2"/>
  <c r="B7016" i="2"/>
  <c r="A7016" i="2"/>
  <c r="D7015" i="2"/>
  <c r="C7015" i="2"/>
  <c r="B7015" i="2"/>
  <c r="A7015" i="2"/>
  <c r="D7014" i="2"/>
  <c r="C7014" i="2"/>
  <c r="B7014" i="2"/>
  <c r="A7014" i="2"/>
  <c r="D7013" i="2"/>
  <c r="C7013" i="2"/>
  <c r="B7013" i="2"/>
  <c r="A7013" i="2"/>
  <c r="D7012" i="2"/>
  <c r="C7012" i="2"/>
  <c r="B7012" i="2"/>
  <c r="A7012" i="2"/>
  <c r="D7011" i="2"/>
  <c r="C7011" i="2"/>
  <c r="B7011" i="2"/>
  <c r="A7011" i="2"/>
  <c r="D7010" i="2"/>
  <c r="C7010" i="2"/>
  <c r="B7010" i="2"/>
  <c r="A7010" i="2"/>
  <c r="D7009" i="2"/>
  <c r="C7009" i="2"/>
  <c r="B7009" i="2"/>
  <c r="A7009" i="2"/>
  <c r="D7008" i="2"/>
  <c r="C7008" i="2"/>
  <c r="B7008" i="2"/>
  <c r="A7008" i="2"/>
  <c r="D7007" i="2"/>
  <c r="C7007" i="2"/>
  <c r="B7007" i="2"/>
  <c r="A7007" i="2"/>
  <c r="D7006" i="2"/>
  <c r="B7006" i="2"/>
  <c r="A7006" i="2"/>
  <c r="D7005" i="2"/>
  <c r="C7005" i="2"/>
  <c r="B7005" i="2"/>
  <c r="A7005" i="2"/>
  <c r="D7004" i="2"/>
  <c r="C7004" i="2"/>
  <c r="B7004" i="2"/>
  <c r="A7004" i="2"/>
  <c r="D7003" i="2"/>
  <c r="C7003" i="2"/>
  <c r="B7003" i="2"/>
  <c r="A7003" i="2"/>
  <c r="D7002" i="2"/>
  <c r="C7002" i="2"/>
  <c r="B7002" i="2"/>
  <c r="A7002" i="2"/>
  <c r="D7001" i="2"/>
  <c r="B7001" i="2"/>
  <c r="A7001" i="2"/>
  <c r="D7000" i="2"/>
  <c r="B7000" i="2"/>
  <c r="A7000" i="2"/>
  <c r="D6999" i="2"/>
  <c r="B6999" i="2"/>
  <c r="A6999" i="2"/>
  <c r="D6998" i="2"/>
  <c r="B6998" i="2"/>
  <c r="A6998" i="2"/>
  <c r="D6997" i="2"/>
  <c r="C6997" i="2"/>
  <c r="B6997" i="2"/>
  <c r="A6997" i="2"/>
  <c r="D6996" i="2"/>
  <c r="B6996" i="2"/>
  <c r="A6996" i="2"/>
  <c r="D6995" i="2"/>
  <c r="C6995" i="2"/>
  <c r="B6995" i="2"/>
  <c r="A6995" i="2"/>
  <c r="D6994" i="2"/>
  <c r="B6994" i="2"/>
  <c r="A6994" i="2"/>
  <c r="D6993" i="2"/>
  <c r="C6993" i="2"/>
  <c r="B6993" i="2"/>
  <c r="A6993" i="2"/>
  <c r="D6992" i="2"/>
  <c r="B6992" i="2"/>
  <c r="A6992" i="2"/>
  <c r="D6991" i="2"/>
  <c r="B6991" i="2"/>
  <c r="A6991" i="2"/>
  <c r="D6990" i="2"/>
  <c r="B6990" i="2"/>
  <c r="A6990" i="2"/>
  <c r="D6989" i="2"/>
  <c r="B6989" i="2"/>
  <c r="A6989" i="2"/>
  <c r="D6988" i="2"/>
  <c r="B6988" i="2"/>
  <c r="A6988" i="2"/>
  <c r="D6987" i="2"/>
  <c r="C6987" i="2"/>
  <c r="B6987" i="2"/>
  <c r="A6987" i="2"/>
  <c r="D6986" i="2"/>
  <c r="C6986" i="2"/>
  <c r="B6986" i="2"/>
  <c r="A6986" i="2"/>
  <c r="D6985" i="2"/>
  <c r="B6985" i="2"/>
  <c r="A6985" i="2"/>
  <c r="D6984" i="2"/>
  <c r="B6984" i="2"/>
  <c r="A6984" i="2"/>
  <c r="D6983" i="2"/>
  <c r="C6983" i="2"/>
  <c r="B6983" i="2"/>
  <c r="A6983" i="2"/>
  <c r="D6982" i="2"/>
  <c r="C6982" i="2"/>
  <c r="B6982" i="2"/>
  <c r="A6982" i="2"/>
  <c r="D6981" i="2"/>
  <c r="B6981" i="2"/>
  <c r="A6981" i="2"/>
  <c r="D6980" i="2"/>
  <c r="C6980" i="2"/>
  <c r="B6980" i="2"/>
  <c r="A6980" i="2"/>
  <c r="D6979" i="2"/>
  <c r="B6979" i="2"/>
  <c r="A6979" i="2"/>
  <c r="D6978" i="2"/>
  <c r="C6978" i="2"/>
  <c r="B6978" i="2"/>
  <c r="A6978" i="2"/>
  <c r="D6977" i="2"/>
  <c r="B6977" i="2"/>
  <c r="A6977" i="2"/>
  <c r="D6976" i="2"/>
  <c r="B6976" i="2"/>
  <c r="A6976" i="2"/>
  <c r="D6975" i="2"/>
  <c r="C6975" i="2"/>
  <c r="B6975" i="2"/>
  <c r="A6975" i="2"/>
  <c r="D6974" i="2"/>
  <c r="B6974" i="2"/>
  <c r="A6974" i="2"/>
  <c r="D6973" i="2"/>
  <c r="C6973" i="2"/>
  <c r="B6973" i="2"/>
  <c r="A6973" i="2"/>
  <c r="D6972" i="2"/>
  <c r="C6972" i="2"/>
  <c r="B6972" i="2"/>
  <c r="A6972" i="2"/>
  <c r="D6971" i="2"/>
  <c r="C6971" i="2"/>
  <c r="B6971" i="2"/>
  <c r="A6971" i="2"/>
  <c r="D6970" i="2"/>
  <c r="C6970" i="2"/>
  <c r="B6970" i="2"/>
  <c r="A6970" i="2"/>
  <c r="D6969" i="2"/>
  <c r="C6969" i="2"/>
  <c r="B6969" i="2"/>
  <c r="A6969" i="2"/>
  <c r="D6968" i="2"/>
  <c r="B6968" i="2"/>
  <c r="A6968" i="2"/>
  <c r="D6967" i="2"/>
  <c r="B6967" i="2"/>
  <c r="A6967" i="2"/>
  <c r="D6966" i="2"/>
  <c r="B6966" i="2"/>
  <c r="A6966" i="2"/>
  <c r="D6965" i="2"/>
  <c r="C6965" i="2"/>
  <c r="B6965" i="2"/>
  <c r="A6965" i="2"/>
  <c r="D6964" i="2"/>
  <c r="C6964" i="2"/>
  <c r="B6964" i="2"/>
  <c r="A6964" i="2"/>
  <c r="D6963" i="2"/>
  <c r="C6963" i="2"/>
  <c r="B6963" i="2"/>
  <c r="A6963" i="2"/>
  <c r="D6962" i="2"/>
  <c r="C6962" i="2"/>
  <c r="B6962" i="2"/>
  <c r="A6962" i="2"/>
  <c r="D6961" i="2"/>
  <c r="C6961" i="2"/>
  <c r="B6961" i="2"/>
  <c r="A6961" i="2"/>
  <c r="D6960" i="2"/>
  <c r="C6960" i="2"/>
  <c r="B6960" i="2"/>
  <c r="A6960" i="2"/>
  <c r="D6959" i="2"/>
  <c r="C6959" i="2"/>
  <c r="B6959" i="2"/>
  <c r="A6959" i="2"/>
  <c r="D6958" i="2"/>
  <c r="B6958" i="2"/>
  <c r="A6958" i="2"/>
  <c r="D6957" i="2"/>
  <c r="B6957" i="2"/>
  <c r="A6957" i="2"/>
  <c r="D6956" i="2"/>
  <c r="C6956" i="2"/>
  <c r="B6956" i="2"/>
  <c r="A6956" i="2"/>
  <c r="D6955" i="2"/>
  <c r="B6955" i="2"/>
  <c r="A6955" i="2"/>
  <c r="D6954" i="2"/>
  <c r="C6954" i="2"/>
  <c r="B6954" i="2"/>
  <c r="A6954" i="2"/>
  <c r="D6953" i="2"/>
  <c r="C6953" i="2"/>
  <c r="B6953" i="2"/>
  <c r="A6953" i="2"/>
  <c r="D6952" i="2"/>
  <c r="C6952" i="2"/>
  <c r="B6952" i="2"/>
  <c r="A6952" i="2"/>
  <c r="D6951" i="2"/>
  <c r="C6951" i="2"/>
  <c r="B6951" i="2"/>
  <c r="A6951" i="2"/>
  <c r="D6950" i="2"/>
  <c r="C6950" i="2"/>
  <c r="B6950" i="2"/>
  <c r="A6950" i="2"/>
  <c r="D6949" i="2"/>
  <c r="C6949" i="2"/>
  <c r="B6949" i="2"/>
  <c r="A6949" i="2"/>
  <c r="D6948" i="2"/>
  <c r="C6948" i="2"/>
  <c r="B6948" i="2"/>
  <c r="A6948" i="2"/>
  <c r="D6947" i="2"/>
  <c r="C6947" i="2"/>
  <c r="B6947" i="2"/>
  <c r="A6947" i="2"/>
  <c r="D6946" i="2"/>
  <c r="C6946" i="2"/>
  <c r="B6946" i="2"/>
  <c r="A6946" i="2"/>
  <c r="D6945" i="2"/>
  <c r="C6945" i="2"/>
  <c r="B6945" i="2"/>
  <c r="A6945" i="2"/>
  <c r="D6944" i="2"/>
  <c r="C6944" i="2"/>
  <c r="B6944" i="2"/>
  <c r="A6944" i="2"/>
  <c r="D6943" i="2"/>
  <c r="C6943" i="2"/>
  <c r="B6943" i="2"/>
  <c r="A6943" i="2"/>
  <c r="D6942" i="2"/>
  <c r="C6942" i="2"/>
  <c r="B6942" i="2"/>
  <c r="A6942" i="2"/>
  <c r="D6941" i="2"/>
  <c r="C6941" i="2"/>
  <c r="B6941" i="2"/>
  <c r="A6941" i="2"/>
  <c r="D6940" i="2"/>
  <c r="C6940" i="2"/>
  <c r="B6940" i="2"/>
  <c r="A6940" i="2"/>
  <c r="D6939" i="2"/>
  <c r="C6939" i="2"/>
  <c r="B6939" i="2"/>
  <c r="A6939" i="2"/>
  <c r="D6938" i="2"/>
  <c r="C6938" i="2"/>
  <c r="B6938" i="2"/>
  <c r="A6938" i="2"/>
  <c r="D6937" i="2"/>
  <c r="C6937" i="2"/>
  <c r="B6937" i="2"/>
  <c r="A6937" i="2"/>
  <c r="D6936" i="2"/>
  <c r="C6936" i="2"/>
  <c r="B6936" i="2"/>
  <c r="A6936" i="2"/>
  <c r="D6935" i="2"/>
  <c r="C6935" i="2"/>
  <c r="B6935" i="2"/>
  <c r="A6935" i="2"/>
  <c r="D6934" i="2"/>
  <c r="C6934" i="2"/>
  <c r="B6934" i="2"/>
  <c r="A6934" i="2"/>
  <c r="D6933" i="2"/>
  <c r="C6933" i="2"/>
  <c r="B6933" i="2"/>
  <c r="A6933" i="2"/>
  <c r="D6932" i="2"/>
  <c r="C6932" i="2"/>
  <c r="B6932" i="2"/>
  <c r="A6932" i="2"/>
  <c r="D6931" i="2"/>
  <c r="B6931" i="2"/>
  <c r="A6931" i="2"/>
  <c r="D6930" i="2"/>
  <c r="C6930" i="2"/>
  <c r="B6930" i="2"/>
  <c r="A6930" i="2"/>
  <c r="D6929" i="2"/>
  <c r="C6929" i="2"/>
  <c r="B6929" i="2"/>
  <c r="A6929" i="2"/>
  <c r="D6928" i="2"/>
  <c r="B6928" i="2"/>
  <c r="A6928" i="2"/>
  <c r="D6927" i="2"/>
  <c r="C6927" i="2"/>
  <c r="B6927" i="2"/>
  <c r="A6927" i="2"/>
  <c r="D6926" i="2"/>
  <c r="C6926" i="2"/>
  <c r="B6926" i="2"/>
  <c r="A6926" i="2"/>
  <c r="D6925" i="2"/>
  <c r="C6925" i="2"/>
  <c r="B6925" i="2"/>
  <c r="A6925" i="2"/>
  <c r="D6924" i="2"/>
  <c r="C6924" i="2"/>
  <c r="B6924" i="2"/>
  <c r="A6924" i="2"/>
  <c r="D6923" i="2"/>
  <c r="C6923" i="2"/>
  <c r="B6923" i="2"/>
  <c r="A6923" i="2"/>
  <c r="D6922" i="2"/>
  <c r="C6922" i="2"/>
  <c r="B6922" i="2"/>
  <c r="A6922" i="2"/>
  <c r="D6921" i="2"/>
  <c r="C6921" i="2"/>
  <c r="B6921" i="2"/>
  <c r="A6921" i="2"/>
  <c r="D6920" i="2"/>
  <c r="C6920" i="2"/>
  <c r="B6920" i="2"/>
  <c r="A6920" i="2"/>
  <c r="D6919" i="2"/>
  <c r="C6919" i="2"/>
  <c r="B6919" i="2"/>
  <c r="A6919" i="2"/>
  <c r="D6918" i="2"/>
  <c r="C6918" i="2"/>
  <c r="B6918" i="2"/>
  <c r="A6918" i="2"/>
  <c r="D6917" i="2"/>
  <c r="C6917" i="2"/>
  <c r="B6917" i="2"/>
  <c r="A6917" i="2"/>
  <c r="D6916" i="2"/>
  <c r="C6916" i="2"/>
  <c r="B6916" i="2"/>
  <c r="A6916" i="2"/>
  <c r="D6915" i="2"/>
  <c r="C6915" i="2"/>
  <c r="B6915" i="2"/>
  <c r="A6915" i="2"/>
  <c r="D6914" i="2"/>
  <c r="C6914" i="2"/>
  <c r="B6914" i="2"/>
  <c r="A6914" i="2"/>
  <c r="D6913" i="2"/>
  <c r="C6913" i="2"/>
  <c r="B6913" i="2"/>
  <c r="A6913" i="2"/>
  <c r="D6912" i="2"/>
  <c r="B6912" i="2"/>
  <c r="A6912" i="2"/>
  <c r="D6911" i="2"/>
  <c r="C6911" i="2"/>
  <c r="B6911" i="2"/>
  <c r="A6911" i="2"/>
  <c r="D6910" i="2"/>
  <c r="C6910" i="2"/>
  <c r="B6910" i="2"/>
  <c r="A6910" i="2"/>
  <c r="D6909" i="2"/>
  <c r="B6909" i="2"/>
  <c r="A6909" i="2"/>
  <c r="D6908" i="2"/>
  <c r="C6908" i="2"/>
  <c r="B6908" i="2"/>
  <c r="A6908" i="2"/>
  <c r="D6907" i="2"/>
  <c r="C6907" i="2"/>
  <c r="B6907" i="2"/>
  <c r="A6907" i="2"/>
  <c r="D6906" i="2"/>
  <c r="C6906" i="2"/>
  <c r="B6906" i="2"/>
  <c r="A6906" i="2"/>
  <c r="D6905" i="2"/>
  <c r="C6905" i="2"/>
  <c r="B6905" i="2"/>
  <c r="A6905" i="2"/>
  <c r="D6904" i="2"/>
  <c r="C6904" i="2"/>
  <c r="B6904" i="2"/>
  <c r="A6904" i="2"/>
  <c r="D6903" i="2"/>
  <c r="C6903" i="2"/>
  <c r="B6903" i="2"/>
  <c r="A6903" i="2"/>
  <c r="D6902" i="2"/>
  <c r="C6902" i="2"/>
  <c r="B6902" i="2"/>
  <c r="A6902" i="2"/>
  <c r="D6901" i="2"/>
  <c r="C6901" i="2"/>
  <c r="B6901" i="2"/>
  <c r="A6901" i="2"/>
  <c r="D6900" i="2"/>
  <c r="C6900" i="2"/>
  <c r="B6900" i="2"/>
  <c r="A6900" i="2"/>
  <c r="D6899" i="2"/>
  <c r="C6899" i="2"/>
  <c r="B6899" i="2"/>
  <c r="A6899" i="2"/>
  <c r="D6898" i="2"/>
  <c r="C6898" i="2"/>
  <c r="B6898" i="2"/>
  <c r="A6898" i="2"/>
  <c r="D6897" i="2"/>
  <c r="C6897" i="2"/>
  <c r="B6897" i="2"/>
  <c r="A6897" i="2"/>
  <c r="D6896" i="2"/>
  <c r="C6896" i="2"/>
  <c r="B6896" i="2"/>
  <c r="A6896" i="2"/>
  <c r="D6895" i="2"/>
  <c r="C6895" i="2"/>
  <c r="B6895" i="2"/>
  <c r="A6895" i="2"/>
  <c r="D6894" i="2"/>
  <c r="C6894" i="2"/>
  <c r="B6894" i="2"/>
  <c r="A6894" i="2"/>
  <c r="D6893" i="2"/>
  <c r="C6893" i="2"/>
  <c r="B6893" i="2"/>
  <c r="A6893" i="2"/>
  <c r="D6892" i="2"/>
  <c r="C6892" i="2"/>
  <c r="B6892" i="2"/>
  <c r="A6892" i="2"/>
  <c r="D6891" i="2"/>
  <c r="C6891" i="2"/>
  <c r="B6891" i="2"/>
  <c r="A6891" i="2"/>
  <c r="D6890" i="2"/>
  <c r="C6890" i="2"/>
  <c r="B6890" i="2"/>
  <c r="A6890" i="2"/>
  <c r="D6889" i="2"/>
  <c r="C6889" i="2"/>
  <c r="B6889" i="2"/>
  <c r="A6889" i="2"/>
  <c r="D6888" i="2"/>
  <c r="C6888" i="2"/>
  <c r="B6888" i="2"/>
  <c r="A6888" i="2"/>
  <c r="D6887" i="2"/>
  <c r="C6887" i="2"/>
  <c r="B6887" i="2"/>
  <c r="A6887" i="2"/>
  <c r="D6886" i="2"/>
  <c r="C6886" i="2"/>
  <c r="B6886" i="2"/>
  <c r="A6886" i="2"/>
  <c r="D6885" i="2"/>
  <c r="C6885" i="2"/>
  <c r="B6885" i="2"/>
  <c r="A6885" i="2"/>
  <c r="D6884" i="2"/>
  <c r="C6884" i="2"/>
  <c r="B6884" i="2"/>
  <c r="A6884" i="2"/>
  <c r="D6883" i="2"/>
  <c r="C6883" i="2"/>
  <c r="B6883" i="2"/>
  <c r="A6883" i="2"/>
  <c r="D6882" i="2"/>
  <c r="C6882" i="2"/>
  <c r="B6882" i="2"/>
  <c r="A6882" i="2"/>
  <c r="D6881" i="2"/>
  <c r="C6881" i="2"/>
  <c r="B6881" i="2"/>
  <c r="A6881" i="2"/>
  <c r="D6880" i="2"/>
  <c r="C6880" i="2"/>
  <c r="B6880" i="2"/>
  <c r="A6880" i="2"/>
  <c r="D6879" i="2"/>
  <c r="C6879" i="2"/>
  <c r="B6879" i="2"/>
  <c r="A6879" i="2"/>
  <c r="D6878" i="2"/>
  <c r="C6878" i="2"/>
  <c r="B6878" i="2"/>
  <c r="A6878" i="2"/>
  <c r="D6877" i="2"/>
  <c r="C6877" i="2"/>
  <c r="B6877" i="2"/>
  <c r="A6877" i="2"/>
  <c r="D6876" i="2"/>
  <c r="C6876" i="2"/>
  <c r="B6876" i="2"/>
  <c r="A6876" i="2"/>
  <c r="D6875" i="2"/>
  <c r="C6875" i="2"/>
  <c r="B6875" i="2"/>
  <c r="A6875" i="2"/>
  <c r="D6874" i="2"/>
  <c r="C6874" i="2"/>
  <c r="B6874" i="2"/>
  <c r="A6874" i="2"/>
  <c r="D6873" i="2"/>
  <c r="C6873" i="2"/>
  <c r="B6873" i="2"/>
  <c r="A6873" i="2"/>
  <c r="D6872" i="2"/>
  <c r="C6872" i="2"/>
  <c r="B6872" i="2"/>
  <c r="A6872" i="2"/>
  <c r="D6871" i="2"/>
  <c r="C6871" i="2"/>
  <c r="B6871" i="2"/>
  <c r="A6871" i="2"/>
  <c r="D6870" i="2"/>
  <c r="C6870" i="2"/>
  <c r="B6870" i="2"/>
  <c r="A6870" i="2"/>
  <c r="D6869" i="2"/>
  <c r="C6869" i="2"/>
  <c r="B6869" i="2"/>
  <c r="A6869" i="2"/>
  <c r="D6868" i="2"/>
  <c r="C6868" i="2"/>
  <c r="B6868" i="2"/>
  <c r="A6868" i="2"/>
  <c r="D6867" i="2"/>
  <c r="C6867" i="2"/>
  <c r="B6867" i="2"/>
  <c r="A6867" i="2"/>
  <c r="D6866" i="2"/>
  <c r="C6866" i="2"/>
  <c r="B6866" i="2"/>
  <c r="A6866" i="2"/>
  <c r="D6865" i="2"/>
  <c r="C6865" i="2"/>
  <c r="B6865" i="2"/>
  <c r="A6865" i="2"/>
  <c r="D6864" i="2"/>
  <c r="C6864" i="2"/>
  <c r="B6864" i="2"/>
  <c r="A6864" i="2"/>
  <c r="D6863" i="2"/>
  <c r="C6863" i="2"/>
  <c r="B6863" i="2"/>
  <c r="A6863" i="2"/>
  <c r="D6862" i="2"/>
  <c r="C6862" i="2"/>
  <c r="B6862" i="2"/>
  <c r="A6862" i="2"/>
  <c r="D6861" i="2"/>
  <c r="C6861" i="2"/>
  <c r="B6861" i="2"/>
  <c r="A6861" i="2"/>
  <c r="D6860" i="2"/>
  <c r="C6860" i="2"/>
  <c r="B6860" i="2"/>
  <c r="A6860" i="2"/>
  <c r="D6859" i="2"/>
  <c r="C6859" i="2"/>
  <c r="B6859" i="2"/>
  <c r="A6859" i="2"/>
  <c r="D6858" i="2"/>
  <c r="C6858" i="2"/>
  <c r="B6858" i="2"/>
  <c r="A6858" i="2"/>
  <c r="D6857" i="2"/>
  <c r="C6857" i="2"/>
  <c r="B6857" i="2"/>
  <c r="A6857" i="2"/>
  <c r="D6856" i="2"/>
  <c r="C6856" i="2"/>
  <c r="B6856" i="2"/>
  <c r="A6856" i="2"/>
  <c r="D6855" i="2"/>
  <c r="C6855" i="2"/>
  <c r="B6855" i="2"/>
  <c r="A6855" i="2"/>
  <c r="D6854" i="2"/>
  <c r="C6854" i="2"/>
  <c r="B6854" i="2"/>
  <c r="A6854" i="2"/>
  <c r="D6853" i="2"/>
  <c r="C6853" i="2"/>
  <c r="B6853" i="2"/>
  <c r="A6853" i="2"/>
  <c r="D6852" i="2"/>
  <c r="C6852" i="2"/>
  <c r="B6852" i="2"/>
  <c r="A6852" i="2"/>
  <c r="D6851" i="2"/>
  <c r="C6851" i="2"/>
  <c r="B6851" i="2"/>
  <c r="A6851" i="2"/>
  <c r="D6850" i="2"/>
  <c r="C6850" i="2"/>
  <c r="B6850" i="2"/>
  <c r="A6850" i="2"/>
  <c r="D6849" i="2"/>
  <c r="C6849" i="2"/>
  <c r="B6849" i="2"/>
  <c r="A6849" i="2"/>
  <c r="D6848" i="2"/>
  <c r="C6848" i="2"/>
  <c r="B6848" i="2"/>
  <c r="A6848" i="2"/>
  <c r="D6847" i="2"/>
  <c r="C6847" i="2"/>
  <c r="B6847" i="2"/>
  <c r="A6847" i="2"/>
  <c r="D6846" i="2"/>
  <c r="C6846" i="2"/>
  <c r="B6846" i="2"/>
  <c r="A6846" i="2"/>
  <c r="D6845" i="2"/>
  <c r="C6845" i="2"/>
  <c r="B6845" i="2"/>
  <c r="A6845" i="2"/>
  <c r="D6844" i="2"/>
  <c r="C6844" i="2"/>
  <c r="B6844" i="2"/>
  <c r="A6844" i="2"/>
  <c r="D6843" i="2"/>
  <c r="C6843" i="2"/>
  <c r="B6843" i="2"/>
  <c r="A6843" i="2"/>
  <c r="D6842" i="2"/>
  <c r="C6842" i="2"/>
  <c r="B6842" i="2"/>
  <c r="A6842" i="2"/>
  <c r="D6841" i="2"/>
  <c r="C6841" i="2"/>
  <c r="B6841" i="2"/>
  <c r="A6841" i="2"/>
  <c r="D6840" i="2"/>
  <c r="C6840" i="2"/>
  <c r="B6840" i="2"/>
  <c r="A6840" i="2"/>
  <c r="D6839" i="2"/>
  <c r="C6839" i="2"/>
  <c r="B6839" i="2"/>
  <c r="A6839" i="2"/>
  <c r="D6838" i="2"/>
  <c r="C6838" i="2"/>
  <c r="B6838" i="2"/>
  <c r="A6838" i="2"/>
  <c r="D6837" i="2"/>
  <c r="C6837" i="2"/>
  <c r="B6837" i="2"/>
  <c r="A6837" i="2"/>
  <c r="D6836" i="2"/>
  <c r="C6836" i="2"/>
  <c r="B6836" i="2"/>
  <c r="A6836" i="2"/>
  <c r="D6835" i="2"/>
  <c r="C6835" i="2"/>
  <c r="B6835" i="2"/>
  <c r="A6835" i="2"/>
  <c r="D6834" i="2"/>
  <c r="C6834" i="2"/>
  <c r="B6834" i="2"/>
  <c r="A6834" i="2"/>
  <c r="D6833" i="2"/>
  <c r="C6833" i="2"/>
  <c r="B6833" i="2"/>
  <c r="A6833" i="2"/>
  <c r="D6832" i="2"/>
  <c r="C6832" i="2"/>
  <c r="B6832" i="2"/>
  <c r="A6832" i="2"/>
  <c r="D6831" i="2"/>
  <c r="C6831" i="2"/>
  <c r="B6831" i="2"/>
  <c r="A6831" i="2"/>
  <c r="D6830" i="2"/>
  <c r="C6830" i="2"/>
  <c r="B6830" i="2"/>
  <c r="A6830" i="2"/>
  <c r="D6829" i="2"/>
  <c r="C6829" i="2"/>
  <c r="B6829" i="2"/>
  <c r="A6829" i="2"/>
  <c r="D6828" i="2"/>
  <c r="C6828" i="2"/>
  <c r="B6828" i="2"/>
  <c r="A6828" i="2"/>
  <c r="D6827" i="2"/>
  <c r="C6827" i="2"/>
  <c r="B6827" i="2"/>
  <c r="A6827" i="2"/>
  <c r="D6826" i="2"/>
  <c r="C6826" i="2"/>
  <c r="B6826" i="2"/>
  <c r="A6826" i="2"/>
  <c r="D6825" i="2"/>
  <c r="C6825" i="2"/>
  <c r="B6825" i="2"/>
  <c r="A6825" i="2"/>
  <c r="D6824" i="2"/>
  <c r="C6824" i="2"/>
  <c r="B6824" i="2"/>
  <c r="A6824" i="2"/>
  <c r="D6823" i="2"/>
  <c r="C6823" i="2"/>
  <c r="B6823" i="2"/>
  <c r="A6823" i="2"/>
  <c r="D6822" i="2"/>
  <c r="C6822" i="2"/>
  <c r="B6822" i="2"/>
  <c r="A6822" i="2"/>
  <c r="D6821" i="2"/>
  <c r="C6821" i="2"/>
  <c r="B6821" i="2"/>
  <c r="A6821" i="2"/>
  <c r="D6820" i="2"/>
  <c r="C6820" i="2"/>
  <c r="B6820" i="2"/>
  <c r="A6820" i="2"/>
  <c r="D6819" i="2"/>
  <c r="C6819" i="2"/>
  <c r="B6819" i="2"/>
  <c r="A6819" i="2"/>
  <c r="D6818" i="2"/>
  <c r="C6818" i="2"/>
  <c r="B6818" i="2"/>
  <c r="A6818" i="2"/>
  <c r="D6817" i="2"/>
  <c r="C6817" i="2"/>
  <c r="B6817" i="2"/>
  <c r="A6817" i="2"/>
  <c r="D6816" i="2"/>
  <c r="C6816" i="2"/>
  <c r="B6816" i="2"/>
  <c r="A6816" i="2"/>
  <c r="D6815" i="2"/>
  <c r="C6815" i="2"/>
  <c r="B6815" i="2"/>
  <c r="A6815" i="2"/>
  <c r="D6814" i="2"/>
  <c r="C6814" i="2"/>
  <c r="B6814" i="2"/>
  <c r="A6814" i="2"/>
  <c r="D6813" i="2"/>
  <c r="C6813" i="2"/>
  <c r="B6813" i="2"/>
  <c r="A6813" i="2"/>
  <c r="D6812" i="2"/>
  <c r="C6812" i="2"/>
  <c r="B6812" i="2"/>
  <c r="A6812" i="2"/>
  <c r="D6811" i="2"/>
  <c r="C6811" i="2"/>
  <c r="B6811" i="2"/>
  <c r="A6811" i="2"/>
  <c r="D6810" i="2"/>
  <c r="C6810" i="2"/>
  <c r="B6810" i="2"/>
  <c r="A6810" i="2"/>
  <c r="D6809" i="2"/>
  <c r="C6809" i="2"/>
  <c r="B6809" i="2"/>
  <c r="A6809" i="2"/>
  <c r="D6808" i="2"/>
  <c r="C6808" i="2"/>
  <c r="B6808" i="2"/>
  <c r="A6808" i="2"/>
  <c r="D6807" i="2"/>
  <c r="C6807" i="2"/>
  <c r="B6807" i="2"/>
  <c r="A6807" i="2"/>
  <c r="D6806" i="2"/>
  <c r="C6806" i="2"/>
  <c r="B6806" i="2"/>
  <c r="A6806" i="2"/>
  <c r="D6805" i="2"/>
  <c r="C6805" i="2"/>
  <c r="B6805" i="2"/>
  <c r="A6805" i="2"/>
  <c r="D6804" i="2"/>
  <c r="C6804" i="2"/>
  <c r="B6804" i="2"/>
  <c r="A6804" i="2"/>
  <c r="D6803" i="2"/>
  <c r="C6803" i="2"/>
  <c r="B6803" i="2"/>
  <c r="A6803" i="2"/>
  <c r="D6802" i="2"/>
  <c r="C6802" i="2"/>
  <c r="B6802" i="2"/>
  <c r="A6802" i="2"/>
  <c r="D6801" i="2"/>
  <c r="C6801" i="2"/>
  <c r="B6801" i="2"/>
  <c r="A6801" i="2"/>
  <c r="D6800" i="2"/>
  <c r="C6800" i="2"/>
  <c r="B6800" i="2"/>
  <c r="A6800" i="2"/>
  <c r="D6799" i="2"/>
  <c r="C6799" i="2"/>
  <c r="B6799" i="2"/>
  <c r="A6799" i="2"/>
  <c r="D6798" i="2"/>
  <c r="C6798" i="2"/>
  <c r="B6798" i="2"/>
  <c r="A6798" i="2"/>
  <c r="D6797" i="2"/>
  <c r="C6797" i="2"/>
  <c r="B6797" i="2"/>
  <c r="A6797" i="2"/>
  <c r="D6796" i="2"/>
  <c r="C6796" i="2"/>
  <c r="B6796" i="2"/>
  <c r="A6796" i="2"/>
  <c r="D6795" i="2"/>
  <c r="C6795" i="2"/>
  <c r="B6795" i="2"/>
  <c r="A6795" i="2"/>
  <c r="D6794" i="2"/>
  <c r="C6794" i="2"/>
  <c r="B6794" i="2"/>
  <c r="A6794" i="2"/>
  <c r="D6793" i="2"/>
  <c r="C6793" i="2"/>
  <c r="B6793" i="2"/>
  <c r="A6793" i="2"/>
  <c r="D6792" i="2"/>
  <c r="C6792" i="2"/>
  <c r="B6792" i="2"/>
  <c r="A6792" i="2"/>
  <c r="D6791" i="2"/>
  <c r="C6791" i="2"/>
  <c r="B6791" i="2"/>
  <c r="A6791" i="2"/>
  <c r="D6790" i="2"/>
  <c r="C6790" i="2"/>
  <c r="B6790" i="2"/>
  <c r="A6790" i="2"/>
  <c r="D6789" i="2"/>
  <c r="C6789" i="2"/>
  <c r="B6789" i="2"/>
  <c r="A6789" i="2"/>
  <c r="D6788" i="2"/>
  <c r="C6788" i="2"/>
  <c r="B6788" i="2"/>
  <c r="A6788" i="2"/>
  <c r="D6787" i="2"/>
  <c r="C6787" i="2"/>
  <c r="B6787" i="2"/>
  <c r="A6787" i="2"/>
  <c r="D6786" i="2"/>
  <c r="C6786" i="2"/>
  <c r="B6786" i="2"/>
  <c r="A6786" i="2"/>
  <c r="D6785" i="2"/>
  <c r="C6785" i="2"/>
  <c r="B6785" i="2"/>
  <c r="A6785" i="2"/>
  <c r="D6784" i="2"/>
  <c r="C6784" i="2"/>
  <c r="B6784" i="2"/>
  <c r="A6784" i="2"/>
  <c r="D6783" i="2"/>
  <c r="C6783" i="2"/>
  <c r="B6783" i="2"/>
  <c r="A6783" i="2"/>
  <c r="D6782" i="2"/>
  <c r="C6782" i="2"/>
  <c r="B6782" i="2"/>
  <c r="A6782" i="2"/>
  <c r="D6781" i="2"/>
  <c r="C6781" i="2"/>
  <c r="B6781" i="2"/>
  <c r="A6781" i="2"/>
  <c r="D6780" i="2"/>
  <c r="C6780" i="2"/>
  <c r="B6780" i="2"/>
  <c r="A6780" i="2"/>
  <c r="D6779" i="2"/>
  <c r="C6779" i="2"/>
  <c r="B6779" i="2"/>
  <c r="A6779" i="2"/>
  <c r="D6778" i="2"/>
  <c r="C6778" i="2"/>
  <c r="B6778" i="2"/>
  <c r="A6778" i="2"/>
  <c r="D6777" i="2"/>
  <c r="C6777" i="2"/>
  <c r="B6777" i="2"/>
  <c r="A6777" i="2"/>
  <c r="D6776" i="2"/>
  <c r="C6776" i="2"/>
  <c r="B6776" i="2"/>
  <c r="A6776" i="2"/>
  <c r="D6775" i="2"/>
  <c r="C6775" i="2"/>
  <c r="B6775" i="2"/>
  <c r="A6775" i="2"/>
  <c r="D6774" i="2"/>
  <c r="C6774" i="2"/>
  <c r="B6774" i="2"/>
  <c r="A6774" i="2"/>
  <c r="D6773" i="2"/>
  <c r="C6773" i="2"/>
  <c r="B6773" i="2"/>
  <c r="A6773" i="2"/>
  <c r="D6772" i="2"/>
  <c r="C6772" i="2"/>
  <c r="B6772" i="2"/>
  <c r="A6772" i="2"/>
  <c r="D6771" i="2"/>
  <c r="C6771" i="2"/>
  <c r="B6771" i="2"/>
  <c r="A6771" i="2"/>
  <c r="D6770" i="2"/>
  <c r="C6770" i="2"/>
  <c r="B6770" i="2"/>
  <c r="A6770" i="2"/>
  <c r="D6769" i="2"/>
  <c r="B6769" i="2"/>
  <c r="A6769" i="2"/>
  <c r="D6768" i="2"/>
  <c r="C6768" i="2"/>
  <c r="B6768" i="2"/>
  <c r="A6768" i="2"/>
  <c r="D6767" i="2"/>
  <c r="C6767" i="2"/>
  <c r="B6767" i="2"/>
  <c r="A6767" i="2"/>
  <c r="D6766" i="2"/>
  <c r="B6766" i="2"/>
  <c r="A6766" i="2"/>
  <c r="D6765" i="2"/>
  <c r="B6765" i="2"/>
  <c r="A6765" i="2"/>
  <c r="D6764" i="2"/>
  <c r="B6764" i="2"/>
  <c r="A6764" i="2"/>
  <c r="D6763" i="2"/>
  <c r="C6763" i="2"/>
  <c r="B6763" i="2"/>
  <c r="A6763" i="2"/>
  <c r="D6762" i="2"/>
  <c r="C6762" i="2"/>
  <c r="B6762" i="2"/>
  <c r="A6762" i="2"/>
  <c r="D6761" i="2"/>
  <c r="C6761" i="2"/>
  <c r="B6761" i="2"/>
  <c r="A6761" i="2"/>
  <c r="D6760" i="2"/>
  <c r="C6760" i="2"/>
  <c r="B6760" i="2"/>
  <c r="A6760" i="2"/>
  <c r="D6759" i="2"/>
  <c r="C6759" i="2"/>
  <c r="B6759" i="2"/>
  <c r="A6759" i="2"/>
  <c r="D6758" i="2"/>
  <c r="C6758" i="2"/>
  <c r="B6758" i="2"/>
  <c r="A6758" i="2"/>
  <c r="D6757" i="2"/>
  <c r="C6757" i="2"/>
  <c r="B6757" i="2"/>
  <c r="A6757" i="2"/>
  <c r="D6756" i="2"/>
  <c r="C6756" i="2"/>
  <c r="B6756" i="2"/>
  <c r="A6756" i="2"/>
  <c r="D6755" i="2"/>
  <c r="C6755" i="2"/>
  <c r="B6755" i="2"/>
  <c r="A6755" i="2"/>
  <c r="D6754" i="2"/>
  <c r="C6754" i="2"/>
  <c r="B6754" i="2"/>
  <c r="A6754" i="2"/>
  <c r="D6753" i="2"/>
  <c r="C6753" i="2"/>
  <c r="B6753" i="2"/>
  <c r="A6753" i="2"/>
  <c r="D6752" i="2"/>
  <c r="B6752" i="2"/>
  <c r="A6752" i="2"/>
  <c r="D6751" i="2"/>
  <c r="C6751" i="2"/>
  <c r="B6751" i="2"/>
  <c r="A6751" i="2"/>
  <c r="D6750" i="2"/>
  <c r="C6750" i="2"/>
  <c r="B6750" i="2"/>
  <c r="A6750" i="2"/>
  <c r="D6749" i="2"/>
  <c r="C6749" i="2"/>
  <c r="B6749" i="2"/>
  <c r="A6749" i="2"/>
  <c r="D6748" i="2"/>
  <c r="C6748" i="2"/>
  <c r="B6748" i="2"/>
  <c r="A6748" i="2"/>
  <c r="D6747" i="2"/>
  <c r="C6747" i="2"/>
  <c r="B6747" i="2"/>
  <c r="A6747" i="2"/>
  <c r="D6746" i="2"/>
  <c r="C6746" i="2"/>
  <c r="B6746" i="2"/>
  <c r="A6746" i="2"/>
  <c r="D6745" i="2"/>
  <c r="C6745" i="2"/>
  <c r="B6745" i="2"/>
  <c r="A6745" i="2"/>
  <c r="D6744" i="2"/>
  <c r="C6744" i="2"/>
  <c r="B6744" i="2"/>
  <c r="A6744" i="2"/>
  <c r="D6743" i="2"/>
  <c r="C6743" i="2"/>
  <c r="B6743" i="2"/>
  <c r="A6743" i="2"/>
  <c r="D6742" i="2"/>
  <c r="C6742" i="2"/>
  <c r="B6742" i="2"/>
  <c r="A6742" i="2"/>
  <c r="D6741" i="2"/>
  <c r="C6741" i="2"/>
  <c r="B6741" i="2"/>
  <c r="A6741" i="2"/>
  <c r="D6740" i="2"/>
  <c r="C6740" i="2"/>
  <c r="B6740" i="2"/>
  <c r="A6740" i="2"/>
  <c r="D6739" i="2"/>
  <c r="C6739" i="2"/>
  <c r="B6739" i="2"/>
  <c r="A6739" i="2"/>
  <c r="D6738" i="2"/>
  <c r="C6738" i="2"/>
  <c r="B6738" i="2"/>
  <c r="A6738" i="2"/>
  <c r="D6737" i="2"/>
  <c r="C6737" i="2"/>
  <c r="B6737" i="2"/>
  <c r="A6737" i="2"/>
  <c r="D6736" i="2"/>
  <c r="C6736" i="2"/>
  <c r="B6736" i="2"/>
  <c r="A6736" i="2"/>
  <c r="D6735" i="2"/>
  <c r="C6735" i="2"/>
  <c r="B6735" i="2"/>
  <c r="A6735" i="2"/>
  <c r="D6734" i="2"/>
  <c r="C6734" i="2"/>
  <c r="B6734" i="2"/>
  <c r="A6734" i="2"/>
  <c r="D6733" i="2"/>
  <c r="C6733" i="2"/>
  <c r="B6733" i="2"/>
  <c r="A6733" i="2"/>
  <c r="D6732" i="2"/>
  <c r="C6732" i="2"/>
  <c r="B6732" i="2"/>
  <c r="A6732" i="2"/>
  <c r="D6731" i="2"/>
  <c r="C6731" i="2"/>
  <c r="B6731" i="2"/>
  <c r="A6731" i="2"/>
  <c r="D6730" i="2"/>
  <c r="C6730" i="2"/>
  <c r="B6730" i="2"/>
  <c r="A6730" i="2"/>
  <c r="D6729" i="2"/>
  <c r="C6729" i="2"/>
  <c r="B6729" i="2"/>
  <c r="A6729" i="2"/>
  <c r="D6728" i="2"/>
  <c r="C6728" i="2"/>
  <c r="B6728" i="2"/>
  <c r="A6728" i="2"/>
  <c r="D6727" i="2"/>
  <c r="C6727" i="2"/>
  <c r="B6727" i="2"/>
  <c r="A6727" i="2"/>
  <c r="D6726" i="2"/>
  <c r="C6726" i="2"/>
  <c r="B6726" i="2"/>
  <c r="A6726" i="2"/>
  <c r="D6725" i="2"/>
  <c r="C6725" i="2"/>
  <c r="B6725" i="2"/>
  <c r="A6725" i="2"/>
  <c r="D6724" i="2"/>
  <c r="C6724" i="2"/>
  <c r="B6724" i="2"/>
  <c r="A6724" i="2"/>
  <c r="D6723" i="2"/>
  <c r="C6723" i="2"/>
  <c r="B6723" i="2"/>
  <c r="A6723" i="2"/>
  <c r="D6722" i="2"/>
  <c r="C6722" i="2"/>
  <c r="B6722" i="2"/>
  <c r="A6722" i="2"/>
  <c r="D6721" i="2"/>
  <c r="C6721" i="2"/>
  <c r="B6721" i="2"/>
  <c r="A6721" i="2"/>
  <c r="D6720" i="2"/>
  <c r="C6720" i="2"/>
  <c r="B6720" i="2"/>
  <c r="A6720" i="2"/>
  <c r="D6719" i="2"/>
  <c r="C6719" i="2"/>
  <c r="B6719" i="2"/>
  <c r="A6719" i="2"/>
  <c r="D6718" i="2"/>
  <c r="C6718" i="2"/>
  <c r="B6718" i="2"/>
  <c r="A6718" i="2"/>
  <c r="D6717" i="2"/>
  <c r="C6717" i="2"/>
  <c r="B6717" i="2"/>
  <c r="A6717" i="2"/>
  <c r="D6716" i="2"/>
  <c r="C6716" i="2"/>
  <c r="B6716" i="2"/>
  <c r="A6716" i="2"/>
  <c r="D6715" i="2"/>
  <c r="C6715" i="2"/>
  <c r="B6715" i="2"/>
  <c r="A6715" i="2"/>
  <c r="D6714" i="2"/>
  <c r="C6714" i="2"/>
  <c r="B6714" i="2"/>
  <c r="A6714" i="2"/>
  <c r="D6713" i="2"/>
  <c r="C6713" i="2"/>
  <c r="B6713" i="2"/>
  <c r="A6713" i="2"/>
  <c r="D6712" i="2"/>
  <c r="C6712" i="2"/>
  <c r="B6712" i="2"/>
  <c r="A6712" i="2"/>
  <c r="D6711" i="2"/>
  <c r="C6711" i="2"/>
  <c r="B6711" i="2"/>
  <c r="A6711" i="2"/>
  <c r="D6710" i="2"/>
  <c r="C6710" i="2"/>
  <c r="B6710" i="2"/>
  <c r="A6710" i="2"/>
  <c r="D6709" i="2"/>
  <c r="C6709" i="2"/>
  <c r="B6709" i="2"/>
  <c r="A6709" i="2"/>
  <c r="D6708" i="2"/>
  <c r="C6708" i="2"/>
  <c r="B6708" i="2"/>
  <c r="A6708" i="2"/>
  <c r="D6707" i="2"/>
  <c r="C6707" i="2"/>
  <c r="B6707" i="2"/>
  <c r="A6707" i="2"/>
  <c r="D6706" i="2"/>
  <c r="C6706" i="2"/>
  <c r="B6706" i="2"/>
  <c r="A6706" i="2"/>
  <c r="D6705" i="2"/>
  <c r="C6705" i="2"/>
  <c r="B6705" i="2"/>
  <c r="A6705" i="2"/>
  <c r="D6704" i="2"/>
  <c r="C6704" i="2"/>
  <c r="B6704" i="2"/>
  <c r="A6704" i="2"/>
  <c r="D6703" i="2"/>
  <c r="C6703" i="2"/>
  <c r="B6703" i="2"/>
  <c r="A6703" i="2"/>
  <c r="D6702" i="2"/>
  <c r="C6702" i="2"/>
  <c r="B6702" i="2"/>
  <c r="A6702" i="2"/>
  <c r="D6701" i="2"/>
  <c r="C6701" i="2"/>
  <c r="B6701" i="2"/>
  <c r="A6701" i="2"/>
  <c r="D6700" i="2"/>
  <c r="C6700" i="2"/>
  <c r="B6700" i="2"/>
  <c r="A6700" i="2"/>
  <c r="D6699" i="2"/>
  <c r="C6699" i="2"/>
  <c r="B6699" i="2"/>
  <c r="A6699" i="2"/>
  <c r="D6698" i="2"/>
  <c r="C6698" i="2"/>
  <c r="B6698" i="2"/>
  <c r="A6698" i="2"/>
  <c r="D6697" i="2"/>
  <c r="C6697" i="2"/>
  <c r="B6697" i="2"/>
  <c r="A6697" i="2"/>
  <c r="D6696" i="2"/>
  <c r="C6696" i="2"/>
  <c r="B6696" i="2"/>
  <c r="A6696" i="2"/>
  <c r="D6695" i="2"/>
  <c r="C6695" i="2"/>
  <c r="B6695" i="2"/>
  <c r="A6695" i="2"/>
  <c r="D6694" i="2"/>
  <c r="C6694" i="2"/>
  <c r="B6694" i="2"/>
  <c r="A6694" i="2"/>
  <c r="D6693" i="2"/>
  <c r="C6693" i="2"/>
  <c r="B6693" i="2"/>
  <c r="A6693" i="2"/>
  <c r="D6692" i="2"/>
  <c r="C6692" i="2"/>
  <c r="B6692" i="2"/>
  <c r="A6692" i="2"/>
  <c r="D6691" i="2"/>
  <c r="C6691" i="2"/>
  <c r="B6691" i="2"/>
  <c r="A6691" i="2"/>
  <c r="D6690" i="2"/>
  <c r="C6690" i="2"/>
  <c r="B6690" i="2"/>
  <c r="A6690" i="2"/>
  <c r="D6689" i="2"/>
  <c r="C6689" i="2"/>
  <c r="B6689" i="2"/>
  <c r="A6689" i="2"/>
  <c r="D6688" i="2"/>
  <c r="C6688" i="2"/>
  <c r="B6688" i="2"/>
  <c r="A6688" i="2"/>
  <c r="D6687" i="2"/>
  <c r="C6687" i="2"/>
  <c r="B6687" i="2"/>
  <c r="A6687" i="2"/>
  <c r="D6686" i="2"/>
  <c r="C6686" i="2"/>
  <c r="B6686" i="2"/>
  <c r="A6686" i="2"/>
  <c r="D6685" i="2"/>
  <c r="C6685" i="2"/>
  <c r="B6685" i="2"/>
  <c r="A6685" i="2"/>
  <c r="D6684" i="2"/>
  <c r="C6684" i="2"/>
  <c r="B6684" i="2"/>
  <c r="A6684" i="2"/>
  <c r="D6683" i="2"/>
  <c r="C6683" i="2"/>
  <c r="B6683" i="2"/>
  <c r="A6683" i="2"/>
  <c r="D6682" i="2"/>
  <c r="C6682" i="2"/>
  <c r="B6682" i="2"/>
  <c r="A6682" i="2"/>
  <c r="D6681" i="2"/>
  <c r="C6681" i="2"/>
  <c r="B6681" i="2"/>
  <c r="A6681" i="2"/>
  <c r="D6680" i="2"/>
  <c r="C6680" i="2"/>
  <c r="B6680" i="2"/>
  <c r="A6680" i="2"/>
  <c r="D6679" i="2"/>
  <c r="C6679" i="2"/>
  <c r="B6679" i="2"/>
  <c r="A6679" i="2"/>
  <c r="D6678" i="2"/>
  <c r="C6678" i="2"/>
  <c r="B6678" i="2"/>
  <c r="A6678" i="2"/>
  <c r="D6677" i="2"/>
  <c r="C6677" i="2"/>
  <c r="B6677" i="2"/>
  <c r="A6677" i="2"/>
  <c r="D6676" i="2"/>
  <c r="C6676" i="2"/>
  <c r="B6676" i="2"/>
  <c r="A6676" i="2"/>
  <c r="D6675" i="2"/>
  <c r="C6675" i="2"/>
  <c r="B6675" i="2"/>
  <c r="A6675" i="2"/>
  <c r="D6674" i="2"/>
  <c r="C6674" i="2"/>
  <c r="B6674" i="2"/>
  <c r="A6674" i="2"/>
  <c r="D6673" i="2"/>
  <c r="C6673" i="2"/>
  <c r="B6673" i="2"/>
  <c r="A6673" i="2"/>
  <c r="D6672" i="2"/>
  <c r="C6672" i="2"/>
  <c r="B6672" i="2"/>
  <c r="A6672" i="2"/>
  <c r="D6671" i="2"/>
  <c r="C6671" i="2"/>
  <c r="B6671" i="2"/>
  <c r="A6671" i="2"/>
  <c r="D6670" i="2"/>
  <c r="C6670" i="2"/>
  <c r="B6670" i="2"/>
  <c r="A6670" i="2"/>
  <c r="D6669" i="2"/>
  <c r="C6669" i="2"/>
  <c r="B6669" i="2"/>
  <c r="A6669" i="2"/>
  <c r="D6668" i="2"/>
  <c r="C6668" i="2"/>
  <c r="B6668" i="2"/>
  <c r="A6668" i="2"/>
  <c r="D6667" i="2"/>
  <c r="C6667" i="2"/>
  <c r="B6667" i="2"/>
  <c r="A6667" i="2"/>
  <c r="D6666" i="2"/>
  <c r="C6666" i="2"/>
  <c r="B6666" i="2"/>
  <c r="A6666" i="2"/>
  <c r="D6665" i="2"/>
  <c r="C6665" i="2"/>
  <c r="B6665" i="2"/>
  <c r="A6665" i="2"/>
  <c r="D6664" i="2"/>
  <c r="C6664" i="2"/>
  <c r="B6664" i="2"/>
  <c r="A6664" i="2"/>
  <c r="D6663" i="2"/>
  <c r="C6663" i="2"/>
  <c r="B6663" i="2"/>
  <c r="A6663" i="2"/>
  <c r="D6662" i="2"/>
  <c r="C6662" i="2"/>
  <c r="B6662" i="2"/>
  <c r="A6662" i="2"/>
  <c r="D6661" i="2"/>
  <c r="C6661" i="2"/>
  <c r="B6661" i="2"/>
  <c r="A6661" i="2"/>
  <c r="D6660" i="2"/>
  <c r="C6660" i="2"/>
  <c r="B6660" i="2"/>
  <c r="A6660" i="2"/>
  <c r="D6659" i="2"/>
  <c r="C6659" i="2"/>
  <c r="B6659" i="2"/>
  <c r="A6659" i="2"/>
  <c r="D6658" i="2"/>
  <c r="C6658" i="2"/>
  <c r="B6658" i="2"/>
  <c r="A6658" i="2"/>
  <c r="D6657" i="2"/>
  <c r="C6657" i="2"/>
  <c r="B6657" i="2"/>
  <c r="A6657" i="2"/>
  <c r="D6656" i="2"/>
  <c r="C6656" i="2"/>
  <c r="B6656" i="2"/>
  <c r="A6656" i="2"/>
  <c r="D6655" i="2"/>
  <c r="C6655" i="2"/>
  <c r="B6655" i="2"/>
  <c r="A6655" i="2"/>
  <c r="D6654" i="2"/>
  <c r="C6654" i="2"/>
  <c r="B6654" i="2"/>
  <c r="A6654" i="2"/>
  <c r="D6653" i="2"/>
  <c r="B6653" i="2"/>
  <c r="A6653" i="2"/>
  <c r="D6652" i="2"/>
  <c r="C6652" i="2"/>
  <c r="B6652" i="2"/>
  <c r="A6652" i="2"/>
  <c r="D6651" i="2"/>
  <c r="C6651" i="2"/>
  <c r="B6651" i="2"/>
  <c r="A6651" i="2"/>
  <c r="D6650" i="2"/>
  <c r="C6650" i="2"/>
  <c r="B6650" i="2"/>
  <c r="A6650" i="2"/>
  <c r="D6649" i="2"/>
  <c r="B6649" i="2"/>
  <c r="A6649" i="2"/>
  <c r="D6648" i="2"/>
  <c r="C6648" i="2"/>
  <c r="B6648" i="2"/>
  <c r="A6648" i="2"/>
  <c r="D6647" i="2"/>
  <c r="C6647" i="2"/>
  <c r="B6647" i="2"/>
  <c r="A6647" i="2"/>
  <c r="D6646" i="2"/>
  <c r="C6646" i="2"/>
  <c r="B6646" i="2"/>
  <c r="A6646" i="2"/>
  <c r="D6645" i="2"/>
  <c r="B6645" i="2"/>
  <c r="A6645" i="2"/>
  <c r="D6644" i="2"/>
  <c r="B6644" i="2"/>
  <c r="A6644" i="2"/>
  <c r="D6643" i="2"/>
  <c r="C6643" i="2"/>
  <c r="B6643" i="2"/>
  <c r="A6643" i="2"/>
  <c r="D6642" i="2"/>
  <c r="C6642" i="2"/>
  <c r="B6642" i="2"/>
  <c r="A6642" i="2"/>
  <c r="D6641" i="2"/>
  <c r="C6641" i="2"/>
  <c r="B6641" i="2"/>
  <c r="A6641" i="2"/>
  <c r="D6640" i="2"/>
  <c r="B6640" i="2"/>
  <c r="A6640" i="2"/>
  <c r="D6639" i="2"/>
  <c r="B6639" i="2"/>
  <c r="A6639" i="2"/>
  <c r="D6638" i="2"/>
  <c r="B6638" i="2"/>
  <c r="A6638" i="2"/>
  <c r="D6637" i="2"/>
  <c r="B6637" i="2"/>
  <c r="A6637" i="2"/>
  <c r="D6636" i="2"/>
  <c r="C6636" i="2"/>
  <c r="B6636" i="2"/>
  <c r="A6636" i="2"/>
  <c r="D6635" i="2"/>
  <c r="B6635" i="2"/>
  <c r="A6635" i="2"/>
  <c r="D6634" i="2"/>
  <c r="B6634" i="2"/>
  <c r="A6634" i="2"/>
  <c r="D6633" i="2"/>
  <c r="B6633" i="2"/>
  <c r="A6633" i="2"/>
  <c r="D6632" i="2"/>
  <c r="C6632" i="2"/>
  <c r="B6632" i="2"/>
  <c r="A6632" i="2"/>
  <c r="D6631" i="2"/>
  <c r="C6631" i="2"/>
  <c r="B6631" i="2"/>
  <c r="A6631" i="2"/>
  <c r="D6630" i="2"/>
  <c r="B6630" i="2"/>
  <c r="A6630" i="2"/>
  <c r="D6629" i="2"/>
  <c r="C6629" i="2"/>
  <c r="B6629" i="2"/>
  <c r="A6629" i="2"/>
  <c r="D6628" i="2"/>
  <c r="C6628" i="2"/>
  <c r="B6628" i="2"/>
  <c r="A6628" i="2"/>
  <c r="D6627" i="2"/>
  <c r="B6627" i="2"/>
  <c r="A6627" i="2"/>
  <c r="D6626" i="2"/>
  <c r="C6626" i="2"/>
  <c r="B6626" i="2"/>
  <c r="A6626" i="2"/>
  <c r="D6625" i="2"/>
  <c r="B6625" i="2"/>
  <c r="A6625" i="2"/>
  <c r="D6624" i="2"/>
  <c r="C6624" i="2"/>
  <c r="B6624" i="2"/>
  <c r="A6624" i="2"/>
  <c r="D6623" i="2"/>
  <c r="C6623" i="2"/>
  <c r="B6623" i="2"/>
  <c r="A6623" i="2"/>
  <c r="D6622" i="2"/>
  <c r="C6622" i="2"/>
  <c r="B6622" i="2"/>
  <c r="A6622" i="2"/>
  <c r="D6621" i="2"/>
  <c r="C6621" i="2"/>
  <c r="B6621" i="2"/>
  <c r="A6621" i="2"/>
  <c r="D6620" i="2"/>
  <c r="B6620" i="2"/>
  <c r="A6620" i="2"/>
  <c r="D6619" i="2"/>
  <c r="C6619" i="2"/>
  <c r="B6619" i="2"/>
  <c r="A6619" i="2"/>
  <c r="D6618" i="2"/>
  <c r="C6618" i="2"/>
  <c r="B6618" i="2"/>
  <c r="A6618" i="2"/>
  <c r="D6617" i="2"/>
  <c r="C6617" i="2"/>
  <c r="B6617" i="2"/>
  <c r="A6617" i="2"/>
  <c r="D6616" i="2"/>
  <c r="B6616" i="2"/>
  <c r="A6616" i="2"/>
  <c r="D6615" i="2"/>
  <c r="C6615" i="2"/>
  <c r="B6615" i="2"/>
  <c r="A6615" i="2"/>
  <c r="D6614" i="2"/>
  <c r="B6614" i="2"/>
  <c r="A6614" i="2"/>
  <c r="D6613" i="2"/>
  <c r="B6613" i="2"/>
  <c r="A6613" i="2"/>
  <c r="D6612" i="2"/>
  <c r="C6612" i="2"/>
  <c r="B6612" i="2"/>
  <c r="A6612" i="2"/>
  <c r="D6611" i="2"/>
  <c r="B6611" i="2"/>
  <c r="A6611" i="2"/>
  <c r="D6610" i="2"/>
  <c r="C6610" i="2"/>
  <c r="B6610" i="2"/>
  <c r="A6610" i="2"/>
  <c r="D6609" i="2"/>
  <c r="C6609" i="2"/>
  <c r="B6609" i="2"/>
  <c r="A6609" i="2"/>
  <c r="D6608" i="2"/>
  <c r="B6608" i="2"/>
  <c r="A6608" i="2"/>
  <c r="D6607" i="2"/>
  <c r="C6607" i="2"/>
  <c r="B6607" i="2"/>
  <c r="A6607" i="2"/>
  <c r="D6606" i="2"/>
  <c r="C6606" i="2"/>
  <c r="B6606" i="2"/>
  <c r="A6606" i="2"/>
  <c r="D6605" i="2"/>
  <c r="C6605" i="2"/>
  <c r="B6605" i="2"/>
  <c r="A6605" i="2"/>
  <c r="D6604" i="2"/>
  <c r="C6604" i="2"/>
  <c r="B6604" i="2"/>
  <c r="A6604" i="2"/>
  <c r="D6603" i="2"/>
  <c r="C6603" i="2"/>
  <c r="B6603" i="2"/>
  <c r="A6603" i="2"/>
  <c r="D6602" i="2"/>
  <c r="B6602" i="2"/>
  <c r="A6602" i="2"/>
  <c r="D6601" i="2"/>
  <c r="C6601" i="2"/>
  <c r="B6601" i="2"/>
  <c r="A6601" i="2"/>
  <c r="D6600" i="2"/>
  <c r="C6600" i="2"/>
  <c r="B6600" i="2"/>
  <c r="A6600" i="2"/>
  <c r="D6599" i="2"/>
  <c r="C6599" i="2"/>
  <c r="B6599" i="2"/>
  <c r="A6599" i="2"/>
  <c r="D6598" i="2"/>
  <c r="C6598" i="2"/>
  <c r="B6598" i="2"/>
  <c r="A6598" i="2"/>
  <c r="D6597" i="2"/>
  <c r="C6597" i="2"/>
  <c r="B6597" i="2"/>
  <c r="A6597" i="2"/>
  <c r="D6596" i="2"/>
  <c r="C6596" i="2"/>
  <c r="B6596" i="2"/>
  <c r="A6596" i="2"/>
  <c r="D6595" i="2"/>
  <c r="C6595" i="2"/>
  <c r="B6595" i="2"/>
  <c r="A6595" i="2"/>
  <c r="D6594" i="2"/>
  <c r="C6594" i="2"/>
  <c r="B6594" i="2"/>
  <c r="A6594" i="2"/>
  <c r="D6593" i="2"/>
  <c r="C6593" i="2"/>
  <c r="B6593" i="2"/>
  <c r="A6593" i="2"/>
  <c r="D6592" i="2"/>
  <c r="C6592" i="2"/>
  <c r="B6592" i="2"/>
  <c r="A6592" i="2"/>
  <c r="D6591" i="2"/>
  <c r="C6591" i="2"/>
  <c r="B6591" i="2"/>
  <c r="A6591" i="2"/>
  <c r="D6590" i="2"/>
  <c r="C6590" i="2"/>
  <c r="B6590" i="2"/>
  <c r="A6590" i="2"/>
  <c r="D6589" i="2"/>
  <c r="C6589" i="2"/>
  <c r="B6589" i="2"/>
  <c r="A6589" i="2"/>
  <c r="D6588" i="2"/>
  <c r="C6588" i="2"/>
  <c r="B6588" i="2"/>
  <c r="A6588" i="2"/>
  <c r="D6587" i="2"/>
  <c r="C6587" i="2"/>
  <c r="B6587" i="2"/>
  <c r="A6587" i="2"/>
  <c r="D6586" i="2"/>
  <c r="C6586" i="2"/>
  <c r="B6586" i="2"/>
  <c r="A6586" i="2"/>
  <c r="D6585" i="2"/>
  <c r="C6585" i="2"/>
  <c r="B6585" i="2"/>
  <c r="A6585" i="2"/>
  <c r="D6584" i="2"/>
  <c r="C6584" i="2"/>
  <c r="B6584" i="2"/>
  <c r="A6584" i="2"/>
  <c r="D6583" i="2"/>
  <c r="C6583" i="2"/>
  <c r="B6583" i="2"/>
  <c r="A6583" i="2"/>
  <c r="D6582" i="2"/>
  <c r="C6582" i="2"/>
  <c r="B6582" i="2"/>
  <c r="A6582" i="2"/>
  <c r="D6581" i="2"/>
  <c r="C6581" i="2"/>
  <c r="B6581" i="2"/>
  <c r="A6581" i="2"/>
  <c r="D6580" i="2"/>
  <c r="C6580" i="2"/>
  <c r="B6580" i="2"/>
  <c r="A6580" i="2"/>
  <c r="D6579" i="2"/>
  <c r="C6579" i="2"/>
  <c r="B6579" i="2"/>
  <c r="A6579" i="2"/>
  <c r="D6578" i="2"/>
  <c r="C6578" i="2"/>
  <c r="B6578" i="2"/>
  <c r="A6578" i="2"/>
  <c r="D6577" i="2"/>
  <c r="C6577" i="2"/>
  <c r="B6577" i="2"/>
  <c r="A6577" i="2"/>
  <c r="D6576" i="2"/>
  <c r="C6576" i="2"/>
  <c r="B6576" i="2"/>
  <c r="A6576" i="2"/>
  <c r="D6575" i="2"/>
  <c r="C6575" i="2"/>
  <c r="B6575" i="2"/>
  <c r="A6575" i="2"/>
  <c r="D6574" i="2"/>
  <c r="B6574" i="2"/>
  <c r="A6574" i="2"/>
  <c r="D6573" i="2"/>
  <c r="C6573" i="2"/>
  <c r="B6573" i="2"/>
  <c r="A6573" i="2"/>
  <c r="D6572" i="2"/>
  <c r="C6572" i="2"/>
  <c r="B6572" i="2"/>
  <c r="A6572" i="2"/>
  <c r="D6571" i="2"/>
  <c r="C6571" i="2"/>
  <c r="B6571" i="2"/>
  <c r="A6571" i="2"/>
  <c r="D6570" i="2"/>
  <c r="C6570" i="2"/>
  <c r="B6570" i="2"/>
  <c r="A6570" i="2"/>
  <c r="D6569" i="2"/>
  <c r="C6569" i="2"/>
  <c r="B6569" i="2"/>
  <c r="A6569" i="2"/>
  <c r="D6568" i="2"/>
  <c r="C6568" i="2"/>
  <c r="B6568" i="2"/>
  <c r="A6568" i="2"/>
  <c r="D6567" i="2"/>
  <c r="C6567" i="2"/>
  <c r="B6567" i="2"/>
  <c r="A6567" i="2"/>
  <c r="D6566" i="2"/>
  <c r="C6566" i="2"/>
  <c r="B6566" i="2"/>
  <c r="A6566" i="2"/>
  <c r="D6565" i="2"/>
  <c r="C6565" i="2"/>
  <c r="B6565" i="2"/>
  <c r="A6565" i="2"/>
  <c r="D6564" i="2"/>
  <c r="C6564" i="2"/>
  <c r="B6564" i="2"/>
  <c r="A6564" i="2"/>
  <c r="D6563" i="2"/>
  <c r="C6563" i="2"/>
  <c r="B6563" i="2"/>
  <c r="A6563" i="2"/>
  <c r="D6562" i="2"/>
  <c r="C6562" i="2"/>
  <c r="B6562" i="2"/>
  <c r="A6562" i="2"/>
  <c r="D6561" i="2"/>
  <c r="C6561" i="2"/>
  <c r="B6561" i="2"/>
  <c r="A6561" i="2"/>
  <c r="D6560" i="2"/>
  <c r="C6560" i="2"/>
  <c r="B6560" i="2"/>
  <c r="A6560" i="2"/>
  <c r="D6559" i="2"/>
  <c r="C6559" i="2"/>
  <c r="B6559" i="2"/>
  <c r="A6559" i="2"/>
  <c r="D6558" i="2"/>
  <c r="C6558" i="2"/>
  <c r="B6558" i="2"/>
  <c r="A6558" i="2"/>
  <c r="D6557" i="2"/>
  <c r="C6557" i="2"/>
  <c r="B6557" i="2"/>
  <c r="A6557" i="2"/>
  <c r="D6556" i="2"/>
  <c r="C6556" i="2"/>
  <c r="B6556" i="2"/>
  <c r="A6556" i="2"/>
  <c r="D6555" i="2"/>
  <c r="C6555" i="2"/>
  <c r="B6555" i="2"/>
  <c r="A6555" i="2"/>
  <c r="D6554" i="2"/>
  <c r="C6554" i="2"/>
  <c r="B6554" i="2"/>
  <c r="A6554" i="2"/>
  <c r="D6553" i="2"/>
  <c r="C6553" i="2"/>
  <c r="B6553" i="2"/>
  <c r="A6553" i="2"/>
  <c r="D6552" i="2"/>
  <c r="C6552" i="2"/>
  <c r="B6552" i="2"/>
  <c r="A6552" i="2"/>
  <c r="D6551" i="2"/>
  <c r="C6551" i="2"/>
  <c r="B6551" i="2"/>
  <c r="A6551" i="2"/>
  <c r="D6550" i="2"/>
  <c r="C6550" i="2"/>
  <c r="B6550" i="2"/>
  <c r="A6550" i="2"/>
  <c r="D6549" i="2"/>
  <c r="C6549" i="2"/>
  <c r="B6549" i="2"/>
  <c r="A6549" i="2"/>
  <c r="D6548" i="2"/>
  <c r="C6548" i="2"/>
  <c r="B6548" i="2"/>
  <c r="A6548" i="2"/>
  <c r="D6547" i="2"/>
  <c r="C6547" i="2"/>
  <c r="B6547" i="2"/>
  <c r="A6547" i="2"/>
  <c r="D6546" i="2"/>
  <c r="C6546" i="2"/>
  <c r="B6546" i="2"/>
  <c r="A6546" i="2"/>
  <c r="D6545" i="2"/>
  <c r="C6545" i="2"/>
  <c r="B6545" i="2"/>
  <c r="A6545" i="2"/>
  <c r="D6544" i="2"/>
  <c r="C6544" i="2"/>
  <c r="B6544" i="2"/>
  <c r="A6544" i="2"/>
  <c r="D6543" i="2"/>
  <c r="C6543" i="2"/>
  <c r="B6543" i="2"/>
  <c r="A6543" i="2"/>
  <c r="D6542" i="2"/>
  <c r="B6542" i="2"/>
  <c r="A6542" i="2"/>
  <c r="D6541" i="2"/>
  <c r="C6541" i="2"/>
  <c r="B6541" i="2"/>
  <c r="A6541" i="2"/>
  <c r="D6540" i="2"/>
  <c r="C6540" i="2"/>
  <c r="B6540" i="2"/>
  <c r="A6540" i="2"/>
  <c r="D6539" i="2"/>
  <c r="C6539" i="2"/>
  <c r="B6539" i="2"/>
  <c r="A6539" i="2"/>
  <c r="D6538" i="2"/>
  <c r="C6538" i="2"/>
  <c r="B6538" i="2"/>
  <c r="A6538" i="2"/>
  <c r="D6537" i="2"/>
  <c r="C6537" i="2"/>
  <c r="B6537" i="2"/>
  <c r="A6537" i="2"/>
  <c r="D6536" i="2"/>
  <c r="B6536" i="2"/>
  <c r="A6536" i="2"/>
  <c r="D6535" i="2"/>
  <c r="C6535" i="2"/>
  <c r="B6535" i="2"/>
  <c r="A6535" i="2"/>
  <c r="D6534" i="2"/>
  <c r="B6534" i="2"/>
  <c r="A6534" i="2"/>
  <c r="D6533" i="2"/>
  <c r="B6533" i="2"/>
  <c r="A6533" i="2"/>
  <c r="D6532" i="2"/>
  <c r="C6532" i="2"/>
  <c r="B6532" i="2"/>
  <c r="A6532" i="2"/>
  <c r="D6531" i="2"/>
  <c r="C6531" i="2"/>
  <c r="B6531" i="2"/>
  <c r="A6531" i="2"/>
  <c r="D6530" i="2"/>
  <c r="C6530" i="2"/>
  <c r="B6530" i="2"/>
  <c r="A6530" i="2"/>
  <c r="D6529" i="2"/>
  <c r="B6529" i="2"/>
  <c r="A6529" i="2"/>
  <c r="D6528" i="2"/>
  <c r="B6528" i="2"/>
  <c r="A6528" i="2"/>
  <c r="D6527" i="2"/>
  <c r="B6527" i="2"/>
  <c r="A6527" i="2"/>
  <c r="D6526" i="2"/>
  <c r="B6526" i="2"/>
  <c r="A6526" i="2"/>
  <c r="D6525" i="2"/>
  <c r="B6525" i="2"/>
  <c r="A6525" i="2"/>
  <c r="D6524" i="2"/>
  <c r="B6524" i="2"/>
  <c r="A6524" i="2"/>
  <c r="D6523" i="2"/>
  <c r="C6523" i="2"/>
  <c r="B6523" i="2"/>
  <c r="A6523" i="2"/>
  <c r="D6522" i="2"/>
  <c r="B6522" i="2"/>
  <c r="A6522" i="2"/>
  <c r="D6521" i="2"/>
  <c r="C6521" i="2"/>
  <c r="B6521" i="2"/>
  <c r="A6521" i="2"/>
  <c r="D6520" i="2"/>
  <c r="C6520" i="2"/>
  <c r="B6520" i="2"/>
  <c r="A6520" i="2"/>
  <c r="D6519" i="2"/>
  <c r="C6519" i="2"/>
  <c r="B6519" i="2"/>
  <c r="A6519" i="2"/>
  <c r="D6518" i="2"/>
  <c r="C6518" i="2"/>
  <c r="B6518" i="2"/>
  <c r="A6518" i="2"/>
  <c r="D6517" i="2"/>
  <c r="C6517" i="2"/>
  <c r="B6517" i="2"/>
  <c r="A6517" i="2"/>
  <c r="D6516" i="2"/>
  <c r="B6516" i="2"/>
  <c r="A6516" i="2"/>
  <c r="D6515" i="2"/>
  <c r="C6515" i="2"/>
  <c r="B6515" i="2"/>
  <c r="A6515" i="2"/>
  <c r="D6514" i="2"/>
  <c r="B6514" i="2"/>
  <c r="A6514" i="2"/>
  <c r="D6513" i="2"/>
  <c r="C6513" i="2"/>
  <c r="B6513" i="2"/>
  <c r="A6513" i="2"/>
  <c r="D6512" i="2"/>
  <c r="C6512" i="2"/>
  <c r="B6512" i="2"/>
  <c r="A6512" i="2"/>
  <c r="D6511" i="2"/>
  <c r="C6511" i="2"/>
  <c r="B6511" i="2"/>
  <c r="A6511" i="2"/>
  <c r="D6510" i="2"/>
  <c r="C6510" i="2"/>
  <c r="B6510" i="2"/>
  <c r="A6510" i="2"/>
  <c r="D6509" i="2"/>
  <c r="C6509" i="2"/>
  <c r="B6509" i="2"/>
  <c r="A6509" i="2"/>
  <c r="D6508" i="2"/>
  <c r="C6508" i="2"/>
  <c r="B6508" i="2"/>
  <c r="A6508" i="2"/>
  <c r="D6507" i="2"/>
  <c r="C6507" i="2"/>
  <c r="B6507" i="2"/>
  <c r="A6507" i="2"/>
  <c r="D6506" i="2"/>
  <c r="C6506" i="2"/>
  <c r="B6506" i="2"/>
  <c r="A6506" i="2"/>
  <c r="D6505" i="2"/>
  <c r="B6505" i="2"/>
  <c r="A6505" i="2"/>
  <c r="D6504" i="2"/>
  <c r="C6504" i="2"/>
  <c r="B6504" i="2"/>
  <c r="A6504" i="2"/>
  <c r="D6503" i="2"/>
  <c r="B6503" i="2"/>
  <c r="A6503" i="2"/>
  <c r="D6502" i="2"/>
  <c r="B6502" i="2"/>
  <c r="A6502" i="2"/>
  <c r="D6501" i="2"/>
  <c r="C6501" i="2"/>
  <c r="B6501" i="2"/>
  <c r="A6501" i="2"/>
  <c r="D6500" i="2"/>
  <c r="C6500" i="2"/>
  <c r="B6500" i="2"/>
  <c r="A6500" i="2"/>
  <c r="D6499" i="2"/>
  <c r="C6499" i="2"/>
  <c r="B6499" i="2"/>
  <c r="A6499" i="2"/>
  <c r="D6498" i="2"/>
  <c r="C6498" i="2"/>
  <c r="B6498" i="2"/>
  <c r="A6498" i="2"/>
  <c r="D6497" i="2"/>
  <c r="B6497" i="2"/>
  <c r="A6497" i="2"/>
  <c r="D6496" i="2"/>
  <c r="C6496" i="2"/>
  <c r="B6496" i="2"/>
  <c r="A6496" i="2"/>
  <c r="D6495" i="2"/>
  <c r="C6495" i="2"/>
  <c r="B6495" i="2"/>
  <c r="A6495" i="2"/>
  <c r="D6494" i="2"/>
  <c r="B6494" i="2"/>
  <c r="A6494" i="2"/>
  <c r="D6493" i="2"/>
  <c r="C6493" i="2"/>
  <c r="B6493" i="2"/>
  <c r="A6493" i="2"/>
  <c r="D6492" i="2"/>
  <c r="C6492" i="2"/>
  <c r="B6492" i="2"/>
  <c r="A6492" i="2"/>
  <c r="D6491" i="2"/>
  <c r="B6491" i="2"/>
  <c r="A6491" i="2"/>
  <c r="D6490" i="2"/>
  <c r="C6490" i="2"/>
  <c r="B6490" i="2"/>
  <c r="A6490" i="2"/>
  <c r="D6489" i="2"/>
  <c r="C6489" i="2"/>
  <c r="B6489" i="2"/>
  <c r="A6489" i="2"/>
  <c r="D6488" i="2"/>
  <c r="B6488" i="2"/>
  <c r="A6488" i="2"/>
  <c r="D6487" i="2"/>
  <c r="C6487" i="2"/>
  <c r="B6487" i="2"/>
  <c r="A6487" i="2"/>
  <c r="D6486" i="2"/>
  <c r="C6486" i="2"/>
  <c r="B6486" i="2"/>
  <c r="A6486" i="2"/>
  <c r="D6485" i="2"/>
  <c r="C6485" i="2"/>
  <c r="B6485" i="2"/>
  <c r="A6485" i="2"/>
  <c r="D6484" i="2"/>
  <c r="C6484" i="2"/>
  <c r="B6484" i="2"/>
  <c r="A6484" i="2"/>
  <c r="D6483" i="2"/>
  <c r="C6483" i="2"/>
  <c r="B6483" i="2"/>
  <c r="A6483" i="2"/>
  <c r="D6482" i="2"/>
  <c r="C6482" i="2"/>
  <c r="B6482" i="2"/>
  <c r="A6482" i="2"/>
  <c r="D6481" i="2"/>
  <c r="C6481" i="2"/>
  <c r="B6481" i="2"/>
  <c r="A6481" i="2"/>
  <c r="D6480" i="2"/>
  <c r="C6480" i="2"/>
  <c r="B6480" i="2"/>
  <c r="A6480" i="2"/>
  <c r="D6479" i="2"/>
  <c r="C6479" i="2"/>
  <c r="B6479" i="2"/>
  <c r="A6479" i="2"/>
  <c r="D6478" i="2"/>
  <c r="C6478" i="2"/>
  <c r="B6478" i="2"/>
  <c r="A6478" i="2"/>
  <c r="D6477" i="2"/>
  <c r="C6477" i="2"/>
  <c r="B6477" i="2"/>
  <c r="A6477" i="2"/>
  <c r="D6476" i="2"/>
  <c r="C6476" i="2"/>
  <c r="B6476" i="2"/>
  <c r="A6476" i="2"/>
  <c r="D6475" i="2"/>
  <c r="C6475" i="2"/>
  <c r="B6475" i="2"/>
  <c r="A6475" i="2"/>
  <c r="D6474" i="2"/>
  <c r="C6474" i="2"/>
  <c r="B6474" i="2"/>
  <c r="A6474" i="2"/>
  <c r="D6473" i="2"/>
  <c r="C6473" i="2"/>
  <c r="B6473" i="2"/>
  <c r="A6473" i="2"/>
  <c r="D6472" i="2"/>
  <c r="C6472" i="2"/>
  <c r="B6472" i="2"/>
  <c r="A6472" i="2"/>
  <c r="D6471" i="2"/>
  <c r="C6471" i="2"/>
  <c r="B6471" i="2"/>
  <c r="A6471" i="2"/>
  <c r="D6470" i="2"/>
  <c r="C6470" i="2"/>
  <c r="B6470" i="2"/>
  <c r="A6470" i="2"/>
  <c r="D6469" i="2"/>
  <c r="C6469" i="2"/>
  <c r="B6469" i="2"/>
  <c r="A6469" i="2"/>
  <c r="D6468" i="2"/>
  <c r="C6468" i="2"/>
  <c r="B6468" i="2"/>
  <c r="A6468" i="2"/>
  <c r="D6467" i="2"/>
  <c r="C6467" i="2"/>
  <c r="B6467" i="2"/>
  <c r="A6467" i="2"/>
  <c r="D6466" i="2"/>
  <c r="C6466" i="2"/>
  <c r="B6466" i="2"/>
  <c r="A6466" i="2"/>
  <c r="D6465" i="2"/>
  <c r="C6465" i="2"/>
  <c r="B6465" i="2"/>
  <c r="A6465" i="2"/>
  <c r="D6464" i="2"/>
  <c r="C6464" i="2"/>
  <c r="B6464" i="2"/>
  <c r="A6464" i="2"/>
  <c r="D6463" i="2"/>
  <c r="C6463" i="2"/>
  <c r="B6463" i="2"/>
  <c r="A6463" i="2"/>
  <c r="D6462" i="2"/>
  <c r="C6462" i="2"/>
  <c r="B6462" i="2"/>
  <c r="A6462" i="2"/>
  <c r="D6461" i="2"/>
  <c r="C6461" i="2"/>
  <c r="B6461" i="2"/>
  <c r="A6461" i="2"/>
  <c r="D6460" i="2"/>
  <c r="C6460" i="2"/>
  <c r="B6460" i="2"/>
  <c r="A6460" i="2"/>
  <c r="D6459" i="2"/>
  <c r="C6459" i="2"/>
  <c r="B6459" i="2"/>
  <c r="A6459" i="2"/>
  <c r="D6458" i="2"/>
  <c r="C6458" i="2"/>
  <c r="B6458" i="2"/>
  <c r="A6458" i="2"/>
  <c r="D6457" i="2"/>
  <c r="C6457" i="2"/>
  <c r="B6457" i="2"/>
  <c r="A6457" i="2"/>
  <c r="D6456" i="2"/>
  <c r="C6456" i="2"/>
  <c r="B6456" i="2"/>
  <c r="A6456" i="2"/>
  <c r="D6455" i="2"/>
  <c r="C6455" i="2"/>
  <c r="B6455" i="2"/>
  <c r="A6455" i="2"/>
  <c r="D6454" i="2"/>
  <c r="C6454" i="2"/>
  <c r="B6454" i="2"/>
  <c r="A6454" i="2"/>
  <c r="D6453" i="2"/>
  <c r="C6453" i="2"/>
  <c r="B6453" i="2"/>
  <c r="A6453" i="2"/>
  <c r="D6452" i="2"/>
  <c r="C6452" i="2"/>
  <c r="B6452" i="2"/>
  <c r="A6452" i="2"/>
  <c r="D6451" i="2"/>
  <c r="C6451" i="2"/>
  <c r="B6451" i="2"/>
  <c r="A6451" i="2"/>
  <c r="D6450" i="2"/>
  <c r="C6450" i="2"/>
  <c r="B6450" i="2"/>
  <c r="A6450" i="2"/>
  <c r="D6449" i="2"/>
  <c r="B6449" i="2"/>
  <c r="A6449" i="2"/>
  <c r="D6448" i="2"/>
  <c r="C6448" i="2"/>
  <c r="B6448" i="2"/>
  <c r="A6448" i="2"/>
  <c r="D6447" i="2"/>
  <c r="C6447" i="2"/>
  <c r="B6447" i="2"/>
  <c r="A6447" i="2"/>
  <c r="D6446" i="2"/>
  <c r="C6446" i="2"/>
  <c r="B6446" i="2"/>
  <c r="A6446" i="2"/>
  <c r="D6445" i="2"/>
  <c r="C6445" i="2"/>
  <c r="B6445" i="2"/>
  <c r="A6445" i="2"/>
  <c r="D6444" i="2"/>
  <c r="C6444" i="2"/>
  <c r="B6444" i="2"/>
  <c r="A6444" i="2"/>
  <c r="D6443" i="2"/>
  <c r="C6443" i="2"/>
  <c r="B6443" i="2"/>
  <c r="A6443" i="2"/>
  <c r="D6442" i="2"/>
  <c r="C6442" i="2"/>
  <c r="B6442" i="2"/>
  <c r="A6442" i="2"/>
  <c r="D6441" i="2"/>
  <c r="B6441" i="2"/>
  <c r="A6441" i="2"/>
  <c r="D6440" i="2"/>
  <c r="C6440" i="2"/>
  <c r="B6440" i="2"/>
  <c r="A6440" i="2"/>
  <c r="D6439" i="2"/>
  <c r="C6439" i="2"/>
  <c r="B6439" i="2"/>
  <c r="A6439" i="2"/>
  <c r="D6438" i="2"/>
  <c r="C6438" i="2"/>
  <c r="B6438" i="2"/>
  <c r="A6438" i="2"/>
  <c r="D6437" i="2"/>
  <c r="C6437" i="2"/>
  <c r="B6437" i="2"/>
  <c r="A6437" i="2"/>
  <c r="D6436" i="2"/>
  <c r="C6436" i="2"/>
  <c r="B6436" i="2"/>
  <c r="A6436" i="2"/>
  <c r="D6435" i="2"/>
  <c r="C6435" i="2"/>
  <c r="B6435" i="2"/>
  <c r="A6435" i="2"/>
  <c r="D6434" i="2"/>
  <c r="C6434" i="2"/>
  <c r="B6434" i="2"/>
  <c r="A6434" i="2"/>
  <c r="D6433" i="2"/>
  <c r="C6433" i="2"/>
  <c r="B6433" i="2"/>
  <c r="A6433" i="2"/>
  <c r="D6432" i="2"/>
  <c r="C6432" i="2"/>
  <c r="B6432" i="2"/>
  <c r="A6432" i="2"/>
  <c r="D6431" i="2"/>
  <c r="C6431" i="2"/>
  <c r="B6431" i="2"/>
  <c r="A6431" i="2"/>
  <c r="D6430" i="2"/>
  <c r="C6430" i="2"/>
  <c r="B6430" i="2"/>
  <c r="A6430" i="2"/>
  <c r="D6429" i="2"/>
  <c r="C6429" i="2"/>
  <c r="B6429" i="2"/>
  <c r="A6429" i="2"/>
  <c r="D6428" i="2"/>
  <c r="C6428" i="2"/>
  <c r="B6428" i="2"/>
  <c r="A6428" i="2"/>
  <c r="D6427" i="2"/>
  <c r="C6427" i="2"/>
  <c r="B6427" i="2"/>
  <c r="A6427" i="2"/>
  <c r="D6426" i="2"/>
  <c r="C6426" i="2"/>
  <c r="B6426" i="2"/>
  <c r="A6426" i="2"/>
  <c r="D6425" i="2"/>
  <c r="C6425" i="2"/>
  <c r="B6425" i="2"/>
  <c r="A6425" i="2"/>
  <c r="D6424" i="2"/>
  <c r="C6424" i="2"/>
  <c r="B6424" i="2"/>
  <c r="A6424" i="2"/>
  <c r="D6423" i="2"/>
  <c r="C6423" i="2"/>
  <c r="B6423" i="2"/>
  <c r="A6423" i="2"/>
  <c r="D6422" i="2"/>
  <c r="C6422" i="2"/>
  <c r="B6422" i="2"/>
  <c r="A6422" i="2"/>
  <c r="D6421" i="2"/>
  <c r="C6421" i="2"/>
  <c r="B6421" i="2"/>
  <c r="A6421" i="2"/>
  <c r="D6420" i="2"/>
  <c r="C6420" i="2"/>
  <c r="B6420" i="2"/>
  <c r="A6420" i="2"/>
  <c r="D6419" i="2"/>
  <c r="C6419" i="2"/>
  <c r="B6419" i="2"/>
  <c r="A6419" i="2"/>
  <c r="D6418" i="2"/>
  <c r="C6418" i="2"/>
  <c r="B6418" i="2"/>
  <c r="A6418" i="2"/>
  <c r="D6417" i="2"/>
  <c r="C6417" i="2"/>
  <c r="B6417" i="2"/>
  <c r="A6417" i="2"/>
  <c r="D6416" i="2"/>
  <c r="C6416" i="2"/>
  <c r="B6416" i="2"/>
  <c r="A6416" i="2"/>
  <c r="D6415" i="2"/>
  <c r="C6415" i="2"/>
  <c r="B6415" i="2"/>
  <c r="A6415" i="2"/>
  <c r="D6414" i="2"/>
  <c r="C6414" i="2"/>
  <c r="B6414" i="2"/>
  <c r="A6414" i="2"/>
  <c r="D6413" i="2"/>
  <c r="C6413" i="2"/>
  <c r="B6413" i="2"/>
  <c r="A6413" i="2"/>
  <c r="D6412" i="2"/>
  <c r="C6412" i="2"/>
  <c r="B6412" i="2"/>
  <c r="A6412" i="2"/>
  <c r="D6411" i="2"/>
  <c r="C6411" i="2"/>
  <c r="B6411" i="2"/>
  <c r="A6411" i="2"/>
  <c r="D6410" i="2"/>
  <c r="C6410" i="2"/>
  <c r="B6410" i="2"/>
  <c r="A6410" i="2"/>
  <c r="D6409" i="2"/>
  <c r="C6409" i="2"/>
  <c r="B6409" i="2"/>
  <c r="A6409" i="2"/>
  <c r="D6408" i="2"/>
  <c r="C6408" i="2"/>
  <c r="B6408" i="2"/>
  <c r="A6408" i="2"/>
  <c r="D6407" i="2"/>
  <c r="C6407" i="2"/>
  <c r="B6407" i="2"/>
  <c r="A6407" i="2"/>
  <c r="D6406" i="2"/>
  <c r="C6406" i="2"/>
  <c r="B6406" i="2"/>
  <c r="A6406" i="2"/>
  <c r="D6405" i="2"/>
  <c r="C6405" i="2"/>
  <c r="B6405" i="2"/>
  <c r="A6405" i="2"/>
  <c r="D6404" i="2"/>
  <c r="C6404" i="2"/>
  <c r="B6404" i="2"/>
  <c r="A6404" i="2"/>
  <c r="D6403" i="2"/>
  <c r="C6403" i="2"/>
  <c r="B6403" i="2"/>
  <c r="A6403" i="2"/>
  <c r="D6402" i="2"/>
  <c r="C6402" i="2"/>
  <c r="B6402" i="2"/>
  <c r="A6402" i="2"/>
  <c r="D6401" i="2"/>
  <c r="C6401" i="2"/>
  <c r="B6401" i="2"/>
  <c r="A6401" i="2"/>
  <c r="D6400" i="2"/>
  <c r="C6400" i="2"/>
  <c r="B6400" i="2"/>
  <c r="A6400" i="2"/>
  <c r="D6399" i="2"/>
  <c r="C6399" i="2"/>
  <c r="B6399" i="2"/>
  <c r="A6399" i="2"/>
  <c r="D6398" i="2"/>
  <c r="C6398" i="2"/>
  <c r="B6398" i="2"/>
  <c r="A6398" i="2"/>
  <c r="D6397" i="2"/>
  <c r="C6397" i="2"/>
  <c r="B6397" i="2"/>
  <c r="A6397" i="2"/>
  <c r="D6396" i="2"/>
  <c r="C6396" i="2"/>
  <c r="B6396" i="2"/>
  <c r="A6396" i="2"/>
  <c r="D6395" i="2"/>
  <c r="C6395" i="2"/>
  <c r="B6395" i="2"/>
  <c r="A6395" i="2"/>
  <c r="D6394" i="2"/>
  <c r="C6394" i="2"/>
  <c r="B6394" i="2"/>
  <c r="A6394" i="2"/>
  <c r="D6393" i="2"/>
  <c r="C6393" i="2"/>
  <c r="B6393" i="2"/>
  <c r="A6393" i="2"/>
  <c r="D6392" i="2"/>
  <c r="C6392" i="2"/>
  <c r="B6392" i="2"/>
  <c r="A6392" i="2"/>
  <c r="D6391" i="2"/>
  <c r="C6391" i="2"/>
  <c r="B6391" i="2"/>
  <c r="A6391" i="2"/>
  <c r="D6390" i="2"/>
  <c r="C6390" i="2"/>
  <c r="B6390" i="2"/>
  <c r="A6390" i="2"/>
  <c r="D6389" i="2"/>
  <c r="C6389" i="2"/>
  <c r="B6389" i="2"/>
  <c r="A6389" i="2"/>
  <c r="D6388" i="2"/>
  <c r="C6388" i="2"/>
  <c r="B6388" i="2"/>
  <c r="A6388" i="2"/>
  <c r="D6387" i="2"/>
  <c r="C6387" i="2"/>
  <c r="B6387" i="2"/>
  <c r="A6387" i="2"/>
  <c r="D6386" i="2"/>
  <c r="C6386" i="2"/>
  <c r="B6386" i="2"/>
  <c r="A6386" i="2"/>
  <c r="D6385" i="2"/>
  <c r="C6385" i="2"/>
  <c r="B6385" i="2"/>
  <c r="A6385" i="2"/>
  <c r="D6384" i="2"/>
  <c r="C6384" i="2"/>
  <c r="B6384" i="2"/>
  <c r="A6384" i="2"/>
  <c r="D6383" i="2"/>
  <c r="C6383" i="2"/>
  <c r="B6383" i="2"/>
  <c r="A6383" i="2"/>
  <c r="D6382" i="2"/>
  <c r="C6382" i="2"/>
  <c r="B6382" i="2"/>
  <c r="A6382" i="2"/>
  <c r="D6381" i="2"/>
  <c r="C6381" i="2"/>
  <c r="B6381" i="2"/>
  <c r="A6381" i="2"/>
  <c r="D6380" i="2"/>
  <c r="C6380" i="2"/>
  <c r="B6380" i="2"/>
  <c r="A6380" i="2"/>
  <c r="D6379" i="2"/>
  <c r="C6379" i="2"/>
  <c r="B6379" i="2"/>
  <c r="A6379" i="2"/>
  <c r="D6378" i="2"/>
  <c r="C6378" i="2"/>
  <c r="B6378" i="2"/>
  <c r="A6378" i="2"/>
  <c r="D6377" i="2"/>
  <c r="C6377" i="2"/>
  <c r="B6377" i="2"/>
  <c r="A6377" i="2"/>
  <c r="D6376" i="2"/>
  <c r="C6376" i="2"/>
  <c r="B6376" i="2"/>
  <c r="A6376" i="2"/>
  <c r="D6375" i="2"/>
  <c r="C6375" i="2"/>
  <c r="B6375" i="2"/>
  <c r="A6375" i="2"/>
  <c r="D6374" i="2"/>
  <c r="C6374" i="2"/>
  <c r="B6374" i="2"/>
  <c r="A6374" i="2"/>
  <c r="D6373" i="2"/>
  <c r="C6373" i="2"/>
  <c r="B6373" i="2"/>
  <c r="A6373" i="2"/>
  <c r="D6372" i="2"/>
  <c r="C6372" i="2"/>
  <c r="B6372" i="2"/>
  <c r="A6372" i="2"/>
  <c r="D6371" i="2"/>
  <c r="C6371" i="2"/>
  <c r="B6371" i="2"/>
  <c r="A6371" i="2"/>
  <c r="D6370" i="2"/>
  <c r="C6370" i="2"/>
  <c r="B6370" i="2"/>
  <c r="A6370" i="2"/>
  <c r="D6369" i="2"/>
  <c r="C6369" i="2"/>
  <c r="B6369" i="2"/>
  <c r="A6369" i="2"/>
  <c r="D6368" i="2"/>
  <c r="C6368" i="2"/>
  <c r="B6368" i="2"/>
  <c r="A6368" i="2"/>
  <c r="D6367" i="2"/>
  <c r="C6367" i="2"/>
  <c r="B6367" i="2"/>
  <c r="A6367" i="2"/>
  <c r="D6366" i="2"/>
  <c r="C6366" i="2"/>
  <c r="B6366" i="2"/>
  <c r="A6366" i="2"/>
  <c r="D6365" i="2"/>
  <c r="C6365" i="2"/>
  <c r="B6365" i="2"/>
  <c r="A6365" i="2"/>
  <c r="D6364" i="2"/>
  <c r="C6364" i="2"/>
  <c r="B6364" i="2"/>
  <c r="A6364" i="2"/>
  <c r="D6363" i="2"/>
  <c r="C6363" i="2"/>
  <c r="B6363" i="2"/>
  <c r="A6363" i="2"/>
  <c r="D6362" i="2"/>
  <c r="C6362" i="2"/>
  <c r="B6362" i="2"/>
  <c r="A6362" i="2"/>
  <c r="D6361" i="2"/>
  <c r="C6361" i="2"/>
  <c r="B6361" i="2"/>
  <c r="A6361" i="2"/>
  <c r="D6360" i="2"/>
  <c r="C6360" i="2"/>
  <c r="B6360" i="2"/>
  <c r="A6360" i="2"/>
  <c r="D6359" i="2"/>
  <c r="C6359" i="2"/>
  <c r="B6359" i="2"/>
  <c r="A6359" i="2"/>
  <c r="D6358" i="2"/>
  <c r="C6358" i="2"/>
  <c r="B6358" i="2"/>
  <c r="A6358" i="2"/>
  <c r="D6357" i="2"/>
  <c r="C6357" i="2"/>
  <c r="B6357" i="2"/>
  <c r="A6357" i="2"/>
  <c r="D6356" i="2"/>
  <c r="C6356" i="2"/>
  <c r="B6356" i="2"/>
  <c r="A6356" i="2"/>
  <c r="D6355" i="2"/>
  <c r="C6355" i="2"/>
  <c r="B6355" i="2"/>
  <c r="A6355" i="2"/>
  <c r="D6354" i="2"/>
  <c r="C6354" i="2"/>
  <c r="B6354" i="2"/>
  <c r="A6354" i="2"/>
  <c r="D6353" i="2"/>
  <c r="C6353" i="2"/>
  <c r="B6353" i="2"/>
  <c r="A6353" i="2"/>
  <c r="D6352" i="2"/>
  <c r="C6352" i="2"/>
  <c r="B6352" i="2"/>
  <c r="A6352" i="2"/>
  <c r="D6351" i="2"/>
  <c r="C6351" i="2"/>
  <c r="B6351" i="2"/>
  <c r="A6351" i="2"/>
  <c r="D6350" i="2"/>
  <c r="C6350" i="2"/>
  <c r="B6350" i="2"/>
  <c r="A6350" i="2"/>
  <c r="D6349" i="2"/>
  <c r="C6349" i="2"/>
  <c r="B6349" i="2"/>
  <c r="A6349" i="2"/>
  <c r="D6348" i="2"/>
  <c r="C6348" i="2"/>
  <c r="B6348" i="2"/>
  <c r="A6348" i="2"/>
  <c r="D6347" i="2"/>
  <c r="C6347" i="2"/>
  <c r="B6347" i="2"/>
  <c r="A6347" i="2"/>
  <c r="D6346" i="2"/>
  <c r="C6346" i="2"/>
  <c r="B6346" i="2"/>
  <c r="A6346" i="2"/>
  <c r="D6345" i="2"/>
  <c r="C6345" i="2"/>
  <c r="B6345" i="2"/>
  <c r="A6345" i="2"/>
  <c r="D6344" i="2"/>
  <c r="C6344" i="2"/>
  <c r="B6344" i="2"/>
  <c r="A6344" i="2"/>
  <c r="D6343" i="2"/>
  <c r="C6343" i="2"/>
  <c r="B6343" i="2"/>
  <c r="A6343" i="2"/>
  <c r="D6342" i="2"/>
  <c r="C6342" i="2"/>
  <c r="B6342" i="2"/>
  <c r="A6342" i="2"/>
  <c r="D6341" i="2"/>
  <c r="C6341" i="2"/>
  <c r="B6341" i="2"/>
  <c r="A6341" i="2"/>
  <c r="D6340" i="2"/>
  <c r="C6340" i="2"/>
  <c r="B6340" i="2"/>
  <c r="A6340" i="2"/>
  <c r="D6339" i="2"/>
  <c r="C6339" i="2"/>
  <c r="B6339" i="2"/>
  <c r="A6339" i="2"/>
  <c r="D6338" i="2"/>
  <c r="C6338" i="2"/>
  <c r="B6338" i="2"/>
  <c r="A6338" i="2"/>
  <c r="D6337" i="2"/>
  <c r="C6337" i="2"/>
  <c r="B6337" i="2"/>
  <c r="A6337" i="2"/>
  <c r="D6336" i="2"/>
  <c r="C6336" i="2"/>
  <c r="B6336" i="2"/>
  <c r="A6336" i="2"/>
  <c r="D6335" i="2"/>
  <c r="C6335" i="2"/>
  <c r="B6335" i="2"/>
  <c r="A6335" i="2"/>
  <c r="D6334" i="2"/>
  <c r="C6334" i="2"/>
  <c r="B6334" i="2"/>
  <c r="A6334" i="2"/>
  <c r="D6333" i="2"/>
  <c r="C6333" i="2"/>
  <c r="B6333" i="2"/>
  <c r="A6333" i="2"/>
  <c r="D6332" i="2"/>
  <c r="C6332" i="2"/>
  <c r="B6332" i="2"/>
  <c r="A6332" i="2"/>
  <c r="D6331" i="2"/>
  <c r="C6331" i="2"/>
  <c r="B6331" i="2"/>
  <c r="A6331" i="2"/>
  <c r="D6330" i="2"/>
  <c r="C6330" i="2"/>
  <c r="B6330" i="2"/>
  <c r="A6330" i="2"/>
  <c r="D6329" i="2"/>
  <c r="C6329" i="2"/>
  <c r="B6329" i="2"/>
  <c r="A6329" i="2"/>
  <c r="D6328" i="2"/>
  <c r="C6328" i="2"/>
  <c r="B6328" i="2"/>
  <c r="A6328" i="2"/>
  <c r="D6327" i="2"/>
  <c r="C6327" i="2"/>
  <c r="B6327" i="2"/>
  <c r="A6327" i="2"/>
  <c r="D6326" i="2"/>
  <c r="C6326" i="2"/>
  <c r="B6326" i="2"/>
  <c r="A6326" i="2"/>
  <c r="D6325" i="2"/>
  <c r="C6325" i="2"/>
  <c r="B6325" i="2"/>
  <c r="A6325" i="2"/>
  <c r="D6324" i="2"/>
  <c r="C6324" i="2"/>
  <c r="B6324" i="2"/>
  <c r="A6324" i="2"/>
  <c r="D6323" i="2"/>
  <c r="C6323" i="2"/>
  <c r="B6323" i="2"/>
  <c r="A6323" i="2"/>
  <c r="D6322" i="2"/>
  <c r="C6322" i="2"/>
  <c r="B6322" i="2"/>
  <c r="A6322" i="2"/>
  <c r="D6321" i="2"/>
  <c r="C6321" i="2"/>
  <c r="B6321" i="2"/>
  <c r="A6321" i="2"/>
  <c r="D6320" i="2"/>
  <c r="B6320" i="2"/>
  <c r="A6320" i="2"/>
  <c r="D6319" i="2"/>
  <c r="C6319" i="2"/>
  <c r="B6319" i="2"/>
  <c r="A6319" i="2"/>
  <c r="D6318" i="2"/>
  <c r="C6318" i="2"/>
  <c r="B6318" i="2"/>
  <c r="A6318" i="2"/>
  <c r="D6317" i="2"/>
  <c r="C6317" i="2"/>
  <c r="B6317" i="2"/>
  <c r="A6317" i="2"/>
  <c r="D6316" i="2"/>
  <c r="C6316" i="2"/>
  <c r="B6316" i="2"/>
  <c r="A6316" i="2"/>
  <c r="D6315" i="2"/>
  <c r="C6315" i="2"/>
  <c r="B6315" i="2"/>
  <c r="A6315" i="2"/>
  <c r="D6314" i="2"/>
  <c r="C6314" i="2"/>
  <c r="B6314" i="2"/>
  <c r="A6314" i="2"/>
  <c r="D6313" i="2"/>
  <c r="C6313" i="2"/>
  <c r="B6313" i="2"/>
  <c r="A6313" i="2"/>
  <c r="D6312" i="2"/>
  <c r="C6312" i="2"/>
  <c r="B6312" i="2"/>
  <c r="A6312" i="2"/>
  <c r="D6311" i="2"/>
  <c r="C6311" i="2"/>
  <c r="B6311" i="2"/>
  <c r="A6311" i="2"/>
  <c r="D6310" i="2"/>
  <c r="C6310" i="2"/>
  <c r="B6310" i="2"/>
  <c r="A6310" i="2"/>
  <c r="D6309" i="2"/>
  <c r="C6309" i="2"/>
  <c r="B6309" i="2"/>
  <c r="A6309" i="2"/>
  <c r="D6308" i="2"/>
  <c r="C6308" i="2"/>
  <c r="B6308" i="2"/>
  <c r="A6308" i="2"/>
  <c r="D6307" i="2"/>
  <c r="C6307" i="2"/>
  <c r="B6307" i="2"/>
  <c r="A6307" i="2"/>
  <c r="D6306" i="2"/>
  <c r="C6306" i="2"/>
  <c r="B6306" i="2"/>
  <c r="A6306" i="2"/>
  <c r="D6305" i="2"/>
  <c r="C6305" i="2"/>
  <c r="B6305" i="2"/>
  <c r="A6305" i="2"/>
  <c r="D6304" i="2"/>
  <c r="C6304" i="2"/>
  <c r="B6304" i="2"/>
  <c r="A6304" i="2"/>
  <c r="D6303" i="2"/>
  <c r="C6303" i="2"/>
  <c r="B6303" i="2"/>
  <c r="A6303" i="2"/>
  <c r="D6302" i="2"/>
  <c r="C6302" i="2"/>
  <c r="B6302" i="2"/>
  <c r="A6302" i="2"/>
  <c r="D6301" i="2"/>
  <c r="C6301" i="2"/>
  <c r="B6301" i="2"/>
  <c r="A6301" i="2"/>
  <c r="D6300" i="2"/>
  <c r="C6300" i="2"/>
  <c r="B6300" i="2"/>
  <c r="A6300" i="2"/>
  <c r="D6299" i="2"/>
  <c r="C6299" i="2"/>
  <c r="B6299" i="2"/>
  <c r="A6299" i="2"/>
  <c r="D6298" i="2"/>
  <c r="C6298" i="2"/>
  <c r="B6298" i="2"/>
  <c r="A6298" i="2"/>
  <c r="D6297" i="2"/>
  <c r="C6297" i="2"/>
  <c r="B6297" i="2"/>
  <c r="A6297" i="2"/>
  <c r="D6296" i="2"/>
  <c r="C6296" i="2"/>
  <c r="B6296" i="2"/>
  <c r="A6296" i="2"/>
  <c r="D6295" i="2"/>
  <c r="C6295" i="2"/>
  <c r="B6295" i="2"/>
  <c r="A6295" i="2"/>
  <c r="D6294" i="2"/>
  <c r="C6294" i="2"/>
  <c r="B6294" i="2"/>
  <c r="A6294" i="2"/>
  <c r="D6293" i="2"/>
  <c r="C6293" i="2"/>
  <c r="B6293" i="2"/>
  <c r="A6293" i="2"/>
  <c r="D6292" i="2"/>
  <c r="C6292" i="2"/>
  <c r="B6292" i="2"/>
  <c r="A6292" i="2"/>
  <c r="D6291" i="2"/>
  <c r="C6291" i="2"/>
  <c r="B6291" i="2"/>
  <c r="A6291" i="2"/>
  <c r="D6290" i="2"/>
  <c r="C6290" i="2"/>
  <c r="B6290" i="2"/>
  <c r="A6290" i="2"/>
  <c r="D6289" i="2"/>
  <c r="C6289" i="2"/>
  <c r="B6289" i="2"/>
  <c r="A6289" i="2"/>
  <c r="D6288" i="2"/>
  <c r="C6288" i="2"/>
  <c r="B6288" i="2"/>
  <c r="A6288" i="2"/>
  <c r="D6287" i="2"/>
  <c r="C6287" i="2"/>
  <c r="B6287" i="2"/>
  <c r="A6287" i="2"/>
  <c r="D6286" i="2"/>
  <c r="C6286" i="2"/>
  <c r="B6286" i="2"/>
  <c r="A6286" i="2"/>
  <c r="D6285" i="2"/>
  <c r="C6285" i="2"/>
  <c r="B6285" i="2"/>
  <c r="A6285" i="2"/>
  <c r="D6284" i="2"/>
  <c r="C6284" i="2"/>
  <c r="B6284" i="2"/>
  <c r="A6284" i="2"/>
  <c r="D6283" i="2"/>
  <c r="C6283" i="2"/>
  <c r="B6283" i="2"/>
  <c r="A6283" i="2"/>
  <c r="D6282" i="2"/>
  <c r="C6282" i="2"/>
  <c r="B6282" i="2"/>
  <c r="A6282" i="2"/>
  <c r="D6281" i="2"/>
  <c r="C6281" i="2"/>
  <c r="B6281" i="2"/>
  <c r="A6281" i="2"/>
  <c r="D6280" i="2"/>
  <c r="C6280" i="2"/>
  <c r="B6280" i="2"/>
  <c r="A6280" i="2"/>
  <c r="D6279" i="2"/>
  <c r="C6279" i="2"/>
  <c r="B6279" i="2"/>
  <c r="A6279" i="2"/>
  <c r="D6278" i="2"/>
  <c r="C6278" i="2"/>
  <c r="B6278" i="2"/>
  <c r="A6278" i="2"/>
  <c r="D6277" i="2"/>
  <c r="C6277" i="2"/>
  <c r="B6277" i="2"/>
  <c r="A6277" i="2"/>
  <c r="D6276" i="2"/>
  <c r="C6276" i="2"/>
  <c r="B6276" i="2"/>
  <c r="A6276" i="2"/>
  <c r="D6275" i="2"/>
  <c r="C6275" i="2"/>
  <c r="B6275" i="2"/>
  <c r="A6275" i="2"/>
  <c r="D6274" i="2"/>
  <c r="C6274" i="2"/>
  <c r="B6274" i="2"/>
  <c r="A6274" i="2"/>
  <c r="D6273" i="2"/>
  <c r="C6273" i="2"/>
  <c r="B6273" i="2"/>
  <c r="A6273" i="2"/>
  <c r="D6272" i="2"/>
  <c r="C6272" i="2"/>
  <c r="B6272" i="2"/>
  <c r="A6272" i="2"/>
  <c r="D6271" i="2"/>
  <c r="C6271" i="2"/>
  <c r="B6271" i="2"/>
  <c r="A6271" i="2"/>
  <c r="D6270" i="2"/>
  <c r="C6270" i="2"/>
  <c r="B6270" i="2"/>
  <c r="A6270" i="2"/>
  <c r="D6269" i="2"/>
  <c r="C6269" i="2"/>
  <c r="B6269" i="2"/>
  <c r="A6269" i="2"/>
  <c r="D6268" i="2"/>
  <c r="C6268" i="2"/>
  <c r="B6268" i="2"/>
  <c r="A6268" i="2"/>
  <c r="D6267" i="2"/>
  <c r="C6267" i="2"/>
  <c r="B6267" i="2"/>
  <c r="A6267" i="2"/>
  <c r="D6266" i="2"/>
  <c r="C6266" i="2"/>
  <c r="B6266" i="2"/>
  <c r="A6266" i="2"/>
  <c r="D6265" i="2"/>
  <c r="C6265" i="2"/>
  <c r="B6265" i="2"/>
  <c r="A6265" i="2"/>
  <c r="D6264" i="2"/>
  <c r="C6264" i="2"/>
  <c r="B6264" i="2"/>
  <c r="A6264" i="2"/>
  <c r="D6263" i="2"/>
  <c r="C6263" i="2"/>
  <c r="B6263" i="2"/>
  <c r="A6263" i="2"/>
  <c r="D6262" i="2"/>
  <c r="C6262" i="2"/>
  <c r="B6262" i="2"/>
  <c r="A6262" i="2"/>
  <c r="D6261" i="2"/>
  <c r="C6261" i="2"/>
  <c r="B6261" i="2"/>
  <c r="A6261" i="2"/>
  <c r="D6260" i="2"/>
  <c r="C6260" i="2"/>
  <c r="B6260" i="2"/>
  <c r="A6260" i="2"/>
  <c r="D6259" i="2"/>
  <c r="C6259" i="2"/>
  <c r="B6259" i="2"/>
  <c r="A6259" i="2"/>
  <c r="D6258" i="2"/>
  <c r="C6258" i="2"/>
  <c r="B6258" i="2"/>
  <c r="A6258" i="2"/>
  <c r="D6257" i="2"/>
  <c r="C6257" i="2"/>
  <c r="B6257" i="2"/>
  <c r="A6257" i="2"/>
  <c r="D6256" i="2"/>
  <c r="C6256" i="2"/>
  <c r="B6256" i="2"/>
  <c r="A6256" i="2"/>
  <c r="D6255" i="2"/>
  <c r="C6255" i="2"/>
  <c r="B6255" i="2"/>
  <c r="A6255" i="2"/>
  <c r="D6254" i="2"/>
  <c r="C6254" i="2"/>
  <c r="B6254" i="2"/>
  <c r="A6254" i="2"/>
  <c r="D6253" i="2"/>
  <c r="C6253" i="2"/>
  <c r="B6253" i="2"/>
  <c r="A6253" i="2"/>
  <c r="D6252" i="2"/>
  <c r="C6252" i="2"/>
  <c r="B6252" i="2"/>
  <c r="A6252" i="2"/>
  <c r="D6251" i="2"/>
  <c r="C6251" i="2"/>
  <c r="B6251" i="2"/>
  <c r="A6251" i="2"/>
  <c r="D6250" i="2"/>
  <c r="C6250" i="2"/>
  <c r="B6250" i="2"/>
  <c r="A6250" i="2"/>
  <c r="D6249" i="2"/>
  <c r="C6249" i="2"/>
  <c r="B6249" i="2"/>
  <c r="A6249" i="2"/>
  <c r="D6248" i="2"/>
  <c r="C6248" i="2"/>
  <c r="B6248" i="2"/>
  <c r="A6248" i="2"/>
  <c r="D6247" i="2"/>
  <c r="C6247" i="2"/>
  <c r="B6247" i="2"/>
  <c r="A6247" i="2"/>
  <c r="D6246" i="2"/>
  <c r="C6246" i="2"/>
  <c r="B6246" i="2"/>
  <c r="A6246" i="2"/>
  <c r="D6245" i="2"/>
  <c r="C6245" i="2"/>
  <c r="B6245" i="2"/>
  <c r="A6245" i="2"/>
  <c r="D6244" i="2"/>
  <c r="C6244" i="2"/>
  <c r="B6244" i="2"/>
  <c r="A6244" i="2"/>
  <c r="D6243" i="2"/>
  <c r="C6243" i="2"/>
  <c r="B6243" i="2"/>
  <c r="A6243" i="2"/>
  <c r="D6242" i="2"/>
  <c r="C6242" i="2"/>
  <c r="B6242" i="2"/>
  <c r="A6242" i="2"/>
  <c r="D6241" i="2"/>
  <c r="C6241" i="2"/>
  <c r="B6241" i="2"/>
  <c r="A6241" i="2"/>
  <c r="D6240" i="2"/>
  <c r="C6240" i="2"/>
  <c r="B6240" i="2"/>
  <c r="A6240" i="2"/>
  <c r="D6239" i="2"/>
  <c r="C6239" i="2"/>
  <c r="B6239" i="2"/>
  <c r="A6239" i="2"/>
  <c r="D6238" i="2"/>
  <c r="C6238" i="2"/>
  <c r="B6238" i="2"/>
  <c r="A6238" i="2"/>
  <c r="D6237" i="2"/>
  <c r="C6237" i="2"/>
  <c r="B6237" i="2"/>
  <c r="A6237" i="2"/>
  <c r="D6236" i="2"/>
  <c r="C6236" i="2"/>
  <c r="B6236" i="2"/>
  <c r="A6236" i="2"/>
  <c r="D6235" i="2"/>
  <c r="C6235" i="2"/>
  <c r="B6235" i="2"/>
  <c r="A6235" i="2"/>
  <c r="D6234" i="2"/>
  <c r="C6234" i="2"/>
  <c r="B6234" i="2"/>
  <c r="A6234" i="2"/>
  <c r="D6233" i="2"/>
  <c r="C6233" i="2"/>
  <c r="B6233" i="2"/>
  <c r="A6233" i="2"/>
  <c r="D6232" i="2"/>
  <c r="C6232" i="2"/>
  <c r="B6232" i="2"/>
  <c r="A6232" i="2"/>
  <c r="D6231" i="2"/>
  <c r="C6231" i="2"/>
  <c r="B6231" i="2"/>
  <c r="A6231" i="2"/>
  <c r="D6230" i="2"/>
  <c r="B6230" i="2"/>
  <c r="A6230" i="2"/>
  <c r="D6229" i="2"/>
  <c r="C6229" i="2"/>
  <c r="B6229" i="2"/>
  <c r="A6229" i="2"/>
  <c r="D6228" i="2"/>
  <c r="C6228" i="2"/>
  <c r="B6228" i="2"/>
  <c r="A6228" i="2"/>
  <c r="D6227" i="2"/>
  <c r="C6227" i="2"/>
  <c r="B6227" i="2"/>
  <c r="A6227" i="2"/>
  <c r="D6226" i="2"/>
  <c r="C6226" i="2"/>
  <c r="B6226" i="2"/>
  <c r="A6226" i="2"/>
  <c r="D6225" i="2"/>
  <c r="C6225" i="2"/>
  <c r="B6225" i="2"/>
  <c r="A6225" i="2"/>
  <c r="D6224" i="2"/>
  <c r="B6224" i="2"/>
  <c r="A6224" i="2"/>
  <c r="D6223" i="2"/>
  <c r="C6223" i="2"/>
  <c r="B6223" i="2"/>
  <c r="A6223" i="2"/>
  <c r="D6222" i="2"/>
  <c r="C6222" i="2"/>
  <c r="B6222" i="2"/>
  <c r="A6222" i="2"/>
  <c r="D6221" i="2"/>
  <c r="C6221" i="2"/>
  <c r="B6221" i="2"/>
  <c r="A6221" i="2"/>
  <c r="D6220" i="2"/>
  <c r="C6220" i="2"/>
  <c r="B6220" i="2"/>
  <c r="A6220" i="2"/>
  <c r="D6219" i="2"/>
  <c r="C6219" i="2"/>
  <c r="B6219" i="2"/>
  <c r="A6219" i="2"/>
  <c r="D6218" i="2"/>
  <c r="C6218" i="2"/>
  <c r="B6218" i="2"/>
  <c r="A6218" i="2"/>
  <c r="D6217" i="2"/>
  <c r="C6217" i="2"/>
  <c r="B6217" i="2"/>
  <c r="A6217" i="2"/>
  <c r="D6216" i="2"/>
  <c r="C6216" i="2"/>
  <c r="B6216" i="2"/>
  <c r="A6216" i="2"/>
  <c r="D6215" i="2"/>
  <c r="C6215" i="2"/>
  <c r="B6215" i="2"/>
  <c r="A6215" i="2"/>
  <c r="D6214" i="2"/>
  <c r="C6214" i="2"/>
  <c r="B6214" i="2"/>
  <c r="A6214" i="2"/>
  <c r="D6213" i="2"/>
  <c r="C6213" i="2"/>
  <c r="B6213" i="2"/>
  <c r="A6213" i="2"/>
  <c r="D6212" i="2"/>
  <c r="C6212" i="2"/>
  <c r="B6212" i="2"/>
  <c r="A6212" i="2"/>
  <c r="D6211" i="2"/>
  <c r="B6211" i="2"/>
  <c r="A6211" i="2"/>
  <c r="D6210" i="2"/>
  <c r="C6210" i="2"/>
  <c r="B6210" i="2"/>
  <c r="A6210" i="2"/>
  <c r="D6209" i="2"/>
  <c r="C6209" i="2"/>
  <c r="B6209" i="2"/>
  <c r="A6209" i="2"/>
  <c r="D6208" i="2"/>
  <c r="C6208" i="2"/>
  <c r="B6208" i="2"/>
  <c r="A6208" i="2"/>
  <c r="D6207" i="2"/>
  <c r="C6207" i="2"/>
  <c r="B6207" i="2"/>
  <c r="A6207" i="2"/>
  <c r="D6206" i="2"/>
  <c r="C6206" i="2"/>
  <c r="B6206" i="2"/>
  <c r="A6206" i="2"/>
  <c r="D6205" i="2"/>
  <c r="C6205" i="2"/>
  <c r="B6205" i="2"/>
  <c r="A6205" i="2"/>
  <c r="D6204" i="2"/>
  <c r="C6204" i="2"/>
  <c r="B6204" i="2"/>
  <c r="A6204" i="2"/>
  <c r="D6203" i="2"/>
  <c r="C6203" i="2"/>
  <c r="B6203" i="2"/>
  <c r="A6203" i="2"/>
  <c r="D6202" i="2"/>
  <c r="C6202" i="2"/>
  <c r="B6202" i="2"/>
  <c r="A6202" i="2"/>
  <c r="D6201" i="2"/>
  <c r="C6201" i="2"/>
  <c r="B6201" i="2"/>
  <c r="A6201" i="2"/>
  <c r="D6200" i="2"/>
  <c r="C6200" i="2"/>
  <c r="B6200" i="2"/>
  <c r="A6200" i="2"/>
  <c r="D6199" i="2"/>
  <c r="C6199" i="2"/>
  <c r="B6199" i="2"/>
  <c r="A6199" i="2"/>
  <c r="D6198" i="2"/>
  <c r="C6198" i="2"/>
  <c r="B6198" i="2"/>
  <c r="A6198" i="2"/>
  <c r="D6197" i="2"/>
  <c r="C6197" i="2"/>
  <c r="B6197" i="2"/>
  <c r="A6197" i="2"/>
  <c r="D6196" i="2"/>
  <c r="C6196" i="2"/>
  <c r="B6196" i="2"/>
  <c r="A6196" i="2"/>
  <c r="D6195" i="2"/>
  <c r="C6195" i="2"/>
  <c r="B6195" i="2"/>
  <c r="A6195" i="2"/>
  <c r="D6194" i="2"/>
  <c r="C6194" i="2"/>
  <c r="B6194" i="2"/>
  <c r="A6194" i="2"/>
  <c r="D6193" i="2"/>
  <c r="C6193" i="2"/>
  <c r="B6193" i="2"/>
  <c r="A6193" i="2"/>
  <c r="D6192" i="2"/>
  <c r="C6192" i="2"/>
  <c r="B6192" i="2"/>
  <c r="A6192" i="2"/>
  <c r="D6191" i="2"/>
  <c r="C6191" i="2"/>
  <c r="B6191" i="2"/>
  <c r="A6191" i="2"/>
  <c r="D6190" i="2"/>
  <c r="C6190" i="2"/>
  <c r="B6190" i="2"/>
  <c r="A6190" i="2"/>
  <c r="D6189" i="2"/>
  <c r="C6189" i="2"/>
  <c r="B6189" i="2"/>
  <c r="A6189" i="2"/>
  <c r="D6188" i="2"/>
  <c r="C6188" i="2"/>
  <c r="B6188" i="2"/>
  <c r="A6188" i="2"/>
  <c r="D6187" i="2"/>
  <c r="C6187" i="2"/>
  <c r="B6187" i="2"/>
  <c r="A6187" i="2"/>
  <c r="D6186" i="2"/>
  <c r="C6186" i="2"/>
  <c r="B6186" i="2"/>
  <c r="A6186" i="2"/>
  <c r="D6185" i="2"/>
  <c r="C6185" i="2"/>
  <c r="B6185" i="2"/>
  <c r="A6185" i="2"/>
  <c r="D6184" i="2"/>
  <c r="C6184" i="2"/>
  <c r="B6184" i="2"/>
  <c r="A6184" i="2"/>
  <c r="D6183" i="2"/>
  <c r="C6183" i="2"/>
  <c r="B6183" i="2"/>
  <c r="A6183" i="2"/>
  <c r="D6182" i="2"/>
  <c r="C6182" i="2"/>
  <c r="B6182" i="2"/>
  <c r="A6182" i="2"/>
  <c r="D6181" i="2"/>
  <c r="C6181" i="2"/>
  <c r="B6181" i="2"/>
  <c r="A6181" i="2"/>
  <c r="D6180" i="2"/>
  <c r="C6180" i="2"/>
  <c r="B6180" i="2"/>
  <c r="A6180" i="2"/>
  <c r="D6179" i="2"/>
  <c r="C6179" i="2"/>
  <c r="B6179" i="2"/>
  <c r="A6179" i="2"/>
  <c r="D6178" i="2"/>
  <c r="C6178" i="2"/>
  <c r="B6178" i="2"/>
  <c r="A6178" i="2"/>
  <c r="D6177" i="2"/>
  <c r="C6177" i="2"/>
  <c r="B6177" i="2"/>
  <c r="A6177" i="2"/>
  <c r="D6176" i="2"/>
  <c r="C6176" i="2"/>
  <c r="B6176" i="2"/>
  <c r="A6176" i="2"/>
  <c r="D6175" i="2"/>
  <c r="C6175" i="2"/>
  <c r="B6175" i="2"/>
  <c r="A6175" i="2"/>
  <c r="D6174" i="2"/>
  <c r="C6174" i="2"/>
  <c r="B6174" i="2"/>
  <c r="A6174" i="2"/>
  <c r="D6173" i="2"/>
  <c r="C6173" i="2"/>
  <c r="B6173" i="2"/>
  <c r="A6173" i="2"/>
  <c r="D6172" i="2"/>
  <c r="C6172" i="2"/>
  <c r="B6172" i="2"/>
  <c r="A6172" i="2"/>
  <c r="D6171" i="2"/>
  <c r="C6171" i="2"/>
  <c r="B6171" i="2"/>
  <c r="A6171" i="2"/>
  <c r="D6170" i="2"/>
  <c r="C6170" i="2"/>
  <c r="B6170" i="2"/>
  <c r="A6170" i="2"/>
  <c r="D6169" i="2"/>
  <c r="C6169" i="2"/>
  <c r="B6169" i="2"/>
  <c r="A6169" i="2"/>
  <c r="D6168" i="2"/>
  <c r="C6168" i="2"/>
  <c r="B6168" i="2"/>
  <c r="A6168" i="2"/>
  <c r="D6167" i="2"/>
  <c r="C6167" i="2"/>
  <c r="B6167" i="2"/>
  <c r="A6167" i="2"/>
  <c r="D6166" i="2"/>
  <c r="C6166" i="2"/>
  <c r="B6166" i="2"/>
  <c r="A6166" i="2"/>
  <c r="D6165" i="2"/>
  <c r="C6165" i="2"/>
  <c r="B6165" i="2"/>
  <c r="A6165" i="2"/>
  <c r="D6164" i="2"/>
  <c r="C6164" i="2"/>
  <c r="B6164" i="2"/>
  <c r="A6164" i="2"/>
  <c r="D6163" i="2"/>
  <c r="C6163" i="2"/>
  <c r="B6163" i="2"/>
  <c r="A6163" i="2"/>
  <c r="D6162" i="2"/>
  <c r="C6162" i="2"/>
  <c r="B6162" i="2"/>
  <c r="A6162" i="2"/>
  <c r="D6161" i="2"/>
  <c r="C6161" i="2"/>
  <c r="B6161" i="2"/>
  <c r="A6161" i="2"/>
  <c r="D6160" i="2"/>
  <c r="C6160" i="2"/>
  <c r="B6160" i="2"/>
  <c r="A6160" i="2"/>
  <c r="D6159" i="2"/>
  <c r="C6159" i="2"/>
  <c r="B6159" i="2"/>
  <c r="A6159" i="2"/>
  <c r="D6158" i="2"/>
  <c r="C6158" i="2"/>
  <c r="B6158" i="2"/>
  <c r="A6158" i="2"/>
  <c r="D6157" i="2"/>
  <c r="C6157" i="2"/>
  <c r="B6157" i="2"/>
  <c r="A6157" i="2"/>
  <c r="D6156" i="2"/>
  <c r="C6156" i="2"/>
  <c r="B6156" i="2"/>
  <c r="A6156" i="2"/>
  <c r="D6155" i="2"/>
  <c r="C6155" i="2"/>
  <c r="B6155" i="2"/>
  <c r="A6155" i="2"/>
  <c r="D6154" i="2"/>
  <c r="C6154" i="2"/>
  <c r="B6154" i="2"/>
  <c r="A6154" i="2"/>
  <c r="D6153" i="2"/>
  <c r="C6153" i="2"/>
  <c r="B6153" i="2"/>
  <c r="A6153" i="2"/>
  <c r="D6152" i="2"/>
  <c r="C6152" i="2"/>
  <c r="B6152" i="2"/>
  <c r="A6152" i="2"/>
  <c r="D6151" i="2"/>
  <c r="C6151" i="2"/>
  <c r="B6151" i="2"/>
  <c r="A6151" i="2"/>
  <c r="D6150" i="2"/>
  <c r="C6150" i="2"/>
  <c r="B6150" i="2"/>
  <c r="A6150" i="2"/>
  <c r="D6149" i="2"/>
  <c r="C6149" i="2"/>
  <c r="B6149" i="2"/>
  <c r="A6149" i="2"/>
  <c r="D6148" i="2"/>
  <c r="C6148" i="2"/>
  <c r="B6148" i="2"/>
  <c r="A6148" i="2"/>
  <c r="D6147" i="2"/>
  <c r="C6147" i="2"/>
  <c r="B6147" i="2"/>
  <c r="A6147" i="2"/>
  <c r="D6146" i="2"/>
  <c r="C6146" i="2"/>
  <c r="B6146" i="2"/>
  <c r="A6146" i="2"/>
  <c r="D6145" i="2"/>
  <c r="C6145" i="2"/>
  <c r="B6145" i="2"/>
  <c r="A6145" i="2"/>
  <c r="D6144" i="2"/>
  <c r="C6144" i="2"/>
  <c r="B6144" i="2"/>
  <c r="A6144" i="2"/>
  <c r="D6143" i="2"/>
  <c r="C6143" i="2"/>
  <c r="B6143" i="2"/>
  <c r="A6143" i="2"/>
  <c r="D6142" i="2"/>
  <c r="C6142" i="2"/>
  <c r="B6142" i="2"/>
  <c r="A6142" i="2"/>
  <c r="D6141" i="2"/>
  <c r="C6141" i="2"/>
  <c r="B6141" i="2"/>
  <c r="A6141" i="2"/>
  <c r="D6140" i="2"/>
  <c r="C6140" i="2"/>
  <c r="B6140" i="2"/>
  <c r="A6140" i="2"/>
  <c r="D6139" i="2"/>
  <c r="C6139" i="2"/>
  <c r="B6139" i="2"/>
  <c r="A6139" i="2"/>
  <c r="D6138" i="2"/>
  <c r="C6138" i="2"/>
  <c r="B6138" i="2"/>
  <c r="A6138" i="2"/>
  <c r="D6137" i="2"/>
  <c r="C6137" i="2"/>
  <c r="B6137" i="2"/>
  <c r="A6137" i="2"/>
  <c r="D6136" i="2"/>
  <c r="C6136" i="2"/>
  <c r="B6136" i="2"/>
  <c r="A6136" i="2"/>
  <c r="D6135" i="2"/>
  <c r="C6135" i="2"/>
  <c r="B6135" i="2"/>
  <c r="A6135" i="2"/>
  <c r="D6134" i="2"/>
  <c r="C6134" i="2"/>
  <c r="B6134" i="2"/>
  <c r="A6134" i="2"/>
  <c r="D6133" i="2"/>
  <c r="C6133" i="2"/>
  <c r="B6133" i="2"/>
  <c r="A6133" i="2"/>
  <c r="D6132" i="2"/>
  <c r="C6132" i="2"/>
  <c r="B6132" i="2"/>
  <c r="A6132" i="2"/>
  <c r="D6131" i="2"/>
  <c r="C6131" i="2"/>
  <c r="B6131" i="2"/>
  <c r="A6131" i="2"/>
  <c r="D6130" i="2"/>
  <c r="C6130" i="2"/>
  <c r="B6130" i="2"/>
  <c r="A6130" i="2"/>
  <c r="D6129" i="2"/>
  <c r="C6129" i="2"/>
  <c r="B6129" i="2"/>
  <c r="A6129" i="2"/>
  <c r="D6128" i="2"/>
  <c r="C6128" i="2"/>
  <c r="B6128" i="2"/>
  <c r="A6128" i="2"/>
  <c r="D6127" i="2"/>
  <c r="C6127" i="2"/>
  <c r="B6127" i="2"/>
  <c r="A6127" i="2"/>
  <c r="D6126" i="2"/>
  <c r="C6126" i="2"/>
  <c r="B6126" i="2"/>
  <c r="A6126" i="2"/>
  <c r="D6125" i="2"/>
  <c r="C6125" i="2"/>
  <c r="B6125" i="2"/>
  <c r="A6125" i="2"/>
  <c r="D6124" i="2"/>
  <c r="C6124" i="2"/>
  <c r="B6124" i="2"/>
  <c r="A6124" i="2"/>
  <c r="D6123" i="2"/>
  <c r="C6123" i="2"/>
  <c r="B6123" i="2"/>
  <c r="A6123" i="2"/>
  <c r="D6122" i="2"/>
  <c r="C6122" i="2"/>
  <c r="B6122" i="2"/>
  <c r="A6122" i="2"/>
  <c r="D6121" i="2"/>
  <c r="C6121" i="2"/>
  <c r="B6121" i="2"/>
  <c r="A6121" i="2"/>
  <c r="D6120" i="2"/>
  <c r="C6120" i="2"/>
  <c r="B6120" i="2"/>
  <c r="A6120" i="2"/>
  <c r="D6119" i="2"/>
  <c r="C6119" i="2"/>
  <c r="B6119" i="2"/>
  <c r="A6119" i="2"/>
  <c r="D6118" i="2"/>
  <c r="C6118" i="2"/>
  <c r="B6118" i="2"/>
  <c r="A6118" i="2"/>
  <c r="D6117" i="2"/>
  <c r="C6117" i="2"/>
  <c r="B6117" i="2"/>
  <c r="A6117" i="2"/>
  <c r="D6116" i="2"/>
  <c r="C6116" i="2"/>
  <c r="B6116" i="2"/>
  <c r="A6116" i="2"/>
  <c r="D6115" i="2"/>
  <c r="C6115" i="2"/>
  <c r="B6115" i="2"/>
  <c r="A6115" i="2"/>
  <c r="D6114" i="2"/>
  <c r="C6114" i="2"/>
  <c r="B6114" i="2"/>
  <c r="A6114" i="2"/>
  <c r="D6113" i="2"/>
  <c r="C6113" i="2"/>
  <c r="B6113" i="2"/>
  <c r="A6113" i="2"/>
  <c r="D6112" i="2"/>
  <c r="C6112" i="2"/>
  <c r="B6112" i="2"/>
  <c r="A6112" i="2"/>
  <c r="D6111" i="2"/>
  <c r="C6111" i="2"/>
  <c r="B6111" i="2"/>
  <c r="A6111" i="2"/>
  <c r="D6110" i="2"/>
  <c r="C6110" i="2"/>
  <c r="B6110" i="2"/>
  <c r="A6110" i="2"/>
  <c r="D6109" i="2"/>
  <c r="C6109" i="2"/>
  <c r="B6109" i="2"/>
  <c r="A6109" i="2"/>
  <c r="D6108" i="2"/>
  <c r="C6108" i="2"/>
  <c r="B6108" i="2"/>
  <c r="A6108" i="2"/>
  <c r="D6107" i="2"/>
  <c r="C6107" i="2"/>
  <c r="B6107" i="2"/>
  <c r="A6107" i="2"/>
  <c r="D6106" i="2"/>
  <c r="C6106" i="2"/>
  <c r="B6106" i="2"/>
  <c r="A6106" i="2"/>
  <c r="D6105" i="2"/>
  <c r="C6105" i="2"/>
  <c r="B6105" i="2"/>
  <c r="A6105" i="2"/>
  <c r="D6104" i="2"/>
  <c r="C6104" i="2"/>
  <c r="B6104" i="2"/>
  <c r="A6104" i="2"/>
  <c r="D6103" i="2"/>
  <c r="C6103" i="2"/>
  <c r="B6103" i="2"/>
  <c r="A6103" i="2"/>
  <c r="D6102" i="2"/>
  <c r="C6102" i="2"/>
  <c r="B6102" i="2"/>
  <c r="A6102" i="2"/>
  <c r="D6101" i="2"/>
  <c r="C6101" i="2"/>
  <c r="B6101" i="2"/>
  <c r="A6101" i="2"/>
  <c r="D6100" i="2"/>
  <c r="C6100" i="2"/>
  <c r="B6100" i="2"/>
  <c r="A6100" i="2"/>
  <c r="D6099" i="2"/>
  <c r="C6099" i="2"/>
  <c r="B6099" i="2"/>
  <c r="A6099" i="2"/>
  <c r="D6098" i="2"/>
  <c r="C6098" i="2"/>
  <c r="B6098" i="2"/>
  <c r="A6098" i="2"/>
  <c r="D6097" i="2"/>
  <c r="C6097" i="2"/>
  <c r="B6097" i="2"/>
  <c r="A6097" i="2"/>
  <c r="D6096" i="2"/>
  <c r="C6096" i="2"/>
  <c r="B6096" i="2"/>
  <c r="A6096" i="2"/>
  <c r="D6095" i="2"/>
  <c r="C6095" i="2"/>
  <c r="B6095" i="2"/>
  <c r="A6095" i="2"/>
  <c r="D6094" i="2"/>
  <c r="C6094" i="2"/>
  <c r="B6094" i="2"/>
  <c r="A6094" i="2"/>
  <c r="D6093" i="2"/>
  <c r="C6093" i="2"/>
  <c r="B6093" i="2"/>
  <c r="A6093" i="2"/>
  <c r="D6092" i="2"/>
  <c r="C6092" i="2"/>
  <c r="B6092" i="2"/>
  <c r="A6092" i="2"/>
  <c r="D6091" i="2"/>
  <c r="C6091" i="2"/>
  <c r="B6091" i="2"/>
  <c r="A6091" i="2"/>
  <c r="D6090" i="2"/>
  <c r="C6090" i="2"/>
  <c r="B6090" i="2"/>
  <c r="A6090" i="2"/>
  <c r="D6089" i="2"/>
  <c r="C6089" i="2"/>
  <c r="B6089" i="2"/>
  <c r="A6089" i="2"/>
  <c r="D6088" i="2"/>
  <c r="C6088" i="2"/>
  <c r="B6088" i="2"/>
  <c r="A6088" i="2"/>
  <c r="D6087" i="2"/>
  <c r="C6087" i="2"/>
  <c r="B6087" i="2"/>
  <c r="A6087" i="2"/>
  <c r="D6086" i="2"/>
  <c r="C6086" i="2"/>
  <c r="B6086" i="2"/>
  <c r="A6086" i="2"/>
  <c r="D6085" i="2"/>
  <c r="C6085" i="2"/>
  <c r="B6085" i="2"/>
  <c r="A6085" i="2"/>
  <c r="D6084" i="2"/>
  <c r="C6084" i="2"/>
  <c r="B6084" i="2"/>
  <c r="A6084" i="2"/>
  <c r="D6083" i="2"/>
  <c r="C6083" i="2"/>
  <c r="B6083" i="2"/>
  <c r="A6083" i="2"/>
  <c r="D6082" i="2"/>
  <c r="C6082" i="2"/>
  <c r="B6082" i="2"/>
  <c r="A6082" i="2"/>
  <c r="D6081" i="2"/>
  <c r="C6081" i="2"/>
  <c r="B6081" i="2"/>
  <c r="A6081" i="2"/>
  <c r="D6080" i="2"/>
  <c r="C6080" i="2"/>
  <c r="B6080" i="2"/>
  <c r="A6080" i="2"/>
  <c r="D6079" i="2"/>
  <c r="C6079" i="2"/>
  <c r="B6079" i="2"/>
  <c r="A6079" i="2"/>
  <c r="D6078" i="2"/>
  <c r="C6078" i="2"/>
  <c r="B6078" i="2"/>
  <c r="A6078" i="2"/>
  <c r="D6077" i="2"/>
  <c r="C6077" i="2"/>
  <c r="B6077" i="2"/>
  <c r="A6077" i="2"/>
  <c r="D6076" i="2"/>
  <c r="C6076" i="2"/>
  <c r="B6076" i="2"/>
  <c r="A6076" i="2"/>
  <c r="D6075" i="2"/>
  <c r="C6075" i="2"/>
  <c r="B6075" i="2"/>
  <c r="A6075" i="2"/>
  <c r="D6074" i="2"/>
  <c r="C6074" i="2"/>
  <c r="B6074" i="2"/>
  <c r="A6074" i="2"/>
  <c r="D6073" i="2"/>
  <c r="C6073" i="2"/>
  <c r="B6073" i="2"/>
  <c r="A6073" i="2"/>
  <c r="D6072" i="2"/>
  <c r="C6072" i="2"/>
  <c r="B6072" i="2"/>
  <c r="A6072" i="2"/>
  <c r="D6071" i="2"/>
  <c r="C6071" i="2"/>
  <c r="B6071" i="2"/>
  <c r="A6071" i="2"/>
  <c r="D6070" i="2"/>
  <c r="C6070" i="2"/>
  <c r="B6070" i="2"/>
  <c r="A6070" i="2"/>
  <c r="D6069" i="2"/>
  <c r="C6069" i="2"/>
  <c r="B6069" i="2"/>
  <c r="A6069" i="2"/>
  <c r="D6068" i="2"/>
  <c r="C6068" i="2"/>
  <c r="B6068" i="2"/>
  <c r="A6068" i="2"/>
  <c r="D6067" i="2"/>
  <c r="C6067" i="2"/>
  <c r="B6067" i="2"/>
  <c r="A6067" i="2"/>
  <c r="D6066" i="2"/>
  <c r="C6066" i="2"/>
  <c r="B6066" i="2"/>
  <c r="A6066" i="2"/>
  <c r="D6065" i="2"/>
  <c r="C6065" i="2"/>
  <c r="B6065" i="2"/>
  <c r="A6065" i="2"/>
  <c r="D6064" i="2"/>
  <c r="C6064" i="2"/>
  <c r="B6064" i="2"/>
  <c r="A6064" i="2"/>
  <c r="D6063" i="2"/>
  <c r="C6063" i="2"/>
  <c r="B6063" i="2"/>
  <c r="A6063" i="2"/>
  <c r="D6062" i="2"/>
  <c r="C6062" i="2"/>
  <c r="B6062" i="2"/>
  <c r="A6062" i="2"/>
  <c r="D6061" i="2"/>
  <c r="C6061" i="2"/>
  <c r="B6061" i="2"/>
  <c r="A6061" i="2"/>
  <c r="D6060" i="2"/>
  <c r="C6060" i="2"/>
  <c r="B6060" i="2"/>
  <c r="A6060" i="2"/>
  <c r="D6059" i="2"/>
  <c r="C6059" i="2"/>
  <c r="B6059" i="2"/>
  <c r="A6059" i="2"/>
  <c r="D6058" i="2"/>
  <c r="C6058" i="2"/>
  <c r="B6058" i="2"/>
  <c r="A6058" i="2"/>
  <c r="D6057" i="2"/>
  <c r="C6057" i="2"/>
  <c r="B6057" i="2"/>
  <c r="A6057" i="2"/>
  <c r="D6056" i="2"/>
  <c r="C6056" i="2"/>
  <c r="B6056" i="2"/>
  <c r="A6056" i="2"/>
  <c r="D6055" i="2"/>
  <c r="C6055" i="2"/>
  <c r="B6055" i="2"/>
  <c r="A6055" i="2"/>
  <c r="D6054" i="2"/>
  <c r="C6054" i="2"/>
  <c r="B6054" i="2"/>
  <c r="A6054" i="2"/>
  <c r="D6053" i="2"/>
  <c r="C6053" i="2"/>
  <c r="B6053" i="2"/>
  <c r="A6053" i="2"/>
  <c r="D6052" i="2"/>
  <c r="B6052" i="2"/>
  <c r="A6052" i="2"/>
  <c r="D6051" i="2"/>
  <c r="C6051" i="2"/>
  <c r="B6051" i="2"/>
  <c r="A6051" i="2"/>
  <c r="D6050" i="2"/>
  <c r="B6050" i="2"/>
  <c r="A6050" i="2"/>
  <c r="D6049" i="2"/>
  <c r="B6049" i="2"/>
  <c r="A6049" i="2"/>
  <c r="D6048" i="2"/>
  <c r="B6048" i="2"/>
  <c r="A6048" i="2"/>
  <c r="D6047" i="2"/>
  <c r="C6047" i="2"/>
  <c r="B6047" i="2"/>
  <c r="A6047" i="2"/>
  <c r="D6046" i="2"/>
  <c r="C6046" i="2"/>
  <c r="B6046" i="2"/>
  <c r="A6046" i="2"/>
  <c r="D6045" i="2"/>
  <c r="C6045" i="2"/>
  <c r="B6045" i="2"/>
  <c r="A6045" i="2"/>
  <c r="D6044" i="2"/>
  <c r="B6044" i="2"/>
  <c r="A6044" i="2"/>
  <c r="D6043" i="2"/>
  <c r="B6043" i="2"/>
  <c r="A6043" i="2"/>
  <c r="D6042" i="2"/>
  <c r="B6042" i="2"/>
  <c r="A6042" i="2"/>
  <c r="D6041" i="2"/>
  <c r="B6041" i="2"/>
  <c r="A6041" i="2"/>
  <c r="D6040" i="2"/>
  <c r="B6040" i="2"/>
  <c r="A6040" i="2"/>
  <c r="D6039" i="2"/>
  <c r="B6039" i="2"/>
  <c r="A6039" i="2"/>
  <c r="D6038" i="2"/>
  <c r="B6038" i="2"/>
  <c r="A6038" i="2"/>
  <c r="D6037" i="2"/>
  <c r="C6037" i="2"/>
  <c r="B6037" i="2"/>
  <c r="A6037" i="2"/>
  <c r="D6036" i="2"/>
  <c r="C6036" i="2"/>
  <c r="B6036" i="2"/>
  <c r="A6036" i="2"/>
  <c r="D6035" i="2"/>
  <c r="C6035" i="2"/>
  <c r="B6035" i="2"/>
  <c r="A6035" i="2"/>
  <c r="D6034" i="2"/>
  <c r="C6034" i="2"/>
  <c r="B6034" i="2"/>
  <c r="A6034" i="2"/>
  <c r="D6033" i="2"/>
  <c r="C6033" i="2"/>
  <c r="B6033" i="2"/>
  <c r="A6033" i="2"/>
  <c r="D6032" i="2"/>
  <c r="B6032" i="2"/>
  <c r="A6032" i="2"/>
  <c r="D6031" i="2"/>
  <c r="B6031" i="2"/>
  <c r="A6031" i="2"/>
  <c r="D6030" i="2"/>
  <c r="C6030" i="2"/>
  <c r="B6030" i="2"/>
  <c r="A6030" i="2"/>
  <c r="D6029" i="2"/>
  <c r="C6029" i="2"/>
  <c r="B6029" i="2"/>
  <c r="A6029" i="2"/>
  <c r="D6028" i="2"/>
  <c r="C6028" i="2"/>
  <c r="B6028" i="2"/>
  <c r="A6028" i="2"/>
  <c r="D6027" i="2"/>
  <c r="C6027" i="2"/>
  <c r="B6027" i="2"/>
  <c r="A6027" i="2"/>
  <c r="D6026" i="2"/>
  <c r="C6026" i="2"/>
  <c r="B6026" i="2"/>
  <c r="A6026" i="2"/>
  <c r="D6025" i="2"/>
  <c r="C6025" i="2"/>
  <c r="B6025" i="2"/>
  <c r="A6025" i="2"/>
  <c r="D6024" i="2"/>
  <c r="B6024" i="2"/>
  <c r="A6024" i="2"/>
  <c r="D6023" i="2"/>
  <c r="C6023" i="2"/>
  <c r="B6023" i="2"/>
  <c r="A6023" i="2"/>
  <c r="D6022" i="2"/>
  <c r="C6022" i="2"/>
  <c r="B6022" i="2"/>
  <c r="A6022" i="2"/>
  <c r="D6021" i="2"/>
  <c r="C6021" i="2"/>
  <c r="B6021" i="2"/>
  <c r="A6021" i="2"/>
  <c r="D6020" i="2"/>
  <c r="B6020" i="2"/>
  <c r="A6020" i="2"/>
  <c r="D6019" i="2"/>
  <c r="C6019" i="2"/>
  <c r="B6019" i="2"/>
  <c r="A6019" i="2"/>
  <c r="D6018" i="2"/>
  <c r="B6018" i="2"/>
  <c r="A6018" i="2"/>
  <c r="D6017" i="2"/>
  <c r="C6017" i="2"/>
  <c r="B6017" i="2"/>
  <c r="A6017" i="2"/>
  <c r="D6016" i="2"/>
  <c r="C6016" i="2"/>
  <c r="B6016" i="2"/>
  <c r="A6016" i="2"/>
  <c r="D6015" i="2"/>
  <c r="B6015" i="2"/>
  <c r="A6015" i="2"/>
  <c r="D6014" i="2"/>
  <c r="C6014" i="2"/>
  <c r="B6014" i="2"/>
  <c r="A6014" i="2"/>
  <c r="D6013" i="2"/>
  <c r="C6013" i="2"/>
  <c r="B6013" i="2"/>
  <c r="A6013" i="2"/>
  <c r="D6012" i="2"/>
  <c r="B6012" i="2"/>
  <c r="A6012" i="2"/>
  <c r="D6011" i="2"/>
  <c r="C6011" i="2"/>
  <c r="B6011" i="2"/>
  <c r="A6011" i="2"/>
  <c r="D6010" i="2"/>
  <c r="B6010" i="2"/>
  <c r="A6010" i="2"/>
  <c r="D6009" i="2"/>
  <c r="C6009" i="2"/>
  <c r="B6009" i="2"/>
  <c r="A6009" i="2"/>
  <c r="D6008" i="2"/>
  <c r="C6008" i="2"/>
  <c r="B6008" i="2"/>
  <c r="A6008" i="2"/>
  <c r="D6007" i="2"/>
  <c r="C6007" i="2"/>
  <c r="B6007" i="2"/>
  <c r="A6007" i="2"/>
  <c r="D6006" i="2"/>
  <c r="B6006" i="2"/>
  <c r="A6006" i="2"/>
  <c r="D6005" i="2"/>
  <c r="C6005" i="2"/>
  <c r="B6005" i="2"/>
  <c r="A6005" i="2"/>
  <c r="D6004" i="2"/>
  <c r="B6004" i="2"/>
  <c r="A6004" i="2"/>
  <c r="D6003" i="2"/>
  <c r="C6003" i="2"/>
  <c r="B6003" i="2"/>
  <c r="A6003" i="2"/>
  <c r="D6002" i="2"/>
  <c r="C6002" i="2"/>
  <c r="B6002" i="2"/>
  <c r="A6002" i="2"/>
  <c r="D6001" i="2"/>
  <c r="C6001" i="2"/>
  <c r="B6001" i="2"/>
  <c r="A6001" i="2"/>
  <c r="D6000" i="2"/>
  <c r="C6000" i="2"/>
  <c r="B6000" i="2"/>
  <c r="A6000" i="2"/>
  <c r="D5999" i="2"/>
  <c r="C5999" i="2"/>
  <c r="B5999" i="2"/>
  <c r="A5999" i="2"/>
  <c r="D5998" i="2"/>
  <c r="C5998" i="2"/>
  <c r="B5998" i="2"/>
  <c r="A5998" i="2"/>
  <c r="D5997" i="2"/>
  <c r="C5997" i="2"/>
  <c r="B5997" i="2"/>
  <c r="A5997" i="2"/>
  <c r="D5996" i="2"/>
  <c r="C5996" i="2"/>
  <c r="B5996" i="2"/>
  <c r="A5996" i="2"/>
  <c r="D5995" i="2"/>
  <c r="C5995" i="2"/>
  <c r="B5995" i="2"/>
  <c r="A5995" i="2"/>
  <c r="D5994" i="2"/>
  <c r="C5994" i="2"/>
  <c r="B5994" i="2"/>
  <c r="A5994" i="2"/>
  <c r="D5993" i="2"/>
  <c r="C5993" i="2"/>
  <c r="B5993" i="2"/>
  <c r="A5993" i="2"/>
  <c r="D5992" i="2"/>
  <c r="C5992" i="2"/>
  <c r="B5992" i="2"/>
  <c r="A5992" i="2"/>
  <c r="D5991" i="2"/>
  <c r="C5991" i="2"/>
  <c r="B5991" i="2"/>
  <c r="A5991" i="2"/>
  <c r="D5990" i="2"/>
  <c r="C5990" i="2"/>
  <c r="B5990" i="2"/>
  <c r="A5990" i="2"/>
  <c r="D5989" i="2"/>
  <c r="C5989" i="2"/>
  <c r="B5989" i="2"/>
  <c r="A5989" i="2"/>
  <c r="D5988" i="2"/>
  <c r="C5988" i="2"/>
  <c r="B5988" i="2"/>
  <c r="A5988" i="2"/>
  <c r="D5987" i="2"/>
  <c r="C5987" i="2"/>
  <c r="B5987" i="2"/>
  <c r="A5987" i="2"/>
  <c r="D5986" i="2"/>
  <c r="C5986" i="2"/>
  <c r="B5986" i="2"/>
  <c r="A5986" i="2"/>
  <c r="D5985" i="2"/>
  <c r="C5985" i="2"/>
  <c r="B5985" i="2"/>
  <c r="A5985" i="2"/>
  <c r="D5984" i="2"/>
  <c r="C5984" i="2"/>
  <c r="B5984" i="2"/>
  <c r="A5984" i="2"/>
  <c r="D5983" i="2"/>
  <c r="C5983" i="2"/>
  <c r="B5983" i="2"/>
  <c r="A5983" i="2"/>
  <c r="D5982" i="2"/>
  <c r="C5982" i="2"/>
  <c r="B5982" i="2"/>
  <c r="A5982" i="2"/>
  <c r="D5981" i="2"/>
  <c r="C5981" i="2"/>
  <c r="B5981" i="2"/>
  <c r="A5981" i="2"/>
  <c r="D5980" i="2"/>
  <c r="C5980" i="2"/>
  <c r="B5980" i="2"/>
  <c r="A5980" i="2"/>
  <c r="D5979" i="2"/>
  <c r="C5979" i="2"/>
  <c r="B5979" i="2"/>
  <c r="A5979" i="2"/>
  <c r="D5978" i="2"/>
  <c r="B5978" i="2"/>
  <c r="A5978" i="2"/>
  <c r="D5977" i="2"/>
  <c r="C5977" i="2"/>
  <c r="B5977" i="2"/>
  <c r="A5977" i="2"/>
  <c r="D5976" i="2"/>
  <c r="C5976" i="2"/>
  <c r="B5976" i="2"/>
  <c r="A5976" i="2"/>
  <c r="D5975" i="2"/>
  <c r="C5975" i="2"/>
  <c r="B5975" i="2"/>
  <c r="A5975" i="2"/>
  <c r="D5974" i="2"/>
  <c r="C5974" i="2"/>
  <c r="B5974" i="2"/>
  <c r="A5974" i="2"/>
  <c r="D5973" i="2"/>
  <c r="C5973" i="2"/>
  <c r="B5973" i="2"/>
  <c r="A5973" i="2"/>
  <c r="D5972" i="2"/>
  <c r="C5972" i="2"/>
  <c r="B5972" i="2"/>
  <c r="A5972" i="2"/>
  <c r="D5971" i="2"/>
  <c r="C5971" i="2"/>
  <c r="B5971" i="2"/>
  <c r="A5971" i="2"/>
  <c r="D5970" i="2"/>
  <c r="C5970" i="2"/>
  <c r="B5970" i="2"/>
  <c r="A5970" i="2"/>
  <c r="D5969" i="2"/>
  <c r="C5969" i="2"/>
  <c r="B5969" i="2"/>
  <c r="A5969" i="2"/>
  <c r="D5968" i="2"/>
  <c r="C5968" i="2"/>
  <c r="B5968" i="2"/>
  <c r="A5968" i="2"/>
  <c r="D5967" i="2"/>
  <c r="B5967" i="2"/>
  <c r="A5967" i="2"/>
  <c r="D5966" i="2"/>
  <c r="C5966" i="2"/>
  <c r="B5966" i="2"/>
  <c r="A5966" i="2"/>
  <c r="D5965" i="2"/>
  <c r="C5965" i="2"/>
  <c r="B5965" i="2"/>
  <c r="A5965" i="2"/>
  <c r="D5964" i="2"/>
  <c r="B5964" i="2"/>
  <c r="A5964" i="2"/>
  <c r="D5963" i="2"/>
  <c r="C5963" i="2"/>
  <c r="B5963" i="2"/>
  <c r="A5963" i="2"/>
  <c r="D5962" i="2"/>
  <c r="C5962" i="2"/>
  <c r="B5962" i="2"/>
  <c r="A5962" i="2"/>
  <c r="D5961" i="2"/>
  <c r="C5961" i="2"/>
  <c r="B5961" i="2"/>
  <c r="A5961" i="2"/>
  <c r="D5960" i="2"/>
  <c r="C5960" i="2"/>
  <c r="B5960" i="2"/>
  <c r="A5960" i="2"/>
  <c r="D5959" i="2"/>
  <c r="C5959" i="2"/>
  <c r="B5959" i="2"/>
  <c r="A5959" i="2"/>
  <c r="D5958" i="2"/>
  <c r="C5958" i="2"/>
  <c r="B5958" i="2"/>
  <c r="A5958" i="2"/>
  <c r="D5957" i="2"/>
  <c r="C5957" i="2"/>
  <c r="B5957" i="2"/>
  <c r="A5957" i="2"/>
  <c r="D5956" i="2"/>
  <c r="C5956" i="2"/>
  <c r="B5956" i="2"/>
  <c r="A5956" i="2"/>
  <c r="D5955" i="2"/>
  <c r="C5955" i="2"/>
  <c r="B5955" i="2"/>
  <c r="A5955" i="2"/>
  <c r="D5954" i="2"/>
  <c r="C5954" i="2"/>
  <c r="B5954" i="2"/>
  <c r="A5954" i="2"/>
  <c r="D5953" i="2"/>
  <c r="C5953" i="2"/>
  <c r="B5953" i="2"/>
  <c r="A5953" i="2"/>
  <c r="D5952" i="2"/>
  <c r="C5952" i="2"/>
  <c r="B5952" i="2"/>
  <c r="A5952" i="2"/>
  <c r="D5951" i="2"/>
  <c r="C5951" i="2"/>
  <c r="B5951" i="2"/>
  <c r="A5951" i="2"/>
  <c r="D5950" i="2"/>
  <c r="C5950" i="2"/>
  <c r="B5950" i="2"/>
  <c r="A5950" i="2"/>
  <c r="D5949" i="2"/>
  <c r="C5949" i="2"/>
  <c r="B5949" i="2"/>
  <c r="A5949" i="2"/>
  <c r="D5948" i="2"/>
  <c r="C5948" i="2"/>
  <c r="B5948" i="2"/>
  <c r="A5948" i="2"/>
  <c r="D5947" i="2"/>
  <c r="C5947" i="2"/>
  <c r="B5947" i="2"/>
  <c r="A5947" i="2"/>
  <c r="D5946" i="2"/>
  <c r="C5946" i="2"/>
  <c r="B5946" i="2"/>
  <c r="A5946" i="2"/>
  <c r="D5945" i="2"/>
  <c r="C5945" i="2"/>
  <c r="B5945" i="2"/>
  <c r="A5945" i="2"/>
  <c r="D5944" i="2"/>
  <c r="C5944" i="2"/>
  <c r="B5944" i="2"/>
  <c r="A5944" i="2"/>
  <c r="D5943" i="2"/>
  <c r="C5943" i="2"/>
  <c r="B5943" i="2"/>
  <c r="A5943" i="2"/>
  <c r="D5942" i="2"/>
  <c r="C5942" i="2"/>
  <c r="B5942" i="2"/>
  <c r="A5942" i="2"/>
  <c r="D5941" i="2"/>
  <c r="C5941" i="2"/>
  <c r="B5941" i="2"/>
  <c r="A5941" i="2"/>
  <c r="D5940" i="2"/>
  <c r="C5940" i="2"/>
  <c r="B5940" i="2"/>
  <c r="A5940" i="2"/>
  <c r="D5939" i="2"/>
  <c r="C5939" i="2"/>
  <c r="B5939" i="2"/>
  <c r="A5939" i="2"/>
  <c r="D5938" i="2"/>
  <c r="C5938" i="2"/>
  <c r="B5938" i="2"/>
  <c r="A5938" i="2"/>
  <c r="D5937" i="2"/>
  <c r="C5937" i="2"/>
  <c r="B5937" i="2"/>
  <c r="A5937" i="2"/>
  <c r="D5936" i="2"/>
  <c r="C5936" i="2"/>
  <c r="B5936" i="2"/>
  <c r="A5936" i="2"/>
  <c r="D5935" i="2"/>
  <c r="C5935" i="2"/>
  <c r="B5935" i="2"/>
  <c r="A5935" i="2"/>
  <c r="D5934" i="2"/>
  <c r="C5934" i="2"/>
  <c r="B5934" i="2"/>
  <c r="A5934" i="2"/>
  <c r="D5933" i="2"/>
  <c r="C5933" i="2"/>
  <c r="B5933" i="2"/>
  <c r="A5933" i="2"/>
  <c r="D5932" i="2"/>
  <c r="C5932" i="2"/>
  <c r="B5932" i="2"/>
  <c r="A5932" i="2"/>
  <c r="D5931" i="2"/>
  <c r="C5931" i="2"/>
  <c r="B5931" i="2"/>
  <c r="A5931" i="2"/>
  <c r="D5930" i="2"/>
  <c r="C5930" i="2"/>
  <c r="B5930" i="2"/>
  <c r="A5930" i="2"/>
  <c r="D5929" i="2"/>
  <c r="C5929" i="2"/>
  <c r="B5929" i="2"/>
  <c r="A5929" i="2"/>
  <c r="D5928" i="2"/>
  <c r="C5928" i="2"/>
  <c r="B5928" i="2"/>
  <c r="A5928" i="2"/>
  <c r="D5927" i="2"/>
  <c r="C5927" i="2"/>
  <c r="B5927" i="2"/>
  <c r="A5927" i="2"/>
  <c r="D5926" i="2"/>
  <c r="C5926" i="2"/>
  <c r="B5926" i="2"/>
  <c r="A5926" i="2"/>
  <c r="D5925" i="2"/>
  <c r="C5925" i="2"/>
  <c r="B5925" i="2"/>
  <c r="A5925" i="2"/>
  <c r="D5924" i="2"/>
  <c r="C5924" i="2"/>
  <c r="B5924" i="2"/>
  <c r="A5924" i="2"/>
  <c r="D5923" i="2"/>
  <c r="C5923" i="2"/>
  <c r="B5923" i="2"/>
  <c r="A5923" i="2"/>
  <c r="D5922" i="2"/>
  <c r="C5922" i="2"/>
  <c r="B5922" i="2"/>
  <c r="A5922" i="2"/>
  <c r="D5921" i="2"/>
  <c r="C5921" i="2"/>
  <c r="B5921" i="2"/>
  <c r="A5921" i="2"/>
  <c r="D5920" i="2"/>
  <c r="C5920" i="2"/>
  <c r="B5920" i="2"/>
  <c r="A5920" i="2"/>
  <c r="D5919" i="2"/>
  <c r="C5919" i="2"/>
  <c r="B5919" i="2"/>
  <c r="A5919" i="2"/>
  <c r="D5918" i="2"/>
  <c r="C5918" i="2"/>
  <c r="B5918" i="2"/>
  <c r="A5918" i="2"/>
  <c r="D5917" i="2"/>
  <c r="C5917" i="2"/>
  <c r="B5917" i="2"/>
  <c r="A5917" i="2"/>
  <c r="D5916" i="2"/>
  <c r="C5916" i="2"/>
  <c r="B5916" i="2"/>
  <c r="A5916" i="2"/>
  <c r="D5915" i="2"/>
  <c r="C5915" i="2"/>
  <c r="B5915" i="2"/>
  <c r="A5915" i="2"/>
  <c r="D5914" i="2"/>
  <c r="C5914" i="2"/>
  <c r="B5914" i="2"/>
  <c r="A5914" i="2"/>
  <c r="D5913" i="2"/>
  <c r="C5913" i="2"/>
  <c r="B5913" i="2"/>
  <c r="A5913" i="2"/>
  <c r="D5912" i="2"/>
  <c r="C5912" i="2"/>
  <c r="B5912" i="2"/>
  <c r="A5912" i="2"/>
  <c r="D5911" i="2"/>
  <c r="C5911" i="2"/>
  <c r="B5911" i="2"/>
  <c r="A5911" i="2"/>
  <c r="D5910" i="2"/>
  <c r="C5910" i="2"/>
  <c r="B5910" i="2"/>
  <c r="A5910" i="2"/>
  <c r="D5909" i="2"/>
  <c r="C5909" i="2"/>
  <c r="B5909" i="2"/>
  <c r="A5909" i="2"/>
  <c r="D5908" i="2"/>
  <c r="C5908" i="2"/>
  <c r="B5908" i="2"/>
  <c r="A5908" i="2"/>
  <c r="D5907" i="2"/>
  <c r="C5907" i="2"/>
  <c r="B5907" i="2"/>
  <c r="A5907" i="2"/>
  <c r="D5906" i="2"/>
  <c r="C5906" i="2"/>
  <c r="B5906" i="2"/>
  <c r="A5906" i="2"/>
  <c r="D5905" i="2"/>
  <c r="C5905" i="2"/>
  <c r="B5905" i="2"/>
  <c r="A5905" i="2"/>
  <c r="D5904" i="2"/>
  <c r="C5904" i="2"/>
  <c r="B5904" i="2"/>
  <c r="A5904" i="2"/>
  <c r="D5903" i="2"/>
  <c r="C5903" i="2"/>
  <c r="B5903" i="2"/>
  <c r="A5903" i="2"/>
  <c r="D5902" i="2"/>
  <c r="C5902" i="2"/>
  <c r="B5902" i="2"/>
  <c r="A5902" i="2"/>
  <c r="D5901" i="2"/>
  <c r="C5901" i="2"/>
  <c r="B5901" i="2"/>
  <c r="A5901" i="2"/>
  <c r="D5900" i="2"/>
  <c r="C5900" i="2"/>
  <c r="B5900" i="2"/>
  <c r="A5900" i="2"/>
  <c r="D5899" i="2"/>
  <c r="C5899" i="2"/>
  <c r="B5899" i="2"/>
  <c r="A5899" i="2"/>
  <c r="D5898" i="2"/>
  <c r="C5898" i="2"/>
  <c r="B5898" i="2"/>
  <c r="A5898" i="2"/>
  <c r="D5897" i="2"/>
  <c r="C5897" i="2"/>
  <c r="B5897" i="2"/>
  <c r="A5897" i="2"/>
  <c r="D5896" i="2"/>
  <c r="C5896" i="2"/>
  <c r="B5896" i="2"/>
  <c r="A5896" i="2"/>
  <c r="D5895" i="2"/>
  <c r="C5895" i="2"/>
  <c r="B5895" i="2"/>
  <c r="A5895" i="2"/>
  <c r="D5894" i="2"/>
  <c r="C5894" i="2"/>
  <c r="B5894" i="2"/>
  <c r="A5894" i="2"/>
  <c r="D5893" i="2"/>
  <c r="C5893" i="2"/>
  <c r="B5893" i="2"/>
  <c r="A5893" i="2"/>
  <c r="D5892" i="2"/>
  <c r="C5892" i="2"/>
  <c r="B5892" i="2"/>
  <c r="A5892" i="2"/>
  <c r="D5891" i="2"/>
  <c r="C5891" i="2"/>
  <c r="B5891" i="2"/>
  <c r="A5891" i="2"/>
  <c r="D5890" i="2"/>
  <c r="C5890" i="2"/>
  <c r="B5890" i="2"/>
  <c r="A5890" i="2"/>
  <c r="D5889" i="2"/>
  <c r="C5889" i="2"/>
  <c r="B5889" i="2"/>
  <c r="A5889" i="2"/>
  <c r="D5888" i="2"/>
  <c r="C5888" i="2"/>
  <c r="B5888" i="2"/>
  <c r="A5888" i="2"/>
  <c r="D5887" i="2"/>
  <c r="C5887" i="2"/>
  <c r="B5887" i="2"/>
  <c r="A5887" i="2"/>
  <c r="D5886" i="2"/>
  <c r="C5886" i="2"/>
  <c r="B5886" i="2"/>
  <c r="A5886" i="2"/>
  <c r="D5885" i="2"/>
  <c r="C5885" i="2"/>
  <c r="B5885" i="2"/>
  <c r="A5885" i="2"/>
  <c r="D5884" i="2"/>
  <c r="C5884" i="2"/>
  <c r="B5884" i="2"/>
  <c r="A5884" i="2"/>
  <c r="D5883" i="2"/>
  <c r="C5883" i="2"/>
  <c r="B5883" i="2"/>
  <c r="A5883" i="2"/>
  <c r="D5882" i="2"/>
  <c r="C5882" i="2"/>
  <c r="B5882" i="2"/>
  <c r="A5882" i="2"/>
  <c r="D5881" i="2"/>
  <c r="C5881" i="2"/>
  <c r="B5881" i="2"/>
  <c r="A5881" i="2"/>
  <c r="D5880" i="2"/>
  <c r="C5880" i="2"/>
  <c r="B5880" i="2"/>
  <c r="A5880" i="2"/>
  <c r="D5879" i="2"/>
  <c r="C5879" i="2"/>
  <c r="B5879" i="2"/>
  <c r="A5879" i="2"/>
  <c r="D5878" i="2"/>
  <c r="C5878" i="2"/>
  <c r="B5878" i="2"/>
  <c r="A5878" i="2"/>
  <c r="D5877" i="2"/>
  <c r="C5877" i="2"/>
  <c r="B5877" i="2"/>
  <c r="A5877" i="2"/>
  <c r="D5876" i="2"/>
  <c r="C5876" i="2"/>
  <c r="B5876" i="2"/>
  <c r="A5876" i="2"/>
  <c r="D5875" i="2"/>
  <c r="C5875" i="2"/>
  <c r="B5875" i="2"/>
  <c r="A5875" i="2"/>
  <c r="D5874" i="2"/>
  <c r="C5874" i="2"/>
  <c r="B5874" i="2"/>
  <c r="A5874" i="2"/>
  <c r="D5873" i="2"/>
  <c r="B5873" i="2"/>
  <c r="A5873" i="2"/>
  <c r="D5872" i="2"/>
  <c r="C5872" i="2"/>
  <c r="B5872" i="2"/>
  <c r="A5872" i="2"/>
  <c r="D5871" i="2"/>
  <c r="C5871" i="2"/>
  <c r="B5871" i="2"/>
  <c r="A5871" i="2"/>
  <c r="D5870" i="2"/>
  <c r="C5870" i="2"/>
  <c r="B5870" i="2"/>
  <c r="A5870" i="2"/>
  <c r="D5869" i="2"/>
  <c r="C5869" i="2"/>
  <c r="B5869" i="2"/>
  <c r="A5869" i="2"/>
  <c r="D5868" i="2"/>
  <c r="C5868" i="2"/>
  <c r="B5868" i="2"/>
  <c r="A5868" i="2"/>
  <c r="D5867" i="2"/>
  <c r="B5867" i="2"/>
  <c r="A5867" i="2"/>
  <c r="D5866" i="2"/>
  <c r="B5866" i="2"/>
  <c r="A5866" i="2"/>
  <c r="D5865" i="2"/>
  <c r="B5865" i="2"/>
  <c r="A5865" i="2"/>
  <c r="D5864" i="2"/>
  <c r="C5864" i="2"/>
  <c r="B5864" i="2"/>
  <c r="A5864" i="2"/>
  <c r="D5863" i="2"/>
  <c r="C5863" i="2"/>
  <c r="B5863" i="2"/>
  <c r="A5863" i="2"/>
  <c r="D5862" i="2"/>
  <c r="C5862" i="2"/>
  <c r="B5862" i="2"/>
  <c r="A5862" i="2"/>
  <c r="D5861" i="2"/>
  <c r="C5861" i="2"/>
  <c r="B5861" i="2"/>
  <c r="A5861" i="2"/>
  <c r="D5860" i="2"/>
  <c r="C5860" i="2"/>
  <c r="B5860" i="2"/>
  <c r="A5860" i="2"/>
  <c r="D5859" i="2"/>
  <c r="C5859" i="2"/>
  <c r="B5859" i="2"/>
  <c r="A5859" i="2"/>
  <c r="D5858" i="2"/>
  <c r="C5858" i="2"/>
  <c r="B5858" i="2"/>
  <c r="A5858" i="2"/>
  <c r="D5857" i="2"/>
  <c r="C5857" i="2"/>
  <c r="B5857" i="2"/>
  <c r="A5857" i="2"/>
  <c r="D5856" i="2"/>
  <c r="C5856" i="2"/>
  <c r="B5856" i="2"/>
  <c r="A5856" i="2"/>
  <c r="D5855" i="2"/>
  <c r="C5855" i="2"/>
  <c r="B5855" i="2"/>
  <c r="A5855" i="2"/>
  <c r="D5854" i="2"/>
  <c r="C5854" i="2"/>
  <c r="B5854" i="2"/>
  <c r="A5854" i="2"/>
  <c r="D5853" i="2"/>
  <c r="C5853" i="2"/>
  <c r="B5853" i="2"/>
  <c r="A5853" i="2"/>
  <c r="D5852" i="2"/>
  <c r="C5852" i="2"/>
  <c r="B5852" i="2"/>
  <c r="A5852" i="2"/>
  <c r="D5851" i="2"/>
  <c r="C5851" i="2"/>
  <c r="B5851" i="2"/>
  <c r="A5851" i="2"/>
  <c r="D5850" i="2"/>
  <c r="C5850" i="2"/>
  <c r="B5850" i="2"/>
  <c r="A5850" i="2"/>
  <c r="D5849" i="2"/>
  <c r="C5849" i="2"/>
  <c r="B5849" i="2"/>
  <c r="A5849" i="2"/>
  <c r="D5848" i="2"/>
  <c r="C5848" i="2"/>
  <c r="B5848" i="2"/>
  <c r="A5848" i="2"/>
  <c r="D5847" i="2"/>
  <c r="C5847" i="2"/>
  <c r="B5847" i="2"/>
  <c r="A5847" i="2"/>
  <c r="D5846" i="2"/>
  <c r="C5846" i="2"/>
  <c r="B5846" i="2"/>
  <c r="A5846" i="2"/>
  <c r="D5845" i="2"/>
  <c r="C5845" i="2"/>
  <c r="B5845" i="2"/>
  <c r="A5845" i="2"/>
  <c r="D5844" i="2"/>
  <c r="C5844" i="2"/>
  <c r="B5844" i="2"/>
  <c r="A5844" i="2"/>
  <c r="D5843" i="2"/>
  <c r="C5843" i="2"/>
  <c r="B5843" i="2"/>
  <c r="A5843" i="2"/>
  <c r="D5842" i="2"/>
  <c r="C5842" i="2"/>
  <c r="B5842" i="2"/>
  <c r="A5842" i="2"/>
  <c r="D5841" i="2"/>
  <c r="C5841" i="2"/>
  <c r="B5841" i="2"/>
  <c r="A5841" i="2"/>
  <c r="D5840" i="2"/>
  <c r="C5840" i="2"/>
  <c r="B5840" i="2"/>
  <c r="A5840" i="2"/>
  <c r="D5839" i="2"/>
  <c r="C5839" i="2"/>
  <c r="B5839" i="2"/>
  <c r="A5839" i="2"/>
  <c r="D5838" i="2"/>
  <c r="C5838" i="2"/>
  <c r="B5838" i="2"/>
  <c r="A5838" i="2"/>
  <c r="D5837" i="2"/>
  <c r="C5837" i="2"/>
  <c r="B5837" i="2"/>
  <c r="A5837" i="2"/>
  <c r="D5836" i="2"/>
  <c r="C5836" i="2"/>
  <c r="B5836" i="2"/>
  <c r="A5836" i="2"/>
  <c r="D5835" i="2"/>
  <c r="C5835" i="2"/>
  <c r="B5835" i="2"/>
  <c r="A5835" i="2"/>
  <c r="D5834" i="2"/>
  <c r="C5834" i="2"/>
  <c r="B5834" i="2"/>
  <c r="A5834" i="2"/>
  <c r="D5833" i="2"/>
  <c r="C5833" i="2"/>
  <c r="B5833" i="2"/>
  <c r="A5833" i="2"/>
  <c r="D5832" i="2"/>
  <c r="C5832" i="2"/>
  <c r="B5832" i="2"/>
  <c r="A5832" i="2"/>
  <c r="D5831" i="2"/>
  <c r="C5831" i="2"/>
  <c r="B5831" i="2"/>
  <c r="A5831" i="2"/>
  <c r="D5830" i="2"/>
  <c r="C5830" i="2"/>
  <c r="B5830" i="2"/>
  <c r="A5830" i="2"/>
  <c r="D5829" i="2"/>
  <c r="C5829" i="2"/>
  <c r="B5829" i="2"/>
  <c r="A5829" i="2"/>
  <c r="D5828" i="2"/>
  <c r="C5828" i="2"/>
  <c r="B5828" i="2"/>
  <c r="A5828" i="2"/>
  <c r="D5827" i="2"/>
  <c r="C5827" i="2"/>
  <c r="B5827" i="2"/>
  <c r="A5827" i="2"/>
  <c r="D5826" i="2"/>
  <c r="C5826" i="2"/>
  <c r="B5826" i="2"/>
  <c r="A5826" i="2"/>
  <c r="D5825" i="2"/>
  <c r="C5825" i="2"/>
  <c r="B5825" i="2"/>
  <c r="A5825" i="2"/>
  <c r="D5824" i="2"/>
  <c r="C5824" i="2"/>
  <c r="B5824" i="2"/>
  <c r="A5824" i="2"/>
  <c r="D5823" i="2"/>
  <c r="C5823" i="2"/>
  <c r="B5823" i="2"/>
  <c r="A5823" i="2"/>
  <c r="D5822" i="2"/>
  <c r="C5822" i="2"/>
  <c r="B5822" i="2"/>
  <c r="A5822" i="2"/>
  <c r="D5821" i="2"/>
  <c r="C5821" i="2"/>
  <c r="B5821" i="2"/>
  <c r="A5821" i="2"/>
  <c r="D5820" i="2"/>
  <c r="C5820" i="2"/>
  <c r="B5820" i="2"/>
  <c r="A5820" i="2"/>
  <c r="D5819" i="2"/>
  <c r="C5819" i="2"/>
  <c r="B5819" i="2"/>
  <c r="A5819" i="2"/>
  <c r="D5818" i="2"/>
  <c r="C5818" i="2"/>
  <c r="B5818" i="2"/>
  <c r="A5818" i="2"/>
  <c r="D5817" i="2"/>
  <c r="C5817" i="2"/>
  <c r="B5817" i="2"/>
  <c r="A5817" i="2"/>
  <c r="D5816" i="2"/>
  <c r="C5816" i="2"/>
  <c r="B5816" i="2"/>
  <c r="A5816" i="2"/>
  <c r="D5815" i="2"/>
  <c r="C5815" i="2"/>
  <c r="B5815" i="2"/>
  <c r="A5815" i="2"/>
  <c r="D5814" i="2"/>
  <c r="C5814" i="2"/>
  <c r="B5814" i="2"/>
  <c r="A5814" i="2"/>
  <c r="D5813" i="2"/>
  <c r="C5813" i="2"/>
  <c r="B5813" i="2"/>
  <c r="A5813" i="2"/>
  <c r="D5812" i="2"/>
  <c r="C5812" i="2"/>
  <c r="B5812" i="2"/>
  <c r="A5812" i="2"/>
  <c r="D5811" i="2"/>
  <c r="C5811" i="2"/>
  <c r="B5811" i="2"/>
  <c r="A5811" i="2"/>
  <c r="D5810" i="2"/>
  <c r="C5810" i="2"/>
  <c r="B5810" i="2"/>
  <c r="A5810" i="2"/>
  <c r="D5809" i="2"/>
  <c r="C5809" i="2"/>
  <c r="B5809" i="2"/>
  <c r="A5809" i="2"/>
  <c r="D5808" i="2"/>
  <c r="C5808" i="2"/>
  <c r="B5808" i="2"/>
  <c r="A5808" i="2"/>
  <c r="D5807" i="2"/>
  <c r="C5807" i="2"/>
  <c r="B5807" i="2"/>
  <c r="A5807" i="2"/>
  <c r="D5806" i="2"/>
  <c r="C5806" i="2"/>
  <c r="B5806" i="2"/>
  <c r="A5806" i="2"/>
  <c r="D5805" i="2"/>
  <c r="C5805" i="2"/>
  <c r="B5805" i="2"/>
  <c r="A5805" i="2"/>
  <c r="D5804" i="2"/>
  <c r="C5804" i="2"/>
  <c r="B5804" i="2"/>
  <c r="A5804" i="2"/>
  <c r="D5803" i="2"/>
  <c r="C5803" i="2"/>
  <c r="B5803" i="2"/>
  <c r="A5803" i="2"/>
  <c r="D5802" i="2"/>
  <c r="C5802" i="2"/>
  <c r="B5802" i="2"/>
  <c r="A5802" i="2"/>
  <c r="D5801" i="2"/>
  <c r="C5801" i="2"/>
  <c r="B5801" i="2"/>
  <c r="A5801" i="2"/>
  <c r="D5800" i="2"/>
  <c r="C5800" i="2"/>
  <c r="B5800" i="2"/>
  <c r="A5800" i="2"/>
  <c r="D5799" i="2"/>
  <c r="C5799" i="2"/>
  <c r="B5799" i="2"/>
  <c r="A5799" i="2"/>
  <c r="D5798" i="2"/>
  <c r="C5798" i="2"/>
  <c r="B5798" i="2"/>
  <c r="A5798" i="2"/>
  <c r="D5797" i="2"/>
  <c r="C5797" i="2"/>
  <c r="B5797" i="2"/>
  <c r="A5797" i="2"/>
  <c r="D5796" i="2"/>
  <c r="C5796" i="2"/>
  <c r="B5796" i="2"/>
  <c r="A5796" i="2"/>
  <c r="D5795" i="2"/>
  <c r="C5795" i="2"/>
  <c r="B5795" i="2"/>
  <c r="A5795" i="2"/>
  <c r="D5794" i="2"/>
  <c r="C5794" i="2"/>
  <c r="B5794" i="2"/>
  <c r="A5794" i="2"/>
  <c r="D5793" i="2"/>
  <c r="C5793" i="2"/>
  <c r="B5793" i="2"/>
  <c r="A5793" i="2"/>
  <c r="D5792" i="2"/>
  <c r="C5792" i="2"/>
  <c r="B5792" i="2"/>
  <c r="A5792" i="2"/>
  <c r="D5791" i="2"/>
  <c r="C5791" i="2"/>
  <c r="B5791" i="2"/>
  <c r="A5791" i="2"/>
  <c r="D5790" i="2"/>
  <c r="C5790" i="2"/>
  <c r="B5790" i="2"/>
  <c r="A5790" i="2"/>
  <c r="D5789" i="2"/>
  <c r="C5789" i="2"/>
  <c r="B5789" i="2"/>
  <c r="A5789" i="2"/>
  <c r="D5788" i="2"/>
  <c r="C5788" i="2"/>
  <c r="B5788" i="2"/>
  <c r="A5788" i="2"/>
  <c r="D5787" i="2"/>
  <c r="C5787" i="2"/>
  <c r="B5787" i="2"/>
  <c r="A5787" i="2"/>
  <c r="D5786" i="2"/>
  <c r="B5786" i="2"/>
  <c r="A5786" i="2"/>
  <c r="D5785" i="2"/>
  <c r="B5785" i="2"/>
  <c r="A5785" i="2"/>
  <c r="D5784" i="2"/>
  <c r="B5784" i="2"/>
  <c r="A5784" i="2"/>
  <c r="D5783" i="2"/>
  <c r="C5783" i="2"/>
  <c r="B5783" i="2"/>
  <c r="A5783" i="2"/>
  <c r="D5782" i="2"/>
  <c r="B5782" i="2"/>
  <c r="A5782" i="2"/>
  <c r="D5781" i="2"/>
  <c r="B5781" i="2"/>
  <c r="A5781" i="2"/>
  <c r="D5780" i="2"/>
  <c r="C5780" i="2"/>
  <c r="B5780" i="2"/>
  <c r="A5780" i="2"/>
  <c r="D5779" i="2"/>
  <c r="B5779" i="2"/>
  <c r="A5779" i="2"/>
  <c r="D5778" i="2"/>
  <c r="C5778" i="2"/>
  <c r="B5778" i="2"/>
  <c r="A5778" i="2"/>
  <c r="D5777" i="2"/>
  <c r="C5777" i="2"/>
  <c r="B5777" i="2"/>
  <c r="A5777" i="2"/>
  <c r="D5776" i="2"/>
  <c r="C5776" i="2"/>
  <c r="B5776" i="2"/>
  <c r="A5776" i="2"/>
  <c r="D5775" i="2"/>
  <c r="C5775" i="2"/>
  <c r="B5775" i="2"/>
  <c r="A5775" i="2"/>
  <c r="D5774" i="2"/>
  <c r="B5774" i="2"/>
  <c r="A5774" i="2"/>
  <c r="D5773" i="2"/>
  <c r="B5773" i="2"/>
  <c r="A5773" i="2"/>
  <c r="D5772" i="2"/>
  <c r="C5772" i="2"/>
  <c r="B5772" i="2"/>
  <c r="A5772" i="2"/>
  <c r="D5771" i="2"/>
  <c r="B5771" i="2"/>
  <c r="A5771" i="2"/>
  <c r="D5770" i="2"/>
  <c r="C5770" i="2"/>
  <c r="B5770" i="2"/>
  <c r="A5770" i="2"/>
  <c r="D5769" i="2"/>
  <c r="C5769" i="2"/>
  <c r="B5769" i="2"/>
  <c r="A5769" i="2"/>
  <c r="D5768" i="2"/>
  <c r="C5768" i="2"/>
  <c r="B5768" i="2"/>
  <c r="A5768" i="2"/>
  <c r="D5767" i="2"/>
  <c r="C5767" i="2"/>
  <c r="B5767" i="2"/>
  <c r="A5767" i="2"/>
  <c r="D5766" i="2"/>
  <c r="B5766" i="2"/>
  <c r="A5766" i="2"/>
  <c r="D5765" i="2"/>
  <c r="C5765" i="2"/>
  <c r="B5765" i="2"/>
  <c r="A5765" i="2"/>
  <c r="D5764" i="2"/>
  <c r="C5764" i="2"/>
  <c r="B5764" i="2"/>
  <c r="A5764" i="2"/>
  <c r="D5763" i="2"/>
  <c r="C5763" i="2"/>
  <c r="B5763" i="2"/>
  <c r="A5763" i="2"/>
  <c r="D5762" i="2"/>
  <c r="C5762" i="2"/>
  <c r="B5762" i="2"/>
  <c r="A5762" i="2"/>
  <c r="D5761" i="2"/>
  <c r="C5761" i="2"/>
  <c r="B5761" i="2"/>
  <c r="A5761" i="2"/>
  <c r="D5760" i="2"/>
  <c r="C5760" i="2"/>
  <c r="B5760" i="2"/>
  <c r="A5760" i="2"/>
  <c r="D5759" i="2"/>
  <c r="C5759" i="2"/>
  <c r="B5759" i="2"/>
  <c r="A5759" i="2"/>
  <c r="D5758" i="2"/>
  <c r="C5758" i="2"/>
  <c r="B5758" i="2"/>
  <c r="A5758" i="2"/>
  <c r="D5757" i="2"/>
  <c r="C5757" i="2"/>
  <c r="B5757" i="2"/>
  <c r="A5757" i="2"/>
  <c r="D5756" i="2"/>
  <c r="B5756" i="2"/>
  <c r="A5756" i="2"/>
  <c r="D5755" i="2"/>
  <c r="C5755" i="2"/>
  <c r="B5755" i="2"/>
  <c r="A5755" i="2"/>
  <c r="D5754" i="2"/>
  <c r="C5754" i="2"/>
  <c r="B5754" i="2"/>
  <c r="A5754" i="2"/>
  <c r="D5753" i="2"/>
  <c r="C5753" i="2"/>
  <c r="B5753" i="2"/>
  <c r="A5753" i="2"/>
  <c r="D5752" i="2"/>
  <c r="C5752" i="2"/>
  <c r="B5752" i="2"/>
  <c r="A5752" i="2"/>
  <c r="D5751" i="2"/>
  <c r="C5751" i="2"/>
  <c r="B5751" i="2"/>
  <c r="A5751" i="2"/>
  <c r="D5750" i="2"/>
  <c r="C5750" i="2"/>
  <c r="B5750" i="2"/>
  <c r="A5750" i="2"/>
  <c r="D5749" i="2"/>
  <c r="B5749" i="2"/>
  <c r="A5749" i="2"/>
  <c r="D5748" i="2"/>
  <c r="C5748" i="2"/>
  <c r="B5748" i="2"/>
  <c r="A5748" i="2"/>
  <c r="D5747" i="2"/>
  <c r="C5747" i="2"/>
  <c r="B5747" i="2"/>
  <c r="A5747" i="2"/>
  <c r="D5746" i="2"/>
  <c r="C5746" i="2"/>
  <c r="B5746" i="2"/>
  <c r="A5746" i="2"/>
  <c r="D5745" i="2"/>
  <c r="C5745" i="2"/>
  <c r="B5745" i="2"/>
  <c r="A5745" i="2"/>
  <c r="D5744" i="2"/>
  <c r="C5744" i="2"/>
  <c r="B5744" i="2"/>
  <c r="A5744" i="2"/>
  <c r="D5743" i="2"/>
  <c r="C5743" i="2"/>
  <c r="B5743" i="2"/>
  <c r="A5743" i="2"/>
  <c r="D5742" i="2"/>
  <c r="C5742" i="2"/>
  <c r="B5742" i="2"/>
  <c r="A5742" i="2"/>
  <c r="D5741" i="2"/>
  <c r="C5741" i="2"/>
  <c r="B5741" i="2"/>
  <c r="A5741" i="2"/>
  <c r="D5740" i="2"/>
  <c r="C5740" i="2"/>
  <c r="B5740" i="2"/>
  <c r="A5740" i="2"/>
  <c r="D5739" i="2"/>
  <c r="C5739" i="2"/>
  <c r="B5739" i="2"/>
  <c r="A5739" i="2"/>
  <c r="D5738" i="2"/>
  <c r="C5738" i="2"/>
  <c r="B5738" i="2"/>
  <c r="A5738" i="2"/>
  <c r="D5737" i="2"/>
  <c r="C5737" i="2"/>
  <c r="B5737" i="2"/>
  <c r="A5737" i="2"/>
  <c r="D5736" i="2"/>
  <c r="C5736" i="2"/>
  <c r="B5736" i="2"/>
  <c r="A5736" i="2"/>
  <c r="D5735" i="2"/>
  <c r="C5735" i="2"/>
  <c r="B5735" i="2"/>
  <c r="A5735" i="2"/>
  <c r="D5734" i="2"/>
  <c r="C5734" i="2"/>
  <c r="B5734" i="2"/>
  <c r="A5734" i="2"/>
  <c r="D5733" i="2"/>
  <c r="C5733" i="2"/>
  <c r="B5733" i="2"/>
  <c r="A5733" i="2"/>
  <c r="D5732" i="2"/>
  <c r="C5732" i="2"/>
  <c r="B5732" i="2"/>
  <c r="A5732" i="2"/>
  <c r="D5731" i="2"/>
  <c r="C5731" i="2"/>
  <c r="B5731" i="2"/>
  <c r="A5731" i="2"/>
  <c r="D5730" i="2"/>
  <c r="C5730" i="2"/>
  <c r="B5730" i="2"/>
  <c r="A5730" i="2"/>
  <c r="D5729" i="2"/>
  <c r="C5729" i="2"/>
  <c r="B5729" i="2"/>
  <c r="A5729" i="2"/>
  <c r="D5728" i="2"/>
  <c r="C5728" i="2"/>
  <c r="B5728" i="2"/>
  <c r="A5728" i="2"/>
  <c r="D5727" i="2"/>
  <c r="C5727" i="2"/>
  <c r="B5727" i="2"/>
  <c r="A5727" i="2"/>
  <c r="D5726" i="2"/>
  <c r="C5726" i="2"/>
  <c r="B5726" i="2"/>
  <c r="A5726" i="2"/>
  <c r="D5725" i="2"/>
  <c r="C5725" i="2"/>
  <c r="B5725" i="2"/>
  <c r="A5725" i="2"/>
  <c r="D5724" i="2"/>
  <c r="C5724" i="2"/>
  <c r="B5724" i="2"/>
  <c r="A5724" i="2"/>
  <c r="D5723" i="2"/>
  <c r="C5723" i="2"/>
  <c r="B5723" i="2"/>
  <c r="A5723" i="2"/>
  <c r="D5722" i="2"/>
  <c r="C5722" i="2"/>
  <c r="B5722" i="2"/>
  <c r="A5722" i="2"/>
  <c r="D5721" i="2"/>
  <c r="B5721" i="2"/>
  <c r="A5721" i="2"/>
  <c r="D5720" i="2"/>
  <c r="C5720" i="2"/>
  <c r="B5720" i="2"/>
  <c r="A5720" i="2"/>
  <c r="D5719" i="2"/>
  <c r="C5719" i="2"/>
  <c r="B5719" i="2"/>
  <c r="A5719" i="2"/>
  <c r="D5718" i="2"/>
  <c r="C5718" i="2"/>
  <c r="B5718" i="2"/>
  <c r="A5718" i="2"/>
  <c r="D5717" i="2"/>
  <c r="C5717" i="2"/>
  <c r="B5717" i="2"/>
  <c r="A5717" i="2"/>
  <c r="D5716" i="2"/>
  <c r="C5716" i="2"/>
  <c r="B5716" i="2"/>
  <c r="A5716" i="2"/>
  <c r="D5715" i="2"/>
  <c r="C5715" i="2"/>
  <c r="B5715" i="2"/>
  <c r="A5715" i="2"/>
  <c r="D5714" i="2"/>
  <c r="C5714" i="2"/>
  <c r="B5714" i="2"/>
  <c r="A5714" i="2"/>
  <c r="D5713" i="2"/>
  <c r="C5713" i="2"/>
  <c r="B5713" i="2"/>
  <c r="A5713" i="2"/>
  <c r="D5712" i="2"/>
  <c r="C5712" i="2"/>
  <c r="B5712" i="2"/>
  <c r="A5712" i="2"/>
  <c r="D5711" i="2"/>
  <c r="C5711" i="2"/>
  <c r="B5711" i="2"/>
  <c r="A5711" i="2"/>
  <c r="D5710" i="2"/>
  <c r="C5710" i="2"/>
  <c r="B5710" i="2"/>
  <c r="A5710" i="2"/>
  <c r="D5709" i="2"/>
  <c r="C5709" i="2"/>
  <c r="B5709" i="2"/>
  <c r="A5709" i="2"/>
  <c r="D5708" i="2"/>
  <c r="C5708" i="2"/>
  <c r="B5708" i="2"/>
  <c r="A5708" i="2"/>
  <c r="D5707" i="2"/>
  <c r="C5707" i="2"/>
  <c r="B5707" i="2"/>
  <c r="A5707" i="2"/>
  <c r="D5706" i="2"/>
  <c r="C5706" i="2"/>
  <c r="B5706" i="2"/>
  <c r="A5706" i="2"/>
  <c r="D5705" i="2"/>
  <c r="C5705" i="2"/>
  <c r="B5705" i="2"/>
  <c r="A5705" i="2"/>
  <c r="D5704" i="2"/>
  <c r="C5704" i="2"/>
  <c r="B5704" i="2"/>
  <c r="A5704" i="2"/>
  <c r="D5703" i="2"/>
  <c r="C5703" i="2"/>
  <c r="B5703" i="2"/>
  <c r="A5703" i="2"/>
  <c r="D5702" i="2"/>
  <c r="C5702" i="2"/>
  <c r="B5702" i="2"/>
  <c r="A5702" i="2"/>
  <c r="D5701" i="2"/>
  <c r="C5701" i="2"/>
  <c r="B5701" i="2"/>
  <c r="A5701" i="2"/>
  <c r="D5700" i="2"/>
  <c r="C5700" i="2"/>
  <c r="B5700" i="2"/>
  <c r="A5700" i="2"/>
  <c r="D5699" i="2"/>
  <c r="C5699" i="2"/>
  <c r="B5699" i="2"/>
  <c r="A5699" i="2"/>
  <c r="D5698" i="2"/>
  <c r="C5698" i="2"/>
  <c r="B5698" i="2"/>
  <c r="A5698" i="2"/>
  <c r="D5697" i="2"/>
  <c r="C5697" i="2"/>
  <c r="B5697" i="2"/>
  <c r="A5697" i="2"/>
  <c r="D5696" i="2"/>
  <c r="C5696" i="2"/>
  <c r="B5696" i="2"/>
  <c r="A5696" i="2"/>
  <c r="D5695" i="2"/>
  <c r="C5695" i="2"/>
  <c r="B5695" i="2"/>
  <c r="A5695" i="2"/>
  <c r="D5694" i="2"/>
  <c r="C5694" i="2"/>
  <c r="B5694" i="2"/>
  <c r="A5694" i="2"/>
  <c r="D5693" i="2"/>
  <c r="C5693" i="2"/>
  <c r="B5693" i="2"/>
  <c r="A5693" i="2"/>
  <c r="D5692" i="2"/>
  <c r="C5692" i="2"/>
  <c r="B5692" i="2"/>
  <c r="A5692" i="2"/>
  <c r="D5691" i="2"/>
  <c r="C5691" i="2"/>
  <c r="B5691" i="2"/>
  <c r="A5691" i="2"/>
  <c r="D5690" i="2"/>
  <c r="C5690" i="2"/>
  <c r="B5690" i="2"/>
  <c r="A5690" i="2"/>
  <c r="D5689" i="2"/>
  <c r="C5689" i="2"/>
  <c r="B5689" i="2"/>
  <c r="A5689" i="2"/>
  <c r="D5688" i="2"/>
  <c r="C5688" i="2"/>
  <c r="B5688" i="2"/>
  <c r="A5688" i="2"/>
  <c r="D5687" i="2"/>
  <c r="C5687" i="2"/>
  <c r="B5687" i="2"/>
  <c r="A5687" i="2"/>
  <c r="D5686" i="2"/>
  <c r="C5686" i="2"/>
  <c r="B5686" i="2"/>
  <c r="A5686" i="2"/>
  <c r="D5685" i="2"/>
  <c r="C5685" i="2"/>
  <c r="B5685" i="2"/>
  <c r="A5685" i="2"/>
  <c r="D5684" i="2"/>
  <c r="C5684" i="2"/>
  <c r="B5684" i="2"/>
  <c r="A5684" i="2"/>
  <c r="D5683" i="2"/>
  <c r="C5683" i="2"/>
  <c r="B5683" i="2"/>
  <c r="A5683" i="2"/>
  <c r="D5682" i="2"/>
  <c r="C5682" i="2"/>
  <c r="B5682" i="2"/>
  <c r="A5682" i="2"/>
  <c r="D5681" i="2"/>
  <c r="C5681" i="2"/>
  <c r="B5681" i="2"/>
  <c r="A5681" i="2"/>
  <c r="D5680" i="2"/>
  <c r="C5680" i="2"/>
  <c r="B5680" i="2"/>
  <c r="A5680" i="2"/>
  <c r="D5679" i="2"/>
  <c r="C5679" i="2"/>
  <c r="B5679" i="2"/>
  <c r="A5679" i="2"/>
  <c r="D5678" i="2"/>
  <c r="C5678" i="2"/>
  <c r="B5678" i="2"/>
  <c r="A5678" i="2"/>
  <c r="D5677" i="2"/>
  <c r="C5677" i="2"/>
  <c r="B5677" i="2"/>
  <c r="A5677" i="2"/>
  <c r="D5676" i="2"/>
  <c r="C5676" i="2"/>
  <c r="B5676" i="2"/>
  <c r="A5676" i="2"/>
  <c r="D5675" i="2"/>
  <c r="C5675" i="2"/>
  <c r="B5675" i="2"/>
  <c r="A5675" i="2"/>
  <c r="D5674" i="2"/>
  <c r="C5674" i="2"/>
  <c r="B5674" i="2"/>
  <c r="A5674" i="2"/>
  <c r="D5673" i="2"/>
  <c r="C5673" i="2"/>
  <c r="B5673" i="2"/>
  <c r="A5673" i="2"/>
  <c r="D5672" i="2"/>
  <c r="C5672" i="2"/>
  <c r="B5672" i="2"/>
  <c r="A5672" i="2"/>
  <c r="D5671" i="2"/>
  <c r="C5671" i="2"/>
  <c r="B5671" i="2"/>
  <c r="A5671" i="2"/>
  <c r="D5670" i="2"/>
  <c r="C5670" i="2"/>
  <c r="B5670" i="2"/>
  <c r="A5670" i="2"/>
  <c r="D5669" i="2"/>
  <c r="C5669" i="2"/>
  <c r="B5669" i="2"/>
  <c r="A5669" i="2"/>
  <c r="D5668" i="2"/>
  <c r="C5668" i="2"/>
  <c r="B5668" i="2"/>
  <c r="A5668" i="2"/>
  <c r="D5667" i="2"/>
  <c r="C5667" i="2"/>
  <c r="B5667" i="2"/>
  <c r="A5667" i="2"/>
  <c r="D5666" i="2"/>
  <c r="C5666" i="2"/>
  <c r="B5666" i="2"/>
  <c r="A5666" i="2"/>
  <c r="D5665" i="2"/>
  <c r="C5665" i="2"/>
  <c r="B5665" i="2"/>
  <c r="A5665" i="2"/>
  <c r="D5664" i="2"/>
  <c r="C5664" i="2"/>
  <c r="B5664" i="2"/>
  <c r="A5664" i="2"/>
  <c r="D5663" i="2"/>
  <c r="C5663" i="2"/>
  <c r="B5663" i="2"/>
  <c r="A5663" i="2"/>
  <c r="D5662" i="2"/>
  <c r="C5662" i="2"/>
  <c r="B5662" i="2"/>
  <c r="A5662" i="2"/>
  <c r="D5661" i="2"/>
  <c r="C5661" i="2"/>
  <c r="B5661" i="2"/>
  <c r="A5661" i="2"/>
  <c r="D5660" i="2"/>
  <c r="C5660" i="2"/>
  <c r="B5660" i="2"/>
  <c r="A5660" i="2"/>
  <c r="D5659" i="2"/>
  <c r="C5659" i="2"/>
  <c r="B5659" i="2"/>
  <c r="A5659" i="2"/>
  <c r="D5658" i="2"/>
  <c r="C5658" i="2"/>
  <c r="B5658" i="2"/>
  <c r="A5658" i="2"/>
  <c r="D5657" i="2"/>
  <c r="C5657" i="2"/>
  <c r="B5657" i="2"/>
  <c r="A5657" i="2"/>
  <c r="D5656" i="2"/>
  <c r="C5656" i="2"/>
  <c r="B5656" i="2"/>
  <c r="A5656" i="2"/>
  <c r="D5655" i="2"/>
  <c r="C5655" i="2"/>
  <c r="B5655" i="2"/>
  <c r="A5655" i="2"/>
  <c r="D5654" i="2"/>
  <c r="C5654" i="2"/>
  <c r="B5654" i="2"/>
  <c r="A5654" i="2"/>
  <c r="D5653" i="2"/>
  <c r="C5653" i="2"/>
  <c r="B5653" i="2"/>
  <c r="A5653" i="2"/>
  <c r="D5652" i="2"/>
  <c r="C5652" i="2"/>
  <c r="B5652" i="2"/>
  <c r="A5652" i="2"/>
  <c r="D5651" i="2"/>
  <c r="C5651" i="2"/>
  <c r="B5651" i="2"/>
  <c r="A5651" i="2"/>
  <c r="D5650" i="2"/>
  <c r="C5650" i="2"/>
  <c r="B5650" i="2"/>
  <c r="A5650" i="2"/>
  <c r="D5649" i="2"/>
  <c r="C5649" i="2"/>
  <c r="B5649" i="2"/>
  <c r="A5649" i="2"/>
  <c r="D5648" i="2"/>
  <c r="C5648" i="2"/>
  <c r="B5648" i="2"/>
  <c r="A5648" i="2"/>
  <c r="D5647" i="2"/>
  <c r="C5647" i="2"/>
  <c r="B5647" i="2"/>
  <c r="A5647" i="2"/>
  <c r="D5646" i="2"/>
  <c r="C5646" i="2"/>
  <c r="B5646" i="2"/>
  <c r="A5646" i="2"/>
  <c r="D5645" i="2"/>
  <c r="C5645" i="2"/>
  <c r="B5645" i="2"/>
  <c r="A5645" i="2"/>
  <c r="D5644" i="2"/>
  <c r="C5644" i="2"/>
  <c r="B5644" i="2"/>
  <c r="A5644" i="2"/>
  <c r="D5643" i="2"/>
  <c r="C5643" i="2"/>
  <c r="B5643" i="2"/>
  <c r="A5643" i="2"/>
  <c r="D5642" i="2"/>
  <c r="C5642" i="2"/>
  <c r="B5642" i="2"/>
  <c r="A5642" i="2"/>
  <c r="D5641" i="2"/>
  <c r="C5641" i="2"/>
  <c r="B5641" i="2"/>
  <c r="A5641" i="2"/>
  <c r="D5640" i="2"/>
  <c r="C5640" i="2"/>
  <c r="B5640" i="2"/>
  <c r="A5640" i="2"/>
  <c r="D5639" i="2"/>
  <c r="C5639" i="2"/>
  <c r="B5639" i="2"/>
  <c r="A5639" i="2"/>
  <c r="D5638" i="2"/>
  <c r="C5638" i="2"/>
  <c r="B5638" i="2"/>
  <c r="A5638" i="2"/>
  <c r="D5637" i="2"/>
  <c r="C5637" i="2"/>
  <c r="B5637" i="2"/>
  <c r="A5637" i="2"/>
  <c r="D5636" i="2"/>
  <c r="C5636" i="2"/>
  <c r="B5636" i="2"/>
  <c r="A5636" i="2"/>
  <c r="D5635" i="2"/>
  <c r="C5635" i="2"/>
  <c r="B5635" i="2"/>
  <c r="A5635" i="2"/>
  <c r="D5634" i="2"/>
  <c r="C5634" i="2"/>
  <c r="B5634" i="2"/>
  <c r="A5634" i="2"/>
  <c r="D5633" i="2"/>
  <c r="C5633" i="2"/>
  <c r="B5633" i="2"/>
  <c r="A5633" i="2"/>
  <c r="D5632" i="2"/>
  <c r="C5632" i="2"/>
  <c r="B5632" i="2"/>
  <c r="A5632" i="2"/>
  <c r="D5631" i="2"/>
  <c r="C5631" i="2"/>
  <c r="B5631" i="2"/>
  <c r="A5631" i="2"/>
  <c r="D5630" i="2"/>
  <c r="C5630" i="2"/>
  <c r="B5630" i="2"/>
  <c r="A5630" i="2"/>
  <c r="D5629" i="2"/>
  <c r="C5629" i="2"/>
  <c r="B5629" i="2"/>
  <c r="A5629" i="2"/>
  <c r="D5628" i="2"/>
  <c r="C5628" i="2"/>
  <c r="B5628" i="2"/>
  <c r="A5628" i="2"/>
  <c r="D5627" i="2"/>
  <c r="C5627" i="2"/>
  <c r="B5627" i="2"/>
  <c r="A5627" i="2"/>
  <c r="D5626" i="2"/>
  <c r="C5626" i="2"/>
  <c r="B5626" i="2"/>
  <c r="A5626" i="2"/>
  <c r="D5625" i="2"/>
  <c r="C5625" i="2"/>
  <c r="B5625" i="2"/>
  <c r="A5625" i="2"/>
  <c r="D5624" i="2"/>
  <c r="C5624" i="2"/>
  <c r="B5624" i="2"/>
  <c r="A5624" i="2"/>
  <c r="D5623" i="2"/>
  <c r="C5623" i="2"/>
  <c r="B5623" i="2"/>
  <c r="A5623" i="2"/>
  <c r="D5622" i="2"/>
  <c r="C5622" i="2"/>
  <c r="B5622" i="2"/>
  <c r="A5622" i="2"/>
  <c r="D5621" i="2"/>
  <c r="C5621" i="2"/>
  <c r="B5621" i="2"/>
  <c r="A5621" i="2"/>
  <c r="D5620" i="2"/>
  <c r="C5620" i="2"/>
  <c r="B5620" i="2"/>
  <c r="A5620" i="2"/>
  <c r="D5619" i="2"/>
  <c r="C5619" i="2"/>
  <c r="B5619" i="2"/>
  <c r="A5619" i="2"/>
  <c r="D5618" i="2"/>
  <c r="C5618" i="2"/>
  <c r="B5618" i="2"/>
  <c r="A5618" i="2"/>
  <c r="D5617" i="2"/>
  <c r="C5617" i="2"/>
  <c r="B5617" i="2"/>
  <c r="A5617" i="2"/>
  <c r="D5616" i="2"/>
  <c r="C5616" i="2"/>
  <c r="B5616" i="2"/>
  <c r="A5616" i="2"/>
  <c r="D5615" i="2"/>
  <c r="C5615" i="2"/>
  <c r="B5615" i="2"/>
  <c r="A5615" i="2"/>
  <c r="D5614" i="2"/>
  <c r="C5614" i="2"/>
  <c r="B5614" i="2"/>
  <c r="A5614" i="2"/>
  <c r="D5613" i="2"/>
  <c r="C5613" i="2"/>
  <c r="B5613" i="2"/>
  <c r="A5613" i="2"/>
  <c r="D5612" i="2"/>
  <c r="C5612" i="2"/>
  <c r="B5612" i="2"/>
  <c r="A5612" i="2"/>
  <c r="D5611" i="2"/>
  <c r="C5611" i="2"/>
  <c r="B5611" i="2"/>
  <c r="A5611" i="2"/>
  <c r="D5610" i="2"/>
  <c r="C5610" i="2"/>
  <c r="B5610" i="2"/>
  <c r="A5610" i="2"/>
  <c r="D5609" i="2"/>
  <c r="C5609" i="2"/>
  <c r="B5609" i="2"/>
  <c r="A5609" i="2"/>
  <c r="D5608" i="2"/>
  <c r="C5608" i="2"/>
  <c r="B5608" i="2"/>
  <c r="A5608" i="2"/>
  <c r="D5607" i="2"/>
  <c r="C5607" i="2"/>
  <c r="B5607" i="2"/>
  <c r="A5607" i="2"/>
  <c r="D5606" i="2"/>
  <c r="C5606" i="2"/>
  <c r="B5606" i="2"/>
  <c r="A5606" i="2"/>
  <c r="D5605" i="2"/>
  <c r="C5605" i="2"/>
  <c r="B5605" i="2"/>
  <c r="A5605" i="2"/>
  <c r="D5604" i="2"/>
  <c r="C5604" i="2"/>
  <c r="B5604" i="2"/>
  <c r="A5604" i="2"/>
  <c r="D5603" i="2"/>
  <c r="C5603" i="2"/>
  <c r="B5603" i="2"/>
  <c r="A5603" i="2"/>
  <c r="D5602" i="2"/>
  <c r="C5602" i="2"/>
  <c r="B5602" i="2"/>
  <c r="A5602" i="2"/>
  <c r="D5601" i="2"/>
  <c r="C5601" i="2"/>
  <c r="B5601" i="2"/>
  <c r="A5601" i="2"/>
  <c r="D5600" i="2"/>
  <c r="C5600" i="2"/>
  <c r="B5600" i="2"/>
  <c r="A5600" i="2"/>
  <c r="D5599" i="2"/>
  <c r="C5599" i="2"/>
  <c r="B5599" i="2"/>
  <c r="A5599" i="2"/>
  <c r="D5598" i="2"/>
  <c r="C5598" i="2"/>
  <c r="B5598" i="2"/>
  <c r="A5598" i="2"/>
  <c r="D5597" i="2"/>
  <c r="C5597" i="2"/>
  <c r="B5597" i="2"/>
  <c r="A5597" i="2"/>
  <c r="D5596" i="2"/>
  <c r="C5596" i="2"/>
  <c r="B5596" i="2"/>
  <c r="A5596" i="2"/>
  <c r="D5595" i="2"/>
  <c r="C5595" i="2"/>
  <c r="B5595" i="2"/>
  <c r="A5595" i="2"/>
  <c r="D5594" i="2"/>
  <c r="C5594" i="2"/>
  <c r="B5594" i="2"/>
  <c r="A5594" i="2"/>
  <c r="D5593" i="2"/>
  <c r="C5593" i="2"/>
  <c r="B5593" i="2"/>
  <c r="A5593" i="2"/>
  <c r="D5592" i="2"/>
  <c r="C5592" i="2"/>
  <c r="B5592" i="2"/>
  <c r="A5592" i="2"/>
  <c r="D5591" i="2"/>
  <c r="C5591" i="2"/>
  <c r="B5591" i="2"/>
  <c r="A5591" i="2"/>
  <c r="D5590" i="2"/>
  <c r="C5590" i="2"/>
  <c r="B5590" i="2"/>
  <c r="A5590" i="2"/>
  <c r="D5589" i="2"/>
  <c r="C5589" i="2"/>
  <c r="B5589" i="2"/>
  <c r="A5589" i="2"/>
  <c r="D5588" i="2"/>
  <c r="C5588" i="2"/>
  <c r="B5588" i="2"/>
  <c r="A5588" i="2"/>
  <c r="D5587" i="2"/>
  <c r="C5587" i="2"/>
  <c r="B5587" i="2"/>
  <c r="A5587" i="2"/>
  <c r="D5586" i="2"/>
  <c r="C5586" i="2"/>
  <c r="B5586" i="2"/>
  <c r="A5586" i="2"/>
  <c r="D5585" i="2"/>
  <c r="C5585" i="2"/>
  <c r="B5585" i="2"/>
  <c r="A5585" i="2"/>
  <c r="D5584" i="2"/>
  <c r="C5584" i="2"/>
  <c r="B5584" i="2"/>
  <c r="A5584" i="2"/>
  <c r="D5583" i="2"/>
  <c r="C5583" i="2"/>
  <c r="B5583" i="2"/>
  <c r="A5583" i="2"/>
  <c r="D5582" i="2"/>
  <c r="C5582" i="2"/>
  <c r="B5582" i="2"/>
  <c r="A5582" i="2"/>
  <c r="D5581" i="2"/>
  <c r="C5581" i="2"/>
  <c r="B5581" i="2"/>
  <c r="A5581" i="2"/>
  <c r="D5580" i="2"/>
  <c r="C5580" i="2"/>
  <c r="B5580" i="2"/>
  <c r="A5580" i="2"/>
  <c r="D5579" i="2"/>
  <c r="C5579" i="2"/>
  <c r="B5579" i="2"/>
  <c r="A5579" i="2"/>
  <c r="D5578" i="2"/>
  <c r="C5578" i="2"/>
  <c r="B5578" i="2"/>
  <c r="A5578" i="2"/>
  <c r="D5577" i="2"/>
  <c r="C5577" i="2"/>
  <c r="B5577" i="2"/>
  <c r="A5577" i="2"/>
  <c r="D5576" i="2"/>
  <c r="C5576" i="2"/>
  <c r="B5576" i="2"/>
  <c r="A5576" i="2"/>
  <c r="D5575" i="2"/>
  <c r="C5575" i="2"/>
  <c r="B5575" i="2"/>
  <c r="A5575" i="2"/>
  <c r="D5574" i="2"/>
  <c r="C5574" i="2"/>
  <c r="B5574" i="2"/>
  <c r="A5574" i="2"/>
  <c r="D5573" i="2"/>
  <c r="C5573" i="2"/>
  <c r="B5573" i="2"/>
  <c r="A5573" i="2"/>
  <c r="D5572" i="2"/>
  <c r="C5572" i="2"/>
  <c r="B5572" i="2"/>
  <c r="A5572" i="2"/>
  <c r="D5571" i="2"/>
  <c r="C5571" i="2"/>
  <c r="B5571" i="2"/>
  <c r="A5571" i="2"/>
  <c r="D5570" i="2"/>
  <c r="C5570" i="2"/>
  <c r="B5570" i="2"/>
  <c r="A5570" i="2"/>
  <c r="D5569" i="2"/>
  <c r="C5569" i="2"/>
  <c r="B5569" i="2"/>
  <c r="A5569" i="2"/>
  <c r="D5568" i="2"/>
  <c r="C5568" i="2"/>
  <c r="B5568" i="2"/>
  <c r="A5568" i="2"/>
  <c r="D5567" i="2"/>
  <c r="C5567" i="2"/>
  <c r="B5567" i="2"/>
  <c r="A5567" i="2"/>
  <c r="D5566" i="2"/>
  <c r="C5566" i="2"/>
  <c r="B5566" i="2"/>
  <c r="A5566" i="2"/>
  <c r="D5565" i="2"/>
  <c r="C5565" i="2"/>
  <c r="B5565" i="2"/>
  <c r="A5565" i="2"/>
  <c r="D5564" i="2"/>
  <c r="C5564" i="2"/>
  <c r="B5564" i="2"/>
  <c r="A5564" i="2"/>
  <c r="D5563" i="2"/>
  <c r="C5563" i="2"/>
  <c r="B5563" i="2"/>
  <c r="A5563" i="2"/>
  <c r="D5562" i="2"/>
  <c r="C5562" i="2"/>
  <c r="B5562" i="2"/>
  <c r="A5562" i="2"/>
  <c r="D5561" i="2"/>
  <c r="C5561" i="2"/>
  <c r="B5561" i="2"/>
  <c r="A5561" i="2"/>
  <c r="D5560" i="2"/>
  <c r="C5560" i="2"/>
  <c r="B5560" i="2"/>
  <c r="A5560" i="2"/>
  <c r="D5559" i="2"/>
  <c r="C5559" i="2"/>
  <c r="B5559" i="2"/>
  <c r="A5559" i="2"/>
  <c r="D5558" i="2"/>
  <c r="C5558" i="2"/>
  <c r="B5558" i="2"/>
  <c r="A5558" i="2"/>
  <c r="D5557" i="2"/>
  <c r="C5557" i="2"/>
  <c r="B5557" i="2"/>
  <c r="A5557" i="2"/>
  <c r="D5556" i="2"/>
  <c r="C5556" i="2"/>
  <c r="B5556" i="2"/>
  <c r="A5556" i="2"/>
  <c r="D5555" i="2"/>
  <c r="C5555" i="2"/>
  <c r="B5555" i="2"/>
  <c r="A5555" i="2"/>
  <c r="D5554" i="2"/>
  <c r="C5554" i="2"/>
  <c r="B5554" i="2"/>
  <c r="A5554" i="2"/>
  <c r="D5553" i="2"/>
  <c r="C5553" i="2"/>
  <c r="B5553" i="2"/>
  <c r="A5553" i="2"/>
  <c r="D5552" i="2"/>
  <c r="C5552" i="2"/>
  <c r="B5552" i="2"/>
  <c r="A5552" i="2"/>
  <c r="D5551" i="2"/>
  <c r="C5551" i="2"/>
  <c r="B5551" i="2"/>
  <c r="A5551" i="2"/>
  <c r="D5550" i="2"/>
  <c r="C5550" i="2"/>
  <c r="B5550" i="2"/>
  <c r="A5550" i="2"/>
  <c r="D5549" i="2"/>
  <c r="C5549" i="2"/>
  <c r="B5549" i="2"/>
  <c r="A5549" i="2"/>
  <c r="D5548" i="2"/>
  <c r="C5548" i="2"/>
  <c r="B5548" i="2"/>
  <c r="A5548" i="2"/>
  <c r="D5547" i="2"/>
  <c r="C5547" i="2"/>
  <c r="B5547" i="2"/>
  <c r="A5547" i="2"/>
  <c r="D5546" i="2"/>
  <c r="C5546" i="2"/>
  <c r="B5546" i="2"/>
  <c r="A5546" i="2"/>
  <c r="D5545" i="2"/>
  <c r="C5545" i="2"/>
  <c r="B5545" i="2"/>
  <c r="A5545" i="2"/>
  <c r="D5544" i="2"/>
  <c r="C5544" i="2"/>
  <c r="B5544" i="2"/>
  <c r="A5544" i="2"/>
  <c r="D5543" i="2"/>
  <c r="C5543" i="2"/>
  <c r="B5543" i="2"/>
  <c r="A5543" i="2"/>
  <c r="D5542" i="2"/>
  <c r="C5542" i="2"/>
  <c r="B5542" i="2"/>
  <c r="A5542" i="2"/>
  <c r="D5541" i="2"/>
  <c r="C5541" i="2"/>
  <c r="B5541" i="2"/>
  <c r="A5541" i="2"/>
  <c r="D5540" i="2"/>
  <c r="C5540" i="2"/>
  <c r="B5540" i="2"/>
  <c r="A5540" i="2"/>
  <c r="D5539" i="2"/>
  <c r="C5539" i="2"/>
  <c r="B5539" i="2"/>
  <c r="A5539" i="2"/>
  <c r="D5538" i="2"/>
  <c r="C5538" i="2"/>
  <c r="B5538" i="2"/>
  <c r="A5538" i="2"/>
  <c r="D5537" i="2"/>
  <c r="C5537" i="2"/>
  <c r="B5537" i="2"/>
  <c r="A5537" i="2"/>
  <c r="D5536" i="2"/>
  <c r="C5536" i="2"/>
  <c r="B5536" i="2"/>
  <c r="A5536" i="2"/>
  <c r="D5535" i="2"/>
  <c r="C5535" i="2"/>
  <c r="B5535" i="2"/>
  <c r="A5535" i="2"/>
  <c r="D5534" i="2"/>
  <c r="C5534" i="2"/>
  <c r="B5534" i="2"/>
  <c r="A5534" i="2"/>
  <c r="D5533" i="2"/>
  <c r="C5533" i="2"/>
  <c r="B5533" i="2"/>
  <c r="A5533" i="2"/>
  <c r="D5532" i="2"/>
  <c r="C5532" i="2"/>
  <c r="B5532" i="2"/>
  <c r="A5532" i="2"/>
  <c r="D5531" i="2"/>
  <c r="C5531" i="2"/>
  <c r="B5531" i="2"/>
  <c r="A5531" i="2"/>
  <c r="D5530" i="2"/>
  <c r="C5530" i="2"/>
  <c r="B5530" i="2"/>
  <c r="A5530" i="2"/>
  <c r="D5529" i="2"/>
  <c r="C5529" i="2"/>
  <c r="B5529" i="2"/>
  <c r="A5529" i="2"/>
  <c r="D5528" i="2"/>
  <c r="C5528" i="2"/>
  <c r="B5528" i="2"/>
  <c r="A5528" i="2"/>
  <c r="D5527" i="2"/>
  <c r="C5527" i="2"/>
  <c r="B5527" i="2"/>
  <c r="A5527" i="2"/>
  <c r="D5526" i="2"/>
  <c r="C5526" i="2"/>
  <c r="B5526" i="2"/>
  <c r="A5526" i="2"/>
  <c r="D5525" i="2"/>
  <c r="C5525" i="2"/>
  <c r="B5525" i="2"/>
  <c r="A5525" i="2"/>
  <c r="D5524" i="2"/>
  <c r="C5524" i="2"/>
  <c r="B5524" i="2"/>
  <c r="A5524" i="2"/>
  <c r="D5523" i="2"/>
  <c r="C5523" i="2"/>
  <c r="B5523" i="2"/>
  <c r="A5523" i="2"/>
  <c r="D5522" i="2"/>
  <c r="C5522" i="2"/>
  <c r="B5522" i="2"/>
  <c r="A5522" i="2"/>
  <c r="D5521" i="2"/>
  <c r="C5521" i="2"/>
  <c r="B5521" i="2"/>
  <c r="A5521" i="2"/>
  <c r="D5520" i="2"/>
  <c r="C5520" i="2"/>
  <c r="B5520" i="2"/>
  <c r="A5520" i="2"/>
  <c r="D5519" i="2"/>
  <c r="C5519" i="2"/>
  <c r="B5519" i="2"/>
  <c r="A5519" i="2"/>
  <c r="D5518" i="2"/>
  <c r="C5518" i="2"/>
  <c r="B5518" i="2"/>
  <c r="A5518" i="2"/>
  <c r="D5517" i="2"/>
  <c r="C5517" i="2"/>
  <c r="B5517" i="2"/>
  <c r="A5517" i="2"/>
  <c r="D5516" i="2"/>
  <c r="C5516" i="2"/>
  <c r="B5516" i="2"/>
  <c r="A5516" i="2"/>
  <c r="D5515" i="2"/>
  <c r="C5515" i="2"/>
  <c r="B5515" i="2"/>
  <c r="A5515" i="2"/>
  <c r="D5514" i="2"/>
  <c r="C5514" i="2"/>
  <c r="B5514" i="2"/>
  <c r="A5514" i="2"/>
  <c r="D5513" i="2"/>
  <c r="C5513" i="2"/>
  <c r="B5513" i="2"/>
  <c r="A5513" i="2"/>
  <c r="D5512" i="2"/>
  <c r="C5512" i="2"/>
  <c r="B5512" i="2"/>
  <c r="A5512" i="2"/>
  <c r="D5511" i="2"/>
  <c r="C5511" i="2"/>
  <c r="B5511" i="2"/>
  <c r="A5511" i="2"/>
  <c r="D5510" i="2"/>
  <c r="C5510" i="2"/>
  <c r="B5510" i="2"/>
  <c r="A5510" i="2"/>
  <c r="D5509" i="2"/>
  <c r="C5509" i="2"/>
  <c r="B5509" i="2"/>
  <c r="A5509" i="2"/>
  <c r="D5508" i="2"/>
  <c r="C5508" i="2"/>
  <c r="B5508" i="2"/>
  <c r="A5508" i="2"/>
  <c r="D5507" i="2"/>
  <c r="C5507" i="2"/>
  <c r="B5507" i="2"/>
  <c r="A5507" i="2"/>
  <c r="D5506" i="2"/>
  <c r="C5506" i="2"/>
  <c r="B5506" i="2"/>
  <c r="A5506" i="2"/>
  <c r="D5505" i="2"/>
  <c r="C5505" i="2"/>
  <c r="B5505" i="2"/>
  <c r="A5505" i="2"/>
  <c r="D5504" i="2"/>
  <c r="C5504" i="2"/>
  <c r="B5504" i="2"/>
  <c r="A5504" i="2"/>
  <c r="D5503" i="2"/>
  <c r="C5503" i="2"/>
  <c r="B5503" i="2"/>
  <c r="A5503" i="2"/>
  <c r="D5502" i="2"/>
  <c r="C5502" i="2"/>
  <c r="B5502" i="2"/>
  <c r="A5502" i="2"/>
  <c r="D5501" i="2"/>
  <c r="C5501" i="2"/>
  <c r="B5501" i="2"/>
  <c r="A5501" i="2"/>
  <c r="D5500" i="2"/>
  <c r="C5500" i="2"/>
  <c r="B5500" i="2"/>
  <c r="A5500" i="2"/>
  <c r="D5499" i="2"/>
  <c r="C5499" i="2"/>
  <c r="B5499" i="2"/>
  <c r="A5499" i="2"/>
  <c r="D5498" i="2"/>
  <c r="C5498" i="2"/>
  <c r="B5498" i="2"/>
  <c r="A5498" i="2"/>
  <c r="D5497" i="2"/>
  <c r="C5497" i="2"/>
  <c r="B5497" i="2"/>
  <c r="A5497" i="2"/>
  <c r="D5496" i="2"/>
  <c r="C5496" i="2"/>
  <c r="B5496" i="2"/>
  <c r="A5496" i="2"/>
  <c r="D5495" i="2"/>
  <c r="C5495" i="2"/>
  <c r="B5495" i="2"/>
  <c r="A5495" i="2"/>
  <c r="D5494" i="2"/>
  <c r="C5494" i="2"/>
  <c r="B5494" i="2"/>
  <c r="A5494" i="2"/>
  <c r="D5493" i="2"/>
  <c r="C5493" i="2"/>
  <c r="B5493" i="2"/>
  <c r="A5493" i="2"/>
  <c r="D5492" i="2"/>
  <c r="C5492" i="2"/>
  <c r="B5492" i="2"/>
  <c r="A5492" i="2"/>
  <c r="D5491" i="2"/>
  <c r="C5491" i="2"/>
  <c r="B5491" i="2"/>
  <c r="A5491" i="2"/>
  <c r="D5490" i="2"/>
  <c r="C5490" i="2"/>
  <c r="B5490" i="2"/>
  <c r="A5490" i="2"/>
  <c r="D5489" i="2"/>
  <c r="C5489" i="2"/>
  <c r="B5489" i="2"/>
  <c r="A5489" i="2"/>
  <c r="D5488" i="2"/>
  <c r="C5488" i="2"/>
  <c r="B5488" i="2"/>
  <c r="A5488" i="2"/>
  <c r="D5487" i="2"/>
  <c r="C5487" i="2"/>
  <c r="B5487" i="2"/>
  <c r="A5487" i="2"/>
  <c r="D5486" i="2"/>
  <c r="B5486" i="2"/>
  <c r="A5486" i="2"/>
  <c r="D5485" i="2"/>
  <c r="B5485" i="2"/>
  <c r="A5485" i="2"/>
  <c r="D5484" i="2"/>
  <c r="B5484" i="2"/>
  <c r="A5484" i="2"/>
  <c r="D5483" i="2"/>
  <c r="B5483" i="2"/>
  <c r="A5483" i="2"/>
  <c r="D5482" i="2"/>
  <c r="C5482" i="2"/>
  <c r="B5482" i="2"/>
  <c r="A5482" i="2"/>
  <c r="D5481" i="2"/>
  <c r="B5481" i="2"/>
  <c r="A5481" i="2"/>
  <c r="D5480" i="2"/>
  <c r="C5480" i="2"/>
  <c r="B5480" i="2"/>
  <c r="A5480" i="2"/>
  <c r="D5479" i="2"/>
  <c r="B5479" i="2"/>
  <c r="A5479" i="2"/>
  <c r="D5478" i="2"/>
  <c r="C5478" i="2"/>
  <c r="B5478" i="2"/>
  <c r="A5478" i="2"/>
  <c r="D5477" i="2"/>
  <c r="B5477" i="2"/>
  <c r="A5477" i="2"/>
  <c r="D5476" i="2"/>
  <c r="C5476" i="2"/>
  <c r="B5476" i="2"/>
  <c r="A5476" i="2"/>
  <c r="D5475" i="2"/>
  <c r="B5475" i="2"/>
  <c r="A5475" i="2"/>
  <c r="D5474" i="2"/>
  <c r="B5474" i="2"/>
  <c r="A5474" i="2"/>
  <c r="D5473" i="2"/>
  <c r="C5473" i="2"/>
  <c r="B5473" i="2"/>
  <c r="A5473" i="2"/>
  <c r="D5472" i="2"/>
  <c r="B5472" i="2"/>
  <c r="A5472" i="2"/>
  <c r="D5471" i="2"/>
  <c r="C5471" i="2"/>
  <c r="B5471" i="2"/>
  <c r="A5471" i="2"/>
  <c r="D5470" i="2"/>
  <c r="B5470" i="2"/>
  <c r="A5470" i="2"/>
  <c r="D5469" i="2"/>
  <c r="C5469" i="2"/>
  <c r="B5469" i="2"/>
  <c r="A5469" i="2"/>
  <c r="D5468" i="2"/>
  <c r="C5468" i="2"/>
  <c r="B5468" i="2"/>
  <c r="A5468" i="2"/>
  <c r="D5467" i="2"/>
  <c r="C5467" i="2"/>
  <c r="B5467" i="2"/>
  <c r="A5467" i="2"/>
  <c r="D5466" i="2"/>
  <c r="B5466" i="2"/>
  <c r="A5466" i="2"/>
  <c r="D5465" i="2"/>
  <c r="C5465" i="2"/>
  <c r="B5465" i="2"/>
  <c r="A5465" i="2"/>
  <c r="D5464" i="2"/>
  <c r="B5464" i="2"/>
  <c r="A5464" i="2"/>
  <c r="D5463" i="2"/>
  <c r="C5463" i="2"/>
  <c r="B5463" i="2"/>
  <c r="A5463" i="2"/>
  <c r="D5462" i="2"/>
  <c r="C5462" i="2"/>
  <c r="B5462" i="2"/>
  <c r="A5462" i="2"/>
  <c r="D5461" i="2"/>
  <c r="C5461" i="2"/>
  <c r="B5461" i="2"/>
  <c r="A5461" i="2"/>
  <c r="D5460" i="2"/>
  <c r="C5460" i="2"/>
  <c r="B5460" i="2"/>
  <c r="A5460" i="2"/>
  <c r="D5459" i="2"/>
  <c r="B5459" i="2"/>
  <c r="A5459" i="2"/>
  <c r="D5458" i="2"/>
  <c r="C5458" i="2"/>
  <c r="B5458" i="2"/>
  <c r="A5458" i="2"/>
  <c r="D5457" i="2"/>
  <c r="C5457" i="2"/>
  <c r="B5457" i="2"/>
  <c r="A5457" i="2"/>
  <c r="D5456" i="2"/>
  <c r="C5456" i="2"/>
  <c r="B5456" i="2"/>
  <c r="A5456" i="2"/>
  <c r="D5455" i="2"/>
  <c r="C5455" i="2"/>
  <c r="B5455" i="2"/>
  <c r="A5455" i="2"/>
  <c r="D5454" i="2"/>
  <c r="C5454" i="2"/>
  <c r="B5454" i="2"/>
  <c r="A5454" i="2"/>
  <c r="D5453" i="2"/>
  <c r="C5453" i="2"/>
  <c r="B5453" i="2"/>
  <c r="A5453" i="2"/>
  <c r="D5452" i="2"/>
  <c r="B5452" i="2"/>
  <c r="A5452" i="2"/>
  <c r="D5451" i="2"/>
  <c r="B5451" i="2"/>
  <c r="A5451" i="2"/>
  <c r="D5450" i="2"/>
  <c r="C5450" i="2"/>
  <c r="B5450" i="2"/>
  <c r="A5450" i="2"/>
  <c r="D5449" i="2"/>
  <c r="B5449" i="2"/>
  <c r="A5449" i="2"/>
  <c r="D5448" i="2"/>
  <c r="B5448" i="2"/>
  <c r="A5448" i="2"/>
  <c r="D5447" i="2"/>
  <c r="C5447" i="2"/>
  <c r="B5447" i="2"/>
  <c r="A5447" i="2"/>
  <c r="D5446" i="2"/>
  <c r="C5446" i="2"/>
  <c r="B5446" i="2"/>
  <c r="A5446" i="2"/>
  <c r="D5445" i="2"/>
  <c r="C5445" i="2"/>
  <c r="B5445" i="2"/>
  <c r="A5445" i="2"/>
  <c r="D5444" i="2"/>
  <c r="C5444" i="2"/>
  <c r="B5444" i="2"/>
  <c r="A5444" i="2"/>
  <c r="D5443" i="2"/>
  <c r="C5443" i="2"/>
  <c r="B5443" i="2"/>
  <c r="A5443" i="2"/>
  <c r="D5442" i="2"/>
  <c r="B5442" i="2"/>
  <c r="A5442" i="2"/>
  <c r="D5441" i="2"/>
  <c r="C5441" i="2"/>
  <c r="B5441" i="2"/>
  <c r="A5441" i="2"/>
  <c r="D5440" i="2"/>
  <c r="C5440" i="2"/>
  <c r="B5440" i="2"/>
  <c r="A5440" i="2"/>
  <c r="D5439" i="2"/>
  <c r="C5439" i="2"/>
  <c r="B5439" i="2"/>
  <c r="A5439" i="2"/>
  <c r="D5438" i="2"/>
  <c r="C5438" i="2"/>
  <c r="B5438" i="2"/>
  <c r="A5438" i="2"/>
  <c r="D5437" i="2"/>
  <c r="C5437" i="2"/>
  <c r="B5437" i="2"/>
  <c r="A5437" i="2"/>
  <c r="D5436" i="2"/>
  <c r="C5436" i="2"/>
  <c r="B5436" i="2"/>
  <c r="A5436" i="2"/>
  <c r="D5435" i="2"/>
  <c r="C5435" i="2"/>
  <c r="B5435" i="2"/>
  <c r="A5435" i="2"/>
  <c r="D5434" i="2"/>
  <c r="C5434" i="2"/>
  <c r="B5434" i="2"/>
  <c r="A5434" i="2"/>
  <c r="D5433" i="2"/>
  <c r="C5433" i="2"/>
  <c r="B5433" i="2"/>
  <c r="A5433" i="2"/>
  <c r="D5432" i="2"/>
  <c r="C5432" i="2"/>
  <c r="B5432" i="2"/>
  <c r="A5432" i="2"/>
  <c r="D5431" i="2"/>
  <c r="C5431" i="2"/>
  <c r="B5431" i="2"/>
  <c r="A5431" i="2"/>
  <c r="D5430" i="2"/>
  <c r="C5430" i="2"/>
  <c r="B5430" i="2"/>
  <c r="A5430" i="2"/>
  <c r="D5429" i="2"/>
  <c r="C5429" i="2"/>
  <c r="B5429" i="2"/>
  <c r="A5429" i="2"/>
  <c r="D5428" i="2"/>
  <c r="C5428" i="2"/>
  <c r="B5428" i="2"/>
  <c r="A5428" i="2"/>
  <c r="D5427" i="2"/>
  <c r="C5427" i="2"/>
  <c r="B5427" i="2"/>
  <c r="A5427" i="2"/>
  <c r="D5426" i="2"/>
  <c r="C5426" i="2"/>
  <c r="B5426" i="2"/>
  <c r="A5426" i="2"/>
  <c r="D5425" i="2"/>
  <c r="C5425" i="2"/>
  <c r="B5425" i="2"/>
  <c r="A5425" i="2"/>
  <c r="D5424" i="2"/>
  <c r="C5424" i="2"/>
  <c r="B5424" i="2"/>
  <c r="A5424" i="2"/>
  <c r="D5423" i="2"/>
  <c r="C5423" i="2"/>
  <c r="B5423" i="2"/>
  <c r="A5423" i="2"/>
  <c r="D5422" i="2"/>
  <c r="C5422" i="2"/>
  <c r="B5422" i="2"/>
  <c r="A5422" i="2"/>
  <c r="D5421" i="2"/>
  <c r="C5421" i="2"/>
  <c r="B5421" i="2"/>
  <c r="A5421" i="2"/>
  <c r="D5420" i="2"/>
  <c r="C5420" i="2"/>
  <c r="B5420" i="2"/>
  <c r="A5420" i="2"/>
  <c r="D5419" i="2"/>
  <c r="C5419" i="2"/>
  <c r="B5419" i="2"/>
  <c r="A5419" i="2"/>
  <c r="D5418" i="2"/>
  <c r="C5418" i="2"/>
  <c r="B5418" i="2"/>
  <c r="A5418" i="2"/>
  <c r="D5417" i="2"/>
  <c r="B5417" i="2"/>
  <c r="A5417" i="2"/>
  <c r="D5416" i="2"/>
  <c r="C5416" i="2"/>
  <c r="B5416" i="2"/>
  <c r="A5416" i="2"/>
  <c r="D5415" i="2"/>
  <c r="C5415" i="2"/>
  <c r="B5415" i="2"/>
  <c r="A5415" i="2"/>
  <c r="D5414" i="2"/>
  <c r="C5414" i="2"/>
  <c r="B5414" i="2"/>
  <c r="A5414" i="2"/>
  <c r="D5413" i="2"/>
  <c r="C5413" i="2"/>
  <c r="B5413" i="2"/>
  <c r="A5413" i="2"/>
  <c r="D5412" i="2"/>
  <c r="C5412" i="2"/>
  <c r="B5412" i="2"/>
  <c r="A5412" i="2"/>
  <c r="D5411" i="2"/>
  <c r="C5411" i="2"/>
  <c r="B5411" i="2"/>
  <c r="A5411" i="2"/>
  <c r="D5410" i="2"/>
  <c r="C5410" i="2"/>
  <c r="B5410" i="2"/>
  <c r="A5410" i="2"/>
  <c r="D5409" i="2"/>
  <c r="C5409" i="2"/>
  <c r="B5409" i="2"/>
  <c r="A5409" i="2"/>
  <c r="D5408" i="2"/>
  <c r="C5408" i="2"/>
  <c r="B5408" i="2"/>
  <c r="A5408" i="2"/>
  <c r="D5407" i="2"/>
  <c r="C5407" i="2"/>
  <c r="B5407" i="2"/>
  <c r="A5407" i="2"/>
  <c r="D5406" i="2"/>
  <c r="C5406" i="2"/>
  <c r="B5406" i="2"/>
  <c r="A5406" i="2"/>
  <c r="D5405" i="2"/>
  <c r="C5405" i="2"/>
  <c r="B5405" i="2"/>
  <c r="A5405" i="2"/>
  <c r="D5404" i="2"/>
  <c r="C5404" i="2"/>
  <c r="B5404" i="2"/>
  <c r="A5404" i="2"/>
  <c r="D5403" i="2"/>
  <c r="C5403" i="2"/>
  <c r="B5403" i="2"/>
  <c r="A5403" i="2"/>
  <c r="D5402" i="2"/>
  <c r="C5402" i="2"/>
  <c r="B5402" i="2"/>
  <c r="A5402" i="2"/>
  <c r="D5401" i="2"/>
  <c r="C5401" i="2"/>
  <c r="B5401" i="2"/>
  <c r="A5401" i="2"/>
  <c r="D5400" i="2"/>
  <c r="C5400" i="2"/>
  <c r="B5400" i="2"/>
  <c r="A5400" i="2"/>
  <c r="D5399" i="2"/>
  <c r="C5399" i="2"/>
  <c r="B5399" i="2"/>
  <c r="A5399" i="2"/>
  <c r="D5398" i="2"/>
  <c r="C5398" i="2"/>
  <c r="B5398" i="2"/>
  <c r="A5398" i="2"/>
  <c r="D5397" i="2"/>
  <c r="C5397" i="2"/>
  <c r="B5397" i="2"/>
  <c r="A5397" i="2"/>
  <c r="D5396" i="2"/>
  <c r="C5396" i="2"/>
  <c r="B5396" i="2"/>
  <c r="A5396" i="2"/>
  <c r="D5395" i="2"/>
  <c r="C5395" i="2"/>
  <c r="B5395" i="2"/>
  <c r="A5395" i="2"/>
  <c r="D5394" i="2"/>
  <c r="C5394" i="2"/>
  <c r="B5394" i="2"/>
  <c r="A5394" i="2"/>
  <c r="D5393" i="2"/>
  <c r="C5393" i="2"/>
  <c r="B5393" i="2"/>
  <c r="A5393" i="2"/>
  <c r="D5392" i="2"/>
  <c r="C5392" i="2"/>
  <c r="B5392" i="2"/>
  <c r="A5392" i="2"/>
  <c r="D5391" i="2"/>
  <c r="C5391" i="2"/>
  <c r="B5391" i="2"/>
  <c r="A5391" i="2"/>
  <c r="D5390" i="2"/>
  <c r="C5390" i="2"/>
  <c r="B5390" i="2"/>
  <c r="A5390" i="2"/>
  <c r="D5389" i="2"/>
  <c r="C5389" i="2"/>
  <c r="B5389" i="2"/>
  <c r="A5389" i="2"/>
  <c r="D5388" i="2"/>
  <c r="C5388" i="2"/>
  <c r="B5388" i="2"/>
  <c r="A5388" i="2"/>
  <c r="D5387" i="2"/>
  <c r="C5387" i="2"/>
  <c r="B5387" i="2"/>
  <c r="A5387" i="2"/>
  <c r="D5386" i="2"/>
  <c r="C5386" i="2"/>
  <c r="B5386" i="2"/>
  <c r="A5386" i="2"/>
  <c r="D5385" i="2"/>
  <c r="C5385" i="2"/>
  <c r="B5385" i="2"/>
  <c r="A5385" i="2"/>
  <c r="D5384" i="2"/>
  <c r="C5384" i="2"/>
  <c r="B5384" i="2"/>
  <c r="A5384" i="2"/>
  <c r="D5383" i="2"/>
  <c r="C5383" i="2"/>
  <c r="B5383" i="2"/>
  <c r="A5383" i="2"/>
  <c r="D5382" i="2"/>
  <c r="C5382" i="2"/>
  <c r="B5382" i="2"/>
  <c r="A5382" i="2"/>
  <c r="D5381" i="2"/>
  <c r="C5381" i="2"/>
  <c r="B5381" i="2"/>
  <c r="A5381" i="2"/>
  <c r="D5380" i="2"/>
  <c r="C5380" i="2"/>
  <c r="B5380" i="2"/>
  <c r="A5380" i="2"/>
  <c r="D5379" i="2"/>
  <c r="C5379" i="2"/>
  <c r="B5379" i="2"/>
  <c r="A5379" i="2"/>
  <c r="D5378" i="2"/>
  <c r="C5378" i="2"/>
  <c r="B5378" i="2"/>
  <c r="A5378" i="2"/>
  <c r="D5377" i="2"/>
  <c r="C5377" i="2"/>
  <c r="B5377" i="2"/>
  <c r="A5377" i="2"/>
  <c r="D5376" i="2"/>
  <c r="C5376" i="2"/>
  <c r="B5376" i="2"/>
  <c r="A5376" i="2"/>
  <c r="D5375" i="2"/>
  <c r="C5375" i="2"/>
  <c r="B5375" i="2"/>
  <c r="A5375" i="2"/>
  <c r="D5374" i="2"/>
  <c r="C5374" i="2"/>
  <c r="B5374" i="2"/>
  <c r="A5374" i="2"/>
  <c r="D5373" i="2"/>
  <c r="C5373" i="2"/>
  <c r="B5373" i="2"/>
  <c r="A5373" i="2"/>
  <c r="D5372" i="2"/>
  <c r="C5372" i="2"/>
  <c r="B5372" i="2"/>
  <c r="A5372" i="2"/>
  <c r="D5371" i="2"/>
  <c r="C5371" i="2"/>
  <c r="B5371" i="2"/>
  <c r="A5371" i="2"/>
  <c r="D5370" i="2"/>
  <c r="C5370" i="2"/>
  <c r="B5370" i="2"/>
  <c r="A5370" i="2"/>
  <c r="D5369" i="2"/>
  <c r="C5369" i="2"/>
  <c r="B5369" i="2"/>
  <c r="A5369" i="2"/>
  <c r="D5368" i="2"/>
  <c r="C5368" i="2"/>
  <c r="B5368" i="2"/>
  <c r="A5368" i="2"/>
  <c r="D5367" i="2"/>
  <c r="C5367" i="2"/>
  <c r="B5367" i="2"/>
  <c r="A5367" i="2"/>
  <c r="D5366" i="2"/>
  <c r="C5366" i="2"/>
  <c r="B5366" i="2"/>
  <c r="A5366" i="2"/>
  <c r="D5365" i="2"/>
  <c r="C5365" i="2"/>
  <c r="B5365" i="2"/>
  <c r="A5365" i="2"/>
  <c r="D5364" i="2"/>
  <c r="C5364" i="2"/>
  <c r="B5364" i="2"/>
  <c r="A5364" i="2"/>
  <c r="D5363" i="2"/>
  <c r="C5363" i="2"/>
  <c r="B5363" i="2"/>
  <c r="A5363" i="2"/>
  <c r="D5362" i="2"/>
  <c r="C5362" i="2"/>
  <c r="B5362" i="2"/>
  <c r="A5362" i="2"/>
  <c r="D5361" i="2"/>
  <c r="C5361" i="2"/>
  <c r="B5361" i="2"/>
  <c r="A5361" i="2"/>
  <c r="D5360" i="2"/>
  <c r="C5360" i="2"/>
  <c r="B5360" i="2"/>
  <c r="A5360" i="2"/>
  <c r="D5359" i="2"/>
  <c r="C5359" i="2"/>
  <c r="B5359" i="2"/>
  <c r="A5359" i="2"/>
  <c r="D5358" i="2"/>
  <c r="C5358" i="2"/>
  <c r="B5358" i="2"/>
  <c r="A5358" i="2"/>
  <c r="D5357" i="2"/>
  <c r="C5357" i="2"/>
  <c r="B5357" i="2"/>
  <c r="A5357" i="2"/>
  <c r="D5356" i="2"/>
  <c r="C5356" i="2"/>
  <c r="B5356" i="2"/>
  <c r="A5356" i="2"/>
  <c r="D5355" i="2"/>
  <c r="C5355" i="2"/>
  <c r="B5355" i="2"/>
  <c r="A5355" i="2"/>
  <c r="D5354" i="2"/>
  <c r="C5354" i="2"/>
  <c r="B5354" i="2"/>
  <c r="A5354" i="2"/>
  <c r="D5353" i="2"/>
  <c r="C5353" i="2"/>
  <c r="B5353" i="2"/>
  <c r="A5353" i="2"/>
  <c r="D5352" i="2"/>
  <c r="C5352" i="2"/>
  <c r="B5352" i="2"/>
  <c r="A5352" i="2"/>
  <c r="D5351" i="2"/>
  <c r="C5351" i="2"/>
  <c r="B5351" i="2"/>
  <c r="A5351" i="2"/>
  <c r="D5350" i="2"/>
  <c r="C5350" i="2"/>
  <c r="B5350" i="2"/>
  <c r="A5350" i="2"/>
  <c r="D5349" i="2"/>
  <c r="C5349" i="2"/>
  <c r="B5349" i="2"/>
  <c r="A5349" i="2"/>
  <c r="D5348" i="2"/>
  <c r="C5348" i="2"/>
  <c r="B5348" i="2"/>
  <c r="A5348" i="2"/>
  <c r="D5347" i="2"/>
  <c r="C5347" i="2"/>
  <c r="B5347" i="2"/>
  <c r="A5347" i="2"/>
  <c r="D5346" i="2"/>
  <c r="C5346" i="2"/>
  <c r="B5346" i="2"/>
  <c r="A5346" i="2"/>
  <c r="D5345" i="2"/>
  <c r="C5345" i="2"/>
  <c r="B5345" i="2"/>
  <c r="A5345" i="2"/>
  <c r="D5344" i="2"/>
  <c r="C5344" i="2"/>
  <c r="B5344" i="2"/>
  <c r="A5344" i="2"/>
  <c r="D5343" i="2"/>
  <c r="C5343" i="2"/>
  <c r="B5343" i="2"/>
  <c r="A5343" i="2"/>
  <c r="D5342" i="2"/>
  <c r="C5342" i="2"/>
  <c r="B5342" i="2"/>
  <c r="A5342" i="2"/>
  <c r="D5341" i="2"/>
  <c r="C5341" i="2"/>
  <c r="B5341" i="2"/>
  <c r="A5341" i="2"/>
  <c r="D5340" i="2"/>
  <c r="C5340" i="2"/>
  <c r="B5340" i="2"/>
  <c r="A5340" i="2"/>
  <c r="D5339" i="2"/>
  <c r="C5339" i="2"/>
  <c r="B5339" i="2"/>
  <c r="A5339" i="2"/>
  <c r="D5338" i="2"/>
  <c r="C5338" i="2"/>
  <c r="B5338" i="2"/>
  <c r="A5338" i="2"/>
  <c r="D5337" i="2"/>
  <c r="C5337" i="2"/>
  <c r="B5337" i="2"/>
  <c r="A5337" i="2"/>
  <c r="D5336" i="2"/>
  <c r="C5336" i="2"/>
  <c r="B5336" i="2"/>
  <c r="A5336" i="2"/>
  <c r="D5335" i="2"/>
  <c r="C5335" i="2"/>
  <c r="B5335" i="2"/>
  <c r="A5335" i="2"/>
  <c r="D5334" i="2"/>
  <c r="C5334" i="2"/>
  <c r="B5334" i="2"/>
  <c r="A5334" i="2"/>
  <c r="D5333" i="2"/>
  <c r="C5333" i="2"/>
  <c r="B5333" i="2"/>
  <c r="A5333" i="2"/>
  <c r="D5332" i="2"/>
  <c r="C5332" i="2"/>
  <c r="B5332" i="2"/>
  <c r="A5332" i="2"/>
  <c r="D5331" i="2"/>
  <c r="C5331" i="2"/>
  <c r="B5331" i="2"/>
  <c r="A5331" i="2"/>
  <c r="D5330" i="2"/>
  <c r="C5330" i="2"/>
  <c r="B5330" i="2"/>
  <c r="A5330" i="2"/>
  <c r="D5329" i="2"/>
  <c r="C5329" i="2"/>
  <c r="B5329" i="2"/>
  <c r="A5329" i="2"/>
  <c r="D5328" i="2"/>
  <c r="C5328" i="2"/>
  <c r="B5328" i="2"/>
  <c r="A5328" i="2"/>
  <c r="D5327" i="2"/>
  <c r="C5327" i="2"/>
  <c r="B5327" i="2"/>
  <c r="A5327" i="2"/>
  <c r="D5326" i="2"/>
  <c r="C5326" i="2"/>
  <c r="B5326" i="2"/>
  <c r="A5326" i="2"/>
  <c r="D5325" i="2"/>
  <c r="C5325" i="2"/>
  <c r="B5325" i="2"/>
  <c r="A5325" i="2"/>
  <c r="D5324" i="2"/>
  <c r="C5324" i="2"/>
  <c r="B5324" i="2"/>
  <c r="A5324" i="2"/>
  <c r="D5323" i="2"/>
  <c r="C5323" i="2"/>
  <c r="B5323" i="2"/>
  <c r="A5323" i="2"/>
  <c r="D5322" i="2"/>
  <c r="C5322" i="2"/>
  <c r="B5322" i="2"/>
  <c r="A5322" i="2"/>
  <c r="D5321" i="2"/>
  <c r="C5321" i="2"/>
  <c r="B5321" i="2"/>
  <c r="A5321" i="2"/>
  <c r="D5320" i="2"/>
  <c r="C5320" i="2"/>
  <c r="B5320" i="2"/>
  <c r="A5320" i="2"/>
  <c r="D5319" i="2"/>
  <c r="C5319" i="2"/>
  <c r="B5319" i="2"/>
  <c r="A5319" i="2"/>
  <c r="D5318" i="2"/>
  <c r="C5318" i="2"/>
  <c r="B5318" i="2"/>
  <c r="A5318" i="2"/>
  <c r="D5317" i="2"/>
  <c r="C5317" i="2"/>
  <c r="B5317" i="2"/>
  <c r="A5317" i="2"/>
  <c r="D5316" i="2"/>
  <c r="C5316" i="2"/>
  <c r="B5316" i="2"/>
  <c r="A5316" i="2"/>
  <c r="D5315" i="2"/>
  <c r="C5315" i="2"/>
  <c r="B5315" i="2"/>
  <c r="A5315" i="2"/>
  <c r="D5314" i="2"/>
  <c r="C5314" i="2"/>
  <c r="B5314" i="2"/>
  <c r="A5314" i="2"/>
  <c r="D5313" i="2"/>
  <c r="C5313" i="2"/>
  <c r="B5313" i="2"/>
  <c r="A5313" i="2"/>
  <c r="D5312" i="2"/>
  <c r="C5312" i="2"/>
  <c r="B5312" i="2"/>
  <c r="A5312" i="2"/>
  <c r="D5311" i="2"/>
  <c r="C5311" i="2"/>
  <c r="B5311" i="2"/>
  <c r="A5311" i="2"/>
  <c r="D5310" i="2"/>
  <c r="C5310" i="2"/>
  <c r="B5310" i="2"/>
  <c r="A5310" i="2"/>
  <c r="D5309" i="2"/>
  <c r="C5309" i="2"/>
  <c r="B5309" i="2"/>
  <c r="A5309" i="2"/>
  <c r="D5308" i="2"/>
  <c r="C5308" i="2"/>
  <c r="B5308" i="2"/>
  <c r="A5308" i="2"/>
  <c r="D5307" i="2"/>
  <c r="C5307" i="2"/>
  <c r="B5307" i="2"/>
  <c r="A5307" i="2"/>
  <c r="D5306" i="2"/>
  <c r="C5306" i="2"/>
  <c r="B5306" i="2"/>
  <c r="A5306" i="2"/>
  <c r="D5305" i="2"/>
  <c r="C5305" i="2"/>
  <c r="B5305" i="2"/>
  <c r="A5305" i="2"/>
  <c r="D5304" i="2"/>
  <c r="C5304" i="2"/>
  <c r="B5304" i="2"/>
  <c r="A5304" i="2"/>
  <c r="D5303" i="2"/>
  <c r="C5303" i="2"/>
  <c r="B5303" i="2"/>
  <c r="A5303" i="2"/>
  <c r="D5302" i="2"/>
  <c r="C5302" i="2"/>
  <c r="B5302" i="2"/>
  <c r="A5302" i="2"/>
  <c r="D5301" i="2"/>
  <c r="C5301" i="2"/>
  <c r="B5301" i="2"/>
  <c r="A5301" i="2"/>
  <c r="D5300" i="2"/>
  <c r="C5300" i="2"/>
  <c r="B5300" i="2"/>
  <c r="A5300" i="2"/>
  <c r="D5299" i="2"/>
  <c r="C5299" i="2"/>
  <c r="B5299" i="2"/>
  <c r="A5299" i="2"/>
  <c r="D5298" i="2"/>
  <c r="C5298" i="2"/>
  <c r="B5298" i="2"/>
  <c r="A5298" i="2"/>
  <c r="D5297" i="2"/>
  <c r="C5297" i="2"/>
  <c r="B5297" i="2"/>
  <c r="A5297" i="2"/>
  <c r="D5296" i="2"/>
  <c r="C5296" i="2"/>
  <c r="B5296" i="2"/>
  <c r="A5296" i="2"/>
  <c r="D5295" i="2"/>
  <c r="C5295" i="2"/>
  <c r="B5295" i="2"/>
  <c r="A5295" i="2"/>
  <c r="D5294" i="2"/>
  <c r="C5294" i="2"/>
  <c r="B5294" i="2"/>
  <c r="A5294" i="2"/>
  <c r="D5293" i="2"/>
  <c r="C5293" i="2"/>
  <c r="B5293" i="2"/>
  <c r="A5293" i="2"/>
  <c r="D5292" i="2"/>
  <c r="C5292" i="2"/>
  <c r="B5292" i="2"/>
  <c r="A5292" i="2"/>
  <c r="D5291" i="2"/>
  <c r="C5291" i="2"/>
  <c r="B5291" i="2"/>
  <c r="A5291" i="2"/>
  <c r="D5290" i="2"/>
  <c r="C5290" i="2"/>
  <c r="B5290" i="2"/>
  <c r="A5290" i="2"/>
  <c r="D5289" i="2"/>
  <c r="C5289" i="2"/>
  <c r="B5289" i="2"/>
  <c r="A5289" i="2"/>
  <c r="D5288" i="2"/>
  <c r="C5288" i="2"/>
  <c r="B5288" i="2"/>
  <c r="A5288" i="2"/>
  <c r="D5287" i="2"/>
  <c r="C5287" i="2"/>
  <c r="B5287" i="2"/>
  <c r="A5287" i="2"/>
  <c r="D5286" i="2"/>
  <c r="C5286" i="2"/>
  <c r="B5286" i="2"/>
  <c r="A5286" i="2"/>
  <c r="D5285" i="2"/>
  <c r="C5285" i="2"/>
  <c r="B5285" i="2"/>
  <c r="A5285" i="2"/>
  <c r="D5284" i="2"/>
  <c r="C5284" i="2"/>
  <c r="B5284" i="2"/>
  <c r="A5284" i="2"/>
  <c r="D5283" i="2"/>
  <c r="C5283" i="2"/>
  <c r="B5283" i="2"/>
  <c r="A5283" i="2"/>
  <c r="D5282" i="2"/>
  <c r="C5282" i="2"/>
  <c r="B5282" i="2"/>
  <c r="A5282" i="2"/>
  <c r="D5281" i="2"/>
  <c r="C5281" i="2"/>
  <c r="B5281" i="2"/>
  <c r="A5281" i="2"/>
  <c r="D5280" i="2"/>
  <c r="C5280" i="2"/>
  <c r="B5280" i="2"/>
  <c r="A5280" i="2"/>
  <c r="D5279" i="2"/>
  <c r="C5279" i="2"/>
  <c r="B5279" i="2"/>
  <c r="A5279" i="2"/>
  <c r="D5278" i="2"/>
  <c r="C5278" i="2"/>
  <c r="B5278" i="2"/>
  <c r="A5278" i="2"/>
  <c r="D5277" i="2"/>
  <c r="B5277" i="2"/>
  <c r="A5277" i="2"/>
  <c r="D5276" i="2"/>
  <c r="C5276" i="2"/>
  <c r="B5276" i="2"/>
  <c r="A5276" i="2"/>
  <c r="D5275" i="2"/>
  <c r="C5275" i="2"/>
  <c r="B5275" i="2"/>
  <c r="A5275" i="2"/>
  <c r="D5274" i="2"/>
  <c r="C5274" i="2"/>
  <c r="B5274" i="2"/>
  <c r="A5274" i="2"/>
  <c r="D5273" i="2"/>
  <c r="C5273" i="2"/>
  <c r="B5273" i="2"/>
  <c r="A5273" i="2"/>
  <c r="D5272" i="2"/>
  <c r="C5272" i="2"/>
  <c r="B5272" i="2"/>
  <c r="A5272" i="2"/>
  <c r="D5271" i="2"/>
  <c r="C5271" i="2"/>
  <c r="B5271" i="2"/>
  <c r="A5271" i="2"/>
  <c r="D5270" i="2"/>
  <c r="C5270" i="2"/>
  <c r="B5270" i="2"/>
  <c r="A5270" i="2"/>
  <c r="D5269" i="2"/>
  <c r="C5269" i="2"/>
  <c r="B5269" i="2"/>
  <c r="A5269" i="2"/>
  <c r="D5268" i="2"/>
  <c r="C5268" i="2"/>
  <c r="B5268" i="2"/>
  <c r="A5268" i="2"/>
  <c r="D5267" i="2"/>
  <c r="C5267" i="2"/>
  <c r="B5267" i="2"/>
  <c r="A5267" i="2"/>
  <c r="D5266" i="2"/>
  <c r="C5266" i="2"/>
  <c r="B5266" i="2"/>
  <c r="A5266" i="2"/>
  <c r="D5265" i="2"/>
  <c r="C5265" i="2"/>
  <c r="B5265" i="2"/>
  <c r="A5265" i="2"/>
  <c r="D5264" i="2"/>
  <c r="C5264" i="2"/>
  <c r="B5264" i="2"/>
  <c r="A5264" i="2"/>
  <c r="D5263" i="2"/>
  <c r="C5263" i="2"/>
  <c r="B5263" i="2"/>
  <c r="A5263" i="2"/>
  <c r="D5262" i="2"/>
  <c r="C5262" i="2"/>
  <c r="B5262" i="2"/>
  <c r="A5262" i="2"/>
  <c r="D5261" i="2"/>
  <c r="C5261" i="2"/>
  <c r="B5261" i="2"/>
  <c r="A5261" i="2"/>
  <c r="D5260" i="2"/>
  <c r="C5260" i="2"/>
  <c r="B5260" i="2"/>
  <c r="A5260" i="2"/>
  <c r="D5259" i="2"/>
  <c r="C5259" i="2"/>
  <c r="B5259" i="2"/>
  <c r="A5259" i="2"/>
  <c r="D5258" i="2"/>
  <c r="C5258" i="2"/>
  <c r="B5258" i="2"/>
  <c r="A5258" i="2"/>
  <c r="D5257" i="2"/>
  <c r="C5257" i="2"/>
  <c r="B5257" i="2"/>
  <c r="A5257" i="2"/>
  <c r="D5256" i="2"/>
  <c r="C5256" i="2"/>
  <c r="B5256" i="2"/>
  <c r="A5256" i="2"/>
  <c r="D5255" i="2"/>
  <c r="C5255" i="2"/>
  <c r="B5255" i="2"/>
  <c r="A5255" i="2"/>
  <c r="D5254" i="2"/>
  <c r="C5254" i="2"/>
  <c r="B5254" i="2"/>
  <c r="A5254" i="2"/>
  <c r="D5253" i="2"/>
  <c r="C5253" i="2"/>
  <c r="B5253" i="2"/>
  <c r="A5253" i="2"/>
  <c r="D5252" i="2"/>
  <c r="C5252" i="2"/>
  <c r="B5252" i="2"/>
  <c r="A5252" i="2"/>
  <c r="D5251" i="2"/>
  <c r="C5251" i="2"/>
  <c r="B5251" i="2"/>
  <c r="A5251" i="2"/>
  <c r="D5250" i="2"/>
  <c r="C5250" i="2"/>
  <c r="B5250" i="2"/>
  <c r="A5250" i="2"/>
  <c r="D5249" i="2"/>
  <c r="C5249" i="2"/>
  <c r="B5249" i="2"/>
  <c r="A5249" i="2"/>
  <c r="D5248" i="2"/>
  <c r="C5248" i="2"/>
  <c r="B5248" i="2"/>
  <c r="A5248" i="2"/>
  <c r="D5247" i="2"/>
  <c r="C5247" i="2"/>
  <c r="B5247" i="2"/>
  <c r="A5247" i="2"/>
  <c r="D5246" i="2"/>
  <c r="C5246" i="2"/>
  <c r="B5246" i="2"/>
  <c r="A5246" i="2"/>
  <c r="D5245" i="2"/>
  <c r="C5245" i="2"/>
  <c r="B5245" i="2"/>
  <c r="A5245" i="2"/>
  <c r="D5244" i="2"/>
  <c r="C5244" i="2"/>
  <c r="B5244" i="2"/>
  <c r="A5244" i="2"/>
  <c r="D5243" i="2"/>
  <c r="C5243" i="2"/>
  <c r="B5243" i="2"/>
  <c r="A5243" i="2"/>
  <c r="D5242" i="2"/>
  <c r="C5242" i="2"/>
  <c r="B5242" i="2"/>
  <c r="A5242" i="2"/>
  <c r="D5241" i="2"/>
  <c r="C5241" i="2"/>
  <c r="B5241" i="2"/>
  <c r="A5241" i="2"/>
  <c r="D5240" i="2"/>
  <c r="C5240" i="2"/>
  <c r="B5240" i="2"/>
  <c r="A5240" i="2"/>
  <c r="D5239" i="2"/>
  <c r="C5239" i="2"/>
  <c r="B5239" i="2"/>
  <c r="A5239" i="2"/>
  <c r="D5238" i="2"/>
  <c r="C5238" i="2"/>
  <c r="B5238" i="2"/>
  <c r="A5238" i="2"/>
  <c r="D5237" i="2"/>
  <c r="C5237" i="2"/>
  <c r="B5237" i="2"/>
  <c r="A5237" i="2"/>
  <c r="D5236" i="2"/>
  <c r="C5236" i="2"/>
  <c r="B5236" i="2"/>
  <c r="A5236" i="2"/>
  <c r="D5235" i="2"/>
  <c r="C5235" i="2"/>
  <c r="B5235" i="2"/>
  <c r="A5235" i="2"/>
  <c r="D5234" i="2"/>
  <c r="C5234" i="2"/>
  <c r="B5234" i="2"/>
  <c r="A5234" i="2"/>
  <c r="D5233" i="2"/>
  <c r="C5233" i="2"/>
  <c r="B5233" i="2"/>
  <c r="A5233" i="2"/>
  <c r="D5232" i="2"/>
  <c r="C5232" i="2"/>
  <c r="B5232" i="2"/>
  <c r="A5232" i="2"/>
  <c r="D5231" i="2"/>
  <c r="C5231" i="2"/>
  <c r="B5231" i="2"/>
  <c r="A5231" i="2"/>
  <c r="D5230" i="2"/>
  <c r="C5230" i="2"/>
  <c r="B5230" i="2"/>
  <c r="A5230" i="2"/>
  <c r="D5229" i="2"/>
  <c r="C5229" i="2"/>
  <c r="B5229" i="2"/>
  <c r="A5229" i="2"/>
  <c r="D5228" i="2"/>
  <c r="C5228" i="2"/>
  <c r="B5228" i="2"/>
  <c r="A5228" i="2"/>
  <c r="D5227" i="2"/>
  <c r="C5227" i="2"/>
  <c r="B5227" i="2"/>
  <c r="A5227" i="2"/>
  <c r="D5226" i="2"/>
  <c r="C5226" i="2"/>
  <c r="B5226" i="2"/>
  <c r="A5226" i="2"/>
  <c r="D5225" i="2"/>
  <c r="C5225" i="2"/>
  <c r="B5225" i="2"/>
  <c r="A5225" i="2"/>
  <c r="D5224" i="2"/>
  <c r="C5224" i="2"/>
  <c r="B5224" i="2"/>
  <c r="A5224" i="2"/>
  <c r="D5223" i="2"/>
  <c r="C5223" i="2"/>
  <c r="B5223" i="2"/>
  <c r="A5223" i="2"/>
  <c r="D5222" i="2"/>
  <c r="C5222" i="2"/>
  <c r="B5222" i="2"/>
  <c r="A5222" i="2"/>
  <c r="D5221" i="2"/>
  <c r="C5221" i="2"/>
  <c r="B5221" i="2"/>
  <c r="A5221" i="2"/>
  <c r="D5220" i="2"/>
  <c r="C5220" i="2"/>
  <c r="B5220" i="2"/>
  <c r="A5220" i="2"/>
  <c r="D5219" i="2"/>
  <c r="C5219" i="2"/>
  <c r="B5219" i="2"/>
  <c r="A5219" i="2"/>
  <c r="D5218" i="2"/>
  <c r="C5218" i="2"/>
  <c r="B5218" i="2"/>
  <c r="A5218" i="2"/>
  <c r="D5217" i="2"/>
  <c r="C5217" i="2"/>
  <c r="B5217" i="2"/>
  <c r="A5217" i="2"/>
  <c r="D5216" i="2"/>
  <c r="C5216" i="2"/>
  <c r="B5216" i="2"/>
  <c r="A5216" i="2"/>
  <c r="D5215" i="2"/>
  <c r="C5215" i="2"/>
  <c r="B5215" i="2"/>
  <c r="A5215" i="2"/>
  <c r="D5214" i="2"/>
  <c r="C5214" i="2"/>
  <c r="B5214" i="2"/>
  <c r="A5214" i="2"/>
  <c r="D5213" i="2"/>
  <c r="C5213" i="2"/>
  <c r="B5213" i="2"/>
  <c r="A5213" i="2"/>
  <c r="D5212" i="2"/>
  <c r="C5212" i="2"/>
  <c r="B5212" i="2"/>
  <c r="A5212" i="2"/>
  <c r="D5211" i="2"/>
  <c r="C5211" i="2"/>
  <c r="B5211" i="2"/>
  <c r="A5211" i="2"/>
  <c r="D5210" i="2"/>
  <c r="C5210" i="2"/>
  <c r="B5210" i="2"/>
  <c r="A5210" i="2"/>
  <c r="D5209" i="2"/>
  <c r="C5209" i="2"/>
  <c r="B5209" i="2"/>
  <c r="A5209" i="2"/>
  <c r="D5208" i="2"/>
  <c r="C5208" i="2"/>
  <c r="B5208" i="2"/>
  <c r="A5208" i="2"/>
  <c r="D5207" i="2"/>
  <c r="C5207" i="2"/>
  <c r="B5207" i="2"/>
  <c r="A5207" i="2"/>
  <c r="D5206" i="2"/>
  <c r="C5206" i="2"/>
  <c r="B5206" i="2"/>
  <c r="A5206" i="2"/>
  <c r="D5205" i="2"/>
  <c r="C5205" i="2"/>
  <c r="B5205" i="2"/>
  <c r="A5205" i="2"/>
  <c r="D5204" i="2"/>
  <c r="C5204" i="2"/>
  <c r="B5204" i="2"/>
  <c r="A5204" i="2"/>
  <c r="D5203" i="2"/>
  <c r="C5203" i="2"/>
  <c r="B5203" i="2"/>
  <c r="A5203" i="2"/>
  <c r="D5202" i="2"/>
  <c r="C5202" i="2"/>
  <c r="B5202" i="2"/>
  <c r="A5202" i="2"/>
  <c r="D5201" i="2"/>
  <c r="C5201" i="2"/>
  <c r="B5201" i="2"/>
  <c r="A5201" i="2"/>
  <c r="D5200" i="2"/>
  <c r="C5200" i="2"/>
  <c r="B5200" i="2"/>
  <c r="A5200" i="2"/>
  <c r="D5199" i="2"/>
  <c r="C5199" i="2"/>
  <c r="B5199" i="2"/>
  <c r="A5199" i="2"/>
  <c r="D5198" i="2"/>
  <c r="C5198" i="2"/>
  <c r="B5198" i="2"/>
  <c r="A5198" i="2"/>
  <c r="D5197" i="2"/>
  <c r="C5197" i="2"/>
  <c r="B5197" i="2"/>
  <c r="A5197" i="2"/>
  <c r="D5196" i="2"/>
  <c r="C5196" i="2"/>
  <c r="B5196" i="2"/>
  <c r="A5196" i="2"/>
  <c r="D5195" i="2"/>
  <c r="C5195" i="2"/>
  <c r="B5195" i="2"/>
  <c r="A5195" i="2"/>
  <c r="D5194" i="2"/>
  <c r="C5194" i="2"/>
  <c r="B5194" i="2"/>
  <c r="A5194" i="2"/>
  <c r="D5193" i="2"/>
  <c r="C5193" i="2"/>
  <c r="B5193" i="2"/>
  <c r="A5193" i="2"/>
  <c r="D5192" i="2"/>
  <c r="C5192" i="2"/>
  <c r="B5192" i="2"/>
  <c r="A5192" i="2"/>
  <c r="D5191" i="2"/>
  <c r="C5191" i="2"/>
  <c r="B5191" i="2"/>
  <c r="A5191" i="2"/>
  <c r="D5190" i="2"/>
  <c r="C5190" i="2"/>
  <c r="B5190" i="2"/>
  <c r="A5190" i="2"/>
  <c r="D5189" i="2"/>
  <c r="C5189" i="2"/>
  <c r="B5189" i="2"/>
  <c r="A5189" i="2"/>
  <c r="D5188" i="2"/>
  <c r="C5188" i="2"/>
  <c r="B5188" i="2"/>
  <c r="A5188" i="2"/>
  <c r="D5187" i="2"/>
  <c r="C5187" i="2"/>
  <c r="B5187" i="2"/>
  <c r="A5187" i="2"/>
  <c r="D5186" i="2"/>
  <c r="C5186" i="2"/>
  <c r="B5186" i="2"/>
  <c r="A5186" i="2"/>
  <c r="D5185" i="2"/>
  <c r="C5185" i="2"/>
  <c r="B5185" i="2"/>
  <c r="A5185" i="2"/>
  <c r="D5184" i="2"/>
  <c r="C5184" i="2"/>
  <c r="B5184" i="2"/>
  <c r="A5184" i="2"/>
  <c r="D5183" i="2"/>
  <c r="C5183" i="2"/>
  <c r="B5183" i="2"/>
  <c r="A5183" i="2"/>
  <c r="D5182" i="2"/>
  <c r="C5182" i="2"/>
  <c r="B5182" i="2"/>
  <c r="A5182" i="2"/>
  <c r="D5181" i="2"/>
  <c r="C5181" i="2"/>
  <c r="B5181" i="2"/>
  <c r="A5181" i="2"/>
  <c r="D5180" i="2"/>
  <c r="C5180" i="2"/>
  <c r="B5180" i="2"/>
  <c r="A5180" i="2"/>
  <c r="D5179" i="2"/>
  <c r="C5179" i="2"/>
  <c r="B5179" i="2"/>
  <c r="A5179" i="2"/>
  <c r="D5178" i="2"/>
  <c r="C5178" i="2"/>
  <c r="B5178" i="2"/>
  <c r="A5178" i="2"/>
  <c r="D5177" i="2"/>
  <c r="C5177" i="2"/>
  <c r="B5177" i="2"/>
  <c r="A5177" i="2"/>
  <c r="D5176" i="2"/>
  <c r="C5176" i="2"/>
  <c r="B5176" i="2"/>
  <c r="A5176" i="2"/>
  <c r="D5175" i="2"/>
  <c r="C5175" i="2"/>
  <c r="B5175" i="2"/>
  <c r="A5175" i="2"/>
  <c r="D5174" i="2"/>
  <c r="C5174" i="2"/>
  <c r="B5174" i="2"/>
  <c r="A5174" i="2"/>
  <c r="D5173" i="2"/>
  <c r="C5173" i="2"/>
  <c r="B5173" i="2"/>
  <c r="A5173" i="2"/>
  <c r="D5172" i="2"/>
  <c r="C5172" i="2"/>
  <c r="B5172" i="2"/>
  <c r="A5172" i="2"/>
  <c r="D5171" i="2"/>
  <c r="C5171" i="2"/>
  <c r="B5171" i="2"/>
  <c r="A5171" i="2"/>
  <c r="D5170" i="2"/>
  <c r="C5170" i="2"/>
  <c r="B5170" i="2"/>
  <c r="A5170" i="2"/>
  <c r="D5169" i="2"/>
  <c r="C5169" i="2"/>
  <c r="B5169" i="2"/>
  <c r="A5169" i="2"/>
  <c r="D5168" i="2"/>
  <c r="C5168" i="2"/>
  <c r="B5168" i="2"/>
  <c r="A5168" i="2"/>
  <c r="D5167" i="2"/>
  <c r="C5167" i="2"/>
  <c r="B5167" i="2"/>
  <c r="A5167" i="2"/>
  <c r="D5166" i="2"/>
  <c r="C5166" i="2"/>
  <c r="B5166" i="2"/>
  <c r="A5166" i="2"/>
  <c r="D5165" i="2"/>
  <c r="C5165" i="2"/>
  <c r="B5165" i="2"/>
  <c r="A5165" i="2"/>
  <c r="D5164" i="2"/>
  <c r="C5164" i="2"/>
  <c r="B5164" i="2"/>
  <c r="A5164" i="2"/>
  <c r="D5163" i="2"/>
  <c r="C5163" i="2"/>
  <c r="B5163" i="2"/>
  <c r="A5163" i="2"/>
  <c r="D5162" i="2"/>
  <c r="C5162" i="2"/>
  <c r="B5162" i="2"/>
  <c r="A5162" i="2"/>
  <c r="D5161" i="2"/>
  <c r="C5161" i="2"/>
  <c r="B5161" i="2"/>
  <c r="A5161" i="2"/>
  <c r="D5160" i="2"/>
  <c r="C5160" i="2"/>
  <c r="B5160" i="2"/>
  <c r="A5160" i="2"/>
  <c r="D5159" i="2"/>
  <c r="C5159" i="2"/>
  <c r="B5159" i="2"/>
  <c r="A5159" i="2"/>
  <c r="D5158" i="2"/>
  <c r="C5158" i="2"/>
  <c r="B5158" i="2"/>
  <c r="A5158" i="2"/>
  <c r="D5157" i="2"/>
  <c r="C5157" i="2"/>
  <c r="B5157" i="2"/>
  <c r="A5157" i="2"/>
  <c r="D5156" i="2"/>
  <c r="C5156" i="2"/>
  <c r="B5156" i="2"/>
  <c r="A5156" i="2"/>
  <c r="D5155" i="2"/>
  <c r="C5155" i="2"/>
  <c r="B5155" i="2"/>
  <c r="A5155" i="2"/>
  <c r="D5154" i="2"/>
  <c r="C5154" i="2"/>
  <c r="B5154" i="2"/>
  <c r="A5154" i="2"/>
  <c r="D5153" i="2"/>
  <c r="C5153" i="2"/>
  <c r="B5153" i="2"/>
  <c r="A5153" i="2"/>
  <c r="D5152" i="2"/>
  <c r="C5152" i="2"/>
  <c r="B5152" i="2"/>
  <c r="A5152" i="2"/>
  <c r="D5151" i="2"/>
  <c r="C5151" i="2"/>
  <c r="B5151" i="2"/>
  <c r="A5151" i="2"/>
  <c r="D5150" i="2"/>
  <c r="C5150" i="2"/>
  <c r="B5150" i="2"/>
  <c r="A5150" i="2"/>
  <c r="D5149" i="2"/>
  <c r="C5149" i="2"/>
  <c r="B5149" i="2"/>
  <c r="A5149" i="2"/>
  <c r="D5148" i="2"/>
  <c r="C5148" i="2"/>
  <c r="B5148" i="2"/>
  <c r="A5148" i="2"/>
  <c r="D5147" i="2"/>
  <c r="C5147" i="2"/>
  <c r="B5147" i="2"/>
  <c r="A5147" i="2"/>
  <c r="D5146" i="2"/>
  <c r="C5146" i="2"/>
  <c r="B5146" i="2"/>
  <c r="A5146" i="2"/>
  <c r="D5145" i="2"/>
  <c r="C5145" i="2"/>
  <c r="B5145" i="2"/>
  <c r="A5145" i="2"/>
  <c r="D5144" i="2"/>
  <c r="C5144" i="2"/>
  <c r="B5144" i="2"/>
  <c r="A5144" i="2"/>
  <c r="D5143" i="2"/>
  <c r="C5143" i="2"/>
  <c r="B5143" i="2"/>
  <c r="A5143" i="2"/>
  <c r="D5142" i="2"/>
  <c r="C5142" i="2"/>
  <c r="B5142" i="2"/>
  <c r="A5142" i="2"/>
  <c r="D5141" i="2"/>
  <c r="C5141" i="2"/>
  <c r="B5141" i="2"/>
  <c r="A5141" i="2"/>
  <c r="D5140" i="2"/>
  <c r="C5140" i="2"/>
  <c r="B5140" i="2"/>
  <c r="A5140" i="2"/>
  <c r="D5139" i="2"/>
  <c r="C5139" i="2"/>
  <c r="B5139" i="2"/>
  <c r="A5139" i="2"/>
  <c r="D5138" i="2"/>
  <c r="C5138" i="2"/>
  <c r="B5138" i="2"/>
  <c r="A5138" i="2"/>
  <c r="D5137" i="2"/>
  <c r="C5137" i="2"/>
  <c r="B5137" i="2"/>
  <c r="A5137" i="2"/>
  <c r="D5136" i="2"/>
  <c r="C5136" i="2"/>
  <c r="B5136" i="2"/>
  <c r="A5136" i="2"/>
  <c r="D5135" i="2"/>
  <c r="C5135" i="2"/>
  <c r="B5135" i="2"/>
  <c r="A5135" i="2"/>
  <c r="D5134" i="2"/>
  <c r="C5134" i="2"/>
  <c r="B5134" i="2"/>
  <c r="A5134" i="2"/>
  <c r="D5133" i="2"/>
  <c r="C5133" i="2"/>
  <c r="B5133" i="2"/>
  <c r="A5133" i="2"/>
  <c r="D5132" i="2"/>
  <c r="C5132" i="2"/>
  <c r="B5132" i="2"/>
  <c r="A5132" i="2"/>
  <c r="D5131" i="2"/>
  <c r="C5131" i="2"/>
  <c r="B5131" i="2"/>
  <c r="A5131" i="2"/>
  <c r="D5130" i="2"/>
  <c r="C5130" i="2"/>
  <c r="B5130" i="2"/>
  <c r="A5130" i="2"/>
  <c r="D5129" i="2"/>
  <c r="C5129" i="2"/>
  <c r="B5129" i="2"/>
  <c r="A5129" i="2"/>
  <c r="D5128" i="2"/>
  <c r="C5128" i="2"/>
  <c r="B5128" i="2"/>
  <c r="A5128" i="2"/>
  <c r="D5127" i="2"/>
  <c r="C5127" i="2"/>
  <c r="B5127" i="2"/>
  <c r="A5127" i="2"/>
  <c r="D5126" i="2"/>
  <c r="C5126" i="2"/>
  <c r="B5126" i="2"/>
  <c r="A5126" i="2"/>
  <c r="D5125" i="2"/>
  <c r="C5125" i="2"/>
  <c r="B5125" i="2"/>
  <c r="A5125" i="2"/>
  <c r="D5124" i="2"/>
  <c r="C5124" i="2"/>
  <c r="B5124" i="2"/>
  <c r="A5124" i="2"/>
  <c r="D5123" i="2"/>
  <c r="C5123" i="2"/>
  <c r="B5123" i="2"/>
  <c r="A5123" i="2"/>
  <c r="D5122" i="2"/>
  <c r="C5122" i="2"/>
  <c r="B5122" i="2"/>
  <c r="A5122" i="2"/>
  <c r="D5121" i="2"/>
  <c r="C5121" i="2"/>
  <c r="B5121" i="2"/>
  <c r="A5121" i="2"/>
  <c r="D5120" i="2"/>
  <c r="C5120" i="2"/>
  <c r="B5120" i="2"/>
  <c r="A5120" i="2"/>
  <c r="D5119" i="2"/>
  <c r="C5119" i="2"/>
  <c r="B5119" i="2"/>
  <c r="A5119" i="2"/>
  <c r="D5118" i="2"/>
  <c r="C5118" i="2"/>
  <c r="B5118" i="2"/>
  <c r="A5118" i="2"/>
  <c r="D5117" i="2"/>
  <c r="C5117" i="2"/>
  <c r="B5117" i="2"/>
  <c r="A5117" i="2"/>
  <c r="D5116" i="2"/>
  <c r="C5116" i="2"/>
  <c r="B5116" i="2"/>
  <c r="A5116" i="2"/>
  <c r="D5115" i="2"/>
  <c r="C5115" i="2"/>
  <c r="B5115" i="2"/>
  <c r="A5115" i="2"/>
  <c r="D5114" i="2"/>
  <c r="C5114" i="2"/>
  <c r="B5114" i="2"/>
  <c r="A5114" i="2"/>
  <c r="D5113" i="2"/>
  <c r="C5113" i="2"/>
  <c r="B5113" i="2"/>
  <c r="A5113" i="2"/>
  <c r="D5112" i="2"/>
  <c r="C5112" i="2"/>
  <c r="B5112" i="2"/>
  <c r="A5112" i="2"/>
  <c r="D5111" i="2"/>
  <c r="C5111" i="2"/>
  <c r="B5111" i="2"/>
  <c r="A5111" i="2"/>
  <c r="D5110" i="2"/>
  <c r="C5110" i="2"/>
  <c r="B5110" i="2"/>
  <c r="A5110" i="2"/>
  <c r="D5109" i="2"/>
  <c r="C5109" i="2"/>
  <c r="B5109" i="2"/>
  <c r="A5109" i="2"/>
  <c r="D5108" i="2"/>
  <c r="C5108" i="2"/>
  <c r="B5108" i="2"/>
  <c r="A5108" i="2"/>
  <c r="D5107" i="2"/>
  <c r="C5107" i="2"/>
  <c r="B5107" i="2"/>
  <c r="A5107" i="2"/>
  <c r="D5106" i="2"/>
  <c r="C5106" i="2"/>
  <c r="B5106" i="2"/>
  <c r="A5106" i="2"/>
  <c r="D5105" i="2"/>
  <c r="C5105" i="2"/>
  <c r="B5105" i="2"/>
  <c r="A5105" i="2"/>
  <c r="D5104" i="2"/>
  <c r="C5104" i="2"/>
  <c r="B5104" i="2"/>
  <c r="A5104" i="2"/>
  <c r="D5103" i="2"/>
  <c r="C5103" i="2"/>
  <c r="B5103" i="2"/>
  <c r="A5103" i="2"/>
  <c r="D5102" i="2"/>
  <c r="C5102" i="2"/>
  <c r="B5102" i="2"/>
  <c r="A5102" i="2"/>
  <c r="D5101" i="2"/>
  <c r="C5101" i="2"/>
  <c r="B5101" i="2"/>
  <c r="A5101" i="2"/>
  <c r="D5100" i="2"/>
  <c r="B5100" i="2"/>
  <c r="A5100" i="2"/>
  <c r="D5099" i="2"/>
  <c r="C5099" i="2"/>
  <c r="B5099" i="2"/>
  <c r="A5099" i="2"/>
  <c r="D5098" i="2"/>
  <c r="C5098" i="2"/>
  <c r="B5098" i="2"/>
  <c r="A5098" i="2"/>
  <c r="D5097" i="2"/>
  <c r="C5097" i="2"/>
  <c r="B5097" i="2"/>
  <c r="A5097" i="2"/>
  <c r="D5096" i="2"/>
  <c r="B5096" i="2"/>
  <c r="A5096" i="2"/>
  <c r="D5095" i="2"/>
  <c r="C5095" i="2"/>
  <c r="B5095" i="2"/>
  <c r="A5095" i="2"/>
  <c r="D5094" i="2"/>
  <c r="C5094" i="2"/>
  <c r="B5094" i="2"/>
  <c r="A5094" i="2"/>
  <c r="D5093" i="2"/>
  <c r="C5093" i="2"/>
  <c r="B5093" i="2"/>
  <c r="A5093" i="2"/>
  <c r="D5092" i="2"/>
  <c r="C5092" i="2"/>
  <c r="B5092" i="2"/>
  <c r="A5092" i="2"/>
  <c r="D5091" i="2"/>
  <c r="C5091" i="2"/>
  <c r="B5091" i="2"/>
  <c r="A5091" i="2"/>
  <c r="D5090" i="2"/>
  <c r="C5090" i="2"/>
  <c r="B5090" i="2"/>
  <c r="A5090" i="2"/>
  <c r="D5089" i="2"/>
  <c r="C5089" i="2"/>
  <c r="B5089" i="2"/>
  <c r="A5089" i="2"/>
  <c r="D5088" i="2"/>
  <c r="C5088" i="2"/>
  <c r="B5088" i="2"/>
  <c r="A5088" i="2"/>
  <c r="D5087" i="2"/>
  <c r="C5087" i="2"/>
  <c r="B5087" i="2"/>
  <c r="A5087" i="2"/>
  <c r="D5086" i="2"/>
  <c r="C5086" i="2"/>
  <c r="B5086" i="2"/>
  <c r="A5086" i="2"/>
  <c r="D5085" i="2"/>
  <c r="C5085" i="2"/>
  <c r="B5085" i="2"/>
  <c r="A5085" i="2"/>
  <c r="D5084" i="2"/>
  <c r="C5084" i="2"/>
  <c r="B5084" i="2"/>
  <c r="A5084" i="2"/>
  <c r="D5083" i="2"/>
  <c r="C5083" i="2"/>
  <c r="B5083" i="2"/>
  <c r="A5083" i="2"/>
  <c r="D5082" i="2"/>
  <c r="C5082" i="2"/>
  <c r="B5082" i="2"/>
  <c r="A5082" i="2"/>
  <c r="D5081" i="2"/>
  <c r="C5081" i="2"/>
  <c r="B5081" i="2"/>
  <c r="A5081" i="2"/>
  <c r="D5080" i="2"/>
  <c r="C5080" i="2"/>
  <c r="B5080" i="2"/>
  <c r="A5080" i="2"/>
  <c r="D5079" i="2"/>
  <c r="C5079" i="2"/>
  <c r="B5079" i="2"/>
  <c r="A5079" i="2"/>
  <c r="D5078" i="2"/>
  <c r="C5078" i="2"/>
  <c r="B5078" i="2"/>
  <c r="A5078" i="2"/>
  <c r="D5077" i="2"/>
  <c r="C5077" i="2"/>
  <c r="B5077" i="2"/>
  <c r="A5077" i="2"/>
  <c r="D5076" i="2"/>
  <c r="C5076" i="2"/>
  <c r="B5076" i="2"/>
  <c r="A5076" i="2"/>
  <c r="D5075" i="2"/>
  <c r="C5075" i="2"/>
  <c r="B5075" i="2"/>
  <c r="A5075" i="2"/>
  <c r="D5074" i="2"/>
  <c r="C5074" i="2"/>
  <c r="B5074" i="2"/>
  <c r="A5074" i="2"/>
  <c r="D5073" i="2"/>
  <c r="C5073" i="2"/>
  <c r="B5073" i="2"/>
  <c r="A5073" i="2"/>
  <c r="D5072" i="2"/>
  <c r="C5072" i="2"/>
  <c r="B5072" i="2"/>
  <c r="A5072" i="2"/>
  <c r="D5071" i="2"/>
  <c r="C5071" i="2"/>
  <c r="B5071" i="2"/>
  <c r="A5071" i="2"/>
  <c r="D5070" i="2"/>
  <c r="C5070" i="2"/>
  <c r="B5070" i="2"/>
  <c r="A5070" i="2"/>
  <c r="D5069" i="2"/>
  <c r="C5069" i="2"/>
  <c r="B5069" i="2"/>
  <c r="A5069" i="2"/>
  <c r="D5068" i="2"/>
  <c r="C5068" i="2"/>
  <c r="B5068" i="2"/>
  <c r="A5068" i="2"/>
  <c r="D5067" i="2"/>
  <c r="C5067" i="2"/>
  <c r="B5067" i="2"/>
  <c r="A5067" i="2"/>
  <c r="D5066" i="2"/>
  <c r="C5066" i="2"/>
  <c r="B5066" i="2"/>
  <c r="A5066" i="2"/>
  <c r="D5065" i="2"/>
  <c r="C5065" i="2"/>
  <c r="B5065" i="2"/>
  <c r="A5065" i="2"/>
  <c r="D5064" i="2"/>
  <c r="C5064" i="2"/>
  <c r="B5064" i="2"/>
  <c r="A5064" i="2"/>
  <c r="D5063" i="2"/>
  <c r="C5063" i="2"/>
  <c r="B5063" i="2"/>
  <c r="A5063" i="2"/>
  <c r="D5062" i="2"/>
  <c r="C5062" i="2"/>
  <c r="B5062" i="2"/>
  <c r="A5062" i="2"/>
  <c r="D5061" i="2"/>
  <c r="C5061" i="2"/>
  <c r="B5061" i="2"/>
  <c r="A5061" i="2"/>
  <c r="D5060" i="2"/>
  <c r="C5060" i="2"/>
  <c r="B5060" i="2"/>
  <c r="A5060" i="2"/>
  <c r="D5059" i="2"/>
  <c r="C5059" i="2"/>
  <c r="B5059" i="2"/>
  <c r="A5059" i="2"/>
  <c r="D5058" i="2"/>
  <c r="C5058" i="2"/>
  <c r="B5058" i="2"/>
  <c r="A5058" i="2"/>
  <c r="D5057" i="2"/>
  <c r="C5057" i="2"/>
  <c r="B5057" i="2"/>
  <c r="A5057" i="2"/>
  <c r="D5056" i="2"/>
  <c r="C5056" i="2"/>
  <c r="B5056" i="2"/>
  <c r="A5056" i="2"/>
  <c r="D5055" i="2"/>
  <c r="C5055" i="2"/>
  <c r="B5055" i="2"/>
  <c r="A5055" i="2"/>
  <c r="D5054" i="2"/>
  <c r="C5054" i="2"/>
  <c r="B5054" i="2"/>
  <c r="A5054" i="2"/>
  <c r="D5053" i="2"/>
  <c r="C5053" i="2"/>
  <c r="B5053" i="2"/>
  <c r="A5053" i="2"/>
  <c r="D5052" i="2"/>
  <c r="C5052" i="2"/>
  <c r="B5052" i="2"/>
  <c r="A5052" i="2"/>
  <c r="D5051" i="2"/>
  <c r="C5051" i="2"/>
  <c r="B5051" i="2"/>
  <c r="A5051" i="2"/>
  <c r="D5050" i="2"/>
  <c r="C5050" i="2"/>
  <c r="B5050" i="2"/>
  <c r="A5050" i="2"/>
  <c r="D5049" i="2"/>
  <c r="C5049" i="2"/>
  <c r="B5049" i="2"/>
  <c r="A5049" i="2"/>
  <c r="D5048" i="2"/>
  <c r="C5048" i="2"/>
  <c r="B5048" i="2"/>
  <c r="A5048" i="2"/>
  <c r="D5047" i="2"/>
  <c r="C5047" i="2"/>
  <c r="B5047" i="2"/>
  <c r="A5047" i="2"/>
  <c r="D5046" i="2"/>
  <c r="C5046" i="2"/>
  <c r="B5046" i="2"/>
  <c r="A5046" i="2"/>
  <c r="D5045" i="2"/>
  <c r="C5045" i="2"/>
  <c r="B5045" i="2"/>
  <c r="A5045" i="2"/>
  <c r="D5044" i="2"/>
  <c r="C5044" i="2"/>
  <c r="B5044" i="2"/>
  <c r="A5044" i="2"/>
  <c r="D5043" i="2"/>
  <c r="C5043" i="2"/>
  <c r="B5043" i="2"/>
  <c r="A5043" i="2"/>
  <c r="D5042" i="2"/>
  <c r="C5042" i="2"/>
  <c r="B5042" i="2"/>
  <c r="A5042" i="2"/>
  <c r="D5041" i="2"/>
  <c r="C5041" i="2"/>
  <c r="B5041" i="2"/>
  <c r="A5041" i="2"/>
  <c r="D5040" i="2"/>
  <c r="C5040" i="2"/>
  <c r="B5040" i="2"/>
  <c r="A5040" i="2"/>
  <c r="D5039" i="2"/>
  <c r="C5039" i="2"/>
  <c r="B5039" i="2"/>
  <c r="A5039" i="2"/>
  <c r="D5038" i="2"/>
  <c r="C5038" i="2"/>
  <c r="B5038" i="2"/>
  <c r="A5038" i="2"/>
  <c r="D5037" i="2"/>
  <c r="C5037" i="2"/>
  <c r="B5037" i="2"/>
  <c r="A5037" i="2"/>
  <c r="D5036" i="2"/>
  <c r="C5036" i="2"/>
  <c r="B5036" i="2"/>
  <c r="A5036" i="2"/>
  <c r="D5035" i="2"/>
  <c r="C5035" i="2"/>
  <c r="B5035" i="2"/>
  <c r="A5035" i="2"/>
  <c r="D5034" i="2"/>
  <c r="C5034" i="2"/>
  <c r="B5034" i="2"/>
  <c r="A5034" i="2"/>
  <c r="D5033" i="2"/>
  <c r="C5033" i="2"/>
  <c r="B5033" i="2"/>
  <c r="A5033" i="2"/>
  <c r="D5032" i="2"/>
  <c r="C5032" i="2"/>
  <c r="B5032" i="2"/>
  <c r="A5032" i="2"/>
  <c r="D5031" i="2"/>
  <c r="C5031" i="2"/>
  <c r="B5031" i="2"/>
  <c r="A5031" i="2"/>
  <c r="D5030" i="2"/>
  <c r="C5030" i="2"/>
  <c r="B5030" i="2"/>
  <c r="A5030" i="2"/>
  <c r="D5029" i="2"/>
  <c r="C5029" i="2"/>
  <c r="B5029" i="2"/>
  <c r="A5029" i="2"/>
  <c r="D5028" i="2"/>
  <c r="C5028" i="2"/>
  <c r="B5028" i="2"/>
  <c r="A5028" i="2"/>
  <c r="D5027" i="2"/>
  <c r="C5027" i="2"/>
  <c r="B5027" i="2"/>
  <c r="A5027" i="2"/>
  <c r="D5026" i="2"/>
  <c r="C5026" i="2"/>
  <c r="B5026" i="2"/>
  <c r="A5026" i="2"/>
  <c r="D5025" i="2"/>
  <c r="C5025" i="2"/>
  <c r="B5025" i="2"/>
  <c r="A5025" i="2"/>
  <c r="D5024" i="2"/>
  <c r="C5024" i="2"/>
  <c r="B5024" i="2"/>
  <c r="A5024" i="2"/>
  <c r="D5023" i="2"/>
  <c r="C5023" i="2"/>
  <c r="B5023" i="2"/>
  <c r="A5023" i="2"/>
  <c r="D5022" i="2"/>
  <c r="C5022" i="2"/>
  <c r="B5022" i="2"/>
  <c r="A5022" i="2"/>
  <c r="D5021" i="2"/>
  <c r="C5021" i="2"/>
  <c r="B5021" i="2"/>
  <c r="A5021" i="2"/>
  <c r="D5020" i="2"/>
  <c r="C5020" i="2"/>
  <c r="B5020" i="2"/>
  <c r="A5020" i="2"/>
  <c r="D5019" i="2"/>
  <c r="C5019" i="2"/>
  <c r="B5019" i="2"/>
  <c r="A5019" i="2"/>
  <c r="D5018" i="2"/>
  <c r="C5018" i="2"/>
  <c r="B5018" i="2"/>
  <c r="A5018" i="2"/>
  <c r="D5017" i="2"/>
  <c r="C5017" i="2"/>
  <c r="B5017" i="2"/>
  <c r="A5017" i="2"/>
  <c r="D5016" i="2"/>
  <c r="C5016" i="2"/>
  <c r="B5016" i="2"/>
  <c r="A5016" i="2"/>
  <c r="D5015" i="2"/>
  <c r="C5015" i="2"/>
  <c r="B5015" i="2"/>
  <c r="A5015" i="2"/>
  <c r="D5014" i="2"/>
  <c r="C5014" i="2"/>
  <c r="B5014" i="2"/>
  <c r="A5014" i="2"/>
  <c r="D5013" i="2"/>
  <c r="C5013" i="2"/>
  <c r="B5013" i="2"/>
  <c r="A5013" i="2"/>
  <c r="D5012" i="2"/>
  <c r="C5012" i="2"/>
  <c r="B5012" i="2"/>
  <c r="A5012" i="2"/>
  <c r="D5011" i="2"/>
  <c r="C5011" i="2"/>
  <c r="B5011" i="2"/>
  <c r="A5011" i="2"/>
  <c r="D5010" i="2"/>
  <c r="C5010" i="2"/>
  <c r="B5010" i="2"/>
  <c r="A5010" i="2"/>
  <c r="D5009" i="2"/>
  <c r="C5009" i="2"/>
  <c r="B5009" i="2"/>
  <c r="A5009" i="2"/>
  <c r="D5008" i="2"/>
  <c r="C5008" i="2"/>
  <c r="B5008" i="2"/>
  <c r="A5008" i="2"/>
  <c r="D5007" i="2"/>
  <c r="C5007" i="2"/>
  <c r="B5007" i="2"/>
  <c r="A5007" i="2"/>
  <c r="D5006" i="2"/>
  <c r="C5006" i="2"/>
  <c r="B5006" i="2"/>
  <c r="A5006" i="2"/>
  <c r="D5005" i="2"/>
  <c r="C5005" i="2"/>
  <c r="B5005" i="2"/>
  <c r="A5005" i="2"/>
  <c r="D5004" i="2"/>
  <c r="C5004" i="2"/>
  <c r="B5004" i="2"/>
  <c r="A5004" i="2"/>
  <c r="D5003" i="2"/>
  <c r="C5003" i="2"/>
  <c r="B5003" i="2"/>
  <c r="A5003" i="2"/>
  <c r="D5002" i="2"/>
  <c r="C5002" i="2"/>
  <c r="B5002" i="2"/>
  <c r="A5002" i="2"/>
  <c r="D5001" i="2"/>
  <c r="C5001" i="2"/>
  <c r="B5001" i="2"/>
  <c r="A5001" i="2"/>
  <c r="D5000" i="2"/>
  <c r="C5000" i="2"/>
  <c r="B5000" i="2"/>
  <c r="A5000" i="2"/>
  <c r="D4999" i="2"/>
  <c r="C4999" i="2"/>
  <c r="B4999" i="2"/>
  <c r="A4999" i="2"/>
  <c r="D4998" i="2"/>
  <c r="C4998" i="2"/>
  <c r="B4998" i="2"/>
  <c r="A4998" i="2"/>
  <c r="D4997" i="2"/>
  <c r="C4997" i="2"/>
  <c r="B4997" i="2"/>
  <c r="A4997" i="2"/>
  <c r="D4996" i="2"/>
  <c r="C4996" i="2"/>
  <c r="B4996" i="2"/>
  <c r="A4996" i="2"/>
  <c r="D4995" i="2"/>
  <c r="C4995" i="2"/>
  <c r="B4995" i="2"/>
  <c r="A4995" i="2"/>
  <c r="D4994" i="2"/>
  <c r="C4994" i="2"/>
  <c r="B4994" i="2"/>
  <c r="A4994" i="2"/>
  <c r="D4993" i="2"/>
  <c r="C4993" i="2"/>
  <c r="B4993" i="2"/>
  <c r="A4993" i="2"/>
  <c r="D4992" i="2"/>
  <c r="C4992" i="2"/>
  <c r="B4992" i="2"/>
  <c r="A4992" i="2"/>
  <c r="D4991" i="2"/>
  <c r="C4991" i="2"/>
  <c r="B4991" i="2"/>
  <c r="A4991" i="2"/>
  <c r="D4990" i="2"/>
  <c r="C4990" i="2"/>
  <c r="B4990" i="2"/>
  <c r="A4990" i="2"/>
  <c r="D4989" i="2"/>
  <c r="C4989" i="2"/>
  <c r="B4989" i="2"/>
  <c r="A4989" i="2"/>
  <c r="D4988" i="2"/>
  <c r="C4988" i="2"/>
  <c r="B4988" i="2"/>
  <c r="A4988" i="2"/>
  <c r="D4987" i="2"/>
  <c r="C4987" i="2"/>
  <c r="B4987" i="2"/>
  <c r="A4987" i="2"/>
  <c r="D4986" i="2"/>
  <c r="C4986" i="2"/>
  <c r="B4986" i="2"/>
  <c r="A4986" i="2"/>
  <c r="D4985" i="2"/>
  <c r="C4985" i="2"/>
  <c r="B4985" i="2"/>
  <c r="A4985" i="2"/>
  <c r="D4984" i="2"/>
  <c r="C4984" i="2"/>
  <c r="B4984" i="2"/>
  <c r="A4984" i="2"/>
  <c r="D4983" i="2"/>
  <c r="C4983" i="2"/>
  <c r="B4983" i="2"/>
  <c r="A4983" i="2"/>
  <c r="D4982" i="2"/>
  <c r="C4982" i="2"/>
  <c r="B4982" i="2"/>
  <c r="A4982" i="2"/>
  <c r="D4981" i="2"/>
  <c r="C4981" i="2"/>
  <c r="B4981" i="2"/>
  <c r="A4981" i="2"/>
  <c r="D4980" i="2"/>
  <c r="C4980" i="2"/>
  <c r="B4980" i="2"/>
  <c r="A4980" i="2"/>
  <c r="D4979" i="2"/>
  <c r="C4979" i="2"/>
  <c r="B4979" i="2"/>
  <c r="A4979" i="2"/>
  <c r="D4978" i="2"/>
  <c r="C4978" i="2"/>
  <c r="B4978" i="2"/>
  <c r="A4978" i="2"/>
  <c r="D4977" i="2"/>
  <c r="C4977" i="2"/>
  <c r="B4977" i="2"/>
  <c r="A4977" i="2"/>
  <c r="D4976" i="2"/>
  <c r="C4976" i="2"/>
  <c r="B4976" i="2"/>
  <c r="A4976" i="2"/>
  <c r="D4975" i="2"/>
  <c r="C4975" i="2"/>
  <c r="B4975" i="2"/>
  <c r="A4975" i="2"/>
  <c r="D4974" i="2"/>
  <c r="C4974" i="2"/>
  <c r="B4974" i="2"/>
  <c r="A4974" i="2"/>
  <c r="D4973" i="2"/>
  <c r="C4973" i="2"/>
  <c r="B4973" i="2"/>
  <c r="A4973" i="2"/>
  <c r="D4972" i="2"/>
  <c r="C4972" i="2"/>
  <c r="B4972" i="2"/>
  <c r="A4972" i="2"/>
  <c r="D4971" i="2"/>
  <c r="C4971" i="2"/>
  <c r="B4971" i="2"/>
  <c r="A4971" i="2"/>
  <c r="D4970" i="2"/>
  <c r="C4970" i="2"/>
  <c r="B4970" i="2"/>
  <c r="A4970" i="2"/>
  <c r="D4969" i="2"/>
  <c r="C4969" i="2"/>
  <c r="B4969" i="2"/>
  <c r="A4969" i="2"/>
  <c r="D4968" i="2"/>
  <c r="C4968" i="2"/>
  <c r="B4968" i="2"/>
  <c r="A4968" i="2"/>
  <c r="D4967" i="2"/>
  <c r="C4967" i="2"/>
  <c r="B4967" i="2"/>
  <c r="A4967" i="2"/>
  <c r="D4966" i="2"/>
  <c r="C4966" i="2"/>
  <c r="B4966" i="2"/>
  <c r="A4966" i="2"/>
  <c r="D4965" i="2"/>
  <c r="C4965" i="2"/>
  <c r="B4965" i="2"/>
  <c r="A4965" i="2"/>
  <c r="D4964" i="2"/>
  <c r="C4964" i="2"/>
  <c r="B4964" i="2"/>
  <c r="A4964" i="2"/>
  <c r="D4963" i="2"/>
  <c r="C4963" i="2"/>
  <c r="B4963" i="2"/>
  <c r="A4963" i="2"/>
  <c r="D4962" i="2"/>
  <c r="C4962" i="2"/>
  <c r="B4962" i="2"/>
  <c r="A4962" i="2"/>
  <c r="D4961" i="2"/>
  <c r="C4961" i="2"/>
  <c r="B4961" i="2"/>
  <c r="A4961" i="2"/>
  <c r="D4960" i="2"/>
  <c r="C4960" i="2"/>
  <c r="B4960" i="2"/>
  <c r="A4960" i="2"/>
  <c r="D4959" i="2"/>
  <c r="C4959" i="2"/>
  <c r="B4959" i="2"/>
  <c r="A4959" i="2"/>
  <c r="D4958" i="2"/>
  <c r="C4958" i="2"/>
  <c r="B4958" i="2"/>
  <c r="A4958" i="2"/>
  <c r="D4957" i="2"/>
  <c r="C4957" i="2"/>
  <c r="B4957" i="2"/>
  <c r="A4957" i="2"/>
  <c r="D4956" i="2"/>
  <c r="C4956" i="2"/>
  <c r="B4956" i="2"/>
  <c r="A4956" i="2"/>
  <c r="D4955" i="2"/>
  <c r="C4955" i="2"/>
  <c r="B4955" i="2"/>
  <c r="A4955" i="2"/>
  <c r="D4954" i="2"/>
  <c r="C4954" i="2"/>
  <c r="B4954" i="2"/>
  <c r="A4954" i="2"/>
  <c r="D4953" i="2"/>
  <c r="C4953" i="2"/>
  <c r="B4953" i="2"/>
  <c r="A4953" i="2"/>
  <c r="D4952" i="2"/>
  <c r="C4952" i="2"/>
  <c r="B4952" i="2"/>
  <c r="A4952" i="2"/>
  <c r="D4951" i="2"/>
  <c r="C4951" i="2"/>
  <c r="B4951" i="2"/>
  <c r="A4951" i="2"/>
  <c r="D4950" i="2"/>
  <c r="C4950" i="2"/>
  <c r="B4950" i="2"/>
  <c r="A4950" i="2"/>
  <c r="D4949" i="2"/>
  <c r="C4949" i="2"/>
  <c r="B4949" i="2"/>
  <c r="A4949" i="2"/>
  <c r="D4948" i="2"/>
  <c r="C4948" i="2"/>
  <c r="B4948" i="2"/>
  <c r="A4948" i="2"/>
  <c r="D4947" i="2"/>
  <c r="C4947" i="2"/>
  <c r="B4947" i="2"/>
  <c r="A4947" i="2"/>
  <c r="D4946" i="2"/>
  <c r="C4946" i="2"/>
  <c r="B4946" i="2"/>
  <c r="A4946" i="2"/>
  <c r="D4945" i="2"/>
  <c r="C4945" i="2"/>
  <c r="B4945" i="2"/>
  <c r="A4945" i="2"/>
  <c r="D4944" i="2"/>
  <c r="C4944" i="2"/>
  <c r="B4944" i="2"/>
  <c r="A4944" i="2"/>
  <c r="D4943" i="2"/>
  <c r="C4943" i="2"/>
  <c r="B4943" i="2"/>
  <c r="A4943" i="2"/>
  <c r="D4942" i="2"/>
  <c r="C4942" i="2"/>
  <c r="B4942" i="2"/>
  <c r="A4942" i="2"/>
  <c r="D4941" i="2"/>
  <c r="C4941" i="2"/>
  <c r="B4941" i="2"/>
  <c r="A4941" i="2"/>
  <c r="D4940" i="2"/>
  <c r="C4940" i="2"/>
  <c r="B4940" i="2"/>
  <c r="A4940" i="2"/>
  <c r="D4939" i="2"/>
  <c r="C4939" i="2"/>
  <c r="B4939" i="2"/>
  <c r="A4939" i="2"/>
  <c r="D4938" i="2"/>
  <c r="C4938" i="2"/>
  <c r="B4938" i="2"/>
  <c r="A4938" i="2"/>
  <c r="D4937" i="2"/>
  <c r="C4937" i="2"/>
  <c r="B4937" i="2"/>
  <c r="A4937" i="2"/>
  <c r="D4936" i="2"/>
  <c r="C4936" i="2"/>
  <c r="B4936" i="2"/>
  <c r="A4936" i="2"/>
  <c r="D4935" i="2"/>
  <c r="C4935" i="2"/>
  <c r="B4935" i="2"/>
  <c r="A4935" i="2"/>
  <c r="D4934" i="2"/>
  <c r="C4934" i="2"/>
  <c r="B4934" i="2"/>
  <c r="A4934" i="2"/>
  <c r="D4933" i="2"/>
  <c r="C4933" i="2"/>
  <c r="B4933" i="2"/>
  <c r="A4933" i="2"/>
  <c r="D4932" i="2"/>
  <c r="C4932" i="2"/>
  <c r="B4932" i="2"/>
  <c r="A4932" i="2"/>
  <c r="D4931" i="2"/>
  <c r="C4931" i="2"/>
  <c r="B4931" i="2"/>
  <c r="A4931" i="2"/>
  <c r="D4930" i="2"/>
  <c r="C4930" i="2"/>
  <c r="B4930" i="2"/>
  <c r="A4930" i="2"/>
  <c r="D4929" i="2"/>
  <c r="C4929" i="2"/>
  <c r="B4929" i="2"/>
  <c r="A4929" i="2"/>
  <c r="D4928" i="2"/>
  <c r="C4928" i="2"/>
  <c r="B4928" i="2"/>
  <c r="A4928" i="2"/>
  <c r="D4927" i="2"/>
  <c r="C4927" i="2"/>
  <c r="B4927" i="2"/>
  <c r="A4927" i="2"/>
  <c r="D4926" i="2"/>
  <c r="C4926" i="2"/>
  <c r="B4926" i="2"/>
  <c r="A4926" i="2"/>
  <c r="D4925" i="2"/>
  <c r="C4925" i="2"/>
  <c r="B4925" i="2"/>
  <c r="A4925" i="2"/>
  <c r="D4924" i="2"/>
  <c r="C4924" i="2"/>
  <c r="B4924" i="2"/>
  <c r="A4924" i="2"/>
  <c r="D4923" i="2"/>
  <c r="C4923" i="2"/>
  <c r="B4923" i="2"/>
  <c r="A4923" i="2"/>
  <c r="D4922" i="2"/>
  <c r="C4922" i="2"/>
  <c r="B4922" i="2"/>
  <c r="A4922" i="2"/>
  <c r="D4921" i="2"/>
  <c r="C4921" i="2"/>
  <c r="B4921" i="2"/>
  <c r="A4921" i="2"/>
  <c r="D4920" i="2"/>
  <c r="C4920" i="2"/>
  <c r="B4920" i="2"/>
  <c r="A4920" i="2"/>
  <c r="D4919" i="2"/>
  <c r="C4919" i="2"/>
  <c r="B4919" i="2"/>
  <c r="A4919" i="2"/>
  <c r="D4918" i="2"/>
  <c r="C4918" i="2"/>
  <c r="B4918" i="2"/>
  <c r="A4918" i="2"/>
  <c r="D4917" i="2"/>
  <c r="C4917" i="2"/>
  <c r="B4917" i="2"/>
  <c r="A4917" i="2"/>
  <c r="D4916" i="2"/>
  <c r="C4916" i="2"/>
  <c r="B4916" i="2"/>
  <c r="A4916" i="2"/>
  <c r="D4915" i="2"/>
  <c r="C4915" i="2"/>
  <c r="B4915" i="2"/>
  <c r="A4915" i="2"/>
  <c r="D4914" i="2"/>
  <c r="C4914" i="2"/>
  <c r="B4914" i="2"/>
  <c r="A4914" i="2"/>
  <c r="D4913" i="2"/>
  <c r="C4913" i="2"/>
  <c r="B4913" i="2"/>
  <c r="A4913" i="2"/>
  <c r="D4912" i="2"/>
  <c r="C4912" i="2"/>
  <c r="B4912" i="2"/>
  <c r="A4912" i="2"/>
  <c r="D4911" i="2"/>
  <c r="C4911" i="2"/>
  <c r="B4911" i="2"/>
  <c r="A4911" i="2"/>
  <c r="D4910" i="2"/>
  <c r="C4910" i="2"/>
  <c r="B4910" i="2"/>
  <c r="A4910" i="2"/>
  <c r="D4909" i="2"/>
  <c r="C4909" i="2"/>
  <c r="B4909" i="2"/>
  <c r="A4909" i="2"/>
  <c r="D4908" i="2"/>
  <c r="C4908" i="2"/>
  <c r="B4908" i="2"/>
  <c r="A4908" i="2"/>
  <c r="D4907" i="2"/>
  <c r="C4907" i="2"/>
  <c r="B4907" i="2"/>
  <c r="A4907" i="2"/>
  <c r="D4906" i="2"/>
  <c r="C4906" i="2"/>
  <c r="B4906" i="2"/>
  <c r="A4906" i="2"/>
  <c r="D4905" i="2"/>
  <c r="C4905" i="2"/>
  <c r="B4905" i="2"/>
  <c r="A4905" i="2"/>
  <c r="D4904" i="2"/>
  <c r="C4904" i="2"/>
  <c r="B4904" i="2"/>
  <c r="A4904" i="2"/>
  <c r="D4903" i="2"/>
  <c r="C4903" i="2"/>
  <c r="B4903" i="2"/>
  <c r="A4903" i="2"/>
  <c r="D4902" i="2"/>
  <c r="C4902" i="2"/>
  <c r="B4902" i="2"/>
  <c r="A4902" i="2"/>
  <c r="D4901" i="2"/>
  <c r="C4901" i="2"/>
  <c r="B4901" i="2"/>
  <c r="A4901" i="2"/>
  <c r="D4900" i="2"/>
  <c r="C4900" i="2"/>
  <c r="B4900" i="2"/>
  <c r="A4900" i="2"/>
  <c r="D4899" i="2"/>
  <c r="C4899" i="2"/>
  <c r="B4899" i="2"/>
  <c r="A4899" i="2"/>
  <c r="D4898" i="2"/>
  <c r="C4898" i="2"/>
  <c r="B4898" i="2"/>
  <c r="A4898" i="2"/>
  <c r="D4897" i="2"/>
  <c r="C4897" i="2"/>
  <c r="B4897" i="2"/>
  <c r="A4897" i="2"/>
  <c r="D4896" i="2"/>
  <c r="C4896" i="2"/>
  <c r="B4896" i="2"/>
  <c r="A4896" i="2"/>
  <c r="D4895" i="2"/>
  <c r="C4895" i="2"/>
  <c r="B4895" i="2"/>
  <c r="A4895" i="2"/>
  <c r="D4894" i="2"/>
  <c r="C4894" i="2"/>
  <c r="B4894" i="2"/>
  <c r="A4894" i="2"/>
  <c r="D4893" i="2"/>
  <c r="C4893" i="2"/>
  <c r="B4893" i="2"/>
  <c r="A4893" i="2"/>
  <c r="D4892" i="2"/>
  <c r="C4892" i="2"/>
  <c r="B4892" i="2"/>
  <c r="A4892" i="2"/>
  <c r="D4891" i="2"/>
  <c r="C4891" i="2"/>
  <c r="B4891" i="2"/>
  <c r="A4891" i="2"/>
  <c r="D4890" i="2"/>
  <c r="C4890" i="2"/>
  <c r="B4890" i="2"/>
  <c r="A4890" i="2"/>
  <c r="D4889" i="2"/>
  <c r="C4889" i="2"/>
  <c r="B4889" i="2"/>
  <c r="A4889" i="2"/>
  <c r="D4888" i="2"/>
  <c r="C4888" i="2"/>
  <c r="B4888" i="2"/>
  <c r="A4888" i="2"/>
  <c r="D4887" i="2"/>
  <c r="C4887" i="2"/>
  <c r="B4887" i="2"/>
  <c r="A4887" i="2"/>
  <c r="D4886" i="2"/>
  <c r="C4886" i="2"/>
  <c r="B4886" i="2"/>
  <c r="A4886" i="2"/>
  <c r="D4885" i="2"/>
  <c r="C4885" i="2"/>
  <c r="B4885" i="2"/>
  <c r="A4885" i="2"/>
  <c r="D4884" i="2"/>
  <c r="C4884" i="2"/>
  <c r="B4884" i="2"/>
  <c r="A4884" i="2"/>
  <c r="D4883" i="2"/>
  <c r="C4883" i="2"/>
  <c r="B4883" i="2"/>
  <c r="A4883" i="2"/>
  <c r="D4882" i="2"/>
  <c r="C4882" i="2"/>
  <c r="B4882" i="2"/>
  <c r="A4882" i="2"/>
  <c r="D4881" i="2"/>
  <c r="C4881" i="2"/>
  <c r="B4881" i="2"/>
  <c r="A4881" i="2"/>
  <c r="D4880" i="2"/>
  <c r="C4880" i="2"/>
  <c r="B4880" i="2"/>
  <c r="A4880" i="2"/>
  <c r="D4879" i="2"/>
  <c r="C4879" i="2"/>
  <c r="B4879" i="2"/>
  <c r="A4879" i="2"/>
  <c r="D4878" i="2"/>
  <c r="C4878" i="2"/>
  <c r="B4878" i="2"/>
  <c r="A4878" i="2"/>
  <c r="D4877" i="2"/>
  <c r="C4877" i="2"/>
  <c r="B4877" i="2"/>
  <c r="A4877" i="2"/>
  <c r="D4876" i="2"/>
  <c r="C4876" i="2"/>
  <c r="B4876" i="2"/>
  <c r="A4876" i="2"/>
  <c r="D4875" i="2"/>
  <c r="C4875" i="2"/>
  <c r="B4875" i="2"/>
  <c r="A4875" i="2"/>
  <c r="D4874" i="2"/>
  <c r="C4874" i="2"/>
  <c r="B4874" i="2"/>
  <c r="A4874" i="2"/>
  <c r="D4873" i="2"/>
  <c r="C4873" i="2"/>
  <c r="B4873" i="2"/>
  <c r="A4873" i="2"/>
  <c r="D4872" i="2"/>
  <c r="C4872" i="2"/>
  <c r="B4872" i="2"/>
  <c r="A4872" i="2"/>
  <c r="D4871" i="2"/>
  <c r="C4871" i="2"/>
  <c r="B4871" i="2"/>
  <c r="A4871" i="2"/>
  <c r="D4870" i="2"/>
  <c r="C4870" i="2"/>
  <c r="B4870" i="2"/>
  <c r="A4870" i="2"/>
  <c r="D4869" i="2"/>
  <c r="C4869" i="2"/>
  <c r="B4869" i="2"/>
  <c r="A4869" i="2"/>
  <c r="D4868" i="2"/>
  <c r="C4868" i="2"/>
  <c r="B4868" i="2"/>
  <c r="A4868" i="2"/>
  <c r="D4867" i="2"/>
  <c r="C4867" i="2"/>
  <c r="B4867" i="2"/>
  <c r="A4867" i="2"/>
  <c r="D4866" i="2"/>
  <c r="C4866" i="2"/>
  <c r="B4866" i="2"/>
  <c r="A4866" i="2"/>
  <c r="D4865" i="2"/>
  <c r="C4865" i="2"/>
  <c r="B4865" i="2"/>
  <c r="A4865" i="2"/>
  <c r="D4864" i="2"/>
  <c r="C4864" i="2"/>
  <c r="B4864" i="2"/>
  <c r="A4864" i="2"/>
  <c r="D4863" i="2"/>
  <c r="C4863" i="2"/>
  <c r="B4863" i="2"/>
  <c r="A4863" i="2"/>
  <c r="D4862" i="2"/>
  <c r="C4862" i="2"/>
  <c r="B4862" i="2"/>
  <c r="A4862" i="2"/>
  <c r="D4861" i="2"/>
  <c r="C4861" i="2"/>
  <c r="B4861" i="2"/>
  <c r="A4861" i="2"/>
  <c r="D4860" i="2"/>
  <c r="C4860" i="2"/>
  <c r="B4860" i="2"/>
  <c r="A4860" i="2"/>
  <c r="D4859" i="2"/>
  <c r="C4859" i="2"/>
  <c r="B4859" i="2"/>
  <c r="A4859" i="2"/>
  <c r="D4858" i="2"/>
  <c r="C4858" i="2"/>
  <c r="B4858" i="2"/>
  <c r="A4858" i="2"/>
  <c r="D4857" i="2"/>
  <c r="C4857" i="2"/>
  <c r="B4857" i="2"/>
  <c r="A4857" i="2"/>
  <c r="D4856" i="2"/>
  <c r="B4856" i="2"/>
  <c r="A4856" i="2"/>
  <c r="D4855" i="2"/>
  <c r="C4855" i="2"/>
  <c r="B4855" i="2"/>
  <c r="A4855" i="2"/>
  <c r="D4854" i="2"/>
  <c r="C4854" i="2"/>
  <c r="B4854" i="2"/>
  <c r="A4854" i="2"/>
  <c r="D4853" i="2"/>
  <c r="C4853" i="2"/>
  <c r="B4853" i="2"/>
  <c r="A4853" i="2"/>
  <c r="D4852" i="2"/>
  <c r="C4852" i="2"/>
  <c r="B4852" i="2"/>
  <c r="A4852" i="2"/>
  <c r="D4851" i="2"/>
  <c r="C4851" i="2"/>
  <c r="B4851" i="2"/>
  <c r="A4851" i="2"/>
  <c r="D4850" i="2"/>
  <c r="C4850" i="2"/>
  <c r="B4850" i="2"/>
  <c r="A4850" i="2"/>
  <c r="D4849" i="2"/>
  <c r="C4849" i="2"/>
  <c r="B4849" i="2"/>
  <c r="A4849" i="2"/>
  <c r="D4848" i="2"/>
  <c r="C4848" i="2"/>
  <c r="B4848" i="2"/>
  <c r="A4848" i="2"/>
  <c r="D4847" i="2"/>
  <c r="C4847" i="2"/>
  <c r="B4847" i="2"/>
  <c r="A4847" i="2"/>
  <c r="D4846" i="2"/>
  <c r="C4846" i="2"/>
  <c r="B4846" i="2"/>
  <c r="A4846" i="2"/>
  <c r="D4845" i="2"/>
  <c r="C4845" i="2"/>
  <c r="B4845" i="2"/>
  <c r="A4845" i="2"/>
  <c r="D4844" i="2"/>
  <c r="C4844" i="2"/>
  <c r="B4844" i="2"/>
  <c r="A4844" i="2"/>
  <c r="D4843" i="2"/>
  <c r="C4843" i="2"/>
  <c r="B4843" i="2"/>
  <c r="A4843" i="2"/>
  <c r="D4842" i="2"/>
  <c r="C4842" i="2"/>
  <c r="B4842" i="2"/>
  <c r="A4842" i="2"/>
  <c r="D4841" i="2"/>
  <c r="C4841" i="2"/>
  <c r="B4841" i="2"/>
  <c r="A4841" i="2"/>
  <c r="D4840" i="2"/>
  <c r="C4840" i="2"/>
  <c r="B4840" i="2"/>
  <c r="A4840" i="2"/>
  <c r="D4839" i="2"/>
  <c r="C4839" i="2"/>
  <c r="B4839" i="2"/>
  <c r="A4839" i="2"/>
  <c r="D4838" i="2"/>
  <c r="C4838" i="2"/>
  <c r="B4838" i="2"/>
  <c r="A4838" i="2"/>
  <c r="D4837" i="2"/>
  <c r="C4837" i="2"/>
  <c r="B4837" i="2"/>
  <c r="A4837" i="2"/>
  <c r="D4836" i="2"/>
  <c r="C4836" i="2"/>
  <c r="B4836" i="2"/>
  <c r="A4836" i="2"/>
  <c r="D4835" i="2"/>
  <c r="C4835" i="2"/>
  <c r="B4835" i="2"/>
  <c r="A4835" i="2"/>
  <c r="D4834" i="2"/>
  <c r="C4834" i="2"/>
  <c r="B4834" i="2"/>
  <c r="A4834" i="2"/>
  <c r="D4833" i="2"/>
  <c r="C4833" i="2"/>
  <c r="B4833" i="2"/>
  <c r="A4833" i="2"/>
  <c r="D4832" i="2"/>
  <c r="C4832" i="2"/>
  <c r="B4832" i="2"/>
  <c r="A4832" i="2"/>
  <c r="D4831" i="2"/>
  <c r="C4831" i="2"/>
  <c r="B4831" i="2"/>
  <c r="A4831" i="2"/>
  <c r="D4830" i="2"/>
  <c r="C4830" i="2"/>
  <c r="B4830" i="2"/>
  <c r="A4830" i="2"/>
  <c r="D4829" i="2"/>
  <c r="C4829" i="2"/>
  <c r="B4829" i="2"/>
  <c r="A4829" i="2"/>
  <c r="D4828" i="2"/>
  <c r="C4828" i="2"/>
  <c r="B4828" i="2"/>
  <c r="A4828" i="2"/>
  <c r="D4827" i="2"/>
  <c r="C4827" i="2"/>
  <c r="B4827" i="2"/>
  <c r="A4827" i="2"/>
  <c r="D4826" i="2"/>
  <c r="C4826" i="2"/>
  <c r="B4826" i="2"/>
  <c r="A4826" i="2"/>
  <c r="D4825" i="2"/>
  <c r="C4825" i="2"/>
  <c r="B4825" i="2"/>
  <c r="A4825" i="2"/>
  <c r="D4824" i="2"/>
  <c r="C4824" i="2"/>
  <c r="B4824" i="2"/>
  <c r="A4824" i="2"/>
  <c r="D4823" i="2"/>
  <c r="C4823" i="2"/>
  <c r="B4823" i="2"/>
  <c r="A4823" i="2"/>
  <c r="D4822" i="2"/>
  <c r="C4822" i="2"/>
  <c r="B4822" i="2"/>
  <c r="A4822" i="2"/>
  <c r="D4821" i="2"/>
  <c r="C4821" i="2"/>
  <c r="B4821" i="2"/>
  <c r="A4821" i="2"/>
  <c r="D4820" i="2"/>
  <c r="C4820" i="2"/>
  <c r="B4820" i="2"/>
  <c r="A4820" i="2"/>
  <c r="D4819" i="2"/>
  <c r="C4819" i="2"/>
  <c r="B4819" i="2"/>
  <c r="A4819" i="2"/>
  <c r="D4818" i="2"/>
  <c r="C4818" i="2"/>
  <c r="B4818" i="2"/>
  <c r="A4818" i="2"/>
  <c r="D4817" i="2"/>
  <c r="C4817" i="2"/>
  <c r="B4817" i="2"/>
  <c r="A4817" i="2"/>
  <c r="D4816" i="2"/>
  <c r="C4816" i="2"/>
  <c r="B4816" i="2"/>
  <c r="A4816" i="2"/>
  <c r="D4815" i="2"/>
  <c r="C4815" i="2"/>
  <c r="B4815" i="2"/>
  <c r="A4815" i="2"/>
  <c r="D4814" i="2"/>
  <c r="C4814" i="2"/>
  <c r="B4814" i="2"/>
  <c r="A4814" i="2"/>
  <c r="D4813" i="2"/>
  <c r="C4813" i="2"/>
  <c r="B4813" i="2"/>
  <c r="A4813" i="2"/>
  <c r="D4812" i="2"/>
  <c r="C4812" i="2"/>
  <c r="B4812" i="2"/>
  <c r="A4812" i="2"/>
  <c r="D4811" i="2"/>
  <c r="C4811" i="2"/>
  <c r="B4811" i="2"/>
  <c r="A4811" i="2"/>
  <c r="D4810" i="2"/>
  <c r="C4810" i="2"/>
  <c r="B4810" i="2"/>
  <c r="A4810" i="2"/>
  <c r="D4809" i="2"/>
  <c r="C4809" i="2"/>
  <c r="B4809" i="2"/>
  <c r="A4809" i="2"/>
  <c r="D4808" i="2"/>
  <c r="C4808" i="2"/>
  <c r="B4808" i="2"/>
  <c r="A4808" i="2"/>
  <c r="D4807" i="2"/>
  <c r="C4807" i="2"/>
  <c r="B4807" i="2"/>
  <c r="A4807" i="2"/>
  <c r="D4806" i="2"/>
  <c r="C4806" i="2"/>
  <c r="B4806" i="2"/>
  <c r="A4806" i="2"/>
  <c r="D4805" i="2"/>
  <c r="C4805" i="2"/>
  <c r="B4805" i="2"/>
  <c r="A4805" i="2"/>
  <c r="D4804" i="2"/>
  <c r="C4804" i="2"/>
  <c r="B4804" i="2"/>
  <c r="A4804" i="2"/>
  <c r="D4803" i="2"/>
  <c r="C4803" i="2"/>
  <c r="B4803" i="2"/>
  <c r="A4803" i="2"/>
  <c r="D4802" i="2"/>
  <c r="C4802" i="2"/>
  <c r="B4802" i="2"/>
  <c r="A4802" i="2"/>
  <c r="D4801" i="2"/>
  <c r="C4801" i="2"/>
  <c r="B4801" i="2"/>
  <c r="A4801" i="2"/>
  <c r="D4800" i="2"/>
  <c r="C4800" i="2"/>
  <c r="B4800" i="2"/>
  <c r="A4800" i="2"/>
  <c r="D4799" i="2"/>
  <c r="C4799" i="2"/>
  <c r="B4799" i="2"/>
  <c r="A4799" i="2"/>
  <c r="D4798" i="2"/>
  <c r="C4798" i="2"/>
  <c r="B4798" i="2"/>
  <c r="A4798" i="2"/>
  <c r="D4797" i="2"/>
  <c r="C4797" i="2"/>
  <c r="B4797" i="2"/>
  <c r="A4797" i="2"/>
  <c r="D4796" i="2"/>
  <c r="C4796" i="2"/>
  <c r="B4796" i="2"/>
  <c r="A4796" i="2"/>
  <c r="D4795" i="2"/>
  <c r="C4795" i="2"/>
  <c r="B4795" i="2"/>
  <c r="A4795" i="2"/>
  <c r="D4794" i="2"/>
  <c r="C4794" i="2"/>
  <c r="B4794" i="2"/>
  <c r="A4794" i="2"/>
  <c r="D4793" i="2"/>
  <c r="C4793" i="2"/>
  <c r="B4793" i="2"/>
  <c r="A4793" i="2"/>
  <c r="D4792" i="2"/>
  <c r="C4792" i="2"/>
  <c r="B4792" i="2"/>
  <c r="A4792" i="2"/>
  <c r="D4791" i="2"/>
  <c r="C4791" i="2"/>
  <c r="B4791" i="2"/>
  <c r="A4791" i="2"/>
  <c r="D4790" i="2"/>
  <c r="C4790" i="2"/>
  <c r="B4790" i="2"/>
  <c r="A4790" i="2"/>
  <c r="D4789" i="2"/>
  <c r="C4789" i="2"/>
  <c r="B4789" i="2"/>
  <c r="A4789" i="2"/>
  <c r="D4788" i="2"/>
  <c r="C4788" i="2"/>
  <c r="B4788" i="2"/>
  <c r="A4788" i="2"/>
  <c r="D4787" i="2"/>
  <c r="C4787" i="2"/>
  <c r="B4787" i="2"/>
  <c r="A4787" i="2"/>
  <c r="D4786" i="2"/>
  <c r="C4786" i="2"/>
  <c r="B4786" i="2"/>
  <c r="A4786" i="2"/>
  <c r="D4785" i="2"/>
  <c r="C4785" i="2"/>
  <c r="B4785" i="2"/>
  <c r="A4785" i="2"/>
  <c r="D4784" i="2"/>
  <c r="C4784" i="2"/>
  <c r="B4784" i="2"/>
  <c r="A4784" i="2"/>
  <c r="D4783" i="2"/>
  <c r="C4783" i="2"/>
  <c r="B4783" i="2"/>
  <c r="A4783" i="2"/>
  <c r="D4782" i="2"/>
  <c r="C4782" i="2"/>
  <c r="B4782" i="2"/>
  <c r="A4782" i="2"/>
  <c r="D4781" i="2"/>
  <c r="C4781" i="2"/>
  <c r="B4781" i="2"/>
  <c r="A4781" i="2"/>
  <c r="D4780" i="2"/>
  <c r="C4780" i="2"/>
  <c r="B4780" i="2"/>
  <c r="A4780" i="2"/>
  <c r="D4779" i="2"/>
  <c r="C4779" i="2"/>
  <c r="B4779" i="2"/>
  <c r="A4779" i="2"/>
  <c r="D4778" i="2"/>
  <c r="C4778" i="2"/>
  <c r="B4778" i="2"/>
  <c r="A4778" i="2"/>
  <c r="D4777" i="2"/>
  <c r="C4777" i="2"/>
  <c r="B4777" i="2"/>
  <c r="A4777" i="2"/>
  <c r="D4776" i="2"/>
  <c r="C4776" i="2"/>
  <c r="B4776" i="2"/>
  <c r="A4776" i="2"/>
  <c r="D4775" i="2"/>
  <c r="C4775" i="2"/>
  <c r="B4775" i="2"/>
  <c r="A4775" i="2"/>
  <c r="D4774" i="2"/>
  <c r="C4774" i="2"/>
  <c r="B4774" i="2"/>
  <c r="A4774" i="2"/>
  <c r="D4773" i="2"/>
  <c r="C4773" i="2"/>
  <c r="B4773" i="2"/>
  <c r="A4773" i="2"/>
  <c r="D4772" i="2"/>
  <c r="C4772" i="2"/>
  <c r="B4772" i="2"/>
  <c r="A4772" i="2"/>
  <c r="D4771" i="2"/>
  <c r="C4771" i="2"/>
  <c r="B4771" i="2"/>
  <c r="A4771" i="2"/>
  <c r="D4770" i="2"/>
  <c r="C4770" i="2"/>
  <c r="B4770" i="2"/>
  <c r="A4770" i="2"/>
  <c r="D4769" i="2"/>
  <c r="C4769" i="2"/>
  <c r="B4769" i="2"/>
  <c r="A4769" i="2"/>
  <c r="D4768" i="2"/>
  <c r="C4768" i="2"/>
  <c r="B4768" i="2"/>
  <c r="A4768" i="2"/>
  <c r="D4767" i="2"/>
  <c r="C4767" i="2"/>
  <c r="B4767" i="2"/>
  <c r="A4767" i="2"/>
  <c r="D4766" i="2"/>
  <c r="C4766" i="2"/>
  <c r="B4766" i="2"/>
  <c r="A4766" i="2"/>
  <c r="D4765" i="2"/>
  <c r="C4765" i="2"/>
  <c r="B4765" i="2"/>
  <c r="A4765" i="2"/>
  <c r="D4764" i="2"/>
  <c r="C4764" i="2"/>
  <c r="B4764" i="2"/>
  <c r="A4764" i="2"/>
  <c r="D4763" i="2"/>
  <c r="C4763" i="2"/>
  <c r="B4763" i="2"/>
  <c r="A4763" i="2"/>
  <c r="D4762" i="2"/>
  <c r="C4762" i="2"/>
  <c r="B4762" i="2"/>
  <c r="A4762" i="2"/>
  <c r="D4761" i="2"/>
  <c r="C4761" i="2"/>
  <c r="B4761" i="2"/>
  <c r="A4761" i="2"/>
  <c r="D4760" i="2"/>
  <c r="C4760" i="2"/>
  <c r="B4760" i="2"/>
  <c r="A4760" i="2"/>
  <c r="D4759" i="2"/>
  <c r="C4759" i="2"/>
  <c r="B4759" i="2"/>
  <c r="A4759" i="2"/>
  <c r="D4758" i="2"/>
  <c r="C4758" i="2"/>
  <c r="B4758" i="2"/>
  <c r="A4758" i="2"/>
  <c r="D4757" i="2"/>
  <c r="C4757" i="2"/>
  <c r="B4757" i="2"/>
  <c r="A4757" i="2"/>
  <c r="D4756" i="2"/>
  <c r="C4756" i="2"/>
  <c r="B4756" i="2"/>
  <c r="A4756" i="2"/>
  <c r="D4755" i="2"/>
  <c r="C4755" i="2"/>
  <c r="B4755" i="2"/>
  <c r="A4755" i="2"/>
  <c r="D4754" i="2"/>
  <c r="C4754" i="2"/>
  <c r="B4754" i="2"/>
  <c r="A4754" i="2"/>
  <c r="D4753" i="2"/>
  <c r="C4753" i="2"/>
  <c r="B4753" i="2"/>
  <c r="A4753" i="2"/>
  <c r="D4752" i="2"/>
  <c r="C4752" i="2"/>
  <c r="B4752" i="2"/>
  <c r="A4752" i="2"/>
  <c r="D4751" i="2"/>
  <c r="C4751" i="2"/>
  <c r="B4751" i="2"/>
  <c r="A4751" i="2"/>
  <c r="D4750" i="2"/>
  <c r="C4750" i="2"/>
  <c r="B4750" i="2"/>
  <c r="A4750" i="2"/>
  <c r="D4749" i="2"/>
  <c r="C4749" i="2"/>
  <c r="B4749" i="2"/>
  <c r="A4749" i="2"/>
  <c r="D4748" i="2"/>
  <c r="C4748" i="2"/>
  <c r="B4748" i="2"/>
  <c r="A4748" i="2"/>
  <c r="D4747" i="2"/>
  <c r="C4747" i="2"/>
  <c r="B4747" i="2"/>
  <c r="A4747" i="2"/>
  <c r="D4746" i="2"/>
  <c r="C4746" i="2"/>
  <c r="B4746" i="2"/>
  <c r="A4746" i="2"/>
  <c r="D4745" i="2"/>
  <c r="C4745" i="2"/>
  <c r="B4745" i="2"/>
  <c r="A4745" i="2"/>
  <c r="D4744" i="2"/>
  <c r="C4744" i="2"/>
  <c r="B4744" i="2"/>
  <c r="A4744" i="2"/>
  <c r="D4743" i="2"/>
  <c r="C4743" i="2"/>
  <c r="B4743" i="2"/>
  <c r="A4743" i="2"/>
  <c r="D4742" i="2"/>
  <c r="C4742" i="2"/>
  <c r="B4742" i="2"/>
  <c r="A4742" i="2"/>
  <c r="D4741" i="2"/>
  <c r="C4741" i="2"/>
  <c r="B4741" i="2"/>
  <c r="A4741" i="2"/>
  <c r="D4740" i="2"/>
  <c r="C4740" i="2"/>
  <c r="B4740" i="2"/>
  <c r="A4740" i="2"/>
  <c r="D4739" i="2"/>
  <c r="C4739" i="2"/>
  <c r="B4739" i="2"/>
  <c r="A4739" i="2"/>
  <c r="D4738" i="2"/>
  <c r="C4738" i="2"/>
  <c r="B4738" i="2"/>
  <c r="A4738" i="2"/>
  <c r="D4737" i="2"/>
  <c r="C4737" i="2"/>
  <c r="B4737" i="2"/>
  <c r="A4737" i="2"/>
  <c r="D4736" i="2"/>
  <c r="C4736" i="2"/>
  <c r="B4736" i="2"/>
  <c r="A4736" i="2"/>
  <c r="D4735" i="2"/>
  <c r="C4735" i="2"/>
  <c r="B4735" i="2"/>
  <c r="A4735" i="2"/>
  <c r="D4734" i="2"/>
  <c r="C4734" i="2"/>
  <c r="B4734" i="2"/>
  <c r="A4734" i="2"/>
  <c r="D4733" i="2"/>
  <c r="C4733" i="2"/>
  <c r="B4733" i="2"/>
  <c r="A4733" i="2"/>
  <c r="D4732" i="2"/>
  <c r="C4732" i="2"/>
  <c r="B4732" i="2"/>
  <c r="A4732" i="2"/>
  <c r="D4731" i="2"/>
  <c r="C4731" i="2"/>
  <c r="B4731" i="2"/>
  <c r="A4731" i="2"/>
  <c r="D4730" i="2"/>
  <c r="C4730" i="2"/>
  <c r="B4730" i="2"/>
  <c r="A4730" i="2"/>
  <c r="D4729" i="2"/>
  <c r="C4729" i="2"/>
  <c r="B4729" i="2"/>
  <c r="A4729" i="2"/>
  <c r="D4728" i="2"/>
  <c r="C4728" i="2"/>
  <c r="B4728" i="2"/>
  <c r="A4728" i="2"/>
  <c r="D4727" i="2"/>
  <c r="C4727" i="2"/>
  <c r="B4727" i="2"/>
  <c r="A4727" i="2"/>
  <c r="D4726" i="2"/>
  <c r="C4726" i="2"/>
  <c r="B4726" i="2"/>
  <c r="A4726" i="2"/>
  <c r="D4725" i="2"/>
  <c r="C4725" i="2"/>
  <c r="B4725" i="2"/>
  <c r="A4725" i="2"/>
  <c r="D4724" i="2"/>
  <c r="C4724" i="2"/>
  <c r="B4724" i="2"/>
  <c r="A4724" i="2"/>
  <c r="D4723" i="2"/>
  <c r="C4723" i="2"/>
  <c r="B4723" i="2"/>
  <c r="A4723" i="2"/>
  <c r="D4722" i="2"/>
  <c r="C4722" i="2"/>
  <c r="B4722" i="2"/>
  <c r="A4722" i="2"/>
  <c r="D4721" i="2"/>
  <c r="C4721" i="2"/>
  <c r="B4721" i="2"/>
  <c r="A4721" i="2"/>
  <c r="D4720" i="2"/>
  <c r="C4720" i="2"/>
  <c r="B4720" i="2"/>
  <c r="A4720" i="2"/>
  <c r="D4719" i="2"/>
  <c r="C4719" i="2"/>
  <c r="B4719" i="2"/>
  <c r="A4719" i="2"/>
  <c r="D4718" i="2"/>
  <c r="C4718" i="2"/>
  <c r="B4718" i="2"/>
  <c r="A4718" i="2"/>
  <c r="D4717" i="2"/>
  <c r="C4717" i="2"/>
  <c r="B4717" i="2"/>
  <c r="A4717" i="2"/>
  <c r="D4716" i="2"/>
  <c r="C4716" i="2"/>
  <c r="B4716" i="2"/>
  <c r="A4716" i="2"/>
  <c r="D4715" i="2"/>
  <c r="C4715" i="2"/>
  <c r="B4715" i="2"/>
  <c r="A4715" i="2"/>
  <c r="D4714" i="2"/>
  <c r="C4714" i="2"/>
  <c r="B4714" i="2"/>
  <c r="A4714" i="2"/>
  <c r="D4713" i="2"/>
  <c r="C4713" i="2"/>
  <c r="B4713" i="2"/>
  <c r="A4713" i="2"/>
  <c r="D4712" i="2"/>
  <c r="C4712" i="2"/>
  <c r="B4712" i="2"/>
  <c r="A4712" i="2"/>
  <c r="D4711" i="2"/>
  <c r="C4711" i="2"/>
  <c r="B4711" i="2"/>
  <c r="A4711" i="2"/>
  <c r="D4710" i="2"/>
  <c r="C4710" i="2"/>
  <c r="B4710" i="2"/>
  <c r="A4710" i="2"/>
  <c r="D4709" i="2"/>
  <c r="C4709" i="2"/>
  <c r="B4709" i="2"/>
  <c r="A4709" i="2"/>
  <c r="D4708" i="2"/>
  <c r="C4708" i="2"/>
  <c r="B4708" i="2"/>
  <c r="A4708" i="2"/>
  <c r="D4707" i="2"/>
  <c r="C4707" i="2"/>
  <c r="B4707" i="2"/>
  <c r="A4707" i="2"/>
  <c r="D4706" i="2"/>
  <c r="C4706" i="2"/>
  <c r="B4706" i="2"/>
  <c r="A4706" i="2"/>
  <c r="D4705" i="2"/>
  <c r="C4705" i="2"/>
  <c r="B4705" i="2"/>
  <c r="A4705" i="2"/>
  <c r="D4704" i="2"/>
  <c r="C4704" i="2"/>
  <c r="B4704" i="2"/>
  <c r="A4704" i="2"/>
  <c r="D4703" i="2"/>
  <c r="C4703" i="2"/>
  <c r="B4703" i="2"/>
  <c r="A4703" i="2"/>
  <c r="D4702" i="2"/>
  <c r="C4702" i="2"/>
  <c r="B4702" i="2"/>
  <c r="A4702" i="2"/>
  <c r="D4701" i="2"/>
  <c r="C4701" i="2"/>
  <c r="B4701" i="2"/>
  <c r="A4701" i="2"/>
  <c r="D4700" i="2"/>
  <c r="C4700" i="2"/>
  <c r="B4700" i="2"/>
  <c r="A4700" i="2"/>
  <c r="D4699" i="2"/>
  <c r="C4699" i="2"/>
  <c r="B4699" i="2"/>
  <c r="A4699" i="2"/>
  <c r="D4698" i="2"/>
  <c r="C4698" i="2"/>
  <c r="B4698" i="2"/>
  <c r="A4698" i="2"/>
  <c r="D4697" i="2"/>
  <c r="C4697" i="2"/>
  <c r="B4697" i="2"/>
  <c r="A4697" i="2"/>
  <c r="D4696" i="2"/>
  <c r="C4696" i="2"/>
  <c r="B4696" i="2"/>
  <c r="A4696" i="2"/>
  <c r="D4695" i="2"/>
  <c r="C4695" i="2"/>
  <c r="B4695" i="2"/>
  <c r="A4695" i="2"/>
  <c r="D4694" i="2"/>
  <c r="C4694" i="2"/>
  <c r="B4694" i="2"/>
  <c r="A4694" i="2"/>
  <c r="D4693" i="2"/>
  <c r="C4693" i="2"/>
  <c r="B4693" i="2"/>
  <c r="A4693" i="2"/>
  <c r="D4692" i="2"/>
  <c r="C4692" i="2"/>
  <c r="B4692" i="2"/>
  <c r="A4692" i="2"/>
  <c r="D4691" i="2"/>
  <c r="C4691" i="2"/>
  <c r="B4691" i="2"/>
  <c r="A4691" i="2"/>
  <c r="D4690" i="2"/>
  <c r="C4690" i="2"/>
  <c r="B4690" i="2"/>
  <c r="A4690" i="2"/>
  <c r="D4689" i="2"/>
  <c r="C4689" i="2"/>
  <c r="B4689" i="2"/>
  <c r="A4689" i="2"/>
  <c r="D4688" i="2"/>
  <c r="C4688" i="2"/>
  <c r="B4688" i="2"/>
  <c r="A4688" i="2"/>
  <c r="D4687" i="2"/>
  <c r="C4687" i="2"/>
  <c r="B4687" i="2"/>
  <c r="A4687" i="2"/>
  <c r="D4686" i="2"/>
  <c r="C4686" i="2"/>
  <c r="B4686" i="2"/>
  <c r="A4686" i="2"/>
  <c r="D4685" i="2"/>
  <c r="C4685" i="2"/>
  <c r="B4685" i="2"/>
  <c r="A4685" i="2"/>
  <c r="D4684" i="2"/>
  <c r="C4684" i="2"/>
  <c r="B4684" i="2"/>
  <c r="A4684" i="2"/>
  <c r="D4683" i="2"/>
  <c r="C4683" i="2"/>
  <c r="B4683" i="2"/>
  <c r="A4683" i="2"/>
  <c r="D4682" i="2"/>
  <c r="C4682" i="2"/>
  <c r="B4682" i="2"/>
  <c r="A4682" i="2"/>
  <c r="D4681" i="2"/>
  <c r="C4681" i="2"/>
  <c r="B4681" i="2"/>
  <c r="A4681" i="2"/>
  <c r="D4680" i="2"/>
  <c r="C4680" i="2"/>
  <c r="B4680" i="2"/>
  <c r="A4680" i="2"/>
  <c r="D4679" i="2"/>
  <c r="C4679" i="2"/>
  <c r="B4679" i="2"/>
  <c r="A4679" i="2"/>
  <c r="D4678" i="2"/>
  <c r="C4678" i="2"/>
  <c r="B4678" i="2"/>
  <c r="A4678" i="2"/>
  <c r="D4677" i="2"/>
  <c r="C4677" i="2"/>
  <c r="B4677" i="2"/>
  <c r="A4677" i="2"/>
  <c r="D4676" i="2"/>
  <c r="C4676" i="2"/>
  <c r="B4676" i="2"/>
  <c r="A4676" i="2"/>
  <c r="D4675" i="2"/>
  <c r="C4675" i="2"/>
  <c r="B4675" i="2"/>
  <c r="A4675" i="2"/>
  <c r="D4674" i="2"/>
  <c r="C4674" i="2"/>
  <c r="B4674" i="2"/>
  <c r="A4674" i="2"/>
  <c r="D4673" i="2"/>
  <c r="C4673" i="2"/>
  <c r="B4673" i="2"/>
  <c r="A4673" i="2"/>
  <c r="D4672" i="2"/>
  <c r="C4672" i="2"/>
  <c r="B4672" i="2"/>
  <c r="A4672" i="2"/>
  <c r="D4671" i="2"/>
  <c r="C4671" i="2"/>
  <c r="B4671" i="2"/>
  <c r="A4671" i="2"/>
  <c r="D4670" i="2"/>
  <c r="C4670" i="2"/>
  <c r="B4670" i="2"/>
  <c r="A4670" i="2"/>
  <c r="D4669" i="2"/>
  <c r="C4669" i="2"/>
  <c r="B4669" i="2"/>
  <c r="A4669" i="2"/>
  <c r="D4668" i="2"/>
  <c r="C4668" i="2"/>
  <c r="B4668" i="2"/>
  <c r="A4668" i="2"/>
  <c r="D4667" i="2"/>
  <c r="C4667" i="2"/>
  <c r="B4667" i="2"/>
  <c r="A4667" i="2"/>
  <c r="D4666" i="2"/>
  <c r="C4666" i="2"/>
  <c r="B4666" i="2"/>
  <c r="A4666" i="2"/>
  <c r="D4665" i="2"/>
  <c r="C4665" i="2"/>
  <c r="B4665" i="2"/>
  <c r="A4665" i="2"/>
  <c r="D4664" i="2"/>
  <c r="C4664" i="2"/>
  <c r="B4664" i="2"/>
  <c r="A4664" i="2"/>
  <c r="D4663" i="2"/>
  <c r="C4663" i="2"/>
  <c r="B4663" i="2"/>
  <c r="A4663" i="2"/>
  <c r="D4662" i="2"/>
  <c r="C4662" i="2"/>
  <c r="B4662" i="2"/>
  <c r="A4662" i="2"/>
  <c r="D4661" i="2"/>
  <c r="C4661" i="2"/>
  <c r="B4661" i="2"/>
  <c r="A4661" i="2"/>
  <c r="D4660" i="2"/>
  <c r="C4660" i="2"/>
  <c r="B4660" i="2"/>
  <c r="A4660" i="2"/>
  <c r="D4659" i="2"/>
  <c r="C4659" i="2"/>
  <c r="B4659" i="2"/>
  <c r="A4659" i="2"/>
  <c r="D4658" i="2"/>
  <c r="C4658" i="2"/>
  <c r="B4658" i="2"/>
  <c r="A4658" i="2"/>
  <c r="D4657" i="2"/>
  <c r="C4657" i="2"/>
  <c r="B4657" i="2"/>
  <c r="A4657" i="2"/>
  <c r="D4656" i="2"/>
  <c r="C4656" i="2"/>
  <c r="B4656" i="2"/>
  <c r="A4656" i="2"/>
  <c r="D4655" i="2"/>
  <c r="C4655" i="2"/>
  <c r="B4655" i="2"/>
  <c r="A4655" i="2"/>
  <c r="D4654" i="2"/>
  <c r="C4654" i="2"/>
  <c r="B4654" i="2"/>
  <c r="A4654" i="2"/>
  <c r="D4653" i="2"/>
  <c r="C4653" i="2"/>
  <c r="B4653" i="2"/>
  <c r="A4653" i="2"/>
  <c r="D4652" i="2"/>
  <c r="C4652" i="2"/>
  <c r="B4652" i="2"/>
  <c r="A4652" i="2"/>
  <c r="D4651" i="2"/>
  <c r="C4651" i="2"/>
  <c r="B4651" i="2"/>
  <c r="A4651" i="2"/>
  <c r="D4650" i="2"/>
  <c r="C4650" i="2"/>
  <c r="B4650" i="2"/>
  <c r="A4650" i="2"/>
  <c r="D4649" i="2"/>
  <c r="C4649" i="2"/>
  <c r="B4649" i="2"/>
  <c r="A4649" i="2"/>
  <c r="D4648" i="2"/>
  <c r="C4648" i="2"/>
  <c r="B4648" i="2"/>
  <c r="A4648" i="2"/>
  <c r="D4647" i="2"/>
  <c r="C4647" i="2"/>
  <c r="B4647" i="2"/>
  <c r="A4647" i="2"/>
  <c r="D4646" i="2"/>
  <c r="C4646" i="2"/>
  <c r="B4646" i="2"/>
  <c r="A4646" i="2"/>
  <c r="D4645" i="2"/>
  <c r="C4645" i="2"/>
  <c r="B4645" i="2"/>
  <c r="A4645" i="2"/>
  <c r="D4644" i="2"/>
  <c r="C4644" i="2"/>
  <c r="B4644" i="2"/>
  <c r="A4644" i="2"/>
  <c r="D4643" i="2"/>
  <c r="C4643" i="2"/>
  <c r="B4643" i="2"/>
  <c r="A4643" i="2"/>
  <c r="D4642" i="2"/>
  <c r="C4642" i="2"/>
  <c r="B4642" i="2"/>
  <c r="A4642" i="2"/>
  <c r="D4641" i="2"/>
  <c r="C4641" i="2"/>
  <c r="B4641" i="2"/>
  <c r="A4641" i="2"/>
  <c r="D4640" i="2"/>
  <c r="C4640" i="2"/>
  <c r="B4640" i="2"/>
  <c r="A4640" i="2"/>
  <c r="D4639" i="2"/>
  <c r="C4639" i="2"/>
  <c r="B4639" i="2"/>
  <c r="A4639" i="2"/>
  <c r="D4638" i="2"/>
  <c r="C4638" i="2"/>
  <c r="B4638" i="2"/>
  <c r="A4638" i="2"/>
  <c r="D4637" i="2"/>
  <c r="C4637" i="2"/>
  <c r="B4637" i="2"/>
  <c r="A4637" i="2"/>
  <c r="D4636" i="2"/>
  <c r="C4636" i="2"/>
  <c r="B4636" i="2"/>
  <c r="A4636" i="2"/>
  <c r="D4635" i="2"/>
  <c r="C4635" i="2"/>
  <c r="B4635" i="2"/>
  <c r="A4635" i="2"/>
  <c r="D4634" i="2"/>
  <c r="C4634" i="2"/>
  <c r="B4634" i="2"/>
  <c r="A4634" i="2"/>
  <c r="D4633" i="2"/>
  <c r="C4633" i="2"/>
  <c r="B4633" i="2"/>
  <c r="A4633" i="2"/>
  <c r="D4632" i="2"/>
  <c r="C4632" i="2"/>
  <c r="B4632" i="2"/>
  <c r="A4632" i="2"/>
  <c r="D4631" i="2"/>
  <c r="C4631" i="2"/>
  <c r="B4631" i="2"/>
  <c r="A4631" i="2"/>
  <c r="D4630" i="2"/>
  <c r="C4630" i="2"/>
  <c r="B4630" i="2"/>
  <c r="A4630" i="2"/>
  <c r="D4629" i="2"/>
  <c r="C4629" i="2"/>
  <c r="B4629" i="2"/>
  <c r="A4629" i="2"/>
  <c r="D4628" i="2"/>
  <c r="C4628" i="2"/>
  <c r="B4628" i="2"/>
  <c r="A4628" i="2"/>
  <c r="D4627" i="2"/>
  <c r="C4627" i="2"/>
  <c r="B4627" i="2"/>
  <c r="A4627" i="2"/>
  <c r="D4626" i="2"/>
  <c r="C4626" i="2"/>
  <c r="B4626" i="2"/>
  <c r="A4626" i="2"/>
  <c r="D4625" i="2"/>
  <c r="C4625" i="2"/>
  <c r="B4625" i="2"/>
  <c r="A4625" i="2"/>
  <c r="D4624" i="2"/>
  <c r="C4624" i="2"/>
  <c r="B4624" i="2"/>
  <c r="A4624" i="2"/>
  <c r="D4623" i="2"/>
  <c r="C4623" i="2"/>
  <c r="B4623" i="2"/>
  <c r="A4623" i="2"/>
  <c r="D4622" i="2"/>
  <c r="C4622" i="2"/>
  <c r="B4622" i="2"/>
  <c r="A4622" i="2"/>
  <c r="D4621" i="2"/>
  <c r="C4621" i="2"/>
  <c r="B4621" i="2"/>
  <c r="A4621" i="2"/>
  <c r="D4620" i="2"/>
  <c r="C4620" i="2"/>
  <c r="B4620" i="2"/>
  <c r="A4620" i="2"/>
  <c r="D4619" i="2"/>
  <c r="C4619" i="2"/>
  <c r="B4619" i="2"/>
  <c r="A4619" i="2"/>
  <c r="D4618" i="2"/>
  <c r="C4618" i="2"/>
  <c r="B4618" i="2"/>
  <c r="A4618" i="2"/>
  <c r="D4617" i="2"/>
  <c r="C4617" i="2"/>
  <c r="B4617" i="2"/>
  <c r="A4617" i="2"/>
  <c r="D4616" i="2"/>
  <c r="C4616" i="2"/>
  <c r="B4616" i="2"/>
  <c r="A4616" i="2"/>
  <c r="D4615" i="2"/>
  <c r="C4615" i="2"/>
  <c r="B4615" i="2"/>
  <c r="A4615" i="2"/>
  <c r="D4614" i="2"/>
  <c r="C4614" i="2"/>
  <c r="B4614" i="2"/>
  <c r="A4614" i="2"/>
  <c r="D4613" i="2"/>
  <c r="C4613" i="2"/>
  <c r="B4613" i="2"/>
  <c r="A4613" i="2"/>
  <c r="D4612" i="2"/>
  <c r="C4612" i="2"/>
  <c r="B4612" i="2"/>
  <c r="A4612" i="2"/>
  <c r="D4611" i="2"/>
  <c r="C4611" i="2"/>
  <c r="B4611" i="2"/>
  <c r="A4611" i="2"/>
  <c r="D4610" i="2"/>
  <c r="C4610" i="2"/>
  <c r="B4610" i="2"/>
  <c r="A4610" i="2"/>
  <c r="D4609" i="2"/>
  <c r="C4609" i="2"/>
  <c r="B4609" i="2"/>
  <c r="A4609" i="2"/>
  <c r="D4608" i="2"/>
  <c r="C4608" i="2"/>
  <c r="B4608" i="2"/>
  <c r="A4608" i="2"/>
  <c r="D4607" i="2"/>
  <c r="C4607" i="2"/>
  <c r="B4607" i="2"/>
  <c r="A4607" i="2"/>
  <c r="D4606" i="2"/>
  <c r="C4606" i="2"/>
  <c r="B4606" i="2"/>
  <c r="A4606" i="2"/>
  <c r="D4605" i="2"/>
  <c r="C4605" i="2"/>
  <c r="B4605" i="2"/>
  <c r="A4605" i="2"/>
  <c r="D4604" i="2"/>
  <c r="C4604" i="2"/>
  <c r="B4604" i="2"/>
  <c r="A4604" i="2"/>
  <c r="D4603" i="2"/>
  <c r="C4603" i="2"/>
  <c r="B4603" i="2"/>
  <c r="A4603" i="2"/>
  <c r="D4602" i="2"/>
  <c r="C4602" i="2"/>
  <c r="B4602" i="2"/>
  <c r="A4602" i="2"/>
  <c r="D4601" i="2"/>
  <c r="C4601" i="2"/>
  <c r="B4601" i="2"/>
  <c r="A4601" i="2"/>
  <c r="D4600" i="2"/>
  <c r="C4600" i="2"/>
  <c r="B4600" i="2"/>
  <c r="A4600" i="2"/>
  <c r="D4599" i="2"/>
  <c r="C4599" i="2"/>
  <c r="B4599" i="2"/>
  <c r="A4599" i="2"/>
  <c r="D4598" i="2"/>
  <c r="C4598" i="2"/>
  <c r="B4598" i="2"/>
  <c r="A4598" i="2"/>
  <c r="D4597" i="2"/>
  <c r="C4597" i="2"/>
  <c r="B4597" i="2"/>
  <c r="A4597" i="2"/>
  <c r="D4596" i="2"/>
  <c r="C4596" i="2"/>
  <c r="B4596" i="2"/>
  <c r="A4596" i="2"/>
  <c r="D4595" i="2"/>
  <c r="C4595" i="2"/>
  <c r="B4595" i="2"/>
  <c r="A4595" i="2"/>
  <c r="D4594" i="2"/>
  <c r="C4594" i="2"/>
  <c r="B4594" i="2"/>
  <c r="A4594" i="2"/>
  <c r="D4593" i="2"/>
  <c r="C4593" i="2"/>
  <c r="B4593" i="2"/>
  <c r="A4593" i="2"/>
  <c r="D4592" i="2"/>
  <c r="C4592" i="2"/>
  <c r="B4592" i="2"/>
  <c r="A4592" i="2"/>
  <c r="D4591" i="2"/>
  <c r="C4591" i="2"/>
  <c r="B4591" i="2"/>
  <c r="A4591" i="2"/>
  <c r="D4590" i="2"/>
  <c r="C4590" i="2"/>
  <c r="B4590" i="2"/>
  <c r="A4590" i="2"/>
  <c r="D4589" i="2"/>
  <c r="C4589" i="2"/>
  <c r="B4589" i="2"/>
  <c r="A4589" i="2"/>
  <c r="D4588" i="2"/>
  <c r="C4588" i="2"/>
  <c r="B4588" i="2"/>
  <c r="A4588" i="2"/>
  <c r="D4587" i="2"/>
  <c r="C4587" i="2"/>
  <c r="B4587" i="2"/>
  <c r="A4587" i="2"/>
  <c r="D4586" i="2"/>
  <c r="C4586" i="2"/>
  <c r="B4586" i="2"/>
  <c r="A4586" i="2"/>
  <c r="D4585" i="2"/>
  <c r="C4585" i="2"/>
  <c r="B4585" i="2"/>
  <c r="A4585" i="2"/>
  <c r="D4584" i="2"/>
  <c r="C4584" i="2"/>
  <c r="B4584" i="2"/>
  <c r="A4584" i="2"/>
  <c r="D4583" i="2"/>
  <c r="C4583" i="2"/>
  <c r="B4583" i="2"/>
  <c r="A4583" i="2"/>
  <c r="D4582" i="2"/>
  <c r="C4582" i="2"/>
  <c r="B4582" i="2"/>
  <c r="A4582" i="2"/>
  <c r="D4581" i="2"/>
  <c r="C4581" i="2"/>
  <c r="B4581" i="2"/>
  <c r="A4581" i="2"/>
  <c r="D4580" i="2"/>
  <c r="C4580" i="2"/>
  <c r="B4580" i="2"/>
  <c r="A4580" i="2"/>
  <c r="D4579" i="2"/>
  <c r="C4579" i="2"/>
  <c r="B4579" i="2"/>
  <c r="A4579" i="2"/>
  <c r="D4578" i="2"/>
  <c r="C4578" i="2"/>
  <c r="B4578" i="2"/>
  <c r="A4578" i="2"/>
  <c r="D4577" i="2"/>
  <c r="C4577" i="2"/>
  <c r="B4577" i="2"/>
  <c r="A4577" i="2"/>
  <c r="D4576" i="2"/>
  <c r="C4576" i="2"/>
  <c r="B4576" i="2"/>
  <c r="A4576" i="2"/>
  <c r="D4575" i="2"/>
  <c r="C4575" i="2"/>
  <c r="B4575" i="2"/>
  <c r="A4575" i="2"/>
  <c r="D4574" i="2"/>
  <c r="C4574" i="2"/>
  <c r="B4574" i="2"/>
  <c r="A4574" i="2"/>
  <c r="D4573" i="2"/>
  <c r="C4573" i="2"/>
  <c r="B4573" i="2"/>
  <c r="A4573" i="2"/>
  <c r="D4572" i="2"/>
  <c r="C4572" i="2"/>
  <c r="B4572" i="2"/>
  <c r="A4572" i="2"/>
  <c r="D4571" i="2"/>
  <c r="C4571" i="2"/>
  <c r="B4571" i="2"/>
  <c r="A4571" i="2"/>
  <c r="D4570" i="2"/>
  <c r="C4570" i="2"/>
  <c r="B4570" i="2"/>
  <c r="A4570" i="2"/>
  <c r="D4569" i="2"/>
  <c r="C4569" i="2"/>
  <c r="B4569" i="2"/>
  <c r="A4569" i="2"/>
  <c r="D4568" i="2"/>
  <c r="C4568" i="2"/>
  <c r="B4568" i="2"/>
  <c r="A4568" i="2"/>
  <c r="D4567" i="2"/>
  <c r="C4567" i="2"/>
  <c r="B4567" i="2"/>
  <c r="A4567" i="2"/>
  <c r="D4566" i="2"/>
  <c r="C4566" i="2"/>
  <c r="B4566" i="2"/>
  <c r="A4566" i="2"/>
  <c r="D4565" i="2"/>
  <c r="C4565" i="2"/>
  <c r="B4565" i="2"/>
  <c r="A4565" i="2"/>
  <c r="D4564" i="2"/>
  <c r="C4564" i="2"/>
  <c r="B4564" i="2"/>
  <c r="A4564" i="2"/>
  <c r="D4563" i="2"/>
  <c r="C4563" i="2"/>
  <c r="B4563" i="2"/>
  <c r="A4563" i="2"/>
  <c r="D4562" i="2"/>
  <c r="C4562" i="2"/>
  <c r="B4562" i="2"/>
  <c r="A4562" i="2"/>
  <c r="D4561" i="2"/>
  <c r="C4561" i="2"/>
  <c r="B4561" i="2"/>
  <c r="A4561" i="2"/>
  <c r="D4560" i="2"/>
  <c r="C4560" i="2"/>
  <c r="B4560" i="2"/>
  <c r="A4560" i="2"/>
  <c r="D4559" i="2"/>
  <c r="C4559" i="2"/>
  <c r="B4559" i="2"/>
  <c r="A4559" i="2"/>
  <c r="D4558" i="2"/>
  <c r="C4558" i="2"/>
  <c r="B4558" i="2"/>
  <c r="A4558" i="2"/>
  <c r="D4557" i="2"/>
  <c r="C4557" i="2"/>
  <c r="B4557" i="2"/>
  <c r="A4557" i="2"/>
  <c r="D4556" i="2"/>
  <c r="C4556" i="2"/>
  <c r="B4556" i="2"/>
  <c r="A4556" i="2"/>
  <c r="D4555" i="2"/>
  <c r="C4555" i="2"/>
  <c r="B4555" i="2"/>
  <c r="A4555" i="2"/>
  <c r="D4554" i="2"/>
  <c r="C4554" i="2"/>
  <c r="B4554" i="2"/>
  <c r="A4554" i="2"/>
  <c r="D4553" i="2"/>
  <c r="C4553" i="2"/>
  <c r="B4553" i="2"/>
  <c r="A4553" i="2"/>
  <c r="D4552" i="2"/>
  <c r="C4552" i="2"/>
  <c r="B4552" i="2"/>
  <c r="A4552" i="2"/>
  <c r="D4551" i="2"/>
  <c r="C4551" i="2"/>
  <c r="B4551" i="2"/>
  <c r="A4551" i="2"/>
  <c r="D4550" i="2"/>
  <c r="C4550" i="2"/>
  <c r="B4550" i="2"/>
  <c r="A4550" i="2"/>
  <c r="D4549" i="2"/>
  <c r="C4549" i="2"/>
  <c r="B4549" i="2"/>
  <c r="A4549" i="2"/>
  <c r="D4548" i="2"/>
  <c r="C4548" i="2"/>
  <c r="B4548" i="2"/>
  <c r="A4548" i="2"/>
  <c r="D4547" i="2"/>
  <c r="C4547" i="2"/>
  <c r="B4547" i="2"/>
  <c r="A4547" i="2"/>
  <c r="D4546" i="2"/>
  <c r="C4546" i="2"/>
  <c r="B4546" i="2"/>
  <c r="A4546" i="2"/>
  <c r="D4545" i="2"/>
  <c r="C4545" i="2"/>
  <c r="B4545" i="2"/>
  <c r="A4545" i="2"/>
  <c r="D4544" i="2"/>
  <c r="C4544" i="2"/>
  <c r="B4544" i="2"/>
  <c r="A4544" i="2"/>
  <c r="D4543" i="2"/>
  <c r="C4543" i="2"/>
  <c r="B4543" i="2"/>
  <c r="A4543" i="2"/>
  <c r="D4542" i="2"/>
  <c r="C4542" i="2"/>
  <c r="B4542" i="2"/>
  <c r="A4542" i="2"/>
  <c r="D4541" i="2"/>
  <c r="C4541" i="2"/>
  <c r="B4541" i="2"/>
  <c r="A4541" i="2"/>
  <c r="D4540" i="2"/>
  <c r="C4540" i="2"/>
  <c r="B4540" i="2"/>
  <c r="A4540" i="2"/>
  <c r="D4539" i="2"/>
  <c r="C4539" i="2"/>
  <c r="B4539" i="2"/>
  <c r="A4539" i="2"/>
  <c r="D4538" i="2"/>
  <c r="C4538" i="2"/>
  <c r="B4538" i="2"/>
  <c r="A4538" i="2"/>
  <c r="D4537" i="2"/>
  <c r="C4537" i="2"/>
  <c r="B4537" i="2"/>
  <c r="A4537" i="2"/>
  <c r="D4536" i="2"/>
  <c r="C4536" i="2"/>
  <c r="B4536" i="2"/>
  <c r="A4536" i="2"/>
  <c r="D4535" i="2"/>
  <c r="C4535" i="2"/>
  <c r="B4535" i="2"/>
  <c r="A4535" i="2"/>
  <c r="D4534" i="2"/>
  <c r="C4534" i="2"/>
  <c r="B4534" i="2"/>
  <c r="A4534" i="2"/>
  <c r="D4533" i="2"/>
  <c r="C4533" i="2"/>
  <c r="B4533" i="2"/>
  <c r="A4533" i="2"/>
  <c r="D4532" i="2"/>
  <c r="C4532" i="2"/>
  <c r="B4532" i="2"/>
  <c r="A4532" i="2"/>
  <c r="D4531" i="2"/>
  <c r="C4531" i="2"/>
  <c r="B4531" i="2"/>
  <c r="A4531" i="2"/>
  <c r="D4530" i="2"/>
  <c r="C4530" i="2"/>
  <c r="B4530" i="2"/>
  <c r="A4530" i="2"/>
  <c r="D4529" i="2"/>
  <c r="C4529" i="2"/>
  <c r="B4529" i="2"/>
  <c r="A4529" i="2"/>
  <c r="D4528" i="2"/>
  <c r="C4528" i="2"/>
  <c r="B4528" i="2"/>
  <c r="A4528" i="2"/>
  <c r="D4527" i="2"/>
  <c r="C4527" i="2"/>
  <c r="B4527" i="2"/>
  <c r="A4527" i="2"/>
  <c r="D4526" i="2"/>
  <c r="C4526" i="2"/>
  <c r="B4526" i="2"/>
  <c r="A4526" i="2"/>
  <c r="D4525" i="2"/>
  <c r="C4525" i="2"/>
  <c r="B4525" i="2"/>
  <c r="A4525" i="2"/>
  <c r="D4524" i="2"/>
  <c r="C4524" i="2"/>
  <c r="B4524" i="2"/>
  <c r="A4524" i="2"/>
  <c r="D4523" i="2"/>
  <c r="C4523" i="2"/>
  <c r="B4523" i="2"/>
  <c r="A4523" i="2"/>
  <c r="D4522" i="2"/>
  <c r="C4522" i="2"/>
  <c r="B4522" i="2"/>
  <c r="A4522" i="2"/>
  <c r="D4521" i="2"/>
  <c r="C4521" i="2"/>
  <c r="B4521" i="2"/>
  <c r="A4521" i="2"/>
  <c r="D4520" i="2"/>
  <c r="C4520" i="2"/>
  <c r="B4520" i="2"/>
  <c r="A4520" i="2"/>
  <c r="D4519" i="2"/>
  <c r="C4519" i="2"/>
  <c r="B4519" i="2"/>
  <c r="A4519" i="2"/>
  <c r="D4518" i="2"/>
  <c r="C4518" i="2"/>
  <c r="B4518" i="2"/>
  <c r="A4518" i="2"/>
  <c r="D4517" i="2"/>
  <c r="C4517" i="2"/>
  <c r="B4517" i="2"/>
  <c r="A4517" i="2"/>
  <c r="D4516" i="2"/>
  <c r="C4516" i="2"/>
  <c r="B4516" i="2"/>
  <c r="A4516" i="2"/>
  <c r="D4515" i="2"/>
  <c r="C4515" i="2"/>
  <c r="B4515" i="2"/>
  <c r="A4515" i="2"/>
  <c r="D4514" i="2"/>
  <c r="C4514" i="2"/>
  <c r="B4514" i="2"/>
  <c r="A4514" i="2"/>
  <c r="D4513" i="2"/>
  <c r="C4513" i="2"/>
  <c r="B4513" i="2"/>
  <c r="A4513" i="2"/>
  <c r="D4512" i="2"/>
  <c r="C4512" i="2"/>
  <c r="B4512" i="2"/>
  <c r="A4512" i="2"/>
  <c r="D4511" i="2"/>
  <c r="C4511" i="2"/>
  <c r="B4511" i="2"/>
  <c r="A4511" i="2"/>
  <c r="D4510" i="2"/>
  <c r="C4510" i="2"/>
  <c r="B4510" i="2"/>
  <c r="A4510" i="2"/>
  <c r="D4509" i="2"/>
  <c r="C4509" i="2"/>
  <c r="B4509" i="2"/>
  <c r="A4509" i="2"/>
  <c r="D4508" i="2"/>
  <c r="C4508" i="2"/>
  <c r="B4508" i="2"/>
  <c r="A4508" i="2"/>
  <c r="D4507" i="2"/>
  <c r="C4507" i="2"/>
  <c r="B4507" i="2"/>
  <c r="A4507" i="2"/>
  <c r="D4506" i="2"/>
  <c r="C4506" i="2"/>
  <c r="B4506" i="2"/>
  <c r="A4506" i="2"/>
  <c r="D4505" i="2"/>
  <c r="C4505" i="2"/>
  <c r="B4505" i="2"/>
  <c r="A4505" i="2"/>
  <c r="D4504" i="2"/>
  <c r="C4504" i="2"/>
  <c r="B4504" i="2"/>
  <c r="A4504" i="2"/>
  <c r="D4503" i="2"/>
  <c r="C4503" i="2"/>
  <c r="B4503" i="2"/>
  <c r="A4503" i="2"/>
  <c r="D4502" i="2"/>
  <c r="C4502" i="2"/>
  <c r="B4502" i="2"/>
  <c r="A4502" i="2"/>
  <c r="D4501" i="2"/>
  <c r="C4501" i="2"/>
  <c r="B4501" i="2"/>
  <c r="A4501" i="2"/>
  <c r="D4500" i="2"/>
  <c r="C4500" i="2"/>
  <c r="B4500" i="2"/>
  <c r="A4500" i="2"/>
  <c r="D4499" i="2"/>
  <c r="C4499" i="2"/>
  <c r="B4499" i="2"/>
  <c r="A4499" i="2"/>
  <c r="D4498" i="2"/>
  <c r="C4498" i="2"/>
  <c r="B4498" i="2"/>
  <c r="A4498" i="2"/>
  <c r="D4497" i="2"/>
  <c r="C4497" i="2"/>
  <c r="B4497" i="2"/>
  <c r="A4497" i="2"/>
  <c r="D4496" i="2"/>
  <c r="C4496" i="2"/>
  <c r="B4496" i="2"/>
  <c r="A4496" i="2"/>
  <c r="D4495" i="2"/>
  <c r="C4495" i="2"/>
  <c r="B4495" i="2"/>
  <c r="A4495" i="2"/>
  <c r="D4494" i="2"/>
  <c r="C4494" i="2"/>
  <c r="B4494" i="2"/>
  <c r="A4494" i="2"/>
  <c r="D4493" i="2"/>
  <c r="C4493" i="2"/>
  <c r="B4493" i="2"/>
  <c r="A4493" i="2"/>
  <c r="D4492" i="2"/>
  <c r="C4492" i="2"/>
  <c r="B4492" i="2"/>
  <c r="A4492" i="2"/>
  <c r="D4491" i="2"/>
  <c r="C4491" i="2"/>
  <c r="B4491" i="2"/>
  <c r="A4491" i="2"/>
  <c r="D4490" i="2"/>
  <c r="C4490" i="2"/>
  <c r="B4490" i="2"/>
  <c r="A4490" i="2"/>
  <c r="D4489" i="2"/>
  <c r="C4489" i="2"/>
  <c r="B4489" i="2"/>
  <c r="A4489" i="2"/>
  <c r="D4488" i="2"/>
  <c r="C4488" i="2"/>
  <c r="B4488" i="2"/>
  <c r="A4488" i="2"/>
  <c r="D4487" i="2"/>
  <c r="C4487" i="2"/>
  <c r="B4487" i="2"/>
  <c r="A4487" i="2"/>
  <c r="D4486" i="2"/>
  <c r="C4486" i="2"/>
  <c r="B4486" i="2"/>
  <c r="A4486" i="2"/>
  <c r="D4485" i="2"/>
  <c r="C4485" i="2"/>
  <c r="B4485" i="2"/>
  <c r="A4485" i="2"/>
  <c r="D4484" i="2"/>
  <c r="C4484" i="2"/>
  <c r="B4484" i="2"/>
  <c r="A4484" i="2"/>
  <c r="D4483" i="2"/>
  <c r="C4483" i="2"/>
  <c r="B4483" i="2"/>
  <c r="A4483" i="2"/>
  <c r="D4482" i="2"/>
  <c r="C4482" i="2"/>
  <c r="B4482" i="2"/>
  <c r="A4482" i="2"/>
  <c r="D4481" i="2"/>
  <c r="C4481" i="2"/>
  <c r="B4481" i="2"/>
  <c r="A4481" i="2"/>
  <c r="D4480" i="2"/>
  <c r="C4480" i="2"/>
  <c r="B4480" i="2"/>
  <c r="A4480" i="2"/>
  <c r="D4479" i="2"/>
  <c r="C4479" i="2"/>
  <c r="B4479" i="2"/>
  <c r="A4479" i="2"/>
  <c r="D4478" i="2"/>
  <c r="C4478" i="2"/>
  <c r="B4478" i="2"/>
  <c r="A4478" i="2"/>
  <c r="D4477" i="2"/>
  <c r="C4477" i="2"/>
  <c r="B4477" i="2"/>
  <c r="A4477" i="2"/>
  <c r="D4476" i="2"/>
  <c r="C4476" i="2"/>
  <c r="B4476" i="2"/>
  <c r="A4476" i="2"/>
  <c r="D4475" i="2"/>
  <c r="C4475" i="2"/>
  <c r="B4475" i="2"/>
  <c r="A4475" i="2"/>
  <c r="D4474" i="2"/>
  <c r="C4474" i="2"/>
  <c r="B4474" i="2"/>
  <c r="A4474" i="2"/>
  <c r="D4473" i="2"/>
  <c r="C4473" i="2"/>
  <c r="B4473" i="2"/>
  <c r="A4473" i="2"/>
  <c r="D4472" i="2"/>
  <c r="C4472" i="2"/>
  <c r="B4472" i="2"/>
  <c r="A4472" i="2"/>
  <c r="D4471" i="2"/>
  <c r="C4471" i="2"/>
  <c r="B4471" i="2"/>
  <c r="A4471" i="2"/>
  <c r="D4470" i="2"/>
  <c r="C4470" i="2"/>
  <c r="B4470" i="2"/>
  <c r="A4470" i="2"/>
  <c r="D4469" i="2"/>
  <c r="C4469" i="2"/>
  <c r="B4469" i="2"/>
  <c r="A4469" i="2"/>
  <c r="D4468" i="2"/>
  <c r="C4468" i="2"/>
  <c r="B4468" i="2"/>
  <c r="A4468" i="2"/>
  <c r="D4467" i="2"/>
  <c r="C4467" i="2"/>
  <c r="B4467" i="2"/>
  <c r="A4467" i="2"/>
  <c r="D4466" i="2"/>
  <c r="C4466" i="2"/>
  <c r="B4466" i="2"/>
  <c r="A4466" i="2"/>
  <c r="D4465" i="2"/>
  <c r="C4465" i="2"/>
  <c r="B4465" i="2"/>
  <c r="A4465" i="2"/>
  <c r="D4464" i="2"/>
  <c r="C4464" i="2"/>
  <c r="B4464" i="2"/>
  <c r="A4464" i="2"/>
  <c r="D4463" i="2"/>
  <c r="C4463" i="2"/>
  <c r="B4463" i="2"/>
  <c r="A4463" i="2"/>
  <c r="D4462" i="2"/>
  <c r="C4462" i="2"/>
  <c r="B4462" i="2"/>
  <c r="A4462" i="2"/>
  <c r="D4461" i="2"/>
  <c r="C4461" i="2"/>
  <c r="B4461" i="2"/>
  <c r="A4461" i="2"/>
  <c r="D4460" i="2"/>
  <c r="C4460" i="2"/>
  <c r="B4460" i="2"/>
  <c r="A4460" i="2"/>
  <c r="D4459" i="2"/>
  <c r="C4459" i="2"/>
  <c r="B4459" i="2"/>
  <c r="A4459" i="2"/>
  <c r="D4458" i="2"/>
  <c r="C4458" i="2"/>
  <c r="B4458" i="2"/>
  <c r="A4458" i="2"/>
  <c r="D4457" i="2"/>
  <c r="C4457" i="2"/>
  <c r="B4457" i="2"/>
  <c r="A4457" i="2"/>
  <c r="D4456" i="2"/>
  <c r="C4456" i="2"/>
  <c r="B4456" i="2"/>
  <c r="A4456" i="2"/>
  <c r="D4455" i="2"/>
  <c r="C4455" i="2"/>
  <c r="B4455" i="2"/>
  <c r="A4455" i="2"/>
  <c r="D4454" i="2"/>
  <c r="C4454" i="2"/>
  <c r="B4454" i="2"/>
  <c r="A4454" i="2"/>
  <c r="D4453" i="2"/>
  <c r="C4453" i="2"/>
  <c r="B4453" i="2"/>
  <c r="A4453" i="2"/>
  <c r="D4452" i="2"/>
  <c r="C4452" i="2"/>
  <c r="B4452" i="2"/>
  <c r="A4452" i="2"/>
  <c r="D4451" i="2"/>
  <c r="C4451" i="2"/>
  <c r="B4451" i="2"/>
  <c r="A4451" i="2"/>
  <c r="D4450" i="2"/>
  <c r="C4450" i="2"/>
  <c r="B4450" i="2"/>
  <c r="A4450" i="2"/>
  <c r="D4449" i="2"/>
  <c r="C4449" i="2"/>
  <c r="B4449" i="2"/>
  <c r="A4449" i="2"/>
  <c r="D4448" i="2"/>
  <c r="C4448" i="2"/>
  <c r="B4448" i="2"/>
  <c r="A4448" i="2"/>
  <c r="D4447" i="2"/>
  <c r="C4447" i="2"/>
  <c r="B4447" i="2"/>
  <c r="A4447" i="2"/>
  <c r="D4446" i="2"/>
  <c r="C4446" i="2"/>
  <c r="B4446" i="2"/>
  <c r="A4446" i="2"/>
  <c r="D4445" i="2"/>
  <c r="C4445" i="2"/>
  <c r="B4445" i="2"/>
  <c r="A4445" i="2"/>
  <c r="D4444" i="2"/>
  <c r="C4444" i="2"/>
  <c r="B4444" i="2"/>
  <c r="A4444" i="2"/>
  <c r="D4443" i="2"/>
  <c r="C4443" i="2"/>
  <c r="B4443" i="2"/>
  <c r="A4443" i="2"/>
  <c r="D4442" i="2"/>
  <c r="C4442" i="2"/>
  <c r="B4442" i="2"/>
  <c r="A4442" i="2"/>
  <c r="D4441" i="2"/>
  <c r="C4441" i="2"/>
  <c r="B4441" i="2"/>
  <c r="A4441" i="2"/>
  <c r="D4440" i="2"/>
  <c r="C4440" i="2"/>
  <c r="B4440" i="2"/>
  <c r="A4440" i="2"/>
  <c r="D4439" i="2"/>
  <c r="C4439" i="2"/>
  <c r="B4439" i="2"/>
  <c r="A4439" i="2"/>
  <c r="D4438" i="2"/>
  <c r="C4438" i="2"/>
  <c r="B4438" i="2"/>
  <c r="A4438" i="2"/>
  <c r="D4437" i="2"/>
  <c r="C4437" i="2"/>
  <c r="B4437" i="2"/>
  <c r="A4437" i="2"/>
  <c r="D4436" i="2"/>
  <c r="C4436" i="2"/>
  <c r="B4436" i="2"/>
  <c r="A4436" i="2"/>
  <c r="D4435" i="2"/>
  <c r="C4435" i="2"/>
  <c r="B4435" i="2"/>
  <c r="A4435" i="2"/>
  <c r="D4434" i="2"/>
  <c r="C4434" i="2"/>
  <c r="B4434" i="2"/>
  <c r="A4434" i="2"/>
  <c r="D4433" i="2"/>
  <c r="C4433" i="2"/>
  <c r="B4433" i="2"/>
  <c r="A4433" i="2"/>
  <c r="D4432" i="2"/>
  <c r="C4432" i="2"/>
  <c r="B4432" i="2"/>
  <c r="A4432" i="2"/>
  <c r="D4431" i="2"/>
  <c r="C4431" i="2"/>
  <c r="B4431" i="2"/>
  <c r="A4431" i="2"/>
  <c r="D4430" i="2"/>
  <c r="C4430" i="2"/>
  <c r="B4430" i="2"/>
  <c r="A4430" i="2"/>
  <c r="D4429" i="2"/>
  <c r="C4429" i="2"/>
  <c r="B4429" i="2"/>
  <c r="A4429" i="2"/>
  <c r="D4428" i="2"/>
  <c r="C4428" i="2"/>
  <c r="B4428" i="2"/>
  <c r="A4428" i="2"/>
  <c r="D4427" i="2"/>
  <c r="C4427" i="2"/>
  <c r="B4427" i="2"/>
  <c r="A4427" i="2"/>
  <c r="D4426" i="2"/>
  <c r="C4426" i="2"/>
  <c r="B4426" i="2"/>
  <c r="A4426" i="2"/>
  <c r="D4425" i="2"/>
  <c r="C4425" i="2"/>
  <c r="B4425" i="2"/>
  <c r="A4425" i="2"/>
  <c r="D4424" i="2"/>
  <c r="C4424" i="2"/>
  <c r="B4424" i="2"/>
  <c r="A4424" i="2"/>
  <c r="D4423" i="2"/>
  <c r="C4423" i="2"/>
  <c r="B4423" i="2"/>
  <c r="A4423" i="2"/>
  <c r="D4422" i="2"/>
  <c r="C4422" i="2"/>
  <c r="B4422" i="2"/>
  <c r="A4422" i="2"/>
  <c r="D4421" i="2"/>
  <c r="C4421" i="2"/>
  <c r="B4421" i="2"/>
  <c r="A4421" i="2"/>
  <c r="D4420" i="2"/>
  <c r="C4420" i="2"/>
  <c r="B4420" i="2"/>
  <c r="A4420" i="2"/>
  <c r="D4419" i="2"/>
  <c r="C4419" i="2"/>
  <c r="B4419" i="2"/>
  <c r="A4419" i="2"/>
  <c r="D4418" i="2"/>
  <c r="C4418" i="2"/>
  <c r="B4418" i="2"/>
  <c r="A4418" i="2"/>
  <c r="D4417" i="2"/>
  <c r="C4417" i="2"/>
  <c r="B4417" i="2"/>
  <c r="A4417" i="2"/>
  <c r="D4416" i="2"/>
  <c r="C4416" i="2"/>
  <c r="B4416" i="2"/>
  <c r="A4416" i="2"/>
  <c r="D4415" i="2"/>
  <c r="C4415" i="2"/>
  <c r="B4415" i="2"/>
  <c r="A4415" i="2"/>
  <c r="D4414" i="2"/>
  <c r="C4414" i="2"/>
  <c r="B4414" i="2"/>
  <c r="A4414" i="2"/>
  <c r="D4413" i="2"/>
  <c r="C4413" i="2"/>
  <c r="B4413" i="2"/>
  <c r="A4413" i="2"/>
  <c r="D4412" i="2"/>
  <c r="C4412" i="2"/>
  <c r="B4412" i="2"/>
  <c r="A4412" i="2"/>
  <c r="D4411" i="2"/>
  <c r="C4411" i="2"/>
  <c r="B4411" i="2"/>
  <c r="A4411" i="2"/>
  <c r="D4410" i="2"/>
  <c r="C4410" i="2"/>
  <c r="B4410" i="2"/>
  <c r="A4410" i="2"/>
  <c r="D4409" i="2"/>
  <c r="C4409" i="2"/>
  <c r="B4409" i="2"/>
  <c r="A4409" i="2"/>
  <c r="D4408" i="2"/>
  <c r="C4408" i="2"/>
  <c r="B4408" i="2"/>
  <c r="A4408" i="2"/>
  <c r="D4407" i="2"/>
  <c r="C4407" i="2"/>
  <c r="B4407" i="2"/>
  <c r="A4407" i="2"/>
  <c r="D4406" i="2"/>
  <c r="C4406" i="2"/>
  <c r="B4406" i="2"/>
  <c r="A4406" i="2"/>
  <c r="D4405" i="2"/>
  <c r="C4405" i="2"/>
  <c r="B4405" i="2"/>
  <c r="A4405" i="2"/>
  <c r="D4404" i="2"/>
  <c r="C4404" i="2"/>
  <c r="B4404" i="2"/>
  <c r="A4404" i="2"/>
  <c r="D4403" i="2"/>
  <c r="C4403" i="2"/>
  <c r="B4403" i="2"/>
  <c r="A4403" i="2"/>
  <c r="D4402" i="2"/>
  <c r="C4402" i="2"/>
  <c r="B4402" i="2"/>
  <c r="A4402" i="2"/>
  <c r="D4401" i="2"/>
  <c r="C4401" i="2"/>
  <c r="B4401" i="2"/>
  <c r="A4401" i="2"/>
  <c r="D4400" i="2"/>
  <c r="C4400" i="2"/>
  <c r="B4400" i="2"/>
  <c r="A4400" i="2"/>
  <c r="D4399" i="2"/>
  <c r="C4399" i="2"/>
  <c r="B4399" i="2"/>
  <c r="A4399" i="2"/>
  <c r="D4398" i="2"/>
  <c r="C4398" i="2"/>
  <c r="B4398" i="2"/>
  <c r="A4398" i="2"/>
  <c r="D4397" i="2"/>
  <c r="C4397" i="2"/>
  <c r="B4397" i="2"/>
  <c r="A4397" i="2"/>
  <c r="D4396" i="2"/>
  <c r="C4396" i="2"/>
  <c r="B4396" i="2"/>
  <c r="A4396" i="2"/>
  <c r="D4395" i="2"/>
  <c r="C4395" i="2"/>
  <c r="B4395" i="2"/>
  <c r="A4395" i="2"/>
  <c r="D4394" i="2"/>
  <c r="C4394" i="2"/>
  <c r="B4394" i="2"/>
  <c r="A4394" i="2"/>
  <c r="D4393" i="2"/>
  <c r="B4393" i="2"/>
  <c r="A4393" i="2"/>
  <c r="D4392" i="2"/>
  <c r="B4392" i="2"/>
  <c r="A4392" i="2"/>
  <c r="D4391" i="2"/>
  <c r="B4391" i="2"/>
  <c r="A4391" i="2"/>
  <c r="D4390" i="2"/>
  <c r="C4390" i="2"/>
  <c r="B4390" i="2"/>
  <c r="A4390" i="2"/>
  <c r="D4389" i="2"/>
  <c r="B4389" i="2"/>
  <c r="A4389" i="2"/>
  <c r="D4388" i="2"/>
  <c r="C4388" i="2"/>
  <c r="B4388" i="2"/>
  <c r="A4388" i="2"/>
  <c r="D4387" i="2"/>
  <c r="C4387" i="2"/>
  <c r="B4387" i="2"/>
  <c r="A4387" i="2"/>
  <c r="D4386" i="2"/>
  <c r="B4386" i="2"/>
  <c r="A4386" i="2"/>
  <c r="D4385" i="2"/>
  <c r="B4385" i="2"/>
  <c r="A4385" i="2"/>
  <c r="D4384" i="2"/>
  <c r="B4384" i="2"/>
  <c r="A4384" i="2"/>
  <c r="D4383" i="2"/>
  <c r="B4383" i="2"/>
  <c r="A4383" i="2"/>
  <c r="D4382" i="2"/>
  <c r="B4382" i="2"/>
  <c r="A4382" i="2"/>
  <c r="D4381" i="2"/>
  <c r="B4381" i="2"/>
  <c r="A4381" i="2"/>
  <c r="D4380" i="2"/>
  <c r="C4380" i="2"/>
  <c r="B4380" i="2"/>
  <c r="A4380" i="2"/>
  <c r="D4379" i="2"/>
  <c r="B4379" i="2"/>
  <c r="A4379" i="2"/>
  <c r="D4378" i="2"/>
  <c r="C4378" i="2"/>
  <c r="B4378" i="2"/>
  <c r="A4378" i="2"/>
  <c r="D4377" i="2"/>
  <c r="C4377" i="2"/>
  <c r="B4377" i="2"/>
  <c r="A4377" i="2"/>
  <c r="D4376" i="2"/>
  <c r="B4376" i="2"/>
  <c r="A4376" i="2"/>
  <c r="D4375" i="2"/>
  <c r="C4375" i="2"/>
  <c r="B4375" i="2"/>
  <c r="A4375" i="2"/>
  <c r="D4374" i="2"/>
  <c r="C4374" i="2"/>
  <c r="B4374" i="2"/>
  <c r="A4374" i="2"/>
  <c r="D4373" i="2"/>
  <c r="B4373" i="2"/>
  <c r="A4373" i="2"/>
  <c r="D4372" i="2"/>
  <c r="C4372" i="2"/>
  <c r="B4372" i="2"/>
  <c r="A4372" i="2"/>
  <c r="D4371" i="2"/>
  <c r="B4371" i="2"/>
  <c r="A4371" i="2"/>
  <c r="D4370" i="2"/>
  <c r="C4370" i="2"/>
  <c r="B4370" i="2"/>
  <c r="A4370" i="2"/>
  <c r="D4369" i="2"/>
  <c r="C4369" i="2"/>
  <c r="B4369" i="2"/>
  <c r="A4369" i="2"/>
  <c r="D4368" i="2"/>
  <c r="C4368" i="2"/>
  <c r="B4368" i="2"/>
  <c r="A4368" i="2"/>
  <c r="D4367" i="2"/>
  <c r="C4367" i="2"/>
  <c r="B4367" i="2"/>
  <c r="A4367" i="2"/>
  <c r="D4366" i="2"/>
  <c r="B4366" i="2"/>
  <c r="A4366" i="2"/>
  <c r="D4365" i="2"/>
  <c r="C4365" i="2"/>
  <c r="B4365" i="2"/>
  <c r="A4365" i="2"/>
  <c r="D4364" i="2"/>
  <c r="C4364" i="2"/>
  <c r="B4364" i="2"/>
  <c r="A4364" i="2"/>
  <c r="D4363" i="2"/>
  <c r="C4363" i="2"/>
  <c r="B4363" i="2"/>
  <c r="A4363" i="2"/>
  <c r="D4362" i="2"/>
  <c r="C4362" i="2"/>
  <c r="B4362" i="2"/>
  <c r="A4362" i="2"/>
  <c r="D4361" i="2"/>
  <c r="C4361" i="2"/>
  <c r="B4361" i="2"/>
  <c r="A4361" i="2"/>
  <c r="D4360" i="2"/>
  <c r="B4360" i="2"/>
  <c r="A4360" i="2"/>
  <c r="D4359" i="2"/>
  <c r="B4359" i="2"/>
  <c r="A4359" i="2"/>
  <c r="D4358" i="2"/>
  <c r="C4358" i="2"/>
  <c r="B4358" i="2"/>
  <c r="A4358" i="2"/>
  <c r="D4357" i="2"/>
  <c r="C4357" i="2"/>
  <c r="B4357" i="2"/>
  <c r="A4357" i="2"/>
  <c r="D4356" i="2"/>
  <c r="C4356" i="2"/>
  <c r="B4356" i="2"/>
  <c r="A4356" i="2"/>
  <c r="D4355" i="2"/>
  <c r="B4355" i="2"/>
  <c r="A4355" i="2"/>
  <c r="D4354" i="2"/>
  <c r="C4354" i="2"/>
  <c r="B4354" i="2"/>
  <c r="A4354" i="2"/>
  <c r="D4353" i="2"/>
  <c r="B4353" i="2"/>
  <c r="A4353" i="2"/>
  <c r="D4352" i="2"/>
  <c r="C4352" i="2"/>
  <c r="B4352" i="2"/>
  <c r="A4352" i="2"/>
  <c r="D4351" i="2"/>
  <c r="C4351" i="2"/>
  <c r="B4351" i="2"/>
  <c r="A4351" i="2"/>
  <c r="D4350" i="2"/>
  <c r="C4350" i="2"/>
  <c r="B4350" i="2"/>
  <c r="A4350" i="2"/>
  <c r="D4349" i="2"/>
  <c r="B4349" i="2"/>
  <c r="A4349" i="2"/>
  <c r="D4348" i="2"/>
  <c r="C4348" i="2"/>
  <c r="B4348" i="2"/>
  <c r="A4348" i="2"/>
  <c r="D4347" i="2"/>
  <c r="C4347" i="2"/>
  <c r="B4347" i="2"/>
  <c r="A4347" i="2"/>
  <c r="D4346" i="2"/>
  <c r="C4346" i="2"/>
  <c r="B4346" i="2"/>
  <c r="A4346" i="2"/>
  <c r="D4345" i="2"/>
  <c r="C4345" i="2"/>
  <c r="B4345" i="2"/>
  <c r="A4345" i="2"/>
  <c r="D4344" i="2"/>
  <c r="C4344" i="2"/>
  <c r="B4344" i="2"/>
  <c r="A4344" i="2"/>
  <c r="D4343" i="2"/>
  <c r="C4343" i="2"/>
  <c r="B4343" i="2"/>
  <c r="A4343" i="2"/>
  <c r="D4342" i="2"/>
  <c r="C4342" i="2"/>
  <c r="B4342" i="2"/>
  <c r="A4342" i="2"/>
  <c r="D4341" i="2"/>
  <c r="C4341" i="2"/>
  <c r="B4341" i="2"/>
  <c r="A4341" i="2"/>
  <c r="D4340" i="2"/>
  <c r="C4340" i="2"/>
  <c r="B4340" i="2"/>
  <c r="A4340" i="2"/>
  <c r="D4339" i="2"/>
  <c r="C4339" i="2"/>
  <c r="B4339" i="2"/>
  <c r="A4339" i="2"/>
  <c r="D4338" i="2"/>
  <c r="B4338" i="2"/>
  <c r="A4338" i="2"/>
  <c r="D4337" i="2"/>
  <c r="C4337" i="2"/>
  <c r="B4337" i="2"/>
  <c r="A4337" i="2"/>
  <c r="D4336" i="2"/>
  <c r="C4336" i="2"/>
  <c r="B4336" i="2"/>
  <c r="A4336" i="2"/>
  <c r="D4335" i="2"/>
  <c r="C4335" i="2"/>
  <c r="B4335" i="2"/>
  <c r="A4335" i="2"/>
  <c r="D4334" i="2"/>
  <c r="C4334" i="2"/>
  <c r="B4334" i="2"/>
  <c r="A4334" i="2"/>
  <c r="D4333" i="2"/>
  <c r="C4333" i="2"/>
  <c r="B4333" i="2"/>
  <c r="A4333" i="2"/>
  <c r="D4332" i="2"/>
  <c r="C4332" i="2"/>
  <c r="B4332" i="2"/>
  <c r="A4332" i="2"/>
  <c r="D4331" i="2"/>
  <c r="C4331" i="2"/>
  <c r="B4331" i="2"/>
  <c r="A4331" i="2"/>
  <c r="D4330" i="2"/>
  <c r="C4330" i="2"/>
  <c r="B4330" i="2"/>
  <c r="A4330" i="2"/>
  <c r="D4329" i="2"/>
  <c r="C4329" i="2"/>
  <c r="B4329" i="2"/>
  <c r="A4329" i="2"/>
  <c r="D4328" i="2"/>
  <c r="C4328" i="2"/>
  <c r="B4328" i="2"/>
  <c r="A4328" i="2"/>
  <c r="D4327" i="2"/>
  <c r="C4327" i="2"/>
  <c r="B4327" i="2"/>
  <c r="A4327" i="2"/>
  <c r="D4326" i="2"/>
  <c r="C4326" i="2"/>
  <c r="B4326" i="2"/>
  <c r="A4326" i="2"/>
  <c r="D4325" i="2"/>
  <c r="C4325" i="2"/>
  <c r="B4325" i="2"/>
  <c r="A4325" i="2"/>
  <c r="D4324" i="2"/>
  <c r="C4324" i="2"/>
  <c r="B4324" i="2"/>
  <c r="A4324" i="2"/>
  <c r="D4323" i="2"/>
  <c r="C4323" i="2"/>
  <c r="B4323" i="2"/>
  <c r="A4323" i="2"/>
  <c r="D4322" i="2"/>
  <c r="C4322" i="2"/>
  <c r="B4322" i="2"/>
  <c r="A4322" i="2"/>
  <c r="D4321" i="2"/>
  <c r="C4321" i="2"/>
  <c r="B4321" i="2"/>
  <c r="A4321" i="2"/>
  <c r="D4320" i="2"/>
  <c r="B4320" i="2"/>
  <c r="A4320" i="2"/>
  <c r="D4319" i="2"/>
  <c r="C4319" i="2"/>
  <c r="B4319" i="2"/>
  <c r="A4319" i="2"/>
  <c r="D4318" i="2"/>
  <c r="C4318" i="2"/>
  <c r="B4318" i="2"/>
  <c r="A4318" i="2"/>
  <c r="D4317" i="2"/>
  <c r="C4317" i="2"/>
  <c r="B4317" i="2"/>
  <c r="A4317" i="2"/>
  <c r="D4316" i="2"/>
  <c r="C4316" i="2"/>
  <c r="B4316" i="2"/>
  <c r="A4316" i="2"/>
  <c r="D4315" i="2"/>
  <c r="C4315" i="2"/>
  <c r="B4315" i="2"/>
  <c r="A4315" i="2"/>
  <c r="D4314" i="2"/>
  <c r="C4314" i="2"/>
  <c r="B4314" i="2"/>
  <c r="A4314" i="2"/>
  <c r="D4313" i="2"/>
  <c r="C4313" i="2"/>
  <c r="B4313" i="2"/>
  <c r="A4313" i="2"/>
  <c r="D4312" i="2"/>
  <c r="C4312" i="2"/>
  <c r="B4312" i="2"/>
  <c r="A4312" i="2"/>
  <c r="D4311" i="2"/>
  <c r="C4311" i="2"/>
  <c r="B4311" i="2"/>
  <c r="A4311" i="2"/>
  <c r="D4310" i="2"/>
  <c r="C4310" i="2"/>
  <c r="B4310" i="2"/>
  <c r="A4310" i="2"/>
  <c r="D4309" i="2"/>
  <c r="C4309" i="2"/>
  <c r="B4309" i="2"/>
  <c r="A4309" i="2"/>
  <c r="D4308" i="2"/>
  <c r="C4308" i="2"/>
  <c r="B4308" i="2"/>
  <c r="A4308" i="2"/>
  <c r="D4307" i="2"/>
  <c r="C4307" i="2"/>
  <c r="B4307" i="2"/>
  <c r="A4307" i="2"/>
  <c r="D4306" i="2"/>
  <c r="C4306" i="2"/>
  <c r="B4306" i="2"/>
  <c r="A4306" i="2"/>
  <c r="D4305" i="2"/>
  <c r="C4305" i="2"/>
  <c r="B4305" i="2"/>
  <c r="A4305" i="2"/>
  <c r="D4304" i="2"/>
  <c r="C4304" i="2"/>
  <c r="B4304" i="2"/>
  <c r="A4304" i="2"/>
  <c r="D4303" i="2"/>
  <c r="C4303" i="2"/>
  <c r="B4303" i="2"/>
  <c r="A4303" i="2"/>
  <c r="D4302" i="2"/>
  <c r="C4302" i="2"/>
  <c r="B4302" i="2"/>
  <c r="A4302" i="2"/>
  <c r="D4301" i="2"/>
  <c r="C4301" i="2"/>
  <c r="B4301" i="2"/>
  <c r="A4301" i="2"/>
  <c r="D4300" i="2"/>
  <c r="C4300" i="2"/>
  <c r="B4300" i="2"/>
  <c r="A4300" i="2"/>
  <c r="D4299" i="2"/>
  <c r="C4299" i="2"/>
  <c r="B4299" i="2"/>
  <c r="A4299" i="2"/>
  <c r="D4298" i="2"/>
  <c r="C4298" i="2"/>
  <c r="B4298" i="2"/>
  <c r="A4298" i="2"/>
  <c r="D4297" i="2"/>
  <c r="B4297" i="2"/>
  <c r="A4297" i="2"/>
  <c r="D4296" i="2"/>
  <c r="C4296" i="2"/>
  <c r="B4296" i="2"/>
  <c r="A4296" i="2"/>
  <c r="D4295" i="2"/>
  <c r="C4295" i="2"/>
  <c r="B4295" i="2"/>
  <c r="A4295" i="2"/>
  <c r="D4294" i="2"/>
  <c r="C4294" i="2"/>
  <c r="B4294" i="2"/>
  <c r="A4294" i="2"/>
  <c r="D4293" i="2"/>
  <c r="C4293" i="2"/>
  <c r="B4293" i="2"/>
  <c r="A4293" i="2"/>
  <c r="D4292" i="2"/>
  <c r="C4292" i="2"/>
  <c r="B4292" i="2"/>
  <c r="A4292" i="2"/>
  <c r="D4291" i="2"/>
  <c r="C4291" i="2"/>
  <c r="B4291" i="2"/>
  <c r="A4291" i="2"/>
  <c r="D4290" i="2"/>
  <c r="C4290" i="2"/>
  <c r="B4290" i="2"/>
  <c r="A4290" i="2"/>
  <c r="D4289" i="2"/>
  <c r="C4289" i="2"/>
  <c r="B4289" i="2"/>
  <c r="A4289" i="2"/>
  <c r="D4288" i="2"/>
  <c r="C4288" i="2"/>
  <c r="B4288" i="2"/>
  <c r="A4288" i="2"/>
  <c r="D4287" i="2"/>
  <c r="C4287" i="2"/>
  <c r="B4287" i="2"/>
  <c r="A4287" i="2"/>
  <c r="D4286" i="2"/>
  <c r="C4286" i="2"/>
  <c r="B4286" i="2"/>
  <c r="A4286" i="2"/>
  <c r="D4285" i="2"/>
  <c r="C4285" i="2"/>
  <c r="B4285" i="2"/>
  <c r="A4285" i="2"/>
  <c r="D4284" i="2"/>
  <c r="C4284" i="2"/>
  <c r="B4284" i="2"/>
  <c r="A4284" i="2"/>
  <c r="D4283" i="2"/>
  <c r="C4283" i="2"/>
  <c r="B4283" i="2"/>
  <c r="A4283" i="2"/>
  <c r="D4282" i="2"/>
  <c r="C4282" i="2"/>
  <c r="B4282" i="2"/>
  <c r="A4282" i="2"/>
  <c r="D4281" i="2"/>
  <c r="C4281" i="2"/>
  <c r="B4281" i="2"/>
  <c r="A4281" i="2"/>
  <c r="D4280" i="2"/>
  <c r="C4280" i="2"/>
  <c r="B4280" i="2"/>
  <c r="A4280" i="2"/>
  <c r="D4279" i="2"/>
  <c r="C4279" i="2"/>
  <c r="B4279" i="2"/>
  <c r="A4279" i="2"/>
  <c r="D4278" i="2"/>
  <c r="C4278" i="2"/>
  <c r="B4278" i="2"/>
  <c r="A4278" i="2"/>
  <c r="D4277" i="2"/>
  <c r="C4277" i="2"/>
  <c r="B4277" i="2"/>
  <c r="A4277" i="2"/>
  <c r="D4276" i="2"/>
  <c r="C4276" i="2"/>
  <c r="B4276" i="2"/>
  <c r="A4276" i="2"/>
  <c r="D4275" i="2"/>
  <c r="C4275" i="2"/>
  <c r="B4275" i="2"/>
  <c r="A4275" i="2"/>
  <c r="D4274" i="2"/>
  <c r="C4274" i="2"/>
  <c r="B4274" i="2"/>
  <c r="A4274" i="2"/>
  <c r="D4273" i="2"/>
  <c r="C4273" i="2"/>
  <c r="B4273" i="2"/>
  <c r="A4273" i="2"/>
  <c r="D4272" i="2"/>
  <c r="C4272" i="2"/>
  <c r="B4272" i="2"/>
  <c r="A4272" i="2"/>
  <c r="D4271" i="2"/>
  <c r="C4271" i="2"/>
  <c r="B4271" i="2"/>
  <c r="A4271" i="2"/>
  <c r="D4270" i="2"/>
  <c r="C4270" i="2"/>
  <c r="B4270" i="2"/>
  <c r="A4270" i="2"/>
  <c r="D4269" i="2"/>
  <c r="C4269" i="2"/>
  <c r="B4269" i="2"/>
  <c r="A4269" i="2"/>
  <c r="D4268" i="2"/>
  <c r="C4268" i="2"/>
  <c r="B4268" i="2"/>
  <c r="A4268" i="2"/>
  <c r="D4267" i="2"/>
  <c r="C4267" i="2"/>
  <c r="B4267" i="2"/>
  <c r="A4267" i="2"/>
  <c r="D4266" i="2"/>
  <c r="C4266" i="2"/>
  <c r="B4266" i="2"/>
  <c r="A4266" i="2"/>
  <c r="D4265" i="2"/>
  <c r="C4265" i="2"/>
  <c r="B4265" i="2"/>
  <c r="A4265" i="2"/>
  <c r="D4264" i="2"/>
  <c r="C4264" i="2"/>
  <c r="B4264" i="2"/>
  <c r="A4264" i="2"/>
  <c r="D4263" i="2"/>
  <c r="C4263" i="2"/>
  <c r="B4263" i="2"/>
  <c r="A4263" i="2"/>
  <c r="D4262" i="2"/>
  <c r="C4262" i="2"/>
  <c r="B4262" i="2"/>
  <c r="A4262" i="2"/>
  <c r="D4261" i="2"/>
  <c r="C4261" i="2"/>
  <c r="B4261" i="2"/>
  <c r="A4261" i="2"/>
  <c r="D4260" i="2"/>
  <c r="C4260" i="2"/>
  <c r="B4260" i="2"/>
  <c r="A4260" i="2"/>
  <c r="D4259" i="2"/>
  <c r="C4259" i="2"/>
  <c r="B4259" i="2"/>
  <c r="A4259" i="2"/>
  <c r="D4258" i="2"/>
  <c r="C4258" i="2"/>
  <c r="B4258" i="2"/>
  <c r="A4258" i="2"/>
  <c r="D4257" i="2"/>
  <c r="C4257" i="2"/>
  <c r="B4257" i="2"/>
  <c r="A4257" i="2"/>
  <c r="D4256" i="2"/>
  <c r="C4256" i="2"/>
  <c r="B4256" i="2"/>
  <c r="A4256" i="2"/>
  <c r="D4255" i="2"/>
  <c r="C4255" i="2"/>
  <c r="B4255" i="2"/>
  <c r="A4255" i="2"/>
  <c r="D4254" i="2"/>
  <c r="C4254" i="2"/>
  <c r="B4254" i="2"/>
  <c r="A4254" i="2"/>
  <c r="D4253" i="2"/>
  <c r="C4253" i="2"/>
  <c r="B4253" i="2"/>
  <c r="A4253" i="2"/>
  <c r="D4252" i="2"/>
  <c r="C4252" i="2"/>
  <c r="B4252" i="2"/>
  <c r="A4252" i="2"/>
  <c r="D4251" i="2"/>
  <c r="C4251" i="2"/>
  <c r="B4251" i="2"/>
  <c r="A4251" i="2"/>
  <c r="D4250" i="2"/>
  <c r="C4250" i="2"/>
  <c r="B4250" i="2"/>
  <c r="A4250" i="2"/>
  <c r="D4249" i="2"/>
  <c r="C4249" i="2"/>
  <c r="B4249" i="2"/>
  <c r="A4249" i="2"/>
  <c r="D4248" i="2"/>
  <c r="C4248" i="2"/>
  <c r="B4248" i="2"/>
  <c r="A4248" i="2"/>
  <c r="D4247" i="2"/>
  <c r="C4247" i="2"/>
  <c r="B4247" i="2"/>
  <c r="A4247" i="2"/>
  <c r="D4246" i="2"/>
  <c r="C4246" i="2"/>
  <c r="B4246" i="2"/>
  <c r="A4246" i="2"/>
  <c r="D4245" i="2"/>
  <c r="C4245" i="2"/>
  <c r="B4245" i="2"/>
  <c r="A4245" i="2"/>
  <c r="D4244" i="2"/>
  <c r="C4244" i="2"/>
  <c r="B4244" i="2"/>
  <c r="A4244" i="2"/>
  <c r="D4243" i="2"/>
  <c r="C4243" i="2"/>
  <c r="B4243" i="2"/>
  <c r="A4243" i="2"/>
  <c r="D4242" i="2"/>
  <c r="C4242" i="2"/>
  <c r="B4242" i="2"/>
  <c r="A4242" i="2"/>
  <c r="D4241" i="2"/>
  <c r="C4241" i="2"/>
  <c r="B4241" i="2"/>
  <c r="A4241" i="2"/>
  <c r="D4240" i="2"/>
  <c r="C4240" i="2"/>
  <c r="B4240" i="2"/>
  <c r="A4240" i="2"/>
  <c r="D4239" i="2"/>
  <c r="C4239" i="2"/>
  <c r="B4239" i="2"/>
  <c r="A4239" i="2"/>
  <c r="D4238" i="2"/>
  <c r="C4238" i="2"/>
  <c r="B4238" i="2"/>
  <c r="A4238" i="2"/>
  <c r="D4237" i="2"/>
  <c r="C4237" i="2"/>
  <c r="B4237" i="2"/>
  <c r="A4237" i="2"/>
  <c r="D4236" i="2"/>
  <c r="C4236" i="2"/>
  <c r="B4236" i="2"/>
  <c r="A4236" i="2"/>
  <c r="D4235" i="2"/>
  <c r="C4235" i="2"/>
  <c r="B4235" i="2"/>
  <c r="A4235" i="2"/>
  <c r="D4234" i="2"/>
  <c r="C4234" i="2"/>
  <c r="B4234" i="2"/>
  <c r="A4234" i="2"/>
  <c r="D4233" i="2"/>
  <c r="C4233" i="2"/>
  <c r="B4233" i="2"/>
  <c r="A4233" i="2"/>
  <c r="D4232" i="2"/>
  <c r="C4232" i="2"/>
  <c r="B4232" i="2"/>
  <c r="A4232" i="2"/>
  <c r="D4231" i="2"/>
  <c r="C4231" i="2"/>
  <c r="B4231" i="2"/>
  <c r="A4231" i="2"/>
  <c r="D4230" i="2"/>
  <c r="C4230" i="2"/>
  <c r="B4230" i="2"/>
  <c r="A4230" i="2"/>
  <c r="D4229" i="2"/>
  <c r="C4229" i="2"/>
  <c r="B4229" i="2"/>
  <c r="A4229" i="2"/>
  <c r="D4228" i="2"/>
  <c r="C4228" i="2"/>
  <c r="B4228" i="2"/>
  <c r="A4228" i="2"/>
  <c r="D4227" i="2"/>
  <c r="C4227" i="2"/>
  <c r="B4227" i="2"/>
  <c r="A4227" i="2"/>
  <c r="D4226" i="2"/>
  <c r="C4226" i="2"/>
  <c r="B4226" i="2"/>
  <c r="A4226" i="2"/>
  <c r="D4225" i="2"/>
  <c r="C4225" i="2"/>
  <c r="B4225" i="2"/>
  <c r="A4225" i="2"/>
  <c r="D4224" i="2"/>
  <c r="C4224" i="2"/>
  <c r="B4224" i="2"/>
  <c r="A4224" i="2"/>
  <c r="D4223" i="2"/>
  <c r="C4223" i="2"/>
  <c r="B4223" i="2"/>
  <c r="A4223" i="2"/>
  <c r="D4222" i="2"/>
  <c r="C4222" i="2"/>
  <c r="B4222" i="2"/>
  <c r="A4222" i="2"/>
  <c r="D4221" i="2"/>
  <c r="C4221" i="2"/>
  <c r="B4221" i="2"/>
  <c r="A4221" i="2"/>
  <c r="D4220" i="2"/>
  <c r="C4220" i="2"/>
  <c r="B4220" i="2"/>
  <c r="A4220" i="2"/>
  <c r="D4219" i="2"/>
  <c r="C4219" i="2"/>
  <c r="B4219" i="2"/>
  <c r="A4219" i="2"/>
  <c r="D4218" i="2"/>
  <c r="C4218" i="2"/>
  <c r="B4218" i="2"/>
  <c r="A4218" i="2"/>
  <c r="D4217" i="2"/>
  <c r="C4217" i="2"/>
  <c r="B4217" i="2"/>
  <c r="A4217" i="2"/>
  <c r="D4216" i="2"/>
  <c r="C4216" i="2"/>
  <c r="B4216" i="2"/>
  <c r="A4216" i="2"/>
  <c r="D4215" i="2"/>
  <c r="C4215" i="2"/>
  <c r="B4215" i="2"/>
  <c r="A4215" i="2"/>
  <c r="D4214" i="2"/>
  <c r="C4214" i="2"/>
  <c r="B4214" i="2"/>
  <c r="A4214" i="2"/>
  <c r="D4213" i="2"/>
  <c r="C4213" i="2"/>
  <c r="B4213" i="2"/>
  <c r="A4213" i="2"/>
  <c r="D4212" i="2"/>
  <c r="C4212" i="2"/>
  <c r="B4212" i="2"/>
  <c r="A4212" i="2"/>
  <c r="D4211" i="2"/>
  <c r="C4211" i="2"/>
  <c r="B4211" i="2"/>
  <c r="A4211" i="2"/>
  <c r="D4210" i="2"/>
  <c r="C4210" i="2"/>
  <c r="B4210" i="2"/>
  <c r="A4210" i="2"/>
  <c r="D4209" i="2"/>
  <c r="C4209" i="2"/>
  <c r="B4209" i="2"/>
  <c r="A4209" i="2"/>
  <c r="D4208" i="2"/>
  <c r="C4208" i="2"/>
  <c r="B4208" i="2"/>
  <c r="A4208" i="2"/>
  <c r="D4207" i="2"/>
  <c r="C4207" i="2"/>
  <c r="B4207" i="2"/>
  <c r="A4207" i="2"/>
  <c r="D4206" i="2"/>
  <c r="C4206" i="2"/>
  <c r="B4206" i="2"/>
  <c r="A4206" i="2"/>
  <c r="D4205" i="2"/>
  <c r="C4205" i="2"/>
  <c r="B4205" i="2"/>
  <c r="A4205" i="2"/>
  <c r="D4204" i="2"/>
  <c r="C4204" i="2"/>
  <c r="B4204" i="2"/>
  <c r="A4204" i="2"/>
  <c r="D4203" i="2"/>
  <c r="C4203" i="2"/>
  <c r="B4203" i="2"/>
  <c r="A4203" i="2"/>
  <c r="D4202" i="2"/>
  <c r="C4202" i="2"/>
  <c r="B4202" i="2"/>
  <c r="A4202" i="2"/>
  <c r="D4201" i="2"/>
  <c r="C4201" i="2"/>
  <c r="B4201" i="2"/>
  <c r="A4201" i="2"/>
  <c r="D4200" i="2"/>
  <c r="C4200" i="2"/>
  <c r="B4200" i="2"/>
  <c r="A4200" i="2"/>
  <c r="D4199" i="2"/>
  <c r="C4199" i="2"/>
  <c r="B4199" i="2"/>
  <c r="A4199" i="2"/>
  <c r="D4198" i="2"/>
  <c r="C4198" i="2"/>
  <c r="B4198" i="2"/>
  <c r="A4198" i="2"/>
  <c r="D4197" i="2"/>
  <c r="C4197" i="2"/>
  <c r="B4197" i="2"/>
  <c r="A4197" i="2"/>
  <c r="D4196" i="2"/>
  <c r="C4196" i="2"/>
  <c r="B4196" i="2"/>
  <c r="A4196" i="2"/>
  <c r="D4195" i="2"/>
  <c r="C4195" i="2"/>
  <c r="B4195" i="2"/>
  <c r="A4195" i="2"/>
  <c r="D4194" i="2"/>
  <c r="C4194" i="2"/>
  <c r="B4194" i="2"/>
  <c r="A4194" i="2"/>
  <c r="D4193" i="2"/>
  <c r="C4193" i="2"/>
  <c r="B4193" i="2"/>
  <c r="A4193" i="2"/>
  <c r="D4192" i="2"/>
  <c r="C4192" i="2"/>
  <c r="B4192" i="2"/>
  <c r="A4192" i="2"/>
  <c r="D4191" i="2"/>
  <c r="C4191" i="2"/>
  <c r="B4191" i="2"/>
  <c r="A4191" i="2"/>
  <c r="D4190" i="2"/>
  <c r="C4190" i="2"/>
  <c r="B4190" i="2"/>
  <c r="A4190" i="2"/>
  <c r="D4189" i="2"/>
  <c r="C4189" i="2"/>
  <c r="B4189" i="2"/>
  <c r="A4189" i="2"/>
  <c r="D4188" i="2"/>
  <c r="C4188" i="2"/>
  <c r="B4188" i="2"/>
  <c r="A4188" i="2"/>
  <c r="D4187" i="2"/>
  <c r="C4187" i="2"/>
  <c r="B4187" i="2"/>
  <c r="A4187" i="2"/>
  <c r="D4186" i="2"/>
  <c r="C4186" i="2"/>
  <c r="B4186" i="2"/>
  <c r="A4186" i="2"/>
  <c r="D4185" i="2"/>
  <c r="C4185" i="2"/>
  <c r="B4185" i="2"/>
  <c r="A4185" i="2"/>
  <c r="D4184" i="2"/>
  <c r="C4184" i="2"/>
  <c r="B4184" i="2"/>
  <c r="A4184" i="2"/>
  <c r="D4183" i="2"/>
  <c r="C4183" i="2"/>
  <c r="B4183" i="2"/>
  <c r="A4183" i="2"/>
  <c r="D4182" i="2"/>
  <c r="C4182" i="2"/>
  <c r="B4182" i="2"/>
  <c r="A4182" i="2"/>
  <c r="D4181" i="2"/>
  <c r="C4181" i="2"/>
  <c r="B4181" i="2"/>
  <c r="A4181" i="2"/>
  <c r="D4180" i="2"/>
  <c r="C4180" i="2"/>
  <c r="B4180" i="2"/>
  <c r="A4180" i="2"/>
  <c r="D4179" i="2"/>
  <c r="C4179" i="2"/>
  <c r="B4179" i="2"/>
  <c r="A4179" i="2"/>
  <c r="D4178" i="2"/>
  <c r="C4178" i="2"/>
  <c r="B4178" i="2"/>
  <c r="A4178" i="2"/>
  <c r="D4177" i="2"/>
  <c r="C4177" i="2"/>
  <c r="B4177" i="2"/>
  <c r="A4177" i="2"/>
  <c r="D4176" i="2"/>
  <c r="C4176" i="2"/>
  <c r="B4176" i="2"/>
  <c r="A4176" i="2"/>
  <c r="D4175" i="2"/>
  <c r="C4175" i="2"/>
  <c r="B4175" i="2"/>
  <c r="A4175" i="2"/>
  <c r="D4174" i="2"/>
  <c r="C4174" i="2"/>
  <c r="B4174" i="2"/>
  <c r="A4174" i="2"/>
  <c r="D4173" i="2"/>
  <c r="C4173" i="2"/>
  <c r="B4173" i="2"/>
  <c r="A4173" i="2"/>
  <c r="D4172" i="2"/>
  <c r="C4172" i="2"/>
  <c r="B4172" i="2"/>
  <c r="A4172" i="2"/>
  <c r="D4171" i="2"/>
  <c r="C4171" i="2"/>
  <c r="B4171" i="2"/>
  <c r="A4171" i="2"/>
  <c r="D4170" i="2"/>
  <c r="B4170" i="2"/>
  <c r="A4170" i="2"/>
  <c r="D4169" i="2"/>
  <c r="C4169" i="2"/>
  <c r="B4169" i="2"/>
  <c r="A4169" i="2"/>
  <c r="D4168" i="2"/>
  <c r="C4168" i="2"/>
  <c r="B4168" i="2"/>
  <c r="A4168" i="2"/>
  <c r="D4167" i="2"/>
  <c r="C4167" i="2"/>
  <c r="B4167" i="2"/>
  <c r="A4167" i="2"/>
  <c r="D4166" i="2"/>
  <c r="C4166" i="2"/>
  <c r="B4166" i="2"/>
  <c r="A4166" i="2"/>
  <c r="D4165" i="2"/>
  <c r="C4165" i="2"/>
  <c r="B4165" i="2"/>
  <c r="A4165" i="2"/>
  <c r="D4164" i="2"/>
  <c r="C4164" i="2"/>
  <c r="B4164" i="2"/>
  <c r="A4164" i="2"/>
  <c r="D4163" i="2"/>
  <c r="B4163" i="2"/>
  <c r="A4163" i="2"/>
  <c r="D4162" i="2"/>
  <c r="B4162" i="2"/>
  <c r="A4162" i="2"/>
  <c r="D4161" i="2"/>
  <c r="C4161" i="2"/>
  <c r="B4161" i="2"/>
  <c r="A4161" i="2"/>
  <c r="D4160" i="2"/>
  <c r="C4160" i="2"/>
  <c r="B4160" i="2"/>
  <c r="A4160" i="2"/>
  <c r="D4159" i="2"/>
  <c r="C4159" i="2"/>
  <c r="B4159" i="2"/>
  <c r="A4159" i="2"/>
  <c r="D4158" i="2"/>
  <c r="C4158" i="2"/>
  <c r="B4158" i="2"/>
  <c r="A4158" i="2"/>
  <c r="D4157" i="2"/>
  <c r="C4157" i="2"/>
  <c r="B4157" i="2"/>
  <c r="A4157" i="2"/>
  <c r="D4156" i="2"/>
  <c r="C4156" i="2"/>
  <c r="B4156" i="2"/>
  <c r="A4156" i="2"/>
  <c r="D4155" i="2"/>
  <c r="C4155" i="2"/>
  <c r="B4155" i="2"/>
  <c r="A4155" i="2"/>
  <c r="D4154" i="2"/>
  <c r="C4154" i="2"/>
  <c r="B4154" i="2"/>
  <c r="A4154" i="2"/>
  <c r="D4153" i="2"/>
  <c r="C4153" i="2"/>
  <c r="B4153" i="2"/>
  <c r="A4153" i="2"/>
  <c r="D4152" i="2"/>
  <c r="C4152" i="2"/>
  <c r="B4152" i="2"/>
  <c r="A4152" i="2"/>
  <c r="D4151" i="2"/>
  <c r="C4151" i="2"/>
  <c r="B4151" i="2"/>
  <c r="A4151" i="2"/>
  <c r="D4150" i="2"/>
  <c r="C4150" i="2"/>
  <c r="B4150" i="2"/>
  <c r="A4150" i="2"/>
  <c r="D4149" i="2"/>
  <c r="C4149" i="2"/>
  <c r="B4149" i="2"/>
  <c r="A4149" i="2"/>
  <c r="D4148" i="2"/>
  <c r="C4148" i="2"/>
  <c r="B4148" i="2"/>
  <c r="A4148" i="2"/>
  <c r="D4147" i="2"/>
  <c r="B4147" i="2"/>
  <c r="A4147" i="2"/>
  <c r="D4146" i="2"/>
  <c r="C4146" i="2"/>
  <c r="B4146" i="2"/>
  <c r="A4146" i="2"/>
  <c r="D4145" i="2"/>
  <c r="C4145" i="2"/>
  <c r="B4145" i="2"/>
  <c r="A4145" i="2"/>
  <c r="D4144" i="2"/>
  <c r="C4144" i="2"/>
  <c r="B4144" i="2"/>
  <c r="A4144" i="2"/>
  <c r="D4143" i="2"/>
  <c r="C4143" i="2"/>
  <c r="B4143" i="2"/>
  <c r="A4143" i="2"/>
  <c r="D4142" i="2"/>
  <c r="C4142" i="2"/>
  <c r="B4142" i="2"/>
  <c r="A4142" i="2"/>
  <c r="D4141" i="2"/>
  <c r="B4141" i="2"/>
  <c r="A4141" i="2"/>
  <c r="D4140" i="2"/>
  <c r="B4140" i="2"/>
  <c r="A4140" i="2"/>
  <c r="D4139" i="2"/>
  <c r="B4139" i="2"/>
  <c r="A4139" i="2"/>
  <c r="D4138" i="2"/>
  <c r="B4138" i="2"/>
  <c r="A4138" i="2"/>
  <c r="D4137" i="2"/>
  <c r="B4137" i="2"/>
  <c r="A4137" i="2"/>
  <c r="D4136" i="2"/>
  <c r="C4136" i="2"/>
  <c r="B4136" i="2"/>
  <c r="A4136" i="2"/>
  <c r="D4135" i="2"/>
  <c r="C4135" i="2"/>
  <c r="B4135" i="2"/>
  <c r="A4135" i="2"/>
  <c r="D4134" i="2"/>
  <c r="C4134" i="2"/>
  <c r="B4134" i="2"/>
  <c r="A4134" i="2"/>
  <c r="D4133" i="2"/>
  <c r="B4133" i="2"/>
  <c r="A4133" i="2"/>
  <c r="D4132" i="2"/>
  <c r="B4132" i="2"/>
  <c r="A4132" i="2"/>
  <c r="D4131" i="2"/>
  <c r="C4131" i="2"/>
  <c r="B4131" i="2"/>
  <c r="A4131" i="2"/>
  <c r="D4130" i="2"/>
  <c r="B4130" i="2"/>
  <c r="A4130" i="2"/>
  <c r="D4129" i="2"/>
  <c r="C4129" i="2"/>
  <c r="B4129" i="2"/>
  <c r="A4129" i="2"/>
  <c r="D4128" i="2"/>
  <c r="C4128" i="2"/>
  <c r="B4128" i="2"/>
  <c r="A4128" i="2"/>
  <c r="D4127" i="2"/>
  <c r="B4127" i="2"/>
  <c r="A4127" i="2"/>
  <c r="D4126" i="2"/>
  <c r="C4126" i="2"/>
  <c r="B4126" i="2"/>
  <c r="A4126" i="2"/>
  <c r="D4125" i="2"/>
  <c r="C4125" i="2"/>
  <c r="B4125" i="2"/>
  <c r="A4125" i="2"/>
  <c r="D4124" i="2"/>
  <c r="C4124" i="2"/>
  <c r="B4124" i="2"/>
  <c r="A4124" i="2"/>
  <c r="D4123" i="2"/>
  <c r="C4123" i="2"/>
  <c r="B4123" i="2"/>
  <c r="A4123" i="2"/>
  <c r="D4122" i="2"/>
  <c r="C4122" i="2"/>
  <c r="B4122" i="2"/>
  <c r="A4122" i="2"/>
  <c r="D4121" i="2"/>
  <c r="B4121" i="2"/>
  <c r="A4121" i="2"/>
  <c r="D4120" i="2"/>
  <c r="C4120" i="2"/>
  <c r="B4120" i="2"/>
  <c r="A4120" i="2"/>
  <c r="D4119" i="2"/>
  <c r="B4119" i="2"/>
  <c r="A4119" i="2"/>
  <c r="D4118" i="2"/>
  <c r="C4118" i="2"/>
  <c r="B4118" i="2"/>
  <c r="A4118" i="2"/>
  <c r="D4117" i="2"/>
  <c r="C4117" i="2"/>
  <c r="B4117" i="2"/>
  <c r="A4117" i="2"/>
  <c r="D4116" i="2"/>
  <c r="C4116" i="2"/>
  <c r="B4116" i="2"/>
  <c r="A4116" i="2"/>
  <c r="D4115" i="2"/>
  <c r="C4115" i="2"/>
  <c r="B4115" i="2"/>
  <c r="A4115" i="2"/>
  <c r="D4114" i="2"/>
  <c r="B4114" i="2"/>
  <c r="A4114" i="2"/>
  <c r="D4113" i="2"/>
  <c r="C4113" i="2"/>
  <c r="B4113" i="2"/>
  <c r="A4113" i="2"/>
  <c r="D4112" i="2"/>
  <c r="C4112" i="2"/>
  <c r="B4112" i="2"/>
  <c r="A4112" i="2"/>
  <c r="D4111" i="2"/>
  <c r="C4111" i="2"/>
  <c r="B4111" i="2"/>
  <c r="A4111" i="2"/>
  <c r="D4110" i="2"/>
  <c r="C4110" i="2"/>
  <c r="B4110" i="2"/>
  <c r="A4110" i="2"/>
  <c r="D4109" i="2"/>
  <c r="C4109" i="2"/>
  <c r="B4109" i="2"/>
  <c r="A4109" i="2"/>
  <c r="D4108" i="2"/>
  <c r="B4108" i="2"/>
  <c r="A4108" i="2"/>
  <c r="D4107" i="2"/>
  <c r="C4107" i="2"/>
  <c r="B4107" i="2"/>
  <c r="A4107" i="2"/>
  <c r="D4106" i="2"/>
  <c r="B4106" i="2"/>
  <c r="A4106" i="2"/>
  <c r="D4105" i="2"/>
  <c r="C4105" i="2"/>
  <c r="B4105" i="2"/>
  <c r="A4105" i="2"/>
  <c r="D4104" i="2"/>
  <c r="C4104" i="2"/>
  <c r="B4104" i="2"/>
  <c r="A4104" i="2"/>
  <c r="D4103" i="2"/>
  <c r="C4103" i="2"/>
  <c r="B4103" i="2"/>
  <c r="A4103" i="2"/>
  <c r="D4102" i="2"/>
  <c r="B4102" i="2"/>
  <c r="A4102" i="2"/>
  <c r="D4101" i="2"/>
  <c r="C4101" i="2"/>
  <c r="B4101" i="2"/>
  <c r="A4101" i="2"/>
  <c r="D4100" i="2"/>
  <c r="C4100" i="2"/>
  <c r="B4100" i="2"/>
  <c r="A4100" i="2"/>
  <c r="D4099" i="2"/>
  <c r="B4099" i="2"/>
  <c r="A4099" i="2"/>
  <c r="D4098" i="2"/>
  <c r="C4098" i="2"/>
  <c r="B4098" i="2"/>
  <c r="A4098" i="2"/>
  <c r="D4097" i="2"/>
  <c r="B4097" i="2"/>
  <c r="A4097" i="2"/>
  <c r="D4096" i="2"/>
  <c r="C4096" i="2"/>
  <c r="B4096" i="2"/>
  <c r="A4096" i="2"/>
  <c r="D4095" i="2"/>
  <c r="C4095" i="2"/>
  <c r="B4095" i="2"/>
  <c r="A4095" i="2"/>
  <c r="D4094" i="2"/>
  <c r="C4094" i="2"/>
  <c r="B4094" i="2"/>
  <c r="A4094" i="2"/>
  <c r="D4093" i="2"/>
  <c r="C4093" i="2"/>
  <c r="B4093" i="2"/>
  <c r="A4093" i="2"/>
  <c r="D4092" i="2"/>
  <c r="C4092" i="2"/>
  <c r="B4092" i="2"/>
  <c r="A4092" i="2"/>
  <c r="D4091" i="2"/>
  <c r="B4091" i="2"/>
  <c r="A4091" i="2"/>
  <c r="D4090" i="2"/>
  <c r="C4090" i="2"/>
  <c r="B4090" i="2"/>
  <c r="A4090" i="2"/>
  <c r="D4089" i="2"/>
  <c r="C4089" i="2"/>
  <c r="B4089" i="2"/>
  <c r="A4089" i="2"/>
  <c r="D4088" i="2"/>
  <c r="C4088" i="2"/>
  <c r="B4088" i="2"/>
  <c r="A4088" i="2"/>
  <c r="D4087" i="2"/>
  <c r="C4087" i="2"/>
  <c r="B4087" i="2"/>
  <c r="A4087" i="2"/>
  <c r="D4086" i="2"/>
  <c r="C4086" i="2"/>
  <c r="B4086" i="2"/>
  <c r="A4086" i="2"/>
  <c r="D4085" i="2"/>
  <c r="C4085" i="2"/>
  <c r="B4085" i="2"/>
  <c r="A4085" i="2"/>
  <c r="D4084" i="2"/>
  <c r="C4084" i="2"/>
  <c r="B4084" i="2"/>
  <c r="A4084" i="2"/>
  <c r="D4083" i="2"/>
  <c r="C4083" i="2"/>
  <c r="B4083" i="2"/>
  <c r="A4083" i="2"/>
  <c r="D4082" i="2"/>
  <c r="C4082" i="2"/>
  <c r="B4082" i="2"/>
  <c r="A4082" i="2"/>
  <c r="D4081" i="2"/>
  <c r="C4081" i="2"/>
  <c r="B4081" i="2"/>
  <c r="A4081" i="2"/>
  <c r="D4080" i="2"/>
  <c r="C4080" i="2"/>
  <c r="B4080" i="2"/>
  <c r="A4080" i="2"/>
  <c r="D4079" i="2"/>
  <c r="C4079" i="2"/>
  <c r="B4079" i="2"/>
  <c r="A4079" i="2"/>
  <c r="D4078" i="2"/>
  <c r="C4078" i="2"/>
  <c r="B4078" i="2"/>
  <c r="A4078" i="2"/>
  <c r="D4077" i="2"/>
  <c r="C4077" i="2"/>
  <c r="B4077" i="2"/>
  <c r="A4077" i="2"/>
  <c r="D4076" i="2"/>
  <c r="C4076" i="2"/>
  <c r="B4076" i="2"/>
  <c r="A4076" i="2"/>
  <c r="D4075" i="2"/>
  <c r="C4075" i="2"/>
  <c r="B4075" i="2"/>
  <c r="A4075" i="2"/>
  <c r="D4074" i="2"/>
  <c r="C4074" i="2"/>
  <c r="B4074" i="2"/>
  <c r="A4074" i="2"/>
  <c r="D4073" i="2"/>
  <c r="C4073" i="2"/>
  <c r="B4073" i="2"/>
  <c r="A4073" i="2"/>
  <c r="D4072" i="2"/>
  <c r="C4072" i="2"/>
  <c r="B4072" i="2"/>
  <c r="A4072" i="2"/>
  <c r="D4071" i="2"/>
  <c r="C4071" i="2"/>
  <c r="B4071" i="2"/>
  <c r="A4071" i="2"/>
  <c r="D4070" i="2"/>
  <c r="C4070" i="2"/>
  <c r="B4070" i="2"/>
  <c r="A4070" i="2"/>
  <c r="D4069" i="2"/>
  <c r="C4069" i="2"/>
  <c r="B4069" i="2"/>
  <c r="A4069" i="2"/>
  <c r="D4068" i="2"/>
  <c r="C4068" i="2"/>
  <c r="B4068" i="2"/>
  <c r="A4068" i="2"/>
  <c r="D4067" i="2"/>
  <c r="C4067" i="2"/>
  <c r="B4067" i="2"/>
  <c r="A4067" i="2"/>
  <c r="D4066" i="2"/>
  <c r="C4066" i="2"/>
  <c r="B4066" i="2"/>
  <c r="A4066" i="2"/>
  <c r="D4065" i="2"/>
  <c r="C4065" i="2"/>
  <c r="B4065" i="2"/>
  <c r="A4065" i="2"/>
  <c r="D4064" i="2"/>
  <c r="C4064" i="2"/>
  <c r="B4064" i="2"/>
  <c r="A4064" i="2"/>
  <c r="D4063" i="2"/>
  <c r="C4063" i="2"/>
  <c r="B4063" i="2"/>
  <c r="A4063" i="2"/>
  <c r="D4062" i="2"/>
  <c r="C4062" i="2"/>
  <c r="B4062" i="2"/>
  <c r="A4062" i="2"/>
  <c r="D4061" i="2"/>
  <c r="C4061" i="2"/>
  <c r="B4061" i="2"/>
  <c r="A4061" i="2"/>
  <c r="D4060" i="2"/>
  <c r="C4060" i="2"/>
  <c r="B4060" i="2"/>
  <c r="A4060" i="2"/>
  <c r="D4059" i="2"/>
  <c r="C4059" i="2"/>
  <c r="B4059" i="2"/>
  <c r="A4059" i="2"/>
  <c r="D4058" i="2"/>
  <c r="C4058" i="2"/>
  <c r="B4058" i="2"/>
  <c r="A4058" i="2"/>
  <c r="D4057" i="2"/>
  <c r="C4057" i="2"/>
  <c r="B4057" i="2"/>
  <c r="A4057" i="2"/>
  <c r="D4056" i="2"/>
  <c r="C4056" i="2"/>
  <c r="B4056" i="2"/>
  <c r="A4056" i="2"/>
  <c r="D4055" i="2"/>
  <c r="C4055" i="2"/>
  <c r="B4055" i="2"/>
  <c r="A4055" i="2"/>
  <c r="D4054" i="2"/>
  <c r="C4054" i="2"/>
  <c r="B4054" i="2"/>
  <c r="A4054" i="2"/>
  <c r="D4053" i="2"/>
  <c r="C4053" i="2"/>
  <c r="B4053" i="2"/>
  <c r="A4053" i="2"/>
  <c r="D4052" i="2"/>
  <c r="C4052" i="2"/>
  <c r="B4052" i="2"/>
  <c r="A4052" i="2"/>
  <c r="D4051" i="2"/>
  <c r="C4051" i="2"/>
  <c r="B4051" i="2"/>
  <c r="A4051" i="2"/>
  <c r="D4050" i="2"/>
  <c r="C4050" i="2"/>
  <c r="B4050" i="2"/>
  <c r="A4050" i="2"/>
  <c r="D4049" i="2"/>
  <c r="C4049" i="2"/>
  <c r="B4049" i="2"/>
  <c r="A4049" i="2"/>
  <c r="D4048" i="2"/>
  <c r="B4048" i="2"/>
  <c r="A4048" i="2"/>
  <c r="D4047" i="2"/>
  <c r="C4047" i="2"/>
  <c r="B4047" i="2"/>
  <c r="A4047" i="2"/>
  <c r="D4046" i="2"/>
  <c r="C4046" i="2"/>
  <c r="B4046" i="2"/>
  <c r="A4046" i="2"/>
  <c r="D4045" i="2"/>
  <c r="C4045" i="2"/>
  <c r="B4045" i="2"/>
  <c r="A4045" i="2"/>
  <c r="D4044" i="2"/>
  <c r="C4044" i="2"/>
  <c r="B4044" i="2"/>
  <c r="A4044" i="2"/>
  <c r="D4043" i="2"/>
  <c r="C4043" i="2"/>
  <c r="B4043" i="2"/>
  <c r="A4043" i="2"/>
  <c r="D4042" i="2"/>
  <c r="C4042" i="2"/>
  <c r="B4042" i="2"/>
  <c r="A4042" i="2"/>
  <c r="D4041" i="2"/>
  <c r="C4041" i="2"/>
  <c r="B4041" i="2"/>
  <c r="A4041" i="2"/>
  <c r="D4040" i="2"/>
  <c r="C4040" i="2"/>
  <c r="B4040" i="2"/>
  <c r="A4040" i="2"/>
  <c r="D4039" i="2"/>
  <c r="C4039" i="2"/>
  <c r="B4039" i="2"/>
  <c r="A4039" i="2"/>
  <c r="D4038" i="2"/>
  <c r="C4038" i="2"/>
  <c r="B4038" i="2"/>
  <c r="A4038" i="2"/>
  <c r="D4037" i="2"/>
  <c r="C4037" i="2"/>
  <c r="B4037" i="2"/>
  <c r="A4037" i="2"/>
  <c r="D4036" i="2"/>
  <c r="C4036" i="2"/>
  <c r="B4036" i="2"/>
  <c r="A4036" i="2"/>
  <c r="D4035" i="2"/>
  <c r="C4035" i="2"/>
  <c r="B4035" i="2"/>
  <c r="A4035" i="2"/>
  <c r="D4034" i="2"/>
  <c r="C4034" i="2"/>
  <c r="B4034" i="2"/>
  <c r="A4034" i="2"/>
  <c r="D4033" i="2"/>
  <c r="C4033" i="2"/>
  <c r="B4033" i="2"/>
  <c r="A4033" i="2"/>
  <c r="D4032" i="2"/>
  <c r="C4032" i="2"/>
  <c r="B4032" i="2"/>
  <c r="A4032" i="2"/>
  <c r="D4031" i="2"/>
  <c r="C4031" i="2"/>
  <c r="B4031" i="2"/>
  <c r="A4031" i="2"/>
  <c r="D4030" i="2"/>
  <c r="C4030" i="2"/>
  <c r="B4030" i="2"/>
  <c r="A4030" i="2"/>
  <c r="D4029" i="2"/>
  <c r="C4029" i="2"/>
  <c r="B4029" i="2"/>
  <c r="A4029" i="2"/>
  <c r="D4028" i="2"/>
  <c r="C4028" i="2"/>
  <c r="B4028" i="2"/>
  <c r="A4028" i="2"/>
  <c r="D4027" i="2"/>
  <c r="C4027" i="2"/>
  <c r="B4027" i="2"/>
  <c r="A4027" i="2"/>
  <c r="D4026" i="2"/>
  <c r="C4026" i="2"/>
  <c r="B4026" i="2"/>
  <c r="A4026" i="2"/>
  <c r="D4025" i="2"/>
  <c r="C4025" i="2"/>
  <c r="B4025" i="2"/>
  <c r="A4025" i="2"/>
  <c r="D4024" i="2"/>
  <c r="C4024" i="2"/>
  <c r="B4024" i="2"/>
  <c r="A4024" i="2"/>
  <c r="D4023" i="2"/>
  <c r="C4023" i="2"/>
  <c r="B4023" i="2"/>
  <c r="A4023" i="2"/>
  <c r="D4022" i="2"/>
  <c r="C4022" i="2"/>
  <c r="B4022" i="2"/>
  <c r="A4022" i="2"/>
  <c r="D4021" i="2"/>
  <c r="C4021" i="2"/>
  <c r="B4021" i="2"/>
  <c r="A4021" i="2"/>
  <c r="D4020" i="2"/>
  <c r="C4020" i="2"/>
  <c r="B4020" i="2"/>
  <c r="A4020" i="2"/>
  <c r="D4019" i="2"/>
  <c r="C4019" i="2"/>
  <c r="B4019" i="2"/>
  <c r="A4019" i="2"/>
  <c r="D4018" i="2"/>
  <c r="C4018" i="2"/>
  <c r="B4018" i="2"/>
  <c r="A4018" i="2"/>
  <c r="D4017" i="2"/>
  <c r="C4017" i="2"/>
  <c r="B4017" i="2"/>
  <c r="A4017" i="2"/>
  <c r="D4016" i="2"/>
  <c r="C4016" i="2"/>
  <c r="B4016" i="2"/>
  <c r="A4016" i="2"/>
  <c r="D4015" i="2"/>
  <c r="C4015" i="2"/>
  <c r="B4015" i="2"/>
  <c r="A4015" i="2"/>
  <c r="D4014" i="2"/>
  <c r="C4014" i="2"/>
  <c r="B4014" i="2"/>
  <c r="A4014" i="2"/>
  <c r="D4013" i="2"/>
  <c r="C4013" i="2"/>
  <c r="B4013" i="2"/>
  <c r="A4013" i="2"/>
  <c r="D4012" i="2"/>
  <c r="C4012" i="2"/>
  <c r="B4012" i="2"/>
  <c r="A4012" i="2"/>
  <c r="D4011" i="2"/>
  <c r="C4011" i="2"/>
  <c r="B4011" i="2"/>
  <c r="A4011" i="2"/>
  <c r="D4010" i="2"/>
  <c r="C4010" i="2"/>
  <c r="B4010" i="2"/>
  <c r="A4010" i="2"/>
  <c r="D4009" i="2"/>
  <c r="C4009" i="2"/>
  <c r="B4009" i="2"/>
  <c r="A4009" i="2"/>
  <c r="D4008" i="2"/>
  <c r="C4008" i="2"/>
  <c r="B4008" i="2"/>
  <c r="A4008" i="2"/>
  <c r="D4007" i="2"/>
  <c r="C4007" i="2"/>
  <c r="B4007" i="2"/>
  <c r="A4007" i="2"/>
  <c r="D4006" i="2"/>
  <c r="C4006" i="2"/>
  <c r="B4006" i="2"/>
  <c r="A4006" i="2"/>
  <c r="D4005" i="2"/>
  <c r="C4005" i="2"/>
  <c r="B4005" i="2"/>
  <c r="A4005" i="2"/>
  <c r="D4004" i="2"/>
  <c r="C4004" i="2"/>
  <c r="B4004" i="2"/>
  <c r="A4004" i="2"/>
  <c r="D4003" i="2"/>
  <c r="C4003" i="2"/>
  <c r="B4003" i="2"/>
  <c r="A4003" i="2"/>
  <c r="D4002" i="2"/>
  <c r="C4002" i="2"/>
  <c r="B4002" i="2"/>
  <c r="A4002" i="2"/>
  <c r="D4001" i="2"/>
  <c r="C4001" i="2"/>
  <c r="B4001" i="2"/>
  <c r="A4001" i="2"/>
  <c r="D4000" i="2"/>
  <c r="C4000" i="2"/>
  <c r="B4000" i="2"/>
  <c r="A4000" i="2"/>
  <c r="D3999" i="2"/>
  <c r="C3999" i="2"/>
  <c r="B3999" i="2"/>
  <c r="A3999" i="2"/>
  <c r="D3998" i="2"/>
  <c r="C3998" i="2"/>
  <c r="B3998" i="2"/>
  <c r="A3998" i="2"/>
  <c r="D3997" i="2"/>
  <c r="C3997" i="2"/>
  <c r="B3997" i="2"/>
  <c r="A3997" i="2"/>
  <c r="D3996" i="2"/>
  <c r="C3996" i="2"/>
  <c r="B3996" i="2"/>
  <c r="A3996" i="2"/>
  <c r="D3995" i="2"/>
  <c r="C3995" i="2"/>
  <c r="B3995" i="2"/>
  <c r="A3995" i="2"/>
  <c r="D3994" i="2"/>
  <c r="C3994" i="2"/>
  <c r="B3994" i="2"/>
  <c r="A3994" i="2"/>
  <c r="D3993" i="2"/>
  <c r="C3993" i="2"/>
  <c r="B3993" i="2"/>
  <c r="A3993" i="2"/>
  <c r="D3992" i="2"/>
  <c r="C3992" i="2"/>
  <c r="B3992" i="2"/>
  <c r="A3992" i="2"/>
  <c r="D3991" i="2"/>
  <c r="C3991" i="2"/>
  <c r="B3991" i="2"/>
  <c r="A3991" i="2"/>
  <c r="D3990" i="2"/>
  <c r="C3990" i="2"/>
  <c r="B3990" i="2"/>
  <c r="A3990" i="2"/>
  <c r="D3989" i="2"/>
  <c r="C3989" i="2"/>
  <c r="B3989" i="2"/>
  <c r="A3989" i="2"/>
  <c r="D3988" i="2"/>
  <c r="C3988" i="2"/>
  <c r="B3988" i="2"/>
  <c r="A3988" i="2"/>
  <c r="D3987" i="2"/>
  <c r="C3987" i="2"/>
  <c r="B3987" i="2"/>
  <c r="A3987" i="2"/>
  <c r="D3986" i="2"/>
  <c r="C3986" i="2"/>
  <c r="B3986" i="2"/>
  <c r="A3986" i="2"/>
  <c r="D3985" i="2"/>
  <c r="C3985" i="2"/>
  <c r="B3985" i="2"/>
  <c r="A3985" i="2"/>
  <c r="D3984" i="2"/>
  <c r="C3984" i="2"/>
  <c r="B3984" i="2"/>
  <c r="A3984" i="2"/>
  <c r="D3983" i="2"/>
  <c r="C3983" i="2"/>
  <c r="B3983" i="2"/>
  <c r="A3983" i="2"/>
  <c r="D3982" i="2"/>
  <c r="C3982" i="2"/>
  <c r="B3982" i="2"/>
  <c r="A3982" i="2"/>
  <c r="D3981" i="2"/>
  <c r="C3981" i="2"/>
  <c r="B3981" i="2"/>
  <c r="A3981" i="2"/>
  <c r="D3980" i="2"/>
  <c r="C3980" i="2"/>
  <c r="B3980" i="2"/>
  <c r="A3980" i="2"/>
  <c r="D3979" i="2"/>
  <c r="C3979" i="2"/>
  <c r="B3979" i="2"/>
  <c r="A3979" i="2"/>
  <c r="D3978" i="2"/>
  <c r="C3978" i="2"/>
  <c r="B3978" i="2"/>
  <c r="A3978" i="2"/>
  <c r="D3977" i="2"/>
  <c r="C3977" i="2"/>
  <c r="B3977" i="2"/>
  <c r="A3977" i="2"/>
  <c r="D3976" i="2"/>
  <c r="C3976" i="2"/>
  <c r="B3976" i="2"/>
  <c r="A3976" i="2"/>
  <c r="D3975" i="2"/>
  <c r="C3975" i="2"/>
  <c r="B3975" i="2"/>
  <c r="A3975" i="2"/>
  <c r="D3974" i="2"/>
  <c r="C3974" i="2"/>
  <c r="B3974" i="2"/>
  <c r="A3974" i="2"/>
  <c r="D3973" i="2"/>
  <c r="C3973" i="2"/>
  <c r="B3973" i="2"/>
  <c r="A3973" i="2"/>
  <c r="D3972" i="2"/>
  <c r="C3972" i="2"/>
  <c r="B3972" i="2"/>
  <c r="A3972" i="2"/>
  <c r="D3971" i="2"/>
  <c r="C3971" i="2"/>
  <c r="B3971" i="2"/>
  <c r="A3971" i="2"/>
  <c r="D3970" i="2"/>
  <c r="C3970" i="2"/>
  <c r="B3970" i="2"/>
  <c r="A3970" i="2"/>
  <c r="D3969" i="2"/>
  <c r="C3969" i="2"/>
  <c r="B3969" i="2"/>
  <c r="A3969" i="2"/>
  <c r="D3968" i="2"/>
  <c r="C3968" i="2"/>
  <c r="B3968" i="2"/>
  <c r="A3968" i="2"/>
  <c r="D3967" i="2"/>
  <c r="C3967" i="2"/>
  <c r="B3967" i="2"/>
  <c r="A3967" i="2"/>
  <c r="D3966" i="2"/>
  <c r="C3966" i="2"/>
  <c r="B3966" i="2"/>
  <c r="A3966" i="2"/>
  <c r="D3965" i="2"/>
  <c r="C3965" i="2"/>
  <c r="B3965" i="2"/>
  <c r="A3965" i="2"/>
  <c r="D3964" i="2"/>
  <c r="C3964" i="2"/>
  <c r="B3964" i="2"/>
  <c r="A3964" i="2"/>
  <c r="D3963" i="2"/>
  <c r="C3963" i="2"/>
  <c r="B3963" i="2"/>
  <c r="A3963" i="2"/>
  <c r="D3962" i="2"/>
  <c r="C3962" i="2"/>
  <c r="B3962" i="2"/>
  <c r="A3962" i="2"/>
  <c r="D3961" i="2"/>
  <c r="C3961" i="2"/>
  <c r="B3961" i="2"/>
  <c r="A3961" i="2"/>
  <c r="D3960" i="2"/>
  <c r="C3960" i="2"/>
  <c r="B3960" i="2"/>
  <c r="A3960" i="2"/>
  <c r="D3959" i="2"/>
  <c r="C3959" i="2"/>
  <c r="B3959" i="2"/>
  <c r="A3959" i="2"/>
  <c r="D3958" i="2"/>
  <c r="C3958" i="2"/>
  <c r="B3958" i="2"/>
  <c r="A3958" i="2"/>
  <c r="D3957" i="2"/>
  <c r="C3957" i="2"/>
  <c r="B3957" i="2"/>
  <c r="A3957" i="2"/>
  <c r="D3956" i="2"/>
  <c r="C3956" i="2"/>
  <c r="B3956" i="2"/>
  <c r="A3956" i="2"/>
  <c r="D3955" i="2"/>
  <c r="C3955" i="2"/>
  <c r="B3955" i="2"/>
  <c r="A3955" i="2"/>
  <c r="D3954" i="2"/>
  <c r="C3954" i="2"/>
  <c r="B3954" i="2"/>
  <c r="A3954" i="2"/>
  <c r="D3953" i="2"/>
  <c r="C3953" i="2"/>
  <c r="B3953" i="2"/>
  <c r="A3953" i="2"/>
  <c r="D3952" i="2"/>
  <c r="C3952" i="2"/>
  <c r="B3952" i="2"/>
  <c r="A3952" i="2"/>
  <c r="D3951" i="2"/>
  <c r="C3951" i="2"/>
  <c r="B3951" i="2"/>
  <c r="A3951" i="2"/>
  <c r="D3950" i="2"/>
  <c r="C3950" i="2"/>
  <c r="B3950" i="2"/>
  <c r="A3950" i="2"/>
  <c r="D3949" i="2"/>
  <c r="C3949" i="2"/>
  <c r="B3949" i="2"/>
  <c r="A3949" i="2"/>
  <c r="D3948" i="2"/>
  <c r="C3948" i="2"/>
  <c r="B3948" i="2"/>
  <c r="A3948" i="2"/>
  <c r="D3947" i="2"/>
  <c r="C3947" i="2"/>
  <c r="B3947" i="2"/>
  <c r="A3947" i="2"/>
  <c r="D3946" i="2"/>
  <c r="C3946" i="2"/>
  <c r="B3946" i="2"/>
  <c r="A3946" i="2"/>
  <c r="D3945" i="2"/>
  <c r="C3945" i="2"/>
  <c r="B3945" i="2"/>
  <c r="A3945" i="2"/>
  <c r="D3944" i="2"/>
  <c r="C3944" i="2"/>
  <c r="B3944" i="2"/>
  <c r="A3944" i="2"/>
  <c r="D3943" i="2"/>
  <c r="C3943" i="2"/>
  <c r="B3943" i="2"/>
  <c r="A3943" i="2"/>
  <c r="D3942" i="2"/>
  <c r="C3942" i="2"/>
  <c r="B3942" i="2"/>
  <c r="A3942" i="2"/>
  <c r="D3941" i="2"/>
  <c r="C3941" i="2"/>
  <c r="B3941" i="2"/>
  <c r="A3941" i="2"/>
  <c r="D3940" i="2"/>
  <c r="C3940" i="2"/>
  <c r="B3940" i="2"/>
  <c r="A3940" i="2"/>
  <c r="D3939" i="2"/>
  <c r="C3939" i="2"/>
  <c r="B3939" i="2"/>
  <c r="A3939" i="2"/>
  <c r="D3938" i="2"/>
  <c r="C3938" i="2"/>
  <c r="B3938" i="2"/>
  <c r="A3938" i="2"/>
  <c r="D3937" i="2"/>
  <c r="C3937" i="2"/>
  <c r="B3937" i="2"/>
  <c r="A3937" i="2"/>
  <c r="D3936" i="2"/>
  <c r="C3936" i="2"/>
  <c r="B3936" i="2"/>
  <c r="A3936" i="2"/>
  <c r="D3935" i="2"/>
  <c r="C3935" i="2"/>
  <c r="B3935" i="2"/>
  <c r="A3935" i="2"/>
  <c r="D3934" i="2"/>
  <c r="C3934" i="2"/>
  <c r="B3934" i="2"/>
  <c r="A3934" i="2"/>
  <c r="D3933" i="2"/>
  <c r="C3933" i="2"/>
  <c r="B3933" i="2"/>
  <c r="A3933" i="2"/>
  <c r="D3932" i="2"/>
  <c r="C3932" i="2"/>
  <c r="B3932" i="2"/>
  <c r="A3932" i="2"/>
  <c r="D3931" i="2"/>
  <c r="C3931" i="2"/>
  <c r="B3931" i="2"/>
  <c r="A3931" i="2"/>
  <c r="D3930" i="2"/>
  <c r="C3930" i="2"/>
  <c r="B3930" i="2"/>
  <c r="A3930" i="2"/>
  <c r="D3929" i="2"/>
  <c r="C3929" i="2"/>
  <c r="B3929" i="2"/>
  <c r="A3929" i="2"/>
  <c r="D3928" i="2"/>
  <c r="C3928" i="2"/>
  <c r="B3928" i="2"/>
  <c r="A3928" i="2"/>
  <c r="D3927" i="2"/>
  <c r="C3927" i="2"/>
  <c r="B3927" i="2"/>
  <c r="A3927" i="2"/>
  <c r="D3926" i="2"/>
  <c r="C3926" i="2"/>
  <c r="B3926" i="2"/>
  <c r="A3926" i="2"/>
  <c r="D3925" i="2"/>
  <c r="C3925" i="2"/>
  <c r="B3925" i="2"/>
  <c r="A3925" i="2"/>
  <c r="D3924" i="2"/>
  <c r="C3924" i="2"/>
  <c r="B3924" i="2"/>
  <c r="A3924" i="2"/>
  <c r="D3923" i="2"/>
  <c r="C3923" i="2"/>
  <c r="B3923" i="2"/>
  <c r="A3923" i="2"/>
  <c r="D3922" i="2"/>
  <c r="C3922" i="2"/>
  <c r="B3922" i="2"/>
  <c r="A3922" i="2"/>
  <c r="D3921" i="2"/>
  <c r="C3921" i="2"/>
  <c r="B3921" i="2"/>
  <c r="A3921" i="2"/>
  <c r="D3920" i="2"/>
  <c r="C3920" i="2"/>
  <c r="B3920" i="2"/>
  <c r="A3920" i="2"/>
  <c r="D3919" i="2"/>
  <c r="C3919" i="2"/>
  <c r="B3919" i="2"/>
  <c r="A3919" i="2"/>
  <c r="D3918" i="2"/>
  <c r="C3918" i="2"/>
  <c r="B3918" i="2"/>
  <c r="A3918" i="2"/>
  <c r="D3917" i="2"/>
  <c r="C3917" i="2"/>
  <c r="B3917" i="2"/>
  <c r="A3917" i="2"/>
  <c r="D3916" i="2"/>
  <c r="C3916" i="2"/>
  <c r="B3916" i="2"/>
  <c r="A3916" i="2"/>
  <c r="D3915" i="2"/>
  <c r="C3915" i="2"/>
  <c r="B3915" i="2"/>
  <c r="A3915" i="2"/>
  <c r="D3914" i="2"/>
  <c r="C3914" i="2"/>
  <c r="B3914" i="2"/>
  <c r="A3914" i="2"/>
  <c r="D3913" i="2"/>
  <c r="C3913" i="2"/>
  <c r="B3913" i="2"/>
  <c r="A3913" i="2"/>
  <c r="D3912" i="2"/>
  <c r="C3912" i="2"/>
  <c r="B3912" i="2"/>
  <c r="A3912" i="2"/>
  <c r="D3911" i="2"/>
  <c r="C3911" i="2"/>
  <c r="B3911" i="2"/>
  <c r="A3911" i="2"/>
  <c r="D3910" i="2"/>
  <c r="C3910" i="2"/>
  <c r="B3910" i="2"/>
  <c r="A3910" i="2"/>
  <c r="D3909" i="2"/>
  <c r="C3909" i="2"/>
  <c r="B3909" i="2"/>
  <c r="A3909" i="2"/>
  <c r="D3908" i="2"/>
  <c r="C3908" i="2"/>
  <c r="B3908" i="2"/>
  <c r="A3908" i="2"/>
  <c r="D3907" i="2"/>
  <c r="C3907" i="2"/>
  <c r="B3907" i="2"/>
  <c r="A3907" i="2"/>
  <c r="D3906" i="2"/>
  <c r="C3906" i="2"/>
  <c r="B3906" i="2"/>
  <c r="A3906" i="2"/>
  <c r="D3905" i="2"/>
  <c r="C3905" i="2"/>
  <c r="B3905" i="2"/>
  <c r="A3905" i="2"/>
  <c r="D3904" i="2"/>
  <c r="C3904" i="2"/>
  <c r="B3904" i="2"/>
  <c r="A3904" i="2"/>
  <c r="D3903" i="2"/>
  <c r="C3903" i="2"/>
  <c r="B3903" i="2"/>
  <c r="A3903" i="2"/>
  <c r="D3902" i="2"/>
  <c r="C3902" i="2"/>
  <c r="B3902" i="2"/>
  <c r="A3902" i="2"/>
  <c r="D3901" i="2"/>
  <c r="C3901" i="2"/>
  <c r="B3901" i="2"/>
  <c r="A3901" i="2"/>
  <c r="D3900" i="2"/>
  <c r="C3900" i="2"/>
  <c r="B3900" i="2"/>
  <c r="A3900" i="2"/>
  <c r="D3899" i="2"/>
  <c r="B3899" i="2"/>
  <c r="A3899" i="2"/>
  <c r="D3898" i="2"/>
  <c r="C3898" i="2"/>
  <c r="B3898" i="2"/>
  <c r="A3898" i="2"/>
  <c r="D3897" i="2"/>
  <c r="C3897" i="2"/>
  <c r="B3897" i="2"/>
  <c r="A3897" i="2"/>
  <c r="D3896" i="2"/>
  <c r="C3896" i="2"/>
  <c r="B3896" i="2"/>
  <c r="A3896" i="2"/>
  <c r="D3895" i="2"/>
  <c r="C3895" i="2"/>
  <c r="B3895" i="2"/>
  <c r="A3895" i="2"/>
  <c r="D3894" i="2"/>
  <c r="C3894" i="2"/>
  <c r="B3894" i="2"/>
  <c r="A3894" i="2"/>
  <c r="D3893" i="2"/>
  <c r="C3893" i="2"/>
  <c r="B3893" i="2"/>
  <c r="A3893" i="2"/>
  <c r="D3892" i="2"/>
  <c r="B3892" i="2"/>
  <c r="A3892" i="2"/>
  <c r="D3891" i="2"/>
  <c r="C3891" i="2"/>
  <c r="B3891" i="2"/>
  <c r="A3891" i="2"/>
  <c r="D3890" i="2"/>
  <c r="C3890" i="2"/>
  <c r="B3890" i="2"/>
  <c r="A3890" i="2"/>
  <c r="D3889" i="2"/>
  <c r="C3889" i="2"/>
  <c r="B3889" i="2"/>
  <c r="A3889" i="2"/>
  <c r="D3888" i="2"/>
  <c r="C3888" i="2"/>
  <c r="B3888" i="2"/>
  <c r="A3888" i="2"/>
  <c r="D3887" i="2"/>
  <c r="C3887" i="2"/>
  <c r="B3887" i="2"/>
  <c r="A3887" i="2"/>
  <c r="D3886" i="2"/>
  <c r="B3886" i="2"/>
  <c r="A3886" i="2"/>
  <c r="D3885" i="2"/>
  <c r="B3885" i="2"/>
  <c r="A3885" i="2"/>
  <c r="D3884" i="2"/>
  <c r="B3884" i="2"/>
  <c r="A3884" i="2"/>
  <c r="D3883" i="2"/>
  <c r="B3883" i="2"/>
  <c r="A3883" i="2"/>
  <c r="D3882" i="2"/>
  <c r="C3882" i="2"/>
  <c r="B3882" i="2"/>
  <c r="A3882" i="2"/>
  <c r="D3881" i="2"/>
  <c r="C3881" i="2"/>
  <c r="B3881" i="2"/>
  <c r="A3881" i="2"/>
  <c r="D3880" i="2"/>
  <c r="C3880" i="2"/>
  <c r="B3880" i="2"/>
  <c r="A3880" i="2"/>
  <c r="D3879" i="2"/>
  <c r="B3879" i="2"/>
  <c r="A3879" i="2"/>
  <c r="D3878" i="2"/>
  <c r="B3878" i="2"/>
  <c r="A3878" i="2"/>
  <c r="D3877" i="2"/>
  <c r="B3877" i="2"/>
  <c r="A3877" i="2"/>
  <c r="D3876" i="2"/>
  <c r="B3876" i="2"/>
  <c r="A3876" i="2"/>
  <c r="D3875" i="2"/>
  <c r="B3875" i="2"/>
  <c r="A3875" i="2"/>
  <c r="D3874" i="2"/>
  <c r="B3874" i="2"/>
  <c r="A3874" i="2"/>
  <c r="D3873" i="2"/>
  <c r="C3873" i="2"/>
  <c r="B3873" i="2"/>
  <c r="A3873" i="2"/>
  <c r="D3872" i="2"/>
  <c r="B3872" i="2"/>
  <c r="A3872" i="2"/>
  <c r="D3871" i="2"/>
  <c r="C3871" i="2"/>
  <c r="B3871" i="2"/>
  <c r="A3871" i="2"/>
  <c r="D3870" i="2"/>
  <c r="B3870" i="2"/>
  <c r="A3870" i="2"/>
  <c r="D3869" i="2"/>
  <c r="C3869" i="2"/>
  <c r="B3869" i="2"/>
  <c r="A3869" i="2"/>
  <c r="D3868" i="2"/>
  <c r="C3868" i="2"/>
  <c r="B3868" i="2"/>
  <c r="A3868" i="2"/>
  <c r="D3867" i="2"/>
  <c r="C3867" i="2"/>
  <c r="B3867" i="2"/>
  <c r="A3867" i="2"/>
  <c r="D3866" i="2"/>
  <c r="B3866" i="2"/>
  <c r="A3866" i="2"/>
  <c r="D3865" i="2"/>
  <c r="B3865" i="2"/>
  <c r="A3865" i="2"/>
  <c r="D3864" i="2"/>
  <c r="B3864" i="2"/>
  <c r="A3864" i="2"/>
  <c r="D3863" i="2"/>
  <c r="C3863" i="2"/>
  <c r="B3863" i="2"/>
  <c r="A3863" i="2"/>
  <c r="D3862" i="2"/>
  <c r="C3862" i="2"/>
  <c r="B3862" i="2"/>
  <c r="A3862" i="2"/>
  <c r="D3861" i="2"/>
  <c r="C3861" i="2"/>
  <c r="B3861" i="2"/>
  <c r="A3861" i="2"/>
  <c r="D3860" i="2"/>
  <c r="C3860" i="2"/>
  <c r="B3860" i="2"/>
  <c r="A3860" i="2"/>
  <c r="D3859" i="2"/>
  <c r="B3859" i="2"/>
  <c r="A3859" i="2"/>
  <c r="D3858" i="2"/>
  <c r="C3858" i="2"/>
  <c r="B3858" i="2"/>
  <c r="A3858" i="2"/>
  <c r="D3857" i="2"/>
  <c r="C3857" i="2"/>
  <c r="B3857" i="2"/>
  <c r="A3857" i="2"/>
  <c r="D3856" i="2"/>
  <c r="C3856" i="2"/>
  <c r="B3856" i="2"/>
  <c r="A3856" i="2"/>
  <c r="D3855" i="2"/>
  <c r="C3855" i="2"/>
  <c r="B3855" i="2"/>
  <c r="A3855" i="2"/>
  <c r="D3854" i="2"/>
  <c r="C3854" i="2"/>
  <c r="B3854" i="2"/>
  <c r="A3854" i="2"/>
  <c r="D3853" i="2"/>
  <c r="B3853" i="2"/>
  <c r="A3853" i="2"/>
  <c r="D3852" i="2"/>
  <c r="B3852" i="2"/>
  <c r="A3852" i="2"/>
  <c r="D3851" i="2"/>
  <c r="C3851" i="2"/>
  <c r="B3851" i="2"/>
  <c r="A3851" i="2"/>
  <c r="D3850" i="2"/>
  <c r="C3850" i="2"/>
  <c r="B3850" i="2"/>
  <c r="A3850" i="2"/>
  <c r="D3849" i="2"/>
  <c r="B3849" i="2"/>
  <c r="A3849" i="2"/>
  <c r="D3848" i="2"/>
  <c r="C3848" i="2"/>
  <c r="B3848" i="2"/>
  <c r="A3848" i="2"/>
  <c r="D3847" i="2"/>
  <c r="B3847" i="2"/>
  <c r="A3847" i="2"/>
  <c r="D3846" i="2"/>
  <c r="C3846" i="2"/>
  <c r="B3846" i="2"/>
  <c r="A3846" i="2"/>
  <c r="D3845" i="2"/>
  <c r="C3845" i="2"/>
  <c r="B3845" i="2"/>
  <c r="A3845" i="2"/>
  <c r="D3844" i="2"/>
  <c r="B3844" i="2"/>
  <c r="A3844" i="2"/>
  <c r="D3843" i="2"/>
  <c r="C3843" i="2"/>
  <c r="B3843" i="2"/>
  <c r="A3843" i="2"/>
  <c r="D3842" i="2"/>
  <c r="C3842" i="2"/>
  <c r="B3842" i="2"/>
  <c r="A3842" i="2"/>
  <c r="D3841" i="2"/>
  <c r="C3841" i="2"/>
  <c r="B3841" i="2"/>
  <c r="A3841" i="2"/>
  <c r="D3840" i="2"/>
  <c r="C3840" i="2"/>
  <c r="B3840" i="2"/>
  <c r="A3840" i="2"/>
  <c r="D3839" i="2"/>
  <c r="C3839" i="2"/>
  <c r="B3839" i="2"/>
  <c r="A3839" i="2"/>
  <c r="D3838" i="2"/>
  <c r="B3838" i="2"/>
  <c r="A3838" i="2"/>
  <c r="D3837" i="2"/>
  <c r="C3837" i="2"/>
  <c r="B3837" i="2"/>
  <c r="A3837" i="2"/>
  <c r="D3836" i="2"/>
  <c r="C3836" i="2"/>
  <c r="B3836" i="2"/>
  <c r="A3836" i="2"/>
  <c r="D3835" i="2"/>
  <c r="C3835" i="2"/>
  <c r="B3835" i="2"/>
  <c r="A3835" i="2"/>
  <c r="D3834" i="2"/>
  <c r="C3834" i="2"/>
  <c r="B3834" i="2"/>
  <c r="A3834" i="2"/>
  <c r="D3833" i="2"/>
  <c r="C3833" i="2"/>
  <c r="B3833" i="2"/>
  <c r="A3833" i="2"/>
  <c r="D3832" i="2"/>
  <c r="C3832" i="2"/>
  <c r="B3832" i="2"/>
  <c r="A3832" i="2"/>
  <c r="D3831" i="2"/>
  <c r="C3831" i="2"/>
  <c r="B3831" i="2"/>
  <c r="A3831" i="2"/>
  <c r="D3830" i="2"/>
  <c r="C3830" i="2"/>
  <c r="B3830" i="2"/>
  <c r="A3830" i="2"/>
  <c r="D3829" i="2"/>
  <c r="C3829" i="2"/>
  <c r="B3829" i="2"/>
  <c r="A3829" i="2"/>
  <c r="D3828" i="2"/>
  <c r="C3828" i="2"/>
  <c r="B3828" i="2"/>
  <c r="A3828" i="2"/>
  <c r="D3827" i="2"/>
  <c r="C3827" i="2"/>
  <c r="B3827" i="2"/>
  <c r="A3827" i="2"/>
  <c r="D3826" i="2"/>
  <c r="C3826" i="2"/>
  <c r="B3826" i="2"/>
  <c r="A3826" i="2"/>
  <c r="D3825" i="2"/>
  <c r="C3825" i="2"/>
  <c r="B3825" i="2"/>
  <c r="A3825" i="2"/>
  <c r="D3824" i="2"/>
  <c r="C3824" i="2"/>
  <c r="B3824" i="2"/>
  <c r="A3824" i="2"/>
  <c r="D3823" i="2"/>
  <c r="C3823" i="2"/>
  <c r="B3823" i="2"/>
  <c r="A3823" i="2"/>
  <c r="D3822" i="2"/>
  <c r="C3822" i="2"/>
  <c r="B3822" i="2"/>
  <c r="A3822" i="2"/>
  <c r="D3821" i="2"/>
  <c r="C3821" i="2"/>
  <c r="B3821" i="2"/>
  <c r="A3821" i="2"/>
  <c r="D3820" i="2"/>
  <c r="C3820" i="2"/>
  <c r="B3820" i="2"/>
  <c r="A3820" i="2"/>
  <c r="D3819" i="2"/>
  <c r="C3819" i="2"/>
  <c r="B3819" i="2"/>
  <c r="A3819" i="2"/>
  <c r="D3818" i="2"/>
  <c r="C3818" i="2"/>
  <c r="B3818" i="2"/>
  <c r="A3818" i="2"/>
  <c r="D3817" i="2"/>
  <c r="C3817" i="2"/>
  <c r="B3817" i="2"/>
  <c r="A3817" i="2"/>
  <c r="D3816" i="2"/>
  <c r="C3816" i="2"/>
  <c r="B3816" i="2"/>
  <c r="A3816" i="2"/>
  <c r="D3815" i="2"/>
  <c r="C3815" i="2"/>
  <c r="B3815" i="2"/>
  <c r="A3815" i="2"/>
  <c r="D3814" i="2"/>
  <c r="C3814" i="2"/>
  <c r="B3814" i="2"/>
  <c r="A3814" i="2"/>
  <c r="D3813" i="2"/>
  <c r="B3813" i="2"/>
  <c r="A3813" i="2"/>
  <c r="D3812" i="2"/>
  <c r="C3812" i="2"/>
  <c r="B3812" i="2"/>
  <c r="A3812" i="2"/>
  <c r="D3811" i="2"/>
  <c r="C3811" i="2"/>
  <c r="B3811" i="2"/>
  <c r="A3811" i="2"/>
  <c r="D3810" i="2"/>
  <c r="C3810" i="2"/>
  <c r="B3810" i="2"/>
  <c r="A3810" i="2"/>
  <c r="D3809" i="2"/>
  <c r="C3809" i="2"/>
  <c r="B3809" i="2"/>
  <c r="A3809" i="2"/>
  <c r="D3808" i="2"/>
  <c r="C3808" i="2"/>
  <c r="B3808" i="2"/>
  <c r="A3808" i="2"/>
  <c r="D3807" i="2"/>
  <c r="C3807" i="2"/>
  <c r="B3807" i="2"/>
  <c r="A3807" i="2"/>
  <c r="D3806" i="2"/>
  <c r="C3806" i="2"/>
  <c r="B3806" i="2"/>
  <c r="A3806" i="2"/>
  <c r="D3805" i="2"/>
  <c r="C3805" i="2"/>
  <c r="B3805" i="2"/>
  <c r="A3805" i="2"/>
  <c r="D3804" i="2"/>
  <c r="C3804" i="2"/>
  <c r="B3804" i="2"/>
  <c r="A3804" i="2"/>
  <c r="D3803" i="2"/>
  <c r="C3803" i="2"/>
  <c r="B3803" i="2"/>
  <c r="A3803" i="2"/>
  <c r="D3802" i="2"/>
  <c r="C3802" i="2"/>
  <c r="B3802" i="2"/>
  <c r="A3802" i="2"/>
  <c r="D3801" i="2"/>
  <c r="C3801" i="2"/>
  <c r="B3801" i="2"/>
  <c r="A3801" i="2"/>
  <c r="D3800" i="2"/>
  <c r="C3800" i="2"/>
  <c r="B3800" i="2"/>
  <c r="A3800" i="2"/>
  <c r="D3799" i="2"/>
  <c r="C3799" i="2"/>
  <c r="B3799" i="2"/>
  <c r="A3799" i="2"/>
  <c r="D3798" i="2"/>
  <c r="C3798" i="2"/>
  <c r="B3798" i="2"/>
  <c r="A3798" i="2"/>
  <c r="D3797" i="2"/>
  <c r="C3797" i="2"/>
  <c r="B3797" i="2"/>
  <c r="A3797" i="2"/>
  <c r="D3796" i="2"/>
  <c r="C3796" i="2"/>
  <c r="B3796" i="2"/>
  <c r="A3796" i="2"/>
  <c r="D3795" i="2"/>
  <c r="B3795" i="2"/>
  <c r="A3795" i="2"/>
  <c r="D3794" i="2"/>
  <c r="C3794" i="2"/>
  <c r="B3794" i="2"/>
  <c r="A3794" i="2"/>
  <c r="D3793" i="2"/>
  <c r="B3793" i="2"/>
  <c r="A3793" i="2"/>
  <c r="D3792" i="2"/>
  <c r="C3792" i="2"/>
  <c r="B3792" i="2"/>
  <c r="A3792" i="2"/>
  <c r="D3791" i="2"/>
  <c r="C3791" i="2"/>
  <c r="B3791" i="2"/>
  <c r="A3791" i="2"/>
  <c r="D3790" i="2"/>
  <c r="C3790" i="2"/>
  <c r="B3790" i="2"/>
  <c r="A3790" i="2"/>
  <c r="D3789" i="2"/>
  <c r="C3789" i="2"/>
  <c r="B3789" i="2"/>
  <c r="A3789" i="2"/>
  <c r="D3788" i="2"/>
  <c r="C3788" i="2"/>
  <c r="B3788" i="2"/>
  <c r="A3788" i="2"/>
  <c r="D3787" i="2"/>
  <c r="C3787" i="2"/>
  <c r="B3787" i="2"/>
  <c r="A3787" i="2"/>
  <c r="D3786" i="2"/>
  <c r="C3786" i="2"/>
  <c r="B3786" i="2"/>
  <c r="A3786" i="2"/>
  <c r="D3785" i="2"/>
  <c r="C3785" i="2"/>
  <c r="B3785" i="2"/>
  <c r="A3785" i="2"/>
  <c r="D3784" i="2"/>
  <c r="C3784" i="2"/>
  <c r="B3784" i="2"/>
  <c r="A3784" i="2"/>
  <c r="D3783" i="2"/>
  <c r="C3783" i="2"/>
  <c r="B3783" i="2"/>
  <c r="A3783" i="2"/>
  <c r="D3782" i="2"/>
  <c r="C3782" i="2"/>
  <c r="B3782" i="2"/>
  <c r="A3782" i="2"/>
  <c r="D3781" i="2"/>
  <c r="C3781" i="2"/>
  <c r="B3781" i="2"/>
  <c r="A3781" i="2"/>
  <c r="D3780" i="2"/>
  <c r="C3780" i="2"/>
  <c r="B3780" i="2"/>
  <c r="A3780" i="2"/>
  <c r="D3779" i="2"/>
  <c r="C3779" i="2"/>
  <c r="B3779" i="2"/>
  <c r="A3779" i="2"/>
  <c r="D3778" i="2"/>
  <c r="C3778" i="2"/>
  <c r="B3778" i="2"/>
  <c r="A3778" i="2"/>
  <c r="D3777" i="2"/>
  <c r="C3777" i="2"/>
  <c r="B3777" i="2"/>
  <c r="A3777" i="2"/>
  <c r="D3776" i="2"/>
  <c r="C3776" i="2"/>
  <c r="B3776" i="2"/>
  <c r="A3776" i="2"/>
  <c r="D3775" i="2"/>
  <c r="C3775" i="2"/>
  <c r="B3775" i="2"/>
  <c r="A3775" i="2"/>
  <c r="D3774" i="2"/>
  <c r="C3774" i="2"/>
  <c r="B3774" i="2"/>
  <c r="A3774" i="2"/>
  <c r="D3773" i="2"/>
  <c r="C3773" i="2"/>
  <c r="B3773" i="2"/>
  <c r="A3773" i="2"/>
  <c r="D3772" i="2"/>
  <c r="C3772" i="2"/>
  <c r="B3772" i="2"/>
  <c r="A3772" i="2"/>
  <c r="D3771" i="2"/>
  <c r="C3771" i="2"/>
  <c r="B3771" i="2"/>
  <c r="A3771" i="2"/>
  <c r="D3770" i="2"/>
  <c r="C3770" i="2"/>
  <c r="B3770" i="2"/>
  <c r="A3770" i="2"/>
  <c r="D3769" i="2"/>
  <c r="C3769" i="2"/>
  <c r="B3769" i="2"/>
  <c r="A3769" i="2"/>
  <c r="D3768" i="2"/>
  <c r="C3768" i="2"/>
  <c r="B3768" i="2"/>
  <c r="A3768" i="2"/>
  <c r="D3767" i="2"/>
  <c r="C3767" i="2"/>
  <c r="B3767" i="2"/>
  <c r="A3767" i="2"/>
  <c r="D3766" i="2"/>
  <c r="C3766" i="2"/>
  <c r="B3766" i="2"/>
  <c r="A3766" i="2"/>
  <c r="D3765" i="2"/>
  <c r="C3765" i="2"/>
  <c r="B3765" i="2"/>
  <c r="A3765" i="2"/>
  <c r="D3764" i="2"/>
  <c r="C3764" i="2"/>
  <c r="B3764" i="2"/>
  <c r="A3764" i="2"/>
  <c r="D3763" i="2"/>
  <c r="C3763" i="2"/>
  <c r="B3763" i="2"/>
  <c r="A3763" i="2"/>
  <c r="D3762" i="2"/>
  <c r="C3762" i="2"/>
  <c r="B3762" i="2"/>
  <c r="A3762" i="2"/>
  <c r="D3761" i="2"/>
  <c r="C3761" i="2"/>
  <c r="B3761" i="2"/>
  <c r="A3761" i="2"/>
  <c r="D3760" i="2"/>
  <c r="C3760" i="2"/>
  <c r="B3760" i="2"/>
  <c r="A3760" i="2"/>
  <c r="D3759" i="2"/>
  <c r="C3759" i="2"/>
  <c r="B3759" i="2"/>
  <c r="A3759" i="2"/>
  <c r="D3758" i="2"/>
  <c r="C3758" i="2"/>
  <c r="B3758" i="2"/>
  <c r="A3758" i="2"/>
  <c r="D3757" i="2"/>
  <c r="C3757" i="2"/>
  <c r="B3757" i="2"/>
  <c r="A3757" i="2"/>
  <c r="D3756" i="2"/>
  <c r="C3756" i="2"/>
  <c r="B3756" i="2"/>
  <c r="A3756" i="2"/>
  <c r="D3755" i="2"/>
  <c r="C3755" i="2"/>
  <c r="B3755" i="2"/>
  <c r="A3755" i="2"/>
  <c r="D3754" i="2"/>
  <c r="C3754" i="2"/>
  <c r="B3754" i="2"/>
  <c r="A3754" i="2"/>
  <c r="D3753" i="2"/>
  <c r="C3753" i="2"/>
  <c r="B3753" i="2"/>
  <c r="A3753" i="2"/>
  <c r="D3752" i="2"/>
  <c r="C3752" i="2"/>
  <c r="B3752" i="2"/>
  <c r="A3752" i="2"/>
  <c r="D3751" i="2"/>
  <c r="C3751" i="2"/>
  <c r="B3751" i="2"/>
  <c r="A3751" i="2"/>
  <c r="D3750" i="2"/>
  <c r="C3750" i="2"/>
  <c r="B3750" i="2"/>
  <c r="A3750" i="2"/>
  <c r="D3749" i="2"/>
  <c r="C3749" i="2"/>
  <c r="B3749" i="2"/>
  <c r="A3749" i="2"/>
  <c r="D3748" i="2"/>
  <c r="C3748" i="2"/>
  <c r="B3748" i="2"/>
  <c r="A3748" i="2"/>
  <c r="D3747" i="2"/>
  <c r="C3747" i="2"/>
  <c r="B3747" i="2"/>
  <c r="A3747" i="2"/>
  <c r="D3746" i="2"/>
  <c r="C3746" i="2"/>
  <c r="B3746" i="2"/>
  <c r="A3746" i="2"/>
  <c r="D3745" i="2"/>
  <c r="C3745" i="2"/>
  <c r="B3745" i="2"/>
  <c r="A3745" i="2"/>
  <c r="D3744" i="2"/>
  <c r="C3744" i="2"/>
  <c r="B3744" i="2"/>
  <c r="A3744" i="2"/>
  <c r="D3743" i="2"/>
  <c r="C3743" i="2"/>
  <c r="B3743" i="2"/>
  <c r="A3743" i="2"/>
  <c r="D3742" i="2"/>
  <c r="C3742" i="2"/>
  <c r="B3742" i="2"/>
  <c r="A3742" i="2"/>
  <c r="D3741" i="2"/>
  <c r="C3741" i="2"/>
  <c r="B3741" i="2"/>
  <c r="A3741" i="2"/>
  <c r="D3740" i="2"/>
  <c r="C3740" i="2"/>
  <c r="B3740" i="2"/>
  <c r="A3740" i="2"/>
  <c r="D3739" i="2"/>
  <c r="C3739" i="2"/>
  <c r="B3739" i="2"/>
  <c r="A3739" i="2"/>
  <c r="D3738" i="2"/>
  <c r="C3738" i="2"/>
  <c r="B3738" i="2"/>
  <c r="A3738" i="2"/>
  <c r="D3737" i="2"/>
  <c r="C3737" i="2"/>
  <c r="B3737" i="2"/>
  <c r="A3737" i="2"/>
  <c r="D3736" i="2"/>
  <c r="C3736" i="2"/>
  <c r="B3736" i="2"/>
  <c r="A3736" i="2"/>
  <c r="D3735" i="2"/>
  <c r="C3735" i="2"/>
  <c r="B3735" i="2"/>
  <c r="A3735" i="2"/>
  <c r="D3734" i="2"/>
  <c r="C3734" i="2"/>
  <c r="B3734" i="2"/>
  <c r="A3734" i="2"/>
  <c r="D3733" i="2"/>
  <c r="C3733" i="2"/>
  <c r="B3733" i="2"/>
  <c r="A3733" i="2"/>
  <c r="D3732" i="2"/>
  <c r="C3732" i="2"/>
  <c r="B3732" i="2"/>
  <c r="A3732" i="2"/>
  <c r="D3731" i="2"/>
  <c r="C3731" i="2"/>
  <c r="B3731" i="2"/>
  <c r="A3731" i="2"/>
  <c r="D3730" i="2"/>
  <c r="C3730" i="2"/>
  <c r="B3730" i="2"/>
  <c r="A3730" i="2"/>
  <c r="D3729" i="2"/>
  <c r="C3729" i="2"/>
  <c r="B3729" i="2"/>
  <c r="A3729" i="2"/>
  <c r="D3728" i="2"/>
  <c r="C3728" i="2"/>
  <c r="B3728" i="2"/>
  <c r="A3728" i="2"/>
  <c r="D3727" i="2"/>
  <c r="C3727" i="2"/>
  <c r="B3727" i="2"/>
  <c r="A3727" i="2"/>
  <c r="D3726" i="2"/>
  <c r="C3726" i="2"/>
  <c r="B3726" i="2"/>
  <c r="A3726" i="2"/>
  <c r="D3725" i="2"/>
  <c r="C3725" i="2"/>
  <c r="B3725" i="2"/>
  <c r="A3725" i="2"/>
  <c r="D3724" i="2"/>
  <c r="C3724" i="2"/>
  <c r="B3724" i="2"/>
  <c r="A3724" i="2"/>
  <c r="D3723" i="2"/>
  <c r="C3723" i="2"/>
  <c r="B3723" i="2"/>
  <c r="A3723" i="2"/>
  <c r="D3722" i="2"/>
  <c r="C3722" i="2"/>
  <c r="B3722" i="2"/>
  <c r="A3722" i="2"/>
  <c r="D3721" i="2"/>
  <c r="C3721" i="2"/>
  <c r="B3721" i="2"/>
  <c r="A3721" i="2"/>
  <c r="D3720" i="2"/>
  <c r="C3720" i="2"/>
  <c r="B3720" i="2"/>
  <c r="A3720" i="2"/>
  <c r="D3719" i="2"/>
  <c r="C3719" i="2"/>
  <c r="B3719" i="2"/>
  <c r="A3719" i="2"/>
  <c r="D3718" i="2"/>
  <c r="C3718" i="2"/>
  <c r="B3718" i="2"/>
  <c r="A3718" i="2"/>
  <c r="D3717" i="2"/>
  <c r="C3717" i="2"/>
  <c r="B3717" i="2"/>
  <c r="A3717" i="2"/>
  <c r="D3716" i="2"/>
  <c r="C3716" i="2"/>
  <c r="B3716" i="2"/>
  <c r="A3716" i="2"/>
  <c r="D3715" i="2"/>
  <c r="C3715" i="2"/>
  <c r="B3715" i="2"/>
  <c r="A3715" i="2"/>
  <c r="D3714" i="2"/>
  <c r="C3714" i="2"/>
  <c r="B3714" i="2"/>
  <c r="A3714" i="2"/>
  <c r="D3713" i="2"/>
  <c r="C3713" i="2"/>
  <c r="B3713" i="2"/>
  <c r="A3713" i="2"/>
  <c r="D3712" i="2"/>
  <c r="C3712" i="2"/>
  <c r="B3712" i="2"/>
  <c r="A3712" i="2"/>
  <c r="D3711" i="2"/>
  <c r="C3711" i="2"/>
  <c r="B3711" i="2"/>
  <c r="A3711" i="2"/>
  <c r="D3710" i="2"/>
  <c r="C3710" i="2"/>
  <c r="B3710" i="2"/>
  <c r="A3710" i="2"/>
  <c r="D3709" i="2"/>
  <c r="C3709" i="2"/>
  <c r="B3709" i="2"/>
  <c r="A3709" i="2"/>
  <c r="D3708" i="2"/>
  <c r="C3708" i="2"/>
  <c r="B3708" i="2"/>
  <c r="A3708" i="2"/>
  <c r="D3707" i="2"/>
  <c r="C3707" i="2"/>
  <c r="B3707" i="2"/>
  <c r="A3707" i="2"/>
  <c r="D3706" i="2"/>
  <c r="C3706" i="2"/>
  <c r="B3706" i="2"/>
  <c r="A3706" i="2"/>
  <c r="D3705" i="2"/>
  <c r="C3705" i="2"/>
  <c r="B3705" i="2"/>
  <c r="A3705" i="2"/>
  <c r="D3704" i="2"/>
  <c r="C3704" i="2"/>
  <c r="B3704" i="2"/>
  <c r="A3704" i="2"/>
  <c r="D3703" i="2"/>
  <c r="C3703" i="2"/>
  <c r="B3703" i="2"/>
  <c r="A3703" i="2"/>
  <c r="D3702" i="2"/>
  <c r="C3702" i="2"/>
  <c r="B3702" i="2"/>
  <c r="A3702" i="2"/>
  <c r="D3701" i="2"/>
  <c r="C3701" i="2"/>
  <c r="B3701" i="2"/>
  <c r="A3701" i="2"/>
  <c r="D3700" i="2"/>
  <c r="C3700" i="2"/>
  <c r="B3700" i="2"/>
  <c r="A3700" i="2"/>
  <c r="D3699" i="2"/>
  <c r="C3699" i="2"/>
  <c r="B3699" i="2"/>
  <c r="A3699" i="2"/>
  <c r="D3698" i="2"/>
  <c r="C3698" i="2"/>
  <c r="B3698" i="2"/>
  <c r="A3698" i="2"/>
  <c r="D3697" i="2"/>
  <c r="C3697" i="2"/>
  <c r="B3697" i="2"/>
  <c r="A3697" i="2"/>
  <c r="D3696" i="2"/>
  <c r="C3696" i="2"/>
  <c r="B3696" i="2"/>
  <c r="A3696" i="2"/>
  <c r="D3695" i="2"/>
  <c r="C3695" i="2"/>
  <c r="B3695" i="2"/>
  <c r="A3695" i="2"/>
  <c r="D3694" i="2"/>
  <c r="C3694" i="2"/>
  <c r="B3694" i="2"/>
  <c r="A3694" i="2"/>
  <c r="D3693" i="2"/>
  <c r="C3693" i="2"/>
  <c r="B3693" i="2"/>
  <c r="A3693" i="2"/>
  <c r="D3692" i="2"/>
  <c r="C3692" i="2"/>
  <c r="B3692" i="2"/>
  <c r="A3692" i="2"/>
  <c r="D3691" i="2"/>
  <c r="C3691" i="2"/>
  <c r="B3691" i="2"/>
  <c r="A3691" i="2"/>
  <c r="D3690" i="2"/>
  <c r="C3690" i="2"/>
  <c r="B3690" i="2"/>
  <c r="A3690" i="2"/>
  <c r="D3689" i="2"/>
  <c r="C3689" i="2"/>
  <c r="B3689" i="2"/>
  <c r="A3689" i="2"/>
  <c r="D3688" i="2"/>
  <c r="C3688" i="2"/>
  <c r="B3688" i="2"/>
  <c r="A3688" i="2"/>
  <c r="D3687" i="2"/>
  <c r="C3687" i="2"/>
  <c r="B3687" i="2"/>
  <c r="A3687" i="2"/>
  <c r="D3686" i="2"/>
  <c r="C3686" i="2"/>
  <c r="B3686" i="2"/>
  <c r="A3686" i="2"/>
  <c r="D3685" i="2"/>
  <c r="C3685" i="2"/>
  <c r="B3685" i="2"/>
  <c r="A3685" i="2"/>
  <c r="D3684" i="2"/>
  <c r="C3684" i="2"/>
  <c r="B3684" i="2"/>
  <c r="A3684" i="2"/>
  <c r="D3683" i="2"/>
  <c r="C3683" i="2"/>
  <c r="B3683" i="2"/>
  <c r="A3683" i="2"/>
  <c r="D3682" i="2"/>
  <c r="C3682" i="2"/>
  <c r="B3682" i="2"/>
  <c r="A3682" i="2"/>
  <c r="D3681" i="2"/>
  <c r="C3681" i="2"/>
  <c r="B3681" i="2"/>
  <c r="A3681" i="2"/>
  <c r="D3680" i="2"/>
  <c r="C3680" i="2"/>
  <c r="B3680" i="2"/>
  <c r="A3680" i="2"/>
  <c r="D3679" i="2"/>
  <c r="C3679" i="2"/>
  <c r="B3679" i="2"/>
  <c r="A3679" i="2"/>
  <c r="D3678" i="2"/>
  <c r="C3678" i="2"/>
  <c r="B3678" i="2"/>
  <c r="A3678" i="2"/>
  <c r="D3677" i="2"/>
  <c r="C3677" i="2"/>
  <c r="B3677" i="2"/>
  <c r="A3677" i="2"/>
  <c r="D3676" i="2"/>
  <c r="C3676" i="2"/>
  <c r="B3676" i="2"/>
  <c r="A3676" i="2"/>
  <c r="D3675" i="2"/>
  <c r="C3675" i="2"/>
  <c r="B3675" i="2"/>
  <c r="A3675" i="2"/>
  <c r="D3674" i="2"/>
  <c r="C3674" i="2"/>
  <c r="B3674" i="2"/>
  <c r="A3674" i="2"/>
  <c r="D3673" i="2"/>
  <c r="C3673" i="2"/>
  <c r="B3673" i="2"/>
  <c r="A3673" i="2"/>
  <c r="D3672" i="2"/>
  <c r="C3672" i="2"/>
  <c r="B3672" i="2"/>
  <c r="A3672" i="2"/>
  <c r="D3671" i="2"/>
  <c r="C3671" i="2"/>
  <c r="B3671" i="2"/>
  <c r="A3671" i="2"/>
  <c r="D3670" i="2"/>
  <c r="C3670" i="2"/>
  <c r="B3670" i="2"/>
  <c r="A3670" i="2"/>
  <c r="D3669" i="2"/>
  <c r="C3669" i="2"/>
  <c r="B3669" i="2"/>
  <c r="A3669" i="2"/>
  <c r="D3668" i="2"/>
  <c r="C3668" i="2"/>
  <c r="B3668" i="2"/>
  <c r="A3668" i="2"/>
  <c r="D3667" i="2"/>
  <c r="C3667" i="2"/>
  <c r="B3667" i="2"/>
  <c r="A3667" i="2"/>
  <c r="D3666" i="2"/>
  <c r="C3666" i="2"/>
  <c r="B3666" i="2"/>
  <c r="A3666" i="2"/>
  <c r="D3665" i="2"/>
  <c r="C3665" i="2"/>
  <c r="B3665" i="2"/>
  <c r="A3665" i="2"/>
  <c r="D3664" i="2"/>
  <c r="C3664" i="2"/>
  <c r="B3664" i="2"/>
  <c r="A3664" i="2"/>
  <c r="D3663" i="2"/>
  <c r="C3663" i="2"/>
  <c r="B3663" i="2"/>
  <c r="A3663" i="2"/>
  <c r="D3662" i="2"/>
  <c r="C3662" i="2"/>
  <c r="B3662" i="2"/>
  <c r="A3662" i="2"/>
  <c r="D3661" i="2"/>
  <c r="C3661" i="2"/>
  <c r="B3661" i="2"/>
  <c r="A3661" i="2"/>
  <c r="D3660" i="2"/>
  <c r="C3660" i="2"/>
  <c r="B3660" i="2"/>
  <c r="A3660" i="2"/>
  <c r="D3659" i="2"/>
  <c r="C3659" i="2"/>
  <c r="B3659" i="2"/>
  <c r="A3659" i="2"/>
  <c r="D3658" i="2"/>
  <c r="C3658" i="2"/>
  <c r="B3658" i="2"/>
  <c r="A3658" i="2"/>
  <c r="D3657" i="2"/>
  <c r="C3657" i="2"/>
  <c r="B3657" i="2"/>
  <c r="A3657" i="2"/>
  <c r="D3656" i="2"/>
  <c r="C3656" i="2"/>
  <c r="B3656" i="2"/>
  <c r="A3656" i="2"/>
  <c r="D3655" i="2"/>
  <c r="C3655" i="2"/>
  <c r="B3655" i="2"/>
  <c r="A3655" i="2"/>
  <c r="D3654" i="2"/>
  <c r="C3654" i="2"/>
  <c r="B3654" i="2"/>
  <c r="A3654" i="2"/>
  <c r="D3653" i="2"/>
  <c r="C3653" i="2"/>
  <c r="B3653" i="2"/>
  <c r="A3653" i="2"/>
  <c r="D3652" i="2"/>
  <c r="C3652" i="2"/>
  <c r="B3652" i="2"/>
  <c r="A3652" i="2"/>
  <c r="D3651" i="2"/>
  <c r="C3651" i="2"/>
  <c r="B3651" i="2"/>
  <c r="A3651" i="2"/>
  <c r="D3650" i="2"/>
  <c r="C3650" i="2"/>
  <c r="B3650" i="2"/>
  <c r="A3650" i="2"/>
  <c r="D3649" i="2"/>
  <c r="C3649" i="2"/>
  <c r="B3649" i="2"/>
  <c r="A3649" i="2"/>
  <c r="D3648" i="2"/>
  <c r="C3648" i="2"/>
  <c r="B3648" i="2"/>
  <c r="A3648" i="2"/>
  <c r="D3647" i="2"/>
  <c r="C3647" i="2"/>
  <c r="B3647" i="2"/>
  <c r="A3647" i="2"/>
  <c r="D3646" i="2"/>
  <c r="C3646" i="2"/>
  <c r="B3646" i="2"/>
  <c r="A3646" i="2"/>
  <c r="D3645" i="2"/>
  <c r="C3645" i="2"/>
  <c r="B3645" i="2"/>
  <c r="A3645" i="2"/>
  <c r="D3644" i="2"/>
  <c r="C3644" i="2"/>
  <c r="B3644" i="2"/>
  <c r="A3644" i="2"/>
  <c r="D3643" i="2"/>
  <c r="C3643" i="2"/>
  <c r="B3643" i="2"/>
  <c r="A3643" i="2"/>
  <c r="D3642" i="2"/>
  <c r="C3642" i="2"/>
  <c r="B3642" i="2"/>
  <c r="A3642" i="2"/>
  <c r="D3641" i="2"/>
  <c r="C3641" i="2"/>
  <c r="B3641" i="2"/>
  <c r="A3641" i="2"/>
  <c r="D3640" i="2"/>
  <c r="C3640" i="2"/>
  <c r="B3640" i="2"/>
  <c r="A3640" i="2"/>
  <c r="D3639" i="2"/>
  <c r="C3639" i="2"/>
  <c r="B3639" i="2"/>
  <c r="A3639" i="2"/>
  <c r="D3638" i="2"/>
  <c r="C3638" i="2"/>
  <c r="B3638" i="2"/>
  <c r="A3638" i="2"/>
  <c r="D3637" i="2"/>
  <c r="C3637" i="2"/>
  <c r="B3637" i="2"/>
  <c r="A3637" i="2"/>
  <c r="D3636" i="2"/>
  <c r="C3636" i="2"/>
  <c r="B3636" i="2"/>
  <c r="A3636" i="2"/>
  <c r="D3635" i="2"/>
  <c r="C3635" i="2"/>
  <c r="B3635" i="2"/>
  <c r="A3635" i="2"/>
  <c r="D3634" i="2"/>
  <c r="C3634" i="2"/>
  <c r="B3634" i="2"/>
  <c r="A3634" i="2"/>
  <c r="D3633" i="2"/>
  <c r="C3633" i="2"/>
  <c r="B3633" i="2"/>
  <c r="A3633" i="2"/>
  <c r="D3632" i="2"/>
  <c r="C3632" i="2"/>
  <c r="B3632" i="2"/>
  <c r="A3632" i="2"/>
  <c r="D3631" i="2"/>
  <c r="C3631" i="2"/>
  <c r="B3631" i="2"/>
  <c r="A3631" i="2"/>
  <c r="D3630" i="2"/>
  <c r="C3630" i="2"/>
  <c r="B3630" i="2"/>
  <c r="A3630" i="2"/>
  <c r="D3629" i="2"/>
  <c r="C3629" i="2"/>
  <c r="B3629" i="2"/>
  <c r="A3629" i="2"/>
  <c r="D3628" i="2"/>
  <c r="C3628" i="2"/>
  <c r="B3628" i="2"/>
  <c r="A3628" i="2"/>
  <c r="D3627" i="2"/>
  <c r="C3627" i="2"/>
  <c r="B3627" i="2"/>
  <c r="A3627" i="2"/>
  <c r="D3626" i="2"/>
  <c r="C3626" i="2"/>
  <c r="B3626" i="2"/>
  <c r="A3626" i="2"/>
  <c r="D3625" i="2"/>
  <c r="C3625" i="2"/>
  <c r="B3625" i="2"/>
  <c r="A3625" i="2"/>
  <c r="D3624" i="2"/>
  <c r="C3624" i="2"/>
  <c r="B3624" i="2"/>
  <c r="A3624" i="2"/>
  <c r="D3623" i="2"/>
  <c r="C3623" i="2"/>
  <c r="B3623" i="2"/>
  <c r="A3623" i="2"/>
  <c r="D3622" i="2"/>
  <c r="C3622" i="2"/>
  <c r="B3622" i="2"/>
  <c r="A3622" i="2"/>
  <c r="D3621" i="2"/>
  <c r="C3621" i="2"/>
  <c r="B3621" i="2"/>
  <c r="A3621" i="2"/>
  <c r="D3620" i="2"/>
  <c r="C3620" i="2"/>
  <c r="B3620" i="2"/>
  <c r="A3620" i="2"/>
  <c r="D3619" i="2"/>
  <c r="C3619" i="2"/>
  <c r="B3619" i="2"/>
  <c r="A3619" i="2"/>
  <c r="D3618" i="2"/>
  <c r="C3618" i="2"/>
  <c r="B3618" i="2"/>
  <c r="A3618" i="2"/>
  <c r="D3617" i="2"/>
  <c r="C3617" i="2"/>
  <c r="B3617" i="2"/>
  <c r="A3617" i="2"/>
  <c r="D3616" i="2"/>
  <c r="C3616" i="2"/>
  <c r="B3616" i="2"/>
  <c r="A3616" i="2"/>
  <c r="D3615" i="2"/>
  <c r="C3615" i="2"/>
  <c r="B3615" i="2"/>
  <c r="A3615" i="2"/>
  <c r="D3614" i="2"/>
  <c r="C3614" i="2"/>
  <c r="B3614" i="2"/>
  <c r="A3614" i="2"/>
  <c r="D3613" i="2"/>
  <c r="C3613" i="2"/>
  <c r="B3613" i="2"/>
  <c r="A3613" i="2"/>
  <c r="D3612" i="2"/>
  <c r="C3612" i="2"/>
  <c r="B3612" i="2"/>
  <c r="A3612" i="2"/>
  <c r="D3611" i="2"/>
  <c r="C3611" i="2"/>
  <c r="B3611" i="2"/>
  <c r="A3611" i="2"/>
  <c r="D3610" i="2"/>
  <c r="C3610" i="2"/>
  <c r="B3610" i="2"/>
  <c r="A3610" i="2"/>
  <c r="D3609" i="2"/>
  <c r="C3609" i="2"/>
  <c r="B3609" i="2"/>
  <c r="A3609" i="2"/>
  <c r="D3608" i="2"/>
  <c r="C3608" i="2"/>
  <c r="B3608" i="2"/>
  <c r="A3608" i="2"/>
  <c r="D3607" i="2"/>
  <c r="C3607" i="2"/>
  <c r="B3607" i="2"/>
  <c r="A3607" i="2"/>
  <c r="D3606" i="2"/>
  <c r="C3606" i="2"/>
  <c r="B3606" i="2"/>
  <c r="A3606" i="2"/>
  <c r="D3605" i="2"/>
  <c r="C3605" i="2"/>
  <c r="B3605" i="2"/>
  <c r="A3605" i="2"/>
  <c r="D3604" i="2"/>
  <c r="C3604" i="2"/>
  <c r="B3604" i="2"/>
  <c r="A3604" i="2"/>
  <c r="D3603" i="2"/>
  <c r="C3603" i="2"/>
  <c r="B3603" i="2"/>
  <c r="A3603" i="2"/>
  <c r="D3602" i="2"/>
  <c r="C3602" i="2"/>
  <c r="B3602" i="2"/>
  <c r="A3602" i="2"/>
  <c r="D3601" i="2"/>
  <c r="C3601" i="2"/>
  <c r="B3601" i="2"/>
  <c r="A3601" i="2"/>
  <c r="D3600" i="2"/>
  <c r="C3600" i="2"/>
  <c r="B3600" i="2"/>
  <c r="A3600" i="2"/>
  <c r="D3599" i="2"/>
  <c r="C3599" i="2"/>
  <c r="B3599" i="2"/>
  <c r="A3599" i="2"/>
  <c r="D3598" i="2"/>
  <c r="C3598" i="2"/>
  <c r="B3598" i="2"/>
  <c r="A3598" i="2"/>
  <c r="D3597" i="2"/>
  <c r="C3597" i="2"/>
  <c r="B3597" i="2"/>
  <c r="A3597" i="2"/>
  <c r="D3596" i="2"/>
  <c r="C3596" i="2"/>
  <c r="B3596" i="2"/>
  <c r="A3596" i="2"/>
  <c r="D3595" i="2"/>
  <c r="C3595" i="2"/>
  <c r="B3595" i="2"/>
  <c r="A3595" i="2"/>
  <c r="D3594" i="2"/>
  <c r="C3594" i="2"/>
  <c r="B3594" i="2"/>
  <c r="A3594" i="2"/>
  <c r="D3593" i="2"/>
  <c r="C3593" i="2"/>
  <c r="B3593" i="2"/>
  <c r="A3593" i="2"/>
  <c r="D3592" i="2"/>
  <c r="C3592" i="2"/>
  <c r="B3592" i="2"/>
  <c r="A3592" i="2"/>
  <c r="D3591" i="2"/>
  <c r="C3591" i="2"/>
  <c r="B3591" i="2"/>
  <c r="A3591" i="2"/>
  <c r="D3590" i="2"/>
  <c r="C3590" i="2"/>
  <c r="B3590" i="2"/>
  <c r="A3590" i="2"/>
  <c r="D3589" i="2"/>
  <c r="C3589" i="2"/>
  <c r="B3589" i="2"/>
  <c r="A3589" i="2"/>
  <c r="D3588" i="2"/>
  <c r="C3588" i="2"/>
  <c r="B3588" i="2"/>
  <c r="A3588" i="2"/>
  <c r="D3587" i="2"/>
  <c r="C3587" i="2"/>
  <c r="B3587" i="2"/>
  <c r="A3587" i="2"/>
  <c r="D3586" i="2"/>
  <c r="C3586" i="2"/>
  <c r="B3586" i="2"/>
  <c r="A3586" i="2"/>
  <c r="D3585" i="2"/>
  <c r="C3585" i="2"/>
  <c r="B3585" i="2"/>
  <c r="A3585" i="2"/>
  <c r="D3584" i="2"/>
  <c r="C3584" i="2"/>
  <c r="B3584" i="2"/>
  <c r="A3584" i="2"/>
  <c r="D3583" i="2"/>
  <c r="C3583" i="2"/>
  <c r="B3583" i="2"/>
  <c r="A3583" i="2"/>
  <c r="D3582" i="2"/>
  <c r="C3582" i="2"/>
  <c r="B3582" i="2"/>
  <c r="A3582" i="2"/>
  <c r="D3581" i="2"/>
  <c r="C3581" i="2"/>
  <c r="B3581" i="2"/>
  <c r="A3581" i="2"/>
  <c r="D3580" i="2"/>
  <c r="C3580" i="2"/>
  <c r="B3580" i="2"/>
  <c r="A3580" i="2"/>
  <c r="D3579" i="2"/>
  <c r="C3579" i="2"/>
  <c r="B3579" i="2"/>
  <c r="A3579" i="2"/>
  <c r="D3578" i="2"/>
  <c r="C3578" i="2"/>
  <c r="B3578" i="2"/>
  <c r="A3578" i="2"/>
  <c r="D3577" i="2"/>
  <c r="C3577" i="2"/>
  <c r="B3577" i="2"/>
  <c r="A3577" i="2"/>
  <c r="D3576" i="2"/>
  <c r="C3576" i="2"/>
  <c r="B3576" i="2"/>
  <c r="A3576" i="2"/>
  <c r="D3575" i="2"/>
  <c r="C3575" i="2"/>
  <c r="B3575" i="2"/>
  <c r="A3575" i="2"/>
  <c r="D3574" i="2"/>
  <c r="C3574" i="2"/>
  <c r="B3574" i="2"/>
  <c r="A3574" i="2"/>
  <c r="D3573" i="2"/>
  <c r="C3573" i="2"/>
  <c r="B3573" i="2"/>
  <c r="A3573" i="2"/>
  <c r="D3572" i="2"/>
  <c r="C3572" i="2"/>
  <c r="B3572" i="2"/>
  <c r="A3572" i="2"/>
  <c r="D3571" i="2"/>
  <c r="C3571" i="2"/>
  <c r="B3571" i="2"/>
  <c r="A3571" i="2"/>
  <c r="D3570" i="2"/>
  <c r="C3570" i="2"/>
  <c r="B3570" i="2"/>
  <c r="A3570" i="2"/>
  <c r="D3569" i="2"/>
  <c r="C3569" i="2"/>
  <c r="B3569" i="2"/>
  <c r="A3569" i="2"/>
  <c r="D3568" i="2"/>
  <c r="C3568" i="2"/>
  <c r="B3568" i="2"/>
  <c r="A3568" i="2"/>
  <c r="D3567" i="2"/>
  <c r="C3567" i="2"/>
  <c r="B3567" i="2"/>
  <c r="A3567" i="2"/>
  <c r="D3566" i="2"/>
  <c r="C3566" i="2"/>
  <c r="B3566" i="2"/>
  <c r="A3566" i="2"/>
  <c r="D3565" i="2"/>
  <c r="C3565" i="2"/>
  <c r="B3565" i="2"/>
  <c r="A3565" i="2"/>
  <c r="D3564" i="2"/>
  <c r="C3564" i="2"/>
  <c r="B3564" i="2"/>
  <c r="A3564" i="2"/>
  <c r="D3563" i="2"/>
  <c r="C3563" i="2"/>
  <c r="B3563" i="2"/>
  <c r="A3563" i="2"/>
  <c r="D3562" i="2"/>
  <c r="C3562" i="2"/>
  <c r="B3562" i="2"/>
  <c r="A3562" i="2"/>
  <c r="D3561" i="2"/>
  <c r="C3561" i="2"/>
  <c r="B3561" i="2"/>
  <c r="A3561" i="2"/>
  <c r="D3560" i="2"/>
  <c r="C3560" i="2"/>
  <c r="B3560" i="2"/>
  <c r="A3560" i="2"/>
  <c r="D3559" i="2"/>
  <c r="C3559" i="2"/>
  <c r="B3559" i="2"/>
  <c r="A3559" i="2"/>
  <c r="D3558" i="2"/>
  <c r="C3558" i="2"/>
  <c r="B3558" i="2"/>
  <c r="A3558" i="2"/>
  <c r="D3557" i="2"/>
  <c r="C3557" i="2"/>
  <c r="B3557" i="2"/>
  <c r="A3557" i="2"/>
  <c r="D3556" i="2"/>
  <c r="C3556" i="2"/>
  <c r="B3556" i="2"/>
  <c r="A3556" i="2"/>
  <c r="D3555" i="2"/>
  <c r="C3555" i="2"/>
  <c r="B3555" i="2"/>
  <c r="A3555" i="2"/>
  <c r="D3554" i="2"/>
  <c r="C3554" i="2"/>
  <c r="B3554" i="2"/>
  <c r="A3554" i="2"/>
  <c r="D3553" i="2"/>
  <c r="C3553" i="2"/>
  <c r="B3553" i="2"/>
  <c r="A3553" i="2"/>
  <c r="D3552" i="2"/>
  <c r="C3552" i="2"/>
  <c r="B3552" i="2"/>
  <c r="A3552" i="2"/>
  <c r="D3551" i="2"/>
  <c r="C3551" i="2"/>
  <c r="B3551" i="2"/>
  <c r="A3551" i="2"/>
  <c r="D3550" i="2"/>
  <c r="C3550" i="2"/>
  <c r="B3550" i="2"/>
  <c r="A3550" i="2"/>
  <c r="D3549" i="2"/>
  <c r="C3549" i="2"/>
  <c r="B3549" i="2"/>
  <c r="A3549" i="2"/>
  <c r="D3548" i="2"/>
  <c r="C3548" i="2"/>
  <c r="B3548" i="2"/>
  <c r="A3548" i="2"/>
  <c r="D3547" i="2"/>
  <c r="C3547" i="2"/>
  <c r="B3547" i="2"/>
  <c r="A3547" i="2"/>
  <c r="D3546" i="2"/>
  <c r="C3546" i="2"/>
  <c r="B3546" i="2"/>
  <c r="A3546" i="2"/>
  <c r="D3545" i="2"/>
  <c r="C3545" i="2"/>
  <c r="B3545" i="2"/>
  <c r="A3545" i="2"/>
  <c r="D3544" i="2"/>
  <c r="C3544" i="2"/>
  <c r="B3544" i="2"/>
  <c r="A3544" i="2"/>
  <c r="D3543" i="2"/>
  <c r="C3543" i="2"/>
  <c r="B3543" i="2"/>
  <c r="A3543" i="2"/>
  <c r="D3542" i="2"/>
  <c r="C3542" i="2"/>
  <c r="B3542" i="2"/>
  <c r="A3542" i="2"/>
  <c r="D3541" i="2"/>
  <c r="C3541" i="2"/>
  <c r="B3541" i="2"/>
  <c r="A3541" i="2"/>
  <c r="D3540" i="2"/>
  <c r="C3540" i="2"/>
  <c r="B3540" i="2"/>
  <c r="A3540" i="2"/>
  <c r="D3539" i="2"/>
  <c r="C3539" i="2"/>
  <c r="B3539" i="2"/>
  <c r="A3539" i="2"/>
  <c r="D3538" i="2"/>
  <c r="C3538" i="2"/>
  <c r="B3538" i="2"/>
  <c r="A3538" i="2"/>
  <c r="D3537" i="2"/>
  <c r="C3537" i="2"/>
  <c r="B3537" i="2"/>
  <c r="A3537" i="2"/>
  <c r="D3536" i="2"/>
  <c r="C3536" i="2"/>
  <c r="B3536" i="2"/>
  <c r="A3536" i="2"/>
  <c r="D3535" i="2"/>
  <c r="C3535" i="2"/>
  <c r="B3535" i="2"/>
  <c r="A3535" i="2"/>
  <c r="D3534" i="2"/>
  <c r="C3534" i="2"/>
  <c r="B3534" i="2"/>
  <c r="A3534" i="2"/>
  <c r="D3533" i="2"/>
  <c r="C3533" i="2"/>
  <c r="B3533" i="2"/>
  <c r="A3533" i="2"/>
  <c r="D3532" i="2"/>
  <c r="C3532" i="2"/>
  <c r="B3532" i="2"/>
  <c r="A3532" i="2"/>
  <c r="D3531" i="2"/>
  <c r="C3531" i="2"/>
  <c r="B3531" i="2"/>
  <c r="A3531" i="2"/>
  <c r="D3530" i="2"/>
  <c r="C3530" i="2"/>
  <c r="B3530" i="2"/>
  <c r="A3530" i="2"/>
  <c r="D3529" i="2"/>
  <c r="C3529" i="2"/>
  <c r="B3529" i="2"/>
  <c r="A3529" i="2"/>
  <c r="D3528" i="2"/>
  <c r="C3528" i="2"/>
  <c r="B3528" i="2"/>
  <c r="A3528" i="2"/>
  <c r="D3527" i="2"/>
  <c r="C3527" i="2"/>
  <c r="B3527" i="2"/>
  <c r="A3527" i="2"/>
  <c r="D3526" i="2"/>
  <c r="C3526" i="2"/>
  <c r="B3526" i="2"/>
  <c r="A3526" i="2"/>
  <c r="D3525" i="2"/>
  <c r="C3525" i="2"/>
  <c r="B3525" i="2"/>
  <c r="A3525" i="2"/>
  <c r="D3524" i="2"/>
  <c r="C3524" i="2"/>
  <c r="B3524" i="2"/>
  <c r="A3524" i="2"/>
  <c r="D3523" i="2"/>
  <c r="C3523" i="2"/>
  <c r="B3523" i="2"/>
  <c r="A3523" i="2"/>
  <c r="D3522" i="2"/>
  <c r="C3522" i="2"/>
  <c r="B3522" i="2"/>
  <c r="A3522" i="2"/>
  <c r="D3521" i="2"/>
  <c r="C3521" i="2"/>
  <c r="B3521" i="2"/>
  <c r="A3521" i="2"/>
  <c r="D3520" i="2"/>
  <c r="C3520" i="2"/>
  <c r="B3520" i="2"/>
  <c r="A3520" i="2"/>
  <c r="D3519" i="2"/>
  <c r="C3519" i="2"/>
  <c r="B3519" i="2"/>
  <c r="A3519" i="2"/>
  <c r="D3518" i="2"/>
  <c r="C3518" i="2"/>
  <c r="B3518" i="2"/>
  <c r="A3518" i="2"/>
  <c r="D3517" i="2"/>
  <c r="C3517" i="2"/>
  <c r="B3517" i="2"/>
  <c r="A3517" i="2"/>
  <c r="D3516" i="2"/>
  <c r="C3516" i="2"/>
  <c r="B3516" i="2"/>
  <c r="A3516" i="2"/>
  <c r="D3515" i="2"/>
  <c r="C3515" i="2"/>
  <c r="B3515" i="2"/>
  <c r="A3515" i="2"/>
  <c r="D3514" i="2"/>
  <c r="C3514" i="2"/>
  <c r="B3514" i="2"/>
  <c r="A3514" i="2"/>
  <c r="D3513" i="2"/>
  <c r="C3513" i="2"/>
  <c r="B3513" i="2"/>
  <c r="A3513" i="2"/>
  <c r="D3512" i="2"/>
  <c r="C3512" i="2"/>
  <c r="B3512" i="2"/>
  <c r="A3512" i="2"/>
  <c r="D3511" i="2"/>
  <c r="C3511" i="2"/>
  <c r="B3511" i="2"/>
  <c r="A3511" i="2"/>
  <c r="D3510" i="2"/>
  <c r="C3510" i="2"/>
  <c r="B3510" i="2"/>
  <c r="A3510" i="2"/>
  <c r="D3509" i="2"/>
  <c r="C3509" i="2"/>
  <c r="B3509" i="2"/>
  <c r="A3509" i="2"/>
  <c r="D3508" i="2"/>
  <c r="C3508" i="2"/>
  <c r="B3508" i="2"/>
  <c r="A3508" i="2"/>
  <c r="D3507" i="2"/>
  <c r="C3507" i="2"/>
  <c r="B3507" i="2"/>
  <c r="A3507" i="2"/>
  <c r="D3506" i="2"/>
  <c r="C3506" i="2"/>
  <c r="B3506" i="2"/>
  <c r="A3506" i="2"/>
  <c r="D3505" i="2"/>
  <c r="C3505" i="2"/>
  <c r="B3505" i="2"/>
  <c r="A3505" i="2"/>
  <c r="D3504" i="2"/>
  <c r="C3504" i="2"/>
  <c r="B3504" i="2"/>
  <c r="A3504" i="2"/>
  <c r="D3503" i="2"/>
  <c r="C3503" i="2"/>
  <c r="B3503" i="2"/>
  <c r="A3503" i="2"/>
  <c r="D3502" i="2"/>
  <c r="C3502" i="2"/>
  <c r="B3502" i="2"/>
  <c r="A3502" i="2"/>
  <c r="D3501" i="2"/>
  <c r="C3501" i="2"/>
  <c r="B3501" i="2"/>
  <c r="A3501" i="2"/>
  <c r="D3500" i="2"/>
  <c r="C3500" i="2"/>
  <c r="B3500" i="2"/>
  <c r="A3500" i="2"/>
  <c r="D3499" i="2"/>
  <c r="C3499" i="2"/>
  <c r="B3499" i="2"/>
  <c r="A3499" i="2"/>
  <c r="D3498" i="2"/>
  <c r="C3498" i="2"/>
  <c r="B3498" i="2"/>
  <c r="A3498" i="2"/>
  <c r="D3497" i="2"/>
  <c r="C3497" i="2"/>
  <c r="B3497" i="2"/>
  <c r="A3497" i="2"/>
  <c r="D3496" i="2"/>
  <c r="C3496" i="2"/>
  <c r="B3496" i="2"/>
  <c r="A3496" i="2"/>
  <c r="D3495" i="2"/>
  <c r="C3495" i="2"/>
  <c r="B3495" i="2"/>
  <c r="A3495" i="2"/>
  <c r="D3494" i="2"/>
  <c r="C3494" i="2"/>
  <c r="B3494" i="2"/>
  <c r="A3494" i="2"/>
  <c r="D3493" i="2"/>
  <c r="C3493" i="2"/>
  <c r="B3493" i="2"/>
  <c r="A3493" i="2"/>
  <c r="D3492" i="2"/>
  <c r="C3492" i="2"/>
  <c r="B3492" i="2"/>
  <c r="A3492" i="2"/>
  <c r="D3491" i="2"/>
  <c r="C3491" i="2"/>
  <c r="B3491" i="2"/>
  <c r="A3491" i="2"/>
  <c r="D3490" i="2"/>
  <c r="C3490" i="2"/>
  <c r="B3490" i="2"/>
  <c r="A3490" i="2"/>
  <c r="D3489" i="2"/>
  <c r="C3489" i="2"/>
  <c r="B3489" i="2"/>
  <c r="A3489" i="2"/>
  <c r="D3488" i="2"/>
  <c r="C3488" i="2"/>
  <c r="B3488" i="2"/>
  <c r="A3488" i="2"/>
  <c r="D3487" i="2"/>
  <c r="C3487" i="2"/>
  <c r="B3487" i="2"/>
  <c r="A3487" i="2"/>
  <c r="D3486" i="2"/>
  <c r="C3486" i="2"/>
  <c r="B3486" i="2"/>
  <c r="A3486" i="2"/>
  <c r="D3485" i="2"/>
  <c r="C3485" i="2"/>
  <c r="B3485" i="2"/>
  <c r="A3485" i="2"/>
  <c r="D3484" i="2"/>
  <c r="C3484" i="2"/>
  <c r="B3484" i="2"/>
  <c r="A3484" i="2"/>
  <c r="D3483" i="2"/>
  <c r="C3483" i="2"/>
  <c r="B3483" i="2"/>
  <c r="A3483" i="2"/>
  <c r="D3482" i="2"/>
  <c r="C3482" i="2"/>
  <c r="B3482" i="2"/>
  <c r="A3482" i="2"/>
  <c r="D3481" i="2"/>
  <c r="C3481" i="2"/>
  <c r="B3481" i="2"/>
  <c r="A3481" i="2"/>
  <c r="D3480" i="2"/>
  <c r="C3480" i="2"/>
  <c r="B3480" i="2"/>
  <c r="A3480" i="2"/>
  <c r="D3479" i="2"/>
  <c r="C3479" i="2"/>
  <c r="B3479" i="2"/>
  <c r="A3479" i="2"/>
  <c r="D3478" i="2"/>
  <c r="C3478" i="2"/>
  <c r="B3478" i="2"/>
  <c r="A3478" i="2"/>
  <c r="D3477" i="2"/>
  <c r="C3477" i="2"/>
  <c r="B3477" i="2"/>
  <c r="A3477" i="2"/>
  <c r="D3476" i="2"/>
  <c r="C3476" i="2"/>
  <c r="B3476" i="2"/>
  <c r="A3476" i="2"/>
  <c r="D3475" i="2"/>
  <c r="C3475" i="2"/>
  <c r="B3475" i="2"/>
  <c r="A3475" i="2"/>
  <c r="D3474" i="2"/>
  <c r="C3474" i="2"/>
  <c r="B3474" i="2"/>
  <c r="A3474" i="2"/>
  <c r="D3473" i="2"/>
  <c r="C3473" i="2"/>
  <c r="B3473" i="2"/>
  <c r="A3473" i="2"/>
  <c r="D3472" i="2"/>
  <c r="C3472" i="2"/>
  <c r="B3472" i="2"/>
  <c r="A3472" i="2"/>
  <c r="D3471" i="2"/>
  <c r="C3471" i="2"/>
  <c r="B3471" i="2"/>
  <c r="A3471" i="2"/>
  <c r="D3470" i="2"/>
  <c r="C3470" i="2"/>
  <c r="B3470" i="2"/>
  <c r="A3470" i="2"/>
  <c r="D3469" i="2"/>
  <c r="C3469" i="2"/>
  <c r="B3469" i="2"/>
  <c r="A3469" i="2"/>
  <c r="D3468" i="2"/>
  <c r="C3468" i="2"/>
  <c r="B3468" i="2"/>
  <c r="A3468" i="2"/>
  <c r="D3467" i="2"/>
  <c r="C3467" i="2"/>
  <c r="B3467" i="2"/>
  <c r="A3467" i="2"/>
  <c r="D3466" i="2"/>
  <c r="C3466" i="2"/>
  <c r="B3466" i="2"/>
  <c r="A3466" i="2"/>
  <c r="D3465" i="2"/>
  <c r="C3465" i="2"/>
  <c r="B3465" i="2"/>
  <c r="A3465" i="2"/>
  <c r="D3464" i="2"/>
  <c r="C3464" i="2"/>
  <c r="B3464" i="2"/>
  <c r="A3464" i="2"/>
  <c r="D3463" i="2"/>
  <c r="C3463" i="2"/>
  <c r="B3463" i="2"/>
  <c r="A3463" i="2"/>
  <c r="D3462" i="2"/>
  <c r="C3462" i="2"/>
  <c r="B3462" i="2"/>
  <c r="A3462" i="2"/>
  <c r="D3461" i="2"/>
  <c r="C3461" i="2"/>
  <c r="B3461" i="2"/>
  <c r="A3461" i="2"/>
  <c r="D3460" i="2"/>
  <c r="C3460" i="2"/>
  <c r="B3460" i="2"/>
  <c r="A3460" i="2"/>
  <c r="D3459" i="2"/>
  <c r="C3459" i="2"/>
  <c r="B3459" i="2"/>
  <c r="A3459" i="2"/>
  <c r="D3458" i="2"/>
  <c r="C3458" i="2"/>
  <c r="B3458" i="2"/>
  <c r="A3458" i="2"/>
  <c r="D3457" i="2"/>
  <c r="C3457" i="2"/>
  <c r="B3457" i="2"/>
  <c r="A3457" i="2"/>
  <c r="D3456" i="2"/>
  <c r="C3456" i="2"/>
  <c r="B3456" i="2"/>
  <c r="A3456" i="2"/>
  <c r="D3455" i="2"/>
  <c r="C3455" i="2"/>
  <c r="B3455" i="2"/>
  <c r="A3455" i="2"/>
  <c r="D3454" i="2"/>
  <c r="C3454" i="2"/>
  <c r="B3454" i="2"/>
  <c r="A3454" i="2"/>
  <c r="D3453" i="2"/>
  <c r="C3453" i="2"/>
  <c r="B3453" i="2"/>
  <c r="A3453" i="2"/>
  <c r="D3452" i="2"/>
  <c r="C3452" i="2"/>
  <c r="B3452" i="2"/>
  <c r="A3452" i="2"/>
  <c r="D3451" i="2"/>
  <c r="C3451" i="2"/>
  <c r="B3451" i="2"/>
  <c r="A3451" i="2"/>
  <c r="D3450" i="2"/>
  <c r="C3450" i="2"/>
  <c r="B3450" i="2"/>
  <c r="A3450" i="2"/>
  <c r="D3449" i="2"/>
  <c r="C3449" i="2"/>
  <c r="B3449" i="2"/>
  <c r="A3449" i="2"/>
  <c r="D3448" i="2"/>
  <c r="C3448" i="2"/>
  <c r="B3448" i="2"/>
  <c r="A3448" i="2"/>
  <c r="D3447" i="2"/>
  <c r="C3447" i="2"/>
  <c r="B3447" i="2"/>
  <c r="A3447" i="2"/>
  <c r="D3446" i="2"/>
  <c r="C3446" i="2"/>
  <c r="B3446" i="2"/>
  <c r="A3446" i="2"/>
  <c r="D3445" i="2"/>
  <c r="C3445" i="2"/>
  <c r="B3445" i="2"/>
  <c r="A3445" i="2"/>
  <c r="D3444" i="2"/>
  <c r="C3444" i="2"/>
  <c r="B3444" i="2"/>
  <c r="A3444" i="2"/>
  <c r="D3443" i="2"/>
  <c r="C3443" i="2"/>
  <c r="B3443" i="2"/>
  <c r="A3443" i="2"/>
  <c r="D3442" i="2"/>
  <c r="C3442" i="2"/>
  <c r="B3442" i="2"/>
  <c r="A3442" i="2"/>
  <c r="D3441" i="2"/>
  <c r="C3441" i="2"/>
  <c r="B3441" i="2"/>
  <c r="A3441" i="2"/>
  <c r="D3440" i="2"/>
  <c r="C3440" i="2"/>
  <c r="B3440" i="2"/>
  <c r="A3440" i="2"/>
  <c r="D3439" i="2"/>
  <c r="C3439" i="2"/>
  <c r="B3439" i="2"/>
  <c r="A3439" i="2"/>
  <c r="D3438" i="2"/>
  <c r="C3438" i="2"/>
  <c r="B3438" i="2"/>
  <c r="A3438" i="2"/>
  <c r="D3437" i="2"/>
  <c r="C3437" i="2"/>
  <c r="B3437" i="2"/>
  <c r="A3437" i="2"/>
  <c r="D3436" i="2"/>
  <c r="C3436" i="2"/>
  <c r="B3436" i="2"/>
  <c r="A3436" i="2"/>
  <c r="D3435" i="2"/>
  <c r="C3435" i="2"/>
  <c r="B3435" i="2"/>
  <c r="A3435" i="2"/>
  <c r="D3434" i="2"/>
  <c r="C3434" i="2"/>
  <c r="B3434" i="2"/>
  <c r="A3434" i="2"/>
  <c r="D3433" i="2"/>
  <c r="C3433" i="2"/>
  <c r="B3433" i="2"/>
  <c r="A3433" i="2"/>
  <c r="D3432" i="2"/>
  <c r="C3432" i="2"/>
  <c r="B3432" i="2"/>
  <c r="A3432" i="2"/>
  <c r="D3431" i="2"/>
  <c r="C3431" i="2"/>
  <c r="B3431" i="2"/>
  <c r="A3431" i="2"/>
  <c r="D3430" i="2"/>
  <c r="C3430" i="2"/>
  <c r="B3430" i="2"/>
  <c r="A3430" i="2"/>
  <c r="D3429" i="2"/>
  <c r="C3429" i="2"/>
  <c r="B3429" i="2"/>
  <c r="A3429" i="2"/>
  <c r="D3428" i="2"/>
  <c r="C3428" i="2"/>
  <c r="B3428" i="2"/>
  <c r="A3428" i="2"/>
  <c r="D3427" i="2"/>
  <c r="C3427" i="2"/>
  <c r="B3427" i="2"/>
  <c r="A3427" i="2"/>
  <c r="D3426" i="2"/>
  <c r="B3426" i="2"/>
  <c r="A3426" i="2"/>
  <c r="D3425" i="2"/>
  <c r="C3425" i="2"/>
  <c r="B3425" i="2"/>
  <c r="A3425" i="2"/>
  <c r="D3424" i="2"/>
  <c r="C3424" i="2"/>
  <c r="B3424" i="2"/>
  <c r="A3424" i="2"/>
  <c r="D3423" i="2"/>
  <c r="B3423" i="2"/>
  <c r="A3423" i="2"/>
  <c r="D3422" i="2"/>
  <c r="C3422" i="2"/>
  <c r="B3422" i="2"/>
  <c r="A3422" i="2"/>
  <c r="D3421" i="2"/>
  <c r="C3421" i="2"/>
  <c r="B3421" i="2"/>
  <c r="A3421" i="2"/>
  <c r="D3420" i="2"/>
  <c r="C3420" i="2"/>
  <c r="B3420" i="2"/>
  <c r="A3420" i="2"/>
  <c r="D3419" i="2"/>
  <c r="C3419" i="2"/>
  <c r="B3419" i="2"/>
  <c r="A3419" i="2"/>
  <c r="D3418" i="2"/>
  <c r="B3418" i="2"/>
  <c r="A3418" i="2"/>
  <c r="D3417" i="2"/>
  <c r="C3417" i="2"/>
  <c r="B3417" i="2"/>
  <c r="A3417" i="2"/>
  <c r="D3416" i="2"/>
  <c r="C3416" i="2"/>
  <c r="B3416" i="2"/>
  <c r="A3416" i="2"/>
  <c r="D3415" i="2"/>
  <c r="C3415" i="2"/>
  <c r="B3415" i="2"/>
  <c r="A3415" i="2"/>
  <c r="D3414" i="2"/>
  <c r="C3414" i="2"/>
  <c r="B3414" i="2"/>
  <c r="A3414" i="2"/>
  <c r="D3413" i="2"/>
  <c r="C3413" i="2"/>
  <c r="B3413" i="2"/>
  <c r="A3413" i="2"/>
  <c r="D3412" i="2"/>
  <c r="C3412" i="2"/>
  <c r="B3412" i="2"/>
  <c r="A3412" i="2"/>
  <c r="D3411" i="2"/>
  <c r="C3411" i="2"/>
  <c r="B3411" i="2"/>
  <c r="A3411" i="2"/>
  <c r="D3410" i="2"/>
  <c r="C3410" i="2"/>
  <c r="B3410" i="2"/>
  <c r="A3410" i="2"/>
  <c r="D3409" i="2"/>
  <c r="C3409" i="2"/>
  <c r="B3409" i="2"/>
  <c r="A3409" i="2"/>
  <c r="D3408" i="2"/>
  <c r="C3408" i="2"/>
  <c r="B3408" i="2"/>
  <c r="A3408" i="2"/>
  <c r="D3407" i="2"/>
  <c r="C3407" i="2"/>
  <c r="B3407" i="2"/>
  <c r="A3407" i="2"/>
  <c r="D3406" i="2"/>
  <c r="C3406" i="2"/>
  <c r="B3406" i="2"/>
  <c r="A3406" i="2"/>
  <c r="D3405" i="2"/>
  <c r="C3405" i="2"/>
  <c r="B3405" i="2"/>
  <c r="A3405" i="2"/>
  <c r="D3404" i="2"/>
  <c r="B3404" i="2"/>
  <c r="A3404" i="2"/>
  <c r="D3403" i="2"/>
  <c r="C3403" i="2"/>
  <c r="B3403" i="2"/>
  <c r="A3403" i="2"/>
  <c r="D3402" i="2"/>
  <c r="C3402" i="2"/>
  <c r="B3402" i="2"/>
  <c r="A3402" i="2"/>
  <c r="D3401" i="2"/>
  <c r="C3401" i="2"/>
  <c r="B3401" i="2"/>
  <c r="A3401" i="2"/>
  <c r="D3400" i="2"/>
  <c r="C3400" i="2"/>
  <c r="B3400" i="2"/>
  <c r="A3400" i="2"/>
  <c r="D3399" i="2"/>
  <c r="C3399" i="2"/>
  <c r="B3399" i="2"/>
  <c r="A3399" i="2"/>
  <c r="D3398" i="2"/>
  <c r="B3398" i="2"/>
  <c r="A3398" i="2"/>
  <c r="D3397" i="2"/>
  <c r="C3397" i="2"/>
  <c r="B3397" i="2"/>
  <c r="A3397" i="2"/>
  <c r="D3396" i="2"/>
  <c r="B3396" i="2"/>
  <c r="A3396" i="2"/>
  <c r="D3395" i="2"/>
  <c r="C3395" i="2"/>
  <c r="B3395" i="2"/>
  <c r="A3395" i="2"/>
  <c r="D3394" i="2"/>
  <c r="C3394" i="2"/>
  <c r="B3394" i="2"/>
  <c r="A3394" i="2"/>
  <c r="D3393" i="2"/>
  <c r="B3393" i="2"/>
  <c r="A3393" i="2"/>
  <c r="D3392" i="2"/>
  <c r="C3392" i="2"/>
  <c r="B3392" i="2"/>
  <c r="A3392" i="2"/>
  <c r="D3391" i="2"/>
  <c r="C3391" i="2"/>
  <c r="B3391" i="2"/>
  <c r="A3391" i="2"/>
  <c r="D3390" i="2"/>
  <c r="B3390" i="2"/>
  <c r="A3390" i="2"/>
  <c r="D3389" i="2"/>
  <c r="B3389" i="2"/>
  <c r="A3389" i="2"/>
  <c r="D3388" i="2"/>
  <c r="B3388" i="2"/>
  <c r="A3388" i="2"/>
  <c r="D3387" i="2"/>
  <c r="B3387" i="2"/>
  <c r="A3387" i="2"/>
  <c r="D3386" i="2"/>
  <c r="B3386" i="2"/>
  <c r="A3386" i="2"/>
  <c r="D3385" i="2"/>
  <c r="C3385" i="2"/>
  <c r="B3385" i="2"/>
  <c r="A3385" i="2"/>
  <c r="D3384" i="2"/>
  <c r="B3384" i="2"/>
  <c r="A3384" i="2"/>
  <c r="D3383" i="2"/>
  <c r="C3383" i="2"/>
  <c r="B3383" i="2"/>
  <c r="A3383" i="2"/>
  <c r="D3382" i="2"/>
  <c r="C3382" i="2"/>
  <c r="B3382" i="2"/>
  <c r="A3382" i="2"/>
  <c r="D3381" i="2"/>
  <c r="B3381" i="2"/>
  <c r="A3381" i="2"/>
  <c r="D3380" i="2"/>
  <c r="C3380" i="2"/>
  <c r="B3380" i="2"/>
  <c r="A3380" i="2"/>
  <c r="D3379" i="2"/>
  <c r="B3379" i="2"/>
  <c r="A3379" i="2"/>
  <c r="D3378" i="2"/>
  <c r="B3378" i="2"/>
  <c r="A3378" i="2"/>
  <c r="D3377" i="2"/>
  <c r="C3377" i="2"/>
  <c r="B3377" i="2"/>
  <c r="A3377" i="2"/>
  <c r="D3376" i="2"/>
  <c r="B3376" i="2"/>
  <c r="A3376" i="2"/>
  <c r="D3375" i="2"/>
  <c r="B3375" i="2"/>
  <c r="A3375" i="2"/>
  <c r="D3374" i="2"/>
  <c r="C3374" i="2"/>
  <c r="B3374" i="2"/>
  <c r="A3374" i="2"/>
  <c r="D3373" i="2"/>
  <c r="C3373" i="2"/>
  <c r="B3373" i="2"/>
  <c r="A3373" i="2"/>
  <c r="D3372" i="2"/>
  <c r="C3372" i="2"/>
  <c r="B3372" i="2"/>
  <c r="A3372" i="2"/>
  <c r="D3371" i="2"/>
  <c r="B3371" i="2"/>
  <c r="A3371" i="2"/>
  <c r="D3370" i="2"/>
  <c r="C3370" i="2"/>
  <c r="B3370" i="2"/>
  <c r="A3370" i="2"/>
  <c r="D3369" i="2"/>
  <c r="C3369" i="2"/>
  <c r="B3369" i="2"/>
  <c r="A3369" i="2"/>
  <c r="D3368" i="2"/>
  <c r="C3368" i="2"/>
  <c r="B3368" i="2"/>
  <c r="A3368" i="2"/>
  <c r="D3367" i="2"/>
  <c r="C3367" i="2"/>
  <c r="B3367" i="2"/>
  <c r="A3367" i="2"/>
  <c r="D3366" i="2"/>
  <c r="C3366" i="2"/>
  <c r="B3366" i="2"/>
  <c r="A3366" i="2"/>
  <c r="D3365" i="2"/>
  <c r="B3365" i="2"/>
  <c r="A3365" i="2"/>
  <c r="D3364" i="2"/>
  <c r="B3364" i="2"/>
  <c r="A3364" i="2"/>
  <c r="D3363" i="2"/>
  <c r="C3363" i="2"/>
  <c r="B3363" i="2"/>
  <c r="A3363" i="2"/>
  <c r="D3362" i="2"/>
  <c r="C3362" i="2"/>
  <c r="B3362" i="2"/>
  <c r="A3362" i="2"/>
  <c r="D3361" i="2"/>
  <c r="B3361" i="2"/>
  <c r="A3361" i="2"/>
  <c r="D3360" i="2"/>
  <c r="C3360" i="2"/>
  <c r="B3360" i="2"/>
  <c r="A3360" i="2"/>
  <c r="D3359" i="2"/>
  <c r="C3359" i="2"/>
  <c r="B3359" i="2"/>
  <c r="A3359" i="2"/>
  <c r="D3358" i="2"/>
  <c r="C3358" i="2"/>
  <c r="B3358" i="2"/>
  <c r="A3358" i="2"/>
  <c r="D3357" i="2"/>
  <c r="C3357" i="2"/>
  <c r="B3357" i="2"/>
  <c r="A3357" i="2"/>
  <c r="D3356" i="2"/>
  <c r="B3356" i="2"/>
  <c r="A3356" i="2"/>
  <c r="D3355" i="2"/>
  <c r="C3355" i="2"/>
  <c r="B3355" i="2"/>
  <c r="A3355" i="2"/>
  <c r="D3354" i="2"/>
  <c r="B3354" i="2"/>
  <c r="A3354" i="2"/>
  <c r="D3353" i="2"/>
  <c r="B3353" i="2"/>
  <c r="A3353" i="2"/>
  <c r="D3352" i="2"/>
  <c r="B3352" i="2"/>
  <c r="A3352" i="2"/>
  <c r="D3351" i="2"/>
  <c r="C3351" i="2"/>
  <c r="B3351" i="2"/>
  <c r="A3351" i="2"/>
  <c r="D3350" i="2"/>
  <c r="C3350" i="2"/>
  <c r="B3350" i="2"/>
  <c r="A3350" i="2"/>
  <c r="D3349" i="2"/>
  <c r="C3349" i="2"/>
  <c r="B3349" i="2"/>
  <c r="A3349" i="2"/>
  <c r="D3348" i="2"/>
  <c r="C3348" i="2"/>
  <c r="B3348" i="2"/>
  <c r="A3348" i="2"/>
  <c r="D3347" i="2"/>
  <c r="C3347" i="2"/>
  <c r="B3347" i="2"/>
  <c r="A3347" i="2"/>
  <c r="D3346" i="2"/>
  <c r="C3346" i="2"/>
  <c r="B3346" i="2"/>
  <c r="A3346" i="2"/>
  <c r="D3345" i="2"/>
  <c r="C3345" i="2"/>
  <c r="B3345" i="2"/>
  <c r="A3345" i="2"/>
  <c r="D3344" i="2"/>
  <c r="C3344" i="2"/>
  <c r="B3344" i="2"/>
  <c r="A3344" i="2"/>
  <c r="D3343" i="2"/>
  <c r="C3343" i="2"/>
  <c r="B3343" i="2"/>
  <c r="A3343" i="2"/>
  <c r="D3342" i="2"/>
  <c r="C3342" i="2"/>
  <c r="B3342" i="2"/>
  <c r="A3342" i="2"/>
  <c r="D3341" i="2"/>
  <c r="C3341" i="2"/>
  <c r="B3341" i="2"/>
  <c r="A3341" i="2"/>
  <c r="D3340" i="2"/>
  <c r="C3340" i="2"/>
  <c r="B3340" i="2"/>
  <c r="A3340" i="2"/>
  <c r="D3339" i="2"/>
  <c r="C3339" i="2"/>
  <c r="B3339" i="2"/>
  <c r="A3339" i="2"/>
  <c r="D3338" i="2"/>
  <c r="C3338" i="2"/>
  <c r="B3338" i="2"/>
  <c r="A3338" i="2"/>
  <c r="D3337" i="2"/>
  <c r="C3337" i="2"/>
  <c r="B3337" i="2"/>
  <c r="A3337" i="2"/>
  <c r="D3336" i="2"/>
  <c r="C3336" i="2"/>
  <c r="B3336" i="2"/>
  <c r="A3336" i="2"/>
  <c r="D3335" i="2"/>
  <c r="C3335" i="2"/>
  <c r="B3335" i="2"/>
  <c r="A3335" i="2"/>
  <c r="D3334" i="2"/>
  <c r="C3334" i="2"/>
  <c r="B3334" i="2"/>
  <c r="A3334" i="2"/>
  <c r="D3333" i="2"/>
  <c r="C3333" i="2"/>
  <c r="B3333" i="2"/>
  <c r="A3333" i="2"/>
  <c r="D3332" i="2"/>
  <c r="C3332" i="2"/>
  <c r="B3332" i="2"/>
  <c r="A3332" i="2"/>
  <c r="D3331" i="2"/>
  <c r="C3331" i="2"/>
  <c r="B3331" i="2"/>
  <c r="A3331" i="2"/>
  <c r="D3330" i="2"/>
  <c r="C3330" i="2"/>
  <c r="B3330" i="2"/>
  <c r="A3330" i="2"/>
  <c r="D3329" i="2"/>
  <c r="C3329" i="2"/>
  <c r="B3329" i="2"/>
  <c r="A3329" i="2"/>
  <c r="D3328" i="2"/>
  <c r="C3328" i="2"/>
  <c r="B3328" i="2"/>
  <c r="A3328" i="2"/>
  <c r="D3327" i="2"/>
  <c r="C3327" i="2"/>
  <c r="B3327" i="2"/>
  <c r="A3327" i="2"/>
  <c r="D3326" i="2"/>
  <c r="B3326" i="2"/>
  <c r="A3326" i="2"/>
  <c r="D3325" i="2"/>
  <c r="B3325" i="2"/>
  <c r="A3325" i="2"/>
  <c r="D3324" i="2"/>
  <c r="C3324" i="2"/>
  <c r="B3324" i="2"/>
  <c r="A3324" i="2"/>
  <c r="D3323" i="2"/>
  <c r="C3323" i="2"/>
  <c r="B3323" i="2"/>
  <c r="A3323" i="2"/>
  <c r="D3322" i="2"/>
  <c r="C3322" i="2"/>
  <c r="B3322" i="2"/>
  <c r="A3322" i="2"/>
  <c r="D3321" i="2"/>
  <c r="C3321" i="2"/>
  <c r="B3321" i="2"/>
  <c r="A3321" i="2"/>
  <c r="D3320" i="2"/>
  <c r="C3320" i="2"/>
  <c r="B3320" i="2"/>
  <c r="A3320" i="2"/>
  <c r="D3319" i="2"/>
  <c r="B3319" i="2"/>
  <c r="A3319" i="2"/>
  <c r="D3318" i="2"/>
  <c r="C3318" i="2"/>
  <c r="B3318" i="2"/>
  <c r="A3318" i="2"/>
  <c r="D3317" i="2"/>
  <c r="C3317" i="2"/>
  <c r="B3317" i="2"/>
  <c r="A3317" i="2"/>
  <c r="D3316" i="2"/>
  <c r="C3316" i="2"/>
  <c r="B3316" i="2"/>
  <c r="A3316" i="2"/>
  <c r="D3315" i="2"/>
  <c r="C3315" i="2"/>
  <c r="B3315" i="2"/>
  <c r="A3315" i="2"/>
  <c r="D3314" i="2"/>
  <c r="C3314" i="2"/>
  <c r="B3314" i="2"/>
  <c r="A3314" i="2"/>
  <c r="D3313" i="2"/>
  <c r="C3313" i="2"/>
  <c r="B3313" i="2"/>
  <c r="A3313" i="2"/>
  <c r="D3312" i="2"/>
  <c r="C3312" i="2"/>
  <c r="B3312" i="2"/>
  <c r="A3312" i="2"/>
  <c r="D3311" i="2"/>
  <c r="C3311" i="2"/>
  <c r="B3311" i="2"/>
  <c r="A3311" i="2"/>
  <c r="D3310" i="2"/>
  <c r="C3310" i="2"/>
  <c r="B3310" i="2"/>
  <c r="A3310" i="2"/>
  <c r="D3309" i="2"/>
  <c r="C3309" i="2"/>
  <c r="B3309" i="2"/>
  <c r="A3309" i="2"/>
  <c r="D3308" i="2"/>
  <c r="C3308" i="2"/>
  <c r="B3308" i="2"/>
  <c r="A3308" i="2"/>
  <c r="D3307" i="2"/>
  <c r="C3307" i="2"/>
  <c r="B3307" i="2"/>
  <c r="A3307" i="2"/>
  <c r="D3306" i="2"/>
  <c r="C3306" i="2"/>
  <c r="B3306" i="2"/>
  <c r="A3306" i="2"/>
  <c r="D3305" i="2"/>
  <c r="C3305" i="2"/>
  <c r="B3305" i="2"/>
  <c r="A3305" i="2"/>
  <c r="D3304" i="2"/>
  <c r="C3304" i="2"/>
  <c r="B3304" i="2"/>
  <c r="A3304" i="2"/>
  <c r="D3303" i="2"/>
  <c r="C3303" i="2"/>
  <c r="B3303" i="2"/>
  <c r="A3303" i="2"/>
  <c r="D3302" i="2"/>
  <c r="C3302" i="2"/>
  <c r="B3302" i="2"/>
  <c r="A3302" i="2"/>
  <c r="D3301" i="2"/>
  <c r="C3301" i="2"/>
  <c r="B3301" i="2"/>
  <c r="A3301" i="2"/>
  <c r="D3300" i="2"/>
  <c r="C3300" i="2"/>
  <c r="B3300" i="2"/>
  <c r="A3300" i="2"/>
  <c r="D3299" i="2"/>
  <c r="C3299" i="2"/>
  <c r="B3299" i="2"/>
  <c r="A3299" i="2"/>
  <c r="D3298" i="2"/>
  <c r="B3298" i="2"/>
  <c r="A3298" i="2"/>
  <c r="D3297" i="2"/>
  <c r="B3297" i="2"/>
  <c r="A3297" i="2"/>
  <c r="D3296" i="2"/>
  <c r="B3296" i="2"/>
  <c r="A3296" i="2"/>
  <c r="D3295" i="2"/>
  <c r="B3295" i="2"/>
  <c r="A3295" i="2"/>
  <c r="D3294" i="2"/>
  <c r="B3294" i="2"/>
  <c r="A3294" i="2"/>
  <c r="D3293" i="2"/>
  <c r="C3293" i="2"/>
  <c r="B3293" i="2"/>
  <c r="A3293" i="2"/>
  <c r="D3292" i="2"/>
  <c r="C3292" i="2"/>
  <c r="B3292" i="2"/>
  <c r="A3292" i="2"/>
  <c r="D3291" i="2"/>
  <c r="C3291" i="2"/>
  <c r="B3291" i="2"/>
  <c r="A3291" i="2"/>
  <c r="D3290" i="2"/>
  <c r="B3290" i="2"/>
  <c r="A3290" i="2"/>
  <c r="D3289" i="2"/>
  <c r="B3289" i="2"/>
  <c r="A3289" i="2"/>
  <c r="D3288" i="2"/>
  <c r="B3288" i="2"/>
  <c r="A3288" i="2"/>
  <c r="D3287" i="2"/>
  <c r="C3287" i="2"/>
  <c r="B3287" i="2"/>
  <c r="A3287" i="2"/>
  <c r="D3286" i="2"/>
  <c r="B3286" i="2"/>
  <c r="A3286" i="2"/>
  <c r="D3285" i="2"/>
  <c r="C3285" i="2"/>
  <c r="B3285" i="2"/>
  <c r="A3285" i="2"/>
  <c r="D3284" i="2"/>
  <c r="C3284" i="2"/>
  <c r="B3284" i="2"/>
  <c r="A3284" i="2"/>
  <c r="D3283" i="2"/>
  <c r="C3283" i="2"/>
  <c r="B3283" i="2"/>
  <c r="A3283" i="2"/>
  <c r="D3282" i="2"/>
  <c r="B3282" i="2"/>
  <c r="A3282" i="2"/>
  <c r="D3281" i="2"/>
  <c r="C3281" i="2"/>
  <c r="B3281" i="2"/>
  <c r="A3281" i="2"/>
  <c r="D3280" i="2"/>
  <c r="B3280" i="2"/>
  <c r="A3280" i="2"/>
  <c r="D3279" i="2"/>
  <c r="C3279" i="2"/>
  <c r="B3279" i="2"/>
  <c r="A3279" i="2"/>
  <c r="D3278" i="2"/>
  <c r="C3278" i="2"/>
  <c r="B3278" i="2"/>
  <c r="A3278" i="2"/>
  <c r="D3277" i="2"/>
  <c r="C3277" i="2"/>
  <c r="B3277" i="2"/>
  <c r="A3277" i="2"/>
  <c r="D3276" i="2"/>
  <c r="C3276" i="2"/>
  <c r="B3276" i="2"/>
  <c r="A3276" i="2"/>
  <c r="D3275" i="2"/>
  <c r="C3275" i="2"/>
  <c r="B3275" i="2"/>
  <c r="A3275" i="2"/>
  <c r="D3274" i="2"/>
  <c r="C3274" i="2"/>
  <c r="B3274" i="2"/>
  <c r="A3274" i="2"/>
  <c r="D3273" i="2"/>
  <c r="B3273" i="2"/>
  <c r="A3273" i="2"/>
  <c r="D3272" i="2"/>
  <c r="C3272" i="2"/>
  <c r="B3272" i="2"/>
  <c r="A3272" i="2"/>
  <c r="D3271" i="2"/>
  <c r="B3271" i="2"/>
  <c r="A3271" i="2"/>
  <c r="D3270" i="2"/>
  <c r="C3270" i="2"/>
  <c r="B3270" i="2"/>
  <c r="A3270" i="2"/>
  <c r="D3269" i="2"/>
  <c r="C3269" i="2"/>
  <c r="B3269" i="2"/>
  <c r="A3269" i="2"/>
  <c r="D3268" i="2"/>
  <c r="C3268" i="2"/>
  <c r="B3268" i="2"/>
  <c r="A3268" i="2"/>
  <c r="D3267" i="2"/>
  <c r="C3267" i="2"/>
  <c r="B3267" i="2"/>
  <c r="A3267" i="2"/>
  <c r="D3266" i="2"/>
  <c r="C3266" i="2"/>
  <c r="B3266" i="2"/>
  <c r="A3266" i="2"/>
  <c r="D3265" i="2"/>
  <c r="C3265" i="2"/>
  <c r="B3265" i="2"/>
  <c r="A3265" i="2"/>
  <c r="D3264" i="2"/>
  <c r="B3264" i="2"/>
  <c r="A3264" i="2"/>
  <c r="D3263" i="2"/>
  <c r="C3263" i="2"/>
  <c r="B3263" i="2"/>
  <c r="A3263" i="2"/>
  <c r="D3262" i="2"/>
  <c r="C3262" i="2"/>
  <c r="B3262" i="2"/>
  <c r="A3262" i="2"/>
  <c r="D3261" i="2"/>
  <c r="C3261" i="2"/>
  <c r="B3261" i="2"/>
  <c r="A3261" i="2"/>
  <c r="D3260" i="2"/>
  <c r="B3260" i="2"/>
  <c r="A3260" i="2"/>
  <c r="D3259" i="2"/>
  <c r="B3259" i="2"/>
  <c r="A3259" i="2"/>
  <c r="D3258" i="2"/>
  <c r="C3258" i="2"/>
  <c r="B3258" i="2"/>
  <c r="A3258" i="2"/>
  <c r="D3257" i="2"/>
  <c r="C3257" i="2"/>
  <c r="B3257" i="2"/>
  <c r="A3257" i="2"/>
  <c r="D3256" i="2"/>
  <c r="B3256" i="2"/>
  <c r="A3256" i="2"/>
  <c r="D3255" i="2"/>
  <c r="C3255" i="2"/>
  <c r="B3255" i="2"/>
  <c r="A3255" i="2"/>
  <c r="D3254" i="2"/>
  <c r="C3254" i="2"/>
  <c r="B3254" i="2"/>
  <c r="A3254" i="2"/>
  <c r="D3253" i="2"/>
  <c r="C3253" i="2"/>
  <c r="B3253" i="2"/>
  <c r="A3253" i="2"/>
  <c r="D3252" i="2"/>
  <c r="C3252" i="2"/>
  <c r="B3252" i="2"/>
  <c r="A3252" i="2"/>
  <c r="D3251" i="2"/>
  <c r="C3251" i="2"/>
  <c r="B3251" i="2"/>
  <c r="A3251" i="2"/>
  <c r="D3250" i="2"/>
  <c r="C3250" i="2"/>
  <c r="B3250" i="2"/>
  <c r="A3250" i="2"/>
  <c r="D3249" i="2"/>
  <c r="C3249" i="2"/>
  <c r="B3249" i="2"/>
  <c r="A3249" i="2"/>
  <c r="D3248" i="2"/>
  <c r="B3248" i="2"/>
  <c r="A3248" i="2"/>
  <c r="D3247" i="2"/>
  <c r="C3247" i="2"/>
  <c r="B3247" i="2"/>
  <c r="A3247" i="2"/>
  <c r="D3246" i="2"/>
  <c r="C3246" i="2"/>
  <c r="B3246" i="2"/>
  <c r="A3246" i="2"/>
  <c r="D3245" i="2"/>
  <c r="C3245" i="2"/>
  <c r="B3245" i="2"/>
  <c r="A3245" i="2"/>
  <c r="D3244" i="2"/>
  <c r="C3244" i="2"/>
  <c r="B3244" i="2"/>
  <c r="A3244" i="2"/>
  <c r="D3243" i="2"/>
  <c r="C3243" i="2"/>
  <c r="B3243" i="2"/>
  <c r="A3243" i="2"/>
  <c r="D3242" i="2"/>
  <c r="C3242" i="2"/>
  <c r="B3242" i="2"/>
  <c r="A3242" i="2"/>
  <c r="D3241" i="2"/>
  <c r="C3241" i="2"/>
  <c r="B3241" i="2"/>
  <c r="A3241" i="2"/>
  <c r="D3240" i="2"/>
  <c r="C3240" i="2"/>
  <c r="B3240" i="2"/>
  <c r="A3240" i="2"/>
  <c r="D3239" i="2"/>
  <c r="C3239" i="2"/>
  <c r="B3239" i="2"/>
  <c r="A3239" i="2"/>
  <c r="D3238" i="2"/>
  <c r="C3238" i="2"/>
  <c r="B3238" i="2"/>
  <c r="A3238" i="2"/>
  <c r="D3237" i="2"/>
  <c r="B3237" i="2"/>
  <c r="A3237" i="2"/>
  <c r="D3236" i="2"/>
  <c r="C3236" i="2"/>
  <c r="B3236" i="2"/>
  <c r="A3236" i="2"/>
  <c r="D3235" i="2"/>
  <c r="C3235" i="2"/>
  <c r="B3235" i="2"/>
  <c r="A3235" i="2"/>
  <c r="D3234" i="2"/>
  <c r="C3234" i="2"/>
  <c r="B3234" i="2"/>
  <c r="A3234" i="2"/>
  <c r="D3233" i="2"/>
  <c r="C3233" i="2"/>
  <c r="B3233" i="2"/>
  <c r="A3233" i="2"/>
  <c r="D3232" i="2"/>
  <c r="C3232" i="2"/>
  <c r="B3232" i="2"/>
  <c r="A3232" i="2"/>
  <c r="D3231" i="2"/>
  <c r="C3231" i="2"/>
  <c r="B3231" i="2"/>
  <c r="A3231" i="2"/>
  <c r="D3230" i="2"/>
  <c r="C3230" i="2"/>
  <c r="B3230" i="2"/>
  <c r="A3230" i="2"/>
  <c r="D3229" i="2"/>
  <c r="C3229" i="2"/>
  <c r="B3229" i="2"/>
  <c r="A3229" i="2"/>
  <c r="D3228" i="2"/>
  <c r="C3228" i="2"/>
  <c r="B3228" i="2"/>
  <c r="A3228" i="2"/>
  <c r="D3227" i="2"/>
  <c r="C3227" i="2"/>
  <c r="B3227" i="2"/>
  <c r="A3227" i="2"/>
  <c r="D3226" i="2"/>
  <c r="C3226" i="2"/>
  <c r="B3226" i="2"/>
  <c r="A3226" i="2"/>
  <c r="D3225" i="2"/>
  <c r="B3225" i="2"/>
  <c r="A3225" i="2"/>
  <c r="D3224" i="2"/>
  <c r="B3224" i="2"/>
  <c r="A3224" i="2"/>
  <c r="D3223" i="2"/>
  <c r="C3223" i="2"/>
  <c r="B3223" i="2"/>
  <c r="A3223" i="2"/>
  <c r="D3222" i="2"/>
  <c r="C3222" i="2"/>
  <c r="B3222" i="2"/>
  <c r="A3222" i="2"/>
  <c r="D3221" i="2"/>
  <c r="C3221" i="2"/>
  <c r="B3221" i="2"/>
  <c r="A3221" i="2"/>
  <c r="D3220" i="2"/>
  <c r="C3220" i="2"/>
  <c r="B3220" i="2"/>
  <c r="A3220" i="2"/>
  <c r="D3219" i="2"/>
  <c r="C3219" i="2"/>
  <c r="B3219" i="2"/>
  <c r="A3219" i="2"/>
  <c r="D3218" i="2"/>
  <c r="C3218" i="2"/>
  <c r="B3218" i="2"/>
  <c r="A3218" i="2"/>
  <c r="D3217" i="2"/>
  <c r="C3217" i="2"/>
  <c r="B3217" i="2"/>
  <c r="A3217" i="2"/>
  <c r="D3216" i="2"/>
  <c r="C3216" i="2"/>
  <c r="B3216" i="2"/>
  <c r="A3216" i="2"/>
  <c r="D3215" i="2"/>
  <c r="C3215" i="2"/>
  <c r="B3215" i="2"/>
  <c r="A3215" i="2"/>
  <c r="D3214" i="2"/>
  <c r="C3214" i="2"/>
  <c r="B3214" i="2"/>
  <c r="A3214" i="2"/>
  <c r="D3213" i="2"/>
  <c r="C3213" i="2"/>
  <c r="B3213" i="2"/>
  <c r="A3213" i="2"/>
  <c r="D3212" i="2"/>
  <c r="C3212" i="2"/>
  <c r="B3212" i="2"/>
  <c r="A3212" i="2"/>
  <c r="D3211" i="2"/>
  <c r="C3211" i="2"/>
  <c r="B3211" i="2"/>
  <c r="A3211" i="2"/>
  <c r="D3210" i="2"/>
  <c r="C3210" i="2"/>
  <c r="B3210" i="2"/>
  <c r="A3210" i="2"/>
  <c r="D3209" i="2"/>
  <c r="C3209" i="2"/>
  <c r="B3209" i="2"/>
  <c r="A3209" i="2"/>
  <c r="D3208" i="2"/>
  <c r="C3208" i="2"/>
  <c r="B3208" i="2"/>
  <c r="A3208" i="2"/>
  <c r="D3207" i="2"/>
  <c r="C3207" i="2"/>
  <c r="B3207" i="2"/>
  <c r="A3207" i="2"/>
  <c r="D3206" i="2"/>
  <c r="C3206" i="2"/>
  <c r="B3206" i="2"/>
  <c r="A3206" i="2"/>
  <c r="D3205" i="2"/>
  <c r="C3205" i="2"/>
  <c r="B3205" i="2"/>
  <c r="A3205" i="2"/>
  <c r="D3204" i="2"/>
  <c r="C3204" i="2"/>
  <c r="B3204" i="2"/>
  <c r="A3204" i="2"/>
  <c r="D3203" i="2"/>
  <c r="C3203" i="2"/>
  <c r="B3203" i="2"/>
  <c r="A3203" i="2"/>
  <c r="D3202" i="2"/>
  <c r="C3202" i="2"/>
  <c r="B3202" i="2"/>
  <c r="A3202" i="2"/>
  <c r="D3201" i="2"/>
  <c r="C3201" i="2"/>
  <c r="B3201" i="2"/>
  <c r="A3201" i="2"/>
  <c r="D3200" i="2"/>
  <c r="C3200" i="2"/>
  <c r="B3200" i="2"/>
  <c r="A3200" i="2"/>
  <c r="D3199" i="2"/>
  <c r="C3199" i="2"/>
  <c r="B3199" i="2"/>
  <c r="A3199" i="2"/>
  <c r="D3198" i="2"/>
  <c r="C3198" i="2"/>
  <c r="B3198" i="2"/>
  <c r="A3198" i="2"/>
  <c r="D3197" i="2"/>
  <c r="C3197" i="2"/>
  <c r="B3197" i="2"/>
  <c r="A3197" i="2"/>
  <c r="D3196" i="2"/>
  <c r="C3196" i="2"/>
  <c r="B3196" i="2"/>
  <c r="A3196" i="2"/>
  <c r="D3195" i="2"/>
  <c r="C3195" i="2"/>
  <c r="B3195" i="2"/>
  <c r="A3195" i="2"/>
  <c r="D3194" i="2"/>
  <c r="C3194" i="2"/>
  <c r="B3194" i="2"/>
  <c r="A3194" i="2"/>
  <c r="D3193" i="2"/>
  <c r="C3193" i="2"/>
  <c r="B3193" i="2"/>
  <c r="A3193" i="2"/>
  <c r="D3192" i="2"/>
  <c r="C3192" i="2"/>
  <c r="B3192" i="2"/>
  <c r="A3192" i="2"/>
  <c r="D3191" i="2"/>
  <c r="C3191" i="2"/>
  <c r="B3191" i="2"/>
  <c r="A3191" i="2"/>
  <c r="D3190" i="2"/>
  <c r="C3190" i="2"/>
  <c r="B3190" i="2"/>
  <c r="A3190" i="2"/>
  <c r="D3189" i="2"/>
  <c r="C3189" i="2"/>
  <c r="B3189" i="2"/>
  <c r="A3189" i="2"/>
  <c r="D3188" i="2"/>
  <c r="C3188" i="2"/>
  <c r="B3188" i="2"/>
  <c r="A3188" i="2"/>
  <c r="D3187" i="2"/>
  <c r="C3187" i="2"/>
  <c r="B3187" i="2"/>
  <c r="A3187" i="2"/>
  <c r="D3186" i="2"/>
  <c r="C3186" i="2"/>
  <c r="B3186" i="2"/>
  <c r="A3186" i="2"/>
  <c r="D3185" i="2"/>
  <c r="C3185" i="2"/>
  <c r="B3185" i="2"/>
  <c r="A3185" i="2"/>
  <c r="D3184" i="2"/>
  <c r="C3184" i="2"/>
  <c r="B3184" i="2"/>
  <c r="A3184" i="2"/>
  <c r="D3183" i="2"/>
  <c r="C3183" i="2"/>
  <c r="B3183" i="2"/>
  <c r="A3183" i="2"/>
  <c r="D3182" i="2"/>
  <c r="C3182" i="2"/>
  <c r="B3182" i="2"/>
  <c r="A3182" i="2"/>
  <c r="D3181" i="2"/>
  <c r="C3181" i="2"/>
  <c r="B3181" i="2"/>
  <c r="A3181" i="2"/>
  <c r="D3180" i="2"/>
  <c r="C3180" i="2"/>
  <c r="B3180" i="2"/>
  <c r="A3180" i="2"/>
  <c r="D3179" i="2"/>
  <c r="C3179" i="2"/>
  <c r="B3179" i="2"/>
  <c r="A3179" i="2"/>
  <c r="D3178" i="2"/>
  <c r="C3178" i="2"/>
  <c r="B3178" i="2"/>
  <c r="A3178" i="2"/>
  <c r="D3177" i="2"/>
  <c r="C3177" i="2"/>
  <c r="B3177" i="2"/>
  <c r="A3177" i="2"/>
  <c r="D3176" i="2"/>
  <c r="C3176" i="2"/>
  <c r="B3176" i="2"/>
  <c r="A3176" i="2"/>
  <c r="D3175" i="2"/>
  <c r="C3175" i="2"/>
  <c r="B3175" i="2"/>
  <c r="A3175" i="2"/>
  <c r="D3174" i="2"/>
  <c r="C3174" i="2"/>
  <c r="B3174" i="2"/>
  <c r="A3174" i="2"/>
  <c r="D3173" i="2"/>
  <c r="C3173" i="2"/>
  <c r="B3173" i="2"/>
  <c r="A3173" i="2"/>
  <c r="D3172" i="2"/>
  <c r="C3172" i="2"/>
  <c r="B3172" i="2"/>
  <c r="A3172" i="2"/>
  <c r="D3171" i="2"/>
  <c r="C3171" i="2"/>
  <c r="B3171" i="2"/>
  <c r="A3171" i="2"/>
  <c r="D3170" i="2"/>
  <c r="C3170" i="2"/>
  <c r="B3170" i="2"/>
  <c r="A3170" i="2"/>
  <c r="D3169" i="2"/>
  <c r="C3169" i="2"/>
  <c r="B3169" i="2"/>
  <c r="A3169" i="2"/>
  <c r="D3168" i="2"/>
  <c r="C3168" i="2"/>
  <c r="B3168" i="2"/>
  <c r="A3168" i="2"/>
  <c r="D3167" i="2"/>
  <c r="C3167" i="2"/>
  <c r="B3167" i="2"/>
  <c r="A3167" i="2"/>
  <c r="D3166" i="2"/>
  <c r="C3166" i="2"/>
  <c r="B3166" i="2"/>
  <c r="A3166" i="2"/>
  <c r="D3165" i="2"/>
  <c r="C3165" i="2"/>
  <c r="B3165" i="2"/>
  <c r="A3165" i="2"/>
  <c r="D3164" i="2"/>
  <c r="C3164" i="2"/>
  <c r="B3164" i="2"/>
  <c r="A3164" i="2"/>
  <c r="D3163" i="2"/>
  <c r="C3163" i="2"/>
  <c r="B3163" i="2"/>
  <c r="A3163" i="2"/>
  <c r="D3162" i="2"/>
  <c r="C3162" i="2"/>
  <c r="B3162" i="2"/>
  <c r="A3162" i="2"/>
  <c r="D3161" i="2"/>
  <c r="C3161" i="2"/>
  <c r="B3161" i="2"/>
  <c r="A3161" i="2"/>
  <c r="D3160" i="2"/>
  <c r="C3160" i="2"/>
  <c r="B3160" i="2"/>
  <c r="A3160" i="2"/>
  <c r="D3159" i="2"/>
  <c r="C3159" i="2"/>
  <c r="B3159" i="2"/>
  <c r="A3159" i="2"/>
  <c r="D3158" i="2"/>
  <c r="C3158" i="2"/>
  <c r="B3158" i="2"/>
  <c r="A3158" i="2"/>
  <c r="D3157" i="2"/>
  <c r="C3157" i="2"/>
  <c r="B3157" i="2"/>
  <c r="A3157" i="2"/>
  <c r="D3156" i="2"/>
  <c r="C3156" i="2"/>
  <c r="B3156" i="2"/>
  <c r="A3156" i="2"/>
  <c r="D3155" i="2"/>
  <c r="C3155" i="2"/>
  <c r="B3155" i="2"/>
  <c r="A3155" i="2"/>
  <c r="D3154" i="2"/>
  <c r="C3154" i="2"/>
  <c r="B3154" i="2"/>
  <c r="A3154" i="2"/>
  <c r="D3153" i="2"/>
  <c r="C3153" i="2"/>
  <c r="B3153" i="2"/>
  <c r="A3153" i="2"/>
  <c r="D3152" i="2"/>
  <c r="C3152" i="2"/>
  <c r="B3152" i="2"/>
  <c r="A3152" i="2"/>
  <c r="D3151" i="2"/>
  <c r="C3151" i="2"/>
  <c r="B3151" i="2"/>
  <c r="A3151" i="2"/>
  <c r="D3150" i="2"/>
  <c r="C3150" i="2"/>
  <c r="B3150" i="2"/>
  <c r="A3150" i="2"/>
  <c r="D3149" i="2"/>
  <c r="C3149" i="2"/>
  <c r="B3149" i="2"/>
  <c r="A3149" i="2"/>
  <c r="D3148" i="2"/>
  <c r="C3148" i="2"/>
  <c r="B3148" i="2"/>
  <c r="A3148" i="2"/>
  <c r="D3147" i="2"/>
  <c r="C3147" i="2"/>
  <c r="B3147" i="2"/>
  <c r="A3147" i="2"/>
  <c r="D3146" i="2"/>
  <c r="C3146" i="2"/>
  <c r="B3146" i="2"/>
  <c r="A3146" i="2"/>
  <c r="D3145" i="2"/>
  <c r="C3145" i="2"/>
  <c r="B3145" i="2"/>
  <c r="A3145" i="2"/>
  <c r="D3144" i="2"/>
  <c r="C3144" i="2"/>
  <c r="B3144" i="2"/>
  <c r="A3144" i="2"/>
  <c r="D3143" i="2"/>
  <c r="C3143" i="2"/>
  <c r="B3143" i="2"/>
  <c r="A3143" i="2"/>
  <c r="D3142" i="2"/>
  <c r="C3142" i="2"/>
  <c r="B3142" i="2"/>
  <c r="A3142" i="2"/>
  <c r="D3141" i="2"/>
  <c r="C3141" i="2"/>
  <c r="B3141" i="2"/>
  <c r="A3141" i="2"/>
  <c r="D3140" i="2"/>
  <c r="C3140" i="2"/>
  <c r="B3140" i="2"/>
  <c r="A3140" i="2"/>
  <c r="D3139" i="2"/>
  <c r="C3139" i="2"/>
  <c r="B3139" i="2"/>
  <c r="A3139" i="2"/>
  <c r="D3138" i="2"/>
  <c r="C3138" i="2"/>
  <c r="B3138" i="2"/>
  <c r="A3138" i="2"/>
  <c r="D3137" i="2"/>
  <c r="C3137" i="2"/>
  <c r="B3137" i="2"/>
  <c r="A3137" i="2"/>
  <c r="D3136" i="2"/>
  <c r="C3136" i="2"/>
  <c r="B3136" i="2"/>
  <c r="A3136" i="2"/>
  <c r="D3135" i="2"/>
  <c r="C3135" i="2"/>
  <c r="B3135" i="2"/>
  <c r="A3135" i="2"/>
  <c r="D3134" i="2"/>
  <c r="C3134" i="2"/>
  <c r="B3134" i="2"/>
  <c r="A3134" i="2"/>
  <c r="D3133" i="2"/>
  <c r="C3133" i="2"/>
  <c r="B3133" i="2"/>
  <c r="A3133" i="2"/>
  <c r="D3132" i="2"/>
  <c r="C3132" i="2"/>
  <c r="B3132" i="2"/>
  <c r="A3132" i="2"/>
  <c r="D3131" i="2"/>
  <c r="C3131" i="2"/>
  <c r="B3131" i="2"/>
  <c r="A3131" i="2"/>
  <c r="D3130" i="2"/>
  <c r="C3130" i="2"/>
  <c r="B3130" i="2"/>
  <c r="A3130" i="2"/>
  <c r="D3129" i="2"/>
  <c r="C3129" i="2"/>
  <c r="B3129" i="2"/>
  <c r="A3129" i="2"/>
  <c r="D3128" i="2"/>
  <c r="C3128" i="2"/>
  <c r="B3128" i="2"/>
  <c r="A3128" i="2"/>
  <c r="D3127" i="2"/>
  <c r="C3127" i="2"/>
  <c r="B3127" i="2"/>
  <c r="A3127" i="2"/>
  <c r="D3126" i="2"/>
  <c r="C3126" i="2"/>
  <c r="B3126" i="2"/>
  <c r="A3126" i="2"/>
  <c r="D3125" i="2"/>
  <c r="C3125" i="2"/>
  <c r="B3125" i="2"/>
  <c r="A3125" i="2"/>
  <c r="D3124" i="2"/>
  <c r="C3124" i="2"/>
  <c r="B3124" i="2"/>
  <c r="A3124" i="2"/>
  <c r="D3123" i="2"/>
  <c r="C3123" i="2"/>
  <c r="B3123" i="2"/>
  <c r="A3123" i="2"/>
  <c r="D3122" i="2"/>
  <c r="C3122" i="2"/>
  <c r="B3122" i="2"/>
  <c r="A3122" i="2"/>
  <c r="D3121" i="2"/>
  <c r="B3121" i="2"/>
  <c r="A3121" i="2"/>
  <c r="D3120" i="2"/>
  <c r="C3120" i="2"/>
  <c r="B3120" i="2"/>
  <c r="A3120" i="2"/>
  <c r="D3119" i="2"/>
  <c r="C3119" i="2"/>
  <c r="B3119" i="2"/>
  <c r="A3119" i="2"/>
  <c r="D3118" i="2"/>
  <c r="C3118" i="2"/>
  <c r="B3118" i="2"/>
  <c r="A3118" i="2"/>
  <c r="D3117" i="2"/>
  <c r="C3117" i="2"/>
  <c r="B3117" i="2"/>
  <c r="A3117" i="2"/>
  <c r="D3116" i="2"/>
  <c r="C3116" i="2"/>
  <c r="B3116" i="2"/>
  <c r="A3116" i="2"/>
  <c r="D3115" i="2"/>
  <c r="C3115" i="2"/>
  <c r="B3115" i="2"/>
  <c r="A3115" i="2"/>
  <c r="D3114" i="2"/>
  <c r="C3114" i="2"/>
  <c r="B3114" i="2"/>
  <c r="A3114" i="2"/>
  <c r="D3113" i="2"/>
  <c r="C3113" i="2"/>
  <c r="B3113" i="2"/>
  <c r="A3113" i="2"/>
  <c r="D3112" i="2"/>
  <c r="C3112" i="2"/>
  <c r="B3112" i="2"/>
  <c r="A3112" i="2"/>
  <c r="D3111" i="2"/>
  <c r="C3111" i="2"/>
  <c r="B3111" i="2"/>
  <c r="A3111" i="2"/>
  <c r="D3110" i="2"/>
  <c r="C3110" i="2"/>
  <c r="B3110" i="2"/>
  <c r="A3110" i="2"/>
  <c r="D3109" i="2"/>
  <c r="C3109" i="2"/>
  <c r="B3109" i="2"/>
  <c r="A3109" i="2"/>
  <c r="D3108" i="2"/>
  <c r="C3108" i="2"/>
  <c r="B3108" i="2"/>
  <c r="A3108" i="2"/>
  <c r="D3107" i="2"/>
  <c r="C3107" i="2"/>
  <c r="B3107" i="2"/>
  <c r="A3107" i="2"/>
  <c r="D3106" i="2"/>
  <c r="C3106" i="2"/>
  <c r="B3106" i="2"/>
  <c r="A3106" i="2"/>
  <c r="D3105" i="2"/>
  <c r="C3105" i="2"/>
  <c r="B3105" i="2"/>
  <c r="A3105" i="2"/>
  <c r="D3104" i="2"/>
  <c r="C3104" i="2"/>
  <c r="B3104" i="2"/>
  <c r="A3104" i="2"/>
  <c r="D3103" i="2"/>
  <c r="C3103" i="2"/>
  <c r="B3103" i="2"/>
  <c r="A3103" i="2"/>
  <c r="D3102" i="2"/>
  <c r="C3102" i="2"/>
  <c r="B3102" i="2"/>
  <c r="A3102" i="2"/>
  <c r="D3101" i="2"/>
  <c r="C3101" i="2"/>
  <c r="B3101" i="2"/>
  <c r="A3101" i="2"/>
  <c r="D3100" i="2"/>
  <c r="C3100" i="2"/>
  <c r="B3100" i="2"/>
  <c r="A3100" i="2"/>
  <c r="D3099" i="2"/>
  <c r="C3099" i="2"/>
  <c r="B3099" i="2"/>
  <c r="A3099" i="2"/>
  <c r="D3098" i="2"/>
  <c r="C3098" i="2"/>
  <c r="B3098" i="2"/>
  <c r="A3098" i="2"/>
  <c r="D3097" i="2"/>
  <c r="C3097" i="2"/>
  <c r="B3097" i="2"/>
  <c r="A3097" i="2"/>
  <c r="D3096" i="2"/>
  <c r="C3096" i="2"/>
  <c r="B3096" i="2"/>
  <c r="A3096" i="2"/>
  <c r="D3095" i="2"/>
  <c r="C3095" i="2"/>
  <c r="B3095" i="2"/>
  <c r="A3095" i="2"/>
  <c r="D3094" i="2"/>
  <c r="C3094" i="2"/>
  <c r="B3094" i="2"/>
  <c r="A3094" i="2"/>
  <c r="D3093" i="2"/>
  <c r="C3093" i="2"/>
  <c r="B3093" i="2"/>
  <c r="A3093" i="2"/>
  <c r="D3092" i="2"/>
  <c r="C3092" i="2"/>
  <c r="B3092" i="2"/>
  <c r="A3092" i="2"/>
  <c r="D3091" i="2"/>
  <c r="C3091" i="2"/>
  <c r="B3091" i="2"/>
  <c r="A3091" i="2"/>
  <c r="D3090" i="2"/>
  <c r="C3090" i="2"/>
  <c r="B3090" i="2"/>
  <c r="A3090" i="2"/>
  <c r="D3089" i="2"/>
  <c r="C3089" i="2"/>
  <c r="B3089" i="2"/>
  <c r="A3089" i="2"/>
  <c r="D3088" i="2"/>
  <c r="C3088" i="2"/>
  <c r="B3088" i="2"/>
  <c r="A3088" i="2"/>
  <c r="D3087" i="2"/>
  <c r="C3087" i="2"/>
  <c r="B3087" i="2"/>
  <c r="A3087" i="2"/>
  <c r="D3086" i="2"/>
  <c r="C3086" i="2"/>
  <c r="B3086" i="2"/>
  <c r="A3086" i="2"/>
  <c r="D3085" i="2"/>
  <c r="C3085" i="2"/>
  <c r="B3085" i="2"/>
  <c r="A3085" i="2"/>
  <c r="D3084" i="2"/>
  <c r="C3084" i="2"/>
  <c r="B3084" i="2"/>
  <c r="A3084" i="2"/>
  <c r="D3083" i="2"/>
  <c r="C3083" i="2"/>
  <c r="B3083" i="2"/>
  <c r="A3083" i="2"/>
  <c r="D3082" i="2"/>
  <c r="C3082" i="2"/>
  <c r="B3082" i="2"/>
  <c r="A3082" i="2"/>
  <c r="D3081" i="2"/>
  <c r="C3081" i="2"/>
  <c r="B3081" i="2"/>
  <c r="A3081" i="2"/>
  <c r="D3080" i="2"/>
  <c r="C3080" i="2"/>
  <c r="B3080" i="2"/>
  <c r="A3080" i="2"/>
  <c r="D3079" i="2"/>
  <c r="C3079" i="2"/>
  <c r="B3079" i="2"/>
  <c r="A3079" i="2"/>
  <c r="D3078" i="2"/>
  <c r="C3078" i="2"/>
  <c r="B3078" i="2"/>
  <c r="A3078" i="2"/>
  <c r="D3077" i="2"/>
  <c r="C3077" i="2"/>
  <c r="B3077" i="2"/>
  <c r="A3077" i="2"/>
  <c r="D3076" i="2"/>
  <c r="C3076" i="2"/>
  <c r="B3076" i="2"/>
  <c r="A3076" i="2"/>
  <c r="D3075" i="2"/>
  <c r="C3075" i="2"/>
  <c r="B3075" i="2"/>
  <c r="A3075" i="2"/>
  <c r="D3074" i="2"/>
  <c r="C3074" i="2"/>
  <c r="B3074" i="2"/>
  <c r="A3074" i="2"/>
  <c r="D3073" i="2"/>
  <c r="C3073" i="2"/>
  <c r="B3073" i="2"/>
  <c r="A3073" i="2"/>
  <c r="D3072" i="2"/>
  <c r="C3072" i="2"/>
  <c r="B3072" i="2"/>
  <c r="A3072" i="2"/>
  <c r="D3071" i="2"/>
  <c r="C3071" i="2"/>
  <c r="B3071" i="2"/>
  <c r="A3071" i="2"/>
  <c r="D3070" i="2"/>
  <c r="C3070" i="2"/>
  <c r="B3070" i="2"/>
  <c r="A3070" i="2"/>
  <c r="D3069" i="2"/>
  <c r="C3069" i="2"/>
  <c r="B3069" i="2"/>
  <c r="A3069" i="2"/>
  <c r="D3068" i="2"/>
  <c r="C3068" i="2"/>
  <c r="B3068" i="2"/>
  <c r="A3068" i="2"/>
  <c r="D3067" i="2"/>
  <c r="C3067" i="2"/>
  <c r="B3067" i="2"/>
  <c r="A3067" i="2"/>
  <c r="D3066" i="2"/>
  <c r="C3066" i="2"/>
  <c r="B3066" i="2"/>
  <c r="A3066" i="2"/>
  <c r="D3065" i="2"/>
  <c r="C3065" i="2"/>
  <c r="B3065" i="2"/>
  <c r="A3065" i="2"/>
  <c r="D3064" i="2"/>
  <c r="C3064" i="2"/>
  <c r="B3064" i="2"/>
  <c r="A3064" i="2"/>
  <c r="D3063" i="2"/>
  <c r="C3063" i="2"/>
  <c r="B3063" i="2"/>
  <c r="A3063" i="2"/>
  <c r="D3062" i="2"/>
  <c r="C3062" i="2"/>
  <c r="B3062" i="2"/>
  <c r="A3062" i="2"/>
  <c r="D3061" i="2"/>
  <c r="C3061" i="2"/>
  <c r="B3061" i="2"/>
  <c r="A3061" i="2"/>
  <c r="D3060" i="2"/>
  <c r="C3060" i="2"/>
  <c r="B3060" i="2"/>
  <c r="A3060" i="2"/>
  <c r="D3059" i="2"/>
  <c r="C3059" i="2"/>
  <c r="B3059" i="2"/>
  <c r="A3059" i="2"/>
  <c r="D3058" i="2"/>
  <c r="C3058" i="2"/>
  <c r="B3058" i="2"/>
  <c r="A3058" i="2"/>
  <c r="D3057" i="2"/>
  <c r="C3057" i="2"/>
  <c r="B3057" i="2"/>
  <c r="A3057" i="2"/>
  <c r="D3056" i="2"/>
  <c r="B3056" i="2"/>
  <c r="A3056" i="2"/>
  <c r="D3055" i="2"/>
  <c r="C3055" i="2"/>
  <c r="B3055" i="2"/>
  <c r="A3055" i="2"/>
  <c r="D3054" i="2"/>
  <c r="C3054" i="2"/>
  <c r="B3054" i="2"/>
  <c r="A3054" i="2"/>
  <c r="D3053" i="2"/>
  <c r="C3053" i="2"/>
  <c r="B3053" i="2"/>
  <c r="A3053" i="2"/>
  <c r="D3052" i="2"/>
  <c r="C3052" i="2"/>
  <c r="B3052" i="2"/>
  <c r="A3052" i="2"/>
  <c r="D3051" i="2"/>
  <c r="C3051" i="2"/>
  <c r="B3051" i="2"/>
  <c r="A3051" i="2"/>
  <c r="D3050" i="2"/>
  <c r="C3050" i="2"/>
  <c r="B3050" i="2"/>
  <c r="A3050" i="2"/>
  <c r="D3049" i="2"/>
  <c r="C3049" i="2"/>
  <c r="B3049" i="2"/>
  <c r="A3049" i="2"/>
  <c r="D3048" i="2"/>
  <c r="C3048" i="2"/>
  <c r="B3048" i="2"/>
  <c r="A3048" i="2"/>
  <c r="D3047" i="2"/>
  <c r="C3047" i="2"/>
  <c r="B3047" i="2"/>
  <c r="A3047" i="2"/>
  <c r="D3046" i="2"/>
  <c r="C3046" i="2"/>
  <c r="B3046" i="2"/>
  <c r="A3046" i="2"/>
  <c r="D3045" i="2"/>
  <c r="C3045" i="2"/>
  <c r="B3045" i="2"/>
  <c r="A3045" i="2"/>
  <c r="D3044" i="2"/>
  <c r="C3044" i="2"/>
  <c r="B3044" i="2"/>
  <c r="A3044" i="2"/>
  <c r="D3043" i="2"/>
  <c r="C3043" i="2"/>
  <c r="B3043" i="2"/>
  <c r="A3043" i="2"/>
  <c r="D3042" i="2"/>
  <c r="C3042" i="2"/>
  <c r="B3042" i="2"/>
  <c r="A3042" i="2"/>
  <c r="D3041" i="2"/>
  <c r="C3041" i="2"/>
  <c r="B3041" i="2"/>
  <c r="A3041" i="2"/>
  <c r="D3040" i="2"/>
  <c r="C3040" i="2"/>
  <c r="B3040" i="2"/>
  <c r="A3040" i="2"/>
  <c r="D3039" i="2"/>
  <c r="C3039" i="2"/>
  <c r="B3039" i="2"/>
  <c r="A3039" i="2"/>
  <c r="D3038" i="2"/>
  <c r="C3038" i="2"/>
  <c r="B3038" i="2"/>
  <c r="A3038" i="2"/>
  <c r="D3037" i="2"/>
  <c r="C3037" i="2"/>
  <c r="B3037" i="2"/>
  <c r="A3037" i="2"/>
  <c r="D3036" i="2"/>
  <c r="C3036" i="2"/>
  <c r="B3036" i="2"/>
  <c r="A3036" i="2"/>
  <c r="D3035" i="2"/>
  <c r="C3035" i="2"/>
  <c r="B3035" i="2"/>
  <c r="A3035" i="2"/>
  <c r="D3034" i="2"/>
  <c r="C3034" i="2"/>
  <c r="B3034" i="2"/>
  <c r="A3034" i="2"/>
  <c r="D3033" i="2"/>
  <c r="C3033" i="2"/>
  <c r="B3033" i="2"/>
  <c r="A3033" i="2"/>
  <c r="D3032" i="2"/>
  <c r="C3032" i="2"/>
  <c r="B3032" i="2"/>
  <c r="A3032" i="2"/>
  <c r="D3031" i="2"/>
  <c r="C3031" i="2"/>
  <c r="B3031" i="2"/>
  <c r="A3031" i="2"/>
  <c r="D3030" i="2"/>
  <c r="C3030" i="2"/>
  <c r="B3030" i="2"/>
  <c r="A3030" i="2"/>
  <c r="D3029" i="2"/>
  <c r="C3029" i="2"/>
  <c r="B3029" i="2"/>
  <c r="A3029" i="2"/>
  <c r="D3028" i="2"/>
  <c r="C3028" i="2"/>
  <c r="B3028" i="2"/>
  <c r="A3028" i="2"/>
  <c r="D3027" i="2"/>
  <c r="C3027" i="2"/>
  <c r="B3027" i="2"/>
  <c r="A3027" i="2"/>
  <c r="D3026" i="2"/>
  <c r="C3026" i="2"/>
  <c r="B3026" i="2"/>
  <c r="A3026" i="2"/>
  <c r="D3025" i="2"/>
  <c r="C3025" i="2"/>
  <c r="B3025" i="2"/>
  <c r="A3025" i="2"/>
  <c r="D3024" i="2"/>
  <c r="C3024" i="2"/>
  <c r="B3024" i="2"/>
  <c r="A3024" i="2"/>
  <c r="D3023" i="2"/>
  <c r="C3023" i="2"/>
  <c r="B3023" i="2"/>
  <c r="A3023" i="2"/>
  <c r="D3022" i="2"/>
  <c r="C3022" i="2"/>
  <c r="B3022" i="2"/>
  <c r="A3022" i="2"/>
  <c r="D3021" i="2"/>
  <c r="C3021" i="2"/>
  <c r="B3021" i="2"/>
  <c r="A3021" i="2"/>
  <c r="D3020" i="2"/>
  <c r="C3020" i="2"/>
  <c r="B3020" i="2"/>
  <c r="A3020" i="2"/>
  <c r="D3019" i="2"/>
  <c r="C3019" i="2"/>
  <c r="B3019" i="2"/>
  <c r="A3019" i="2"/>
  <c r="D3018" i="2"/>
  <c r="C3018" i="2"/>
  <c r="B3018" i="2"/>
  <c r="A3018" i="2"/>
  <c r="D3017" i="2"/>
  <c r="C3017" i="2"/>
  <c r="B3017" i="2"/>
  <c r="A3017" i="2"/>
  <c r="D3016" i="2"/>
  <c r="C3016" i="2"/>
  <c r="B3016" i="2"/>
  <c r="A3016" i="2"/>
  <c r="D3015" i="2"/>
  <c r="C3015" i="2"/>
  <c r="B3015" i="2"/>
  <c r="A3015" i="2"/>
  <c r="D3014" i="2"/>
  <c r="C3014" i="2"/>
  <c r="B3014" i="2"/>
  <c r="A3014" i="2"/>
  <c r="D3013" i="2"/>
  <c r="C3013" i="2"/>
  <c r="B3013" i="2"/>
  <c r="A3013" i="2"/>
  <c r="D3012" i="2"/>
  <c r="C3012" i="2"/>
  <c r="B3012" i="2"/>
  <c r="A3012" i="2"/>
  <c r="D3011" i="2"/>
  <c r="C3011" i="2"/>
  <c r="B3011" i="2"/>
  <c r="A3011" i="2"/>
  <c r="D3010" i="2"/>
  <c r="C3010" i="2"/>
  <c r="B3010" i="2"/>
  <c r="A3010" i="2"/>
  <c r="D3009" i="2"/>
  <c r="C3009" i="2"/>
  <c r="B3009" i="2"/>
  <c r="A3009" i="2"/>
  <c r="D3008" i="2"/>
  <c r="C3008" i="2"/>
  <c r="B3008" i="2"/>
  <c r="A3008" i="2"/>
  <c r="D3007" i="2"/>
  <c r="C3007" i="2"/>
  <c r="B3007" i="2"/>
  <c r="A3007" i="2"/>
  <c r="D3006" i="2"/>
  <c r="C3006" i="2"/>
  <c r="B3006" i="2"/>
  <c r="A3006" i="2"/>
  <c r="D3005" i="2"/>
  <c r="C3005" i="2"/>
  <c r="B3005" i="2"/>
  <c r="A3005" i="2"/>
  <c r="D3004" i="2"/>
  <c r="C3004" i="2"/>
  <c r="B3004" i="2"/>
  <c r="A3004" i="2"/>
  <c r="D3003" i="2"/>
  <c r="C3003" i="2"/>
  <c r="B3003" i="2"/>
  <c r="A3003" i="2"/>
  <c r="D3002" i="2"/>
  <c r="C3002" i="2"/>
  <c r="B3002" i="2"/>
  <c r="A3002" i="2"/>
  <c r="D3001" i="2"/>
  <c r="C3001" i="2"/>
  <c r="B3001" i="2"/>
  <c r="A3001" i="2"/>
  <c r="D3000" i="2"/>
  <c r="C3000" i="2"/>
  <c r="B3000" i="2"/>
  <c r="A3000" i="2"/>
  <c r="D2999" i="2"/>
  <c r="C2999" i="2"/>
  <c r="B2999" i="2"/>
  <c r="A2999" i="2"/>
  <c r="D2998" i="2"/>
  <c r="C2998" i="2"/>
  <c r="B2998" i="2"/>
  <c r="A2998" i="2"/>
  <c r="D2997" i="2"/>
  <c r="C2997" i="2"/>
  <c r="B2997" i="2"/>
  <c r="A2997" i="2"/>
  <c r="D2996" i="2"/>
  <c r="C2996" i="2"/>
  <c r="B2996" i="2"/>
  <c r="A2996" i="2"/>
  <c r="D2995" i="2"/>
  <c r="C2995" i="2"/>
  <c r="B2995" i="2"/>
  <c r="A2995" i="2"/>
  <c r="D2994" i="2"/>
  <c r="C2994" i="2"/>
  <c r="B2994" i="2"/>
  <c r="A2994" i="2"/>
  <c r="D2993" i="2"/>
  <c r="C2993" i="2"/>
  <c r="B2993" i="2"/>
  <c r="A2993" i="2"/>
  <c r="D2992" i="2"/>
  <c r="C2992" i="2"/>
  <c r="B2992" i="2"/>
  <c r="A2992" i="2"/>
  <c r="D2991" i="2"/>
  <c r="C2991" i="2"/>
  <c r="B2991" i="2"/>
  <c r="A2991" i="2"/>
  <c r="D2990" i="2"/>
  <c r="C2990" i="2"/>
  <c r="B2990" i="2"/>
  <c r="A2990" i="2"/>
  <c r="D2989" i="2"/>
  <c r="C2989" i="2"/>
  <c r="B2989" i="2"/>
  <c r="A2989" i="2"/>
  <c r="D2988" i="2"/>
  <c r="C2988" i="2"/>
  <c r="B2988" i="2"/>
  <c r="A2988" i="2"/>
  <c r="D2987" i="2"/>
  <c r="C2987" i="2"/>
  <c r="B2987" i="2"/>
  <c r="A2987" i="2"/>
  <c r="D2986" i="2"/>
  <c r="C2986" i="2"/>
  <c r="B2986" i="2"/>
  <c r="A2986" i="2"/>
  <c r="D2985" i="2"/>
  <c r="C2985" i="2"/>
  <c r="B2985" i="2"/>
  <c r="A2985" i="2"/>
  <c r="D2984" i="2"/>
  <c r="C2984" i="2"/>
  <c r="B2984" i="2"/>
  <c r="A2984" i="2"/>
  <c r="D2983" i="2"/>
  <c r="C2983" i="2"/>
  <c r="B2983" i="2"/>
  <c r="A2983" i="2"/>
  <c r="D2982" i="2"/>
  <c r="C2982" i="2"/>
  <c r="B2982" i="2"/>
  <c r="A2982" i="2"/>
  <c r="D2981" i="2"/>
  <c r="C2981" i="2"/>
  <c r="B2981" i="2"/>
  <c r="A2981" i="2"/>
  <c r="D2980" i="2"/>
  <c r="C2980" i="2"/>
  <c r="B2980" i="2"/>
  <c r="A2980" i="2"/>
  <c r="D2979" i="2"/>
  <c r="C2979" i="2"/>
  <c r="B2979" i="2"/>
  <c r="A2979" i="2"/>
  <c r="D2978" i="2"/>
  <c r="C2978" i="2"/>
  <c r="B2978" i="2"/>
  <c r="A2978" i="2"/>
  <c r="D2977" i="2"/>
  <c r="C2977" i="2"/>
  <c r="B2977" i="2"/>
  <c r="A2977" i="2"/>
  <c r="D2976" i="2"/>
  <c r="C2976" i="2"/>
  <c r="B2976" i="2"/>
  <c r="A2976" i="2"/>
  <c r="D2975" i="2"/>
  <c r="C2975" i="2"/>
  <c r="B2975" i="2"/>
  <c r="A2975" i="2"/>
  <c r="D2974" i="2"/>
  <c r="C2974" i="2"/>
  <c r="B2974" i="2"/>
  <c r="A2974" i="2"/>
  <c r="D2973" i="2"/>
  <c r="C2973" i="2"/>
  <c r="B2973" i="2"/>
  <c r="A2973" i="2"/>
  <c r="D2972" i="2"/>
  <c r="C2972" i="2"/>
  <c r="B2972" i="2"/>
  <c r="A2972" i="2"/>
  <c r="D2971" i="2"/>
  <c r="C2971" i="2"/>
  <c r="B2971" i="2"/>
  <c r="A2971" i="2"/>
  <c r="D2970" i="2"/>
  <c r="C2970" i="2"/>
  <c r="B2970" i="2"/>
  <c r="A2970" i="2"/>
  <c r="D2969" i="2"/>
  <c r="C2969" i="2"/>
  <c r="B2969" i="2"/>
  <c r="A2969" i="2"/>
  <c r="D2968" i="2"/>
  <c r="C2968" i="2"/>
  <c r="B2968" i="2"/>
  <c r="A2968" i="2"/>
  <c r="D2967" i="2"/>
  <c r="C2967" i="2"/>
  <c r="B2967" i="2"/>
  <c r="A2967" i="2"/>
  <c r="D2966" i="2"/>
  <c r="C2966" i="2"/>
  <c r="B2966" i="2"/>
  <c r="A2966" i="2"/>
  <c r="D2965" i="2"/>
  <c r="C2965" i="2"/>
  <c r="B2965" i="2"/>
  <c r="A2965" i="2"/>
  <c r="D2964" i="2"/>
  <c r="C2964" i="2"/>
  <c r="B2964" i="2"/>
  <c r="A2964" i="2"/>
  <c r="D2963" i="2"/>
  <c r="C2963" i="2"/>
  <c r="B2963" i="2"/>
  <c r="A2963" i="2"/>
  <c r="D2962" i="2"/>
  <c r="C2962" i="2"/>
  <c r="B2962" i="2"/>
  <c r="A2962" i="2"/>
  <c r="D2961" i="2"/>
  <c r="C2961" i="2"/>
  <c r="B2961" i="2"/>
  <c r="A2961" i="2"/>
  <c r="D2960" i="2"/>
  <c r="C2960" i="2"/>
  <c r="B2960" i="2"/>
  <c r="A2960" i="2"/>
  <c r="D2959" i="2"/>
  <c r="C2959" i="2"/>
  <c r="B2959" i="2"/>
  <c r="A2959" i="2"/>
  <c r="D2958" i="2"/>
  <c r="C2958" i="2"/>
  <c r="B2958" i="2"/>
  <c r="A2958" i="2"/>
  <c r="D2957" i="2"/>
  <c r="C2957" i="2"/>
  <c r="B2957" i="2"/>
  <c r="A2957" i="2"/>
  <c r="D2956" i="2"/>
  <c r="C2956" i="2"/>
  <c r="B2956" i="2"/>
  <c r="A2956" i="2"/>
  <c r="D2955" i="2"/>
  <c r="C2955" i="2"/>
  <c r="B2955" i="2"/>
  <c r="A2955" i="2"/>
  <c r="D2954" i="2"/>
  <c r="C2954" i="2"/>
  <c r="B2954" i="2"/>
  <c r="A2954" i="2"/>
  <c r="D2953" i="2"/>
  <c r="C2953" i="2"/>
  <c r="B2953" i="2"/>
  <c r="A2953" i="2"/>
  <c r="D2952" i="2"/>
  <c r="C2952" i="2"/>
  <c r="B2952" i="2"/>
  <c r="A2952" i="2"/>
  <c r="D2951" i="2"/>
  <c r="C2951" i="2"/>
  <c r="B2951" i="2"/>
  <c r="A2951" i="2"/>
  <c r="D2950" i="2"/>
  <c r="C2950" i="2"/>
  <c r="B2950" i="2"/>
  <c r="A2950" i="2"/>
  <c r="D2949" i="2"/>
  <c r="C2949" i="2"/>
  <c r="B2949" i="2"/>
  <c r="A2949" i="2"/>
  <c r="D2948" i="2"/>
  <c r="C2948" i="2"/>
  <c r="B2948" i="2"/>
  <c r="A2948" i="2"/>
  <c r="D2947" i="2"/>
  <c r="C2947" i="2"/>
  <c r="B2947" i="2"/>
  <c r="A2947" i="2"/>
  <c r="D2946" i="2"/>
  <c r="C2946" i="2"/>
  <c r="B2946" i="2"/>
  <c r="A2946" i="2"/>
  <c r="D2945" i="2"/>
  <c r="C2945" i="2"/>
  <c r="B2945" i="2"/>
  <c r="A2945" i="2"/>
  <c r="D2944" i="2"/>
  <c r="C2944" i="2"/>
  <c r="B2944" i="2"/>
  <c r="A2944" i="2"/>
  <c r="D2943" i="2"/>
  <c r="C2943" i="2"/>
  <c r="B2943" i="2"/>
  <c r="A2943" i="2"/>
  <c r="D2942" i="2"/>
  <c r="C2942" i="2"/>
  <c r="B2942" i="2"/>
  <c r="A2942" i="2"/>
  <c r="D2941" i="2"/>
  <c r="C2941" i="2"/>
  <c r="B2941" i="2"/>
  <c r="A2941" i="2"/>
  <c r="D2940" i="2"/>
  <c r="C2940" i="2"/>
  <c r="B2940" i="2"/>
  <c r="A2940" i="2"/>
  <c r="D2939" i="2"/>
  <c r="C2939" i="2"/>
  <c r="B2939" i="2"/>
  <c r="A2939" i="2"/>
  <c r="D2938" i="2"/>
  <c r="C2938" i="2"/>
  <c r="B2938" i="2"/>
  <c r="A2938" i="2"/>
  <c r="D2937" i="2"/>
  <c r="C2937" i="2"/>
  <c r="B2937" i="2"/>
  <c r="A2937" i="2"/>
  <c r="D2936" i="2"/>
  <c r="C2936" i="2"/>
  <c r="B2936" i="2"/>
  <c r="A2936" i="2"/>
  <c r="D2935" i="2"/>
  <c r="C2935" i="2"/>
  <c r="B2935" i="2"/>
  <c r="A2935" i="2"/>
  <c r="D2934" i="2"/>
  <c r="C2934" i="2"/>
  <c r="B2934" i="2"/>
  <c r="A2934" i="2"/>
  <c r="D2933" i="2"/>
  <c r="C2933" i="2"/>
  <c r="B2933" i="2"/>
  <c r="A2933" i="2"/>
  <c r="D2932" i="2"/>
  <c r="C2932" i="2"/>
  <c r="B2932" i="2"/>
  <c r="A2932" i="2"/>
  <c r="D2931" i="2"/>
  <c r="C2931" i="2"/>
  <c r="B2931" i="2"/>
  <c r="A2931" i="2"/>
  <c r="D2930" i="2"/>
  <c r="C2930" i="2"/>
  <c r="B2930" i="2"/>
  <c r="A2930" i="2"/>
  <c r="D2929" i="2"/>
  <c r="C2929" i="2"/>
  <c r="B2929" i="2"/>
  <c r="A2929" i="2"/>
  <c r="D2928" i="2"/>
  <c r="C2928" i="2"/>
  <c r="B2928" i="2"/>
  <c r="A2928" i="2"/>
  <c r="D2927" i="2"/>
  <c r="C2927" i="2"/>
  <c r="B2927" i="2"/>
  <c r="A2927" i="2"/>
  <c r="D2926" i="2"/>
  <c r="C2926" i="2"/>
  <c r="B2926" i="2"/>
  <c r="A2926" i="2"/>
  <c r="D2925" i="2"/>
  <c r="C2925" i="2"/>
  <c r="B2925" i="2"/>
  <c r="A2925" i="2"/>
  <c r="D2924" i="2"/>
  <c r="C2924" i="2"/>
  <c r="B2924" i="2"/>
  <c r="A2924" i="2"/>
  <c r="D2923" i="2"/>
  <c r="C2923" i="2"/>
  <c r="B2923" i="2"/>
  <c r="A2923" i="2"/>
  <c r="D2922" i="2"/>
  <c r="C2922" i="2"/>
  <c r="B2922" i="2"/>
  <c r="A2922" i="2"/>
  <c r="D2921" i="2"/>
  <c r="C2921" i="2"/>
  <c r="B2921" i="2"/>
  <c r="A2921" i="2"/>
  <c r="D2920" i="2"/>
  <c r="C2920" i="2"/>
  <c r="B2920" i="2"/>
  <c r="A2920" i="2"/>
  <c r="D2919" i="2"/>
  <c r="C2919" i="2"/>
  <c r="B2919" i="2"/>
  <c r="A2919" i="2"/>
  <c r="D2918" i="2"/>
  <c r="C2918" i="2"/>
  <c r="B2918" i="2"/>
  <c r="A2918" i="2"/>
  <c r="D2917" i="2"/>
  <c r="C2917" i="2"/>
  <c r="B2917" i="2"/>
  <c r="A2917" i="2"/>
  <c r="D2916" i="2"/>
  <c r="C2916" i="2"/>
  <c r="B2916" i="2"/>
  <c r="A2916" i="2"/>
  <c r="D2915" i="2"/>
  <c r="C2915" i="2"/>
  <c r="B2915" i="2"/>
  <c r="A2915" i="2"/>
  <c r="D2914" i="2"/>
  <c r="C2914" i="2"/>
  <c r="B2914" i="2"/>
  <c r="A2914" i="2"/>
  <c r="D2913" i="2"/>
  <c r="C2913" i="2"/>
  <c r="B2913" i="2"/>
  <c r="A2913" i="2"/>
  <c r="D2912" i="2"/>
  <c r="C2912" i="2"/>
  <c r="B2912" i="2"/>
  <c r="A2912" i="2"/>
  <c r="D2911" i="2"/>
  <c r="C2911" i="2"/>
  <c r="B2911" i="2"/>
  <c r="A2911" i="2"/>
  <c r="D2910" i="2"/>
  <c r="C2910" i="2"/>
  <c r="B2910" i="2"/>
  <c r="A2910" i="2"/>
  <c r="D2909" i="2"/>
  <c r="C2909" i="2"/>
  <c r="B2909" i="2"/>
  <c r="A2909" i="2"/>
  <c r="D2908" i="2"/>
  <c r="C2908" i="2"/>
  <c r="B2908" i="2"/>
  <c r="A2908" i="2"/>
  <c r="D2907" i="2"/>
  <c r="C2907" i="2"/>
  <c r="B2907" i="2"/>
  <c r="A2907" i="2"/>
  <c r="D2906" i="2"/>
  <c r="C2906" i="2"/>
  <c r="B2906" i="2"/>
  <c r="A2906" i="2"/>
  <c r="D2905" i="2"/>
  <c r="C2905" i="2"/>
  <c r="B2905" i="2"/>
  <c r="A2905" i="2"/>
  <c r="D2904" i="2"/>
  <c r="C2904" i="2"/>
  <c r="B2904" i="2"/>
  <c r="A2904" i="2"/>
  <c r="D2903" i="2"/>
  <c r="C2903" i="2"/>
  <c r="B2903" i="2"/>
  <c r="A2903" i="2"/>
  <c r="D2902" i="2"/>
  <c r="C2902" i="2"/>
  <c r="B2902" i="2"/>
  <c r="A2902" i="2"/>
  <c r="D2901" i="2"/>
  <c r="C2901" i="2"/>
  <c r="B2901" i="2"/>
  <c r="A2901" i="2"/>
  <c r="D2900" i="2"/>
  <c r="C2900" i="2"/>
  <c r="B2900" i="2"/>
  <c r="A2900" i="2"/>
  <c r="D2899" i="2"/>
  <c r="C2899" i="2"/>
  <c r="B2899" i="2"/>
  <c r="A2899" i="2"/>
  <c r="D2898" i="2"/>
  <c r="C2898" i="2"/>
  <c r="B2898" i="2"/>
  <c r="A2898" i="2"/>
  <c r="D2897" i="2"/>
  <c r="C2897" i="2"/>
  <c r="B2897" i="2"/>
  <c r="A2897" i="2"/>
  <c r="D2896" i="2"/>
  <c r="C2896" i="2"/>
  <c r="B2896" i="2"/>
  <c r="A2896" i="2"/>
  <c r="D2895" i="2"/>
  <c r="C2895" i="2"/>
  <c r="B2895" i="2"/>
  <c r="A2895" i="2"/>
  <c r="D2894" i="2"/>
  <c r="C2894" i="2"/>
  <c r="B2894" i="2"/>
  <c r="A2894" i="2"/>
  <c r="D2893" i="2"/>
  <c r="C2893" i="2"/>
  <c r="B2893" i="2"/>
  <c r="A2893" i="2"/>
  <c r="D2892" i="2"/>
  <c r="C2892" i="2"/>
  <c r="B2892" i="2"/>
  <c r="A2892" i="2"/>
  <c r="D2891" i="2"/>
  <c r="C2891" i="2"/>
  <c r="B2891" i="2"/>
  <c r="A2891" i="2"/>
  <c r="D2890" i="2"/>
  <c r="C2890" i="2"/>
  <c r="B2890" i="2"/>
  <c r="A2890" i="2"/>
  <c r="D2889" i="2"/>
  <c r="C2889" i="2"/>
  <c r="B2889" i="2"/>
  <c r="A2889" i="2"/>
  <c r="D2888" i="2"/>
  <c r="C2888" i="2"/>
  <c r="B2888" i="2"/>
  <c r="A2888" i="2"/>
  <c r="D2887" i="2"/>
  <c r="C2887" i="2"/>
  <c r="B2887" i="2"/>
  <c r="A2887" i="2"/>
  <c r="D2886" i="2"/>
  <c r="C2886" i="2"/>
  <c r="B2886" i="2"/>
  <c r="A2886" i="2"/>
  <c r="D2885" i="2"/>
  <c r="C2885" i="2"/>
  <c r="B2885" i="2"/>
  <c r="A2885" i="2"/>
  <c r="D2884" i="2"/>
  <c r="C2884" i="2"/>
  <c r="B2884" i="2"/>
  <c r="A2884" i="2"/>
  <c r="D2883" i="2"/>
  <c r="C2883" i="2"/>
  <c r="B2883" i="2"/>
  <c r="A2883" i="2"/>
  <c r="D2882" i="2"/>
  <c r="C2882" i="2"/>
  <c r="B2882" i="2"/>
  <c r="A2882" i="2"/>
  <c r="D2881" i="2"/>
  <c r="C2881" i="2"/>
  <c r="B2881" i="2"/>
  <c r="A2881" i="2"/>
  <c r="D2880" i="2"/>
  <c r="C2880" i="2"/>
  <c r="B2880" i="2"/>
  <c r="A2880" i="2"/>
  <c r="D2879" i="2"/>
  <c r="C2879" i="2"/>
  <c r="B2879" i="2"/>
  <c r="A2879" i="2"/>
  <c r="D2878" i="2"/>
  <c r="C2878" i="2"/>
  <c r="B2878" i="2"/>
  <c r="A2878" i="2"/>
  <c r="D2877" i="2"/>
  <c r="C2877" i="2"/>
  <c r="B2877" i="2"/>
  <c r="A2877" i="2"/>
  <c r="D2876" i="2"/>
  <c r="C2876" i="2"/>
  <c r="B2876" i="2"/>
  <c r="A2876" i="2"/>
  <c r="D2875" i="2"/>
  <c r="C2875" i="2"/>
  <c r="B2875" i="2"/>
  <c r="A2875" i="2"/>
  <c r="D2874" i="2"/>
  <c r="C2874" i="2"/>
  <c r="B2874" i="2"/>
  <c r="A2874" i="2"/>
  <c r="D2873" i="2"/>
  <c r="C2873" i="2"/>
  <c r="B2873" i="2"/>
  <c r="A2873" i="2"/>
  <c r="D2872" i="2"/>
  <c r="C2872" i="2"/>
  <c r="B2872" i="2"/>
  <c r="A2872" i="2"/>
  <c r="D2871" i="2"/>
  <c r="C2871" i="2"/>
  <c r="B2871" i="2"/>
  <c r="A2871" i="2"/>
  <c r="D2870" i="2"/>
  <c r="C2870" i="2"/>
  <c r="B2870" i="2"/>
  <c r="A2870" i="2"/>
  <c r="D2869" i="2"/>
  <c r="C2869" i="2"/>
  <c r="B2869" i="2"/>
  <c r="A2869" i="2"/>
  <c r="D2868" i="2"/>
  <c r="C2868" i="2"/>
  <c r="B2868" i="2"/>
  <c r="A2868" i="2"/>
  <c r="D2867" i="2"/>
  <c r="C2867" i="2"/>
  <c r="B2867" i="2"/>
  <c r="A2867" i="2"/>
  <c r="D2866" i="2"/>
  <c r="C2866" i="2"/>
  <c r="B2866" i="2"/>
  <c r="A2866" i="2"/>
  <c r="D2865" i="2"/>
  <c r="C2865" i="2"/>
  <c r="B2865" i="2"/>
  <c r="A2865" i="2"/>
  <c r="D2864" i="2"/>
  <c r="C2864" i="2"/>
  <c r="B2864" i="2"/>
  <c r="A2864" i="2"/>
  <c r="D2863" i="2"/>
  <c r="C2863" i="2"/>
  <c r="B2863" i="2"/>
  <c r="A2863" i="2"/>
  <c r="D2862" i="2"/>
  <c r="C2862" i="2"/>
  <c r="B2862" i="2"/>
  <c r="A2862" i="2"/>
  <c r="D2861" i="2"/>
  <c r="C2861" i="2"/>
  <c r="B2861" i="2"/>
  <c r="A2861" i="2"/>
  <c r="D2860" i="2"/>
  <c r="C2860" i="2"/>
  <c r="B2860" i="2"/>
  <c r="A2860" i="2"/>
  <c r="D2859" i="2"/>
  <c r="C2859" i="2"/>
  <c r="B2859" i="2"/>
  <c r="A2859" i="2"/>
  <c r="D2858" i="2"/>
  <c r="C2858" i="2"/>
  <c r="B2858" i="2"/>
  <c r="A2858" i="2"/>
  <c r="D2857" i="2"/>
  <c r="C2857" i="2"/>
  <c r="B2857" i="2"/>
  <c r="A2857" i="2"/>
  <c r="D2856" i="2"/>
  <c r="C2856" i="2"/>
  <c r="B2856" i="2"/>
  <c r="A2856" i="2"/>
  <c r="D2855" i="2"/>
  <c r="C2855" i="2"/>
  <c r="B2855" i="2"/>
  <c r="A2855" i="2"/>
  <c r="D2854" i="2"/>
  <c r="C2854" i="2"/>
  <c r="B2854" i="2"/>
  <c r="A2854" i="2"/>
  <c r="D2853" i="2"/>
  <c r="C2853" i="2"/>
  <c r="B2853" i="2"/>
  <c r="A2853" i="2"/>
  <c r="D2852" i="2"/>
  <c r="C2852" i="2"/>
  <c r="B2852" i="2"/>
  <c r="A2852" i="2"/>
  <c r="D2851" i="2"/>
  <c r="C2851" i="2"/>
  <c r="B2851" i="2"/>
  <c r="A2851" i="2"/>
  <c r="D2850" i="2"/>
  <c r="C2850" i="2"/>
  <c r="B2850" i="2"/>
  <c r="A2850" i="2"/>
  <c r="D2849" i="2"/>
  <c r="C2849" i="2"/>
  <c r="B2849" i="2"/>
  <c r="A2849" i="2"/>
  <c r="D2848" i="2"/>
  <c r="C2848" i="2"/>
  <c r="B2848" i="2"/>
  <c r="A2848" i="2"/>
  <c r="D2847" i="2"/>
  <c r="C2847" i="2"/>
  <c r="B2847" i="2"/>
  <c r="A2847" i="2"/>
  <c r="D2846" i="2"/>
  <c r="C2846" i="2"/>
  <c r="B2846" i="2"/>
  <c r="A2846" i="2"/>
  <c r="D2845" i="2"/>
  <c r="C2845" i="2"/>
  <c r="B2845" i="2"/>
  <c r="A2845" i="2"/>
  <c r="D2844" i="2"/>
  <c r="C2844" i="2"/>
  <c r="B2844" i="2"/>
  <c r="A2844" i="2"/>
  <c r="D2843" i="2"/>
  <c r="C2843" i="2"/>
  <c r="B2843" i="2"/>
  <c r="A2843" i="2"/>
  <c r="D2842" i="2"/>
  <c r="C2842" i="2"/>
  <c r="B2842" i="2"/>
  <c r="A2842" i="2"/>
  <c r="D2841" i="2"/>
  <c r="C2841" i="2"/>
  <c r="B2841" i="2"/>
  <c r="A2841" i="2"/>
  <c r="D2840" i="2"/>
  <c r="C2840" i="2"/>
  <c r="B2840" i="2"/>
  <c r="A2840" i="2"/>
  <c r="D2839" i="2"/>
  <c r="C2839" i="2"/>
  <c r="B2839" i="2"/>
  <c r="A2839" i="2"/>
  <c r="D2838" i="2"/>
  <c r="C2838" i="2"/>
  <c r="B2838" i="2"/>
  <c r="A2838" i="2"/>
  <c r="D2837" i="2"/>
  <c r="C2837" i="2"/>
  <c r="B2837" i="2"/>
  <c r="A2837" i="2"/>
  <c r="D2836" i="2"/>
  <c r="C2836" i="2"/>
  <c r="B2836" i="2"/>
  <c r="A2836" i="2"/>
  <c r="D2835" i="2"/>
  <c r="C2835" i="2"/>
  <c r="B2835" i="2"/>
  <c r="A2835" i="2"/>
  <c r="D2834" i="2"/>
  <c r="C2834" i="2"/>
  <c r="B2834" i="2"/>
  <c r="A2834" i="2"/>
  <c r="D2833" i="2"/>
  <c r="C2833" i="2"/>
  <c r="B2833" i="2"/>
  <c r="A2833" i="2"/>
  <c r="D2832" i="2"/>
  <c r="C2832" i="2"/>
  <c r="B2832" i="2"/>
  <c r="A2832" i="2"/>
  <c r="D2831" i="2"/>
  <c r="C2831" i="2"/>
  <c r="B2831" i="2"/>
  <c r="A2831" i="2"/>
  <c r="D2830" i="2"/>
  <c r="C2830" i="2"/>
  <c r="B2830" i="2"/>
  <c r="A2830" i="2"/>
  <c r="D2829" i="2"/>
  <c r="C2829" i="2"/>
  <c r="B2829" i="2"/>
  <c r="A2829" i="2"/>
  <c r="D2828" i="2"/>
  <c r="C2828" i="2"/>
  <c r="B2828" i="2"/>
  <c r="A2828" i="2"/>
  <c r="D2827" i="2"/>
  <c r="C2827" i="2"/>
  <c r="B2827" i="2"/>
  <c r="A2827" i="2"/>
  <c r="D2826" i="2"/>
  <c r="B2826" i="2"/>
  <c r="A2826" i="2"/>
  <c r="D2825" i="2"/>
  <c r="C2825" i="2"/>
  <c r="B2825" i="2"/>
  <c r="A2825" i="2"/>
  <c r="D2824" i="2"/>
  <c r="C2824" i="2"/>
  <c r="B2824" i="2"/>
  <c r="A2824" i="2"/>
  <c r="D2823" i="2"/>
  <c r="C2823" i="2"/>
  <c r="B2823" i="2"/>
  <c r="A2823" i="2"/>
  <c r="D2822" i="2"/>
  <c r="C2822" i="2"/>
  <c r="B2822" i="2"/>
  <c r="A2822" i="2"/>
  <c r="D2821" i="2"/>
  <c r="C2821" i="2"/>
  <c r="B2821" i="2"/>
  <c r="A2821" i="2"/>
  <c r="D2820" i="2"/>
  <c r="C2820" i="2"/>
  <c r="B2820" i="2"/>
  <c r="A2820" i="2"/>
  <c r="D2819" i="2"/>
  <c r="C2819" i="2"/>
  <c r="B2819" i="2"/>
  <c r="A2819" i="2"/>
  <c r="D2818" i="2"/>
  <c r="C2818" i="2"/>
  <c r="B2818" i="2"/>
  <c r="A2818" i="2"/>
  <c r="D2817" i="2"/>
  <c r="C2817" i="2"/>
  <c r="B2817" i="2"/>
  <c r="A2817" i="2"/>
  <c r="D2816" i="2"/>
  <c r="C2816" i="2"/>
  <c r="B2816" i="2"/>
  <c r="A2816" i="2"/>
  <c r="D2815" i="2"/>
  <c r="C2815" i="2"/>
  <c r="B2815" i="2"/>
  <c r="A2815" i="2"/>
  <c r="D2814" i="2"/>
  <c r="C2814" i="2"/>
  <c r="B2814" i="2"/>
  <c r="A2814" i="2"/>
  <c r="D2813" i="2"/>
  <c r="C2813" i="2"/>
  <c r="B2813" i="2"/>
  <c r="A2813" i="2"/>
  <c r="D2812" i="2"/>
  <c r="C2812" i="2"/>
  <c r="B2812" i="2"/>
  <c r="A2812" i="2"/>
  <c r="D2811" i="2"/>
  <c r="C2811" i="2"/>
  <c r="B2811" i="2"/>
  <c r="A2811" i="2"/>
  <c r="D2810" i="2"/>
  <c r="C2810" i="2"/>
  <c r="B2810" i="2"/>
  <c r="A2810" i="2"/>
  <c r="D2809" i="2"/>
  <c r="C2809" i="2"/>
  <c r="B2809" i="2"/>
  <c r="A2809" i="2"/>
  <c r="D2808" i="2"/>
  <c r="C2808" i="2"/>
  <c r="B2808" i="2"/>
  <c r="A2808" i="2"/>
  <c r="D2807" i="2"/>
  <c r="C2807" i="2"/>
  <c r="B2807" i="2"/>
  <c r="A2807" i="2"/>
  <c r="D2806" i="2"/>
  <c r="C2806" i="2"/>
  <c r="B2806" i="2"/>
  <c r="A2806" i="2"/>
  <c r="D2805" i="2"/>
  <c r="C2805" i="2"/>
  <c r="B2805" i="2"/>
  <c r="A2805" i="2"/>
  <c r="D2804" i="2"/>
  <c r="C2804" i="2"/>
  <c r="B2804" i="2"/>
  <c r="A2804" i="2"/>
  <c r="D2803" i="2"/>
  <c r="C2803" i="2"/>
  <c r="B2803" i="2"/>
  <c r="A2803" i="2"/>
  <c r="D2802" i="2"/>
  <c r="C2802" i="2"/>
  <c r="B2802" i="2"/>
  <c r="A2802" i="2"/>
  <c r="D2801" i="2"/>
  <c r="C2801" i="2"/>
  <c r="B2801" i="2"/>
  <c r="A2801" i="2"/>
  <c r="D2800" i="2"/>
  <c r="C2800" i="2"/>
  <c r="B2800" i="2"/>
  <c r="A2800" i="2"/>
  <c r="D2799" i="2"/>
  <c r="C2799" i="2"/>
  <c r="B2799" i="2"/>
  <c r="A2799" i="2"/>
  <c r="D2798" i="2"/>
  <c r="C2798" i="2"/>
  <c r="B2798" i="2"/>
  <c r="A2798" i="2"/>
  <c r="D2797" i="2"/>
  <c r="C2797" i="2"/>
  <c r="B2797" i="2"/>
  <c r="A2797" i="2"/>
  <c r="D2796" i="2"/>
  <c r="C2796" i="2"/>
  <c r="B2796" i="2"/>
  <c r="A2796" i="2"/>
  <c r="D2795" i="2"/>
  <c r="C2795" i="2"/>
  <c r="B2795" i="2"/>
  <c r="A2795" i="2"/>
  <c r="D2794" i="2"/>
  <c r="C2794" i="2"/>
  <c r="B2794" i="2"/>
  <c r="A2794" i="2"/>
  <c r="D2793" i="2"/>
  <c r="C2793" i="2"/>
  <c r="B2793" i="2"/>
  <c r="A2793" i="2"/>
  <c r="D2792" i="2"/>
  <c r="C2792" i="2"/>
  <c r="B2792" i="2"/>
  <c r="A2792" i="2"/>
  <c r="D2791" i="2"/>
  <c r="C2791" i="2"/>
  <c r="B2791" i="2"/>
  <c r="A2791" i="2"/>
  <c r="D2790" i="2"/>
  <c r="C2790" i="2"/>
  <c r="B2790" i="2"/>
  <c r="A2790" i="2"/>
  <c r="D2789" i="2"/>
  <c r="C2789" i="2"/>
  <c r="B2789" i="2"/>
  <c r="A2789" i="2"/>
  <c r="D2788" i="2"/>
  <c r="C2788" i="2"/>
  <c r="B2788" i="2"/>
  <c r="A2788" i="2"/>
  <c r="D2787" i="2"/>
  <c r="C2787" i="2"/>
  <c r="B2787" i="2"/>
  <c r="A2787" i="2"/>
  <c r="D2786" i="2"/>
  <c r="C2786" i="2"/>
  <c r="B2786" i="2"/>
  <c r="A2786" i="2"/>
  <c r="D2785" i="2"/>
  <c r="C2785" i="2"/>
  <c r="B2785" i="2"/>
  <c r="A2785" i="2"/>
  <c r="D2784" i="2"/>
  <c r="C2784" i="2"/>
  <c r="B2784" i="2"/>
  <c r="A2784" i="2"/>
  <c r="D2783" i="2"/>
  <c r="C2783" i="2"/>
  <c r="B2783" i="2"/>
  <c r="A2783" i="2"/>
  <c r="D2782" i="2"/>
  <c r="C2782" i="2"/>
  <c r="B2782" i="2"/>
  <c r="A2782" i="2"/>
  <c r="D2781" i="2"/>
  <c r="C2781" i="2"/>
  <c r="B2781" i="2"/>
  <c r="A2781" i="2"/>
  <c r="D2780" i="2"/>
  <c r="C2780" i="2"/>
  <c r="B2780" i="2"/>
  <c r="A2780" i="2"/>
  <c r="D2779" i="2"/>
  <c r="C2779" i="2"/>
  <c r="B2779" i="2"/>
  <c r="A2779" i="2"/>
  <c r="D2778" i="2"/>
  <c r="C2778" i="2"/>
  <c r="B2778" i="2"/>
  <c r="A2778" i="2"/>
  <c r="D2777" i="2"/>
  <c r="C2777" i="2"/>
  <c r="B2777" i="2"/>
  <c r="A2777" i="2"/>
  <c r="D2776" i="2"/>
  <c r="C2776" i="2"/>
  <c r="B2776" i="2"/>
  <c r="A2776" i="2"/>
  <c r="D2775" i="2"/>
  <c r="C2775" i="2"/>
  <c r="B2775" i="2"/>
  <c r="A2775" i="2"/>
  <c r="D2774" i="2"/>
  <c r="C2774" i="2"/>
  <c r="B2774" i="2"/>
  <c r="A2774" i="2"/>
  <c r="D2773" i="2"/>
  <c r="C2773" i="2"/>
  <c r="B2773" i="2"/>
  <c r="A2773" i="2"/>
  <c r="D2772" i="2"/>
  <c r="C2772" i="2"/>
  <c r="B2772" i="2"/>
  <c r="A2772" i="2"/>
  <c r="D2771" i="2"/>
  <c r="C2771" i="2"/>
  <c r="B2771" i="2"/>
  <c r="A2771" i="2"/>
  <c r="D2770" i="2"/>
  <c r="C2770" i="2"/>
  <c r="B2770" i="2"/>
  <c r="A2770" i="2"/>
  <c r="D2769" i="2"/>
  <c r="C2769" i="2"/>
  <c r="B2769" i="2"/>
  <c r="A2769" i="2"/>
  <c r="D2768" i="2"/>
  <c r="C2768" i="2"/>
  <c r="B2768" i="2"/>
  <c r="A2768" i="2"/>
  <c r="D2767" i="2"/>
  <c r="C2767" i="2"/>
  <c r="B2767" i="2"/>
  <c r="A2767" i="2"/>
  <c r="D2766" i="2"/>
  <c r="C2766" i="2"/>
  <c r="B2766" i="2"/>
  <c r="A2766" i="2"/>
  <c r="D2765" i="2"/>
  <c r="C2765" i="2"/>
  <c r="B2765" i="2"/>
  <c r="A2765" i="2"/>
  <c r="D2764" i="2"/>
  <c r="C2764" i="2"/>
  <c r="B2764" i="2"/>
  <c r="A2764" i="2"/>
  <c r="D2763" i="2"/>
  <c r="C2763" i="2"/>
  <c r="B2763" i="2"/>
  <c r="A2763" i="2"/>
  <c r="D2762" i="2"/>
  <c r="C2762" i="2"/>
  <c r="B2762" i="2"/>
  <c r="A2762" i="2"/>
  <c r="D2761" i="2"/>
  <c r="C2761" i="2"/>
  <c r="B2761" i="2"/>
  <c r="A2761" i="2"/>
  <c r="D2760" i="2"/>
  <c r="C2760" i="2"/>
  <c r="B2760" i="2"/>
  <c r="A2760" i="2"/>
  <c r="D2759" i="2"/>
  <c r="C2759" i="2"/>
  <c r="B2759" i="2"/>
  <c r="A2759" i="2"/>
  <c r="D2758" i="2"/>
  <c r="C2758" i="2"/>
  <c r="B2758" i="2"/>
  <c r="A2758" i="2"/>
  <c r="D2757" i="2"/>
  <c r="C2757" i="2"/>
  <c r="B2757" i="2"/>
  <c r="A2757" i="2"/>
  <c r="D2756" i="2"/>
  <c r="C2756" i="2"/>
  <c r="B2756" i="2"/>
  <c r="A2756" i="2"/>
  <c r="D2755" i="2"/>
  <c r="C2755" i="2"/>
  <c r="B2755" i="2"/>
  <c r="A2755" i="2"/>
  <c r="D2754" i="2"/>
  <c r="C2754" i="2"/>
  <c r="B2754" i="2"/>
  <c r="A2754" i="2"/>
  <c r="D2753" i="2"/>
  <c r="C2753" i="2"/>
  <c r="B2753" i="2"/>
  <c r="A2753" i="2"/>
  <c r="D2752" i="2"/>
  <c r="C2752" i="2"/>
  <c r="B2752" i="2"/>
  <c r="A2752" i="2"/>
  <c r="D2751" i="2"/>
  <c r="C2751" i="2"/>
  <c r="B2751" i="2"/>
  <c r="A2751" i="2"/>
  <c r="D2750" i="2"/>
  <c r="C2750" i="2"/>
  <c r="B2750" i="2"/>
  <c r="A2750" i="2"/>
  <c r="D2749" i="2"/>
  <c r="C2749" i="2"/>
  <c r="B2749" i="2"/>
  <c r="A2749" i="2"/>
  <c r="D2748" i="2"/>
  <c r="C2748" i="2"/>
  <c r="B2748" i="2"/>
  <c r="A2748" i="2"/>
  <c r="D2747" i="2"/>
  <c r="C2747" i="2"/>
  <c r="B2747" i="2"/>
  <c r="A2747" i="2"/>
  <c r="D2746" i="2"/>
  <c r="C2746" i="2"/>
  <c r="B2746" i="2"/>
  <c r="A2746" i="2"/>
  <c r="D2745" i="2"/>
  <c r="C2745" i="2"/>
  <c r="B2745" i="2"/>
  <c r="A2745" i="2"/>
  <c r="D2744" i="2"/>
  <c r="C2744" i="2"/>
  <c r="B2744" i="2"/>
  <c r="A2744" i="2"/>
  <c r="D2743" i="2"/>
  <c r="C2743" i="2"/>
  <c r="B2743" i="2"/>
  <c r="A2743" i="2"/>
  <c r="D2742" i="2"/>
  <c r="C2742" i="2"/>
  <c r="B2742" i="2"/>
  <c r="A2742" i="2"/>
  <c r="D2741" i="2"/>
  <c r="C2741" i="2"/>
  <c r="B2741" i="2"/>
  <c r="A2741" i="2"/>
  <c r="D2740" i="2"/>
  <c r="C2740" i="2"/>
  <c r="B2740" i="2"/>
  <c r="A2740" i="2"/>
  <c r="D2739" i="2"/>
  <c r="C2739" i="2"/>
  <c r="B2739" i="2"/>
  <c r="A2739" i="2"/>
  <c r="D2738" i="2"/>
  <c r="C2738" i="2"/>
  <c r="B2738" i="2"/>
  <c r="A2738" i="2"/>
  <c r="D2737" i="2"/>
  <c r="C2737" i="2"/>
  <c r="B2737" i="2"/>
  <c r="A2737" i="2"/>
  <c r="D2736" i="2"/>
  <c r="C2736" i="2"/>
  <c r="B2736" i="2"/>
  <c r="A2736" i="2"/>
  <c r="D2735" i="2"/>
  <c r="C2735" i="2"/>
  <c r="B2735" i="2"/>
  <c r="A2735" i="2"/>
  <c r="D2734" i="2"/>
  <c r="C2734" i="2"/>
  <c r="B2734" i="2"/>
  <c r="A2734" i="2"/>
  <c r="D2733" i="2"/>
  <c r="B2733" i="2"/>
  <c r="A2733" i="2"/>
  <c r="D2732" i="2"/>
  <c r="B2732" i="2"/>
  <c r="A2732" i="2"/>
  <c r="D2731" i="2"/>
  <c r="C2731" i="2"/>
  <c r="B2731" i="2"/>
  <c r="A2731" i="2"/>
  <c r="D2730" i="2"/>
  <c r="C2730" i="2"/>
  <c r="B2730" i="2"/>
  <c r="A2730" i="2"/>
  <c r="D2729" i="2"/>
  <c r="B2729" i="2"/>
  <c r="A2729" i="2"/>
  <c r="D2728" i="2"/>
  <c r="B2728" i="2"/>
  <c r="A2728" i="2"/>
  <c r="D2727" i="2"/>
  <c r="C2727" i="2"/>
  <c r="B2727" i="2"/>
  <c r="A2727" i="2"/>
  <c r="D2726" i="2"/>
  <c r="B2726" i="2"/>
  <c r="A2726" i="2"/>
  <c r="D2725" i="2"/>
  <c r="C2725" i="2"/>
  <c r="B2725" i="2"/>
  <c r="A2725" i="2"/>
  <c r="D2724" i="2"/>
  <c r="B2724" i="2"/>
  <c r="A2724" i="2"/>
  <c r="D2723" i="2"/>
  <c r="C2723" i="2"/>
  <c r="B2723" i="2"/>
  <c r="A2723" i="2"/>
  <c r="D2722" i="2"/>
  <c r="B2722" i="2"/>
  <c r="A2722" i="2"/>
  <c r="D2721" i="2"/>
  <c r="B2721" i="2"/>
  <c r="A2721" i="2"/>
  <c r="D2720" i="2"/>
  <c r="B2720" i="2"/>
  <c r="A2720" i="2"/>
  <c r="D2719" i="2"/>
  <c r="B2719" i="2"/>
  <c r="A2719" i="2"/>
  <c r="D2718" i="2"/>
  <c r="B2718" i="2"/>
  <c r="A2718" i="2"/>
  <c r="D2717" i="2"/>
  <c r="B2717" i="2"/>
  <c r="A2717" i="2"/>
  <c r="D2716" i="2"/>
  <c r="B2716" i="2"/>
  <c r="A2716" i="2"/>
  <c r="D2715" i="2"/>
  <c r="C2715" i="2"/>
  <c r="B2715" i="2"/>
  <c r="A2715" i="2"/>
  <c r="D2714" i="2"/>
  <c r="B2714" i="2"/>
  <c r="A2714" i="2"/>
  <c r="D2713" i="2"/>
  <c r="B2713" i="2"/>
  <c r="A2713" i="2"/>
  <c r="D2712" i="2"/>
  <c r="C2712" i="2"/>
  <c r="B2712" i="2"/>
  <c r="A2712" i="2"/>
  <c r="D2711" i="2"/>
  <c r="B2711" i="2"/>
  <c r="A2711" i="2"/>
  <c r="D2710" i="2"/>
  <c r="B2710" i="2"/>
  <c r="A2710" i="2"/>
  <c r="D2709" i="2"/>
  <c r="C2709" i="2"/>
  <c r="B2709" i="2"/>
  <c r="A2709" i="2"/>
  <c r="D2708" i="2"/>
  <c r="C2708" i="2"/>
  <c r="B2708" i="2"/>
  <c r="A2708" i="2"/>
  <c r="D2707" i="2"/>
  <c r="C2707" i="2"/>
  <c r="B2707" i="2"/>
  <c r="A2707" i="2"/>
  <c r="D2706" i="2"/>
  <c r="C2706" i="2"/>
  <c r="B2706" i="2"/>
  <c r="A2706" i="2"/>
  <c r="D2705" i="2"/>
  <c r="C2705" i="2"/>
  <c r="B2705" i="2"/>
  <c r="A2705" i="2"/>
  <c r="D2704" i="2"/>
  <c r="B2704" i="2"/>
  <c r="A2704" i="2"/>
  <c r="D2703" i="2"/>
  <c r="C2703" i="2"/>
  <c r="B2703" i="2"/>
  <c r="A2703" i="2"/>
  <c r="D2702" i="2"/>
  <c r="C2702" i="2"/>
  <c r="B2702" i="2"/>
  <c r="A2702" i="2"/>
  <c r="D2701" i="2"/>
  <c r="C2701" i="2"/>
  <c r="B2701" i="2"/>
  <c r="A2701" i="2"/>
  <c r="D2700" i="2"/>
  <c r="B2700" i="2"/>
  <c r="A2700" i="2"/>
  <c r="D2699" i="2"/>
  <c r="C2699" i="2"/>
  <c r="B2699" i="2"/>
  <c r="A2699" i="2"/>
  <c r="D2698" i="2"/>
  <c r="B2698" i="2"/>
  <c r="A2698" i="2"/>
  <c r="D2697" i="2"/>
  <c r="B2697" i="2"/>
  <c r="A2697" i="2"/>
  <c r="D2696" i="2"/>
  <c r="B2696" i="2"/>
  <c r="A2696" i="2"/>
  <c r="D2695" i="2"/>
  <c r="C2695" i="2"/>
  <c r="B2695" i="2"/>
  <c r="A2695" i="2"/>
  <c r="D2694" i="2"/>
  <c r="C2694" i="2"/>
  <c r="B2694" i="2"/>
  <c r="A2694" i="2"/>
  <c r="D2693" i="2"/>
  <c r="B2693" i="2"/>
  <c r="A2693" i="2"/>
  <c r="D2692" i="2"/>
  <c r="C2692" i="2"/>
  <c r="B2692" i="2"/>
  <c r="A2692" i="2"/>
  <c r="D2691" i="2"/>
  <c r="C2691" i="2"/>
  <c r="B2691" i="2"/>
  <c r="A2691" i="2"/>
  <c r="D2690" i="2"/>
  <c r="C2690" i="2"/>
  <c r="B2690" i="2"/>
  <c r="A2690" i="2"/>
  <c r="D2689" i="2"/>
  <c r="C2689" i="2"/>
  <c r="B2689" i="2"/>
  <c r="A2689" i="2"/>
  <c r="D2688" i="2"/>
  <c r="B2688" i="2"/>
  <c r="A2688" i="2"/>
  <c r="D2687" i="2"/>
  <c r="C2687" i="2"/>
  <c r="B2687" i="2"/>
  <c r="A2687" i="2"/>
  <c r="D2686" i="2"/>
  <c r="B2686" i="2"/>
  <c r="A2686" i="2"/>
  <c r="D2685" i="2"/>
  <c r="C2685" i="2"/>
  <c r="B2685" i="2"/>
  <c r="A2685" i="2"/>
  <c r="D2684" i="2"/>
  <c r="B2684" i="2"/>
  <c r="A2684" i="2"/>
  <c r="D2683" i="2"/>
  <c r="C2683" i="2"/>
  <c r="B2683" i="2"/>
  <c r="A2683" i="2"/>
  <c r="D2682" i="2"/>
  <c r="C2682" i="2"/>
  <c r="B2682" i="2"/>
  <c r="A2682" i="2"/>
  <c r="D2681" i="2"/>
  <c r="C2681" i="2"/>
  <c r="B2681" i="2"/>
  <c r="A2681" i="2"/>
  <c r="D2680" i="2"/>
  <c r="C2680" i="2"/>
  <c r="B2680" i="2"/>
  <c r="A2680" i="2"/>
  <c r="D2679" i="2"/>
  <c r="C2679" i="2"/>
  <c r="B2679" i="2"/>
  <c r="A2679" i="2"/>
  <c r="D2678" i="2"/>
  <c r="C2678" i="2"/>
  <c r="B2678" i="2"/>
  <c r="A2678" i="2"/>
  <c r="D2677" i="2"/>
  <c r="C2677" i="2"/>
  <c r="B2677" i="2"/>
  <c r="A2677" i="2"/>
  <c r="D2676" i="2"/>
  <c r="C2676" i="2"/>
  <c r="B2676" i="2"/>
  <c r="A2676" i="2"/>
  <c r="D2675" i="2"/>
  <c r="C2675" i="2"/>
  <c r="B2675" i="2"/>
  <c r="A2675" i="2"/>
  <c r="D2674" i="2"/>
  <c r="C2674" i="2"/>
  <c r="B2674" i="2"/>
  <c r="A2674" i="2"/>
  <c r="D2673" i="2"/>
  <c r="C2673" i="2"/>
  <c r="B2673" i="2"/>
  <c r="A2673" i="2"/>
  <c r="D2672" i="2"/>
  <c r="C2672" i="2"/>
  <c r="B2672" i="2"/>
  <c r="A2672" i="2"/>
  <c r="D2671" i="2"/>
  <c r="C2671" i="2"/>
  <c r="B2671" i="2"/>
  <c r="A2671" i="2"/>
  <c r="D2670" i="2"/>
  <c r="C2670" i="2"/>
  <c r="B2670" i="2"/>
  <c r="A2670" i="2"/>
  <c r="D2669" i="2"/>
  <c r="C2669" i="2"/>
  <c r="B2669" i="2"/>
  <c r="A2669" i="2"/>
  <c r="D2668" i="2"/>
  <c r="C2668" i="2"/>
  <c r="B2668" i="2"/>
  <c r="A2668" i="2"/>
  <c r="D2667" i="2"/>
  <c r="C2667" i="2"/>
  <c r="B2667" i="2"/>
  <c r="A2667" i="2"/>
  <c r="D2666" i="2"/>
  <c r="C2666" i="2"/>
  <c r="B2666" i="2"/>
  <c r="A2666" i="2"/>
  <c r="D2665" i="2"/>
  <c r="C2665" i="2"/>
  <c r="B2665" i="2"/>
  <c r="A2665" i="2"/>
  <c r="D2664" i="2"/>
  <c r="C2664" i="2"/>
  <c r="B2664" i="2"/>
  <c r="A2664" i="2"/>
  <c r="D2663" i="2"/>
  <c r="C2663" i="2"/>
  <c r="B2663" i="2"/>
  <c r="A2663" i="2"/>
  <c r="D2662" i="2"/>
  <c r="C2662" i="2"/>
  <c r="B2662" i="2"/>
  <c r="A2662" i="2"/>
  <c r="D2661" i="2"/>
  <c r="C2661" i="2"/>
  <c r="B2661" i="2"/>
  <c r="A2661" i="2"/>
  <c r="D2660" i="2"/>
  <c r="C2660" i="2"/>
  <c r="B2660" i="2"/>
  <c r="A2660" i="2"/>
  <c r="D2659" i="2"/>
  <c r="C2659" i="2"/>
  <c r="B2659" i="2"/>
  <c r="A2659" i="2"/>
  <c r="D2658" i="2"/>
  <c r="C2658" i="2"/>
  <c r="B2658" i="2"/>
  <c r="A2658" i="2"/>
  <c r="D2657" i="2"/>
  <c r="C2657" i="2"/>
  <c r="B2657" i="2"/>
  <c r="A2657" i="2"/>
  <c r="D2656" i="2"/>
  <c r="C2656" i="2"/>
  <c r="B2656" i="2"/>
  <c r="A2656" i="2"/>
  <c r="D2655" i="2"/>
  <c r="C2655" i="2"/>
  <c r="B2655" i="2"/>
  <c r="A2655" i="2"/>
  <c r="D2654" i="2"/>
  <c r="C2654" i="2"/>
  <c r="B2654" i="2"/>
  <c r="A2654" i="2"/>
  <c r="D2653" i="2"/>
  <c r="C2653" i="2"/>
  <c r="B2653" i="2"/>
  <c r="A2653" i="2"/>
  <c r="D2652" i="2"/>
  <c r="C2652" i="2"/>
  <c r="B2652" i="2"/>
  <c r="A2652" i="2"/>
  <c r="D2651" i="2"/>
  <c r="C2651" i="2"/>
  <c r="B2651" i="2"/>
  <c r="A2651" i="2"/>
  <c r="D2650" i="2"/>
  <c r="C2650" i="2"/>
  <c r="B2650" i="2"/>
  <c r="A2650" i="2"/>
  <c r="D2649" i="2"/>
  <c r="C2649" i="2"/>
  <c r="B2649" i="2"/>
  <c r="A2649" i="2"/>
  <c r="D2648" i="2"/>
  <c r="C2648" i="2"/>
  <c r="B2648" i="2"/>
  <c r="A2648" i="2"/>
  <c r="D2647" i="2"/>
  <c r="B2647" i="2"/>
  <c r="A2647" i="2"/>
  <c r="D2646" i="2"/>
  <c r="C2646" i="2"/>
  <c r="B2646" i="2"/>
  <c r="A2646" i="2"/>
  <c r="D2645" i="2"/>
  <c r="C2645" i="2"/>
  <c r="B2645" i="2"/>
  <c r="A2645" i="2"/>
  <c r="D2644" i="2"/>
  <c r="C2644" i="2"/>
  <c r="B2644" i="2"/>
  <c r="A2644" i="2"/>
  <c r="D2643" i="2"/>
  <c r="C2643" i="2"/>
  <c r="B2643" i="2"/>
  <c r="A2643" i="2"/>
  <c r="D2642" i="2"/>
  <c r="C2642" i="2"/>
  <c r="B2642" i="2"/>
  <c r="A2642" i="2"/>
  <c r="D2641" i="2"/>
  <c r="C2641" i="2"/>
  <c r="B2641" i="2"/>
  <c r="A2641" i="2"/>
  <c r="D2640" i="2"/>
  <c r="C2640" i="2"/>
  <c r="B2640" i="2"/>
  <c r="A2640" i="2"/>
  <c r="D2639" i="2"/>
  <c r="C2639" i="2"/>
  <c r="B2639" i="2"/>
  <c r="A2639" i="2"/>
  <c r="D2638" i="2"/>
  <c r="C2638" i="2"/>
  <c r="B2638" i="2"/>
  <c r="A2638" i="2"/>
  <c r="D2637" i="2"/>
  <c r="C2637" i="2"/>
  <c r="B2637" i="2"/>
  <c r="A2637" i="2"/>
  <c r="D2636" i="2"/>
  <c r="B2636" i="2"/>
  <c r="A2636" i="2"/>
  <c r="D2635" i="2"/>
  <c r="C2635" i="2"/>
  <c r="B2635" i="2"/>
  <c r="A2635" i="2"/>
  <c r="D2634" i="2"/>
  <c r="C2634" i="2"/>
  <c r="B2634" i="2"/>
  <c r="A2634" i="2"/>
  <c r="D2633" i="2"/>
  <c r="C2633" i="2"/>
  <c r="B2633" i="2"/>
  <c r="A2633" i="2"/>
  <c r="D2632" i="2"/>
  <c r="C2632" i="2"/>
  <c r="B2632" i="2"/>
  <c r="A2632" i="2"/>
  <c r="D2631" i="2"/>
  <c r="C2631" i="2"/>
  <c r="B2631" i="2"/>
  <c r="A2631" i="2"/>
  <c r="D2630" i="2"/>
  <c r="C2630" i="2"/>
  <c r="B2630" i="2"/>
  <c r="A2630" i="2"/>
  <c r="D2629" i="2"/>
  <c r="C2629" i="2"/>
  <c r="B2629" i="2"/>
  <c r="A2629" i="2"/>
  <c r="D2628" i="2"/>
  <c r="C2628" i="2"/>
  <c r="B2628" i="2"/>
  <c r="A2628" i="2"/>
  <c r="D2627" i="2"/>
  <c r="C2627" i="2"/>
  <c r="B2627" i="2"/>
  <c r="A2627" i="2"/>
  <c r="D2626" i="2"/>
  <c r="C2626" i="2"/>
  <c r="B2626" i="2"/>
  <c r="A2626" i="2"/>
  <c r="D2625" i="2"/>
  <c r="C2625" i="2"/>
  <c r="B2625" i="2"/>
  <c r="A2625" i="2"/>
  <c r="D2624" i="2"/>
  <c r="C2624" i="2"/>
  <c r="B2624" i="2"/>
  <c r="A2624" i="2"/>
  <c r="D2623" i="2"/>
  <c r="C2623" i="2"/>
  <c r="B2623" i="2"/>
  <c r="A2623" i="2"/>
  <c r="D2622" i="2"/>
  <c r="C2622" i="2"/>
  <c r="B2622" i="2"/>
  <c r="A2622" i="2"/>
  <c r="D2621" i="2"/>
  <c r="C2621" i="2"/>
  <c r="B2621" i="2"/>
  <c r="A2621" i="2"/>
  <c r="D2620" i="2"/>
  <c r="C2620" i="2"/>
  <c r="B2620" i="2"/>
  <c r="A2620" i="2"/>
  <c r="D2619" i="2"/>
  <c r="C2619" i="2"/>
  <c r="B2619" i="2"/>
  <c r="A2619" i="2"/>
  <c r="D2618" i="2"/>
  <c r="C2618" i="2"/>
  <c r="B2618" i="2"/>
  <c r="A2618" i="2"/>
  <c r="D2617" i="2"/>
  <c r="C2617" i="2"/>
  <c r="B2617" i="2"/>
  <c r="A2617" i="2"/>
  <c r="D2616" i="2"/>
  <c r="C2616" i="2"/>
  <c r="B2616" i="2"/>
  <c r="A2616" i="2"/>
  <c r="D2615" i="2"/>
  <c r="C2615" i="2"/>
  <c r="B2615" i="2"/>
  <c r="A2615" i="2"/>
  <c r="D2614" i="2"/>
  <c r="C2614" i="2"/>
  <c r="B2614" i="2"/>
  <c r="A2614" i="2"/>
  <c r="D2613" i="2"/>
  <c r="C2613" i="2"/>
  <c r="B2613" i="2"/>
  <c r="A2613" i="2"/>
  <c r="D2612" i="2"/>
  <c r="C2612" i="2"/>
  <c r="B2612" i="2"/>
  <c r="A2612" i="2"/>
  <c r="D2611" i="2"/>
  <c r="C2611" i="2"/>
  <c r="B2611" i="2"/>
  <c r="A2611" i="2"/>
  <c r="D2610" i="2"/>
  <c r="C2610" i="2"/>
  <c r="B2610" i="2"/>
  <c r="A2610" i="2"/>
  <c r="D2609" i="2"/>
  <c r="C2609" i="2"/>
  <c r="B2609" i="2"/>
  <c r="A2609" i="2"/>
  <c r="D2608" i="2"/>
  <c r="C2608" i="2"/>
  <c r="B2608" i="2"/>
  <c r="A2608" i="2"/>
  <c r="D2607" i="2"/>
  <c r="C2607" i="2"/>
  <c r="B2607" i="2"/>
  <c r="A2607" i="2"/>
  <c r="D2606" i="2"/>
  <c r="C2606" i="2"/>
  <c r="B2606" i="2"/>
  <c r="A2606" i="2"/>
  <c r="D2605" i="2"/>
  <c r="C2605" i="2"/>
  <c r="B2605" i="2"/>
  <c r="A2605" i="2"/>
  <c r="D2604" i="2"/>
  <c r="C2604" i="2"/>
  <c r="B2604" i="2"/>
  <c r="A2604" i="2"/>
  <c r="D2603" i="2"/>
  <c r="C2603" i="2"/>
  <c r="B2603" i="2"/>
  <c r="A2603" i="2"/>
  <c r="D2602" i="2"/>
  <c r="C2602" i="2"/>
  <c r="B2602" i="2"/>
  <c r="A2602" i="2"/>
  <c r="D2601" i="2"/>
  <c r="C2601" i="2"/>
  <c r="B2601" i="2"/>
  <c r="A2601" i="2"/>
  <c r="D2600" i="2"/>
  <c r="C2600" i="2"/>
  <c r="B2600" i="2"/>
  <c r="A2600" i="2"/>
  <c r="D2599" i="2"/>
  <c r="C2599" i="2"/>
  <c r="B2599" i="2"/>
  <c r="A2599" i="2"/>
  <c r="D2598" i="2"/>
  <c r="C2598" i="2"/>
  <c r="B2598" i="2"/>
  <c r="A2598" i="2"/>
  <c r="D2597" i="2"/>
  <c r="C2597" i="2"/>
  <c r="B2597" i="2"/>
  <c r="A2597" i="2"/>
  <c r="D2596" i="2"/>
  <c r="C2596" i="2"/>
  <c r="B2596" i="2"/>
  <c r="A2596" i="2"/>
  <c r="D2595" i="2"/>
  <c r="C2595" i="2"/>
  <c r="B2595" i="2"/>
  <c r="A2595" i="2"/>
  <c r="D2594" i="2"/>
  <c r="C2594" i="2"/>
  <c r="B2594" i="2"/>
  <c r="A2594" i="2"/>
  <c r="D2593" i="2"/>
  <c r="C2593" i="2"/>
  <c r="B2593" i="2"/>
  <c r="A2593" i="2"/>
  <c r="D2592" i="2"/>
  <c r="C2592" i="2"/>
  <c r="B2592" i="2"/>
  <c r="A2592" i="2"/>
  <c r="D2591" i="2"/>
  <c r="C2591" i="2"/>
  <c r="B2591" i="2"/>
  <c r="A2591" i="2"/>
  <c r="D2590" i="2"/>
  <c r="C2590" i="2"/>
  <c r="B2590" i="2"/>
  <c r="A2590" i="2"/>
  <c r="D2589" i="2"/>
  <c r="C2589" i="2"/>
  <c r="B2589" i="2"/>
  <c r="A2589" i="2"/>
  <c r="D2588" i="2"/>
  <c r="C2588" i="2"/>
  <c r="B2588" i="2"/>
  <c r="A2588" i="2"/>
  <c r="D2587" i="2"/>
  <c r="C2587" i="2"/>
  <c r="B2587" i="2"/>
  <c r="A2587" i="2"/>
  <c r="D2586" i="2"/>
  <c r="C2586" i="2"/>
  <c r="B2586" i="2"/>
  <c r="A2586" i="2"/>
  <c r="D2585" i="2"/>
  <c r="C2585" i="2"/>
  <c r="B2585" i="2"/>
  <c r="A2585" i="2"/>
  <c r="D2584" i="2"/>
  <c r="C2584" i="2"/>
  <c r="B2584" i="2"/>
  <c r="A2584" i="2"/>
  <c r="D2583" i="2"/>
  <c r="C2583" i="2"/>
  <c r="B2583" i="2"/>
  <c r="A2583" i="2"/>
  <c r="D2582" i="2"/>
  <c r="C2582" i="2"/>
  <c r="B2582" i="2"/>
  <c r="A2582" i="2"/>
  <c r="D2581" i="2"/>
  <c r="C2581" i="2"/>
  <c r="B2581" i="2"/>
  <c r="A2581" i="2"/>
  <c r="D2580" i="2"/>
  <c r="C2580" i="2"/>
  <c r="B2580" i="2"/>
  <c r="A2580" i="2"/>
  <c r="D2579" i="2"/>
  <c r="C2579" i="2"/>
  <c r="B2579" i="2"/>
  <c r="A2579" i="2"/>
  <c r="D2578" i="2"/>
  <c r="C2578" i="2"/>
  <c r="B2578" i="2"/>
  <c r="A2578" i="2"/>
  <c r="D2577" i="2"/>
  <c r="C2577" i="2"/>
  <c r="B2577" i="2"/>
  <c r="A2577" i="2"/>
  <c r="D2576" i="2"/>
  <c r="C2576" i="2"/>
  <c r="B2576" i="2"/>
  <c r="A2576" i="2"/>
  <c r="D2575" i="2"/>
  <c r="C2575" i="2"/>
  <c r="B2575" i="2"/>
  <c r="A2575" i="2"/>
  <c r="D2574" i="2"/>
  <c r="C2574" i="2"/>
  <c r="B2574" i="2"/>
  <c r="A2574" i="2"/>
  <c r="D2573" i="2"/>
  <c r="C2573" i="2"/>
  <c r="B2573" i="2"/>
  <c r="A2573" i="2"/>
  <c r="D2572" i="2"/>
  <c r="C2572" i="2"/>
  <c r="B2572" i="2"/>
  <c r="A2572" i="2"/>
  <c r="D2571" i="2"/>
  <c r="C2571" i="2"/>
  <c r="B2571" i="2"/>
  <c r="A2571" i="2"/>
  <c r="D2570" i="2"/>
  <c r="C2570" i="2"/>
  <c r="B2570" i="2"/>
  <c r="A2570" i="2"/>
  <c r="D2569" i="2"/>
  <c r="C2569" i="2"/>
  <c r="B2569" i="2"/>
  <c r="A2569" i="2"/>
  <c r="D2568" i="2"/>
  <c r="C2568" i="2"/>
  <c r="B2568" i="2"/>
  <c r="A2568" i="2"/>
  <c r="D2567" i="2"/>
  <c r="C2567" i="2"/>
  <c r="B2567" i="2"/>
  <c r="A2567" i="2"/>
  <c r="D2566" i="2"/>
  <c r="C2566" i="2"/>
  <c r="B2566" i="2"/>
  <c r="A2566" i="2"/>
  <c r="D2565" i="2"/>
  <c r="C2565" i="2"/>
  <c r="B2565" i="2"/>
  <c r="A2565" i="2"/>
  <c r="D2564" i="2"/>
  <c r="C2564" i="2"/>
  <c r="B2564" i="2"/>
  <c r="A2564" i="2"/>
  <c r="D2563" i="2"/>
  <c r="C2563" i="2"/>
  <c r="B2563" i="2"/>
  <c r="A2563" i="2"/>
  <c r="D2562" i="2"/>
  <c r="C2562" i="2"/>
  <c r="B2562" i="2"/>
  <c r="A2562" i="2"/>
  <c r="D2561" i="2"/>
  <c r="C2561" i="2"/>
  <c r="B2561" i="2"/>
  <c r="A2561" i="2"/>
  <c r="D2560" i="2"/>
  <c r="C2560" i="2"/>
  <c r="B2560" i="2"/>
  <c r="A2560" i="2"/>
  <c r="D2559" i="2"/>
  <c r="C2559" i="2"/>
  <c r="B2559" i="2"/>
  <c r="A2559" i="2"/>
  <c r="D2558" i="2"/>
  <c r="C2558" i="2"/>
  <c r="B2558" i="2"/>
  <c r="A2558" i="2"/>
  <c r="D2557" i="2"/>
  <c r="C2557" i="2"/>
  <c r="B2557" i="2"/>
  <c r="A2557" i="2"/>
  <c r="D2556" i="2"/>
  <c r="C2556" i="2"/>
  <c r="B2556" i="2"/>
  <c r="A2556" i="2"/>
  <c r="D2555" i="2"/>
  <c r="C2555" i="2"/>
  <c r="B2555" i="2"/>
  <c r="A2555" i="2"/>
  <c r="D2554" i="2"/>
  <c r="C2554" i="2"/>
  <c r="B2554" i="2"/>
  <c r="A2554" i="2"/>
  <c r="D2553" i="2"/>
  <c r="C2553" i="2"/>
  <c r="B2553" i="2"/>
  <c r="A2553" i="2"/>
  <c r="D2552" i="2"/>
  <c r="C2552" i="2"/>
  <c r="B2552" i="2"/>
  <c r="A2552" i="2"/>
  <c r="D2551" i="2"/>
  <c r="C2551" i="2"/>
  <c r="B2551" i="2"/>
  <c r="A2551" i="2"/>
  <c r="D2550" i="2"/>
  <c r="C2550" i="2"/>
  <c r="B2550" i="2"/>
  <c r="A2550" i="2"/>
  <c r="D2549" i="2"/>
  <c r="C2549" i="2"/>
  <c r="B2549" i="2"/>
  <c r="A2549" i="2"/>
  <c r="D2548" i="2"/>
  <c r="C2548" i="2"/>
  <c r="B2548" i="2"/>
  <c r="A2548" i="2"/>
  <c r="D2547" i="2"/>
  <c r="C2547" i="2"/>
  <c r="B2547" i="2"/>
  <c r="A2547" i="2"/>
  <c r="D2546" i="2"/>
  <c r="C2546" i="2"/>
  <c r="B2546" i="2"/>
  <c r="A2546" i="2"/>
  <c r="D2545" i="2"/>
  <c r="C2545" i="2"/>
  <c r="B2545" i="2"/>
  <c r="A2545" i="2"/>
  <c r="D2544" i="2"/>
  <c r="C2544" i="2"/>
  <c r="B2544" i="2"/>
  <c r="A2544" i="2"/>
  <c r="D2543" i="2"/>
  <c r="C2543" i="2"/>
  <c r="B2543" i="2"/>
  <c r="A2543" i="2"/>
  <c r="D2542" i="2"/>
  <c r="C2542" i="2"/>
  <c r="B2542" i="2"/>
  <c r="A2542" i="2"/>
  <c r="D2541" i="2"/>
  <c r="C2541" i="2"/>
  <c r="B2541" i="2"/>
  <c r="A2541" i="2"/>
  <c r="D2540" i="2"/>
  <c r="C2540" i="2"/>
  <c r="B2540" i="2"/>
  <c r="A2540" i="2"/>
  <c r="D2539" i="2"/>
  <c r="C2539" i="2"/>
  <c r="B2539" i="2"/>
  <c r="A2539" i="2"/>
  <c r="D2538" i="2"/>
  <c r="C2538" i="2"/>
  <c r="B2538" i="2"/>
  <c r="A2538" i="2"/>
  <c r="D2537" i="2"/>
  <c r="C2537" i="2"/>
  <c r="B2537" i="2"/>
  <c r="A2537" i="2"/>
  <c r="D2536" i="2"/>
  <c r="C2536" i="2"/>
  <c r="B2536" i="2"/>
  <c r="A2536" i="2"/>
  <c r="D2535" i="2"/>
  <c r="C2535" i="2"/>
  <c r="B2535" i="2"/>
  <c r="A2535" i="2"/>
  <c r="D2534" i="2"/>
  <c r="C2534" i="2"/>
  <c r="B2534" i="2"/>
  <c r="A2534" i="2"/>
  <c r="D2533" i="2"/>
  <c r="C2533" i="2"/>
  <c r="B2533" i="2"/>
  <c r="A2533" i="2"/>
  <c r="D2532" i="2"/>
  <c r="C2532" i="2"/>
  <c r="B2532" i="2"/>
  <c r="A2532" i="2"/>
  <c r="D2531" i="2"/>
  <c r="C2531" i="2"/>
  <c r="B2531" i="2"/>
  <c r="A2531" i="2"/>
  <c r="D2530" i="2"/>
  <c r="C2530" i="2"/>
  <c r="B2530" i="2"/>
  <c r="A2530" i="2"/>
  <c r="D2529" i="2"/>
  <c r="C2529" i="2"/>
  <c r="B2529" i="2"/>
  <c r="A2529" i="2"/>
  <c r="D2528" i="2"/>
  <c r="C2528" i="2"/>
  <c r="B2528" i="2"/>
  <c r="A2528" i="2"/>
  <c r="D2527" i="2"/>
  <c r="C2527" i="2"/>
  <c r="B2527" i="2"/>
  <c r="A2527" i="2"/>
  <c r="D2526" i="2"/>
  <c r="C2526" i="2"/>
  <c r="B2526" i="2"/>
  <c r="A2526" i="2"/>
  <c r="D2525" i="2"/>
  <c r="C2525" i="2"/>
  <c r="B2525" i="2"/>
  <c r="A2525" i="2"/>
  <c r="D2524" i="2"/>
  <c r="C2524" i="2"/>
  <c r="B2524" i="2"/>
  <c r="A2524" i="2"/>
  <c r="D2523" i="2"/>
  <c r="C2523" i="2"/>
  <c r="B2523" i="2"/>
  <c r="A2523" i="2"/>
  <c r="D2522" i="2"/>
  <c r="C2522" i="2"/>
  <c r="B2522" i="2"/>
  <c r="A2522" i="2"/>
  <c r="D2521" i="2"/>
  <c r="C2521" i="2"/>
  <c r="B2521" i="2"/>
  <c r="A2521" i="2"/>
  <c r="D2520" i="2"/>
  <c r="C2520" i="2"/>
  <c r="B2520" i="2"/>
  <c r="A2520" i="2"/>
  <c r="D2519" i="2"/>
  <c r="C2519" i="2"/>
  <c r="B2519" i="2"/>
  <c r="A2519" i="2"/>
  <c r="D2518" i="2"/>
  <c r="C2518" i="2"/>
  <c r="B2518" i="2"/>
  <c r="A2518" i="2"/>
  <c r="D2517" i="2"/>
  <c r="C2517" i="2"/>
  <c r="B2517" i="2"/>
  <c r="A2517" i="2"/>
  <c r="D2516" i="2"/>
  <c r="C2516" i="2"/>
  <c r="B2516" i="2"/>
  <c r="A2516" i="2"/>
  <c r="D2515" i="2"/>
  <c r="C2515" i="2"/>
  <c r="B2515" i="2"/>
  <c r="A2515" i="2"/>
  <c r="D2514" i="2"/>
  <c r="C2514" i="2"/>
  <c r="B2514" i="2"/>
  <c r="A2514" i="2"/>
  <c r="D2513" i="2"/>
  <c r="C2513" i="2"/>
  <c r="B2513" i="2"/>
  <c r="A2513" i="2"/>
  <c r="D2512" i="2"/>
  <c r="C2512" i="2"/>
  <c r="B2512" i="2"/>
  <c r="A2512" i="2"/>
  <c r="D2511" i="2"/>
  <c r="C2511" i="2"/>
  <c r="B2511" i="2"/>
  <c r="A2511" i="2"/>
  <c r="D2510" i="2"/>
  <c r="C2510" i="2"/>
  <c r="B2510" i="2"/>
  <c r="A2510" i="2"/>
  <c r="D2509" i="2"/>
  <c r="C2509" i="2"/>
  <c r="B2509" i="2"/>
  <c r="A2509" i="2"/>
  <c r="D2508" i="2"/>
  <c r="C2508" i="2"/>
  <c r="B2508" i="2"/>
  <c r="A2508" i="2"/>
  <c r="D2507" i="2"/>
  <c r="C2507" i="2"/>
  <c r="B2507" i="2"/>
  <c r="A2507" i="2"/>
  <c r="D2506" i="2"/>
  <c r="C2506" i="2"/>
  <c r="B2506" i="2"/>
  <c r="A2506" i="2"/>
  <c r="D2505" i="2"/>
  <c r="C2505" i="2"/>
  <c r="B2505" i="2"/>
  <c r="A2505" i="2"/>
  <c r="D2504" i="2"/>
  <c r="C2504" i="2"/>
  <c r="B2504" i="2"/>
  <c r="A2504" i="2"/>
  <c r="D2503" i="2"/>
  <c r="C2503" i="2"/>
  <c r="B2503" i="2"/>
  <c r="A2503" i="2"/>
  <c r="D2502" i="2"/>
  <c r="C2502" i="2"/>
  <c r="B2502" i="2"/>
  <c r="A2502" i="2"/>
  <c r="D2501" i="2"/>
  <c r="C2501" i="2"/>
  <c r="B2501" i="2"/>
  <c r="A2501" i="2"/>
  <c r="D2500" i="2"/>
  <c r="C2500" i="2"/>
  <c r="B2500" i="2"/>
  <c r="A2500" i="2"/>
  <c r="D2499" i="2"/>
  <c r="C2499" i="2"/>
  <c r="B2499" i="2"/>
  <c r="A2499" i="2"/>
  <c r="D2498" i="2"/>
  <c r="C2498" i="2"/>
  <c r="B2498" i="2"/>
  <c r="A2498" i="2"/>
  <c r="D2497" i="2"/>
  <c r="C2497" i="2"/>
  <c r="B2497" i="2"/>
  <c r="A2497" i="2"/>
  <c r="D2496" i="2"/>
  <c r="C2496" i="2"/>
  <c r="B2496" i="2"/>
  <c r="A2496" i="2"/>
  <c r="D2495" i="2"/>
  <c r="C2495" i="2"/>
  <c r="B2495" i="2"/>
  <c r="A2495" i="2"/>
  <c r="D2494" i="2"/>
  <c r="C2494" i="2"/>
  <c r="B2494" i="2"/>
  <c r="A2494" i="2"/>
  <c r="D2493" i="2"/>
  <c r="C2493" i="2"/>
  <c r="B2493" i="2"/>
  <c r="A2493" i="2"/>
  <c r="D2492" i="2"/>
  <c r="C2492" i="2"/>
  <c r="B2492" i="2"/>
  <c r="A2492" i="2"/>
  <c r="D2491" i="2"/>
  <c r="C2491" i="2"/>
  <c r="B2491" i="2"/>
  <c r="A2491" i="2"/>
  <c r="D2490" i="2"/>
  <c r="C2490" i="2"/>
  <c r="B2490" i="2"/>
  <c r="A2490" i="2"/>
  <c r="D2489" i="2"/>
  <c r="C2489" i="2"/>
  <c r="B2489" i="2"/>
  <c r="A2489" i="2"/>
  <c r="D2488" i="2"/>
  <c r="C2488" i="2"/>
  <c r="B2488" i="2"/>
  <c r="A2488" i="2"/>
  <c r="D2487" i="2"/>
  <c r="C2487" i="2"/>
  <c r="B2487" i="2"/>
  <c r="A2487" i="2"/>
  <c r="D2486" i="2"/>
  <c r="C2486" i="2"/>
  <c r="B2486" i="2"/>
  <c r="A2486" i="2"/>
  <c r="D2485" i="2"/>
  <c r="C2485" i="2"/>
  <c r="B2485" i="2"/>
  <c r="A2485" i="2"/>
  <c r="D2484" i="2"/>
  <c r="C2484" i="2"/>
  <c r="B2484" i="2"/>
  <c r="A2484" i="2"/>
  <c r="D2483" i="2"/>
  <c r="C2483" i="2"/>
  <c r="B2483" i="2"/>
  <c r="A2483" i="2"/>
  <c r="D2482" i="2"/>
  <c r="C2482" i="2"/>
  <c r="B2482" i="2"/>
  <c r="A2482" i="2"/>
  <c r="D2481" i="2"/>
  <c r="C2481" i="2"/>
  <c r="B2481" i="2"/>
  <c r="A2481" i="2"/>
  <c r="D2480" i="2"/>
  <c r="C2480" i="2"/>
  <c r="B2480" i="2"/>
  <c r="A2480" i="2"/>
  <c r="D2479" i="2"/>
  <c r="C2479" i="2"/>
  <c r="B2479" i="2"/>
  <c r="A2479" i="2"/>
  <c r="D2478" i="2"/>
  <c r="C2478" i="2"/>
  <c r="B2478" i="2"/>
  <c r="A2478" i="2"/>
  <c r="D2477" i="2"/>
  <c r="C2477" i="2"/>
  <c r="B2477" i="2"/>
  <c r="A2477" i="2"/>
  <c r="D2476" i="2"/>
  <c r="C2476" i="2"/>
  <c r="B2476" i="2"/>
  <c r="A2476" i="2"/>
  <c r="D2475" i="2"/>
  <c r="C2475" i="2"/>
  <c r="B2475" i="2"/>
  <c r="A2475" i="2"/>
  <c r="D2474" i="2"/>
  <c r="C2474" i="2"/>
  <c r="B2474" i="2"/>
  <c r="A2474" i="2"/>
  <c r="D2473" i="2"/>
  <c r="C2473" i="2"/>
  <c r="B2473" i="2"/>
  <c r="A2473" i="2"/>
  <c r="D2472" i="2"/>
  <c r="C2472" i="2"/>
  <c r="B2472" i="2"/>
  <c r="A2472" i="2"/>
  <c r="D2471" i="2"/>
  <c r="C2471" i="2"/>
  <c r="B2471" i="2"/>
  <c r="A2471" i="2"/>
  <c r="D2470" i="2"/>
  <c r="C2470" i="2"/>
  <c r="B2470" i="2"/>
  <c r="A2470" i="2"/>
  <c r="D2469" i="2"/>
  <c r="C2469" i="2"/>
  <c r="B2469" i="2"/>
  <c r="A2469" i="2"/>
  <c r="D2468" i="2"/>
  <c r="C2468" i="2"/>
  <c r="B2468" i="2"/>
  <c r="A2468" i="2"/>
  <c r="D2467" i="2"/>
  <c r="C2467" i="2"/>
  <c r="B2467" i="2"/>
  <c r="A2467" i="2"/>
  <c r="D2466" i="2"/>
  <c r="C2466" i="2"/>
  <c r="B2466" i="2"/>
  <c r="A2466" i="2"/>
  <c r="D2465" i="2"/>
  <c r="C2465" i="2"/>
  <c r="B2465" i="2"/>
  <c r="A2465" i="2"/>
  <c r="D2464" i="2"/>
  <c r="C2464" i="2"/>
  <c r="B2464" i="2"/>
  <c r="A2464" i="2"/>
  <c r="D2463" i="2"/>
  <c r="C2463" i="2"/>
  <c r="B2463" i="2"/>
  <c r="A2463" i="2"/>
  <c r="D2462" i="2"/>
  <c r="C2462" i="2"/>
  <c r="B2462" i="2"/>
  <c r="A2462" i="2"/>
  <c r="D2461" i="2"/>
  <c r="C2461" i="2"/>
  <c r="B2461" i="2"/>
  <c r="A2461" i="2"/>
  <c r="D2460" i="2"/>
  <c r="C2460" i="2"/>
  <c r="B2460" i="2"/>
  <c r="A2460" i="2"/>
  <c r="D2459" i="2"/>
  <c r="C2459" i="2"/>
  <c r="B2459" i="2"/>
  <c r="A2459" i="2"/>
  <c r="D2458" i="2"/>
  <c r="C2458" i="2"/>
  <c r="B2458" i="2"/>
  <c r="A2458" i="2"/>
  <c r="D2457" i="2"/>
  <c r="C2457" i="2"/>
  <c r="B2457" i="2"/>
  <c r="A2457" i="2"/>
  <c r="D2456" i="2"/>
  <c r="C2456" i="2"/>
  <c r="B2456" i="2"/>
  <c r="A2456" i="2"/>
  <c r="D2455" i="2"/>
  <c r="C2455" i="2"/>
  <c r="B2455" i="2"/>
  <c r="A2455" i="2"/>
  <c r="D2454" i="2"/>
  <c r="C2454" i="2"/>
  <c r="B2454" i="2"/>
  <c r="A2454" i="2"/>
  <c r="D2453" i="2"/>
  <c r="C2453" i="2"/>
  <c r="B2453" i="2"/>
  <c r="A2453" i="2"/>
  <c r="D2452" i="2"/>
  <c r="C2452" i="2"/>
  <c r="B2452" i="2"/>
  <c r="A2452" i="2"/>
  <c r="D2451" i="2"/>
  <c r="C2451" i="2"/>
  <c r="B2451" i="2"/>
  <c r="A2451" i="2"/>
  <c r="D2450" i="2"/>
  <c r="C2450" i="2"/>
  <c r="B2450" i="2"/>
  <c r="A2450" i="2"/>
  <c r="D2449" i="2"/>
  <c r="C2449" i="2"/>
  <c r="B2449" i="2"/>
  <c r="A2449" i="2"/>
  <c r="D2448" i="2"/>
  <c r="C2448" i="2"/>
  <c r="B2448" i="2"/>
  <c r="A2448" i="2"/>
  <c r="D2447" i="2"/>
  <c r="C2447" i="2"/>
  <c r="B2447" i="2"/>
  <c r="A2447" i="2"/>
  <c r="D2446" i="2"/>
  <c r="C2446" i="2"/>
  <c r="B2446" i="2"/>
  <c r="A2446" i="2"/>
  <c r="D2445" i="2"/>
  <c r="C2445" i="2"/>
  <c r="B2445" i="2"/>
  <c r="A2445" i="2"/>
  <c r="D2444" i="2"/>
  <c r="C2444" i="2"/>
  <c r="B2444" i="2"/>
  <c r="A2444" i="2"/>
  <c r="D2443" i="2"/>
  <c r="C2443" i="2"/>
  <c r="B2443" i="2"/>
  <c r="A2443" i="2"/>
  <c r="D2442" i="2"/>
  <c r="C2442" i="2"/>
  <c r="B2442" i="2"/>
  <c r="A2442" i="2"/>
  <c r="D2441" i="2"/>
  <c r="C2441" i="2"/>
  <c r="B2441" i="2"/>
  <c r="A2441" i="2"/>
  <c r="D2440" i="2"/>
  <c r="C2440" i="2"/>
  <c r="B2440" i="2"/>
  <c r="A2440" i="2"/>
  <c r="D2439" i="2"/>
  <c r="C2439" i="2"/>
  <c r="B2439" i="2"/>
  <c r="A2439" i="2"/>
  <c r="D2438" i="2"/>
  <c r="C2438" i="2"/>
  <c r="B2438" i="2"/>
  <c r="A2438" i="2"/>
  <c r="D2437" i="2"/>
  <c r="C2437" i="2"/>
  <c r="B2437" i="2"/>
  <c r="A2437" i="2"/>
  <c r="D2436" i="2"/>
  <c r="C2436" i="2"/>
  <c r="B2436" i="2"/>
  <c r="A2436" i="2"/>
  <c r="D2435" i="2"/>
  <c r="C2435" i="2"/>
  <c r="B2435" i="2"/>
  <c r="A2435" i="2"/>
  <c r="D2434" i="2"/>
  <c r="C2434" i="2"/>
  <c r="B2434" i="2"/>
  <c r="A2434" i="2"/>
  <c r="D2433" i="2"/>
  <c r="C2433" i="2"/>
  <c r="B2433" i="2"/>
  <c r="A2433" i="2"/>
  <c r="D2432" i="2"/>
  <c r="C2432" i="2"/>
  <c r="B2432" i="2"/>
  <c r="A2432" i="2"/>
  <c r="D2431" i="2"/>
  <c r="C2431" i="2"/>
  <c r="B2431" i="2"/>
  <c r="A2431" i="2"/>
  <c r="D2430" i="2"/>
  <c r="C2430" i="2"/>
  <c r="B2430" i="2"/>
  <c r="A2430" i="2"/>
  <c r="D2429" i="2"/>
  <c r="C2429" i="2"/>
  <c r="B2429" i="2"/>
  <c r="A2429" i="2"/>
  <c r="D2428" i="2"/>
  <c r="C2428" i="2"/>
  <c r="B2428" i="2"/>
  <c r="A2428" i="2"/>
  <c r="D2427" i="2"/>
  <c r="C2427" i="2"/>
  <c r="B2427" i="2"/>
  <c r="A2427" i="2"/>
  <c r="D2426" i="2"/>
  <c r="C2426" i="2"/>
  <c r="B2426" i="2"/>
  <c r="A2426" i="2"/>
  <c r="D2425" i="2"/>
  <c r="C2425" i="2"/>
  <c r="B2425" i="2"/>
  <c r="A2425" i="2"/>
  <c r="D2424" i="2"/>
  <c r="C2424" i="2"/>
  <c r="B2424" i="2"/>
  <c r="A2424" i="2"/>
  <c r="D2423" i="2"/>
  <c r="C2423" i="2"/>
  <c r="B2423" i="2"/>
  <c r="A2423" i="2"/>
  <c r="D2422" i="2"/>
  <c r="C2422" i="2"/>
  <c r="B2422" i="2"/>
  <c r="A2422" i="2"/>
  <c r="D2421" i="2"/>
  <c r="C2421" i="2"/>
  <c r="B2421" i="2"/>
  <c r="A2421" i="2"/>
  <c r="D2420" i="2"/>
  <c r="C2420" i="2"/>
  <c r="B2420" i="2"/>
  <c r="A2420" i="2"/>
  <c r="D2419" i="2"/>
  <c r="C2419" i="2"/>
  <c r="B2419" i="2"/>
  <c r="A2419" i="2"/>
  <c r="D2418" i="2"/>
  <c r="C2418" i="2"/>
  <c r="B2418" i="2"/>
  <c r="A2418" i="2"/>
  <c r="D2417" i="2"/>
  <c r="C2417" i="2"/>
  <c r="B2417" i="2"/>
  <c r="A2417" i="2"/>
  <c r="D2416" i="2"/>
  <c r="C2416" i="2"/>
  <c r="B2416" i="2"/>
  <c r="A2416" i="2"/>
  <c r="D2415" i="2"/>
  <c r="C2415" i="2"/>
  <c r="B2415" i="2"/>
  <c r="A2415" i="2"/>
  <c r="D2414" i="2"/>
  <c r="C2414" i="2"/>
  <c r="B2414" i="2"/>
  <c r="A2414" i="2"/>
  <c r="D2413" i="2"/>
  <c r="C2413" i="2"/>
  <c r="B2413" i="2"/>
  <c r="A2413" i="2"/>
  <c r="D2412" i="2"/>
  <c r="C2412" i="2"/>
  <c r="B2412" i="2"/>
  <c r="A2412" i="2"/>
  <c r="D2411" i="2"/>
  <c r="C2411" i="2"/>
  <c r="B2411" i="2"/>
  <c r="A2411" i="2"/>
  <c r="D2410" i="2"/>
  <c r="C2410" i="2"/>
  <c r="B2410" i="2"/>
  <c r="A2410" i="2"/>
  <c r="D2409" i="2"/>
  <c r="C2409" i="2"/>
  <c r="B2409" i="2"/>
  <c r="A2409" i="2"/>
  <c r="D2408" i="2"/>
  <c r="C2408" i="2"/>
  <c r="B2408" i="2"/>
  <c r="A2408" i="2"/>
  <c r="D2407" i="2"/>
  <c r="C2407" i="2"/>
  <c r="B2407" i="2"/>
  <c r="A2407" i="2"/>
  <c r="D2406" i="2"/>
  <c r="C2406" i="2"/>
  <c r="B2406" i="2"/>
  <c r="A2406" i="2"/>
  <c r="D2405" i="2"/>
  <c r="C2405" i="2"/>
  <c r="B2405" i="2"/>
  <c r="A2405" i="2"/>
  <c r="D2404" i="2"/>
  <c r="C2404" i="2"/>
  <c r="B2404" i="2"/>
  <c r="A2404" i="2"/>
  <c r="D2403" i="2"/>
  <c r="C2403" i="2"/>
  <c r="B2403" i="2"/>
  <c r="A2403" i="2"/>
  <c r="D2402" i="2"/>
  <c r="C2402" i="2"/>
  <c r="B2402" i="2"/>
  <c r="A2402" i="2"/>
  <c r="D2401" i="2"/>
  <c r="C2401" i="2"/>
  <c r="B2401" i="2"/>
  <c r="A2401" i="2"/>
  <c r="D2400" i="2"/>
  <c r="C2400" i="2"/>
  <c r="B2400" i="2"/>
  <c r="A2400" i="2"/>
  <c r="D2399" i="2"/>
  <c r="C2399" i="2"/>
  <c r="B2399" i="2"/>
  <c r="A2399" i="2"/>
  <c r="D2398" i="2"/>
  <c r="C2398" i="2"/>
  <c r="B2398" i="2"/>
  <c r="A2398" i="2"/>
  <c r="D2397" i="2"/>
  <c r="C2397" i="2"/>
  <c r="B2397" i="2"/>
  <c r="A2397" i="2"/>
  <c r="D2396" i="2"/>
  <c r="C2396" i="2"/>
  <c r="B2396" i="2"/>
  <c r="A2396" i="2"/>
  <c r="D2395" i="2"/>
  <c r="C2395" i="2"/>
  <c r="B2395" i="2"/>
  <c r="A2395" i="2"/>
  <c r="D2394" i="2"/>
  <c r="C2394" i="2"/>
  <c r="B2394" i="2"/>
  <c r="A2394" i="2"/>
  <c r="D2393" i="2"/>
  <c r="C2393" i="2"/>
  <c r="B2393" i="2"/>
  <c r="A2393" i="2"/>
  <c r="D2392" i="2"/>
  <c r="C2392" i="2"/>
  <c r="B2392" i="2"/>
  <c r="A2392" i="2"/>
  <c r="D2391" i="2"/>
  <c r="C2391" i="2"/>
  <c r="B2391" i="2"/>
  <c r="A2391" i="2"/>
  <c r="D2390" i="2"/>
  <c r="C2390" i="2"/>
  <c r="B2390" i="2"/>
  <c r="A2390" i="2"/>
  <c r="D2389" i="2"/>
  <c r="C2389" i="2"/>
  <c r="B2389" i="2"/>
  <c r="A2389" i="2"/>
  <c r="D2388" i="2"/>
  <c r="C2388" i="2"/>
  <c r="B2388" i="2"/>
  <c r="A2388" i="2"/>
  <c r="D2387" i="2"/>
  <c r="C2387" i="2"/>
  <c r="B2387" i="2"/>
  <c r="A2387" i="2"/>
  <c r="D2386" i="2"/>
  <c r="C2386" i="2"/>
  <c r="B2386" i="2"/>
  <c r="A2386" i="2"/>
  <c r="D2385" i="2"/>
  <c r="C2385" i="2"/>
  <c r="B2385" i="2"/>
  <c r="A2385" i="2"/>
  <c r="D2384" i="2"/>
  <c r="C2384" i="2"/>
  <c r="B2384" i="2"/>
  <c r="A2384" i="2"/>
  <c r="D2383" i="2"/>
  <c r="C2383" i="2"/>
  <c r="B2383" i="2"/>
  <c r="A2383" i="2"/>
  <c r="D2382" i="2"/>
  <c r="C2382" i="2"/>
  <c r="B2382" i="2"/>
  <c r="A2382" i="2"/>
  <c r="D2381" i="2"/>
  <c r="C2381" i="2"/>
  <c r="B2381" i="2"/>
  <c r="A2381" i="2"/>
  <c r="D2380" i="2"/>
  <c r="C2380" i="2"/>
  <c r="B2380" i="2"/>
  <c r="A2380" i="2"/>
  <c r="D2379" i="2"/>
  <c r="C2379" i="2"/>
  <c r="B2379" i="2"/>
  <c r="A2379" i="2"/>
  <c r="D2378" i="2"/>
  <c r="C2378" i="2"/>
  <c r="B2378" i="2"/>
  <c r="A2378" i="2"/>
  <c r="D2377" i="2"/>
  <c r="C2377" i="2"/>
  <c r="B2377" i="2"/>
  <c r="A2377" i="2"/>
  <c r="D2376" i="2"/>
  <c r="C2376" i="2"/>
  <c r="B2376" i="2"/>
  <c r="A2376" i="2"/>
  <c r="D2375" i="2"/>
  <c r="C2375" i="2"/>
  <c r="B2375" i="2"/>
  <c r="A2375" i="2"/>
  <c r="D2374" i="2"/>
  <c r="C2374" i="2"/>
  <c r="B2374" i="2"/>
  <c r="A2374" i="2"/>
  <c r="D2373" i="2"/>
  <c r="C2373" i="2"/>
  <c r="B2373" i="2"/>
  <c r="A2373" i="2"/>
  <c r="D2372" i="2"/>
  <c r="C2372" i="2"/>
  <c r="B2372" i="2"/>
  <c r="A2372" i="2"/>
  <c r="D2371" i="2"/>
  <c r="C2371" i="2"/>
  <c r="B2371" i="2"/>
  <c r="A2371" i="2"/>
  <c r="D2370" i="2"/>
  <c r="C2370" i="2"/>
  <c r="B2370" i="2"/>
  <c r="A2370" i="2"/>
  <c r="D2369" i="2"/>
  <c r="C2369" i="2"/>
  <c r="B2369" i="2"/>
  <c r="A2369" i="2"/>
  <c r="D2368" i="2"/>
  <c r="C2368" i="2"/>
  <c r="B2368" i="2"/>
  <c r="A2368" i="2"/>
  <c r="D2367" i="2"/>
  <c r="C2367" i="2"/>
  <c r="B2367" i="2"/>
  <c r="A2367" i="2"/>
  <c r="D2366" i="2"/>
  <c r="C2366" i="2"/>
  <c r="B2366" i="2"/>
  <c r="A2366" i="2"/>
  <c r="D2365" i="2"/>
  <c r="C2365" i="2"/>
  <c r="B2365" i="2"/>
  <c r="A2365" i="2"/>
  <c r="D2364" i="2"/>
  <c r="C2364" i="2"/>
  <c r="B2364" i="2"/>
  <c r="A2364" i="2"/>
  <c r="D2363" i="2"/>
  <c r="C2363" i="2"/>
  <c r="B2363" i="2"/>
  <c r="A2363" i="2"/>
  <c r="D2362" i="2"/>
  <c r="C2362" i="2"/>
  <c r="B2362" i="2"/>
  <c r="A2362" i="2"/>
  <c r="D2361" i="2"/>
  <c r="C2361" i="2"/>
  <c r="B2361" i="2"/>
  <c r="A2361" i="2"/>
  <c r="D2360" i="2"/>
  <c r="C2360" i="2"/>
  <c r="B2360" i="2"/>
  <c r="A2360" i="2"/>
  <c r="D2359" i="2"/>
  <c r="B2359" i="2"/>
  <c r="A2359" i="2"/>
  <c r="D2358" i="2"/>
  <c r="B2358" i="2"/>
  <c r="A2358" i="2"/>
  <c r="D2357" i="2"/>
  <c r="C2357" i="2"/>
  <c r="B2357" i="2"/>
  <c r="A2357" i="2"/>
  <c r="D2356" i="2"/>
  <c r="C2356" i="2"/>
  <c r="B2356" i="2"/>
  <c r="A2356" i="2"/>
  <c r="D2355" i="2"/>
  <c r="C2355" i="2"/>
  <c r="B2355" i="2"/>
  <c r="A2355" i="2"/>
  <c r="D2354" i="2"/>
  <c r="C2354" i="2"/>
  <c r="B2354" i="2"/>
  <c r="A2354" i="2"/>
  <c r="D2353" i="2"/>
  <c r="B2353" i="2"/>
  <c r="A2353" i="2"/>
  <c r="D2352" i="2"/>
  <c r="C2352" i="2"/>
  <c r="B2352" i="2"/>
  <c r="A2352" i="2"/>
  <c r="D2351" i="2"/>
  <c r="B2351" i="2"/>
  <c r="A2351" i="2"/>
  <c r="D2350" i="2"/>
  <c r="C2350" i="2"/>
  <c r="B2350" i="2"/>
  <c r="A2350" i="2"/>
  <c r="D2349" i="2"/>
  <c r="B2349" i="2"/>
  <c r="A2349" i="2"/>
  <c r="D2348" i="2"/>
  <c r="C2348" i="2"/>
  <c r="B2348" i="2"/>
  <c r="A2348" i="2"/>
  <c r="D2347" i="2"/>
  <c r="C2347" i="2"/>
  <c r="B2347" i="2"/>
  <c r="A2347" i="2"/>
  <c r="D2346" i="2"/>
  <c r="C2346" i="2"/>
  <c r="B2346" i="2"/>
  <c r="A2346" i="2"/>
  <c r="D2345" i="2"/>
  <c r="C2345" i="2"/>
  <c r="B2345" i="2"/>
  <c r="A2345" i="2"/>
  <c r="D2344" i="2"/>
  <c r="C2344" i="2"/>
  <c r="B2344" i="2"/>
  <c r="A2344" i="2"/>
  <c r="D2343" i="2"/>
  <c r="C2343" i="2"/>
  <c r="B2343" i="2"/>
  <c r="A2343" i="2"/>
  <c r="D2342" i="2"/>
  <c r="C2342" i="2"/>
  <c r="B2342" i="2"/>
  <c r="A2342" i="2"/>
  <c r="D2341" i="2"/>
  <c r="C2341" i="2"/>
  <c r="B2341" i="2"/>
  <c r="A2341" i="2"/>
  <c r="D2340" i="2"/>
  <c r="C2340" i="2"/>
  <c r="B2340" i="2"/>
  <c r="A2340" i="2"/>
  <c r="D2339" i="2"/>
  <c r="C2339" i="2"/>
  <c r="B2339" i="2"/>
  <c r="A2339" i="2"/>
  <c r="D2338" i="2"/>
  <c r="C2338" i="2"/>
  <c r="B2338" i="2"/>
  <c r="A2338" i="2"/>
  <c r="D2337" i="2"/>
  <c r="C2337" i="2"/>
  <c r="B2337" i="2"/>
  <c r="A2337" i="2"/>
  <c r="D2336" i="2"/>
  <c r="C2336" i="2"/>
  <c r="B2336" i="2"/>
  <c r="A2336" i="2"/>
  <c r="D2335" i="2"/>
  <c r="C2335" i="2"/>
  <c r="B2335" i="2"/>
  <c r="A2335" i="2"/>
  <c r="D2334" i="2"/>
  <c r="C2334" i="2"/>
  <c r="B2334" i="2"/>
  <c r="A2334" i="2"/>
  <c r="D2333" i="2"/>
  <c r="C2333" i="2"/>
  <c r="B2333" i="2"/>
  <c r="A2333" i="2"/>
  <c r="D2332" i="2"/>
  <c r="C2332" i="2"/>
  <c r="B2332" i="2"/>
  <c r="A2332" i="2"/>
  <c r="D2331" i="2"/>
  <c r="B2331" i="2"/>
  <c r="A2331" i="2"/>
  <c r="D2330" i="2"/>
  <c r="B2330" i="2"/>
  <c r="A2330" i="2"/>
  <c r="D2329" i="2"/>
  <c r="B2329" i="2"/>
  <c r="A2329" i="2"/>
  <c r="D2328" i="2"/>
  <c r="B2328" i="2"/>
  <c r="A2328" i="2"/>
  <c r="D2327" i="2"/>
  <c r="B2327" i="2"/>
  <c r="A2327" i="2"/>
  <c r="D2326" i="2"/>
  <c r="C2326" i="2"/>
  <c r="B2326" i="2"/>
  <c r="A2326" i="2"/>
  <c r="D2325" i="2"/>
  <c r="C2325" i="2"/>
  <c r="B2325" i="2"/>
  <c r="A2325" i="2"/>
  <c r="D2324" i="2"/>
  <c r="C2324" i="2"/>
  <c r="B2324" i="2"/>
  <c r="A2324" i="2"/>
  <c r="D2323" i="2"/>
  <c r="B2323" i="2"/>
  <c r="A2323" i="2"/>
  <c r="D2322" i="2"/>
  <c r="B2322" i="2"/>
  <c r="A2322" i="2"/>
  <c r="D2321" i="2"/>
  <c r="B2321" i="2"/>
  <c r="A2321" i="2"/>
  <c r="D2320" i="2"/>
  <c r="C2320" i="2"/>
  <c r="B2320" i="2"/>
  <c r="A2320" i="2"/>
  <c r="D2319" i="2"/>
  <c r="B2319" i="2"/>
  <c r="A2319" i="2"/>
  <c r="D2318" i="2"/>
  <c r="B2318" i="2"/>
  <c r="A2318" i="2"/>
  <c r="D2317" i="2"/>
  <c r="C2317" i="2"/>
  <c r="B2317" i="2"/>
  <c r="A2317" i="2"/>
  <c r="D2316" i="2"/>
  <c r="B2316" i="2"/>
  <c r="A2316" i="2"/>
  <c r="D2315" i="2"/>
  <c r="B2315" i="2"/>
  <c r="A2315" i="2"/>
  <c r="D2314" i="2"/>
  <c r="C2314" i="2"/>
  <c r="B2314" i="2"/>
  <c r="A2314" i="2"/>
  <c r="D2313" i="2"/>
  <c r="B2313" i="2"/>
  <c r="A2313" i="2"/>
  <c r="D2312" i="2"/>
  <c r="C2312" i="2"/>
  <c r="B2312" i="2"/>
  <c r="A2312" i="2"/>
  <c r="D2311" i="2"/>
  <c r="C2311" i="2"/>
  <c r="B2311" i="2"/>
  <c r="A2311" i="2"/>
  <c r="D2310" i="2"/>
  <c r="C2310" i="2"/>
  <c r="B2310" i="2"/>
  <c r="A2310" i="2"/>
  <c r="D2309" i="2"/>
  <c r="C2309" i="2"/>
  <c r="B2309" i="2"/>
  <c r="A2309" i="2"/>
  <c r="D2308" i="2"/>
  <c r="C2308" i="2"/>
  <c r="B2308" i="2"/>
  <c r="A2308" i="2"/>
  <c r="D2307" i="2"/>
  <c r="C2307" i="2"/>
  <c r="B2307" i="2"/>
  <c r="A2307" i="2"/>
  <c r="D2306" i="2"/>
  <c r="C2306" i="2"/>
  <c r="B2306" i="2"/>
  <c r="A2306" i="2"/>
  <c r="D2305" i="2"/>
  <c r="C2305" i="2"/>
  <c r="B2305" i="2"/>
  <c r="A2305" i="2"/>
  <c r="D2304" i="2"/>
  <c r="B2304" i="2"/>
  <c r="A2304" i="2"/>
  <c r="D2303" i="2"/>
  <c r="C2303" i="2"/>
  <c r="B2303" i="2"/>
  <c r="A2303" i="2"/>
  <c r="D2302" i="2"/>
  <c r="C2302" i="2"/>
  <c r="B2302" i="2"/>
  <c r="A2302" i="2"/>
  <c r="D2301" i="2"/>
  <c r="C2301" i="2"/>
  <c r="B2301" i="2"/>
  <c r="A2301" i="2"/>
  <c r="D2300" i="2"/>
  <c r="C2300" i="2"/>
  <c r="B2300" i="2"/>
  <c r="A2300" i="2"/>
  <c r="D2299" i="2"/>
  <c r="B2299" i="2"/>
  <c r="A2299" i="2"/>
  <c r="D2298" i="2"/>
  <c r="C2298" i="2"/>
  <c r="B2298" i="2"/>
  <c r="A2298" i="2"/>
  <c r="D2297" i="2"/>
  <c r="B2297" i="2"/>
  <c r="A2297" i="2"/>
  <c r="D2296" i="2"/>
  <c r="B2296" i="2"/>
  <c r="A2296" i="2"/>
  <c r="D2295" i="2"/>
  <c r="C2295" i="2"/>
  <c r="B2295" i="2"/>
  <c r="A2295" i="2"/>
  <c r="D2294" i="2"/>
  <c r="C2294" i="2"/>
  <c r="B2294" i="2"/>
  <c r="A2294" i="2"/>
  <c r="D2293" i="2"/>
  <c r="B2293" i="2"/>
  <c r="A2293" i="2"/>
  <c r="D2292" i="2"/>
  <c r="C2292" i="2"/>
  <c r="B2292" i="2"/>
  <c r="A2292" i="2"/>
  <c r="D2291" i="2"/>
  <c r="C2291" i="2"/>
  <c r="B2291" i="2"/>
  <c r="A2291" i="2"/>
  <c r="D2290" i="2"/>
  <c r="C2290" i="2"/>
  <c r="B2290" i="2"/>
  <c r="A2290" i="2"/>
  <c r="D2289" i="2"/>
  <c r="B2289" i="2"/>
  <c r="A2289" i="2"/>
  <c r="D2288" i="2"/>
  <c r="C2288" i="2"/>
  <c r="B2288" i="2"/>
  <c r="A2288" i="2"/>
  <c r="D2287" i="2"/>
  <c r="C2287" i="2"/>
  <c r="B2287" i="2"/>
  <c r="A2287" i="2"/>
  <c r="D2286" i="2"/>
  <c r="C2286" i="2"/>
  <c r="B2286" i="2"/>
  <c r="A2286" i="2"/>
  <c r="D2285" i="2"/>
  <c r="B2285" i="2"/>
  <c r="A2285" i="2"/>
  <c r="D2284" i="2"/>
  <c r="B2284" i="2"/>
  <c r="A2284" i="2"/>
  <c r="D2283" i="2"/>
  <c r="C2283" i="2"/>
  <c r="B2283" i="2"/>
  <c r="A2283" i="2"/>
  <c r="D2282" i="2"/>
  <c r="C2282" i="2"/>
  <c r="B2282" i="2"/>
  <c r="A2282" i="2"/>
  <c r="D2281" i="2"/>
  <c r="B2281" i="2"/>
  <c r="A2281" i="2"/>
  <c r="D2280" i="2"/>
  <c r="C2280" i="2"/>
  <c r="B2280" i="2"/>
  <c r="A2280" i="2"/>
  <c r="D2279" i="2"/>
  <c r="C2279" i="2"/>
  <c r="B2279" i="2"/>
  <c r="A2279" i="2"/>
  <c r="D2278" i="2"/>
  <c r="C2278" i="2"/>
  <c r="B2278" i="2"/>
  <c r="A2278" i="2"/>
  <c r="D2277" i="2"/>
  <c r="C2277" i="2"/>
  <c r="B2277" i="2"/>
  <c r="A2277" i="2"/>
  <c r="D2276" i="2"/>
  <c r="C2276" i="2"/>
  <c r="B2276" i="2"/>
  <c r="A2276" i="2"/>
  <c r="D2275" i="2"/>
  <c r="C2275" i="2"/>
  <c r="B2275" i="2"/>
  <c r="A2275" i="2"/>
  <c r="D2274" i="2"/>
  <c r="C2274" i="2"/>
  <c r="B2274" i="2"/>
  <c r="A2274" i="2"/>
  <c r="D2273" i="2"/>
  <c r="C2273" i="2"/>
  <c r="B2273" i="2"/>
  <c r="A2273" i="2"/>
  <c r="D2272" i="2"/>
  <c r="C2272" i="2"/>
  <c r="B2272" i="2"/>
  <c r="A2272" i="2"/>
  <c r="D2271" i="2"/>
  <c r="C2271" i="2"/>
  <c r="B2271" i="2"/>
  <c r="A2271" i="2"/>
  <c r="D2270" i="2"/>
  <c r="B2270" i="2"/>
  <c r="A2270" i="2"/>
  <c r="D2269" i="2"/>
  <c r="C2269" i="2"/>
  <c r="B2269" i="2"/>
  <c r="A2269" i="2"/>
  <c r="D2268" i="2"/>
  <c r="C2268" i="2"/>
  <c r="B2268" i="2"/>
  <c r="A2268" i="2"/>
  <c r="D2267" i="2"/>
  <c r="C2267" i="2"/>
  <c r="B2267" i="2"/>
  <c r="A2267" i="2"/>
  <c r="D2266" i="2"/>
  <c r="C2266" i="2"/>
  <c r="B2266" i="2"/>
  <c r="A2266" i="2"/>
  <c r="D2265" i="2"/>
  <c r="C2265" i="2"/>
  <c r="B2265" i="2"/>
  <c r="A2265" i="2"/>
  <c r="D2264" i="2"/>
  <c r="C2264" i="2"/>
  <c r="B2264" i="2"/>
  <c r="A2264" i="2"/>
  <c r="D2263" i="2"/>
  <c r="C2263" i="2"/>
  <c r="B2263" i="2"/>
  <c r="A2263" i="2"/>
  <c r="D2262" i="2"/>
  <c r="C2262" i="2"/>
  <c r="B2262" i="2"/>
  <c r="A2262" i="2"/>
  <c r="D2261" i="2"/>
  <c r="C2261" i="2"/>
  <c r="B2261" i="2"/>
  <c r="A2261" i="2"/>
  <c r="D2260" i="2"/>
  <c r="C2260" i="2"/>
  <c r="B2260" i="2"/>
  <c r="A2260" i="2"/>
  <c r="D2259" i="2"/>
  <c r="C2259" i="2"/>
  <c r="B2259" i="2"/>
  <c r="A2259" i="2"/>
  <c r="D2258" i="2"/>
  <c r="C2258" i="2"/>
  <c r="B2258" i="2"/>
  <c r="A2258" i="2"/>
  <c r="D2257" i="2"/>
  <c r="C2257" i="2"/>
  <c r="B2257" i="2"/>
  <c r="A2257" i="2"/>
  <c r="D2256" i="2"/>
  <c r="C2256" i="2"/>
  <c r="B2256" i="2"/>
  <c r="A2256" i="2"/>
  <c r="D2255" i="2"/>
  <c r="C2255" i="2"/>
  <c r="B2255" i="2"/>
  <c r="A2255" i="2"/>
  <c r="D2254" i="2"/>
  <c r="C2254" i="2"/>
  <c r="B2254" i="2"/>
  <c r="A2254" i="2"/>
  <c r="D2253" i="2"/>
  <c r="C2253" i="2"/>
  <c r="B2253" i="2"/>
  <c r="A2253" i="2"/>
  <c r="D2252" i="2"/>
  <c r="C2252" i="2"/>
  <c r="B2252" i="2"/>
  <c r="A2252" i="2"/>
  <c r="D2251" i="2"/>
  <c r="C2251" i="2"/>
  <c r="B2251" i="2"/>
  <c r="A2251" i="2"/>
  <c r="D2250" i="2"/>
  <c r="C2250" i="2"/>
  <c r="B2250" i="2"/>
  <c r="A2250" i="2"/>
  <c r="D2249" i="2"/>
  <c r="C2249" i="2"/>
  <c r="B2249" i="2"/>
  <c r="A2249" i="2"/>
  <c r="D2248" i="2"/>
  <c r="C2248" i="2"/>
  <c r="B2248" i="2"/>
  <c r="A2248" i="2"/>
  <c r="D2247" i="2"/>
  <c r="C2247" i="2"/>
  <c r="B2247" i="2"/>
  <c r="A2247" i="2"/>
  <c r="D2246" i="2"/>
  <c r="C2246" i="2"/>
  <c r="B2246" i="2"/>
  <c r="A2246" i="2"/>
  <c r="D2245" i="2"/>
  <c r="C2245" i="2"/>
  <c r="B2245" i="2"/>
  <c r="A2245" i="2"/>
  <c r="D2244" i="2"/>
  <c r="C2244" i="2"/>
  <c r="B2244" i="2"/>
  <c r="A2244" i="2"/>
  <c r="D2243" i="2"/>
  <c r="C2243" i="2"/>
  <c r="B2243" i="2"/>
  <c r="A2243" i="2"/>
  <c r="D2242" i="2"/>
  <c r="C2242" i="2"/>
  <c r="B2242" i="2"/>
  <c r="A2242" i="2"/>
  <c r="D2241" i="2"/>
  <c r="C2241" i="2"/>
  <c r="B2241" i="2"/>
  <c r="A2241" i="2"/>
  <c r="D2240" i="2"/>
  <c r="C2240" i="2"/>
  <c r="B2240" i="2"/>
  <c r="A2240" i="2"/>
  <c r="D2239" i="2"/>
  <c r="C2239" i="2"/>
  <c r="B2239" i="2"/>
  <c r="A2239" i="2"/>
  <c r="D2238" i="2"/>
  <c r="C2238" i="2"/>
  <c r="B2238" i="2"/>
  <c r="A2238" i="2"/>
  <c r="D2237" i="2"/>
  <c r="C2237" i="2"/>
  <c r="B2237" i="2"/>
  <c r="A2237" i="2"/>
  <c r="D2236" i="2"/>
  <c r="C2236" i="2"/>
  <c r="B2236" i="2"/>
  <c r="A2236" i="2"/>
  <c r="D2235" i="2"/>
  <c r="C2235" i="2"/>
  <c r="B2235" i="2"/>
  <c r="A2235" i="2"/>
  <c r="D2234" i="2"/>
  <c r="C2234" i="2"/>
  <c r="B2234" i="2"/>
  <c r="A2234" i="2"/>
  <c r="D2233" i="2"/>
  <c r="C2233" i="2"/>
  <c r="B2233" i="2"/>
  <c r="A2233" i="2"/>
  <c r="D2232" i="2"/>
  <c r="C2232" i="2"/>
  <c r="B2232" i="2"/>
  <c r="A2232" i="2"/>
  <c r="D2231" i="2"/>
  <c r="C2231" i="2"/>
  <c r="B2231" i="2"/>
  <c r="A2231" i="2"/>
  <c r="D2230" i="2"/>
  <c r="C2230" i="2"/>
  <c r="B2230" i="2"/>
  <c r="A2230" i="2"/>
  <c r="D2229" i="2"/>
  <c r="C2229" i="2"/>
  <c r="B2229" i="2"/>
  <c r="A2229" i="2"/>
  <c r="D2228" i="2"/>
  <c r="C2228" i="2"/>
  <c r="B2228" i="2"/>
  <c r="A2228" i="2"/>
  <c r="D2227" i="2"/>
  <c r="C2227" i="2"/>
  <c r="B2227" i="2"/>
  <c r="A2227" i="2"/>
  <c r="D2226" i="2"/>
  <c r="C2226" i="2"/>
  <c r="B2226" i="2"/>
  <c r="A2226" i="2"/>
  <c r="D2225" i="2"/>
  <c r="C2225" i="2"/>
  <c r="B2225" i="2"/>
  <c r="A2225" i="2"/>
  <c r="D2224" i="2"/>
  <c r="C2224" i="2"/>
  <c r="B2224" i="2"/>
  <c r="A2224" i="2"/>
  <c r="D2223" i="2"/>
  <c r="C2223" i="2"/>
  <c r="B2223" i="2"/>
  <c r="A2223" i="2"/>
  <c r="D2222" i="2"/>
  <c r="C2222" i="2"/>
  <c r="B2222" i="2"/>
  <c r="A2222" i="2"/>
  <c r="D2221" i="2"/>
  <c r="C2221" i="2"/>
  <c r="B2221" i="2"/>
  <c r="A2221" i="2"/>
  <c r="D2220" i="2"/>
  <c r="C2220" i="2"/>
  <c r="B2220" i="2"/>
  <c r="A2220" i="2"/>
  <c r="D2219" i="2"/>
  <c r="C2219" i="2"/>
  <c r="B2219" i="2"/>
  <c r="A2219" i="2"/>
  <c r="D2218" i="2"/>
  <c r="C2218" i="2"/>
  <c r="B2218" i="2"/>
  <c r="A2218" i="2"/>
  <c r="D2217" i="2"/>
  <c r="C2217" i="2"/>
  <c r="B2217" i="2"/>
  <c r="A2217" i="2"/>
  <c r="D2216" i="2"/>
  <c r="C2216" i="2"/>
  <c r="B2216" i="2"/>
  <c r="A2216" i="2"/>
  <c r="D2215" i="2"/>
  <c r="C2215" i="2"/>
  <c r="B2215" i="2"/>
  <c r="A2215" i="2"/>
  <c r="D2214" i="2"/>
  <c r="C2214" i="2"/>
  <c r="B2214" i="2"/>
  <c r="A2214" i="2"/>
  <c r="D2213" i="2"/>
  <c r="C2213" i="2"/>
  <c r="B2213" i="2"/>
  <c r="A2213" i="2"/>
  <c r="D2212" i="2"/>
  <c r="C2212" i="2"/>
  <c r="B2212" i="2"/>
  <c r="A2212" i="2"/>
  <c r="D2211" i="2"/>
  <c r="C2211" i="2"/>
  <c r="B2211" i="2"/>
  <c r="A2211" i="2"/>
  <c r="D2210" i="2"/>
  <c r="C2210" i="2"/>
  <c r="B2210" i="2"/>
  <c r="A2210" i="2"/>
  <c r="D2209" i="2"/>
  <c r="C2209" i="2"/>
  <c r="B2209" i="2"/>
  <c r="A2209" i="2"/>
  <c r="D2208" i="2"/>
  <c r="C2208" i="2"/>
  <c r="B2208" i="2"/>
  <c r="A2208" i="2"/>
  <c r="D2207" i="2"/>
  <c r="C2207" i="2"/>
  <c r="B2207" i="2"/>
  <c r="A2207" i="2"/>
  <c r="D2206" i="2"/>
  <c r="C2206" i="2"/>
  <c r="B2206" i="2"/>
  <c r="A2206" i="2"/>
  <c r="D2205" i="2"/>
  <c r="C2205" i="2"/>
  <c r="B2205" i="2"/>
  <c r="A2205" i="2"/>
  <c r="D2204" i="2"/>
  <c r="C2204" i="2"/>
  <c r="B2204" i="2"/>
  <c r="A2204" i="2"/>
  <c r="D2203" i="2"/>
  <c r="C2203" i="2"/>
  <c r="B2203" i="2"/>
  <c r="A2203" i="2"/>
  <c r="D2202" i="2"/>
  <c r="C2202" i="2"/>
  <c r="B2202" i="2"/>
  <c r="A2202" i="2"/>
  <c r="D2201" i="2"/>
  <c r="C2201" i="2"/>
  <c r="B2201" i="2"/>
  <c r="A2201" i="2"/>
  <c r="D2200" i="2"/>
  <c r="C2200" i="2"/>
  <c r="B2200" i="2"/>
  <c r="A2200" i="2"/>
  <c r="D2199" i="2"/>
  <c r="C2199" i="2"/>
  <c r="B2199" i="2"/>
  <c r="A2199" i="2"/>
  <c r="D2198" i="2"/>
  <c r="C2198" i="2"/>
  <c r="B2198" i="2"/>
  <c r="A2198" i="2"/>
  <c r="D2197" i="2"/>
  <c r="C2197" i="2"/>
  <c r="B2197" i="2"/>
  <c r="A2197" i="2"/>
  <c r="D2196" i="2"/>
  <c r="C2196" i="2"/>
  <c r="B2196" i="2"/>
  <c r="A2196" i="2"/>
  <c r="D2195" i="2"/>
  <c r="C2195" i="2"/>
  <c r="B2195" i="2"/>
  <c r="A2195" i="2"/>
  <c r="D2194" i="2"/>
  <c r="C2194" i="2"/>
  <c r="B2194" i="2"/>
  <c r="A2194" i="2"/>
  <c r="D2193" i="2"/>
  <c r="C2193" i="2"/>
  <c r="B2193" i="2"/>
  <c r="A2193" i="2"/>
  <c r="D2192" i="2"/>
  <c r="C2192" i="2"/>
  <c r="B2192" i="2"/>
  <c r="A2192" i="2"/>
  <c r="D2191" i="2"/>
  <c r="C2191" i="2"/>
  <c r="B2191" i="2"/>
  <c r="A2191" i="2"/>
  <c r="D2190" i="2"/>
  <c r="C2190" i="2"/>
  <c r="B2190" i="2"/>
  <c r="A2190" i="2"/>
  <c r="D2189" i="2"/>
  <c r="C2189" i="2"/>
  <c r="B2189" i="2"/>
  <c r="A2189" i="2"/>
  <c r="D2188" i="2"/>
  <c r="C2188" i="2"/>
  <c r="B2188" i="2"/>
  <c r="A2188" i="2"/>
  <c r="D2187" i="2"/>
  <c r="C2187" i="2"/>
  <c r="B2187" i="2"/>
  <c r="A2187" i="2"/>
  <c r="D2186" i="2"/>
  <c r="C2186" i="2"/>
  <c r="B2186" i="2"/>
  <c r="A2186" i="2"/>
  <c r="D2185" i="2"/>
  <c r="C2185" i="2"/>
  <c r="B2185" i="2"/>
  <c r="A2185" i="2"/>
  <c r="D2184" i="2"/>
  <c r="C2184" i="2"/>
  <c r="B2184" i="2"/>
  <c r="A2184" i="2"/>
  <c r="D2183" i="2"/>
  <c r="C2183" i="2"/>
  <c r="B2183" i="2"/>
  <c r="A2183" i="2"/>
  <c r="D2182" i="2"/>
  <c r="C2182" i="2"/>
  <c r="B2182" i="2"/>
  <c r="A2182" i="2"/>
  <c r="D2181" i="2"/>
  <c r="C2181" i="2"/>
  <c r="B2181" i="2"/>
  <c r="A2181" i="2"/>
  <c r="D2180" i="2"/>
  <c r="C2180" i="2"/>
  <c r="B2180" i="2"/>
  <c r="A2180" i="2"/>
  <c r="D2179" i="2"/>
  <c r="C2179" i="2"/>
  <c r="B2179" i="2"/>
  <c r="A2179" i="2"/>
  <c r="D2178" i="2"/>
  <c r="C2178" i="2"/>
  <c r="B2178" i="2"/>
  <c r="A2178" i="2"/>
  <c r="D2177" i="2"/>
  <c r="C2177" i="2"/>
  <c r="B2177" i="2"/>
  <c r="A2177" i="2"/>
  <c r="D2176" i="2"/>
  <c r="C2176" i="2"/>
  <c r="B2176" i="2"/>
  <c r="A2176" i="2"/>
  <c r="D2175" i="2"/>
  <c r="C2175" i="2"/>
  <c r="B2175" i="2"/>
  <c r="A2175" i="2"/>
  <c r="D2174" i="2"/>
  <c r="C2174" i="2"/>
  <c r="B2174" i="2"/>
  <c r="A2174" i="2"/>
  <c r="D2173" i="2"/>
  <c r="C2173" i="2"/>
  <c r="B2173" i="2"/>
  <c r="A2173" i="2"/>
  <c r="D2172" i="2"/>
  <c r="C2172" i="2"/>
  <c r="B2172" i="2"/>
  <c r="A2172" i="2"/>
  <c r="D2171" i="2"/>
  <c r="C2171" i="2"/>
  <c r="B2171" i="2"/>
  <c r="A2171" i="2"/>
  <c r="D2170" i="2"/>
  <c r="C2170" i="2"/>
  <c r="B2170" i="2"/>
  <c r="A2170" i="2"/>
  <c r="D2169" i="2"/>
  <c r="C2169" i="2"/>
  <c r="B2169" i="2"/>
  <c r="A2169" i="2"/>
  <c r="D2168" i="2"/>
  <c r="C2168" i="2"/>
  <c r="B2168" i="2"/>
  <c r="A2168" i="2"/>
  <c r="D2167" i="2"/>
  <c r="C2167" i="2"/>
  <c r="B2167" i="2"/>
  <c r="A2167" i="2"/>
  <c r="D2166" i="2"/>
  <c r="C2166" i="2"/>
  <c r="B2166" i="2"/>
  <c r="A2166" i="2"/>
  <c r="D2165" i="2"/>
  <c r="C2165" i="2"/>
  <c r="B2165" i="2"/>
  <c r="A2165" i="2"/>
  <c r="D2164" i="2"/>
  <c r="C2164" i="2"/>
  <c r="B2164" i="2"/>
  <c r="A2164" i="2"/>
  <c r="D2163" i="2"/>
  <c r="C2163" i="2"/>
  <c r="B2163" i="2"/>
  <c r="A2163" i="2"/>
  <c r="D2162" i="2"/>
  <c r="C2162" i="2"/>
  <c r="B2162" i="2"/>
  <c r="A2162" i="2"/>
  <c r="D2161" i="2"/>
  <c r="C2161" i="2"/>
  <c r="B2161" i="2"/>
  <c r="A2161" i="2"/>
  <c r="D2160" i="2"/>
  <c r="C2160" i="2"/>
  <c r="B2160" i="2"/>
  <c r="A2160" i="2"/>
  <c r="D2159" i="2"/>
  <c r="C2159" i="2"/>
  <c r="B2159" i="2"/>
  <c r="A2159" i="2"/>
  <c r="D2158" i="2"/>
  <c r="C2158" i="2"/>
  <c r="B2158" i="2"/>
  <c r="A2158" i="2"/>
  <c r="D2157" i="2"/>
  <c r="C2157" i="2"/>
  <c r="B2157" i="2"/>
  <c r="A2157" i="2"/>
  <c r="D2156" i="2"/>
  <c r="C2156" i="2"/>
  <c r="B2156" i="2"/>
  <c r="A2156" i="2"/>
  <c r="D2155" i="2"/>
  <c r="C2155" i="2"/>
  <c r="B2155" i="2"/>
  <c r="A2155" i="2"/>
  <c r="D2154" i="2"/>
  <c r="C2154" i="2"/>
  <c r="B2154" i="2"/>
  <c r="A2154" i="2"/>
  <c r="D2153" i="2"/>
  <c r="C2153" i="2"/>
  <c r="B2153" i="2"/>
  <c r="A2153" i="2"/>
  <c r="D2152" i="2"/>
  <c r="C2152" i="2"/>
  <c r="B2152" i="2"/>
  <c r="A2152" i="2"/>
  <c r="D2151" i="2"/>
  <c r="C2151" i="2"/>
  <c r="B2151" i="2"/>
  <c r="A2151" i="2"/>
  <c r="D2150" i="2"/>
  <c r="C2150" i="2"/>
  <c r="B2150" i="2"/>
  <c r="A2150" i="2"/>
  <c r="D2149" i="2"/>
  <c r="C2149" i="2"/>
  <c r="B2149" i="2"/>
  <c r="A2149" i="2"/>
  <c r="D2148" i="2"/>
  <c r="C2148" i="2"/>
  <c r="B2148" i="2"/>
  <c r="A2148" i="2"/>
  <c r="D2147" i="2"/>
  <c r="C2147" i="2"/>
  <c r="B2147" i="2"/>
  <c r="A2147" i="2"/>
  <c r="D2146" i="2"/>
  <c r="C2146" i="2"/>
  <c r="B2146" i="2"/>
  <c r="A2146" i="2"/>
  <c r="D2145" i="2"/>
  <c r="C2145" i="2"/>
  <c r="B2145" i="2"/>
  <c r="A2145" i="2"/>
  <c r="D2144" i="2"/>
  <c r="C2144" i="2"/>
  <c r="B2144" i="2"/>
  <c r="A2144" i="2"/>
  <c r="D2143" i="2"/>
  <c r="C2143" i="2"/>
  <c r="B2143" i="2"/>
  <c r="A2143" i="2"/>
  <c r="D2142" i="2"/>
  <c r="C2142" i="2"/>
  <c r="B2142" i="2"/>
  <c r="A2142" i="2"/>
  <c r="D2141" i="2"/>
  <c r="C2141" i="2"/>
  <c r="B2141" i="2"/>
  <c r="A2141" i="2"/>
  <c r="D2140" i="2"/>
  <c r="C2140" i="2"/>
  <c r="B2140" i="2"/>
  <c r="A2140" i="2"/>
  <c r="D2139" i="2"/>
  <c r="C2139" i="2"/>
  <c r="B2139" i="2"/>
  <c r="A2139" i="2"/>
  <c r="D2138" i="2"/>
  <c r="C2138" i="2"/>
  <c r="B2138" i="2"/>
  <c r="A2138" i="2"/>
  <c r="D2137" i="2"/>
  <c r="C2137" i="2"/>
  <c r="B2137" i="2"/>
  <c r="A2137" i="2"/>
  <c r="D2136" i="2"/>
  <c r="C2136" i="2"/>
  <c r="B2136" i="2"/>
  <c r="A2136" i="2"/>
  <c r="D2135" i="2"/>
  <c r="C2135" i="2"/>
  <c r="B2135" i="2"/>
  <c r="A2135" i="2"/>
  <c r="D2134" i="2"/>
  <c r="C2134" i="2"/>
  <c r="B2134" i="2"/>
  <c r="A2134" i="2"/>
  <c r="D2133" i="2"/>
  <c r="C2133" i="2"/>
  <c r="B2133" i="2"/>
  <c r="A2133" i="2"/>
  <c r="D2132" i="2"/>
  <c r="C2132" i="2"/>
  <c r="B2132" i="2"/>
  <c r="A2132" i="2"/>
  <c r="D2131" i="2"/>
  <c r="C2131" i="2"/>
  <c r="B2131" i="2"/>
  <c r="A2131" i="2"/>
  <c r="D2130" i="2"/>
  <c r="C2130" i="2"/>
  <c r="B2130" i="2"/>
  <c r="A2130" i="2"/>
  <c r="D2129" i="2"/>
  <c r="C2129" i="2"/>
  <c r="B2129" i="2"/>
  <c r="A2129" i="2"/>
  <c r="D2128" i="2"/>
  <c r="C2128" i="2"/>
  <c r="B2128" i="2"/>
  <c r="A2128" i="2"/>
  <c r="D2127" i="2"/>
  <c r="C2127" i="2"/>
  <c r="B2127" i="2"/>
  <c r="A2127" i="2"/>
  <c r="D2126" i="2"/>
  <c r="C2126" i="2"/>
  <c r="B2126" i="2"/>
  <c r="A2126" i="2"/>
  <c r="D2125" i="2"/>
  <c r="C2125" i="2"/>
  <c r="B2125" i="2"/>
  <c r="A2125" i="2"/>
  <c r="D2124" i="2"/>
  <c r="C2124" i="2"/>
  <c r="B2124" i="2"/>
  <c r="A2124" i="2"/>
  <c r="D2123" i="2"/>
  <c r="C2123" i="2"/>
  <c r="B2123" i="2"/>
  <c r="A2123" i="2"/>
  <c r="D2122" i="2"/>
  <c r="C2122" i="2"/>
  <c r="B2122" i="2"/>
  <c r="A2122" i="2"/>
  <c r="D2121" i="2"/>
  <c r="C2121" i="2"/>
  <c r="B2121" i="2"/>
  <c r="A2121" i="2"/>
  <c r="D2120" i="2"/>
  <c r="C2120" i="2"/>
  <c r="B2120" i="2"/>
  <c r="A2120" i="2"/>
  <c r="D2119" i="2"/>
  <c r="C2119" i="2"/>
  <c r="B2119" i="2"/>
  <c r="A2119" i="2"/>
  <c r="D2118" i="2"/>
  <c r="C2118" i="2"/>
  <c r="B2118" i="2"/>
  <c r="A2118" i="2"/>
  <c r="D2117" i="2"/>
  <c r="C2117" i="2"/>
  <c r="B2117" i="2"/>
  <c r="A2117" i="2"/>
  <c r="D2116" i="2"/>
  <c r="C2116" i="2"/>
  <c r="B2116" i="2"/>
  <c r="A2116" i="2"/>
  <c r="D2115" i="2"/>
  <c r="C2115" i="2"/>
  <c r="B2115" i="2"/>
  <c r="A2115" i="2"/>
  <c r="D2114" i="2"/>
  <c r="C2114" i="2"/>
  <c r="B2114" i="2"/>
  <c r="A2114" i="2"/>
  <c r="D2113" i="2"/>
  <c r="C2113" i="2"/>
  <c r="B2113" i="2"/>
  <c r="A2113" i="2"/>
  <c r="D2112" i="2"/>
  <c r="C2112" i="2"/>
  <c r="B2112" i="2"/>
  <c r="A2112" i="2"/>
  <c r="D2111" i="2"/>
  <c r="C2111" i="2"/>
  <c r="B2111" i="2"/>
  <c r="A2111" i="2"/>
  <c r="D2110" i="2"/>
  <c r="C2110" i="2"/>
  <c r="B2110" i="2"/>
  <c r="A2110" i="2"/>
  <c r="D2109" i="2"/>
  <c r="C2109" i="2"/>
  <c r="B2109" i="2"/>
  <c r="A2109" i="2"/>
  <c r="D2108" i="2"/>
  <c r="C2108" i="2"/>
  <c r="B2108" i="2"/>
  <c r="A2108" i="2"/>
  <c r="D2107" i="2"/>
  <c r="C2107" i="2"/>
  <c r="B2107" i="2"/>
  <c r="A2107" i="2"/>
  <c r="D2106" i="2"/>
  <c r="C2106" i="2"/>
  <c r="B2106" i="2"/>
  <c r="A2106" i="2"/>
  <c r="D2105" i="2"/>
  <c r="C2105" i="2"/>
  <c r="B2105" i="2"/>
  <c r="A2105" i="2"/>
  <c r="D2104" i="2"/>
  <c r="C2104" i="2"/>
  <c r="B2104" i="2"/>
  <c r="A2104" i="2"/>
  <c r="D2103" i="2"/>
  <c r="C2103" i="2"/>
  <c r="B2103" i="2"/>
  <c r="A2103" i="2"/>
  <c r="D2102" i="2"/>
  <c r="C2102" i="2"/>
  <c r="B2102" i="2"/>
  <c r="A2102" i="2"/>
  <c r="D2101" i="2"/>
  <c r="C2101" i="2"/>
  <c r="B2101" i="2"/>
  <c r="A2101" i="2"/>
  <c r="D2100" i="2"/>
  <c r="C2100" i="2"/>
  <c r="B2100" i="2"/>
  <c r="A2100" i="2"/>
  <c r="D2099" i="2"/>
  <c r="C2099" i="2"/>
  <c r="B2099" i="2"/>
  <c r="A2099" i="2"/>
  <c r="D2098" i="2"/>
  <c r="C2098" i="2"/>
  <c r="B2098" i="2"/>
  <c r="A2098" i="2"/>
  <c r="D2097" i="2"/>
  <c r="C2097" i="2"/>
  <c r="B2097" i="2"/>
  <c r="A2097" i="2"/>
  <c r="D2096" i="2"/>
  <c r="C2096" i="2"/>
  <c r="B2096" i="2"/>
  <c r="A2096" i="2"/>
  <c r="D2095" i="2"/>
  <c r="C2095" i="2"/>
  <c r="B2095" i="2"/>
  <c r="A2095" i="2"/>
  <c r="D2094" i="2"/>
  <c r="C2094" i="2"/>
  <c r="B2094" i="2"/>
  <c r="A2094" i="2"/>
  <c r="D2093" i="2"/>
  <c r="C2093" i="2"/>
  <c r="B2093" i="2"/>
  <c r="A2093" i="2"/>
  <c r="D2092" i="2"/>
  <c r="B2092" i="2"/>
  <c r="A2092" i="2"/>
  <c r="D2091" i="2"/>
  <c r="C2091" i="2"/>
  <c r="B2091" i="2"/>
  <c r="A2091" i="2"/>
  <c r="D2090" i="2"/>
  <c r="C2090" i="2"/>
  <c r="B2090" i="2"/>
  <c r="A2090" i="2"/>
  <c r="D2089" i="2"/>
  <c r="B2089" i="2"/>
  <c r="A2089" i="2"/>
  <c r="D2088" i="2"/>
  <c r="C2088" i="2"/>
  <c r="B2088" i="2"/>
  <c r="A2088" i="2"/>
  <c r="D2087" i="2"/>
  <c r="C2087" i="2"/>
  <c r="B2087" i="2"/>
  <c r="A2087" i="2"/>
  <c r="D2086" i="2"/>
  <c r="C2086" i="2"/>
  <c r="B2086" i="2"/>
  <c r="A2086" i="2"/>
  <c r="D2085" i="2"/>
  <c r="B2085" i="2"/>
  <c r="A2085" i="2"/>
  <c r="D2084" i="2"/>
  <c r="C2084" i="2"/>
  <c r="B2084" i="2"/>
  <c r="A2084" i="2"/>
  <c r="D2083" i="2"/>
  <c r="C2083" i="2"/>
  <c r="B2083" i="2"/>
  <c r="A2083" i="2"/>
  <c r="D2082" i="2"/>
  <c r="C2082" i="2"/>
  <c r="B2082" i="2"/>
  <c r="A2082" i="2"/>
  <c r="D2081" i="2"/>
  <c r="C2081" i="2"/>
  <c r="B2081" i="2"/>
  <c r="A2081" i="2"/>
  <c r="D2080" i="2"/>
  <c r="C2080" i="2"/>
  <c r="B2080" i="2"/>
  <c r="A2080" i="2"/>
  <c r="D2079" i="2"/>
  <c r="C2079" i="2"/>
  <c r="B2079" i="2"/>
  <c r="A2079" i="2"/>
  <c r="D2078" i="2"/>
  <c r="C2078" i="2"/>
  <c r="B2078" i="2"/>
  <c r="A2078" i="2"/>
  <c r="D2077" i="2"/>
  <c r="C2077" i="2"/>
  <c r="B2077" i="2"/>
  <c r="A2077" i="2"/>
  <c r="D2076" i="2"/>
  <c r="C2076" i="2"/>
  <c r="B2076" i="2"/>
  <c r="A2076" i="2"/>
  <c r="D2075" i="2"/>
  <c r="C2075" i="2"/>
  <c r="B2075" i="2"/>
  <c r="A2075" i="2"/>
  <c r="D2074" i="2"/>
  <c r="B2074" i="2"/>
  <c r="A2074" i="2"/>
  <c r="D2073" i="2"/>
  <c r="B2073" i="2"/>
  <c r="A2073" i="2"/>
  <c r="D2072" i="2"/>
  <c r="B2072" i="2"/>
  <c r="A2072" i="2"/>
  <c r="D2071" i="2"/>
  <c r="B2071" i="2"/>
  <c r="A2071" i="2"/>
  <c r="D2070" i="2"/>
  <c r="B2070" i="2"/>
  <c r="A2070" i="2"/>
  <c r="D2069" i="2"/>
  <c r="C2069" i="2"/>
  <c r="B2069" i="2"/>
  <c r="A2069" i="2"/>
  <c r="D2068" i="2"/>
  <c r="C2068" i="2"/>
  <c r="B2068" i="2"/>
  <c r="A2068" i="2"/>
  <c r="D2067" i="2"/>
  <c r="C2067" i="2"/>
  <c r="B2067" i="2"/>
  <c r="A2067" i="2"/>
  <c r="D2066" i="2"/>
  <c r="C2066" i="2"/>
  <c r="B2066" i="2"/>
  <c r="A2066" i="2"/>
  <c r="D2065" i="2"/>
  <c r="B2065" i="2"/>
  <c r="A2065" i="2"/>
  <c r="D2064" i="2"/>
  <c r="B2064" i="2"/>
  <c r="A2064" i="2"/>
  <c r="D2063" i="2"/>
  <c r="B2063" i="2"/>
  <c r="A2063" i="2"/>
  <c r="D2062" i="2"/>
  <c r="B2062" i="2"/>
  <c r="A2062" i="2"/>
  <c r="D2061" i="2"/>
  <c r="B2061" i="2"/>
  <c r="A2061" i="2"/>
  <c r="D2060" i="2"/>
  <c r="C2060" i="2"/>
  <c r="B2060" i="2"/>
  <c r="A2060" i="2"/>
  <c r="D2059" i="2"/>
  <c r="C2059" i="2"/>
  <c r="B2059" i="2"/>
  <c r="A2059" i="2"/>
  <c r="D2058" i="2"/>
  <c r="C2058" i="2"/>
  <c r="B2058" i="2"/>
  <c r="A2058" i="2"/>
  <c r="D2057" i="2"/>
  <c r="C2057" i="2"/>
  <c r="B2057" i="2"/>
  <c r="A2057" i="2"/>
  <c r="D2056" i="2"/>
  <c r="C2056" i="2"/>
  <c r="B2056" i="2"/>
  <c r="A2056" i="2"/>
  <c r="D2055" i="2"/>
  <c r="C2055" i="2"/>
  <c r="B2055" i="2"/>
  <c r="A2055" i="2"/>
  <c r="D2054" i="2"/>
  <c r="B2054" i="2"/>
  <c r="A2054" i="2"/>
  <c r="D2053" i="2"/>
  <c r="B2053" i="2"/>
  <c r="A2053" i="2"/>
  <c r="D2052" i="2"/>
  <c r="C2052" i="2"/>
  <c r="B2052" i="2"/>
  <c r="A2052" i="2"/>
  <c r="D2051" i="2"/>
  <c r="C2051" i="2"/>
  <c r="B2051" i="2"/>
  <c r="A2051" i="2"/>
  <c r="D2050" i="2"/>
  <c r="C2050" i="2"/>
  <c r="B2050" i="2"/>
  <c r="A2050" i="2"/>
  <c r="D2049" i="2"/>
  <c r="B2049" i="2"/>
  <c r="A2049" i="2"/>
  <c r="D2048" i="2"/>
  <c r="C2048" i="2"/>
  <c r="B2048" i="2"/>
  <c r="A2048" i="2"/>
  <c r="D2047" i="2"/>
  <c r="B2047" i="2"/>
  <c r="A2047" i="2"/>
  <c r="D2046" i="2"/>
  <c r="C2046" i="2"/>
  <c r="B2046" i="2"/>
  <c r="A2046" i="2"/>
  <c r="D2045" i="2"/>
  <c r="C2045" i="2"/>
  <c r="B2045" i="2"/>
  <c r="A2045" i="2"/>
  <c r="D2044" i="2"/>
  <c r="C2044" i="2"/>
  <c r="B2044" i="2"/>
  <c r="A2044" i="2"/>
  <c r="D2043" i="2"/>
  <c r="C2043" i="2"/>
  <c r="B2043" i="2"/>
  <c r="A2043" i="2"/>
  <c r="D2042" i="2"/>
  <c r="C2042" i="2"/>
  <c r="B2042" i="2"/>
  <c r="A2042" i="2"/>
  <c r="D2041" i="2"/>
  <c r="C2041" i="2"/>
  <c r="B2041" i="2"/>
  <c r="A2041" i="2"/>
  <c r="D2040" i="2"/>
  <c r="B2040" i="2"/>
  <c r="A2040" i="2"/>
  <c r="D2039" i="2"/>
  <c r="B2039" i="2"/>
  <c r="A2039" i="2"/>
  <c r="D2038" i="2"/>
  <c r="B2038" i="2"/>
  <c r="A2038" i="2"/>
  <c r="D2037" i="2"/>
  <c r="C2037" i="2"/>
  <c r="B2037" i="2"/>
  <c r="A2037" i="2"/>
  <c r="D2036" i="2"/>
  <c r="C2036" i="2"/>
  <c r="B2036" i="2"/>
  <c r="A2036" i="2"/>
  <c r="D2035" i="2"/>
  <c r="B2035" i="2"/>
  <c r="A2035" i="2"/>
  <c r="D2034" i="2"/>
  <c r="B2034" i="2"/>
  <c r="A2034" i="2"/>
  <c r="D2033" i="2"/>
  <c r="C2033" i="2"/>
  <c r="B2033" i="2"/>
  <c r="A2033" i="2"/>
  <c r="D2032" i="2"/>
  <c r="C2032" i="2"/>
  <c r="B2032" i="2"/>
  <c r="A2032" i="2"/>
  <c r="D2031" i="2"/>
  <c r="C2031" i="2"/>
  <c r="B2031" i="2"/>
  <c r="A2031" i="2"/>
  <c r="D2030" i="2"/>
  <c r="C2030" i="2"/>
  <c r="B2030" i="2"/>
  <c r="A2030" i="2"/>
  <c r="D2029" i="2"/>
  <c r="C2029" i="2"/>
  <c r="B2029" i="2"/>
  <c r="A2029" i="2"/>
  <c r="D2028" i="2"/>
  <c r="B2028" i="2"/>
  <c r="A2028" i="2"/>
  <c r="D2027" i="2"/>
  <c r="C2027" i="2"/>
  <c r="B2027" i="2"/>
  <c r="A2027" i="2"/>
  <c r="D2026" i="2"/>
  <c r="C2026" i="2"/>
  <c r="B2026" i="2"/>
  <c r="A2026" i="2"/>
  <c r="D2025" i="2"/>
  <c r="C2025" i="2"/>
  <c r="B2025" i="2"/>
  <c r="A2025" i="2"/>
  <c r="D2024" i="2"/>
  <c r="B2024" i="2"/>
  <c r="A2024" i="2"/>
  <c r="D2023" i="2"/>
  <c r="C2023" i="2"/>
  <c r="B2023" i="2"/>
  <c r="A2023" i="2"/>
  <c r="D2022" i="2"/>
  <c r="C2022" i="2"/>
  <c r="B2022" i="2"/>
  <c r="A2022" i="2"/>
  <c r="D2021" i="2"/>
  <c r="C2021" i="2"/>
  <c r="B2021" i="2"/>
  <c r="A2021" i="2"/>
  <c r="D2020" i="2"/>
  <c r="C2020" i="2"/>
  <c r="B2020" i="2"/>
  <c r="A2020" i="2"/>
  <c r="D2019" i="2"/>
  <c r="C2019" i="2"/>
  <c r="B2019" i="2"/>
  <c r="A2019" i="2"/>
  <c r="D2018" i="2"/>
  <c r="B2018" i="2"/>
  <c r="A2018" i="2"/>
  <c r="D2017" i="2"/>
  <c r="C2017" i="2"/>
  <c r="B2017" i="2"/>
  <c r="A2017" i="2"/>
  <c r="D2016" i="2"/>
  <c r="C2016" i="2"/>
  <c r="B2016" i="2"/>
  <c r="A2016" i="2"/>
  <c r="D2015" i="2"/>
  <c r="C2015" i="2"/>
  <c r="B2015" i="2"/>
  <c r="A2015" i="2"/>
  <c r="D2014" i="2"/>
  <c r="C2014" i="2"/>
  <c r="B2014" i="2"/>
  <c r="A2014" i="2"/>
  <c r="D2013" i="2"/>
  <c r="C2013" i="2"/>
  <c r="B2013" i="2"/>
  <c r="A2013" i="2"/>
  <c r="D2012" i="2"/>
  <c r="C2012" i="2"/>
  <c r="B2012" i="2"/>
  <c r="A2012" i="2"/>
  <c r="D2011" i="2"/>
  <c r="C2011" i="2"/>
  <c r="B2011" i="2"/>
  <c r="A2011" i="2"/>
  <c r="D2010" i="2"/>
  <c r="C2010" i="2"/>
  <c r="B2010" i="2"/>
  <c r="A2010" i="2"/>
  <c r="D2009" i="2"/>
  <c r="C2009" i="2"/>
  <c r="B2009" i="2"/>
  <c r="A2009" i="2"/>
  <c r="D2008" i="2"/>
  <c r="C2008" i="2"/>
  <c r="B2008" i="2"/>
  <c r="A2008" i="2"/>
  <c r="D2007" i="2"/>
  <c r="C2007" i="2"/>
  <c r="B2007" i="2"/>
  <c r="A2007" i="2"/>
  <c r="D2006" i="2"/>
  <c r="C2006" i="2"/>
  <c r="B2006" i="2"/>
  <c r="A2006" i="2"/>
  <c r="D2005" i="2"/>
  <c r="C2005" i="2"/>
  <c r="B2005" i="2"/>
  <c r="A2005" i="2"/>
  <c r="D2004" i="2"/>
  <c r="C2004" i="2"/>
  <c r="B2004" i="2"/>
  <c r="A2004" i="2"/>
  <c r="D2003" i="2"/>
  <c r="C2003" i="2"/>
  <c r="B2003" i="2"/>
  <c r="A2003" i="2"/>
  <c r="D2002" i="2"/>
  <c r="C2002" i="2"/>
  <c r="B2002" i="2"/>
  <c r="A2002" i="2"/>
  <c r="D2001" i="2"/>
  <c r="C2001" i="2"/>
  <c r="B2001" i="2"/>
  <c r="A2001" i="2"/>
  <c r="D2000" i="2"/>
  <c r="C2000" i="2"/>
  <c r="B2000" i="2"/>
  <c r="A2000" i="2"/>
  <c r="D1999" i="2"/>
  <c r="B1999" i="2"/>
  <c r="A1999" i="2"/>
  <c r="D1998" i="2"/>
  <c r="C1998" i="2"/>
  <c r="B1998" i="2"/>
  <c r="A1998" i="2"/>
  <c r="D1997" i="2"/>
  <c r="C1997" i="2"/>
  <c r="B1997" i="2"/>
  <c r="A1997" i="2"/>
  <c r="D1996" i="2"/>
  <c r="C1996" i="2"/>
  <c r="B1996" i="2"/>
  <c r="A1996" i="2"/>
  <c r="D1995" i="2"/>
  <c r="C1995" i="2"/>
  <c r="B1995" i="2"/>
  <c r="A1995" i="2"/>
  <c r="D1994" i="2"/>
  <c r="C1994" i="2"/>
  <c r="B1994" i="2"/>
  <c r="A1994" i="2"/>
  <c r="D1993" i="2"/>
  <c r="C1993" i="2"/>
  <c r="B1993" i="2"/>
  <c r="A1993" i="2"/>
  <c r="D1992" i="2"/>
  <c r="C1992" i="2"/>
  <c r="B1992" i="2"/>
  <c r="A1992" i="2"/>
  <c r="D1991" i="2"/>
  <c r="C1991" i="2"/>
  <c r="B1991" i="2"/>
  <c r="A1991" i="2"/>
  <c r="D1990" i="2"/>
  <c r="C1990" i="2"/>
  <c r="B1990" i="2"/>
  <c r="A1990" i="2"/>
  <c r="D1989" i="2"/>
  <c r="B1989" i="2"/>
  <c r="A1989" i="2"/>
  <c r="D1988" i="2"/>
  <c r="C1988" i="2"/>
  <c r="B1988" i="2"/>
  <c r="A1988" i="2"/>
  <c r="D1987" i="2"/>
  <c r="C1987" i="2"/>
  <c r="B1987" i="2"/>
  <c r="A1987" i="2"/>
  <c r="D1986" i="2"/>
  <c r="C1986" i="2"/>
  <c r="B1986" i="2"/>
  <c r="A1986" i="2"/>
  <c r="D1985" i="2"/>
  <c r="C1985" i="2"/>
  <c r="B1985" i="2"/>
  <c r="A1985" i="2"/>
  <c r="D1984" i="2"/>
  <c r="C1984" i="2"/>
  <c r="B1984" i="2"/>
  <c r="A1984" i="2"/>
  <c r="D1983" i="2"/>
  <c r="C1983" i="2"/>
  <c r="B1983" i="2"/>
  <c r="A1983" i="2"/>
  <c r="D1982" i="2"/>
  <c r="C1982" i="2"/>
  <c r="B1982" i="2"/>
  <c r="A1982" i="2"/>
  <c r="D1981" i="2"/>
  <c r="C1981" i="2"/>
  <c r="B1981" i="2"/>
  <c r="A1981" i="2"/>
  <c r="D1980" i="2"/>
  <c r="C1980" i="2"/>
  <c r="B1980" i="2"/>
  <c r="A1980" i="2"/>
  <c r="D1979" i="2"/>
  <c r="C1979" i="2"/>
  <c r="B1979" i="2"/>
  <c r="A1979" i="2"/>
  <c r="D1978" i="2"/>
  <c r="C1978" i="2"/>
  <c r="B1978" i="2"/>
  <c r="A1978" i="2"/>
  <c r="D1977" i="2"/>
  <c r="C1977" i="2"/>
  <c r="B1977" i="2"/>
  <c r="A1977" i="2"/>
  <c r="D1976" i="2"/>
  <c r="C1976" i="2"/>
  <c r="B1976" i="2"/>
  <c r="A1976" i="2"/>
  <c r="D1975" i="2"/>
  <c r="C1975" i="2"/>
  <c r="B1975" i="2"/>
  <c r="A1975" i="2"/>
  <c r="D1974" i="2"/>
  <c r="C1974" i="2"/>
  <c r="B1974" i="2"/>
  <c r="A1974" i="2"/>
  <c r="D1973" i="2"/>
  <c r="C1973" i="2"/>
  <c r="B1973" i="2"/>
  <c r="A1973" i="2"/>
  <c r="D1972" i="2"/>
  <c r="C1972" i="2"/>
  <c r="B1972" i="2"/>
  <c r="A1972" i="2"/>
  <c r="D1971" i="2"/>
  <c r="C1971" i="2"/>
  <c r="B1971" i="2"/>
  <c r="A1971" i="2"/>
  <c r="D1970" i="2"/>
  <c r="C1970" i="2"/>
  <c r="B1970" i="2"/>
  <c r="A1970" i="2"/>
  <c r="D1969" i="2"/>
  <c r="C1969" i="2"/>
  <c r="B1969" i="2"/>
  <c r="A1969" i="2"/>
  <c r="D1968" i="2"/>
  <c r="C1968" i="2"/>
  <c r="B1968" i="2"/>
  <c r="A1968" i="2"/>
  <c r="D1967" i="2"/>
  <c r="C1967" i="2"/>
  <c r="B1967" i="2"/>
  <c r="A1967" i="2"/>
  <c r="D1966" i="2"/>
  <c r="C1966" i="2"/>
  <c r="B1966" i="2"/>
  <c r="A1966" i="2"/>
  <c r="D1965" i="2"/>
  <c r="C1965" i="2"/>
  <c r="B1965" i="2"/>
  <c r="A1965" i="2"/>
  <c r="D1964" i="2"/>
  <c r="C1964" i="2"/>
  <c r="B1964" i="2"/>
  <c r="A1964" i="2"/>
  <c r="D1963" i="2"/>
  <c r="C1963" i="2"/>
  <c r="B1963" i="2"/>
  <c r="A1963" i="2"/>
  <c r="D1962" i="2"/>
  <c r="C1962" i="2"/>
  <c r="B1962" i="2"/>
  <c r="A1962" i="2"/>
  <c r="D1961" i="2"/>
  <c r="C1961" i="2"/>
  <c r="B1961" i="2"/>
  <c r="A1961" i="2"/>
  <c r="D1960" i="2"/>
  <c r="C1960" i="2"/>
  <c r="B1960" i="2"/>
  <c r="A1960" i="2"/>
  <c r="D1959" i="2"/>
  <c r="C1959" i="2"/>
  <c r="B1959" i="2"/>
  <c r="A1959" i="2"/>
  <c r="D1958" i="2"/>
  <c r="C1958" i="2"/>
  <c r="B1958" i="2"/>
  <c r="A1958" i="2"/>
  <c r="D1957" i="2"/>
  <c r="C1957" i="2"/>
  <c r="B1957" i="2"/>
  <c r="A1957" i="2"/>
  <c r="D1956" i="2"/>
  <c r="C1956" i="2"/>
  <c r="B1956" i="2"/>
  <c r="A1956" i="2"/>
  <c r="D1955" i="2"/>
  <c r="C1955" i="2"/>
  <c r="B1955" i="2"/>
  <c r="A1955" i="2"/>
  <c r="D1954" i="2"/>
  <c r="C1954" i="2"/>
  <c r="B1954" i="2"/>
  <c r="A1954" i="2"/>
  <c r="D1953" i="2"/>
  <c r="C1953" i="2"/>
  <c r="B1953" i="2"/>
  <c r="A1953" i="2"/>
  <c r="D1952" i="2"/>
  <c r="C1952" i="2"/>
  <c r="B1952" i="2"/>
  <c r="A1952" i="2"/>
  <c r="D1951" i="2"/>
  <c r="C1951" i="2"/>
  <c r="B1951" i="2"/>
  <c r="A1951" i="2"/>
  <c r="D1950" i="2"/>
  <c r="C1950" i="2"/>
  <c r="B1950" i="2"/>
  <c r="A1950" i="2"/>
  <c r="D1949" i="2"/>
  <c r="C1949" i="2"/>
  <c r="B1949" i="2"/>
  <c r="A1949" i="2"/>
  <c r="D1948" i="2"/>
  <c r="C1948" i="2"/>
  <c r="B1948" i="2"/>
  <c r="A1948" i="2"/>
  <c r="D1947" i="2"/>
  <c r="C1947" i="2"/>
  <c r="B1947" i="2"/>
  <c r="A1947" i="2"/>
  <c r="D1946" i="2"/>
  <c r="C1946" i="2"/>
  <c r="B1946" i="2"/>
  <c r="A1946" i="2"/>
  <c r="D1945" i="2"/>
  <c r="C1945" i="2"/>
  <c r="B1945" i="2"/>
  <c r="A1945" i="2"/>
  <c r="D1944" i="2"/>
  <c r="C1944" i="2"/>
  <c r="B1944" i="2"/>
  <c r="A1944" i="2"/>
  <c r="D1943" i="2"/>
  <c r="C1943" i="2"/>
  <c r="B1943" i="2"/>
  <c r="A1943" i="2"/>
  <c r="D1942" i="2"/>
  <c r="C1942" i="2"/>
  <c r="B1942" i="2"/>
  <c r="A1942" i="2"/>
  <c r="D1941" i="2"/>
  <c r="C1941" i="2"/>
  <c r="B1941" i="2"/>
  <c r="A1941" i="2"/>
  <c r="D1940" i="2"/>
  <c r="C1940" i="2"/>
  <c r="B1940" i="2"/>
  <c r="A1940" i="2"/>
  <c r="D1939" i="2"/>
  <c r="C1939" i="2"/>
  <c r="B1939" i="2"/>
  <c r="A1939" i="2"/>
  <c r="D1938" i="2"/>
  <c r="C1938" i="2"/>
  <c r="B1938" i="2"/>
  <c r="A1938" i="2"/>
  <c r="D1937" i="2"/>
  <c r="C1937" i="2"/>
  <c r="B1937" i="2"/>
  <c r="A1937" i="2"/>
  <c r="D1936" i="2"/>
  <c r="C1936" i="2"/>
  <c r="B1936" i="2"/>
  <c r="A1936" i="2"/>
  <c r="D1935" i="2"/>
  <c r="C1935" i="2"/>
  <c r="B1935" i="2"/>
  <c r="A1935" i="2"/>
  <c r="D1934" i="2"/>
  <c r="C1934" i="2"/>
  <c r="B1934" i="2"/>
  <c r="A1934" i="2"/>
  <c r="D1933" i="2"/>
  <c r="C1933" i="2"/>
  <c r="B1933" i="2"/>
  <c r="A1933" i="2"/>
  <c r="D1932" i="2"/>
  <c r="C1932" i="2"/>
  <c r="B1932" i="2"/>
  <c r="A1932" i="2"/>
  <c r="D1931" i="2"/>
  <c r="C1931" i="2"/>
  <c r="B1931" i="2"/>
  <c r="A1931" i="2"/>
  <c r="D1930" i="2"/>
  <c r="C1930" i="2"/>
  <c r="B1930" i="2"/>
  <c r="A1930" i="2"/>
  <c r="D1929" i="2"/>
  <c r="C1929" i="2"/>
  <c r="B1929" i="2"/>
  <c r="A1929" i="2"/>
  <c r="D1928" i="2"/>
  <c r="C1928" i="2"/>
  <c r="B1928" i="2"/>
  <c r="A1928" i="2"/>
  <c r="D1927" i="2"/>
  <c r="C1927" i="2"/>
  <c r="B1927" i="2"/>
  <c r="A1927" i="2"/>
  <c r="D1926" i="2"/>
  <c r="C1926" i="2"/>
  <c r="B1926" i="2"/>
  <c r="A1926" i="2"/>
  <c r="D1925" i="2"/>
  <c r="C1925" i="2"/>
  <c r="B1925" i="2"/>
  <c r="A1925" i="2"/>
  <c r="D1924" i="2"/>
  <c r="C1924" i="2"/>
  <c r="B1924" i="2"/>
  <c r="A1924" i="2"/>
  <c r="D1923" i="2"/>
  <c r="C1923" i="2"/>
  <c r="B1923" i="2"/>
  <c r="A1923" i="2"/>
  <c r="D1922" i="2"/>
  <c r="C1922" i="2"/>
  <c r="B1922" i="2"/>
  <c r="A1922" i="2"/>
  <c r="D1921" i="2"/>
  <c r="C1921" i="2"/>
  <c r="B1921" i="2"/>
  <c r="A1921" i="2"/>
  <c r="D1920" i="2"/>
  <c r="C1920" i="2"/>
  <c r="B1920" i="2"/>
  <c r="A1920" i="2"/>
  <c r="D1919" i="2"/>
  <c r="C1919" i="2"/>
  <c r="B1919" i="2"/>
  <c r="A1919" i="2"/>
  <c r="D1918" i="2"/>
  <c r="C1918" i="2"/>
  <c r="B1918" i="2"/>
  <c r="A1918" i="2"/>
  <c r="D1917" i="2"/>
  <c r="C1917" i="2"/>
  <c r="B1917" i="2"/>
  <c r="A1917" i="2"/>
  <c r="D1916" i="2"/>
  <c r="C1916" i="2"/>
  <c r="B1916" i="2"/>
  <c r="A1916" i="2"/>
  <c r="D1915" i="2"/>
  <c r="C1915" i="2"/>
  <c r="B1915" i="2"/>
  <c r="A1915" i="2"/>
  <c r="D1914" i="2"/>
  <c r="C1914" i="2"/>
  <c r="B1914" i="2"/>
  <c r="A1914" i="2"/>
  <c r="D1913" i="2"/>
  <c r="C1913" i="2"/>
  <c r="B1913" i="2"/>
  <c r="A1913" i="2"/>
  <c r="D1912" i="2"/>
  <c r="C1912" i="2"/>
  <c r="B1912" i="2"/>
  <c r="A1912" i="2"/>
  <c r="D1911" i="2"/>
  <c r="C1911" i="2"/>
  <c r="B1911" i="2"/>
  <c r="A1911" i="2"/>
  <c r="D1910" i="2"/>
  <c r="C1910" i="2"/>
  <c r="B1910" i="2"/>
  <c r="A1910" i="2"/>
  <c r="D1909" i="2"/>
  <c r="C1909" i="2"/>
  <c r="B1909" i="2"/>
  <c r="A1909" i="2"/>
  <c r="D1908" i="2"/>
  <c r="C1908" i="2"/>
  <c r="B1908" i="2"/>
  <c r="A1908" i="2"/>
  <c r="D1907" i="2"/>
  <c r="C1907" i="2"/>
  <c r="B1907" i="2"/>
  <c r="A1907" i="2"/>
  <c r="D1906" i="2"/>
  <c r="C1906" i="2"/>
  <c r="B1906" i="2"/>
  <c r="A1906" i="2"/>
  <c r="D1905" i="2"/>
  <c r="C1905" i="2"/>
  <c r="B1905" i="2"/>
  <c r="A1905" i="2"/>
  <c r="D1904" i="2"/>
  <c r="C1904" i="2"/>
  <c r="B1904" i="2"/>
  <c r="A1904" i="2"/>
  <c r="D1903" i="2"/>
  <c r="C1903" i="2"/>
  <c r="B1903" i="2"/>
  <c r="A1903" i="2"/>
  <c r="D1902" i="2"/>
  <c r="C1902" i="2"/>
  <c r="B1902" i="2"/>
  <c r="A1902" i="2"/>
  <c r="D1901" i="2"/>
  <c r="C1901" i="2"/>
  <c r="B1901" i="2"/>
  <c r="A1901" i="2"/>
  <c r="D1900" i="2"/>
  <c r="C1900" i="2"/>
  <c r="B1900" i="2"/>
  <c r="A1900" i="2"/>
  <c r="D1899" i="2"/>
  <c r="C1899" i="2"/>
  <c r="B1899" i="2"/>
  <c r="A1899" i="2"/>
  <c r="D1898" i="2"/>
  <c r="C1898" i="2"/>
  <c r="B1898" i="2"/>
  <c r="A1898" i="2"/>
  <c r="D1897" i="2"/>
  <c r="C1897" i="2"/>
  <c r="B1897" i="2"/>
  <c r="A1897" i="2"/>
  <c r="D1896" i="2"/>
  <c r="C1896" i="2"/>
  <c r="B1896" i="2"/>
  <c r="A1896" i="2"/>
  <c r="D1895" i="2"/>
  <c r="C1895" i="2"/>
  <c r="B1895" i="2"/>
  <c r="A1895" i="2"/>
  <c r="D1894" i="2"/>
  <c r="C1894" i="2"/>
  <c r="B1894" i="2"/>
  <c r="A1894" i="2"/>
  <c r="D1893" i="2"/>
  <c r="C1893" i="2"/>
  <c r="B1893" i="2"/>
  <c r="A1893" i="2"/>
  <c r="D1892" i="2"/>
  <c r="C1892" i="2"/>
  <c r="B1892" i="2"/>
  <c r="A1892" i="2"/>
  <c r="D1891" i="2"/>
  <c r="C1891" i="2"/>
  <c r="B1891" i="2"/>
  <c r="A1891" i="2"/>
  <c r="D1890" i="2"/>
  <c r="C1890" i="2"/>
  <c r="B1890" i="2"/>
  <c r="A1890" i="2"/>
  <c r="D1889" i="2"/>
  <c r="C1889" i="2"/>
  <c r="B1889" i="2"/>
  <c r="A1889" i="2"/>
  <c r="D1888" i="2"/>
  <c r="C1888" i="2"/>
  <c r="B1888" i="2"/>
  <c r="A1888" i="2"/>
  <c r="D1887" i="2"/>
  <c r="C1887" i="2"/>
  <c r="B1887" i="2"/>
  <c r="A1887" i="2"/>
  <c r="D1886" i="2"/>
  <c r="C1886" i="2"/>
  <c r="B1886" i="2"/>
  <c r="A1886" i="2"/>
  <c r="D1885" i="2"/>
  <c r="C1885" i="2"/>
  <c r="B1885" i="2"/>
  <c r="A1885" i="2"/>
  <c r="D1884" i="2"/>
  <c r="C1884" i="2"/>
  <c r="B1884" i="2"/>
  <c r="A1884" i="2"/>
  <c r="D1883" i="2"/>
  <c r="C1883" i="2"/>
  <c r="B1883" i="2"/>
  <c r="A1883" i="2"/>
  <c r="D1882" i="2"/>
  <c r="C1882" i="2"/>
  <c r="B1882" i="2"/>
  <c r="A1882" i="2"/>
  <c r="D1881" i="2"/>
  <c r="C1881" i="2"/>
  <c r="B1881" i="2"/>
  <c r="A1881" i="2"/>
  <c r="D1880" i="2"/>
  <c r="C1880" i="2"/>
  <c r="B1880" i="2"/>
  <c r="A1880" i="2"/>
  <c r="D1879" i="2"/>
  <c r="C1879" i="2"/>
  <c r="B1879" i="2"/>
  <c r="A1879" i="2"/>
  <c r="D1878" i="2"/>
  <c r="C1878" i="2"/>
  <c r="B1878" i="2"/>
  <c r="A1878" i="2"/>
  <c r="D1877" i="2"/>
  <c r="C1877" i="2"/>
  <c r="B1877" i="2"/>
  <c r="A1877" i="2"/>
  <c r="D1876" i="2"/>
  <c r="C1876" i="2"/>
  <c r="B1876" i="2"/>
  <c r="A1876" i="2"/>
  <c r="D1875" i="2"/>
  <c r="C1875" i="2"/>
  <c r="B1875" i="2"/>
  <c r="A1875" i="2"/>
  <c r="D1874" i="2"/>
  <c r="C1874" i="2"/>
  <c r="B1874" i="2"/>
  <c r="A1874" i="2"/>
  <c r="D1873" i="2"/>
  <c r="C1873" i="2"/>
  <c r="B1873" i="2"/>
  <c r="A1873" i="2"/>
  <c r="D1872" i="2"/>
  <c r="C1872" i="2"/>
  <c r="B1872" i="2"/>
  <c r="A1872" i="2"/>
  <c r="D1871" i="2"/>
  <c r="C1871" i="2"/>
  <c r="B1871" i="2"/>
  <c r="A1871" i="2"/>
  <c r="D1870" i="2"/>
  <c r="C1870" i="2"/>
  <c r="B1870" i="2"/>
  <c r="A1870" i="2"/>
  <c r="D1869" i="2"/>
  <c r="C1869" i="2"/>
  <c r="B1869" i="2"/>
  <c r="A1869" i="2"/>
  <c r="D1868" i="2"/>
  <c r="C1868" i="2"/>
  <c r="B1868" i="2"/>
  <c r="A1868" i="2"/>
  <c r="D1867" i="2"/>
  <c r="C1867" i="2"/>
  <c r="B1867" i="2"/>
  <c r="A1867" i="2"/>
  <c r="D1866" i="2"/>
  <c r="C1866" i="2"/>
  <c r="B1866" i="2"/>
  <c r="A1866" i="2"/>
  <c r="D1865" i="2"/>
  <c r="C1865" i="2"/>
  <c r="B1865" i="2"/>
  <c r="A1865" i="2"/>
  <c r="D1864" i="2"/>
  <c r="C1864" i="2"/>
  <c r="B1864" i="2"/>
  <c r="A1864" i="2"/>
  <c r="D1863" i="2"/>
  <c r="C1863" i="2"/>
  <c r="B1863" i="2"/>
  <c r="A1863" i="2"/>
  <c r="D1862" i="2"/>
  <c r="C1862" i="2"/>
  <c r="B1862" i="2"/>
  <c r="A1862" i="2"/>
  <c r="D1861" i="2"/>
  <c r="C1861" i="2"/>
  <c r="B1861" i="2"/>
  <c r="A1861" i="2"/>
  <c r="D1860" i="2"/>
  <c r="C1860" i="2"/>
  <c r="B1860" i="2"/>
  <c r="A1860" i="2"/>
  <c r="D1859" i="2"/>
  <c r="C1859" i="2"/>
  <c r="B1859" i="2"/>
  <c r="A1859" i="2"/>
  <c r="D1858" i="2"/>
  <c r="C1858" i="2"/>
  <c r="B1858" i="2"/>
  <c r="A1858" i="2"/>
  <c r="D1857" i="2"/>
  <c r="C1857" i="2"/>
  <c r="B1857" i="2"/>
  <c r="A1857" i="2"/>
  <c r="D1856" i="2"/>
  <c r="C1856" i="2"/>
  <c r="B1856" i="2"/>
  <c r="A1856" i="2"/>
  <c r="D1855" i="2"/>
  <c r="C1855" i="2"/>
  <c r="B1855" i="2"/>
  <c r="A1855" i="2"/>
  <c r="D1854" i="2"/>
  <c r="C1854" i="2"/>
  <c r="B1854" i="2"/>
  <c r="A1854" i="2"/>
  <c r="D1853" i="2"/>
  <c r="C1853" i="2"/>
  <c r="B1853" i="2"/>
  <c r="A1853" i="2"/>
  <c r="D1852" i="2"/>
  <c r="C1852" i="2"/>
  <c r="B1852" i="2"/>
  <c r="A1852" i="2"/>
  <c r="D1851" i="2"/>
  <c r="C1851" i="2"/>
  <c r="B1851" i="2"/>
  <c r="A1851" i="2"/>
  <c r="D1850" i="2"/>
  <c r="C1850" i="2"/>
  <c r="B1850" i="2"/>
  <c r="A1850" i="2"/>
  <c r="D1849" i="2"/>
  <c r="C1849" i="2"/>
  <c r="B1849" i="2"/>
  <c r="A1849" i="2"/>
  <c r="D1848" i="2"/>
  <c r="C1848" i="2"/>
  <c r="B1848" i="2"/>
  <c r="A1848" i="2"/>
  <c r="D1847" i="2"/>
  <c r="C1847" i="2"/>
  <c r="B1847" i="2"/>
  <c r="A1847" i="2"/>
  <c r="D1846" i="2"/>
  <c r="C1846" i="2"/>
  <c r="B1846" i="2"/>
  <c r="A1846" i="2"/>
  <c r="D1845" i="2"/>
  <c r="C1845" i="2"/>
  <c r="B1845" i="2"/>
  <c r="A1845" i="2"/>
  <c r="D1844" i="2"/>
  <c r="C1844" i="2"/>
  <c r="B1844" i="2"/>
  <c r="A1844" i="2"/>
  <c r="D1843" i="2"/>
  <c r="C1843" i="2"/>
  <c r="B1843" i="2"/>
  <c r="A1843" i="2"/>
  <c r="D1842" i="2"/>
  <c r="C1842" i="2"/>
  <c r="B1842" i="2"/>
  <c r="A1842" i="2"/>
  <c r="D1841" i="2"/>
  <c r="C1841" i="2"/>
  <c r="B1841" i="2"/>
  <c r="A1841" i="2"/>
  <c r="D1840" i="2"/>
  <c r="C1840" i="2"/>
  <c r="B1840" i="2"/>
  <c r="A1840" i="2"/>
  <c r="D1839" i="2"/>
  <c r="C1839" i="2"/>
  <c r="B1839" i="2"/>
  <c r="A1839" i="2"/>
  <c r="D1838" i="2"/>
  <c r="C1838" i="2"/>
  <c r="B1838" i="2"/>
  <c r="A1838" i="2"/>
  <c r="D1837" i="2"/>
  <c r="C1837" i="2"/>
  <c r="B1837" i="2"/>
  <c r="A1837" i="2"/>
  <c r="D1836" i="2"/>
  <c r="C1836" i="2"/>
  <c r="B1836" i="2"/>
  <c r="A1836" i="2"/>
  <c r="D1835" i="2"/>
  <c r="C1835" i="2"/>
  <c r="B1835" i="2"/>
  <c r="A1835" i="2"/>
  <c r="D1834" i="2"/>
  <c r="C1834" i="2"/>
  <c r="B1834" i="2"/>
  <c r="A1834" i="2"/>
  <c r="D1833" i="2"/>
  <c r="C1833" i="2"/>
  <c r="B1833" i="2"/>
  <c r="A1833" i="2"/>
  <c r="D1832" i="2"/>
  <c r="C1832" i="2"/>
  <c r="B1832" i="2"/>
  <c r="A1832" i="2"/>
  <c r="D1831" i="2"/>
  <c r="C1831" i="2"/>
  <c r="B1831" i="2"/>
  <c r="A1831" i="2"/>
  <c r="D1830" i="2"/>
  <c r="C1830" i="2"/>
  <c r="B1830" i="2"/>
  <c r="A1830" i="2"/>
  <c r="D1829" i="2"/>
  <c r="C1829" i="2"/>
  <c r="B1829" i="2"/>
  <c r="A1829" i="2"/>
  <c r="D1828" i="2"/>
  <c r="C1828" i="2"/>
  <c r="B1828" i="2"/>
  <c r="A1828" i="2"/>
  <c r="D1827" i="2"/>
  <c r="C1827" i="2"/>
  <c r="B1827" i="2"/>
  <c r="A1827" i="2"/>
  <c r="D1826" i="2"/>
  <c r="C1826" i="2"/>
  <c r="B1826" i="2"/>
  <c r="A1826" i="2"/>
  <c r="D1825" i="2"/>
  <c r="C1825" i="2"/>
  <c r="B1825" i="2"/>
  <c r="A1825" i="2"/>
  <c r="D1824" i="2"/>
  <c r="C1824" i="2"/>
  <c r="B1824" i="2"/>
  <c r="A1824" i="2"/>
  <c r="D1823" i="2"/>
  <c r="C1823" i="2"/>
  <c r="B1823" i="2"/>
  <c r="A1823" i="2"/>
  <c r="D1822" i="2"/>
  <c r="C1822" i="2"/>
  <c r="B1822" i="2"/>
  <c r="A1822" i="2"/>
  <c r="D1821" i="2"/>
  <c r="C1821" i="2"/>
  <c r="B1821" i="2"/>
  <c r="A1821" i="2"/>
  <c r="D1820" i="2"/>
  <c r="C1820" i="2"/>
  <c r="B1820" i="2"/>
  <c r="A1820" i="2"/>
  <c r="D1819" i="2"/>
  <c r="C1819" i="2"/>
  <c r="B1819" i="2"/>
  <c r="A1819" i="2"/>
  <c r="D1818" i="2"/>
  <c r="C1818" i="2"/>
  <c r="B1818" i="2"/>
  <c r="A1818" i="2"/>
  <c r="D1817" i="2"/>
  <c r="C1817" i="2"/>
  <c r="B1817" i="2"/>
  <c r="A1817" i="2"/>
  <c r="D1816" i="2"/>
  <c r="C1816" i="2"/>
  <c r="B1816" i="2"/>
  <c r="A1816" i="2"/>
  <c r="D1815" i="2"/>
  <c r="C1815" i="2"/>
  <c r="B1815" i="2"/>
  <c r="A1815" i="2"/>
  <c r="D1814" i="2"/>
  <c r="C1814" i="2"/>
  <c r="B1814" i="2"/>
  <c r="A1814" i="2"/>
  <c r="D1813" i="2"/>
  <c r="C1813" i="2"/>
  <c r="B1813" i="2"/>
  <c r="A1813" i="2"/>
  <c r="D1812" i="2"/>
  <c r="C1812" i="2"/>
  <c r="B1812" i="2"/>
  <c r="A1812" i="2"/>
  <c r="D1811" i="2"/>
  <c r="C1811" i="2"/>
  <c r="B1811" i="2"/>
  <c r="A1811" i="2"/>
  <c r="D1810" i="2"/>
  <c r="C1810" i="2"/>
  <c r="B1810" i="2"/>
  <c r="A1810" i="2"/>
  <c r="D1809" i="2"/>
  <c r="C1809" i="2"/>
  <c r="B1809" i="2"/>
  <c r="A1809" i="2"/>
  <c r="D1808" i="2"/>
  <c r="C1808" i="2"/>
  <c r="B1808" i="2"/>
  <c r="A1808" i="2"/>
  <c r="D1807" i="2"/>
  <c r="C1807" i="2"/>
  <c r="B1807" i="2"/>
  <c r="A1807" i="2"/>
  <c r="D1806" i="2"/>
  <c r="C1806" i="2"/>
  <c r="B1806" i="2"/>
  <c r="A1806" i="2"/>
  <c r="D1805" i="2"/>
  <c r="C1805" i="2"/>
  <c r="B1805" i="2"/>
  <c r="A1805" i="2"/>
  <c r="D1804" i="2"/>
  <c r="C1804" i="2"/>
  <c r="B1804" i="2"/>
  <c r="A1804" i="2"/>
  <c r="D1803" i="2"/>
  <c r="C1803" i="2"/>
  <c r="B1803" i="2"/>
  <c r="A1803" i="2"/>
  <c r="D1802" i="2"/>
  <c r="C1802" i="2"/>
  <c r="B1802" i="2"/>
  <c r="A1802" i="2"/>
  <c r="D1801" i="2"/>
  <c r="C1801" i="2"/>
  <c r="B1801" i="2"/>
  <c r="A1801" i="2"/>
  <c r="D1800" i="2"/>
  <c r="C1800" i="2"/>
  <c r="B1800" i="2"/>
  <c r="A1800" i="2"/>
  <c r="D1799" i="2"/>
  <c r="C1799" i="2"/>
  <c r="B1799" i="2"/>
  <c r="A1799" i="2"/>
  <c r="D1798" i="2"/>
  <c r="C1798" i="2"/>
  <c r="B1798" i="2"/>
  <c r="A1798" i="2"/>
  <c r="D1797" i="2"/>
  <c r="C1797" i="2"/>
  <c r="B1797" i="2"/>
  <c r="A1797" i="2"/>
  <c r="D1796" i="2"/>
  <c r="C1796" i="2"/>
  <c r="B1796" i="2"/>
  <c r="A1796" i="2"/>
  <c r="D1795" i="2"/>
  <c r="C1795" i="2"/>
  <c r="B1795" i="2"/>
  <c r="A1795" i="2"/>
  <c r="D1794" i="2"/>
  <c r="C1794" i="2"/>
  <c r="B1794" i="2"/>
  <c r="A1794" i="2"/>
  <c r="D1793" i="2"/>
  <c r="C1793" i="2"/>
  <c r="B1793" i="2"/>
  <c r="A1793" i="2"/>
  <c r="D1792" i="2"/>
  <c r="C1792" i="2"/>
  <c r="B1792" i="2"/>
  <c r="A1792" i="2"/>
  <c r="D1791" i="2"/>
  <c r="C1791" i="2"/>
  <c r="B1791" i="2"/>
  <c r="A1791" i="2"/>
  <c r="D1790" i="2"/>
  <c r="C1790" i="2"/>
  <c r="B1790" i="2"/>
  <c r="A1790" i="2"/>
  <c r="D1789" i="2"/>
  <c r="C1789" i="2"/>
  <c r="B1789" i="2"/>
  <c r="A1789" i="2"/>
  <c r="D1788" i="2"/>
  <c r="C1788" i="2"/>
  <c r="B1788" i="2"/>
  <c r="A1788" i="2"/>
  <c r="D1787" i="2"/>
  <c r="C1787" i="2"/>
  <c r="B1787" i="2"/>
  <c r="A1787" i="2"/>
  <c r="D1786" i="2"/>
  <c r="C1786" i="2"/>
  <c r="B1786" i="2"/>
  <c r="A1786" i="2"/>
  <c r="D1785" i="2"/>
  <c r="C1785" i="2"/>
  <c r="B1785" i="2"/>
  <c r="A1785" i="2"/>
  <c r="D1784" i="2"/>
  <c r="C1784" i="2"/>
  <c r="B1784" i="2"/>
  <c r="A1784" i="2"/>
  <c r="D1783" i="2"/>
  <c r="C1783" i="2"/>
  <c r="B1783" i="2"/>
  <c r="A1783" i="2"/>
  <c r="D1782" i="2"/>
  <c r="C1782" i="2"/>
  <c r="B1782" i="2"/>
  <c r="A1782" i="2"/>
  <c r="D1781" i="2"/>
  <c r="C1781" i="2"/>
  <c r="B1781" i="2"/>
  <c r="A1781" i="2"/>
  <c r="D1780" i="2"/>
  <c r="C1780" i="2"/>
  <c r="B1780" i="2"/>
  <c r="A1780" i="2"/>
  <c r="D1779" i="2"/>
  <c r="C1779" i="2"/>
  <c r="B1779" i="2"/>
  <c r="A1779" i="2"/>
  <c r="D1778" i="2"/>
  <c r="C1778" i="2"/>
  <c r="B1778" i="2"/>
  <c r="A1778" i="2"/>
  <c r="D1777" i="2"/>
  <c r="C1777" i="2"/>
  <c r="B1777" i="2"/>
  <c r="A1777" i="2"/>
  <c r="D1776" i="2"/>
  <c r="C1776" i="2"/>
  <c r="B1776" i="2"/>
  <c r="A1776" i="2"/>
  <c r="D1775" i="2"/>
  <c r="C1775" i="2"/>
  <c r="B1775" i="2"/>
  <c r="A1775" i="2"/>
  <c r="D1774" i="2"/>
  <c r="C1774" i="2"/>
  <c r="B1774" i="2"/>
  <c r="A1774" i="2"/>
  <c r="D1773" i="2"/>
  <c r="C1773" i="2"/>
  <c r="B1773" i="2"/>
  <c r="A1773" i="2"/>
  <c r="D1772" i="2"/>
  <c r="C1772" i="2"/>
  <c r="B1772" i="2"/>
  <c r="A1772" i="2"/>
  <c r="D1771" i="2"/>
  <c r="C1771" i="2"/>
  <c r="B1771" i="2"/>
  <c r="A1771" i="2"/>
  <c r="D1770" i="2"/>
  <c r="C1770" i="2"/>
  <c r="B1770" i="2"/>
  <c r="A1770" i="2"/>
  <c r="D1769" i="2"/>
  <c r="C1769" i="2"/>
  <c r="B1769" i="2"/>
  <c r="A1769" i="2"/>
  <c r="D1768" i="2"/>
  <c r="C1768" i="2"/>
  <c r="B1768" i="2"/>
  <c r="A1768" i="2"/>
  <c r="D1767" i="2"/>
  <c r="C1767" i="2"/>
  <c r="B1767" i="2"/>
  <c r="A1767" i="2"/>
  <c r="D1766" i="2"/>
  <c r="C1766" i="2"/>
  <c r="B1766" i="2"/>
  <c r="A1766" i="2"/>
  <c r="D1765" i="2"/>
  <c r="C1765" i="2"/>
  <c r="B1765" i="2"/>
  <c r="A1765" i="2"/>
  <c r="D1764" i="2"/>
  <c r="C1764" i="2"/>
  <c r="B1764" i="2"/>
  <c r="A1764" i="2"/>
  <c r="D1763" i="2"/>
  <c r="C1763" i="2"/>
  <c r="B1763" i="2"/>
  <c r="A1763" i="2"/>
  <c r="D1762" i="2"/>
  <c r="C1762" i="2"/>
  <c r="B1762" i="2"/>
  <c r="A1762" i="2"/>
  <c r="D1761" i="2"/>
  <c r="C1761" i="2"/>
  <c r="B1761" i="2"/>
  <c r="A1761" i="2"/>
  <c r="D1760" i="2"/>
  <c r="C1760" i="2"/>
  <c r="B1760" i="2"/>
  <c r="A1760" i="2"/>
  <c r="D1759" i="2"/>
  <c r="C1759" i="2"/>
  <c r="B1759" i="2"/>
  <c r="A1759" i="2"/>
  <c r="D1758" i="2"/>
  <c r="C1758" i="2"/>
  <c r="B1758" i="2"/>
  <c r="A1758" i="2"/>
  <c r="D1757" i="2"/>
  <c r="C1757" i="2"/>
  <c r="B1757" i="2"/>
  <c r="A1757" i="2"/>
  <c r="D1756" i="2"/>
  <c r="C1756" i="2"/>
  <c r="B1756" i="2"/>
  <c r="A1756" i="2"/>
  <c r="D1755" i="2"/>
  <c r="C1755" i="2"/>
  <c r="B1755" i="2"/>
  <c r="A1755" i="2"/>
  <c r="D1754" i="2"/>
  <c r="C1754" i="2"/>
  <c r="B1754" i="2"/>
  <c r="A1754" i="2"/>
  <c r="D1753" i="2"/>
  <c r="C1753" i="2"/>
  <c r="B1753" i="2"/>
  <c r="A1753" i="2"/>
  <c r="D1752" i="2"/>
  <c r="C1752" i="2"/>
  <c r="B1752" i="2"/>
  <c r="A1752" i="2"/>
  <c r="D1751" i="2"/>
  <c r="C1751" i="2"/>
  <c r="B1751" i="2"/>
  <c r="A1751" i="2"/>
  <c r="D1750" i="2"/>
  <c r="C1750" i="2"/>
  <c r="B1750" i="2"/>
  <c r="A1750" i="2"/>
  <c r="D1749" i="2"/>
  <c r="C1749" i="2"/>
  <c r="B1749" i="2"/>
  <c r="A1749" i="2"/>
  <c r="D1748" i="2"/>
  <c r="C1748" i="2"/>
  <c r="B1748" i="2"/>
  <c r="A1748" i="2"/>
  <c r="D1747" i="2"/>
  <c r="C1747" i="2"/>
  <c r="B1747" i="2"/>
  <c r="A1747" i="2"/>
  <c r="D1746" i="2"/>
  <c r="C1746" i="2"/>
  <c r="B1746" i="2"/>
  <c r="A1746" i="2"/>
  <c r="D1745" i="2"/>
  <c r="C1745" i="2"/>
  <c r="B1745" i="2"/>
  <c r="A1745" i="2"/>
  <c r="D1744" i="2"/>
  <c r="C1744" i="2"/>
  <c r="B1744" i="2"/>
  <c r="A1744" i="2"/>
  <c r="D1743" i="2"/>
  <c r="C1743" i="2"/>
  <c r="B1743" i="2"/>
  <c r="A1743" i="2"/>
  <c r="D1742" i="2"/>
  <c r="C1742" i="2"/>
  <c r="B1742" i="2"/>
  <c r="A1742" i="2"/>
  <c r="D1741" i="2"/>
  <c r="C1741" i="2"/>
  <c r="B1741" i="2"/>
  <c r="A1741" i="2"/>
  <c r="D1740" i="2"/>
  <c r="C1740" i="2"/>
  <c r="B1740" i="2"/>
  <c r="A1740" i="2"/>
  <c r="D1739" i="2"/>
  <c r="C1739" i="2"/>
  <c r="B1739" i="2"/>
  <c r="A1739" i="2"/>
  <c r="D1738" i="2"/>
  <c r="C1738" i="2"/>
  <c r="B1738" i="2"/>
  <c r="A1738" i="2"/>
  <c r="D1737" i="2"/>
  <c r="C1737" i="2"/>
  <c r="B1737" i="2"/>
  <c r="A1737" i="2"/>
  <c r="D1736" i="2"/>
  <c r="C1736" i="2"/>
  <c r="B1736" i="2"/>
  <c r="A1736" i="2"/>
  <c r="D1735" i="2"/>
  <c r="C1735" i="2"/>
  <c r="B1735" i="2"/>
  <c r="A1735" i="2"/>
  <c r="D1734" i="2"/>
  <c r="C1734" i="2"/>
  <c r="B1734" i="2"/>
  <c r="A1734" i="2"/>
  <c r="D1733" i="2"/>
  <c r="C1733" i="2"/>
  <c r="B1733" i="2"/>
  <c r="A1733" i="2"/>
  <c r="D1732" i="2"/>
  <c r="C1732" i="2"/>
  <c r="B1732" i="2"/>
  <c r="A1732" i="2"/>
  <c r="D1731" i="2"/>
  <c r="C1731" i="2"/>
  <c r="B1731" i="2"/>
  <c r="A1731" i="2"/>
  <c r="D1730" i="2"/>
  <c r="C1730" i="2"/>
  <c r="B1730" i="2"/>
  <c r="A1730" i="2"/>
  <c r="D1729" i="2"/>
  <c r="C1729" i="2"/>
  <c r="B1729" i="2"/>
  <c r="A1729" i="2"/>
  <c r="D1728" i="2"/>
  <c r="C1728" i="2"/>
  <c r="B1728" i="2"/>
  <c r="A1728" i="2"/>
  <c r="D1727" i="2"/>
  <c r="C1727" i="2"/>
  <c r="B1727" i="2"/>
  <c r="A1727" i="2"/>
  <c r="D1726" i="2"/>
  <c r="C1726" i="2"/>
  <c r="B1726" i="2"/>
  <c r="A1726" i="2"/>
  <c r="D1725" i="2"/>
  <c r="C1725" i="2"/>
  <c r="B1725" i="2"/>
  <c r="A1725" i="2"/>
  <c r="D1724" i="2"/>
  <c r="C1724" i="2"/>
  <c r="B1724" i="2"/>
  <c r="A1724" i="2"/>
  <c r="D1723" i="2"/>
  <c r="C1723" i="2"/>
  <c r="B1723" i="2"/>
  <c r="A1723" i="2"/>
  <c r="D1722" i="2"/>
  <c r="C1722" i="2"/>
  <c r="B1722" i="2"/>
  <c r="A1722" i="2"/>
  <c r="D1721" i="2"/>
  <c r="C1721" i="2"/>
  <c r="B1721" i="2"/>
  <c r="A1721" i="2"/>
  <c r="D1720" i="2"/>
  <c r="C1720" i="2"/>
  <c r="B1720" i="2"/>
  <c r="A1720" i="2"/>
  <c r="D1719" i="2"/>
  <c r="C1719" i="2"/>
  <c r="B1719" i="2"/>
  <c r="A1719" i="2"/>
  <c r="D1718" i="2"/>
  <c r="C1718" i="2"/>
  <c r="B1718" i="2"/>
  <c r="A1718" i="2"/>
  <c r="D1717" i="2"/>
  <c r="C1717" i="2"/>
  <c r="B1717" i="2"/>
  <c r="A1717" i="2"/>
  <c r="D1716" i="2"/>
  <c r="C1716" i="2"/>
  <c r="B1716" i="2"/>
  <c r="A1716" i="2"/>
  <c r="D1715" i="2"/>
  <c r="C1715" i="2"/>
  <c r="B1715" i="2"/>
  <c r="A1715" i="2"/>
  <c r="D1714" i="2"/>
  <c r="C1714" i="2"/>
  <c r="B1714" i="2"/>
  <c r="A1714" i="2"/>
  <c r="D1713" i="2"/>
  <c r="C1713" i="2"/>
  <c r="B1713" i="2"/>
  <c r="A1713" i="2"/>
  <c r="D1712" i="2"/>
  <c r="C1712" i="2"/>
  <c r="B1712" i="2"/>
  <c r="A1712" i="2"/>
  <c r="D1711" i="2"/>
  <c r="C1711" i="2"/>
  <c r="B1711" i="2"/>
  <c r="A1711" i="2"/>
  <c r="D1710" i="2"/>
  <c r="C1710" i="2"/>
  <c r="B1710" i="2"/>
  <c r="A1710" i="2"/>
  <c r="D1709" i="2"/>
  <c r="C1709" i="2"/>
  <c r="B1709" i="2"/>
  <c r="A1709" i="2"/>
  <c r="D1708" i="2"/>
  <c r="C1708" i="2"/>
  <c r="B1708" i="2"/>
  <c r="A1708" i="2"/>
  <c r="D1707" i="2"/>
  <c r="C1707" i="2"/>
  <c r="B1707" i="2"/>
  <c r="A1707" i="2"/>
  <c r="D1706" i="2"/>
  <c r="C1706" i="2"/>
  <c r="B1706" i="2"/>
  <c r="A1706" i="2"/>
  <c r="D1705" i="2"/>
  <c r="C1705" i="2"/>
  <c r="B1705" i="2"/>
  <c r="A1705" i="2"/>
  <c r="D1704" i="2"/>
  <c r="C1704" i="2"/>
  <c r="B1704" i="2"/>
  <c r="A1704" i="2"/>
  <c r="D1703" i="2"/>
  <c r="C1703" i="2"/>
  <c r="B1703" i="2"/>
  <c r="A1703" i="2"/>
  <c r="D1702" i="2"/>
  <c r="C1702" i="2"/>
  <c r="B1702" i="2"/>
  <c r="A1702" i="2"/>
  <c r="D1701" i="2"/>
  <c r="C1701" i="2"/>
  <c r="B1701" i="2"/>
  <c r="A1701" i="2"/>
  <c r="D1700" i="2"/>
  <c r="C1700" i="2"/>
  <c r="B1700" i="2"/>
  <c r="A1700" i="2"/>
  <c r="D1699" i="2"/>
  <c r="C1699" i="2"/>
  <c r="B1699" i="2"/>
  <c r="A1699" i="2"/>
  <c r="D1698" i="2"/>
  <c r="C1698" i="2"/>
  <c r="B1698" i="2"/>
  <c r="A1698" i="2"/>
  <c r="D1697" i="2"/>
  <c r="C1697" i="2"/>
  <c r="B1697" i="2"/>
  <c r="A1697" i="2"/>
  <c r="D1696" i="2"/>
  <c r="C1696" i="2"/>
  <c r="B1696" i="2"/>
  <c r="A1696" i="2"/>
  <c r="D1695" i="2"/>
  <c r="C1695" i="2"/>
  <c r="B1695" i="2"/>
  <c r="A1695" i="2"/>
  <c r="D1694" i="2"/>
  <c r="C1694" i="2"/>
  <c r="B1694" i="2"/>
  <c r="A1694" i="2"/>
  <c r="D1693" i="2"/>
  <c r="C1693" i="2"/>
  <c r="B1693" i="2"/>
  <c r="A1693" i="2"/>
  <c r="D1692" i="2"/>
  <c r="C1692" i="2"/>
  <c r="B1692" i="2"/>
  <c r="A1692" i="2"/>
  <c r="D1691" i="2"/>
  <c r="C1691" i="2"/>
  <c r="B1691" i="2"/>
  <c r="A1691" i="2"/>
  <c r="D1690" i="2"/>
  <c r="C1690" i="2"/>
  <c r="B1690" i="2"/>
  <c r="A1690" i="2"/>
  <c r="D1689" i="2"/>
  <c r="C1689" i="2"/>
  <c r="B1689" i="2"/>
  <c r="A1689" i="2"/>
  <c r="D1688" i="2"/>
  <c r="C1688" i="2"/>
  <c r="B1688" i="2"/>
  <c r="A1688" i="2"/>
  <c r="D1687" i="2"/>
  <c r="C1687" i="2"/>
  <c r="B1687" i="2"/>
  <c r="A1687" i="2"/>
  <c r="D1686" i="2"/>
  <c r="C1686" i="2"/>
  <c r="B1686" i="2"/>
  <c r="A1686" i="2"/>
  <c r="D1685" i="2"/>
  <c r="C1685" i="2"/>
  <c r="B1685" i="2"/>
  <c r="A1685" i="2"/>
  <c r="D1684" i="2"/>
  <c r="C1684" i="2"/>
  <c r="B1684" i="2"/>
  <c r="A1684" i="2"/>
  <c r="D1683" i="2"/>
  <c r="C1683" i="2"/>
  <c r="B1683" i="2"/>
  <c r="A1683" i="2"/>
  <c r="D1682" i="2"/>
  <c r="C1682" i="2"/>
  <c r="B1682" i="2"/>
  <c r="A1682" i="2"/>
  <c r="D1681" i="2"/>
  <c r="C1681" i="2"/>
  <c r="B1681" i="2"/>
  <c r="A1681" i="2"/>
  <c r="D1680" i="2"/>
  <c r="C1680" i="2"/>
  <c r="B1680" i="2"/>
  <c r="A1680" i="2"/>
  <c r="D1679" i="2"/>
  <c r="C1679" i="2"/>
  <c r="B1679" i="2"/>
  <c r="A1679" i="2"/>
  <c r="D1678" i="2"/>
  <c r="C1678" i="2"/>
  <c r="B1678" i="2"/>
  <c r="A1678" i="2"/>
  <c r="D1677" i="2"/>
  <c r="C1677" i="2"/>
  <c r="B1677" i="2"/>
  <c r="A1677" i="2"/>
  <c r="D1676" i="2"/>
  <c r="C1676" i="2"/>
  <c r="B1676" i="2"/>
  <c r="A1676" i="2"/>
  <c r="D1675" i="2"/>
  <c r="C1675" i="2"/>
  <c r="B1675" i="2"/>
  <c r="A1675" i="2"/>
  <c r="D1674" i="2"/>
  <c r="C1674" i="2"/>
  <c r="B1674" i="2"/>
  <c r="A1674" i="2"/>
  <c r="D1673" i="2"/>
  <c r="C1673" i="2"/>
  <c r="B1673" i="2"/>
  <c r="A1673" i="2"/>
  <c r="D1672" i="2"/>
  <c r="C1672" i="2"/>
  <c r="B1672" i="2"/>
  <c r="A1672" i="2"/>
  <c r="D1671" i="2"/>
  <c r="C1671" i="2"/>
  <c r="B1671" i="2"/>
  <c r="A1671" i="2"/>
  <c r="D1670" i="2"/>
  <c r="C1670" i="2"/>
  <c r="B1670" i="2"/>
  <c r="A1670" i="2"/>
  <c r="D1669" i="2"/>
  <c r="C1669" i="2"/>
  <c r="B1669" i="2"/>
  <c r="A1669" i="2"/>
  <c r="D1668" i="2"/>
  <c r="C1668" i="2"/>
  <c r="B1668" i="2"/>
  <c r="A1668" i="2"/>
  <c r="D1667" i="2"/>
  <c r="C1667" i="2"/>
  <c r="B1667" i="2"/>
  <c r="A1667" i="2"/>
  <c r="D1666" i="2"/>
  <c r="C1666" i="2"/>
  <c r="B1666" i="2"/>
  <c r="A1666" i="2"/>
  <c r="D1665" i="2"/>
  <c r="C1665" i="2"/>
  <c r="B1665" i="2"/>
  <c r="A1665" i="2"/>
  <c r="D1664" i="2"/>
  <c r="C1664" i="2"/>
  <c r="B1664" i="2"/>
  <c r="A1664" i="2"/>
  <c r="D1663" i="2"/>
  <c r="C1663" i="2"/>
  <c r="B1663" i="2"/>
  <c r="A1663" i="2"/>
  <c r="D1662" i="2"/>
  <c r="C1662" i="2"/>
  <c r="B1662" i="2"/>
  <c r="A1662" i="2"/>
  <c r="D1661" i="2"/>
  <c r="C1661" i="2"/>
  <c r="B1661" i="2"/>
  <c r="A1661" i="2"/>
  <c r="D1660" i="2"/>
  <c r="C1660" i="2"/>
  <c r="B1660" i="2"/>
  <c r="A1660" i="2"/>
  <c r="D1659" i="2"/>
  <c r="C1659" i="2"/>
  <c r="B1659" i="2"/>
  <c r="A1659" i="2"/>
  <c r="D1658" i="2"/>
  <c r="C1658" i="2"/>
  <c r="B1658" i="2"/>
  <c r="A1658" i="2"/>
  <c r="D1657" i="2"/>
  <c r="C1657" i="2"/>
  <c r="B1657" i="2"/>
  <c r="A1657" i="2"/>
  <c r="D1656" i="2"/>
  <c r="C1656" i="2"/>
  <c r="B1656" i="2"/>
  <c r="A1656" i="2"/>
  <c r="D1655" i="2"/>
  <c r="C1655" i="2"/>
  <c r="B1655" i="2"/>
  <c r="A1655" i="2"/>
  <c r="D1654" i="2"/>
  <c r="C1654" i="2"/>
  <c r="B1654" i="2"/>
  <c r="A1654" i="2"/>
  <c r="D1653" i="2"/>
  <c r="C1653" i="2"/>
  <c r="B1653" i="2"/>
  <c r="A1653" i="2"/>
  <c r="D1652" i="2"/>
  <c r="C1652" i="2"/>
  <c r="B1652" i="2"/>
  <c r="A1652" i="2"/>
  <c r="D1651" i="2"/>
  <c r="C1651" i="2"/>
  <c r="B1651" i="2"/>
  <c r="A1651" i="2"/>
  <c r="D1650" i="2"/>
  <c r="C1650" i="2"/>
  <c r="B1650" i="2"/>
  <c r="A1650" i="2"/>
  <c r="D1649" i="2"/>
  <c r="C1649" i="2"/>
  <c r="B1649" i="2"/>
  <c r="A1649" i="2"/>
  <c r="D1648" i="2"/>
  <c r="C1648" i="2"/>
  <c r="B1648" i="2"/>
  <c r="A1648" i="2"/>
  <c r="D1647" i="2"/>
  <c r="C1647" i="2"/>
  <c r="B1647" i="2"/>
  <c r="A1647" i="2"/>
  <c r="D1646" i="2"/>
  <c r="C1646" i="2"/>
  <c r="B1646" i="2"/>
  <c r="A1646" i="2"/>
  <c r="D1645" i="2"/>
  <c r="C1645" i="2"/>
  <c r="B1645" i="2"/>
  <c r="A1645" i="2"/>
  <c r="D1644" i="2"/>
  <c r="C1644" i="2"/>
  <c r="B1644" i="2"/>
  <c r="A1644" i="2"/>
  <c r="D1643" i="2"/>
  <c r="C1643" i="2"/>
  <c r="B1643" i="2"/>
  <c r="A1643" i="2"/>
  <c r="D1642" i="2"/>
  <c r="C1642" i="2"/>
  <c r="B1642" i="2"/>
  <c r="A1642" i="2"/>
  <c r="D1641" i="2"/>
  <c r="C1641" i="2"/>
  <c r="B1641" i="2"/>
  <c r="A1641" i="2"/>
  <c r="D1640" i="2"/>
  <c r="C1640" i="2"/>
  <c r="B1640" i="2"/>
  <c r="A1640" i="2"/>
  <c r="D1639" i="2"/>
  <c r="C1639" i="2"/>
  <c r="B1639" i="2"/>
  <c r="A1639" i="2"/>
  <c r="D1638" i="2"/>
  <c r="C1638" i="2"/>
  <c r="B1638" i="2"/>
  <c r="A1638" i="2"/>
  <c r="D1637" i="2"/>
  <c r="C1637" i="2"/>
  <c r="B1637" i="2"/>
  <c r="A1637" i="2"/>
  <c r="D1636" i="2"/>
  <c r="C1636" i="2"/>
  <c r="B1636" i="2"/>
  <c r="A1636" i="2"/>
  <c r="D1635" i="2"/>
  <c r="C1635" i="2"/>
  <c r="B1635" i="2"/>
  <c r="A1635" i="2"/>
  <c r="D1634" i="2"/>
  <c r="C1634" i="2"/>
  <c r="B1634" i="2"/>
  <c r="A1634" i="2"/>
  <c r="D1633" i="2"/>
  <c r="C1633" i="2"/>
  <c r="B1633" i="2"/>
  <c r="A1633" i="2"/>
  <c r="D1632" i="2"/>
  <c r="C1632" i="2"/>
  <c r="B1632" i="2"/>
  <c r="A1632" i="2"/>
  <c r="D1631" i="2"/>
  <c r="C1631" i="2"/>
  <c r="B1631" i="2"/>
  <c r="A1631" i="2"/>
  <c r="D1630" i="2"/>
  <c r="C1630" i="2"/>
  <c r="B1630" i="2"/>
  <c r="A1630" i="2"/>
  <c r="D1629" i="2"/>
  <c r="C1629" i="2"/>
  <c r="B1629" i="2"/>
  <c r="A1629" i="2"/>
  <c r="D1628" i="2"/>
  <c r="C1628" i="2"/>
  <c r="B1628" i="2"/>
  <c r="A1628" i="2"/>
  <c r="D1627" i="2"/>
  <c r="C1627" i="2"/>
  <c r="B1627" i="2"/>
  <c r="A1627" i="2"/>
  <c r="D1626" i="2"/>
  <c r="C1626" i="2"/>
  <c r="B1626" i="2"/>
  <c r="A1626" i="2"/>
  <c r="D1625" i="2"/>
  <c r="C1625" i="2"/>
  <c r="B1625" i="2"/>
  <c r="A1625" i="2"/>
  <c r="D1624" i="2"/>
  <c r="C1624" i="2"/>
  <c r="B1624" i="2"/>
  <c r="A1624" i="2"/>
  <c r="D1623" i="2"/>
  <c r="C1623" i="2"/>
  <c r="B1623" i="2"/>
  <c r="A1623" i="2"/>
  <c r="D1622" i="2"/>
  <c r="C1622" i="2"/>
  <c r="B1622" i="2"/>
  <c r="A1622" i="2"/>
  <c r="D1621" i="2"/>
  <c r="C1621" i="2"/>
  <c r="B1621" i="2"/>
  <c r="A1621" i="2"/>
  <c r="D1620" i="2"/>
  <c r="C1620" i="2"/>
  <c r="B1620" i="2"/>
  <c r="A1620" i="2"/>
  <c r="D1619" i="2"/>
  <c r="C1619" i="2"/>
  <c r="B1619" i="2"/>
  <c r="A1619" i="2"/>
  <c r="D1618" i="2"/>
  <c r="C1618" i="2"/>
  <c r="B1618" i="2"/>
  <c r="A1618" i="2"/>
  <c r="D1617" i="2"/>
  <c r="C1617" i="2"/>
  <c r="B1617" i="2"/>
  <c r="A1617" i="2"/>
  <c r="D1616" i="2"/>
  <c r="C1616" i="2"/>
  <c r="B1616" i="2"/>
  <c r="A1616" i="2"/>
  <c r="D1615" i="2"/>
  <c r="C1615" i="2"/>
  <c r="B1615" i="2"/>
  <c r="A1615" i="2"/>
  <c r="D1614" i="2"/>
  <c r="C1614" i="2"/>
  <c r="B1614" i="2"/>
  <c r="A1614" i="2"/>
  <c r="D1613" i="2"/>
  <c r="C1613" i="2"/>
  <c r="B1613" i="2"/>
  <c r="A1613" i="2"/>
  <c r="D1612" i="2"/>
  <c r="C1612" i="2"/>
  <c r="B1612" i="2"/>
  <c r="A1612" i="2"/>
  <c r="D1611" i="2"/>
  <c r="C1611" i="2"/>
  <c r="B1611" i="2"/>
  <c r="A1611" i="2"/>
  <c r="D1610" i="2"/>
  <c r="C1610" i="2"/>
  <c r="B1610" i="2"/>
  <c r="A1610" i="2"/>
  <c r="D1609" i="2"/>
  <c r="C1609" i="2"/>
  <c r="B1609" i="2"/>
  <c r="A1609" i="2"/>
  <c r="D1608" i="2"/>
  <c r="C1608" i="2"/>
  <c r="B1608" i="2"/>
  <c r="A1608" i="2"/>
  <c r="D1607" i="2"/>
  <c r="C1607" i="2"/>
  <c r="B1607" i="2"/>
  <c r="A1607" i="2"/>
  <c r="D1606" i="2"/>
  <c r="C1606" i="2"/>
  <c r="B1606" i="2"/>
  <c r="A1606" i="2"/>
  <c r="D1605" i="2"/>
  <c r="C1605" i="2"/>
  <c r="B1605" i="2"/>
  <c r="A1605" i="2"/>
  <c r="D1604" i="2"/>
  <c r="C1604" i="2"/>
  <c r="B1604" i="2"/>
  <c r="A1604" i="2"/>
  <c r="D1603" i="2"/>
  <c r="C1603" i="2"/>
  <c r="B1603" i="2"/>
  <c r="A1603" i="2"/>
  <c r="D1602" i="2"/>
  <c r="C1602" i="2"/>
  <c r="B1602" i="2"/>
  <c r="A1602" i="2"/>
  <c r="D1601" i="2"/>
  <c r="C1601" i="2"/>
  <c r="B1601" i="2"/>
  <c r="A1601" i="2"/>
  <c r="D1600" i="2"/>
  <c r="C1600" i="2"/>
  <c r="B1600" i="2"/>
  <c r="A1600" i="2"/>
  <c r="D1599" i="2"/>
  <c r="C1599" i="2"/>
  <c r="B1599" i="2"/>
  <c r="A1599" i="2"/>
  <c r="D1598" i="2"/>
  <c r="C1598" i="2"/>
  <c r="B1598" i="2"/>
  <c r="A1598" i="2"/>
  <c r="D1597" i="2"/>
  <c r="C1597" i="2"/>
  <c r="B1597" i="2"/>
  <c r="A1597" i="2"/>
  <c r="D1596" i="2"/>
  <c r="C1596" i="2"/>
  <c r="B1596" i="2"/>
  <c r="A1596" i="2"/>
  <c r="D1595" i="2"/>
  <c r="C1595" i="2"/>
  <c r="B1595" i="2"/>
  <c r="A1595" i="2"/>
  <c r="D1594" i="2"/>
  <c r="C1594" i="2"/>
  <c r="B1594" i="2"/>
  <c r="A1594" i="2"/>
  <c r="D1593" i="2"/>
  <c r="C1593" i="2"/>
  <c r="B1593" i="2"/>
  <c r="A1593" i="2"/>
  <c r="D1592" i="2"/>
  <c r="C1592" i="2"/>
  <c r="B1592" i="2"/>
  <c r="A1592" i="2"/>
  <c r="D1591" i="2"/>
  <c r="C1591" i="2"/>
  <c r="B1591" i="2"/>
  <c r="A1591" i="2"/>
  <c r="D1590" i="2"/>
  <c r="C1590" i="2"/>
  <c r="B1590" i="2"/>
  <c r="A1590" i="2"/>
  <c r="D1589" i="2"/>
  <c r="C1589" i="2"/>
  <c r="B1589" i="2"/>
  <c r="A1589" i="2"/>
  <c r="D1588" i="2"/>
  <c r="C1588" i="2"/>
  <c r="B1588" i="2"/>
  <c r="A1588" i="2"/>
  <c r="D1587" i="2"/>
  <c r="C1587" i="2"/>
  <c r="B1587" i="2"/>
  <c r="A1587" i="2"/>
  <c r="D1586" i="2"/>
  <c r="C1586" i="2"/>
  <c r="B1586" i="2"/>
  <c r="A1586" i="2"/>
  <c r="D1585" i="2"/>
  <c r="C1585" i="2"/>
  <c r="B1585" i="2"/>
  <c r="A1585" i="2"/>
  <c r="D1584" i="2"/>
  <c r="C1584" i="2"/>
  <c r="B1584" i="2"/>
  <c r="A1584" i="2"/>
  <c r="D1583" i="2"/>
  <c r="C1583" i="2"/>
  <c r="B1583" i="2"/>
  <c r="A1583" i="2"/>
  <c r="D1582" i="2"/>
  <c r="C1582" i="2"/>
  <c r="B1582" i="2"/>
  <c r="A1582" i="2"/>
  <c r="D1581" i="2"/>
  <c r="C1581" i="2"/>
  <c r="B1581" i="2"/>
  <c r="A1581" i="2"/>
  <c r="D1580" i="2"/>
  <c r="C1580" i="2"/>
  <c r="B1580" i="2"/>
  <c r="A1580" i="2"/>
  <c r="D1579" i="2"/>
  <c r="C1579" i="2"/>
  <c r="B1579" i="2"/>
  <c r="A1579" i="2"/>
  <c r="D1578" i="2"/>
  <c r="C1578" i="2"/>
  <c r="B1578" i="2"/>
  <c r="A1578" i="2"/>
  <c r="D1577" i="2"/>
  <c r="C1577" i="2"/>
  <c r="B1577" i="2"/>
  <c r="A1577" i="2"/>
  <c r="D1576" i="2"/>
  <c r="C1576" i="2"/>
  <c r="B1576" i="2"/>
  <c r="A1576" i="2"/>
  <c r="D1575" i="2"/>
  <c r="C1575" i="2"/>
  <c r="B1575" i="2"/>
  <c r="A1575" i="2"/>
  <c r="D1574" i="2"/>
  <c r="C1574" i="2"/>
  <c r="B1574" i="2"/>
  <c r="A1574" i="2"/>
  <c r="D1573" i="2"/>
  <c r="C1573" i="2"/>
  <c r="B1573" i="2"/>
  <c r="A1573" i="2"/>
  <c r="D1572" i="2"/>
  <c r="C1572" i="2"/>
  <c r="B1572" i="2"/>
  <c r="A1572" i="2"/>
  <c r="D1571" i="2"/>
  <c r="C1571" i="2"/>
  <c r="B1571" i="2"/>
  <c r="A1571" i="2"/>
  <c r="D1570" i="2"/>
  <c r="C1570" i="2"/>
  <c r="B1570" i="2"/>
  <c r="A1570" i="2"/>
  <c r="D1569" i="2"/>
  <c r="C1569" i="2"/>
  <c r="B1569" i="2"/>
  <c r="A1569" i="2"/>
  <c r="D1568" i="2"/>
  <c r="C1568" i="2"/>
  <c r="B1568" i="2"/>
  <c r="A1568" i="2"/>
  <c r="D1567" i="2"/>
  <c r="C1567" i="2"/>
  <c r="B1567" i="2"/>
  <c r="A1567" i="2"/>
  <c r="D1566" i="2"/>
  <c r="C1566" i="2"/>
  <c r="B1566" i="2"/>
  <c r="A1566" i="2"/>
  <c r="D1565" i="2"/>
  <c r="C1565" i="2"/>
  <c r="B1565" i="2"/>
  <c r="A1565" i="2"/>
  <c r="D1564" i="2"/>
  <c r="C1564" i="2"/>
  <c r="B1564" i="2"/>
  <c r="A1564" i="2"/>
  <c r="D1563" i="2"/>
  <c r="C1563" i="2"/>
  <c r="B1563" i="2"/>
  <c r="A1563" i="2"/>
  <c r="D1562" i="2"/>
  <c r="C1562" i="2"/>
  <c r="B1562" i="2"/>
  <c r="A1562" i="2"/>
  <c r="D1561" i="2"/>
  <c r="C1561" i="2"/>
  <c r="B1561" i="2"/>
  <c r="A1561" i="2"/>
  <c r="D1560" i="2"/>
  <c r="C1560" i="2"/>
  <c r="B1560" i="2"/>
  <c r="A1560" i="2"/>
  <c r="D1559" i="2"/>
  <c r="C1559" i="2"/>
  <c r="B1559" i="2"/>
  <c r="A1559" i="2"/>
  <c r="D1558" i="2"/>
  <c r="C1558" i="2"/>
  <c r="B1558" i="2"/>
  <c r="A1558" i="2"/>
  <c r="D1557" i="2"/>
  <c r="C1557" i="2"/>
  <c r="B1557" i="2"/>
  <c r="A1557" i="2"/>
  <c r="D1556" i="2"/>
  <c r="C1556" i="2"/>
  <c r="B1556" i="2"/>
  <c r="A1556" i="2"/>
  <c r="D1555" i="2"/>
  <c r="C1555" i="2"/>
  <c r="B1555" i="2"/>
  <c r="A1555" i="2"/>
  <c r="D1554" i="2"/>
  <c r="C1554" i="2"/>
  <c r="B1554" i="2"/>
  <c r="A1554" i="2"/>
  <c r="D1553" i="2"/>
  <c r="C1553" i="2"/>
  <c r="B1553" i="2"/>
  <c r="A1553" i="2"/>
  <c r="D1552" i="2"/>
  <c r="C1552" i="2"/>
  <c r="B1552" i="2"/>
  <c r="A1552" i="2"/>
  <c r="D1551" i="2"/>
  <c r="C1551" i="2"/>
  <c r="B1551" i="2"/>
  <c r="A1551" i="2"/>
  <c r="D1550" i="2"/>
  <c r="C1550" i="2"/>
  <c r="B1550" i="2"/>
  <c r="A1550" i="2"/>
  <c r="D1549" i="2"/>
  <c r="C1549" i="2"/>
  <c r="B1549" i="2"/>
  <c r="A1549" i="2"/>
  <c r="D1548" i="2"/>
  <c r="C1548" i="2"/>
  <c r="B1548" i="2"/>
  <c r="A1548" i="2"/>
  <c r="D1547" i="2"/>
  <c r="C1547" i="2"/>
  <c r="B1547" i="2"/>
  <c r="A1547" i="2"/>
  <c r="D1546" i="2"/>
  <c r="C1546" i="2"/>
  <c r="B1546" i="2"/>
  <c r="A1546" i="2"/>
  <c r="D1545" i="2"/>
  <c r="C1545" i="2"/>
  <c r="B1545" i="2"/>
  <c r="A1545" i="2"/>
  <c r="D1544" i="2"/>
  <c r="C1544" i="2"/>
  <c r="B1544" i="2"/>
  <c r="A1544" i="2"/>
  <c r="D1543" i="2"/>
  <c r="C1543" i="2"/>
  <c r="B1543" i="2"/>
  <c r="A1543" i="2"/>
  <c r="D1542" i="2"/>
  <c r="C1542" i="2"/>
  <c r="B1542" i="2"/>
  <c r="A1542" i="2"/>
  <c r="D1541" i="2"/>
  <c r="C1541" i="2"/>
  <c r="B1541" i="2"/>
  <c r="A1541" i="2"/>
  <c r="D1540" i="2"/>
  <c r="C1540" i="2"/>
  <c r="B1540" i="2"/>
  <c r="A1540" i="2"/>
  <c r="D1539" i="2"/>
  <c r="C1539" i="2"/>
  <c r="B1539" i="2"/>
  <c r="A1539" i="2"/>
  <c r="D1538" i="2"/>
  <c r="C1538" i="2"/>
  <c r="B1538" i="2"/>
  <c r="A1538" i="2"/>
  <c r="D1537" i="2"/>
  <c r="C1537" i="2"/>
  <c r="B1537" i="2"/>
  <c r="A1537" i="2"/>
  <c r="D1536" i="2"/>
  <c r="C1536" i="2"/>
  <c r="B1536" i="2"/>
  <c r="A1536" i="2"/>
  <c r="D1535" i="2"/>
  <c r="C1535" i="2"/>
  <c r="B1535" i="2"/>
  <c r="A1535" i="2"/>
  <c r="D1534" i="2"/>
  <c r="C1534" i="2"/>
  <c r="B1534" i="2"/>
  <c r="A1534" i="2"/>
  <c r="D1533" i="2"/>
  <c r="C1533" i="2"/>
  <c r="B1533" i="2"/>
  <c r="A1533" i="2"/>
  <c r="D1532" i="2"/>
  <c r="C1532" i="2"/>
  <c r="B1532" i="2"/>
  <c r="A1532" i="2"/>
  <c r="D1531" i="2"/>
  <c r="C1531" i="2"/>
  <c r="B1531" i="2"/>
  <c r="A1531" i="2"/>
  <c r="D1530" i="2"/>
  <c r="C1530" i="2"/>
  <c r="B1530" i="2"/>
  <c r="A1530" i="2"/>
  <c r="D1529" i="2"/>
  <c r="C1529" i="2"/>
  <c r="B1529" i="2"/>
  <c r="A1529" i="2"/>
  <c r="D1528" i="2"/>
  <c r="C1528" i="2"/>
  <c r="B1528" i="2"/>
  <c r="A1528" i="2"/>
  <c r="D1527" i="2"/>
  <c r="C1527" i="2"/>
  <c r="B1527" i="2"/>
  <c r="A1527" i="2"/>
  <c r="D1526" i="2"/>
  <c r="C1526" i="2"/>
  <c r="B1526" i="2"/>
  <c r="A1526" i="2"/>
  <c r="D1525" i="2"/>
  <c r="C1525" i="2"/>
  <c r="B1525" i="2"/>
  <c r="A1525" i="2"/>
  <c r="D1524" i="2"/>
  <c r="C1524" i="2"/>
  <c r="B1524" i="2"/>
  <c r="A1524" i="2"/>
  <c r="D1523" i="2"/>
  <c r="C1523" i="2"/>
  <c r="B1523" i="2"/>
  <c r="A1523" i="2"/>
  <c r="D1522" i="2"/>
  <c r="C1522" i="2"/>
  <c r="B1522" i="2"/>
  <c r="A1522" i="2"/>
  <c r="D1521" i="2"/>
  <c r="C1521" i="2"/>
  <c r="B1521" i="2"/>
  <c r="A1521" i="2"/>
  <c r="D1520" i="2"/>
  <c r="C1520" i="2"/>
  <c r="B1520" i="2"/>
  <c r="A1520" i="2"/>
  <c r="D1519" i="2"/>
  <c r="C1519" i="2"/>
  <c r="B1519" i="2"/>
  <c r="A1519" i="2"/>
  <c r="D1518" i="2"/>
  <c r="C1518" i="2"/>
  <c r="B1518" i="2"/>
  <c r="A1518" i="2"/>
  <c r="D1517" i="2"/>
  <c r="C1517" i="2"/>
  <c r="B1517" i="2"/>
  <c r="A1517" i="2"/>
  <c r="D1516" i="2"/>
  <c r="C1516" i="2"/>
  <c r="B1516" i="2"/>
  <c r="A1516" i="2"/>
  <c r="D1515" i="2"/>
  <c r="C1515" i="2"/>
  <c r="B1515" i="2"/>
  <c r="A1515" i="2"/>
  <c r="D1514" i="2"/>
  <c r="C1514" i="2"/>
  <c r="B1514" i="2"/>
  <c r="A1514" i="2"/>
  <c r="D1513" i="2"/>
  <c r="C1513" i="2"/>
  <c r="B1513" i="2"/>
  <c r="A1513" i="2"/>
  <c r="D1512" i="2"/>
  <c r="C1512" i="2"/>
  <c r="B1512" i="2"/>
  <c r="A1512" i="2"/>
  <c r="D1511" i="2"/>
  <c r="C1511" i="2"/>
  <c r="B1511" i="2"/>
  <c r="A1511" i="2"/>
  <c r="D1510" i="2"/>
  <c r="C1510" i="2"/>
  <c r="B1510" i="2"/>
  <c r="A1510" i="2"/>
  <c r="D1509" i="2"/>
  <c r="C1509" i="2"/>
  <c r="B1509" i="2"/>
  <c r="A1509" i="2"/>
  <c r="D1508" i="2"/>
  <c r="C1508" i="2"/>
  <c r="B1508" i="2"/>
  <c r="A1508" i="2"/>
  <c r="D1507" i="2"/>
  <c r="C1507" i="2"/>
  <c r="B1507" i="2"/>
  <c r="A1507" i="2"/>
  <c r="D1506" i="2"/>
  <c r="C1506" i="2"/>
  <c r="B1506" i="2"/>
  <c r="A1506" i="2"/>
  <c r="D1505" i="2"/>
  <c r="C1505" i="2"/>
  <c r="B1505" i="2"/>
  <c r="A1505" i="2"/>
  <c r="D1504" i="2"/>
  <c r="C1504" i="2"/>
  <c r="B1504" i="2"/>
  <c r="A1504" i="2"/>
  <c r="D1503" i="2"/>
  <c r="C1503" i="2"/>
  <c r="B1503" i="2"/>
  <c r="A1503" i="2"/>
  <c r="D1502" i="2"/>
  <c r="C1502" i="2"/>
  <c r="B1502" i="2"/>
  <c r="A1502" i="2"/>
  <c r="D1501" i="2"/>
  <c r="C1501" i="2"/>
  <c r="B1501" i="2"/>
  <c r="A1501" i="2"/>
  <c r="D1500" i="2"/>
  <c r="C1500" i="2"/>
  <c r="B1500" i="2"/>
  <c r="A1500" i="2"/>
  <c r="D1499" i="2"/>
  <c r="C1499" i="2"/>
  <c r="B1499" i="2"/>
  <c r="A1499" i="2"/>
  <c r="D1498" i="2"/>
  <c r="C1498" i="2"/>
  <c r="B1498" i="2"/>
  <c r="A1498" i="2"/>
  <c r="D1497" i="2"/>
  <c r="C1497" i="2"/>
  <c r="B1497" i="2"/>
  <c r="A1497" i="2"/>
  <c r="D1496" i="2"/>
  <c r="C1496" i="2"/>
  <c r="B1496" i="2"/>
  <c r="A1496" i="2"/>
  <c r="D1495" i="2"/>
  <c r="C1495" i="2"/>
  <c r="B1495" i="2"/>
  <c r="A1495" i="2"/>
  <c r="D1494" i="2"/>
  <c r="C1494" i="2"/>
  <c r="B1494" i="2"/>
  <c r="A1494" i="2"/>
  <c r="D1493" i="2"/>
  <c r="C1493" i="2"/>
  <c r="B1493" i="2"/>
  <c r="A1493" i="2"/>
  <c r="D1492" i="2"/>
  <c r="C1492" i="2"/>
  <c r="B1492" i="2"/>
  <c r="A1492" i="2"/>
  <c r="D1491" i="2"/>
  <c r="C1491" i="2"/>
  <c r="B1491" i="2"/>
  <c r="A1491" i="2"/>
  <c r="D1490" i="2"/>
  <c r="C1490" i="2"/>
  <c r="B1490" i="2"/>
  <c r="A1490" i="2"/>
  <c r="D1489" i="2"/>
  <c r="C1489" i="2"/>
  <c r="B1489" i="2"/>
  <c r="A1489" i="2"/>
  <c r="D1488" i="2"/>
  <c r="C1488" i="2"/>
  <c r="B1488" i="2"/>
  <c r="A1488" i="2"/>
  <c r="D1487" i="2"/>
  <c r="C1487" i="2"/>
  <c r="B1487" i="2"/>
  <c r="A1487" i="2"/>
  <c r="D1486" i="2"/>
  <c r="C1486" i="2"/>
  <c r="B1486" i="2"/>
  <c r="A1486" i="2"/>
  <c r="D1485" i="2"/>
  <c r="C1485" i="2"/>
  <c r="B1485" i="2"/>
  <c r="A1485" i="2"/>
  <c r="D1484" i="2"/>
  <c r="C1484" i="2"/>
  <c r="B1484" i="2"/>
  <c r="A1484" i="2"/>
  <c r="D1483" i="2"/>
  <c r="C1483" i="2"/>
  <c r="B1483" i="2"/>
  <c r="A1483" i="2"/>
  <c r="D1482" i="2"/>
  <c r="C1482" i="2"/>
  <c r="B1482" i="2"/>
  <c r="A1482" i="2"/>
  <c r="D1481" i="2"/>
  <c r="C1481" i="2"/>
  <c r="B1481" i="2"/>
  <c r="A1481" i="2"/>
  <c r="D1480" i="2"/>
  <c r="C1480" i="2"/>
  <c r="B1480" i="2"/>
  <c r="A1480" i="2"/>
  <c r="D1479" i="2"/>
  <c r="C1479" i="2"/>
  <c r="B1479" i="2"/>
  <c r="A1479" i="2"/>
  <c r="D1478" i="2"/>
  <c r="C1478" i="2"/>
  <c r="B1478" i="2"/>
  <c r="A1478" i="2"/>
  <c r="D1477" i="2"/>
  <c r="C1477" i="2"/>
  <c r="B1477" i="2"/>
  <c r="A1477" i="2"/>
  <c r="D1476" i="2"/>
  <c r="C1476" i="2"/>
  <c r="B1476" i="2"/>
  <c r="A1476" i="2"/>
  <c r="D1475" i="2"/>
  <c r="C1475" i="2"/>
  <c r="B1475" i="2"/>
  <c r="A1475" i="2"/>
  <c r="D1474" i="2"/>
  <c r="C1474" i="2"/>
  <c r="B1474" i="2"/>
  <c r="A1474" i="2"/>
  <c r="D1473" i="2"/>
  <c r="C1473" i="2"/>
  <c r="B1473" i="2"/>
  <c r="A1473" i="2"/>
  <c r="D1472" i="2"/>
  <c r="C1472" i="2"/>
  <c r="B1472" i="2"/>
  <c r="A1472" i="2"/>
  <c r="D1471" i="2"/>
  <c r="C1471" i="2"/>
  <c r="B1471" i="2"/>
  <c r="A1471" i="2"/>
  <c r="D1470" i="2"/>
  <c r="C1470" i="2"/>
  <c r="B1470" i="2"/>
  <c r="A1470" i="2"/>
  <c r="D1469" i="2"/>
  <c r="C1469" i="2"/>
  <c r="B1469" i="2"/>
  <c r="A1469" i="2"/>
  <c r="D1468" i="2"/>
  <c r="C1468" i="2"/>
  <c r="B1468" i="2"/>
  <c r="A1468" i="2"/>
  <c r="D1467" i="2"/>
  <c r="C1467" i="2"/>
  <c r="B1467" i="2"/>
  <c r="A1467" i="2"/>
  <c r="D1466" i="2"/>
  <c r="C1466" i="2"/>
  <c r="B1466" i="2"/>
  <c r="A1466" i="2"/>
  <c r="D1465" i="2"/>
  <c r="C1465" i="2"/>
  <c r="B1465" i="2"/>
  <c r="A1465" i="2"/>
  <c r="D1464" i="2"/>
  <c r="C1464" i="2"/>
  <c r="B1464" i="2"/>
  <c r="A1464" i="2"/>
  <c r="D1463" i="2"/>
  <c r="C1463" i="2"/>
  <c r="B1463" i="2"/>
  <c r="A1463" i="2"/>
  <c r="D1462" i="2"/>
  <c r="C1462" i="2"/>
  <c r="B1462" i="2"/>
  <c r="A1462" i="2"/>
  <c r="D1461" i="2"/>
  <c r="C1461" i="2"/>
  <c r="B1461" i="2"/>
  <c r="A1461" i="2"/>
  <c r="D1460" i="2"/>
  <c r="C1460" i="2"/>
  <c r="B1460" i="2"/>
  <c r="A1460" i="2"/>
  <c r="D1459" i="2"/>
  <c r="C1459" i="2"/>
  <c r="B1459" i="2"/>
  <c r="A1459" i="2"/>
  <c r="D1458" i="2"/>
  <c r="C1458" i="2"/>
  <c r="B1458" i="2"/>
  <c r="A1458" i="2"/>
  <c r="D1457" i="2"/>
  <c r="C1457" i="2"/>
  <c r="B1457" i="2"/>
  <c r="A1457" i="2"/>
  <c r="D1456" i="2"/>
  <c r="C1456" i="2"/>
  <c r="B1456" i="2"/>
  <c r="A1456" i="2"/>
  <c r="D1455" i="2"/>
  <c r="C1455" i="2"/>
  <c r="B1455" i="2"/>
  <c r="A1455" i="2"/>
  <c r="D1454" i="2"/>
  <c r="C1454" i="2"/>
  <c r="B1454" i="2"/>
  <c r="A1454" i="2"/>
  <c r="D1453" i="2"/>
  <c r="C1453" i="2"/>
  <c r="B1453" i="2"/>
  <c r="A1453" i="2"/>
  <c r="D1452" i="2"/>
  <c r="C1452" i="2"/>
  <c r="B1452" i="2"/>
  <c r="A1452" i="2"/>
  <c r="D1451" i="2"/>
  <c r="C1451" i="2"/>
  <c r="B1451" i="2"/>
  <c r="A1451" i="2"/>
  <c r="D1450" i="2"/>
  <c r="C1450" i="2"/>
  <c r="B1450" i="2"/>
  <c r="A1450" i="2"/>
  <c r="D1449" i="2"/>
  <c r="C1449" i="2"/>
  <c r="B1449" i="2"/>
  <c r="A1449" i="2"/>
  <c r="D1448" i="2"/>
  <c r="C1448" i="2"/>
  <c r="B1448" i="2"/>
  <c r="A1448" i="2"/>
  <c r="D1447" i="2"/>
  <c r="C1447" i="2"/>
  <c r="B1447" i="2"/>
  <c r="A1447" i="2"/>
  <c r="D1446" i="2"/>
  <c r="C1446" i="2"/>
  <c r="B1446" i="2"/>
  <c r="A1446" i="2"/>
  <c r="D1445" i="2"/>
  <c r="C1445" i="2"/>
  <c r="B1445" i="2"/>
  <c r="A1445" i="2"/>
  <c r="D1444" i="2"/>
  <c r="C1444" i="2"/>
  <c r="B1444" i="2"/>
  <c r="A1444" i="2"/>
  <c r="D1443" i="2"/>
  <c r="C1443" i="2"/>
  <c r="B1443" i="2"/>
  <c r="A1443" i="2"/>
  <c r="D1442" i="2"/>
  <c r="C1442" i="2"/>
  <c r="B1442" i="2"/>
  <c r="A1442" i="2"/>
  <c r="D1441" i="2"/>
  <c r="C1441" i="2"/>
  <c r="B1441" i="2"/>
  <c r="A1441" i="2"/>
  <c r="D1440" i="2"/>
  <c r="C1440" i="2"/>
  <c r="B1440" i="2"/>
  <c r="A1440" i="2"/>
  <c r="D1439" i="2"/>
  <c r="C1439" i="2"/>
  <c r="B1439" i="2"/>
  <c r="A1439" i="2"/>
  <c r="D1438" i="2"/>
  <c r="C1438" i="2"/>
  <c r="B1438" i="2"/>
  <c r="A1438" i="2"/>
  <c r="D1437" i="2"/>
  <c r="C1437" i="2"/>
  <c r="B1437" i="2"/>
  <c r="A1437" i="2"/>
  <c r="D1436" i="2"/>
  <c r="C1436" i="2"/>
  <c r="B1436" i="2"/>
  <c r="A1436" i="2"/>
  <c r="D1435" i="2"/>
  <c r="C1435" i="2"/>
  <c r="B1435" i="2"/>
  <c r="A1435" i="2"/>
  <c r="D1434" i="2"/>
  <c r="C1434" i="2"/>
  <c r="B1434" i="2"/>
  <c r="A1434" i="2"/>
  <c r="D1433" i="2"/>
  <c r="C1433" i="2"/>
  <c r="B1433" i="2"/>
  <c r="A1433" i="2"/>
  <c r="D1432" i="2"/>
  <c r="C1432" i="2"/>
  <c r="B1432" i="2"/>
  <c r="A1432" i="2"/>
  <c r="D1431" i="2"/>
  <c r="C1431" i="2"/>
  <c r="B1431" i="2"/>
  <c r="A1431" i="2"/>
  <c r="D1430" i="2"/>
  <c r="C1430" i="2"/>
  <c r="B1430" i="2"/>
  <c r="A1430" i="2"/>
  <c r="D1429" i="2"/>
  <c r="C1429" i="2"/>
  <c r="B1429" i="2"/>
  <c r="A1429" i="2"/>
  <c r="D1428" i="2"/>
  <c r="C1428" i="2"/>
  <c r="B1428" i="2"/>
  <c r="A1428" i="2"/>
  <c r="D1427" i="2"/>
  <c r="C1427" i="2"/>
  <c r="B1427" i="2"/>
  <c r="A1427" i="2"/>
  <c r="D1426" i="2"/>
  <c r="C1426" i="2"/>
  <c r="B1426" i="2"/>
  <c r="A1426" i="2"/>
  <c r="D1425" i="2"/>
  <c r="C1425" i="2"/>
  <c r="B1425" i="2"/>
  <c r="A1425" i="2"/>
  <c r="D1424" i="2"/>
  <c r="C1424" i="2"/>
  <c r="B1424" i="2"/>
  <c r="A1424" i="2"/>
  <c r="D1423" i="2"/>
  <c r="C1423" i="2"/>
  <c r="B1423" i="2"/>
  <c r="A1423" i="2"/>
  <c r="D1422" i="2"/>
  <c r="C1422" i="2"/>
  <c r="B1422" i="2"/>
  <c r="A1422" i="2"/>
  <c r="D1421" i="2"/>
  <c r="C1421" i="2"/>
  <c r="B1421" i="2"/>
  <c r="A1421" i="2"/>
  <c r="D1420" i="2"/>
  <c r="C1420" i="2"/>
  <c r="B1420" i="2"/>
  <c r="A1420" i="2"/>
  <c r="D1419" i="2"/>
  <c r="C1419" i="2"/>
  <c r="B1419" i="2"/>
  <c r="A1419" i="2"/>
  <c r="D1418" i="2"/>
  <c r="C1418" i="2"/>
  <c r="B1418" i="2"/>
  <c r="A1418" i="2"/>
  <c r="D1417" i="2"/>
  <c r="C1417" i="2"/>
  <c r="B1417" i="2"/>
  <c r="A1417" i="2"/>
  <c r="D1416" i="2"/>
  <c r="C1416" i="2"/>
  <c r="B1416" i="2"/>
  <c r="A1416" i="2"/>
  <c r="D1415" i="2"/>
  <c r="C1415" i="2"/>
  <c r="B1415" i="2"/>
  <c r="A1415" i="2"/>
  <c r="D1414" i="2"/>
  <c r="C1414" i="2"/>
  <c r="B1414" i="2"/>
  <c r="A1414" i="2"/>
  <c r="D1413" i="2"/>
  <c r="C1413" i="2"/>
  <c r="B1413" i="2"/>
  <c r="A1413" i="2"/>
  <c r="D1412" i="2"/>
  <c r="C1412" i="2"/>
  <c r="B1412" i="2"/>
  <c r="A1412" i="2"/>
  <c r="D1411" i="2"/>
  <c r="C1411" i="2"/>
  <c r="B1411" i="2"/>
  <c r="A1411" i="2"/>
  <c r="D1410" i="2"/>
  <c r="C1410" i="2"/>
  <c r="B1410" i="2"/>
  <c r="A1410" i="2"/>
  <c r="D1409" i="2"/>
  <c r="C1409" i="2"/>
  <c r="B1409" i="2"/>
  <c r="A1409" i="2"/>
  <c r="D1408" i="2"/>
  <c r="C1408" i="2"/>
  <c r="B1408" i="2"/>
  <c r="A1408" i="2"/>
  <c r="D1407" i="2"/>
  <c r="C1407" i="2"/>
  <c r="B1407" i="2"/>
  <c r="A1407" i="2"/>
  <c r="D1406" i="2"/>
  <c r="C1406" i="2"/>
  <c r="B1406" i="2"/>
  <c r="A1406" i="2"/>
  <c r="D1405" i="2"/>
  <c r="C1405" i="2"/>
  <c r="B1405" i="2"/>
  <c r="A1405" i="2"/>
  <c r="D1404" i="2"/>
  <c r="C1404" i="2"/>
  <c r="B1404" i="2"/>
  <c r="A1404" i="2"/>
  <c r="D1403" i="2"/>
  <c r="C1403" i="2"/>
  <c r="B1403" i="2"/>
  <c r="A1403" i="2"/>
  <c r="D1402" i="2"/>
  <c r="C1402" i="2"/>
  <c r="B1402" i="2"/>
  <c r="A1402" i="2"/>
  <c r="D1401" i="2"/>
  <c r="C1401" i="2"/>
  <c r="B1401" i="2"/>
  <c r="A1401" i="2"/>
  <c r="D1400" i="2"/>
  <c r="C1400" i="2"/>
  <c r="B1400" i="2"/>
  <c r="A1400" i="2"/>
  <c r="D1399" i="2"/>
  <c r="C1399" i="2"/>
  <c r="B1399" i="2"/>
  <c r="A1399" i="2"/>
  <c r="D1398" i="2"/>
  <c r="C1398" i="2"/>
  <c r="B1398" i="2"/>
  <c r="A1398" i="2"/>
  <c r="D1397" i="2"/>
  <c r="C1397" i="2"/>
  <c r="B1397" i="2"/>
  <c r="A1397" i="2"/>
  <c r="D1396" i="2"/>
  <c r="C1396" i="2"/>
  <c r="B1396" i="2"/>
  <c r="A1396" i="2"/>
  <c r="D1395" i="2"/>
  <c r="C1395" i="2"/>
  <c r="B1395" i="2"/>
  <c r="A1395" i="2"/>
  <c r="D1394" i="2"/>
  <c r="C1394" i="2"/>
  <c r="B1394" i="2"/>
  <c r="A1394" i="2"/>
  <c r="D1393" i="2"/>
  <c r="C1393" i="2"/>
  <c r="B1393" i="2"/>
  <c r="A1393" i="2"/>
  <c r="D1392" i="2"/>
  <c r="C1392" i="2"/>
  <c r="B1392" i="2"/>
  <c r="A1392" i="2"/>
  <c r="D1391" i="2"/>
  <c r="C1391" i="2"/>
  <c r="B1391" i="2"/>
  <c r="A1391" i="2"/>
  <c r="D1390" i="2"/>
  <c r="C1390" i="2"/>
  <c r="B1390" i="2"/>
  <c r="A1390" i="2"/>
  <c r="D1389" i="2"/>
  <c r="C1389" i="2"/>
  <c r="B1389" i="2"/>
  <c r="A1389" i="2"/>
  <c r="D1388" i="2"/>
  <c r="C1388" i="2"/>
  <c r="B1388" i="2"/>
  <c r="A1388" i="2"/>
  <c r="D1387" i="2"/>
  <c r="C1387" i="2"/>
  <c r="B1387" i="2"/>
  <c r="A1387" i="2"/>
  <c r="D1386" i="2"/>
  <c r="C1386" i="2"/>
  <c r="B1386" i="2"/>
  <c r="A1386" i="2"/>
  <c r="D1385" i="2"/>
  <c r="C1385" i="2"/>
  <c r="B1385" i="2"/>
  <c r="A1385" i="2"/>
  <c r="D1384" i="2"/>
  <c r="C1384" i="2"/>
  <c r="B1384" i="2"/>
  <c r="A1384" i="2"/>
  <c r="D1383" i="2"/>
  <c r="C1383" i="2"/>
  <c r="B1383" i="2"/>
  <c r="A1383" i="2"/>
  <c r="D1382" i="2"/>
  <c r="C1382" i="2"/>
  <c r="B1382" i="2"/>
  <c r="A1382" i="2"/>
  <c r="D1381" i="2"/>
  <c r="C1381" i="2"/>
  <c r="B1381" i="2"/>
  <c r="A1381" i="2"/>
  <c r="D1380" i="2"/>
  <c r="C1380" i="2"/>
  <c r="B1380" i="2"/>
  <c r="A1380" i="2"/>
  <c r="D1379" i="2"/>
  <c r="C1379" i="2"/>
  <c r="B1379" i="2"/>
  <c r="A1379" i="2"/>
  <c r="D1378" i="2"/>
  <c r="C1378" i="2"/>
  <c r="B1378" i="2"/>
  <c r="A1378" i="2"/>
  <c r="D1377" i="2"/>
  <c r="C1377" i="2"/>
  <c r="B1377" i="2"/>
  <c r="A1377" i="2"/>
  <c r="D1376" i="2"/>
  <c r="C1376" i="2"/>
  <c r="B1376" i="2"/>
  <c r="A1376" i="2"/>
  <c r="D1375" i="2"/>
  <c r="C1375" i="2"/>
  <c r="B1375" i="2"/>
  <c r="A1375" i="2"/>
  <c r="D1374" i="2"/>
  <c r="C1374" i="2"/>
  <c r="B1374" i="2"/>
  <c r="A1374" i="2"/>
  <c r="D1373" i="2"/>
  <c r="C1373" i="2"/>
  <c r="B1373" i="2"/>
  <c r="A1373" i="2"/>
  <c r="D1372" i="2"/>
  <c r="C1372" i="2"/>
  <c r="B1372" i="2"/>
  <c r="A1372" i="2"/>
  <c r="D1371" i="2"/>
  <c r="C1371" i="2"/>
  <c r="B1371" i="2"/>
  <c r="A1371" i="2"/>
  <c r="D1370" i="2"/>
  <c r="C1370" i="2"/>
  <c r="B1370" i="2"/>
  <c r="A1370" i="2"/>
  <c r="D1369" i="2"/>
  <c r="C1369" i="2"/>
  <c r="B1369" i="2"/>
  <c r="A1369" i="2"/>
  <c r="D1368" i="2"/>
  <c r="C1368" i="2"/>
  <c r="B1368" i="2"/>
  <c r="A1368" i="2"/>
  <c r="D1367" i="2"/>
  <c r="C1367" i="2"/>
  <c r="B1367" i="2"/>
  <c r="A1367" i="2"/>
  <c r="D1366" i="2"/>
  <c r="C1366" i="2"/>
  <c r="B1366" i="2"/>
  <c r="A1366" i="2"/>
  <c r="D1365" i="2"/>
  <c r="C1365" i="2"/>
  <c r="B1365" i="2"/>
  <c r="A1365" i="2"/>
  <c r="D1364" i="2"/>
  <c r="C1364" i="2"/>
  <c r="B1364" i="2"/>
  <c r="A1364" i="2"/>
  <c r="D1363" i="2"/>
  <c r="C1363" i="2"/>
  <c r="B1363" i="2"/>
  <c r="A1363" i="2"/>
  <c r="D1362" i="2"/>
  <c r="C1362" i="2"/>
  <c r="B1362" i="2"/>
  <c r="A1362" i="2"/>
  <c r="D1361" i="2"/>
  <c r="C1361" i="2"/>
  <c r="B1361" i="2"/>
  <c r="A1361" i="2"/>
  <c r="D1360" i="2"/>
  <c r="C1360" i="2"/>
  <c r="B1360" i="2"/>
  <c r="A1360" i="2"/>
  <c r="D1359" i="2"/>
  <c r="C1359" i="2"/>
  <c r="B1359" i="2"/>
  <c r="A1359" i="2"/>
  <c r="D1358" i="2"/>
  <c r="C1358" i="2"/>
  <c r="B1358" i="2"/>
  <c r="A1358" i="2"/>
  <c r="D1357" i="2"/>
  <c r="C1357" i="2"/>
  <c r="B1357" i="2"/>
  <c r="A1357" i="2"/>
  <c r="D1356" i="2"/>
  <c r="C1356" i="2"/>
  <c r="B1356" i="2"/>
  <c r="A1356" i="2"/>
  <c r="D1355" i="2"/>
  <c r="C1355" i="2"/>
  <c r="B1355" i="2"/>
  <c r="A1355" i="2"/>
  <c r="D1354" i="2"/>
  <c r="C1354" i="2"/>
  <c r="B1354" i="2"/>
  <c r="A1354" i="2"/>
  <c r="D1353" i="2"/>
  <c r="C1353" i="2"/>
  <c r="B1353" i="2"/>
  <c r="A1353" i="2"/>
  <c r="D1352" i="2"/>
  <c r="C1352" i="2"/>
  <c r="B1352" i="2"/>
  <c r="A1352" i="2"/>
  <c r="D1351" i="2"/>
  <c r="C1351" i="2"/>
  <c r="B1351" i="2"/>
  <c r="A1351" i="2"/>
  <c r="D1350" i="2"/>
  <c r="C1350" i="2"/>
  <c r="B1350" i="2"/>
  <c r="A1350" i="2"/>
  <c r="D1349" i="2"/>
  <c r="C1349" i="2"/>
  <c r="B1349" i="2"/>
  <c r="A1349" i="2"/>
  <c r="D1348" i="2"/>
  <c r="C1348" i="2"/>
  <c r="B1348" i="2"/>
  <c r="A1348" i="2"/>
  <c r="D1347" i="2"/>
  <c r="C1347" i="2"/>
  <c r="B1347" i="2"/>
  <c r="A1347" i="2"/>
  <c r="D1346" i="2"/>
  <c r="C1346" i="2"/>
  <c r="B1346" i="2"/>
  <c r="A1346" i="2"/>
  <c r="D1345" i="2"/>
  <c r="C1345" i="2"/>
  <c r="B1345" i="2"/>
  <c r="A1345" i="2"/>
  <c r="D1344" i="2"/>
  <c r="C1344" i="2"/>
  <c r="B1344" i="2"/>
  <c r="A1344" i="2"/>
  <c r="D1343" i="2"/>
  <c r="C1343" i="2"/>
  <c r="B1343" i="2"/>
  <c r="A1343" i="2"/>
  <c r="D1342" i="2"/>
  <c r="C1342" i="2"/>
  <c r="B1342" i="2"/>
  <c r="A1342" i="2"/>
  <c r="D1341" i="2"/>
  <c r="C1341" i="2"/>
  <c r="B1341" i="2"/>
  <c r="A1341" i="2"/>
  <c r="D1340" i="2"/>
  <c r="C1340" i="2"/>
  <c r="B1340" i="2"/>
  <c r="A1340" i="2"/>
  <c r="D1339" i="2"/>
  <c r="C1339" i="2"/>
  <c r="B1339" i="2"/>
  <c r="A1339" i="2"/>
  <c r="D1338" i="2"/>
  <c r="C1338" i="2"/>
  <c r="B1338" i="2"/>
  <c r="A1338" i="2"/>
  <c r="D1337" i="2"/>
  <c r="C1337" i="2"/>
  <c r="B1337" i="2"/>
  <c r="A1337" i="2"/>
  <c r="D1336" i="2"/>
  <c r="C1336" i="2"/>
  <c r="B1336" i="2"/>
  <c r="A1336" i="2"/>
  <c r="D1335" i="2"/>
  <c r="C1335" i="2"/>
  <c r="B1335" i="2"/>
  <c r="A1335" i="2"/>
  <c r="D1334" i="2"/>
  <c r="C1334" i="2"/>
  <c r="B1334" i="2"/>
  <c r="A1334" i="2"/>
  <c r="D1333" i="2"/>
  <c r="C1333" i="2"/>
  <c r="B1333" i="2"/>
  <c r="A1333" i="2"/>
  <c r="D1332" i="2"/>
  <c r="C1332" i="2"/>
  <c r="B1332" i="2"/>
  <c r="A1332" i="2"/>
  <c r="D1331" i="2"/>
  <c r="C1331" i="2"/>
  <c r="B1331" i="2"/>
  <c r="A1331" i="2"/>
  <c r="D1330" i="2"/>
  <c r="C1330" i="2"/>
  <c r="B1330" i="2"/>
  <c r="A1330" i="2"/>
  <c r="D1329" i="2"/>
  <c r="C1329" i="2"/>
  <c r="B1329" i="2"/>
  <c r="A1329" i="2"/>
  <c r="D1328" i="2"/>
  <c r="C1328" i="2"/>
  <c r="B1328" i="2"/>
  <c r="A1328" i="2"/>
  <c r="D1327" i="2"/>
  <c r="C1327" i="2"/>
  <c r="B1327" i="2"/>
  <c r="A1327" i="2"/>
  <c r="D1326" i="2"/>
  <c r="C1326" i="2"/>
  <c r="B1326" i="2"/>
  <c r="A1326" i="2"/>
  <c r="D1325" i="2"/>
  <c r="C1325" i="2"/>
  <c r="B1325" i="2"/>
  <c r="A1325" i="2"/>
  <c r="D1324" i="2"/>
  <c r="C1324" i="2"/>
  <c r="B1324" i="2"/>
  <c r="A1324" i="2"/>
  <c r="D1323" i="2"/>
  <c r="C1323" i="2"/>
  <c r="B1323" i="2"/>
  <c r="A1323" i="2"/>
  <c r="D1322" i="2"/>
  <c r="C1322" i="2"/>
  <c r="B1322" i="2"/>
  <c r="A1322" i="2"/>
  <c r="D1321" i="2"/>
  <c r="C1321" i="2"/>
  <c r="B1321" i="2"/>
  <c r="A1321" i="2"/>
  <c r="D1320" i="2"/>
  <c r="C1320" i="2"/>
  <c r="B1320" i="2"/>
  <c r="A1320" i="2"/>
  <c r="D1319" i="2"/>
  <c r="C1319" i="2"/>
  <c r="B1319" i="2"/>
  <c r="A1319" i="2"/>
  <c r="D1318" i="2"/>
  <c r="C1318" i="2"/>
  <c r="B1318" i="2"/>
  <c r="A1318" i="2"/>
  <c r="D1317" i="2"/>
  <c r="C1317" i="2"/>
  <c r="B1317" i="2"/>
  <c r="A1317" i="2"/>
  <c r="D1316" i="2"/>
  <c r="C1316" i="2"/>
  <c r="B1316" i="2"/>
  <c r="A1316" i="2"/>
  <c r="D1315" i="2"/>
  <c r="C1315" i="2"/>
  <c r="B1315" i="2"/>
  <c r="A1315" i="2"/>
  <c r="D1314" i="2"/>
  <c r="C1314" i="2"/>
  <c r="B1314" i="2"/>
  <c r="A1314" i="2"/>
  <c r="D1313" i="2"/>
  <c r="C1313" i="2"/>
  <c r="B1313" i="2"/>
  <c r="A1313" i="2"/>
  <c r="D1312" i="2"/>
  <c r="C1312" i="2"/>
  <c r="B1312" i="2"/>
  <c r="A1312" i="2"/>
  <c r="D1311" i="2"/>
  <c r="C1311" i="2"/>
  <c r="B1311" i="2"/>
  <c r="A1311" i="2"/>
  <c r="D1310" i="2"/>
  <c r="C1310" i="2"/>
  <c r="B1310" i="2"/>
  <c r="A1310" i="2"/>
  <c r="D1309" i="2"/>
  <c r="C1309" i="2"/>
  <c r="B1309" i="2"/>
  <c r="A1309" i="2"/>
  <c r="D1308" i="2"/>
  <c r="C1308" i="2"/>
  <c r="B1308" i="2"/>
  <c r="A1308" i="2"/>
  <c r="D1307" i="2"/>
  <c r="C1307" i="2"/>
  <c r="B1307" i="2"/>
  <c r="A1307" i="2"/>
  <c r="D1306" i="2"/>
  <c r="C1306" i="2"/>
  <c r="B1306" i="2"/>
  <c r="A1306" i="2"/>
  <c r="D1305" i="2"/>
  <c r="C1305" i="2"/>
  <c r="B1305" i="2"/>
  <c r="A1305" i="2"/>
  <c r="D1304" i="2"/>
  <c r="C1304" i="2"/>
  <c r="B1304" i="2"/>
  <c r="A1304" i="2"/>
  <c r="D1303" i="2"/>
  <c r="C1303" i="2"/>
  <c r="B1303" i="2"/>
  <c r="A1303" i="2"/>
  <c r="D1302" i="2"/>
  <c r="C1302" i="2"/>
  <c r="B1302" i="2"/>
  <c r="A1302" i="2"/>
  <c r="D1301" i="2"/>
  <c r="C1301" i="2"/>
  <c r="B1301" i="2"/>
  <c r="A1301" i="2"/>
  <c r="D1300" i="2"/>
  <c r="C1300" i="2"/>
  <c r="B1300" i="2"/>
  <c r="A1300" i="2"/>
  <c r="D1299" i="2"/>
  <c r="C1299" i="2"/>
  <c r="B1299" i="2"/>
  <c r="A1299" i="2"/>
  <c r="D1298" i="2"/>
  <c r="C1298" i="2"/>
  <c r="B1298" i="2"/>
  <c r="A1298" i="2"/>
  <c r="D1297" i="2"/>
  <c r="C1297" i="2"/>
  <c r="B1297" i="2"/>
  <c r="A1297" i="2"/>
  <c r="D1296" i="2"/>
  <c r="C1296" i="2"/>
  <c r="B1296" i="2"/>
  <c r="A1296" i="2"/>
  <c r="D1295" i="2"/>
  <c r="C1295" i="2"/>
  <c r="B1295" i="2"/>
  <c r="A1295" i="2"/>
  <c r="D1294" i="2"/>
  <c r="C1294" i="2"/>
  <c r="B1294" i="2"/>
  <c r="A1294" i="2"/>
  <c r="D1293" i="2"/>
  <c r="C1293" i="2"/>
  <c r="B1293" i="2"/>
  <c r="A1293" i="2"/>
  <c r="D1292" i="2"/>
  <c r="C1292" i="2"/>
  <c r="B1292" i="2"/>
  <c r="A1292" i="2"/>
  <c r="D1291" i="2"/>
  <c r="C1291" i="2"/>
  <c r="B1291" i="2"/>
  <c r="A1291" i="2"/>
  <c r="D1290" i="2"/>
  <c r="C1290" i="2"/>
  <c r="B1290" i="2"/>
  <c r="A1290" i="2"/>
  <c r="D1289" i="2"/>
  <c r="C1289" i="2"/>
  <c r="B1289" i="2"/>
  <c r="A1289" i="2"/>
  <c r="D1288" i="2"/>
  <c r="C1288" i="2"/>
  <c r="B1288" i="2"/>
  <c r="A1288" i="2"/>
  <c r="D1287" i="2"/>
  <c r="C1287" i="2"/>
  <c r="B1287" i="2"/>
  <c r="A1287" i="2"/>
  <c r="D1286" i="2"/>
  <c r="C1286" i="2"/>
  <c r="B1286" i="2"/>
  <c r="A1286" i="2"/>
  <c r="D1285" i="2"/>
  <c r="C1285" i="2"/>
  <c r="B1285" i="2"/>
  <c r="A1285" i="2"/>
  <c r="D1284" i="2"/>
  <c r="C1284" i="2"/>
  <c r="B1284" i="2"/>
  <c r="A1284" i="2"/>
  <c r="D1283" i="2"/>
  <c r="C1283" i="2"/>
  <c r="B1283" i="2"/>
  <c r="A1283" i="2"/>
  <c r="D1282" i="2"/>
  <c r="C1282" i="2"/>
  <c r="B1282" i="2"/>
  <c r="A1282" i="2"/>
  <c r="D1281" i="2"/>
  <c r="C1281" i="2"/>
  <c r="B1281" i="2"/>
  <c r="A1281" i="2"/>
  <c r="D1280" i="2"/>
  <c r="C1280" i="2"/>
  <c r="B1280" i="2"/>
  <c r="A1280" i="2"/>
  <c r="D1279" i="2"/>
  <c r="C1279" i="2"/>
  <c r="B1279" i="2"/>
  <c r="A1279" i="2"/>
  <c r="D1278" i="2"/>
  <c r="C1278" i="2"/>
  <c r="B1278" i="2"/>
  <c r="A1278" i="2"/>
  <c r="D1277" i="2"/>
  <c r="C1277" i="2"/>
  <c r="B1277" i="2"/>
  <c r="A1277" i="2"/>
  <c r="D1276" i="2"/>
  <c r="C1276" i="2"/>
  <c r="B1276" i="2"/>
  <c r="A1276" i="2"/>
  <c r="D1275" i="2"/>
  <c r="C1275" i="2"/>
  <c r="B1275" i="2"/>
  <c r="A1275" i="2"/>
  <c r="D1274" i="2"/>
  <c r="C1274" i="2"/>
  <c r="B1274" i="2"/>
  <c r="A1274" i="2"/>
  <c r="D1273" i="2"/>
  <c r="C1273" i="2"/>
  <c r="B1273" i="2"/>
  <c r="A1273" i="2"/>
  <c r="D1272" i="2"/>
  <c r="C1272" i="2"/>
  <c r="B1272" i="2"/>
  <c r="A1272" i="2"/>
  <c r="D1271" i="2"/>
  <c r="C1271" i="2"/>
  <c r="B1271" i="2"/>
  <c r="A1271" i="2"/>
  <c r="D1270" i="2"/>
  <c r="C1270" i="2"/>
  <c r="B1270" i="2"/>
  <c r="A1270" i="2"/>
  <c r="D1269" i="2"/>
  <c r="C1269" i="2"/>
  <c r="B1269" i="2"/>
  <c r="A1269" i="2"/>
  <c r="D1268" i="2"/>
  <c r="C1268" i="2"/>
  <c r="B1268" i="2"/>
  <c r="A1268" i="2"/>
  <c r="D1267" i="2"/>
  <c r="C1267" i="2"/>
  <c r="B1267" i="2"/>
  <c r="A1267" i="2"/>
  <c r="D1266" i="2"/>
  <c r="C1266" i="2"/>
  <c r="B1266" i="2"/>
  <c r="A1266" i="2"/>
  <c r="D1265" i="2"/>
  <c r="C1265" i="2"/>
  <c r="B1265" i="2"/>
  <c r="A1265" i="2"/>
  <c r="D1264" i="2"/>
  <c r="C1264" i="2"/>
  <c r="B1264" i="2"/>
  <c r="A1264" i="2"/>
  <c r="D1263" i="2"/>
  <c r="C1263" i="2"/>
  <c r="B1263" i="2"/>
  <c r="A1263" i="2"/>
  <c r="D1262" i="2"/>
  <c r="C1262" i="2"/>
  <c r="B1262" i="2"/>
  <c r="A1262" i="2"/>
  <c r="D1261" i="2"/>
  <c r="C1261" i="2"/>
  <c r="B1261" i="2"/>
  <c r="A1261" i="2"/>
  <c r="D1260" i="2"/>
  <c r="C1260" i="2"/>
  <c r="B1260" i="2"/>
  <c r="A1260" i="2"/>
  <c r="D1259" i="2"/>
  <c r="C1259" i="2"/>
  <c r="B1259" i="2"/>
  <c r="A1259" i="2"/>
  <c r="D1258" i="2"/>
  <c r="C1258" i="2"/>
  <c r="B1258" i="2"/>
  <c r="A1258" i="2"/>
  <c r="D1257" i="2"/>
  <c r="C1257" i="2"/>
  <c r="B1257" i="2"/>
  <c r="A1257" i="2"/>
  <c r="D1256" i="2"/>
  <c r="C1256" i="2"/>
  <c r="B1256" i="2"/>
  <c r="A1256" i="2"/>
  <c r="D1255" i="2"/>
  <c r="C1255" i="2"/>
  <c r="B1255" i="2"/>
  <c r="A1255" i="2"/>
  <c r="D1254" i="2"/>
  <c r="C1254" i="2"/>
  <c r="B1254" i="2"/>
  <c r="A1254" i="2"/>
  <c r="D1253" i="2"/>
  <c r="C1253" i="2"/>
  <c r="B1253" i="2"/>
  <c r="A1253" i="2"/>
  <c r="D1252" i="2"/>
  <c r="C1252" i="2"/>
  <c r="B1252" i="2"/>
  <c r="A1252" i="2"/>
  <c r="D1251" i="2"/>
  <c r="C1251" i="2"/>
  <c r="B1251" i="2"/>
  <c r="A1251" i="2"/>
  <c r="D1250" i="2"/>
  <c r="C1250" i="2"/>
  <c r="B1250" i="2"/>
  <c r="A1250" i="2"/>
  <c r="D1249" i="2"/>
  <c r="C1249" i="2"/>
  <c r="B1249" i="2"/>
  <c r="A1249" i="2"/>
  <c r="D1248" i="2"/>
  <c r="C1248" i="2"/>
  <c r="B1248" i="2"/>
  <c r="A1248" i="2"/>
  <c r="D1247" i="2"/>
  <c r="C1247" i="2"/>
  <c r="B1247" i="2"/>
  <c r="A1247" i="2"/>
  <c r="D1246" i="2"/>
  <c r="C1246" i="2"/>
  <c r="B1246" i="2"/>
  <c r="A1246" i="2"/>
  <c r="D1245" i="2"/>
  <c r="C1245" i="2"/>
  <c r="B1245" i="2"/>
  <c r="A1245" i="2"/>
  <c r="D1244" i="2"/>
  <c r="C1244" i="2"/>
  <c r="B1244" i="2"/>
  <c r="A1244" i="2"/>
  <c r="D1243" i="2"/>
  <c r="C1243" i="2"/>
  <c r="B1243" i="2"/>
  <c r="A1243" i="2"/>
  <c r="D1242" i="2"/>
  <c r="C1242" i="2"/>
  <c r="B1242" i="2"/>
  <c r="A1242" i="2"/>
  <c r="D1241" i="2"/>
  <c r="C1241" i="2"/>
  <c r="B1241" i="2"/>
  <c r="A1241" i="2"/>
  <c r="D1240" i="2"/>
  <c r="C1240" i="2"/>
  <c r="B1240" i="2"/>
  <c r="A1240" i="2"/>
  <c r="D1239" i="2"/>
  <c r="C1239" i="2"/>
  <c r="B1239" i="2"/>
  <c r="A1239" i="2"/>
  <c r="D1238" i="2"/>
  <c r="C1238" i="2"/>
  <c r="B1238" i="2"/>
  <c r="A1238" i="2"/>
  <c r="D1237" i="2"/>
  <c r="C1237" i="2"/>
  <c r="B1237" i="2"/>
  <c r="A1237" i="2"/>
  <c r="D1236" i="2"/>
  <c r="C1236" i="2"/>
  <c r="B1236" i="2"/>
  <c r="A1236" i="2"/>
  <c r="D1235" i="2"/>
  <c r="C1235" i="2"/>
  <c r="B1235" i="2"/>
  <c r="A1235" i="2"/>
  <c r="D1234" i="2"/>
  <c r="C1234" i="2"/>
  <c r="B1234" i="2"/>
  <c r="A1234" i="2"/>
  <c r="D1233" i="2"/>
  <c r="C1233" i="2"/>
  <c r="B1233" i="2"/>
  <c r="A1233" i="2"/>
  <c r="D1232" i="2"/>
  <c r="C1232" i="2"/>
  <c r="B1232" i="2"/>
  <c r="A1232" i="2"/>
  <c r="D1231" i="2"/>
  <c r="C1231" i="2"/>
  <c r="B1231" i="2"/>
  <c r="A1231" i="2"/>
  <c r="D1230" i="2"/>
  <c r="C1230" i="2"/>
  <c r="B1230" i="2"/>
  <c r="A1230" i="2"/>
  <c r="D1229" i="2"/>
  <c r="C1229" i="2"/>
  <c r="B1229" i="2"/>
  <c r="A1229" i="2"/>
  <c r="D1228" i="2"/>
  <c r="C1228" i="2"/>
  <c r="B1228" i="2"/>
  <c r="A1228" i="2"/>
  <c r="D1227" i="2"/>
  <c r="C1227" i="2"/>
  <c r="B1227" i="2"/>
  <c r="A1227" i="2"/>
  <c r="D1226" i="2"/>
  <c r="C1226" i="2"/>
  <c r="B1226" i="2"/>
  <c r="A1226" i="2"/>
  <c r="D1225" i="2"/>
  <c r="C1225" i="2"/>
  <c r="B1225" i="2"/>
  <c r="A1225" i="2"/>
  <c r="D1224" i="2"/>
  <c r="C1224" i="2"/>
  <c r="B1224" i="2"/>
  <c r="A1224" i="2"/>
  <c r="D1223" i="2"/>
  <c r="C1223" i="2"/>
  <c r="B1223" i="2"/>
  <c r="A1223" i="2"/>
  <c r="D1222" i="2"/>
  <c r="C1222" i="2"/>
  <c r="B1222" i="2"/>
  <c r="A1222" i="2"/>
  <c r="D1221" i="2"/>
  <c r="C1221" i="2"/>
  <c r="B1221" i="2"/>
  <c r="A1221" i="2"/>
  <c r="D1220" i="2"/>
  <c r="C1220" i="2"/>
  <c r="B1220" i="2"/>
  <c r="A1220" i="2"/>
  <c r="D1219" i="2"/>
  <c r="C1219" i="2"/>
  <c r="B1219" i="2"/>
  <c r="A1219" i="2"/>
  <c r="D1218" i="2"/>
  <c r="C1218" i="2"/>
  <c r="B1218" i="2"/>
  <c r="A1218" i="2"/>
  <c r="D1217" i="2"/>
  <c r="C1217" i="2"/>
  <c r="B1217" i="2"/>
  <c r="A1217" i="2"/>
  <c r="D1216" i="2"/>
  <c r="C1216" i="2"/>
  <c r="B1216" i="2"/>
  <c r="A1216" i="2"/>
  <c r="D1215" i="2"/>
  <c r="C1215" i="2"/>
  <c r="B1215" i="2"/>
  <c r="A1215" i="2"/>
  <c r="D1214" i="2"/>
  <c r="C1214" i="2"/>
  <c r="B1214" i="2"/>
  <c r="A1214" i="2"/>
  <c r="D1213" i="2"/>
  <c r="C1213" i="2"/>
  <c r="B1213" i="2"/>
  <c r="A1213" i="2"/>
  <c r="D1212" i="2"/>
  <c r="C1212" i="2"/>
  <c r="B1212" i="2"/>
  <c r="A1212" i="2"/>
  <c r="D1211" i="2"/>
  <c r="C1211" i="2"/>
  <c r="B1211" i="2"/>
  <c r="A1211" i="2"/>
  <c r="D1210" i="2"/>
  <c r="C1210" i="2"/>
  <c r="B1210" i="2"/>
  <c r="A1210" i="2"/>
  <c r="D1209" i="2"/>
  <c r="C1209" i="2"/>
  <c r="B1209" i="2"/>
  <c r="A1209" i="2"/>
  <c r="D1208" i="2"/>
  <c r="C1208" i="2"/>
  <c r="B1208" i="2"/>
  <c r="A1208" i="2"/>
  <c r="D1207" i="2"/>
  <c r="C1207" i="2"/>
  <c r="B1207" i="2"/>
  <c r="A1207" i="2"/>
  <c r="D1206" i="2"/>
  <c r="C1206" i="2"/>
  <c r="B1206" i="2"/>
  <c r="A1206" i="2"/>
  <c r="D1205" i="2"/>
  <c r="C1205" i="2"/>
  <c r="B1205" i="2"/>
  <c r="A1205" i="2"/>
  <c r="D1204" i="2"/>
  <c r="C1204" i="2"/>
  <c r="B1204" i="2"/>
  <c r="A1204" i="2"/>
  <c r="D1203" i="2"/>
  <c r="C1203" i="2"/>
  <c r="B1203" i="2"/>
  <c r="A1203" i="2"/>
  <c r="D1202" i="2"/>
  <c r="C1202" i="2"/>
  <c r="B1202" i="2"/>
  <c r="A1202" i="2"/>
  <c r="D1201" i="2"/>
  <c r="C1201" i="2"/>
  <c r="B1201" i="2"/>
  <c r="A1201" i="2"/>
  <c r="D1200" i="2"/>
  <c r="C1200" i="2"/>
  <c r="B1200" i="2"/>
  <c r="A1200" i="2"/>
  <c r="D1199" i="2"/>
  <c r="C1199" i="2"/>
  <c r="B1199" i="2"/>
  <c r="A1199" i="2"/>
  <c r="D1198" i="2"/>
  <c r="C1198" i="2"/>
  <c r="B1198" i="2"/>
  <c r="A1198" i="2"/>
  <c r="D1197" i="2"/>
  <c r="C1197" i="2"/>
  <c r="B1197" i="2"/>
  <c r="A1197" i="2"/>
  <c r="D1196" i="2"/>
  <c r="C1196" i="2"/>
  <c r="B1196" i="2"/>
  <c r="A1196" i="2"/>
  <c r="D1195" i="2"/>
  <c r="C1195" i="2"/>
  <c r="B1195" i="2"/>
  <c r="A1195" i="2"/>
  <c r="D1194" i="2"/>
  <c r="C1194" i="2"/>
  <c r="B1194" i="2"/>
  <c r="A1194" i="2"/>
  <c r="D1193" i="2"/>
  <c r="C1193" i="2"/>
  <c r="B1193" i="2"/>
  <c r="A1193" i="2"/>
  <c r="D1192" i="2"/>
  <c r="C1192" i="2"/>
  <c r="B1192" i="2"/>
  <c r="A1192" i="2"/>
  <c r="D1191" i="2"/>
  <c r="C1191" i="2"/>
  <c r="B1191" i="2"/>
  <c r="A1191" i="2"/>
  <c r="D1190" i="2"/>
  <c r="C1190" i="2"/>
  <c r="B1190" i="2"/>
  <c r="A1190" i="2"/>
  <c r="D1189" i="2"/>
  <c r="C1189" i="2"/>
  <c r="B1189" i="2"/>
  <c r="A1189" i="2"/>
  <c r="D1188" i="2"/>
  <c r="C1188" i="2"/>
  <c r="B1188" i="2"/>
  <c r="A1188" i="2"/>
  <c r="D1187" i="2"/>
  <c r="C1187" i="2"/>
  <c r="B1187" i="2"/>
  <c r="A1187" i="2"/>
  <c r="D1186" i="2"/>
  <c r="C1186" i="2"/>
  <c r="B1186" i="2"/>
  <c r="A1186" i="2"/>
  <c r="D1185" i="2"/>
  <c r="C1185" i="2"/>
  <c r="B1185" i="2"/>
  <c r="A1185" i="2"/>
  <c r="D1184" i="2"/>
  <c r="C1184" i="2"/>
  <c r="B1184" i="2"/>
  <c r="A1184" i="2"/>
  <c r="D1183" i="2"/>
  <c r="C1183" i="2"/>
  <c r="B1183" i="2"/>
  <c r="A1183" i="2"/>
  <c r="D1182" i="2"/>
  <c r="C1182" i="2"/>
  <c r="B1182" i="2"/>
  <c r="A1182" i="2"/>
  <c r="D1181" i="2"/>
  <c r="C1181" i="2"/>
  <c r="B1181" i="2"/>
  <c r="A1181" i="2"/>
  <c r="D1180" i="2"/>
  <c r="C1180" i="2"/>
  <c r="B1180" i="2"/>
  <c r="A1180" i="2"/>
  <c r="D1179" i="2"/>
  <c r="C1179" i="2"/>
  <c r="B1179" i="2"/>
  <c r="A1179" i="2"/>
  <c r="D1178" i="2"/>
  <c r="C1178" i="2"/>
  <c r="B1178" i="2"/>
  <c r="A1178" i="2"/>
  <c r="D1177" i="2"/>
  <c r="C1177" i="2"/>
  <c r="B1177" i="2"/>
  <c r="A1177" i="2"/>
  <c r="D1176" i="2"/>
  <c r="C1176" i="2"/>
  <c r="B1176" i="2"/>
  <c r="A1176" i="2"/>
  <c r="D1175" i="2"/>
  <c r="C1175" i="2"/>
  <c r="B1175" i="2"/>
  <c r="A1175" i="2"/>
  <c r="D1174" i="2"/>
  <c r="C1174" i="2"/>
  <c r="B1174" i="2"/>
  <c r="A1174" i="2"/>
  <c r="D1173" i="2"/>
  <c r="C1173" i="2"/>
  <c r="B1173" i="2"/>
  <c r="A1173" i="2"/>
  <c r="D1172" i="2"/>
  <c r="C1172" i="2"/>
  <c r="B1172" i="2"/>
  <c r="A1172" i="2"/>
  <c r="D1171" i="2"/>
  <c r="C1171" i="2"/>
  <c r="B1171" i="2"/>
  <c r="A1171" i="2"/>
  <c r="D1170" i="2"/>
  <c r="C1170" i="2"/>
  <c r="B1170" i="2"/>
  <c r="A1170" i="2"/>
  <c r="D1169" i="2"/>
  <c r="C1169" i="2"/>
  <c r="B1169" i="2"/>
  <c r="A1169" i="2"/>
  <c r="D1168" i="2"/>
  <c r="C1168" i="2"/>
  <c r="B1168" i="2"/>
  <c r="A1168" i="2"/>
  <c r="D1167" i="2"/>
  <c r="C1167" i="2"/>
  <c r="B1167" i="2"/>
  <c r="A1167" i="2"/>
  <c r="D1166" i="2"/>
  <c r="C1166" i="2"/>
  <c r="B1166" i="2"/>
  <c r="A1166" i="2"/>
  <c r="D1165" i="2"/>
  <c r="C1165" i="2"/>
  <c r="B1165" i="2"/>
  <c r="A1165" i="2"/>
  <c r="D1164" i="2"/>
  <c r="C1164" i="2"/>
  <c r="B1164" i="2"/>
  <c r="A1164" i="2"/>
  <c r="D1163" i="2"/>
  <c r="C1163" i="2"/>
  <c r="B1163" i="2"/>
  <c r="A1163" i="2"/>
  <c r="D1162" i="2"/>
  <c r="C1162" i="2"/>
  <c r="B1162" i="2"/>
  <c r="A1162" i="2"/>
  <c r="D1161" i="2"/>
  <c r="C1161" i="2"/>
  <c r="B1161" i="2"/>
  <c r="A1161" i="2"/>
  <c r="D1160" i="2"/>
  <c r="C1160" i="2"/>
  <c r="B1160" i="2"/>
  <c r="A1160" i="2"/>
  <c r="D1159" i="2"/>
  <c r="C1159" i="2"/>
  <c r="B1159" i="2"/>
  <c r="A1159" i="2"/>
  <c r="D1158" i="2"/>
  <c r="C1158" i="2"/>
  <c r="B1158" i="2"/>
  <c r="A1158" i="2"/>
  <c r="D1157" i="2"/>
  <c r="C1157" i="2"/>
  <c r="B1157" i="2"/>
  <c r="A1157" i="2"/>
  <c r="D1156" i="2"/>
  <c r="C1156" i="2"/>
  <c r="B1156" i="2"/>
  <c r="A1156" i="2"/>
  <c r="D1155" i="2"/>
  <c r="C1155" i="2"/>
  <c r="B1155" i="2"/>
  <c r="A1155" i="2"/>
  <c r="D1154" i="2"/>
  <c r="C1154" i="2"/>
  <c r="B1154" i="2"/>
  <c r="A1154" i="2"/>
  <c r="D1153" i="2"/>
  <c r="C1153" i="2"/>
  <c r="B1153" i="2"/>
  <c r="A1153" i="2"/>
  <c r="D1152" i="2"/>
  <c r="C1152" i="2"/>
  <c r="B1152" i="2"/>
  <c r="A1152" i="2"/>
  <c r="D1151" i="2"/>
  <c r="C1151" i="2"/>
  <c r="B1151" i="2"/>
  <c r="A1151" i="2"/>
  <c r="D1150" i="2"/>
  <c r="C1150" i="2"/>
  <c r="B1150" i="2"/>
  <c r="A1150" i="2"/>
  <c r="D1149" i="2"/>
  <c r="C1149" i="2"/>
  <c r="B1149" i="2"/>
  <c r="A1149" i="2"/>
  <c r="D1148" i="2"/>
  <c r="C1148" i="2"/>
  <c r="B1148" i="2"/>
  <c r="A1148" i="2"/>
  <c r="D1147" i="2"/>
  <c r="C1147" i="2"/>
  <c r="B1147" i="2"/>
  <c r="A1147" i="2"/>
  <c r="D1146" i="2"/>
  <c r="C1146" i="2"/>
  <c r="B1146" i="2"/>
  <c r="A1146" i="2"/>
  <c r="D1145" i="2"/>
  <c r="C1145" i="2"/>
  <c r="B1145" i="2"/>
  <c r="A1145" i="2"/>
  <c r="D1144" i="2"/>
  <c r="C1144" i="2"/>
  <c r="B1144" i="2"/>
  <c r="A1144" i="2"/>
  <c r="D1143" i="2"/>
  <c r="C1143" i="2"/>
  <c r="B1143" i="2"/>
  <c r="A1143" i="2"/>
  <c r="D1142" i="2"/>
  <c r="C1142" i="2"/>
  <c r="B1142" i="2"/>
  <c r="A1142" i="2"/>
  <c r="D1141" i="2"/>
  <c r="C1141" i="2"/>
  <c r="B1141" i="2"/>
  <c r="A1141" i="2"/>
  <c r="D1140" i="2"/>
  <c r="C1140" i="2"/>
  <c r="B1140" i="2"/>
  <c r="A1140" i="2"/>
  <c r="D1139" i="2"/>
  <c r="C1139" i="2"/>
  <c r="B1139" i="2"/>
  <c r="A1139" i="2"/>
  <c r="D1138" i="2"/>
  <c r="C1138" i="2"/>
  <c r="B1138" i="2"/>
  <c r="A1138" i="2"/>
  <c r="D1137" i="2"/>
  <c r="C1137" i="2"/>
  <c r="B1137" i="2"/>
  <c r="A1137" i="2"/>
  <c r="D1136" i="2"/>
  <c r="C1136" i="2"/>
  <c r="B1136" i="2"/>
  <c r="A1136" i="2"/>
  <c r="D1135" i="2"/>
  <c r="C1135" i="2"/>
  <c r="B1135" i="2"/>
  <c r="A1135" i="2"/>
  <c r="D1134" i="2"/>
  <c r="C1134" i="2"/>
  <c r="B1134" i="2"/>
  <c r="A1134" i="2"/>
  <c r="D1133" i="2"/>
  <c r="C1133" i="2"/>
  <c r="B1133" i="2"/>
  <c r="A1133" i="2"/>
  <c r="D1132" i="2"/>
  <c r="C1132" i="2"/>
  <c r="B1132" i="2"/>
  <c r="A1132" i="2"/>
  <c r="D1131" i="2"/>
  <c r="C1131" i="2"/>
  <c r="B1131" i="2"/>
  <c r="A1131" i="2"/>
  <c r="D1130" i="2"/>
  <c r="C1130" i="2"/>
  <c r="B1130" i="2"/>
  <c r="A1130" i="2"/>
  <c r="D1129" i="2"/>
  <c r="C1129" i="2"/>
  <c r="B1129" i="2"/>
  <c r="A1129" i="2"/>
  <c r="D1128" i="2"/>
  <c r="C1128" i="2"/>
  <c r="B1128" i="2"/>
  <c r="A1128" i="2"/>
  <c r="D1127" i="2"/>
  <c r="C1127" i="2"/>
  <c r="B1127" i="2"/>
  <c r="A1127" i="2"/>
  <c r="D1126" i="2"/>
  <c r="C1126" i="2"/>
  <c r="B1126" i="2"/>
  <c r="A1126" i="2"/>
  <c r="D1125" i="2"/>
  <c r="C1125" i="2"/>
  <c r="B1125" i="2"/>
  <c r="A1125" i="2"/>
  <c r="D1124" i="2"/>
  <c r="C1124" i="2"/>
  <c r="B1124" i="2"/>
  <c r="A1124" i="2"/>
  <c r="D1123" i="2"/>
  <c r="C1123" i="2"/>
  <c r="B1123" i="2"/>
  <c r="A1123" i="2"/>
  <c r="D1122" i="2"/>
  <c r="C1122" i="2"/>
  <c r="B1122" i="2"/>
  <c r="A1122" i="2"/>
  <c r="D1121" i="2"/>
  <c r="C1121" i="2"/>
  <c r="B1121" i="2"/>
  <c r="A1121" i="2"/>
  <c r="D1120" i="2"/>
  <c r="C1120" i="2"/>
  <c r="B1120" i="2"/>
  <c r="A1120" i="2"/>
  <c r="D1119" i="2"/>
  <c r="C1119" i="2"/>
  <c r="B1119" i="2"/>
  <c r="A1119" i="2"/>
  <c r="D1118" i="2"/>
  <c r="C1118" i="2"/>
  <c r="B1118" i="2"/>
  <c r="A1118" i="2"/>
  <c r="D1117" i="2"/>
  <c r="C1117" i="2"/>
  <c r="B1117" i="2"/>
  <c r="A1117" i="2"/>
  <c r="D1116" i="2"/>
  <c r="C1116" i="2"/>
  <c r="B1116" i="2"/>
  <c r="A1116" i="2"/>
  <c r="D1115" i="2"/>
  <c r="C1115" i="2"/>
  <c r="B1115" i="2"/>
  <c r="A1115" i="2"/>
  <c r="D1114" i="2"/>
  <c r="C1114" i="2"/>
  <c r="B1114" i="2"/>
  <c r="A1114" i="2"/>
  <c r="D1113" i="2"/>
  <c r="C1113" i="2"/>
  <c r="B1113" i="2"/>
  <c r="A1113" i="2"/>
  <c r="D1112" i="2"/>
  <c r="C1112" i="2"/>
  <c r="B1112" i="2"/>
  <c r="A1112" i="2"/>
  <c r="D1111" i="2"/>
  <c r="C1111" i="2"/>
  <c r="B1111" i="2"/>
  <c r="A1111" i="2"/>
  <c r="D1110" i="2"/>
  <c r="C1110" i="2"/>
  <c r="B1110" i="2"/>
  <c r="A1110" i="2"/>
  <c r="D1109" i="2"/>
  <c r="C1109" i="2"/>
  <c r="B1109" i="2"/>
  <c r="A1109" i="2"/>
  <c r="D1108" i="2"/>
  <c r="C1108" i="2"/>
  <c r="B1108" i="2"/>
  <c r="A1108" i="2"/>
  <c r="D1107" i="2"/>
  <c r="C1107" i="2"/>
  <c r="B1107" i="2"/>
  <c r="A1107" i="2"/>
  <c r="D1106" i="2"/>
  <c r="C1106" i="2"/>
  <c r="B1106" i="2"/>
  <c r="A1106" i="2"/>
  <c r="D1105" i="2"/>
  <c r="C1105" i="2"/>
  <c r="B1105" i="2"/>
  <c r="A1105" i="2"/>
  <c r="D1104" i="2"/>
  <c r="C1104" i="2"/>
  <c r="B1104" i="2"/>
  <c r="A1104" i="2"/>
  <c r="D1103" i="2"/>
  <c r="C1103" i="2"/>
  <c r="B1103" i="2"/>
  <c r="A1103" i="2"/>
  <c r="D1102" i="2"/>
  <c r="C1102" i="2"/>
  <c r="B1102" i="2"/>
  <c r="A1102" i="2"/>
  <c r="D1101" i="2"/>
  <c r="C1101" i="2"/>
  <c r="B1101" i="2"/>
  <c r="A1101" i="2"/>
  <c r="D1100" i="2"/>
  <c r="C1100" i="2"/>
  <c r="B1100" i="2"/>
  <c r="A1100" i="2"/>
  <c r="D1099" i="2"/>
  <c r="C1099" i="2"/>
  <c r="B1099" i="2"/>
  <c r="A1099" i="2"/>
  <c r="D1098" i="2"/>
  <c r="C1098" i="2"/>
  <c r="B1098" i="2"/>
  <c r="A1098" i="2"/>
  <c r="D1097" i="2"/>
  <c r="C1097" i="2"/>
  <c r="B1097" i="2"/>
  <c r="A1097" i="2"/>
  <c r="D1096" i="2"/>
  <c r="C1096" i="2"/>
  <c r="B1096" i="2"/>
  <c r="A1096" i="2"/>
  <c r="D1095" i="2"/>
  <c r="C1095" i="2"/>
  <c r="B1095" i="2"/>
  <c r="A1095" i="2"/>
  <c r="D1094" i="2"/>
  <c r="C1094" i="2"/>
  <c r="B1094" i="2"/>
  <c r="A1094" i="2"/>
  <c r="D1093" i="2"/>
  <c r="C1093" i="2"/>
  <c r="B1093" i="2"/>
  <c r="A1093" i="2"/>
  <c r="D1092" i="2"/>
  <c r="C1092" i="2"/>
  <c r="B1092" i="2"/>
  <c r="A1092" i="2"/>
  <c r="D1091" i="2"/>
  <c r="C1091" i="2"/>
  <c r="B1091" i="2"/>
  <c r="A1091" i="2"/>
  <c r="D1090" i="2"/>
  <c r="C1090" i="2"/>
  <c r="B1090" i="2"/>
  <c r="A1090" i="2"/>
  <c r="D1089" i="2"/>
  <c r="C1089" i="2"/>
  <c r="B1089" i="2"/>
  <c r="A1089" i="2"/>
  <c r="D1088" i="2"/>
  <c r="C1088" i="2"/>
  <c r="B1088" i="2"/>
  <c r="A1088" i="2"/>
  <c r="D1087" i="2"/>
  <c r="C1087" i="2"/>
  <c r="B1087" i="2"/>
  <c r="A1087" i="2"/>
  <c r="D1086" i="2"/>
  <c r="C1086" i="2"/>
  <c r="B1086" i="2"/>
  <c r="A1086" i="2"/>
  <c r="D1085" i="2"/>
  <c r="C1085" i="2"/>
  <c r="B1085" i="2"/>
  <c r="A1085" i="2"/>
  <c r="D1084" i="2"/>
  <c r="C1084" i="2"/>
  <c r="B1084" i="2"/>
  <c r="A1084" i="2"/>
  <c r="D1083" i="2"/>
  <c r="C1083" i="2"/>
  <c r="B1083" i="2"/>
  <c r="A1083" i="2"/>
  <c r="D1082" i="2"/>
  <c r="C1082" i="2"/>
  <c r="B1082" i="2"/>
  <c r="A1082" i="2"/>
  <c r="D1081" i="2"/>
  <c r="C1081" i="2"/>
  <c r="B1081" i="2"/>
  <c r="A1081" i="2"/>
  <c r="D1080" i="2"/>
  <c r="C1080" i="2"/>
  <c r="B1080" i="2"/>
  <c r="A1080" i="2"/>
  <c r="D1079" i="2"/>
  <c r="C1079" i="2"/>
  <c r="B1079" i="2"/>
  <c r="A1079" i="2"/>
  <c r="D1078" i="2"/>
  <c r="C1078" i="2"/>
  <c r="B1078" i="2"/>
  <c r="A1078" i="2"/>
  <c r="D1077" i="2"/>
  <c r="C1077" i="2"/>
  <c r="B1077" i="2"/>
  <c r="A1077" i="2"/>
  <c r="D1076" i="2"/>
  <c r="C1076" i="2"/>
  <c r="B1076" i="2"/>
  <c r="A1076" i="2"/>
  <c r="D1075" i="2"/>
  <c r="C1075" i="2"/>
  <c r="B1075" i="2"/>
  <c r="A1075" i="2"/>
  <c r="D1074" i="2"/>
  <c r="C1074" i="2"/>
  <c r="B1074" i="2"/>
  <c r="A1074" i="2"/>
  <c r="D1073" i="2"/>
  <c r="C1073" i="2"/>
  <c r="B1073" i="2"/>
  <c r="A1073" i="2"/>
  <c r="D1072" i="2"/>
  <c r="C1072" i="2"/>
  <c r="B1072" i="2"/>
  <c r="A1072" i="2"/>
  <c r="D1071" i="2"/>
  <c r="C1071" i="2"/>
  <c r="B1071" i="2"/>
  <c r="A1071" i="2"/>
  <c r="D1070" i="2"/>
  <c r="C1070" i="2"/>
  <c r="B1070" i="2"/>
  <c r="A1070" i="2"/>
  <c r="D1069" i="2"/>
  <c r="C1069" i="2"/>
  <c r="B1069" i="2"/>
  <c r="A1069" i="2"/>
  <c r="D1068" i="2"/>
  <c r="C1068" i="2"/>
  <c r="B1068" i="2"/>
  <c r="A1068" i="2"/>
  <c r="D1067" i="2"/>
  <c r="C1067" i="2"/>
  <c r="B1067" i="2"/>
  <c r="A1067" i="2"/>
  <c r="D1066" i="2"/>
  <c r="C1066" i="2"/>
  <c r="B1066" i="2"/>
  <c r="A1066" i="2"/>
  <c r="D1065" i="2"/>
  <c r="C1065" i="2"/>
  <c r="B1065" i="2"/>
  <c r="A1065" i="2"/>
  <c r="D1064" i="2"/>
  <c r="C1064" i="2"/>
  <c r="B1064" i="2"/>
  <c r="A1064" i="2"/>
  <c r="D1063" i="2"/>
  <c r="C1063" i="2"/>
  <c r="B1063" i="2"/>
  <c r="A1063" i="2"/>
  <c r="D1062" i="2"/>
  <c r="C1062" i="2"/>
  <c r="B1062" i="2"/>
  <c r="A1062" i="2"/>
  <c r="D1061" i="2"/>
  <c r="C1061" i="2"/>
  <c r="B1061" i="2"/>
  <c r="A1061" i="2"/>
  <c r="D1060" i="2"/>
  <c r="C1060" i="2"/>
  <c r="B1060" i="2"/>
  <c r="A1060" i="2"/>
  <c r="D1059" i="2"/>
  <c r="C1059" i="2"/>
  <c r="B1059" i="2"/>
  <c r="A1059" i="2"/>
  <c r="D1058" i="2"/>
  <c r="C1058" i="2"/>
  <c r="B1058" i="2"/>
  <c r="A1058" i="2"/>
  <c r="D1057" i="2"/>
  <c r="C1057" i="2"/>
  <c r="B1057" i="2"/>
  <c r="A1057" i="2"/>
  <c r="D1056" i="2"/>
  <c r="C1056" i="2"/>
  <c r="B1056" i="2"/>
  <c r="A1056" i="2"/>
  <c r="D1055" i="2"/>
  <c r="C1055" i="2"/>
  <c r="B1055" i="2"/>
  <c r="A1055" i="2"/>
  <c r="D1054" i="2"/>
  <c r="C1054" i="2"/>
  <c r="B1054" i="2"/>
  <c r="A1054" i="2"/>
  <c r="D1053" i="2"/>
  <c r="C1053" i="2"/>
  <c r="B1053" i="2"/>
  <c r="A1053" i="2"/>
  <c r="D1052" i="2"/>
  <c r="C1052" i="2"/>
  <c r="B1052" i="2"/>
  <c r="A1052" i="2"/>
  <c r="D1051" i="2"/>
  <c r="C1051" i="2"/>
  <c r="B1051" i="2"/>
  <c r="A1051" i="2"/>
  <c r="D1050" i="2"/>
  <c r="C1050" i="2"/>
  <c r="B1050" i="2"/>
  <c r="A1050" i="2"/>
  <c r="D1049" i="2"/>
  <c r="C1049" i="2"/>
  <c r="B1049" i="2"/>
  <c r="A1049" i="2"/>
  <c r="D1048" i="2"/>
  <c r="C1048" i="2"/>
  <c r="B1048" i="2"/>
  <c r="A1048" i="2"/>
  <c r="D1047" i="2"/>
  <c r="C1047" i="2"/>
  <c r="B1047" i="2"/>
  <c r="A1047" i="2"/>
  <c r="D1046" i="2"/>
  <c r="C1046" i="2"/>
  <c r="B1046" i="2"/>
  <c r="A1046" i="2"/>
  <c r="D1045" i="2"/>
  <c r="C1045" i="2"/>
  <c r="B1045" i="2"/>
  <c r="A1045" i="2"/>
  <c r="D1044" i="2"/>
  <c r="C1044" i="2"/>
  <c r="B1044" i="2"/>
  <c r="A1044" i="2"/>
  <c r="D1043" i="2"/>
  <c r="C1043" i="2"/>
  <c r="B1043" i="2"/>
  <c r="A1043" i="2"/>
  <c r="D1042" i="2"/>
  <c r="C1042" i="2"/>
  <c r="B1042" i="2"/>
  <c r="A1042" i="2"/>
  <c r="D1041" i="2"/>
  <c r="C1041" i="2"/>
  <c r="B1041" i="2"/>
  <c r="A1041" i="2"/>
  <c r="D1040" i="2"/>
  <c r="C1040" i="2"/>
  <c r="B1040" i="2"/>
  <c r="A1040" i="2"/>
  <c r="D1039" i="2"/>
  <c r="C1039" i="2"/>
  <c r="B1039" i="2"/>
  <c r="A1039" i="2"/>
  <c r="D1038" i="2"/>
  <c r="C1038" i="2"/>
  <c r="B1038" i="2"/>
  <c r="A1038" i="2"/>
  <c r="D1037" i="2"/>
  <c r="C1037" i="2"/>
  <c r="B1037" i="2"/>
  <c r="A1037" i="2"/>
  <c r="D1036" i="2"/>
  <c r="C1036" i="2"/>
  <c r="B1036" i="2"/>
  <c r="A1036" i="2"/>
  <c r="D1035" i="2"/>
  <c r="C1035" i="2"/>
  <c r="B1035" i="2"/>
  <c r="A1035" i="2"/>
  <c r="D1034" i="2"/>
  <c r="C1034" i="2"/>
  <c r="B1034" i="2"/>
  <c r="A1034" i="2"/>
  <c r="D1033" i="2"/>
  <c r="C1033" i="2"/>
  <c r="B1033" i="2"/>
  <c r="A1033" i="2"/>
  <c r="D1032" i="2"/>
  <c r="C1032" i="2"/>
  <c r="B1032" i="2"/>
  <c r="A1032" i="2"/>
  <c r="D1031" i="2"/>
  <c r="C1031" i="2"/>
  <c r="B1031" i="2"/>
  <c r="A1031" i="2"/>
  <c r="D1030" i="2"/>
  <c r="C1030" i="2"/>
  <c r="B1030" i="2"/>
  <c r="A1030" i="2"/>
  <c r="D1029" i="2"/>
  <c r="C1029" i="2"/>
  <c r="B1029" i="2"/>
  <c r="A1029" i="2"/>
  <c r="D1028" i="2"/>
  <c r="C1028" i="2"/>
  <c r="B1028" i="2"/>
  <c r="A1028" i="2"/>
  <c r="D1027" i="2"/>
  <c r="C1027" i="2"/>
  <c r="B1027" i="2"/>
  <c r="A1027" i="2"/>
  <c r="D1026" i="2"/>
  <c r="C1026" i="2"/>
  <c r="B1026" i="2"/>
  <c r="A1026" i="2"/>
  <c r="D1025" i="2"/>
  <c r="C1025" i="2"/>
  <c r="B1025" i="2"/>
  <c r="A1025" i="2"/>
  <c r="D1024" i="2"/>
  <c r="C1024" i="2"/>
  <c r="B1024" i="2"/>
  <c r="A1024" i="2"/>
  <c r="D1023" i="2"/>
  <c r="C1023" i="2"/>
  <c r="B1023" i="2"/>
  <c r="A1023" i="2"/>
  <c r="D1022" i="2"/>
  <c r="C1022" i="2"/>
  <c r="B1022" i="2"/>
  <c r="A1022" i="2"/>
  <c r="D1021" i="2"/>
  <c r="C1021" i="2"/>
  <c r="B1021" i="2"/>
  <c r="A1021" i="2"/>
  <c r="D1020" i="2"/>
  <c r="C1020" i="2"/>
  <c r="B1020" i="2"/>
  <c r="A1020" i="2"/>
  <c r="D1019" i="2"/>
  <c r="C1019" i="2"/>
  <c r="B1019" i="2"/>
  <c r="A1019" i="2"/>
  <c r="D1018" i="2"/>
  <c r="C1018" i="2"/>
  <c r="B1018" i="2"/>
  <c r="A1018" i="2"/>
  <c r="D1017" i="2"/>
  <c r="C1017" i="2"/>
  <c r="B1017" i="2"/>
  <c r="A1017" i="2"/>
  <c r="D1016" i="2"/>
  <c r="C1016" i="2"/>
  <c r="B1016" i="2"/>
  <c r="A1016" i="2"/>
  <c r="D1015" i="2"/>
  <c r="C1015" i="2"/>
  <c r="B1015" i="2"/>
  <c r="A1015" i="2"/>
  <c r="D1014" i="2"/>
  <c r="C1014" i="2"/>
  <c r="B1014" i="2"/>
  <c r="A1014" i="2"/>
  <c r="D1013" i="2"/>
  <c r="C1013" i="2"/>
  <c r="B1013" i="2"/>
  <c r="A1013" i="2"/>
  <c r="D1012" i="2"/>
  <c r="C1012" i="2"/>
  <c r="B1012" i="2"/>
  <c r="A1012" i="2"/>
  <c r="D1011" i="2"/>
  <c r="C1011" i="2"/>
  <c r="B1011" i="2"/>
  <c r="A1011" i="2"/>
  <c r="D1010" i="2"/>
  <c r="C1010" i="2"/>
  <c r="B1010" i="2"/>
  <c r="A1010" i="2"/>
  <c r="D1009" i="2"/>
  <c r="C1009" i="2"/>
  <c r="B1009" i="2"/>
  <c r="A1009" i="2"/>
  <c r="D1008" i="2"/>
  <c r="C1008" i="2"/>
  <c r="B1008" i="2"/>
  <c r="A1008" i="2"/>
  <c r="D1007" i="2"/>
  <c r="C1007" i="2"/>
  <c r="B1007" i="2"/>
  <c r="A1007" i="2"/>
  <c r="D1006" i="2"/>
  <c r="C1006" i="2"/>
  <c r="B1006" i="2"/>
  <c r="A1006" i="2"/>
  <c r="D1005" i="2"/>
  <c r="C1005" i="2"/>
  <c r="B1005" i="2"/>
  <c r="A1005" i="2"/>
  <c r="D1004" i="2"/>
  <c r="C1004" i="2"/>
  <c r="B1004" i="2"/>
  <c r="A1004" i="2"/>
  <c r="D1003" i="2"/>
  <c r="C1003" i="2"/>
  <c r="B1003" i="2"/>
  <c r="A1003" i="2"/>
  <c r="D1002" i="2"/>
  <c r="C1002" i="2"/>
  <c r="B1002" i="2"/>
  <c r="A1002" i="2"/>
  <c r="D1001" i="2"/>
  <c r="C1001" i="2"/>
  <c r="B1001" i="2"/>
  <c r="A1001" i="2"/>
  <c r="D1000" i="2"/>
  <c r="C1000" i="2"/>
  <c r="B1000" i="2"/>
  <c r="A1000" i="2"/>
  <c r="D999" i="2"/>
  <c r="C999" i="2"/>
  <c r="B999" i="2"/>
  <c r="A999" i="2"/>
  <c r="D998" i="2"/>
  <c r="C998" i="2"/>
  <c r="B998" i="2"/>
  <c r="A998" i="2"/>
  <c r="D997" i="2"/>
  <c r="C997" i="2"/>
  <c r="B997" i="2"/>
  <c r="A997" i="2"/>
  <c r="D996" i="2"/>
  <c r="C996" i="2"/>
  <c r="B996" i="2"/>
  <c r="A996" i="2"/>
  <c r="D995" i="2"/>
  <c r="C995" i="2"/>
  <c r="B995" i="2"/>
  <c r="A995" i="2"/>
  <c r="D994" i="2"/>
  <c r="C994" i="2"/>
  <c r="B994" i="2"/>
  <c r="A994" i="2"/>
  <c r="D993" i="2"/>
  <c r="C993" i="2"/>
  <c r="B993" i="2"/>
  <c r="A993" i="2"/>
  <c r="D992" i="2"/>
  <c r="C992" i="2"/>
  <c r="B992" i="2"/>
  <c r="A992" i="2"/>
  <c r="D991" i="2"/>
  <c r="C991" i="2"/>
  <c r="B991" i="2"/>
  <c r="A991" i="2"/>
  <c r="D990" i="2"/>
  <c r="C990" i="2"/>
  <c r="B990" i="2"/>
  <c r="A990" i="2"/>
  <c r="D989" i="2"/>
  <c r="C989" i="2"/>
  <c r="B989" i="2"/>
  <c r="A989" i="2"/>
  <c r="D988" i="2"/>
  <c r="C988" i="2"/>
  <c r="B988" i="2"/>
  <c r="A988" i="2"/>
  <c r="D987" i="2"/>
  <c r="C987" i="2"/>
  <c r="B987" i="2"/>
  <c r="A987" i="2"/>
  <c r="D986" i="2"/>
  <c r="C986" i="2"/>
  <c r="B986" i="2"/>
  <c r="A986" i="2"/>
  <c r="D985" i="2"/>
  <c r="C985" i="2"/>
  <c r="B985" i="2"/>
  <c r="A985" i="2"/>
  <c r="D984" i="2"/>
  <c r="C984" i="2"/>
  <c r="B984" i="2"/>
  <c r="A984" i="2"/>
  <c r="D983" i="2"/>
  <c r="C983" i="2"/>
  <c r="B983" i="2"/>
  <c r="A983" i="2"/>
  <c r="D982" i="2"/>
  <c r="C982" i="2"/>
  <c r="B982" i="2"/>
  <c r="A982" i="2"/>
  <c r="D981" i="2"/>
  <c r="C981" i="2"/>
  <c r="B981" i="2"/>
  <c r="A981" i="2"/>
  <c r="D980" i="2"/>
  <c r="C980" i="2"/>
  <c r="B980" i="2"/>
  <c r="A980" i="2"/>
  <c r="D979" i="2"/>
  <c r="C979" i="2"/>
  <c r="B979" i="2"/>
  <c r="A979" i="2"/>
  <c r="D978" i="2"/>
  <c r="C978" i="2"/>
  <c r="B978" i="2"/>
  <c r="A978" i="2"/>
  <c r="D977" i="2"/>
  <c r="C977" i="2"/>
  <c r="B977" i="2"/>
  <c r="A977" i="2"/>
  <c r="D976" i="2"/>
  <c r="C976" i="2"/>
  <c r="B976" i="2"/>
  <c r="A976" i="2"/>
  <c r="D975" i="2"/>
  <c r="C975" i="2"/>
  <c r="B975" i="2"/>
  <c r="A975" i="2"/>
  <c r="D974" i="2"/>
  <c r="C974" i="2"/>
  <c r="B974" i="2"/>
  <c r="A974" i="2"/>
  <c r="D973" i="2"/>
  <c r="C973" i="2"/>
  <c r="B973" i="2"/>
  <c r="A973" i="2"/>
  <c r="D972" i="2"/>
  <c r="C972" i="2"/>
  <c r="B972" i="2"/>
  <c r="A972" i="2"/>
  <c r="D971" i="2"/>
  <c r="C971" i="2"/>
  <c r="B971" i="2"/>
  <c r="A971" i="2"/>
  <c r="D970" i="2"/>
  <c r="C970" i="2"/>
  <c r="B970" i="2"/>
  <c r="A970" i="2"/>
  <c r="D969" i="2"/>
  <c r="C969" i="2"/>
  <c r="B969" i="2"/>
  <c r="A969" i="2"/>
  <c r="D968" i="2"/>
  <c r="C968" i="2"/>
  <c r="B968" i="2"/>
  <c r="A968" i="2"/>
  <c r="D967" i="2"/>
  <c r="C967" i="2"/>
  <c r="B967" i="2"/>
  <c r="A967" i="2"/>
  <c r="D966" i="2"/>
  <c r="C966" i="2"/>
  <c r="B966" i="2"/>
  <c r="A966" i="2"/>
  <c r="D965" i="2"/>
  <c r="C965" i="2"/>
  <c r="B965" i="2"/>
  <c r="A965" i="2"/>
  <c r="D964" i="2"/>
  <c r="C964" i="2"/>
  <c r="B964" i="2"/>
  <c r="A964" i="2"/>
  <c r="D963" i="2"/>
  <c r="C963" i="2"/>
  <c r="B963" i="2"/>
  <c r="A963" i="2"/>
  <c r="D962" i="2"/>
  <c r="C962" i="2"/>
  <c r="B962" i="2"/>
  <c r="A962" i="2"/>
  <c r="D961" i="2"/>
  <c r="C961" i="2"/>
  <c r="B961" i="2"/>
  <c r="A961" i="2"/>
  <c r="D960" i="2"/>
  <c r="C960" i="2"/>
  <c r="B960" i="2"/>
  <c r="A960" i="2"/>
  <c r="D959" i="2"/>
  <c r="C959" i="2"/>
  <c r="B959" i="2"/>
  <c r="A959" i="2"/>
  <c r="D958" i="2"/>
  <c r="C958" i="2"/>
  <c r="B958" i="2"/>
  <c r="A958" i="2"/>
  <c r="D957" i="2"/>
  <c r="C957" i="2"/>
  <c r="B957" i="2"/>
  <c r="A957" i="2"/>
  <c r="D956" i="2"/>
  <c r="C956" i="2"/>
  <c r="B956" i="2"/>
  <c r="A956" i="2"/>
  <c r="D955" i="2"/>
  <c r="C955" i="2"/>
  <c r="B955" i="2"/>
  <c r="A955" i="2"/>
  <c r="D954" i="2"/>
  <c r="C954" i="2"/>
  <c r="B954" i="2"/>
  <c r="A954" i="2"/>
  <c r="D953" i="2"/>
  <c r="C953" i="2"/>
  <c r="B953" i="2"/>
  <c r="A953" i="2"/>
  <c r="D952" i="2"/>
  <c r="C952" i="2"/>
  <c r="B952" i="2"/>
  <c r="A952" i="2"/>
  <c r="D951" i="2"/>
  <c r="C951" i="2"/>
  <c r="B951" i="2"/>
  <c r="A951" i="2"/>
  <c r="D950" i="2"/>
  <c r="C950" i="2"/>
  <c r="B950" i="2"/>
  <c r="A950" i="2"/>
  <c r="D949" i="2"/>
  <c r="C949" i="2"/>
  <c r="B949" i="2"/>
  <c r="A949" i="2"/>
  <c r="D948" i="2"/>
  <c r="C948" i="2"/>
  <c r="B948" i="2"/>
  <c r="A948" i="2"/>
  <c r="D947" i="2"/>
  <c r="C947" i="2"/>
  <c r="B947" i="2"/>
  <c r="A947" i="2"/>
  <c r="D946" i="2"/>
  <c r="C946" i="2"/>
  <c r="B946" i="2"/>
  <c r="A946" i="2"/>
  <c r="D945" i="2"/>
  <c r="C945" i="2"/>
  <c r="B945" i="2"/>
  <c r="A945" i="2"/>
  <c r="D944" i="2"/>
  <c r="C944" i="2"/>
  <c r="B944" i="2"/>
  <c r="A944" i="2"/>
  <c r="D943" i="2"/>
  <c r="C943" i="2"/>
  <c r="B943" i="2"/>
  <c r="A943" i="2"/>
  <c r="D942" i="2"/>
  <c r="C942" i="2"/>
  <c r="B942" i="2"/>
  <c r="A942" i="2"/>
  <c r="D941" i="2"/>
  <c r="C941" i="2"/>
  <c r="B941" i="2"/>
  <c r="A941" i="2"/>
  <c r="D940" i="2"/>
  <c r="C940" i="2"/>
  <c r="B940" i="2"/>
  <c r="A940" i="2"/>
  <c r="D939" i="2"/>
  <c r="C939" i="2"/>
  <c r="B939" i="2"/>
  <c r="A939" i="2"/>
  <c r="D938" i="2"/>
  <c r="C938" i="2"/>
  <c r="B938" i="2"/>
  <c r="A938" i="2"/>
  <c r="D937" i="2"/>
  <c r="C937" i="2"/>
  <c r="B937" i="2"/>
  <c r="A937" i="2"/>
  <c r="D936" i="2"/>
  <c r="C936" i="2"/>
  <c r="B936" i="2"/>
  <c r="A936" i="2"/>
  <c r="D935" i="2"/>
  <c r="C935" i="2"/>
  <c r="B935" i="2"/>
  <c r="A935" i="2"/>
  <c r="D934" i="2"/>
  <c r="C934" i="2"/>
  <c r="B934" i="2"/>
  <c r="A934" i="2"/>
  <c r="D933" i="2"/>
  <c r="C933" i="2"/>
  <c r="B933" i="2"/>
  <c r="A933" i="2"/>
  <c r="D932" i="2"/>
  <c r="C932" i="2"/>
  <c r="B932" i="2"/>
  <c r="A932" i="2"/>
  <c r="D931" i="2"/>
  <c r="C931" i="2"/>
  <c r="B931" i="2"/>
  <c r="A931" i="2"/>
  <c r="D930" i="2"/>
  <c r="C930" i="2"/>
  <c r="B930" i="2"/>
  <c r="A930" i="2"/>
  <c r="D929" i="2"/>
  <c r="C929" i="2"/>
  <c r="B929" i="2"/>
  <c r="A929" i="2"/>
  <c r="D928" i="2"/>
  <c r="C928" i="2"/>
  <c r="B928" i="2"/>
  <c r="A928" i="2"/>
  <c r="D927" i="2"/>
  <c r="C927" i="2"/>
  <c r="B927" i="2"/>
  <c r="A927" i="2"/>
  <c r="D926" i="2"/>
  <c r="C926" i="2"/>
  <c r="B926" i="2"/>
  <c r="A926" i="2"/>
  <c r="D925" i="2"/>
  <c r="C925" i="2"/>
  <c r="B925" i="2"/>
  <c r="A925" i="2"/>
  <c r="D924" i="2"/>
  <c r="C924" i="2"/>
  <c r="B924" i="2"/>
  <c r="A924" i="2"/>
  <c r="D923" i="2"/>
  <c r="C923" i="2"/>
  <c r="B923" i="2"/>
  <c r="A923" i="2"/>
  <c r="D922" i="2"/>
  <c r="C922" i="2"/>
  <c r="B922" i="2"/>
  <c r="A922" i="2"/>
  <c r="D921" i="2"/>
  <c r="C921" i="2"/>
  <c r="B921" i="2"/>
  <c r="A921" i="2"/>
  <c r="D920" i="2"/>
  <c r="C920" i="2"/>
  <c r="B920" i="2"/>
  <c r="A920" i="2"/>
  <c r="D919" i="2"/>
  <c r="C919" i="2"/>
  <c r="B919" i="2"/>
  <c r="A919" i="2"/>
  <c r="D918" i="2"/>
  <c r="C918" i="2"/>
  <c r="B918" i="2"/>
  <c r="A918" i="2"/>
  <c r="D917" i="2"/>
  <c r="C917" i="2"/>
  <c r="B917" i="2"/>
  <c r="A917" i="2"/>
  <c r="D916" i="2"/>
  <c r="C916" i="2"/>
  <c r="B916" i="2"/>
  <c r="A916" i="2"/>
  <c r="D915" i="2"/>
  <c r="C915" i="2"/>
  <c r="B915" i="2"/>
  <c r="A915" i="2"/>
  <c r="D914" i="2"/>
  <c r="C914" i="2"/>
  <c r="B914" i="2"/>
  <c r="A914" i="2"/>
  <c r="D913" i="2"/>
  <c r="C913" i="2"/>
  <c r="B913" i="2"/>
  <c r="A913" i="2"/>
  <c r="D912" i="2"/>
  <c r="C912" i="2"/>
  <c r="B912" i="2"/>
  <c r="A912" i="2"/>
  <c r="D911" i="2"/>
  <c r="C911" i="2"/>
  <c r="B911" i="2"/>
  <c r="A911" i="2"/>
  <c r="D910" i="2"/>
  <c r="C910" i="2"/>
  <c r="B910" i="2"/>
  <c r="A910" i="2"/>
  <c r="D909" i="2"/>
  <c r="C909" i="2"/>
  <c r="B909" i="2"/>
  <c r="A909" i="2"/>
  <c r="D908" i="2"/>
  <c r="C908" i="2"/>
  <c r="B908" i="2"/>
  <c r="A908" i="2"/>
  <c r="D907" i="2"/>
  <c r="C907" i="2"/>
  <c r="B907" i="2"/>
  <c r="A907" i="2"/>
  <c r="D906" i="2"/>
  <c r="C906" i="2"/>
  <c r="B906" i="2"/>
  <c r="A906" i="2"/>
  <c r="D905" i="2"/>
  <c r="C905" i="2"/>
  <c r="B905" i="2"/>
  <c r="A905" i="2"/>
  <c r="D904" i="2"/>
  <c r="C904" i="2"/>
  <c r="B904" i="2"/>
  <c r="A904" i="2"/>
  <c r="D903" i="2"/>
  <c r="C903" i="2"/>
  <c r="B903" i="2"/>
  <c r="A903" i="2"/>
  <c r="D902" i="2"/>
  <c r="C902" i="2"/>
  <c r="B902" i="2"/>
  <c r="A902" i="2"/>
  <c r="D901" i="2"/>
  <c r="C901" i="2"/>
  <c r="B901" i="2"/>
  <c r="A901" i="2"/>
  <c r="D900" i="2"/>
  <c r="C900" i="2"/>
  <c r="B900" i="2"/>
  <c r="A900" i="2"/>
  <c r="D899" i="2"/>
  <c r="C899" i="2"/>
  <c r="B899" i="2"/>
  <c r="A899" i="2"/>
  <c r="D898" i="2"/>
  <c r="C898" i="2"/>
  <c r="B898" i="2"/>
  <c r="A898" i="2"/>
  <c r="D897" i="2"/>
  <c r="C897" i="2"/>
  <c r="B897" i="2"/>
  <c r="A897" i="2"/>
  <c r="D896" i="2"/>
  <c r="C896" i="2"/>
  <c r="B896" i="2"/>
  <c r="A896" i="2"/>
  <c r="D895" i="2"/>
  <c r="C895" i="2"/>
  <c r="B895" i="2"/>
  <c r="A895" i="2"/>
  <c r="D894" i="2"/>
  <c r="C894" i="2"/>
  <c r="B894" i="2"/>
  <c r="A894" i="2"/>
  <c r="D893" i="2"/>
  <c r="C893" i="2"/>
  <c r="B893" i="2"/>
  <c r="A893" i="2"/>
  <c r="D892" i="2"/>
  <c r="C892" i="2"/>
  <c r="B892" i="2"/>
  <c r="A892" i="2"/>
  <c r="D891" i="2"/>
  <c r="C891" i="2"/>
  <c r="B891" i="2"/>
  <c r="A891" i="2"/>
  <c r="D890" i="2"/>
  <c r="C890" i="2"/>
  <c r="B890" i="2"/>
  <c r="A890" i="2"/>
  <c r="D889" i="2"/>
  <c r="C889" i="2"/>
  <c r="B889" i="2"/>
  <c r="A889" i="2"/>
  <c r="D888" i="2"/>
  <c r="C888" i="2"/>
  <c r="B888" i="2"/>
  <c r="A888" i="2"/>
  <c r="D887" i="2"/>
  <c r="C887" i="2"/>
  <c r="B887" i="2"/>
  <c r="A887" i="2"/>
  <c r="D886" i="2"/>
  <c r="C886" i="2"/>
  <c r="B886" i="2"/>
  <c r="A886" i="2"/>
  <c r="D885" i="2"/>
  <c r="C885" i="2"/>
  <c r="B885" i="2"/>
  <c r="A885" i="2"/>
  <c r="D884" i="2"/>
  <c r="C884" i="2"/>
  <c r="B884" i="2"/>
  <c r="A884" i="2"/>
  <c r="D883" i="2"/>
  <c r="C883" i="2"/>
  <c r="B883" i="2"/>
  <c r="A883" i="2"/>
  <c r="D882" i="2"/>
  <c r="C882" i="2"/>
  <c r="B882" i="2"/>
  <c r="A882" i="2"/>
  <c r="D881" i="2"/>
  <c r="C881" i="2"/>
  <c r="B881" i="2"/>
  <c r="A881" i="2"/>
  <c r="D880" i="2"/>
  <c r="C880" i="2"/>
  <c r="B880" i="2"/>
  <c r="A880" i="2"/>
  <c r="D879" i="2"/>
  <c r="C879" i="2"/>
  <c r="B879" i="2"/>
  <c r="A879" i="2"/>
  <c r="D878" i="2"/>
  <c r="C878" i="2"/>
  <c r="B878" i="2"/>
  <c r="A878" i="2"/>
  <c r="D877" i="2"/>
  <c r="C877" i="2"/>
  <c r="B877" i="2"/>
  <c r="A877" i="2"/>
  <c r="D876" i="2"/>
  <c r="C876" i="2"/>
  <c r="B876" i="2"/>
  <c r="A876" i="2"/>
  <c r="D875" i="2"/>
  <c r="C875" i="2"/>
  <c r="B875" i="2"/>
  <c r="A875" i="2"/>
  <c r="D874" i="2"/>
  <c r="C874" i="2"/>
  <c r="B874" i="2"/>
  <c r="A874" i="2"/>
  <c r="D873" i="2"/>
  <c r="C873" i="2"/>
  <c r="B873" i="2"/>
  <c r="A873" i="2"/>
  <c r="D872" i="2"/>
  <c r="C872" i="2"/>
  <c r="B872" i="2"/>
  <c r="A872" i="2"/>
  <c r="D871" i="2"/>
  <c r="C871" i="2"/>
  <c r="B871" i="2"/>
  <c r="A871" i="2"/>
  <c r="D870" i="2"/>
  <c r="C870" i="2"/>
  <c r="B870" i="2"/>
  <c r="A870" i="2"/>
  <c r="D869" i="2"/>
  <c r="C869" i="2"/>
  <c r="B869" i="2"/>
  <c r="A869" i="2"/>
  <c r="D868" i="2"/>
  <c r="C868" i="2"/>
  <c r="B868" i="2"/>
  <c r="A868" i="2"/>
  <c r="D867" i="2"/>
  <c r="C867" i="2"/>
  <c r="B867" i="2"/>
  <c r="A867" i="2"/>
  <c r="D866" i="2"/>
  <c r="C866" i="2"/>
  <c r="B866" i="2"/>
  <c r="A866" i="2"/>
  <c r="D865" i="2"/>
  <c r="C865" i="2"/>
  <c r="B865" i="2"/>
  <c r="A865" i="2"/>
  <c r="D864" i="2"/>
  <c r="C864" i="2"/>
  <c r="B864" i="2"/>
  <c r="A864" i="2"/>
  <c r="D863" i="2"/>
  <c r="C863" i="2"/>
  <c r="B863" i="2"/>
  <c r="A863" i="2"/>
  <c r="D862" i="2"/>
  <c r="C862" i="2"/>
  <c r="B862" i="2"/>
  <c r="A862" i="2"/>
  <c r="D861" i="2"/>
  <c r="C861" i="2"/>
  <c r="B861" i="2"/>
  <c r="A861" i="2"/>
  <c r="D860" i="2"/>
  <c r="C860" i="2"/>
  <c r="B860" i="2"/>
  <c r="A860" i="2"/>
  <c r="D859" i="2"/>
  <c r="C859" i="2"/>
  <c r="B859" i="2"/>
  <c r="A859" i="2"/>
  <c r="D858" i="2"/>
  <c r="C858" i="2"/>
  <c r="B858" i="2"/>
  <c r="A858" i="2"/>
  <c r="D857" i="2"/>
  <c r="C857" i="2"/>
  <c r="B857" i="2"/>
  <c r="A857" i="2"/>
  <c r="D856" i="2"/>
  <c r="C856" i="2"/>
  <c r="B856" i="2"/>
  <c r="A856" i="2"/>
  <c r="D855" i="2"/>
  <c r="C855" i="2"/>
  <c r="B855" i="2"/>
  <c r="A855" i="2"/>
  <c r="D854" i="2"/>
  <c r="C854" i="2"/>
  <c r="B854" i="2"/>
  <c r="A854" i="2"/>
  <c r="D853" i="2"/>
  <c r="C853" i="2"/>
  <c r="B853" i="2"/>
  <c r="A853" i="2"/>
  <c r="D852" i="2"/>
  <c r="C852" i="2"/>
  <c r="B852" i="2"/>
  <c r="A852" i="2"/>
  <c r="D851" i="2"/>
  <c r="C851" i="2"/>
  <c r="B851" i="2"/>
  <c r="A851" i="2"/>
  <c r="D850" i="2"/>
  <c r="C850" i="2"/>
  <c r="B850" i="2"/>
  <c r="A850" i="2"/>
  <c r="D849" i="2"/>
  <c r="C849" i="2"/>
  <c r="B849" i="2"/>
  <c r="A849" i="2"/>
  <c r="D848" i="2"/>
  <c r="C848" i="2"/>
  <c r="B848" i="2"/>
  <c r="A848" i="2"/>
  <c r="D847" i="2"/>
  <c r="C847" i="2"/>
  <c r="B847" i="2"/>
  <c r="A847" i="2"/>
  <c r="D846" i="2"/>
  <c r="C846" i="2"/>
  <c r="B846" i="2"/>
  <c r="A846" i="2"/>
  <c r="D845" i="2"/>
  <c r="C845" i="2"/>
  <c r="B845" i="2"/>
  <c r="A845" i="2"/>
  <c r="D844" i="2"/>
  <c r="C844" i="2"/>
  <c r="B844" i="2"/>
  <c r="A844" i="2"/>
  <c r="D843" i="2"/>
  <c r="C843" i="2"/>
  <c r="B843" i="2"/>
  <c r="A843" i="2"/>
  <c r="D842" i="2"/>
  <c r="C842" i="2"/>
  <c r="B842" i="2"/>
  <c r="A842" i="2"/>
  <c r="D841" i="2"/>
  <c r="C841" i="2"/>
  <c r="B841" i="2"/>
  <c r="A841" i="2"/>
  <c r="D840" i="2"/>
  <c r="C840" i="2"/>
  <c r="B840" i="2"/>
  <c r="A840" i="2"/>
  <c r="D839" i="2"/>
  <c r="C839" i="2"/>
  <c r="B839" i="2"/>
  <c r="A839" i="2"/>
  <c r="D838" i="2"/>
  <c r="C838" i="2"/>
  <c r="B838" i="2"/>
  <c r="A838" i="2"/>
  <c r="D837" i="2"/>
  <c r="C837" i="2"/>
  <c r="B837" i="2"/>
  <c r="A837" i="2"/>
  <c r="D836" i="2"/>
  <c r="C836" i="2"/>
  <c r="B836" i="2"/>
  <c r="A836" i="2"/>
  <c r="D835" i="2"/>
  <c r="C835" i="2"/>
  <c r="B835" i="2"/>
  <c r="A835" i="2"/>
  <c r="D834" i="2"/>
  <c r="C834" i="2"/>
  <c r="B834" i="2"/>
  <c r="A834" i="2"/>
  <c r="D833" i="2"/>
  <c r="C833" i="2"/>
  <c r="B833" i="2"/>
  <c r="A833" i="2"/>
  <c r="D832" i="2"/>
  <c r="C832" i="2"/>
  <c r="B832" i="2"/>
  <c r="A832" i="2"/>
  <c r="D831" i="2"/>
  <c r="C831" i="2"/>
  <c r="B831" i="2"/>
  <c r="A831" i="2"/>
  <c r="D830" i="2"/>
  <c r="C830" i="2"/>
  <c r="B830" i="2"/>
  <c r="A830" i="2"/>
  <c r="D829" i="2"/>
  <c r="C829" i="2"/>
  <c r="B829" i="2"/>
  <c r="A829" i="2"/>
  <c r="D828" i="2"/>
  <c r="C828" i="2"/>
  <c r="B828" i="2"/>
  <c r="A828" i="2"/>
  <c r="D827" i="2"/>
  <c r="C827" i="2"/>
  <c r="B827" i="2"/>
  <c r="A827" i="2"/>
  <c r="D826" i="2"/>
  <c r="C826" i="2"/>
  <c r="B826" i="2"/>
  <c r="A826" i="2"/>
  <c r="D825" i="2"/>
  <c r="C825" i="2"/>
  <c r="B825" i="2"/>
  <c r="A825" i="2"/>
  <c r="D824" i="2"/>
  <c r="C824" i="2"/>
  <c r="B824" i="2"/>
  <c r="A824" i="2"/>
  <c r="D823" i="2"/>
  <c r="C823" i="2"/>
  <c r="B823" i="2"/>
  <c r="A823" i="2"/>
  <c r="D822" i="2"/>
  <c r="C822" i="2"/>
  <c r="B822" i="2"/>
  <c r="A822" i="2"/>
  <c r="D821" i="2"/>
  <c r="C821" i="2"/>
  <c r="B821" i="2"/>
  <c r="A821" i="2"/>
  <c r="D820" i="2"/>
  <c r="C820" i="2"/>
  <c r="B820" i="2"/>
  <c r="A820" i="2"/>
  <c r="D819" i="2"/>
  <c r="C819" i="2"/>
  <c r="B819" i="2"/>
  <c r="A819" i="2"/>
  <c r="D818" i="2"/>
  <c r="C818" i="2"/>
  <c r="B818" i="2"/>
  <c r="A818" i="2"/>
  <c r="D817" i="2"/>
  <c r="C817" i="2"/>
  <c r="B817" i="2"/>
  <c r="A817" i="2"/>
  <c r="D816" i="2"/>
  <c r="C816" i="2"/>
  <c r="B816" i="2"/>
  <c r="A816" i="2"/>
  <c r="D815" i="2"/>
  <c r="C815" i="2"/>
  <c r="B815" i="2"/>
  <c r="A815" i="2"/>
  <c r="D814" i="2"/>
  <c r="C814" i="2"/>
  <c r="B814" i="2"/>
  <c r="A814" i="2"/>
  <c r="D813" i="2"/>
  <c r="C813" i="2"/>
  <c r="B813" i="2"/>
  <c r="A813" i="2"/>
  <c r="D812" i="2"/>
  <c r="C812" i="2"/>
  <c r="B812" i="2"/>
  <c r="A812" i="2"/>
  <c r="D811" i="2"/>
  <c r="C811" i="2"/>
  <c r="B811" i="2"/>
  <c r="A811" i="2"/>
  <c r="D810" i="2"/>
  <c r="C810" i="2"/>
  <c r="B810" i="2"/>
  <c r="A810" i="2"/>
  <c r="D809" i="2"/>
  <c r="C809" i="2"/>
  <c r="B809" i="2"/>
  <c r="A809" i="2"/>
  <c r="D808" i="2"/>
  <c r="C808" i="2"/>
  <c r="B808" i="2"/>
  <c r="A808" i="2"/>
  <c r="D807" i="2"/>
  <c r="C807" i="2"/>
  <c r="B807" i="2"/>
  <c r="A807" i="2"/>
  <c r="D806" i="2"/>
  <c r="C806" i="2"/>
  <c r="B806" i="2"/>
  <c r="A806" i="2"/>
  <c r="D805" i="2"/>
  <c r="C805" i="2"/>
  <c r="B805" i="2"/>
  <c r="A805" i="2"/>
  <c r="D804" i="2"/>
  <c r="C804" i="2"/>
  <c r="B804" i="2"/>
  <c r="A804" i="2"/>
  <c r="D803" i="2"/>
  <c r="C803" i="2"/>
  <c r="B803" i="2"/>
  <c r="A803" i="2"/>
  <c r="D802" i="2"/>
  <c r="C802" i="2"/>
  <c r="B802" i="2"/>
  <c r="A802" i="2"/>
  <c r="D801" i="2"/>
  <c r="C801" i="2"/>
  <c r="B801" i="2"/>
  <c r="A801" i="2"/>
  <c r="D800" i="2"/>
  <c r="C800" i="2"/>
  <c r="B800" i="2"/>
  <c r="A800" i="2"/>
  <c r="D799" i="2"/>
  <c r="C799" i="2"/>
  <c r="B799" i="2"/>
  <c r="A799" i="2"/>
  <c r="D798" i="2"/>
  <c r="C798" i="2"/>
  <c r="B798" i="2"/>
  <c r="A798" i="2"/>
  <c r="D797" i="2"/>
  <c r="C797" i="2"/>
  <c r="B797" i="2"/>
  <c r="A797" i="2"/>
  <c r="D796" i="2"/>
  <c r="C796" i="2"/>
  <c r="B796" i="2"/>
  <c r="A796" i="2"/>
  <c r="D795" i="2"/>
  <c r="C795" i="2"/>
  <c r="B795" i="2"/>
  <c r="A795" i="2"/>
  <c r="D794" i="2"/>
  <c r="C794" i="2"/>
  <c r="B794" i="2"/>
  <c r="A794" i="2"/>
  <c r="D793" i="2"/>
  <c r="C793" i="2"/>
  <c r="B793" i="2"/>
  <c r="A793" i="2"/>
  <c r="D792" i="2"/>
  <c r="C792" i="2"/>
  <c r="B792" i="2"/>
  <c r="A792" i="2"/>
  <c r="D791" i="2"/>
  <c r="C791" i="2"/>
  <c r="B791" i="2"/>
  <c r="A791" i="2"/>
  <c r="D790" i="2"/>
  <c r="C790" i="2"/>
  <c r="B790" i="2"/>
  <c r="A790" i="2"/>
  <c r="D789" i="2"/>
  <c r="C789" i="2"/>
  <c r="B789" i="2"/>
  <c r="A789" i="2"/>
  <c r="D788" i="2"/>
  <c r="C788" i="2"/>
  <c r="B788" i="2"/>
  <c r="A788" i="2"/>
  <c r="D787" i="2"/>
  <c r="C787" i="2"/>
  <c r="B787" i="2"/>
  <c r="A787" i="2"/>
  <c r="D786" i="2"/>
  <c r="C786" i="2"/>
  <c r="B786" i="2"/>
  <c r="A786" i="2"/>
  <c r="D785" i="2"/>
  <c r="C785" i="2"/>
  <c r="B785" i="2"/>
  <c r="A785" i="2"/>
  <c r="D784" i="2"/>
  <c r="C784" i="2"/>
  <c r="B784" i="2"/>
  <c r="A784" i="2"/>
  <c r="D783" i="2"/>
  <c r="C783" i="2"/>
  <c r="B783" i="2"/>
  <c r="A783" i="2"/>
  <c r="D782" i="2"/>
  <c r="C782" i="2"/>
  <c r="B782" i="2"/>
  <c r="A782" i="2"/>
  <c r="D781" i="2"/>
  <c r="C781" i="2"/>
  <c r="B781" i="2"/>
  <c r="A781" i="2"/>
  <c r="D780" i="2"/>
  <c r="C780" i="2"/>
  <c r="B780" i="2"/>
  <c r="A780" i="2"/>
  <c r="D779" i="2"/>
  <c r="C779" i="2"/>
  <c r="B779" i="2"/>
  <c r="A779" i="2"/>
  <c r="D778" i="2"/>
  <c r="C778" i="2"/>
  <c r="B778" i="2"/>
  <c r="A778" i="2"/>
  <c r="D777" i="2"/>
  <c r="C777" i="2"/>
  <c r="B777" i="2"/>
  <c r="A777" i="2"/>
  <c r="D776" i="2"/>
  <c r="C776" i="2"/>
  <c r="B776" i="2"/>
  <c r="A776" i="2"/>
  <c r="D775" i="2"/>
  <c r="C775" i="2"/>
  <c r="B775" i="2"/>
  <c r="A775" i="2"/>
  <c r="D774" i="2"/>
  <c r="C774" i="2"/>
  <c r="B774" i="2"/>
  <c r="A774" i="2"/>
  <c r="D773" i="2"/>
  <c r="C773" i="2"/>
  <c r="B773" i="2"/>
  <c r="A773" i="2"/>
  <c r="D772" i="2"/>
  <c r="C772" i="2"/>
  <c r="B772" i="2"/>
  <c r="A772" i="2"/>
  <c r="D771" i="2"/>
  <c r="C771" i="2"/>
  <c r="B771" i="2"/>
  <c r="A771" i="2"/>
  <c r="D770" i="2"/>
  <c r="C770" i="2"/>
  <c r="B770" i="2"/>
  <c r="A770" i="2"/>
  <c r="D769" i="2"/>
  <c r="C769" i="2"/>
  <c r="B769" i="2"/>
  <c r="A769" i="2"/>
  <c r="D768" i="2"/>
  <c r="C768" i="2"/>
  <c r="B768" i="2"/>
  <c r="A768" i="2"/>
  <c r="D767" i="2"/>
  <c r="C767" i="2"/>
  <c r="B767" i="2"/>
  <c r="A767" i="2"/>
  <c r="D766" i="2"/>
  <c r="C766" i="2"/>
  <c r="B766" i="2"/>
  <c r="A766" i="2"/>
  <c r="D765" i="2"/>
  <c r="C765" i="2"/>
  <c r="B765" i="2"/>
  <c r="A765" i="2"/>
  <c r="D764" i="2"/>
  <c r="C764" i="2"/>
  <c r="B764" i="2"/>
  <c r="A764" i="2"/>
  <c r="D763" i="2"/>
  <c r="C763" i="2"/>
  <c r="B763" i="2"/>
  <c r="A763" i="2"/>
  <c r="D762" i="2"/>
  <c r="C762" i="2"/>
  <c r="B762" i="2"/>
  <c r="A762" i="2"/>
  <c r="D761" i="2"/>
  <c r="C761" i="2"/>
  <c r="B761" i="2"/>
  <c r="A761" i="2"/>
  <c r="D760" i="2"/>
  <c r="C760" i="2"/>
  <c r="B760" i="2"/>
  <c r="A760" i="2"/>
  <c r="D759" i="2"/>
  <c r="C759" i="2"/>
  <c r="B759" i="2"/>
  <c r="A759" i="2"/>
  <c r="D758" i="2"/>
  <c r="C758" i="2"/>
  <c r="B758" i="2"/>
  <c r="A758" i="2"/>
  <c r="D757" i="2"/>
  <c r="C757" i="2"/>
  <c r="B757" i="2"/>
  <c r="A757" i="2"/>
  <c r="D756" i="2"/>
  <c r="C756" i="2"/>
  <c r="B756" i="2"/>
  <c r="A756" i="2"/>
  <c r="D755" i="2"/>
  <c r="C755" i="2"/>
  <c r="B755" i="2"/>
  <c r="A755" i="2"/>
  <c r="D754" i="2"/>
  <c r="C754" i="2"/>
  <c r="B754" i="2"/>
  <c r="A754" i="2"/>
  <c r="D753" i="2"/>
  <c r="C753" i="2"/>
  <c r="B753" i="2"/>
  <c r="A753" i="2"/>
  <c r="D752" i="2"/>
  <c r="C752" i="2"/>
  <c r="B752" i="2"/>
  <c r="A752" i="2"/>
  <c r="D751" i="2"/>
  <c r="C751" i="2"/>
  <c r="B751" i="2"/>
  <c r="A751" i="2"/>
  <c r="D750" i="2"/>
  <c r="C750" i="2"/>
  <c r="B750" i="2"/>
  <c r="A750" i="2"/>
  <c r="D749" i="2"/>
  <c r="C749" i="2"/>
  <c r="B749" i="2"/>
  <c r="A749" i="2"/>
  <c r="D748" i="2"/>
  <c r="C748" i="2"/>
  <c r="B748" i="2"/>
  <c r="A748" i="2"/>
  <c r="D747" i="2"/>
  <c r="C747" i="2"/>
  <c r="B747" i="2"/>
  <c r="A747" i="2"/>
  <c r="D746" i="2"/>
  <c r="C746" i="2"/>
  <c r="B746" i="2"/>
  <c r="A746" i="2"/>
  <c r="D745" i="2"/>
  <c r="C745" i="2"/>
  <c r="B745" i="2"/>
  <c r="A745" i="2"/>
  <c r="D744" i="2"/>
  <c r="C744" i="2"/>
  <c r="B744" i="2"/>
  <c r="A744" i="2"/>
  <c r="D743" i="2"/>
  <c r="C743" i="2"/>
  <c r="B743" i="2"/>
  <c r="A743" i="2"/>
  <c r="D742" i="2"/>
  <c r="C742" i="2"/>
  <c r="B742" i="2"/>
  <c r="A742" i="2"/>
  <c r="D741" i="2"/>
  <c r="C741" i="2"/>
  <c r="B741" i="2"/>
  <c r="A741" i="2"/>
  <c r="D740" i="2"/>
  <c r="C740" i="2"/>
  <c r="B740" i="2"/>
  <c r="A740" i="2"/>
  <c r="D739" i="2"/>
  <c r="C739" i="2"/>
  <c r="B739" i="2"/>
  <c r="A739" i="2"/>
  <c r="D738" i="2"/>
  <c r="C738" i="2"/>
  <c r="B738" i="2"/>
  <c r="A738" i="2"/>
  <c r="D737" i="2"/>
  <c r="C737" i="2"/>
  <c r="B737" i="2"/>
  <c r="A737" i="2"/>
  <c r="D736" i="2"/>
  <c r="C736" i="2"/>
  <c r="B736" i="2"/>
  <c r="A736" i="2"/>
  <c r="D735" i="2"/>
  <c r="C735" i="2"/>
  <c r="B735" i="2"/>
  <c r="A735" i="2"/>
  <c r="D734" i="2"/>
  <c r="C734" i="2"/>
  <c r="B734" i="2"/>
  <c r="A734" i="2"/>
  <c r="D733" i="2"/>
  <c r="C733" i="2"/>
  <c r="B733" i="2"/>
  <c r="A733" i="2"/>
  <c r="D732" i="2"/>
  <c r="C732" i="2"/>
  <c r="B732" i="2"/>
  <c r="A732" i="2"/>
  <c r="D731" i="2"/>
  <c r="C731" i="2"/>
  <c r="B731" i="2"/>
  <c r="A731" i="2"/>
  <c r="D730" i="2"/>
  <c r="C730" i="2"/>
  <c r="B730" i="2"/>
  <c r="A730" i="2"/>
  <c r="D729" i="2"/>
  <c r="C729" i="2"/>
  <c r="B729" i="2"/>
  <c r="A729" i="2"/>
  <c r="D728" i="2"/>
  <c r="C728" i="2"/>
  <c r="B728" i="2"/>
  <c r="A728" i="2"/>
  <c r="D727" i="2"/>
  <c r="C727" i="2"/>
  <c r="B727" i="2"/>
  <c r="A727" i="2"/>
  <c r="D726" i="2"/>
  <c r="C726" i="2"/>
  <c r="B726" i="2"/>
  <c r="A726" i="2"/>
  <c r="D725" i="2"/>
  <c r="C725" i="2"/>
  <c r="B725" i="2"/>
  <c r="A725" i="2"/>
  <c r="D724" i="2"/>
  <c r="C724" i="2"/>
  <c r="B724" i="2"/>
  <c r="A724" i="2"/>
  <c r="D723" i="2"/>
  <c r="C723" i="2"/>
  <c r="B723" i="2"/>
  <c r="A723" i="2"/>
  <c r="D722" i="2"/>
  <c r="C722" i="2"/>
  <c r="B722" i="2"/>
  <c r="A722" i="2"/>
  <c r="D721" i="2"/>
  <c r="C721" i="2"/>
  <c r="B721" i="2"/>
  <c r="A721" i="2"/>
  <c r="D720" i="2"/>
  <c r="C720" i="2"/>
  <c r="B720" i="2"/>
  <c r="A720" i="2"/>
  <c r="D719" i="2"/>
  <c r="C719" i="2"/>
  <c r="B719" i="2"/>
  <c r="A719" i="2"/>
  <c r="D718" i="2"/>
  <c r="C718" i="2"/>
  <c r="B718" i="2"/>
  <c r="A718" i="2"/>
  <c r="D717" i="2"/>
  <c r="C717" i="2"/>
  <c r="B717" i="2"/>
  <c r="A717" i="2"/>
  <c r="D716" i="2"/>
  <c r="C716" i="2"/>
  <c r="B716" i="2"/>
  <c r="A716" i="2"/>
  <c r="D715" i="2"/>
  <c r="C715" i="2"/>
  <c r="B715" i="2"/>
  <c r="A715" i="2"/>
  <c r="D714" i="2"/>
  <c r="C714" i="2"/>
  <c r="B714" i="2"/>
  <c r="A714" i="2"/>
  <c r="D713" i="2"/>
  <c r="C713" i="2"/>
  <c r="B713" i="2"/>
  <c r="A713" i="2"/>
  <c r="D712" i="2"/>
  <c r="C712" i="2"/>
  <c r="B712" i="2"/>
  <c r="A712" i="2"/>
  <c r="D711" i="2"/>
  <c r="C711" i="2"/>
  <c r="B711" i="2"/>
  <c r="A711" i="2"/>
  <c r="D710" i="2"/>
  <c r="C710" i="2"/>
  <c r="B710" i="2"/>
  <c r="A710" i="2"/>
  <c r="D709" i="2"/>
  <c r="C709" i="2"/>
  <c r="B709" i="2"/>
  <c r="A709" i="2"/>
  <c r="D708" i="2"/>
  <c r="C708" i="2"/>
  <c r="B708" i="2"/>
  <c r="A708" i="2"/>
  <c r="D707" i="2"/>
  <c r="C707" i="2"/>
  <c r="B707" i="2"/>
  <c r="A707" i="2"/>
  <c r="D706" i="2"/>
  <c r="C706" i="2"/>
  <c r="B706" i="2"/>
  <c r="A706" i="2"/>
  <c r="D705" i="2"/>
  <c r="C705" i="2"/>
  <c r="B705" i="2"/>
  <c r="A705" i="2"/>
  <c r="D704" i="2"/>
  <c r="C704" i="2"/>
  <c r="B704" i="2"/>
  <c r="A704" i="2"/>
  <c r="D703" i="2"/>
  <c r="C703" i="2"/>
  <c r="B703" i="2"/>
  <c r="A703" i="2"/>
  <c r="D702" i="2"/>
  <c r="C702" i="2"/>
  <c r="B702" i="2"/>
  <c r="A702" i="2"/>
  <c r="D701" i="2"/>
  <c r="C701" i="2"/>
  <c r="B701" i="2"/>
  <c r="A701" i="2"/>
  <c r="D700" i="2"/>
  <c r="C700" i="2"/>
  <c r="B700" i="2"/>
  <c r="A700" i="2"/>
  <c r="D699" i="2"/>
  <c r="C699" i="2"/>
  <c r="B699" i="2"/>
  <c r="A699" i="2"/>
  <c r="D698" i="2"/>
  <c r="C698" i="2"/>
  <c r="B698" i="2"/>
  <c r="A698" i="2"/>
  <c r="D697" i="2"/>
  <c r="C697" i="2"/>
  <c r="B697" i="2"/>
  <c r="A697" i="2"/>
  <c r="D696" i="2"/>
  <c r="C696" i="2"/>
  <c r="B696" i="2"/>
  <c r="A696" i="2"/>
  <c r="D695" i="2"/>
  <c r="C695" i="2"/>
  <c r="B695" i="2"/>
  <c r="A695" i="2"/>
  <c r="D694" i="2"/>
  <c r="C694" i="2"/>
  <c r="B694" i="2"/>
  <c r="A694" i="2"/>
  <c r="D693" i="2"/>
  <c r="C693" i="2"/>
  <c r="B693" i="2"/>
  <c r="A693" i="2"/>
  <c r="D692" i="2"/>
  <c r="C692" i="2"/>
  <c r="B692" i="2"/>
  <c r="A692" i="2"/>
  <c r="D691" i="2"/>
  <c r="C691" i="2"/>
  <c r="B691" i="2"/>
  <c r="A691" i="2"/>
  <c r="D690" i="2"/>
  <c r="C690" i="2"/>
  <c r="B690" i="2"/>
  <c r="A690" i="2"/>
  <c r="D689" i="2"/>
  <c r="C689" i="2"/>
  <c r="B689" i="2"/>
  <c r="A689" i="2"/>
  <c r="D688" i="2"/>
  <c r="C688" i="2"/>
  <c r="B688" i="2"/>
  <c r="A688" i="2"/>
  <c r="D687" i="2"/>
  <c r="C687" i="2"/>
  <c r="B687" i="2"/>
  <c r="A687" i="2"/>
  <c r="D686" i="2"/>
  <c r="C686" i="2"/>
  <c r="B686" i="2"/>
  <c r="A686" i="2"/>
  <c r="D685" i="2"/>
  <c r="C685" i="2"/>
  <c r="B685" i="2"/>
  <c r="A685" i="2"/>
  <c r="D684" i="2"/>
  <c r="C684" i="2"/>
  <c r="B684" i="2"/>
  <c r="A684" i="2"/>
  <c r="D683" i="2"/>
  <c r="C683" i="2"/>
  <c r="B683" i="2"/>
  <c r="A683" i="2"/>
  <c r="D682" i="2"/>
  <c r="C682" i="2"/>
  <c r="B682" i="2"/>
  <c r="A682" i="2"/>
  <c r="D681" i="2"/>
  <c r="C681" i="2"/>
  <c r="B681" i="2"/>
  <c r="A681" i="2"/>
  <c r="D680" i="2"/>
  <c r="C680" i="2"/>
  <c r="B680" i="2"/>
  <c r="A680" i="2"/>
  <c r="D679" i="2"/>
  <c r="C679" i="2"/>
  <c r="B679" i="2"/>
  <c r="A679" i="2"/>
  <c r="D678" i="2"/>
  <c r="C678" i="2"/>
  <c r="B678" i="2"/>
  <c r="A678" i="2"/>
  <c r="D677" i="2"/>
  <c r="C677" i="2"/>
  <c r="B677" i="2"/>
  <c r="A677" i="2"/>
  <c r="D676" i="2"/>
  <c r="C676" i="2"/>
  <c r="B676" i="2"/>
  <c r="A676" i="2"/>
  <c r="D675" i="2"/>
  <c r="C675" i="2"/>
  <c r="B675" i="2"/>
  <c r="A675" i="2"/>
  <c r="D674" i="2"/>
  <c r="C674" i="2"/>
  <c r="B674" i="2"/>
  <c r="A674" i="2"/>
  <c r="D673" i="2"/>
  <c r="C673" i="2"/>
  <c r="B673" i="2"/>
  <c r="A673" i="2"/>
  <c r="D672" i="2"/>
  <c r="C672" i="2"/>
  <c r="B672" i="2"/>
  <c r="A672" i="2"/>
  <c r="D671" i="2"/>
  <c r="C671" i="2"/>
  <c r="B671" i="2"/>
  <c r="A671" i="2"/>
  <c r="D670" i="2"/>
  <c r="C670" i="2"/>
  <c r="B670" i="2"/>
  <c r="A670" i="2"/>
  <c r="D669" i="2"/>
  <c r="C669" i="2"/>
  <c r="B669" i="2"/>
  <c r="A669" i="2"/>
  <c r="D668" i="2"/>
  <c r="C668" i="2"/>
  <c r="B668" i="2"/>
  <c r="A668" i="2"/>
  <c r="D667" i="2"/>
  <c r="C667" i="2"/>
  <c r="B667" i="2"/>
  <c r="A667" i="2"/>
  <c r="D666" i="2"/>
  <c r="C666" i="2"/>
  <c r="B666" i="2"/>
  <c r="A666" i="2"/>
  <c r="D665" i="2"/>
  <c r="C665" i="2"/>
  <c r="B665" i="2"/>
  <c r="A665" i="2"/>
  <c r="D664" i="2"/>
  <c r="C664" i="2"/>
  <c r="B664" i="2"/>
  <c r="A664" i="2"/>
  <c r="D663" i="2"/>
  <c r="C663" i="2"/>
  <c r="B663" i="2"/>
  <c r="A663" i="2"/>
  <c r="D662" i="2"/>
  <c r="C662" i="2"/>
  <c r="B662" i="2"/>
  <c r="A662" i="2"/>
  <c r="D661" i="2"/>
  <c r="C661" i="2"/>
  <c r="B661" i="2"/>
  <c r="A661" i="2"/>
  <c r="D660" i="2"/>
  <c r="C660" i="2"/>
  <c r="B660" i="2"/>
  <c r="A660" i="2"/>
  <c r="D659" i="2"/>
  <c r="C659" i="2"/>
  <c r="B659" i="2"/>
  <c r="A659" i="2"/>
  <c r="D658" i="2"/>
  <c r="C658" i="2"/>
  <c r="B658" i="2"/>
  <c r="A658" i="2"/>
  <c r="D657" i="2"/>
  <c r="C657" i="2"/>
  <c r="B657" i="2"/>
  <c r="A657" i="2"/>
  <c r="D656" i="2"/>
  <c r="C656" i="2"/>
  <c r="B656" i="2"/>
  <c r="A656" i="2"/>
  <c r="D655" i="2"/>
  <c r="C655" i="2"/>
  <c r="B655" i="2"/>
  <c r="A655" i="2"/>
  <c r="D654" i="2"/>
  <c r="C654" i="2"/>
  <c r="B654" i="2"/>
  <c r="A654" i="2"/>
  <c r="D653" i="2"/>
  <c r="C653" i="2"/>
  <c r="B653" i="2"/>
  <c r="A653" i="2"/>
  <c r="D652" i="2"/>
  <c r="C652" i="2"/>
  <c r="B652" i="2"/>
  <c r="A652" i="2"/>
  <c r="D651" i="2"/>
  <c r="C651" i="2"/>
  <c r="B651" i="2"/>
  <c r="A651" i="2"/>
  <c r="D650" i="2"/>
  <c r="C650" i="2"/>
  <c r="B650" i="2"/>
  <c r="A650" i="2"/>
  <c r="D649" i="2"/>
  <c r="C649" i="2"/>
  <c r="B649" i="2"/>
  <c r="A649" i="2"/>
  <c r="D648" i="2"/>
  <c r="C648" i="2"/>
  <c r="B648" i="2"/>
  <c r="A648" i="2"/>
  <c r="D647" i="2"/>
  <c r="C647" i="2"/>
  <c r="B647" i="2"/>
  <c r="A647" i="2"/>
  <c r="D646" i="2"/>
  <c r="C646" i="2"/>
  <c r="B646" i="2"/>
  <c r="A646" i="2"/>
  <c r="D645" i="2"/>
  <c r="C645" i="2"/>
  <c r="B645" i="2"/>
  <c r="A645" i="2"/>
  <c r="D644" i="2"/>
  <c r="C644" i="2"/>
  <c r="B644" i="2"/>
  <c r="A644" i="2"/>
  <c r="D643" i="2"/>
  <c r="C643" i="2"/>
  <c r="B643" i="2"/>
  <c r="A643" i="2"/>
  <c r="D642" i="2"/>
  <c r="C642" i="2"/>
  <c r="B642" i="2"/>
  <c r="A642" i="2"/>
  <c r="D641" i="2"/>
  <c r="C641" i="2"/>
  <c r="B641" i="2"/>
  <c r="A641" i="2"/>
  <c r="D640" i="2"/>
  <c r="C640" i="2"/>
  <c r="B640" i="2"/>
  <c r="A640" i="2"/>
  <c r="D639" i="2"/>
  <c r="C639" i="2"/>
  <c r="B639" i="2"/>
  <c r="A639" i="2"/>
  <c r="D638" i="2"/>
  <c r="C638" i="2"/>
  <c r="B638" i="2"/>
  <c r="A638" i="2"/>
  <c r="D637" i="2"/>
  <c r="C637" i="2"/>
  <c r="B637" i="2"/>
  <c r="A637" i="2"/>
  <c r="D636" i="2"/>
  <c r="C636" i="2"/>
  <c r="B636" i="2"/>
  <c r="A636" i="2"/>
  <c r="D635" i="2"/>
  <c r="C635" i="2"/>
  <c r="B635" i="2"/>
  <c r="A635" i="2"/>
  <c r="D634" i="2"/>
  <c r="C634" i="2"/>
  <c r="B634" i="2"/>
  <c r="A634" i="2"/>
  <c r="D633" i="2"/>
  <c r="C633" i="2"/>
  <c r="B633" i="2"/>
  <c r="A633" i="2"/>
  <c r="D632" i="2"/>
  <c r="C632" i="2"/>
  <c r="B632" i="2"/>
  <c r="A632" i="2"/>
  <c r="D631" i="2"/>
  <c r="C631" i="2"/>
  <c r="B631" i="2"/>
  <c r="A631" i="2"/>
  <c r="D630" i="2"/>
  <c r="C630" i="2"/>
  <c r="B630" i="2"/>
  <c r="A630" i="2"/>
  <c r="D629" i="2"/>
  <c r="C629" i="2"/>
  <c r="B629" i="2"/>
  <c r="A629" i="2"/>
  <c r="D628" i="2"/>
  <c r="C628" i="2"/>
  <c r="B628" i="2"/>
  <c r="A628" i="2"/>
  <c r="D627" i="2"/>
  <c r="C627" i="2"/>
  <c r="B627" i="2"/>
  <c r="A627" i="2"/>
  <c r="D626" i="2"/>
  <c r="C626" i="2"/>
  <c r="B626" i="2"/>
  <c r="A626" i="2"/>
  <c r="D625" i="2"/>
  <c r="C625" i="2"/>
  <c r="B625" i="2"/>
  <c r="A625" i="2"/>
  <c r="D624" i="2"/>
  <c r="C624" i="2"/>
  <c r="B624" i="2"/>
  <c r="A624" i="2"/>
  <c r="D623" i="2"/>
  <c r="C623" i="2"/>
  <c r="B623" i="2"/>
  <c r="A623" i="2"/>
  <c r="D622" i="2"/>
  <c r="C622" i="2"/>
  <c r="B622" i="2"/>
  <c r="A622" i="2"/>
  <c r="D621" i="2"/>
  <c r="C621" i="2"/>
  <c r="B621" i="2"/>
  <c r="A621" i="2"/>
  <c r="D620" i="2"/>
  <c r="C620" i="2"/>
  <c r="B620" i="2"/>
  <c r="A620" i="2"/>
  <c r="D619" i="2"/>
  <c r="C619" i="2"/>
  <c r="B619" i="2"/>
  <c r="A619" i="2"/>
  <c r="D618" i="2"/>
  <c r="C618" i="2"/>
  <c r="B618" i="2"/>
  <c r="A618" i="2"/>
  <c r="D617" i="2"/>
  <c r="C617" i="2"/>
  <c r="B617" i="2"/>
  <c r="A617" i="2"/>
  <c r="D616" i="2"/>
  <c r="C616" i="2"/>
  <c r="B616" i="2"/>
  <c r="A616" i="2"/>
  <c r="D615" i="2"/>
  <c r="C615" i="2"/>
  <c r="B615" i="2"/>
  <c r="A615" i="2"/>
  <c r="D614" i="2"/>
  <c r="C614" i="2"/>
  <c r="B614" i="2"/>
  <c r="A614" i="2"/>
  <c r="D613" i="2"/>
  <c r="C613" i="2"/>
  <c r="B613" i="2"/>
  <c r="A613" i="2"/>
  <c r="D612" i="2"/>
  <c r="C612" i="2"/>
  <c r="B612" i="2"/>
  <c r="A612" i="2"/>
  <c r="D611" i="2"/>
  <c r="C611" i="2"/>
  <c r="B611" i="2"/>
  <c r="A611" i="2"/>
  <c r="D610" i="2"/>
  <c r="C610" i="2"/>
  <c r="B610" i="2"/>
  <c r="A610" i="2"/>
  <c r="D609" i="2"/>
  <c r="C609" i="2"/>
  <c r="B609" i="2"/>
  <c r="A609" i="2"/>
  <c r="D608" i="2"/>
  <c r="C608" i="2"/>
  <c r="B608" i="2"/>
  <c r="A608" i="2"/>
  <c r="D607" i="2"/>
  <c r="C607" i="2"/>
  <c r="B607" i="2"/>
  <c r="A607" i="2"/>
  <c r="D606" i="2"/>
  <c r="C606" i="2"/>
  <c r="B606" i="2"/>
  <c r="A606" i="2"/>
  <c r="D605" i="2"/>
  <c r="C605" i="2"/>
  <c r="B605" i="2"/>
  <c r="A605" i="2"/>
  <c r="D604" i="2"/>
  <c r="C604" i="2"/>
  <c r="B604" i="2"/>
  <c r="A604" i="2"/>
  <c r="D603" i="2"/>
  <c r="C603" i="2"/>
  <c r="B603" i="2"/>
  <c r="A603" i="2"/>
  <c r="D602" i="2"/>
  <c r="C602" i="2"/>
  <c r="B602" i="2"/>
  <c r="A602" i="2"/>
  <c r="D601" i="2"/>
  <c r="C601" i="2"/>
  <c r="B601" i="2"/>
  <c r="A601" i="2"/>
  <c r="D600" i="2"/>
  <c r="C600" i="2"/>
  <c r="B600" i="2"/>
  <c r="A600" i="2"/>
  <c r="D599" i="2"/>
  <c r="C599" i="2"/>
  <c r="B599" i="2"/>
  <c r="A599" i="2"/>
  <c r="D598" i="2"/>
  <c r="C598" i="2"/>
  <c r="B598" i="2"/>
  <c r="A598" i="2"/>
  <c r="D597" i="2"/>
  <c r="C597" i="2"/>
  <c r="B597" i="2"/>
  <c r="A597" i="2"/>
  <c r="D596" i="2"/>
  <c r="C596" i="2"/>
  <c r="B596" i="2"/>
  <c r="A596" i="2"/>
  <c r="D595" i="2"/>
  <c r="C595" i="2"/>
  <c r="B595" i="2"/>
  <c r="A595" i="2"/>
  <c r="D594" i="2"/>
  <c r="C594" i="2"/>
  <c r="B594" i="2"/>
  <c r="A594" i="2"/>
  <c r="D593" i="2"/>
  <c r="C593" i="2"/>
  <c r="B593" i="2"/>
  <c r="A593" i="2"/>
  <c r="D592" i="2"/>
  <c r="C592" i="2"/>
  <c r="B592" i="2"/>
  <c r="A592" i="2"/>
  <c r="D591" i="2"/>
  <c r="C591" i="2"/>
  <c r="B591" i="2"/>
  <c r="A591" i="2"/>
  <c r="D590" i="2"/>
  <c r="C590" i="2"/>
  <c r="B590" i="2"/>
  <c r="A590" i="2"/>
  <c r="D589" i="2"/>
  <c r="C589" i="2"/>
  <c r="B589" i="2"/>
  <c r="A589" i="2"/>
  <c r="D588" i="2"/>
  <c r="C588" i="2"/>
  <c r="B588" i="2"/>
  <c r="A588" i="2"/>
  <c r="D587" i="2"/>
  <c r="C587" i="2"/>
  <c r="B587" i="2"/>
  <c r="A587" i="2"/>
  <c r="D586" i="2"/>
  <c r="C586" i="2"/>
  <c r="B586" i="2"/>
  <c r="A586" i="2"/>
  <c r="D585" i="2"/>
  <c r="C585" i="2"/>
  <c r="B585" i="2"/>
  <c r="A585" i="2"/>
  <c r="D584" i="2"/>
  <c r="C584" i="2"/>
  <c r="B584" i="2"/>
  <c r="A584" i="2"/>
  <c r="D583" i="2"/>
  <c r="C583" i="2"/>
  <c r="B583" i="2"/>
  <c r="A583" i="2"/>
  <c r="D582" i="2"/>
  <c r="C582" i="2"/>
  <c r="B582" i="2"/>
  <c r="A582" i="2"/>
  <c r="D581" i="2"/>
  <c r="C581" i="2"/>
  <c r="B581" i="2"/>
  <c r="A581" i="2"/>
  <c r="D580" i="2"/>
  <c r="C580" i="2"/>
  <c r="B580" i="2"/>
  <c r="A580" i="2"/>
  <c r="D579" i="2"/>
  <c r="C579" i="2"/>
  <c r="B579" i="2"/>
  <c r="A579" i="2"/>
  <c r="D578" i="2"/>
  <c r="C578" i="2"/>
  <c r="B578" i="2"/>
  <c r="A578" i="2"/>
  <c r="D577" i="2"/>
  <c r="C577" i="2"/>
  <c r="B577" i="2"/>
  <c r="A577" i="2"/>
  <c r="D576" i="2"/>
  <c r="C576" i="2"/>
  <c r="B576" i="2"/>
  <c r="A576" i="2"/>
  <c r="D575" i="2"/>
  <c r="C575" i="2"/>
  <c r="B575" i="2"/>
  <c r="A575" i="2"/>
  <c r="D574" i="2"/>
  <c r="C574" i="2"/>
  <c r="B574" i="2"/>
  <c r="A574" i="2"/>
  <c r="D573" i="2"/>
  <c r="C573" i="2"/>
  <c r="B573" i="2"/>
  <c r="A573" i="2"/>
  <c r="D572" i="2"/>
  <c r="C572" i="2"/>
  <c r="B572" i="2"/>
  <c r="A572" i="2"/>
  <c r="D571" i="2"/>
  <c r="C571" i="2"/>
  <c r="B571" i="2"/>
  <c r="A571" i="2"/>
  <c r="D570" i="2"/>
  <c r="C570" i="2"/>
  <c r="B570" i="2"/>
  <c r="A570" i="2"/>
  <c r="D569" i="2"/>
  <c r="C569" i="2"/>
  <c r="B569" i="2"/>
  <c r="A569" i="2"/>
  <c r="D568" i="2"/>
  <c r="C568" i="2"/>
  <c r="B568" i="2"/>
  <c r="A568" i="2"/>
  <c r="D567" i="2"/>
  <c r="C567" i="2"/>
  <c r="B567" i="2"/>
  <c r="A567" i="2"/>
  <c r="D566" i="2"/>
  <c r="C566" i="2"/>
  <c r="B566" i="2"/>
  <c r="A566" i="2"/>
  <c r="D565" i="2"/>
  <c r="C565" i="2"/>
  <c r="B565" i="2"/>
  <c r="A565" i="2"/>
  <c r="D564" i="2"/>
  <c r="C564" i="2"/>
  <c r="B564" i="2"/>
  <c r="A564" i="2"/>
  <c r="D563" i="2"/>
  <c r="C563" i="2"/>
  <c r="B563" i="2"/>
  <c r="A563" i="2"/>
  <c r="D562" i="2"/>
  <c r="C562" i="2"/>
  <c r="B562" i="2"/>
  <c r="A562" i="2"/>
  <c r="D561" i="2"/>
  <c r="C561" i="2"/>
  <c r="B561" i="2"/>
  <c r="A561" i="2"/>
  <c r="D560" i="2"/>
  <c r="C560" i="2"/>
  <c r="B560" i="2"/>
  <c r="A560" i="2"/>
  <c r="D559" i="2"/>
  <c r="C559" i="2"/>
  <c r="B559" i="2"/>
  <c r="A559" i="2"/>
  <c r="D558" i="2"/>
  <c r="C558" i="2"/>
  <c r="B558" i="2"/>
  <c r="A558" i="2"/>
  <c r="D557" i="2"/>
  <c r="C557" i="2"/>
  <c r="B557" i="2"/>
  <c r="A557" i="2"/>
  <c r="D556" i="2"/>
  <c r="C556" i="2"/>
  <c r="B556" i="2"/>
  <c r="A556" i="2"/>
  <c r="D555" i="2"/>
  <c r="C555" i="2"/>
  <c r="B555" i="2"/>
  <c r="A555" i="2"/>
  <c r="D554" i="2"/>
  <c r="C554" i="2"/>
  <c r="B554" i="2"/>
  <c r="A554" i="2"/>
  <c r="D553" i="2"/>
  <c r="C553" i="2"/>
  <c r="B553" i="2"/>
  <c r="A553" i="2"/>
  <c r="D552" i="2"/>
  <c r="C552" i="2"/>
  <c r="B552" i="2"/>
  <c r="A552" i="2"/>
  <c r="D551" i="2"/>
  <c r="C551" i="2"/>
  <c r="B551" i="2"/>
  <c r="A551" i="2"/>
  <c r="D550" i="2"/>
  <c r="C550" i="2"/>
  <c r="B550" i="2"/>
  <c r="A550" i="2"/>
  <c r="D549" i="2"/>
  <c r="C549" i="2"/>
  <c r="B549" i="2"/>
  <c r="A549" i="2"/>
  <c r="D548" i="2"/>
  <c r="C548" i="2"/>
  <c r="B548" i="2"/>
  <c r="A548" i="2"/>
  <c r="D547" i="2"/>
  <c r="C547" i="2"/>
  <c r="B547" i="2"/>
  <c r="A547" i="2"/>
  <c r="D546" i="2"/>
  <c r="C546" i="2"/>
  <c r="B546" i="2"/>
  <c r="A546" i="2"/>
  <c r="D545" i="2"/>
  <c r="C545" i="2"/>
  <c r="B545" i="2"/>
  <c r="A545" i="2"/>
  <c r="D544" i="2"/>
  <c r="C544" i="2"/>
  <c r="B544" i="2"/>
  <c r="A544" i="2"/>
  <c r="D543" i="2"/>
  <c r="C543" i="2"/>
  <c r="B543" i="2"/>
  <c r="A543" i="2"/>
  <c r="D542" i="2"/>
  <c r="C542" i="2"/>
  <c r="B542" i="2"/>
  <c r="A542" i="2"/>
  <c r="D541" i="2"/>
  <c r="C541" i="2"/>
  <c r="B541" i="2"/>
  <c r="A541" i="2"/>
  <c r="D540" i="2"/>
  <c r="C540" i="2"/>
  <c r="B540" i="2"/>
  <c r="A540" i="2"/>
  <c r="D539" i="2"/>
  <c r="C539" i="2"/>
  <c r="B539" i="2"/>
  <c r="A539" i="2"/>
  <c r="D538" i="2"/>
  <c r="C538" i="2"/>
  <c r="B538" i="2"/>
  <c r="A538" i="2"/>
  <c r="D537" i="2"/>
  <c r="C537" i="2"/>
  <c r="B537" i="2"/>
  <c r="A537" i="2"/>
  <c r="D536" i="2"/>
  <c r="C536" i="2"/>
  <c r="B536" i="2"/>
  <c r="A536" i="2"/>
  <c r="D535" i="2"/>
  <c r="C535" i="2"/>
  <c r="B535" i="2"/>
  <c r="A535" i="2"/>
  <c r="D534" i="2"/>
  <c r="C534" i="2"/>
  <c r="B534" i="2"/>
  <c r="A534" i="2"/>
  <c r="D533" i="2"/>
  <c r="C533" i="2"/>
  <c r="B533" i="2"/>
  <c r="A533" i="2"/>
  <c r="D532" i="2"/>
  <c r="C532" i="2"/>
  <c r="B532" i="2"/>
  <c r="A532" i="2"/>
  <c r="D531" i="2"/>
  <c r="C531" i="2"/>
  <c r="B531" i="2"/>
  <c r="A531" i="2"/>
  <c r="D530" i="2"/>
  <c r="C530" i="2"/>
  <c r="B530" i="2"/>
  <c r="A530" i="2"/>
  <c r="D529" i="2"/>
  <c r="C529" i="2"/>
  <c r="B529" i="2"/>
  <c r="A529" i="2"/>
  <c r="D528" i="2"/>
  <c r="C528" i="2"/>
  <c r="B528" i="2"/>
  <c r="A528" i="2"/>
  <c r="D527" i="2"/>
  <c r="C527" i="2"/>
  <c r="B527" i="2"/>
  <c r="A527" i="2"/>
  <c r="D526" i="2"/>
  <c r="C526" i="2"/>
  <c r="B526" i="2"/>
  <c r="A526" i="2"/>
  <c r="D525" i="2"/>
  <c r="C525" i="2"/>
  <c r="B525" i="2"/>
  <c r="A525" i="2"/>
  <c r="D524" i="2"/>
  <c r="C524" i="2"/>
  <c r="B524" i="2"/>
  <c r="A524" i="2"/>
  <c r="D523" i="2"/>
  <c r="C523" i="2"/>
  <c r="B523" i="2"/>
  <c r="A523" i="2"/>
  <c r="D522" i="2"/>
  <c r="C522" i="2"/>
  <c r="B522" i="2"/>
  <c r="A522" i="2"/>
  <c r="D521" i="2"/>
  <c r="C521" i="2"/>
  <c r="B521" i="2"/>
  <c r="A521" i="2"/>
  <c r="D520" i="2"/>
  <c r="C520" i="2"/>
  <c r="B520" i="2"/>
  <c r="A520" i="2"/>
  <c r="D519" i="2"/>
  <c r="C519" i="2"/>
  <c r="B519" i="2"/>
  <c r="A519" i="2"/>
  <c r="D518" i="2"/>
  <c r="C518" i="2"/>
  <c r="B518" i="2"/>
  <c r="A518" i="2"/>
  <c r="D517" i="2"/>
  <c r="C517" i="2"/>
  <c r="B517" i="2"/>
  <c r="A517" i="2"/>
  <c r="D516" i="2"/>
  <c r="C516" i="2"/>
  <c r="B516" i="2"/>
  <c r="A516" i="2"/>
  <c r="D515" i="2"/>
  <c r="C515" i="2"/>
  <c r="B515" i="2"/>
  <c r="A515" i="2"/>
  <c r="D514" i="2"/>
  <c r="C514" i="2"/>
  <c r="B514" i="2"/>
  <c r="A514" i="2"/>
  <c r="D513" i="2"/>
  <c r="C513" i="2"/>
  <c r="B513" i="2"/>
  <c r="A513" i="2"/>
  <c r="D512" i="2"/>
  <c r="C512" i="2"/>
  <c r="B512" i="2"/>
  <c r="A512" i="2"/>
  <c r="D511" i="2"/>
  <c r="C511" i="2"/>
  <c r="B511" i="2"/>
  <c r="A511" i="2"/>
  <c r="D510" i="2"/>
  <c r="C510" i="2"/>
  <c r="B510" i="2"/>
  <c r="A510" i="2"/>
  <c r="D509" i="2"/>
  <c r="C509" i="2"/>
  <c r="B509" i="2"/>
  <c r="A509" i="2"/>
  <c r="D508" i="2"/>
  <c r="C508" i="2"/>
  <c r="B508" i="2"/>
  <c r="A508" i="2"/>
  <c r="D507" i="2"/>
  <c r="C507" i="2"/>
  <c r="B507" i="2"/>
  <c r="A507" i="2"/>
  <c r="D506" i="2"/>
  <c r="C506" i="2"/>
  <c r="B506" i="2"/>
  <c r="A506" i="2"/>
  <c r="D505" i="2"/>
  <c r="C505" i="2"/>
  <c r="B505" i="2"/>
  <c r="A505" i="2"/>
  <c r="D504" i="2"/>
  <c r="C504" i="2"/>
  <c r="B504" i="2"/>
  <c r="A504" i="2"/>
  <c r="D503" i="2"/>
  <c r="C503" i="2"/>
  <c r="B503" i="2"/>
  <c r="A503" i="2"/>
  <c r="D502" i="2"/>
  <c r="C502" i="2"/>
  <c r="B502" i="2"/>
  <c r="A502" i="2"/>
  <c r="D501" i="2"/>
  <c r="C501" i="2"/>
  <c r="B501" i="2"/>
  <c r="A501" i="2"/>
  <c r="D500" i="2"/>
  <c r="C500" i="2"/>
  <c r="B500" i="2"/>
  <c r="A500" i="2"/>
  <c r="D499" i="2"/>
  <c r="C499" i="2"/>
  <c r="B499" i="2"/>
  <c r="A499" i="2"/>
  <c r="D498" i="2"/>
  <c r="C498" i="2"/>
  <c r="B498" i="2"/>
  <c r="A498" i="2"/>
  <c r="D497" i="2"/>
  <c r="C497" i="2"/>
  <c r="B497" i="2"/>
  <c r="A497" i="2"/>
  <c r="D496" i="2"/>
  <c r="C496" i="2"/>
  <c r="B496" i="2"/>
  <c r="A496" i="2"/>
  <c r="D495" i="2"/>
  <c r="C495" i="2"/>
  <c r="B495" i="2"/>
  <c r="A495" i="2"/>
  <c r="D494" i="2"/>
  <c r="C494" i="2"/>
  <c r="B494" i="2"/>
  <c r="A494" i="2"/>
  <c r="D493" i="2"/>
  <c r="C493" i="2"/>
  <c r="B493" i="2"/>
  <c r="A493" i="2"/>
  <c r="D492" i="2"/>
  <c r="C492" i="2"/>
  <c r="B492" i="2"/>
  <c r="A492" i="2"/>
  <c r="D491" i="2"/>
  <c r="C491" i="2"/>
  <c r="B491" i="2"/>
  <c r="A491" i="2"/>
  <c r="D490" i="2"/>
  <c r="C490" i="2"/>
  <c r="B490" i="2"/>
  <c r="A490" i="2"/>
  <c r="D489" i="2"/>
  <c r="C489" i="2"/>
  <c r="B489" i="2"/>
  <c r="A489" i="2"/>
  <c r="D488" i="2"/>
  <c r="C488" i="2"/>
  <c r="B488" i="2"/>
  <c r="A488" i="2"/>
  <c r="D487" i="2"/>
  <c r="C487" i="2"/>
  <c r="B487" i="2"/>
  <c r="A487" i="2"/>
  <c r="D486" i="2"/>
  <c r="C486" i="2"/>
  <c r="B486" i="2"/>
  <c r="A486" i="2"/>
  <c r="D485" i="2"/>
  <c r="C485" i="2"/>
  <c r="B485" i="2"/>
  <c r="A485" i="2"/>
  <c r="D484" i="2"/>
  <c r="C484" i="2"/>
  <c r="B484" i="2"/>
  <c r="A484" i="2"/>
  <c r="D483" i="2"/>
  <c r="C483" i="2"/>
  <c r="B483" i="2"/>
  <c r="A483" i="2"/>
  <c r="D482" i="2"/>
  <c r="C482" i="2"/>
  <c r="B482" i="2"/>
  <c r="A482" i="2"/>
  <c r="D481" i="2"/>
  <c r="C481" i="2"/>
  <c r="B481" i="2"/>
  <c r="A481" i="2"/>
  <c r="D480" i="2"/>
  <c r="C480" i="2"/>
  <c r="B480" i="2"/>
  <c r="A480" i="2"/>
  <c r="D479" i="2"/>
  <c r="C479" i="2"/>
  <c r="B479" i="2"/>
  <c r="A479" i="2"/>
  <c r="D478" i="2"/>
  <c r="C478" i="2"/>
  <c r="B478" i="2"/>
  <c r="A478" i="2"/>
  <c r="D477" i="2"/>
  <c r="C477" i="2"/>
  <c r="B477" i="2"/>
  <c r="A477" i="2"/>
  <c r="D476" i="2"/>
  <c r="C476" i="2"/>
  <c r="B476" i="2"/>
  <c r="A476" i="2"/>
  <c r="D475" i="2"/>
  <c r="C475" i="2"/>
  <c r="B475" i="2"/>
  <c r="A475" i="2"/>
  <c r="D474" i="2"/>
  <c r="C474" i="2"/>
  <c r="B474" i="2"/>
  <c r="A474" i="2"/>
  <c r="D473" i="2"/>
  <c r="C473" i="2"/>
  <c r="B473" i="2"/>
  <c r="A473" i="2"/>
  <c r="D472" i="2"/>
  <c r="C472" i="2"/>
  <c r="B472" i="2"/>
  <c r="A472" i="2"/>
  <c r="D471" i="2"/>
  <c r="C471" i="2"/>
  <c r="B471" i="2"/>
  <c r="A471" i="2"/>
  <c r="D470" i="2"/>
  <c r="C470" i="2"/>
  <c r="B470" i="2"/>
  <c r="A470" i="2"/>
  <c r="D469" i="2"/>
  <c r="C469" i="2"/>
  <c r="B469" i="2"/>
  <c r="A469" i="2"/>
  <c r="D468" i="2"/>
  <c r="C468" i="2"/>
  <c r="B468" i="2"/>
  <c r="A468" i="2"/>
  <c r="D467" i="2"/>
  <c r="C467" i="2"/>
  <c r="B467" i="2"/>
  <c r="A467" i="2"/>
  <c r="D466" i="2"/>
  <c r="C466" i="2"/>
  <c r="B466" i="2"/>
  <c r="A466" i="2"/>
  <c r="D465" i="2"/>
  <c r="C465" i="2"/>
  <c r="B465" i="2"/>
  <c r="A465" i="2"/>
  <c r="D464" i="2"/>
  <c r="C464" i="2"/>
  <c r="B464" i="2"/>
  <c r="A464" i="2"/>
  <c r="D463" i="2"/>
  <c r="C463" i="2"/>
  <c r="B463" i="2"/>
  <c r="A463" i="2"/>
  <c r="D462" i="2"/>
  <c r="C462" i="2"/>
  <c r="B462" i="2"/>
  <c r="A462" i="2"/>
  <c r="D461" i="2"/>
  <c r="C461" i="2"/>
  <c r="B461" i="2"/>
  <c r="A461" i="2"/>
  <c r="D460" i="2"/>
  <c r="C460" i="2"/>
  <c r="B460" i="2"/>
  <c r="A460" i="2"/>
  <c r="D459" i="2"/>
  <c r="C459" i="2"/>
  <c r="B459" i="2"/>
  <c r="A459" i="2"/>
  <c r="D458" i="2"/>
  <c r="C458" i="2"/>
  <c r="B458" i="2"/>
  <c r="A458" i="2"/>
  <c r="D457" i="2"/>
  <c r="C457" i="2"/>
  <c r="B457" i="2"/>
  <c r="A457" i="2"/>
  <c r="D456" i="2"/>
  <c r="C456" i="2"/>
  <c r="B456" i="2"/>
  <c r="A456" i="2"/>
  <c r="D455" i="2"/>
  <c r="C455" i="2"/>
  <c r="B455" i="2"/>
  <c r="A455" i="2"/>
  <c r="D454" i="2"/>
  <c r="C454" i="2"/>
  <c r="B454" i="2"/>
  <c r="A454" i="2"/>
  <c r="D453" i="2"/>
  <c r="C453" i="2"/>
  <c r="B453" i="2"/>
  <c r="A453" i="2"/>
  <c r="D452" i="2"/>
  <c r="C452" i="2"/>
  <c r="B452" i="2"/>
  <c r="A452" i="2"/>
  <c r="D451" i="2"/>
  <c r="C451" i="2"/>
  <c r="B451" i="2"/>
  <c r="A451" i="2"/>
  <c r="D450" i="2"/>
  <c r="C450" i="2"/>
  <c r="B450" i="2"/>
  <c r="A450" i="2"/>
  <c r="D449" i="2"/>
  <c r="C449" i="2"/>
  <c r="B449" i="2"/>
  <c r="A449" i="2"/>
  <c r="D448" i="2"/>
  <c r="C448" i="2"/>
  <c r="B448" i="2"/>
  <c r="A448" i="2"/>
  <c r="D447" i="2"/>
  <c r="C447" i="2"/>
  <c r="B447" i="2"/>
  <c r="A447" i="2"/>
  <c r="D446" i="2"/>
  <c r="C446" i="2"/>
  <c r="B446" i="2"/>
  <c r="A446" i="2"/>
  <c r="D445" i="2"/>
  <c r="C445" i="2"/>
  <c r="B445" i="2"/>
  <c r="A445" i="2"/>
  <c r="D444" i="2"/>
  <c r="C444" i="2"/>
  <c r="B444" i="2"/>
  <c r="A444" i="2"/>
  <c r="D443" i="2"/>
  <c r="C443" i="2"/>
  <c r="B443" i="2"/>
  <c r="A443" i="2"/>
  <c r="D442" i="2"/>
  <c r="C442" i="2"/>
  <c r="B442" i="2"/>
  <c r="A442" i="2"/>
  <c r="D441" i="2"/>
  <c r="C441" i="2"/>
  <c r="B441" i="2"/>
  <c r="A441" i="2"/>
  <c r="D440" i="2"/>
  <c r="C440" i="2"/>
  <c r="B440" i="2"/>
  <c r="A440" i="2"/>
  <c r="D439" i="2"/>
  <c r="C439" i="2"/>
  <c r="B439" i="2"/>
  <c r="A439" i="2"/>
  <c r="D438" i="2"/>
  <c r="C438" i="2"/>
  <c r="B438" i="2"/>
  <c r="A438" i="2"/>
  <c r="D437" i="2"/>
  <c r="C437" i="2"/>
  <c r="B437" i="2"/>
  <c r="A437" i="2"/>
  <c r="D436" i="2"/>
  <c r="C436" i="2"/>
  <c r="B436" i="2"/>
  <c r="A436" i="2"/>
  <c r="D435" i="2"/>
  <c r="C435" i="2"/>
  <c r="B435" i="2"/>
  <c r="A435" i="2"/>
  <c r="D434" i="2"/>
  <c r="C434" i="2"/>
  <c r="B434" i="2"/>
  <c r="A434" i="2"/>
  <c r="D433" i="2"/>
  <c r="C433" i="2"/>
  <c r="B433" i="2"/>
  <c r="A433" i="2"/>
  <c r="D432" i="2"/>
  <c r="C432" i="2"/>
  <c r="B432" i="2"/>
  <c r="A432" i="2"/>
  <c r="D431" i="2"/>
  <c r="C431" i="2"/>
  <c r="B431" i="2"/>
  <c r="A431" i="2"/>
  <c r="D430" i="2"/>
  <c r="C430" i="2"/>
  <c r="B430" i="2"/>
  <c r="A430" i="2"/>
  <c r="D429" i="2"/>
  <c r="C429" i="2"/>
  <c r="B429" i="2"/>
  <c r="A429" i="2"/>
  <c r="D428" i="2"/>
  <c r="C428" i="2"/>
  <c r="B428" i="2"/>
  <c r="A428" i="2"/>
  <c r="D427" i="2"/>
  <c r="C427" i="2"/>
  <c r="B427" i="2"/>
  <c r="A427" i="2"/>
  <c r="D426" i="2"/>
  <c r="C426" i="2"/>
  <c r="B426" i="2"/>
  <c r="A426" i="2"/>
  <c r="D425" i="2"/>
  <c r="C425" i="2"/>
  <c r="B425" i="2"/>
  <c r="A425" i="2"/>
  <c r="D424" i="2"/>
  <c r="C424" i="2"/>
  <c r="B424" i="2"/>
  <c r="A424" i="2"/>
  <c r="D423" i="2"/>
  <c r="C423" i="2"/>
  <c r="B423" i="2"/>
  <c r="A423" i="2"/>
  <c r="D422" i="2"/>
  <c r="C422" i="2"/>
  <c r="B422" i="2"/>
  <c r="A422" i="2"/>
  <c r="D421" i="2"/>
  <c r="C421" i="2"/>
  <c r="B421" i="2"/>
  <c r="A421" i="2"/>
  <c r="D420" i="2"/>
  <c r="C420" i="2"/>
  <c r="B420" i="2"/>
  <c r="A420" i="2"/>
  <c r="D419" i="2"/>
  <c r="C419" i="2"/>
  <c r="B419" i="2"/>
  <c r="A419" i="2"/>
  <c r="D418" i="2"/>
  <c r="C418" i="2"/>
  <c r="B418" i="2"/>
  <c r="A418" i="2"/>
  <c r="D417" i="2"/>
  <c r="C417" i="2"/>
  <c r="B417" i="2"/>
  <c r="A417" i="2"/>
  <c r="D416" i="2"/>
  <c r="C416" i="2"/>
  <c r="B416" i="2"/>
  <c r="A416" i="2"/>
  <c r="D415" i="2"/>
  <c r="C415" i="2"/>
  <c r="B415" i="2"/>
  <c r="A415" i="2"/>
  <c r="D414" i="2"/>
  <c r="C414" i="2"/>
  <c r="B414" i="2"/>
  <c r="A414" i="2"/>
  <c r="D413" i="2"/>
  <c r="C413" i="2"/>
  <c r="B413" i="2"/>
  <c r="A413" i="2"/>
  <c r="D412" i="2"/>
  <c r="C412" i="2"/>
  <c r="B412" i="2"/>
  <c r="A412" i="2"/>
  <c r="D411" i="2"/>
  <c r="C411" i="2"/>
  <c r="B411" i="2"/>
  <c r="A411" i="2"/>
  <c r="D410" i="2"/>
  <c r="C410" i="2"/>
  <c r="B410" i="2"/>
  <c r="A410" i="2"/>
  <c r="D409" i="2"/>
  <c r="C409" i="2"/>
  <c r="B409" i="2"/>
  <c r="A409" i="2"/>
  <c r="D408" i="2"/>
  <c r="C408" i="2"/>
  <c r="B408" i="2"/>
  <c r="A408" i="2"/>
  <c r="D407" i="2"/>
  <c r="C407" i="2"/>
  <c r="B407" i="2"/>
  <c r="A407" i="2"/>
  <c r="D406" i="2"/>
  <c r="C406" i="2"/>
  <c r="B406" i="2"/>
  <c r="A406" i="2"/>
  <c r="D405" i="2"/>
  <c r="C405" i="2"/>
  <c r="B405" i="2"/>
  <c r="A405" i="2"/>
  <c r="D404" i="2"/>
  <c r="C404" i="2"/>
  <c r="B404" i="2"/>
  <c r="A404" i="2"/>
  <c r="D403" i="2"/>
  <c r="C403" i="2"/>
  <c r="B403" i="2"/>
  <c r="A403" i="2"/>
  <c r="D402" i="2"/>
  <c r="C402" i="2"/>
  <c r="B402" i="2"/>
  <c r="A402" i="2"/>
  <c r="D401" i="2"/>
  <c r="C401" i="2"/>
  <c r="B401" i="2"/>
  <c r="A401" i="2"/>
  <c r="D400" i="2"/>
  <c r="C400" i="2"/>
  <c r="B400" i="2"/>
  <c r="A400" i="2"/>
  <c r="D399" i="2"/>
  <c r="C399" i="2"/>
  <c r="B399" i="2"/>
  <c r="A399" i="2"/>
  <c r="D398" i="2"/>
  <c r="C398" i="2"/>
  <c r="B398" i="2"/>
  <c r="A398" i="2"/>
  <c r="D397" i="2"/>
  <c r="C397" i="2"/>
  <c r="B397" i="2"/>
  <c r="A397" i="2"/>
  <c r="D396" i="2"/>
  <c r="C396" i="2"/>
  <c r="B396" i="2"/>
  <c r="A396" i="2"/>
  <c r="D395" i="2"/>
  <c r="C395" i="2"/>
  <c r="B395" i="2"/>
  <c r="A395" i="2"/>
  <c r="D394" i="2"/>
  <c r="C394" i="2"/>
  <c r="B394" i="2"/>
  <c r="A394" i="2"/>
  <c r="D393" i="2"/>
  <c r="C393" i="2"/>
  <c r="B393" i="2"/>
  <c r="A393" i="2"/>
  <c r="D392" i="2"/>
  <c r="C392" i="2"/>
  <c r="B392" i="2"/>
  <c r="A392" i="2"/>
  <c r="D391" i="2"/>
  <c r="C391" i="2"/>
  <c r="B391" i="2"/>
  <c r="A391" i="2"/>
  <c r="D390" i="2"/>
  <c r="C390" i="2"/>
  <c r="B390" i="2"/>
  <c r="A390" i="2"/>
  <c r="D389" i="2"/>
  <c r="C389" i="2"/>
  <c r="B389" i="2"/>
  <c r="A389" i="2"/>
  <c r="D388" i="2"/>
  <c r="C388" i="2"/>
  <c r="B388" i="2"/>
  <c r="A388" i="2"/>
  <c r="D387" i="2"/>
  <c r="C387" i="2"/>
  <c r="B387" i="2"/>
  <c r="A387" i="2"/>
  <c r="D386" i="2"/>
  <c r="C386" i="2"/>
  <c r="B386" i="2"/>
  <c r="A386" i="2"/>
  <c r="D385" i="2"/>
  <c r="C385" i="2"/>
  <c r="B385" i="2"/>
  <c r="A385" i="2"/>
  <c r="D384" i="2"/>
  <c r="C384" i="2"/>
  <c r="B384" i="2"/>
  <c r="A384" i="2"/>
  <c r="D383" i="2"/>
  <c r="C383" i="2"/>
  <c r="B383" i="2"/>
  <c r="A383" i="2"/>
  <c r="D382" i="2"/>
  <c r="C382" i="2"/>
  <c r="B382" i="2"/>
  <c r="A382" i="2"/>
  <c r="D381" i="2"/>
  <c r="C381" i="2"/>
  <c r="B381" i="2"/>
  <c r="A381" i="2"/>
  <c r="D380" i="2"/>
  <c r="C380" i="2"/>
  <c r="B380" i="2"/>
  <c r="A380" i="2"/>
  <c r="D379" i="2"/>
  <c r="C379" i="2"/>
  <c r="B379" i="2"/>
  <c r="A379" i="2"/>
  <c r="D378" i="2"/>
  <c r="C378" i="2"/>
  <c r="B378" i="2"/>
  <c r="A378" i="2"/>
  <c r="D377" i="2"/>
  <c r="C377" i="2"/>
  <c r="B377" i="2"/>
  <c r="A377" i="2"/>
  <c r="D376" i="2"/>
  <c r="C376" i="2"/>
  <c r="B376" i="2"/>
  <c r="A376" i="2"/>
  <c r="D375" i="2"/>
  <c r="C375" i="2"/>
  <c r="B375" i="2"/>
  <c r="A375" i="2"/>
  <c r="D374" i="2"/>
  <c r="C374" i="2"/>
  <c r="B374" i="2"/>
  <c r="A374" i="2"/>
  <c r="D373" i="2"/>
  <c r="C373" i="2"/>
  <c r="B373" i="2"/>
  <c r="A373" i="2"/>
  <c r="D372" i="2"/>
  <c r="C372" i="2"/>
  <c r="B372" i="2"/>
  <c r="A372" i="2"/>
  <c r="D371" i="2"/>
  <c r="C371" i="2"/>
  <c r="B371" i="2"/>
  <c r="A371" i="2"/>
  <c r="D370" i="2"/>
  <c r="C370" i="2"/>
  <c r="B370" i="2"/>
  <c r="A370" i="2"/>
  <c r="D369" i="2"/>
  <c r="C369" i="2"/>
  <c r="B369" i="2"/>
  <c r="A369" i="2"/>
  <c r="D368" i="2"/>
  <c r="C368" i="2"/>
  <c r="B368" i="2"/>
  <c r="A368" i="2"/>
  <c r="D367" i="2"/>
  <c r="C367" i="2"/>
  <c r="B367" i="2"/>
  <c r="A367" i="2"/>
  <c r="D366" i="2"/>
  <c r="C366" i="2"/>
  <c r="B366" i="2"/>
  <c r="A366" i="2"/>
  <c r="D365" i="2"/>
  <c r="C365" i="2"/>
  <c r="B365" i="2"/>
  <c r="A365" i="2"/>
  <c r="D364" i="2"/>
  <c r="C364" i="2"/>
  <c r="B364" i="2"/>
  <c r="A364" i="2"/>
  <c r="D363" i="2"/>
  <c r="C363" i="2"/>
  <c r="B363" i="2"/>
  <c r="A363" i="2"/>
  <c r="D362" i="2"/>
  <c r="C362" i="2"/>
  <c r="B362" i="2"/>
  <c r="A362" i="2"/>
  <c r="D361" i="2"/>
  <c r="C361" i="2"/>
  <c r="B361" i="2"/>
  <c r="A361" i="2"/>
  <c r="D360" i="2"/>
  <c r="C360" i="2"/>
  <c r="B360" i="2"/>
  <c r="A360" i="2"/>
  <c r="D359" i="2"/>
  <c r="C359" i="2"/>
  <c r="B359" i="2"/>
  <c r="A359" i="2"/>
  <c r="D358" i="2"/>
  <c r="C358" i="2"/>
  <c r="B358" i="2"/>
  <c r="A358" i="2"/>
  <c r="D357" i="2"/>
  <c r="C357" i="2"/>
  <c r="B357" i="2"/>
  <c r="A357" i="2"/>
  <c r="D356" i="2"/>
  <c r="C356" i="2"/>
  <c r="B356" i="2"/>
  <c r="A356" i="2"/>
  <c r="D355" i="2"/>
  <c r="C355" i="2"/>
  <c r="B355" i="2"/>
  <c r="A355" i="2"/>
  <c r="D354" i="2"/>
  <c r="C354" i="2"/>
  <c r="B354" i="2"/>
  <c r="A354" i="2"/>
  <c r="D353" i="2"/>
  <c r="C353" i="2"/>
  <c r="B353" i="2"/>
  <c r="A353" i="2"/>
  <c r="D352" i="2"/>
  <c r="C352" i="2"/>
  <c r="B352" i="2"/>
  <c r="A352" i="2"/>
  <c r="D351" i="2"/>
  <c r="C351" i="2"/>
  <c r="B351" i="2"/>
  <c r="A351" i="2"/>
  <c r="D350" i="2"/>
  <c r="C350" i="2"/>
  <c r="B350" i="2"/>
  <c r="A350" i="2"/>
  <c r="D349" i="2"/>
  <c r="C349" i="2"/>
  <c r="B349" i="2"/>
  <c r="A349" i="2"/>
  <c r="D348" i="2"/>
  <c r="C348" i="2"/>
  <c r="B348" i="2"/>
  <c r="A348" i="2"/>
  <c r="D347" i="2"/>
  <c r="C347" i="2"/>
  <c r="B347" i="2"/>
  <c r="A347" i="2"/>
  <c r="D346" i="2"/>
  <c r="C346" i="2"/>
  <c r="B346" i="2"/>
  <c r="A346" i="2"/>
  <c r="D345" i="2"/>
  <c r="C345" i="2"/>
  <c r="B345" i="2"/>
  <c r="A345" i="2"/>
  <c r="D344" i="2"/>
  <c r="C344" i="2"/>
  <c r="B344" i="2"/>
  <c r="A344" i="2"/>
  <c r="D343" i="2"/>
  <c r="C343" i="2"/>
  <c r="B343" i="2"/>
  <c r="A343" i="2"/>
  <c r="D342" i="2"/>
  <c r="C342" i="2"/>
  <c r="B342" i="2"/>
  <c r="A342" i="2"/>
  <c r="D341" i="2"/>
  <c r="C341" i="2"/>
  <c r="B341" i="2"/>
  <c r="A341" i="2"/>
  <c r="D340" i="2"/>
  <c r="C340" i="2"/>
  <c r="B340" i="2"/>
  <c r="A340" i="2"/>
  <c r="D339" i="2"/>
  <c r="C339" i="2"/>
  <c r="B339" i="2"/>
  <c r="A339" i="2"/>
  <c r="D338" i="2"/>
  <c r="C338" i="2"/>
  <c r="B338" i="2"/>
  <c r="A338" i="2"/>
  <c r="D337" i="2"/>
  <c r="C337" i="2"/>
  <c r="B337" i="2"/>
  <c r="A337" i="2"/>
  <c r="D336" i="2"/>
  <c r="C336" i="2"/>
  <c r="B336" i="2"/>
  <c r="A336" i="2"/>
  <c r="D335" i="2"/>
  <c r="C335" i="2"/>
  <c r="B335" i="2"/>
  <c r="A335" i="2"/>
  <c r="D334" i="2"/>
  <c r="C334" i="2"/>
  <c r="B334" i="2"/>
  <c r="A334" i="2"/>
  <c r="D333" i="2"/>
  <c r="C333" i="2"/>
  <c r="B333" i="2"/>
  <c r="A333" i="2"/>
  <c r="D332" i="2"/>
  <c r="C332" i="2"/>
  <c r="B332" i="2"/>
  <c r="A332" i="2"/>
  <c r="D331" i="2"/>
  <c r="C331" i="2"/>
  <c r="B331" i="2"/>
  <c r="A331" i="2"/>
  <c r="D330" i="2"/>
  <c r="C330" i="2"/>
  <c r="B330" i="2"/>
  <c r="A330" i="2"/>
  <c r="D329" i="2"/>
  <c r="C329" i="2"/>
  <c r="B329" i="2"/>
  <c r="A329" i="2"/>
  <c r="D328" i="2"/>
  <c r="C328" i="2"/>
  <c r="B328" i="2"/>
  <c r="A328" i="2"/>
  <c r="D327" i="2"/>
  <c r="C327" i="2"/>
  <c r="B327" i="2"/>
  <c r="A327" i="2"/>
  <c r="D326" i="2"/>
  <c r="C326" i="2"/>
  <c r="B326" i="2"/>
  <c r="A326" i="2"/>
  <c r="D325" i="2"/>
  <c r="C325" i="2"/>
  <c r="B325" i="2"/>
  <c r="A325" i="2"/>
  <c r="D324" i="2"/>
  <c r="C324" i="2"/>
  <c r="B324" i="2"/>
  <c r="A324" i="2"/>
  <c r="D323" i="2"/>
  <c r="C323" i="2"/>
  <c r="B323" i="2"/>
  <c r="A323" i="2"/>
  <c r="D322" i="2"/>
  <c r="C322" i="2"/>
  <c r="B322" i="2"/>
  <c r="A322" i="2"/>
  <c r="D321" i="2"/>
  <c r="C321" i="2"/>
  <c r="B321" i="2"/>
  <c r="A321" i="2"/>
  <c r="D320" i="2"/>
  <c r="C320" i="2"/>
  <c r="B320" i="2"/>
  <c r="A320" i="2"/>
  <c r="D319" i="2"/>
  <c r="C319" i="2"/>
  <c r="B319" i="2"/>
  <c r="A319" i="2"/>
  <c r="D318" i="2"/>
  <c r="C318" i="2"/>
  <c r="B318" i="2"/>
  <c r="A318" i="2"/>
  <c r="D317" i="2"/>
  <c r="C317" i="2"/>
  <c r="B317" i="2"/>
  <c r="A317" i="2"/>
  <c r="D316" i="2"/>
  <c r="C316" i="2"/>
  <c r="B316" i="2"/>
  <c r="A316" i="2"/>
  <c r="D315" i="2"/>
  <c r="C315" i="2"/>
  <c r="B315" i="2"/>
  <c r="A315" i="2"/>
  <c r="D314" i="2"/>
  <c r="C314" i="2"/>
  <c r="B314" i="2"/>
  <c r="A314" i="2"/>
  <c r="D313" i="2"/>
  <c r="C313" i="2"/>
  <c r="B313" i="2"/>
  <c r="A313" i="2"/>
  <c r="D312" i="2"/>
  <c r="C312" i="2"/>
  <c r="B312" i="2"/>
  <c r="A312" i="2"/>
  <c r="D311" i="2"/>
  <c r="C311" i="2"/>
  <c r="B311" i="2"/>
  <c r="A311" i="2"/>
  <c r="D310" i="2"/>
  <c r="C310" i="2"/>
  <c r="B310" i="2"/>
  <c r="A310" i="2"/>
  <c r="D309" i="2"/>
  <c r="C309" i="2"/>
  <c r="B309" i="2"/>
  <c r="A309" i="2"/>
  <c r="D308" i="2"/>
  <c r="C308" i="2"/>
  <c r="B308" i="2"/>
  <c r="A308" i="2"/>
  <c r="D307" i="2"/>
  <c r="C307" i="2"/>
  <c r="B307" i="2"/>
  <c r="A307" i="2"/>
  <c r="D306" i="2"/>
  <c r="C306" i="2"/>
  <c r="B306" i="2"/>
  <c r="A306" i="2"/>
  <c r="D305" i="2"/>
  <c r="C305" i="2"/>
  <c r="B305" i="2"/>
  <c r="A305" i="2"/>
  <c r="D304" i="2"/>
  <c r="C304" i="2"/>
  <c r="B304" i="2"/>
  <c r="A304" i="2"/>
  <c r="D303" i="2"/>
  <c r="C303" i="2"/>
  <c r="B303" i="2"/>
  <c r="A303" i="2"/>
  <c r="D302" i="2"/>
  <c r="C302" i="2"/>
  <c r="B302" i="2"/>
  <c r="A302" i="2"/>
  <c r="D301" i="2"/>
  <c r="C301" i="2"/>
  <c r="B301" i="2"/>
  <c r="A301" i="2"/>
  <c r="D300" i="2"/>
  <c r="C300" i="2"/>
  <c r="B300" i="2"/>
  <c r="A300" i="2"/>
  <c r="D299" i="2"/>
  <c r="C299" i="2"/>
  <c r="B299" i="2"/>
  <c r="A299" i="2"/>
  <c r="D298" i="2"/>
  <c r="C298" i="2"/>
  <c r="B298" i="2"/>
  <c r="A298" i="2"/>
  <c r="D297" i="2"/>
  <c r="C297" i="2"/>
  <c r="B297" i="2"/>
  <c r="A297" i="2"/>
  <c r="D296" i="2"/>
  <c r="C296" i="2"/>
  <c r="B296" i="2"/>
  <c r="A296" i="2"/>
  <c r="D295" i="2"/>
  <c r="C295" i="2"/>
  <c r="B295" i="2"/>
  <c r="A295" i="2"/>
  <c r="D294" i="2"/>
  <c r="C294" i="2"/>
  <c r="B294" i="2"/>
  <c r="A294" i="2"/>
  <c r="D293" i="2"/>
  <c r="C293" i="2"/>
  <c r="B293" i="2"/>
  <c r="A293" i="2"/>
  <c r="D292" i="2"/>
  <c r="C292" i="2"/>
  <c r="B292" i="2"/>
  <c r="A292" i="2"/>
  <c r="D291" i="2"/>
  <c r="C291" i="2"/>
  <c r="B291" i="2"/>
  <c r="A291" i="2"/>
  <c r="D290" i="2"/>
  <c r="C290" i="2"/>
  <c r="B290" i="2"/>
  <c r="A290" i="2"/>
  <c r="D289" i="2"/>
  <c r="C289" i="2"/>
  <c r="B289" i="2"/>
  <c r="A289" i="2"/>
  <c r="D288" i="2"/>
  <c r="C288" i="2"/>
  <c r="B288" i="2"/>
  <c r="A288" i="2"/>
  <c r="D287" i="2"/>
  <c r="C287" i="2"/>
  <c r="B287" i="2"/>
  <c r="A287" i="2"/>
  <c r="D286" i="2"/>
  <c r="C286" i="2"/>
  <c r="B286" i="2"/>
  <c r="A286" i="2"/>
  <c r="D285" i="2"/>
  <c r="C285" i="2"/>
  <c r="B285" i="2"/>
  <c r="A285" i="2"/>
  <c r="D284" i="2"/>
  <c r="C284" i="2"/>
  <c r="B284" i="2"/>
  <c r="A284" i="2"/>
  <c r="D283" i="2"/>
  <c r="C283" i="2"/>
  <c r="B283" i="2"/>
  <c r="A283" i="2"/>
  <c r="D282" i="2"/>
  <c r="C282" i="2"/>
  <c r="B282" i="2"/>
  <c r="A282" i="2"/>
  <c r="D281" i="2"/>
  <c r="C281" i="2"/>
  <c r="B281" i="2"/>
  <c r="A281" i="2"/>
  <c r="D280" i="2"/>
  <c r="C280" i="2"/>
  <c r="B280" i="2"/>
  <c r="A280" i="2"/>
  <c r="D279" i="2"/>
  <c r="C279" i="2"/>
  <c r="B279" i="2"/>
  <c r="A279" i="2"/>
  <c r="D278" i="2"/>
  <c r="C278" i="2"/>
  <c r="B278" i="2"/>
  <c r="A278" i="2"/>
  <c r="D277" i="2"/>
  <c r="C277" i="2"/>
  <c r="B277" i="2"/>
  <c r="A277" i="2"/>
  <c r="D276" i="2"/>
  <c r="C276" i="2"/>
  <c r="B276" i="2"/>
  <c r="A276" i="2"/>
  <c r="D275" i="2"/>
  <c r="C275" i="2"/>
  <c r="B275" i="2"/>
  <c r="A275" i="2"/>
  <c r="D274" i="2"/>
  <c r="C274" i="2"/>
  <c r="B274" i="2"/>
  <c r="A274" i="2"/>
  <c r="D273" i="2"/>
  <c r="C273" i="2"/>
  <c r="B273" i="2"/>
  <c r="A273" i="2"/>
  <c r="D272" i="2"/>
  <c r="C272" i="2"/>
  <c r="B272" i="2"/>
  <c r="A272" i="2"/>
  <c r="D271" i="2"/>
  <c r="C271" i="2"/>
  <c r="B271" i="2"/>
  <c r="A271" i="2"/>
  <c r="D270" i="2"/>
  <c r="C270" i="2"/>
  <c r="B270" i="2"/>
  <c r="A270" i="2"/>
  <c r="D269" i="2"/>
  <c r="C269" i="2"/>
  <c r="B269" i="2"/>
  <c r="A269" i="2"/>
  <c r="D268" i="2"/>
  <c r="C268" i="2"/>
  <c r="B268" i="2"/>
  <c r="A268" i="2"/>
  <c r="D267" i="2"/>
  <c r="C267" i="2"/>
  <c r="B267" i="2"/>
  <c r="A267" i="2"/>
  <c r="D266" i="2"/>
  <c r="C266" i="2"/>
  <c r="B266" i="2"/>
  <c r="A266" i="2"/>
  <c r="D265" i="2"/>
  <c r="C265" i="2"/>
  <c r="B265" i="2"/>
  <c r="A265" i="2"/>
  <c r="D264" i="2"/>
  <c r="C264" i="2"/>
  <c r="B264" i="2"/>
  <c r="A264" i="2"/>
  <c r="D263" i="2"/>
  <c r="C263" i="2"/>
  <c r="B263" i="2"/>
  <c r="A263" i="2"/>
  <c r="D262" i="2"/>
  <c r="C262" i="2"/>
  <c r="B262" i="2"/>
  <c r="A262" i="2"/>
  <c r="D261" i="2"/>
  <c r="C261" i="2"/>
  <c r="B261" i="2"/>
  <c r="A261" i="2"/>
  <c r="D260" i="2"/>
  <c r="C260" i="2"/>
  <c r="B260" i="2"/>
  <c r="A260" i="2"/>
  <c r="D259" i="2"/>
  <c r="C259" i="2"/>
  <c r="B259" i="2"/>
  <c r="A259" i="2"/>
  <c r="D258" i="2"/>
  <c r="C258" i="2"/>
  <c r="B258" i="2"/>
  <c r="A258" i="2"/>
  <c r="D257" i="2"/>
  <c r="C257" i="2"/>
  <c r="B257" i="2"/>
  <c r="A257" i="2"/>
  <c r="D256" i="2"/>
  <c r="C256" i="2"/>
  <c r="B256" i="2"/>
  <c r="A256" i="2"/>
  <c r="D255" i="2"/>
  <c r="C255" i="2"/>
  <c r="B255" i="2"/>
  <c r="A255" i="2"/>
  <c r="D254" i="2"/>
  <c r="C254" i="2"/>
  <c r="B254" i="2"/>
  <c r="A254" i="2"/>
  <c r="D253" i="2"/>
  <c r="C253" i="2"/>
  <c r="B253" i="2"/>
  <c r="A253" i="2"/>
  <c r="D252" i="2"/>
  <c r="C252" i="2"/>
  <c r="B252" i="2"/>
  <c r="A252" i="2"/>
  <c r="D251" i="2"/>
  <c r="C251" i="2"/>
  <c r="B251" i="2"/>
  <c r="A251" i="2"/>
  <c r="D250" i="2"/>
  <c r="C250" i="2"/>
  <c r="B250" i="2"/>
  <c r="A250" i="2"/>
  <c r="D249" i="2"/>
  <c r="C249" i="2"/>
  <c r="B249" i="2"/>
  <c r="A249" i="2"/>
  <c r="D248" i="2"/>
  <c r="C248" i="2"/>
  <c r="B248" i="2"/>
  <c r="A248" i="2"/>
  <c r="D247" i="2"/>
  <c r="C247" i="2"/>
  <c r="B247" i="2"/>
  <c r="A247" i="2"/>
  <c r="D246" i="2"/>
  <c r="C246" i="2"/>
  <c r="B246" i="2"/>
  <c r="A246" i="2"/>
  <c r="D245" i="2"/>
  <c r="C245" i="2"/>
  <c r="B245" i="2"/>
  <c r="A245" i="2"/>
  <c r="D244" i="2"/>
  <c r="C244" i="2"/>
  <c r="B244" i="2"/>
  <c r="A244" i="2"/>
  <c r="D243" i="2"/>
  <c r="C243" i="2"/>
  <c r="B243" i="2"/>
  <c r="A243" i="2"/>
  <c r="D242" i="2"/>
  <c r="C242" i="2"/>
  <c r="B242" i="2"/>
  <c r="A242" i="2"/>
  <c r="D241" i="2"/>
  <c r="C241" i="2"/>
  <c r="B241" i="2"/>
  <c r="A241" i="2"/>
  <c r="D240" i="2"/>
  <c r="C240" i="2"/>
  <c r="B240" i="2"/>
  <c r="A240" i="2"/>
  <c r="D239" i="2"/>
  <c r="C239" i="2"/>
  <c r="B239" i="2"/>
  <c r="A239" i="2"/>
  <c r="D238" i="2"/>
  <c r="C238" i="2"/>
  <c r="B238" i="2"/>
  <c r="A238" i="2"/>
  <c r="D237" i="2"/>
  <c r="C237" i="2"/>
  <c r="B237" i="2"/>
  <c r="A237" i="2"/>
  <c r="D236" i="2"/>
  <c r="C236" i="2"/>
  <c r="B236" i="2"/>
  <c r="A236" i="2"/>
  <c r="D235" i="2"/>
  <c r="C235" i="2"/>
  <c r="B235" i="2"/>
  <c r="A235" i="2"/>
  <c r="D234" i="2"/>
  <c r="C234" i="2"/>
  <c r="B234" i="2"/>
  <c r="A234" i="2"/>
  <c r="D233" i="2"/>
  <c r="C233" i="2"/>
  <c r="B233" i="2"/>
  <c r="A233" i="2"/>
  <c r="D232" i="2"/>
  <c r="C232" i="2"/>
  <c r="B232" i="2"/>
  <c r="A232" i="2"/>
  <c r="D231" i="2"/>
  <c r="C231" i="2"/>
  <c r="B231" i="2"/>
  <c r="A231" i="2"/>
  <c r="D230" i="2"/>
  <c r="C230" i="2"/>
  <c r="B230" i="2"/>
  <c r="A230" i="2"/>
  <c r="D229" i="2"/>
  <c r="C229" i="2"/>
  <c r="B229" i="2"/>
  <c r="A229" i="2"/>
  <c r="D228" i="2"/>
  <c r="C228" i="2"/>
  <c r="B228" i="2"/>
  <c r="A228" i="2"/>
  <c r="D227" i="2"/>
  <c r="C227" i="2"/>
  <c r="B227" i="2"/>
  <c r="A227" i="2"/>
  <c r="D226" i="2"/>
  <c r="C226" i="2"/>
  <c r="B226" i="2"/>
  <c r="A226" i="2"/>
  <c r="D225" i="2"/>
  <c r="C225" i="2"/>
  <c r="B225" i="2"/>
  <c r="A225" i="2"/>
  <c r="D224" i="2"/>
  <c r="C224" i="2"/>
  <c r="B224" i="2"/>
  <c r="A224" i="2"/>
  <c r="D223" i="2"/>
  <c r="C223" i="2"/>
  <c r="B223" i="2"/>
  <c r="A223" i="2"/>
  <c r="D222" i="2"/>
  <c r="C222" i="2"/>
  <c r="B222" i="2"/>
  <c r="A222" i="2"/>
  <c r="D221" i="2"/>
  <c r="C221" i="2"/>
  <c r="B221" i="2"/>
  <c r="A221" i="2"/>
  <c r="D220" i="2"/>
  <c r="C220" i="2"/>
  <c r="B220" i="2"/>
  <c r="A220" i="2"/>
  <c r="D219" i="2"/>
  <c r="C219" i="2"/>
  <c r="B219" i="2"/>
  <c r="A219" i="2"/>
  <c r="D218" i="2"/>
  <c r="C218" i="2"/>
  <c r="B218" i="2"/>
  <c r="A218" i="2"/>
  <c r="D217" i="2"/>
  <c r="C217" i="2"/>
  <c r="B217" i="2"/>
  <c r="A217" i="2"/>
  <c r="D216" i="2"/>
  <c r="C216" i="2"/>
  <c r="B216" i="2"/>
  <c r="A216" i="2"/>
  <c r="D215" i="2"/>
  <c r="C215" i="2"/>
  <c r="B215" i="2"/>
  <c r="A215" i="2"/>
  <c r="D214" i="2"/>
  <c r="C214" i="2"/>
  <c r="B214" i="2"/>
  <c r="A214" i="2"/>
  <c r="D213" i="2"/>
  <c r="C213" i="2"/>
  <c r="B213" i="2"/>
  <c r="A213" i="2"/>
  <c r="D212" i="2"/>
  <c r="C212" i="2"/>
  <c r="B212" i="2"/>
  <c r="A212" i="2"/>
  <c r="D211" i="2"/>
  <c r="C211" i="2"/>
  <c r="B211" i="2"/>
  <c r="A211" i="2"/>
  <c r="D210" i="2"/>
  <c r="C210" i="2"/>
  <c r="B210" i="2"/>
  <c r="A210" i="2"/>
  <c r="D209" i="2"/>
  <c r="C209" i="2"/>
  <c r="B209" i="2"/>
  <c r="A209" i="2"/>
  <c r="D208" i="2"/>
  <c r="C208" i="2"/>
  <c r="B208" i="2"/>
  <c r="A208" i="2"/>
  <c r="D207" i="2"/>
  <c r="C207" i="2"/>
  <c r="B207" i="2"/>
  <c r="A207" i="2"/>
  <c r="D206" i="2"/>
  <c r="C206" i="2"/>
  <c r="B206" i="2"/>
  <c r="A206" i="2"/>
  <c r="D205" i="2"/>
  <c r="C205" i="2"/>
  <c r="B205" i="2"/>
  <c r="A205" i="2"/>
  <c r="D204" i="2"/>
  <c r="C204" i="2"/>
  <c r="B204" i="2"/>
  <c r="A204" i="2"/>
  <c r="D203" i="2"/>
  <c r="C203" i="2"/>
  <c r="B203" i="2"/>
  <c r="A203" i="2"/>
  <c r="D202" i="2"/>
  <c r="C202" i="2"/>
  <c r="B202" i="2"/>
  <c r="A202" i="2"/>
  <c r="D201" i="2"/>
  <c r="C201" i="2"/>
  <c r="B201" i="2"/>
  <c r="A201" i="2"/>
  <c r="D200" i="2"/>
  <c r="C200" i="2"/>
  <c r="B200" i="2"/>
  <c r="A200" i="2"/>
  <c r="D199" i="2"/>
  <c r="C199" i="2"/>
  <c r="B199" i="2"/>
  <c r="A199" i="2"/>
  <c r="D198" i="2"/>
  <c r="C198" i="2"/>
  <c r="B198" i="2"/>
  <c r="A198" i="2"/>
  <c r="D197" i="2"/>
  <c r="C197" i="2"/>
  <c r="B197" i="2"/>
  <c r="A197" i="2"/>
  <c r="D196" i="2"/>
  <c r="C196" i="2"/>
  <c r="B196" i="2"/>
  <c r="A196" i="2"/>
  <c r="D195" i="2"/>
  <c r="C195" i="2"/>
  <c r="B195" i="2"/>
  <c r="A195" i="2"/>
  <c r="D194" i="2"/>
  <c r="C194" i="2"/>
  <c r="B194" i="2"/>
  <c r="A194" i="2"/>
  <c r="D193" i="2"/>
  <c r="C193" i="2"/>
  <c r="B193" i="2"/>
  <c r="A193" i="2"/>
  <c r="D192" i="2"/>
  <c r="C192" i="2"/>
  <c r="B192" i="2"/>
  <c r="A192" i="2"/>
  <c r="D191" i="2"/>
  <c r="C191" i="2"/>
  <c r="B191" i="2"/>
  <c r="A191" i="2"/>
  <c r="D190" i="2"/>
  <c r="C190" i="2"/>
  <c r="B190" i="2"/>
  <c r="A190" i="2"/>
  <c r="D189" i="2"/>
  <c r="C189" i="2"/>
  <c r="B189" i="2"/>
  <c r="A189" i="2"/>
  <c r="D188" i="2"/>
  <c r="C188" i="2"/>
  <c r="B188" i="2"/>
  <c r="A188" i="2"/>
  <c r="D187" i="2"/>
  <c r="C187" i="2"/>
  <c r="B187" i="2"/>
  <c r="A187" i="2"/>
  <c r="D186" i="2"/>
  <c r="C186" i="2"/>
  <c r="B186" i="2"/>
  <c r="A186" i="2"/>
  <c r="D185" i="2"/>
  <c r="C185" i="2"/>
  <c r="B185" i="2"/>
  <c r="A185" i="2"/>
  <c r="D184" i="2"/>
  <c r="C184" i="2"/>
  <c r="B184" i="2"/>
  <c r="A184" i="2"/>
  <c r="D183" i="2"/>
  <c r="C183" i="2"/>
  <c r="B183" i="2"/>
  <c r="A183" i="2"/>
  <c r="D182" i="2"/>
  <c r="C182" i="2"/>
  <c r="B182" i="2"/>
  <c r="A182" i="2"/>
  <c r="D181" i="2"/>
  <c r="C181" i="2"/>
  <c r="B181" i="2"/>
  <c r="A181" i="2"/>
  <c r="D180" i="2"/>
  <c r="C180" i="2"/>
  <c r="B180" i="2"/>
  <c r="A180" i="2"/>
  <c r="D179" i="2"/>
  <c r="C179" i="2"/>
  <c r="B179" i="2"/>
  <c r="A179" i="2"/>
  <c r="D178" i="2"/>
  <c r="C178" i="2"/>
  <c r="B178" i="2"/>
  <c r="A178" i="2"/>
  <c r="D177" i="2"/>
  <c r="C177" i="2"/>
  <c r="B177" i="2"/>
  <c r="A177" i="2"/>
  <c r="D176" i="2"/>
  <c r="C176" i="2"/>
  <c r="B176" i="2"/>
  <c r="A176" i="2"/>
  <c r="D175" i="2"/>
  <c r="C175" i="2"/>
  <c r="B175" i="2"/>
  <c r="A175" i="2"/>
  <c r="D174" i="2"/>
  <c r="C174" i="2"/>
  <c r="B174" i="2"/>
  <c r="A174" i="2"/>
  <c r="D173" i="2"/>
  <c r="C173" i="2"/>
  <c r="B173" i="2"/>
  <c r="A173" i="2"/>
  <c r="D172" i="2"/>
  <c r="C172" i="2"/>
  <c r="B172" i="2"/>
  <c r="A172" i="2"/>
  <c r="D171" i="2"/>
  <c r="C171" i="2"/>
  <c r="B171" i="2"/>
  <c r="A171" i="2"/>
  <c r="D170" i="2"/>
  <c r="C170" i="2"/>
  <c r="B170" i="2"/>
  <c r="A170" i="2"/>
  <c r="D169" i="2"/>
  <c r="C169" i="2"/>
  <c r="B169" i="2"/>
  <c r="A169" i="2"/>
  <c r="D168" i="2"/>
  <c r="C168" i="2"/>
  <c r="B168" i="2"/>
  <c r="A168" i="2"/>
  <c r="D167" i="2"/>
  <c r="C167" i="2"/>
  <c r="B167" i="2"/>
  <c r="A167" i="2"/>
  <c r="D166" i="2"/>
  <c r="C166" i="2"/>
  <c r="B166" i="2"/>
  <c r="A166" i="2"/>
  <c r="D165" i="2"/>
  <c r="C165" i="2"/>
  <c r="B165" i="2"/>
  <c r="A165" i="2"/>
  <c r="D164" i="2"/>
  <c r="C164" i="2"/>
  <c r="B164" i="2"/>
  <c r="A164" i="2"/>
  <c r="D163" i="2"/>
  <c r="C163" i="2"/>
  <c r="B163" i="2"/>
  <c r="A163" i="2"/>
  <c r="D162" i="2"/>
  <c r="C162" i="2"/>
  <c r="B162" i="2"/>
  <c r="A162" i="2"/>
  <c r="D161" i="2"/>
  <c r="C161" i="2"/>
  <c r="B161" i="2"/>
  <c r="A161" i="2"/>
  <c r="D160" i="2"/>
  <c r="C160" i="2"/>
  <c r="B160" i="2"/>
  <c r="A160" i="2"/>
  <c r="D159" i="2"/>
  <c r="C159" i="2"/>
  <c r="B159" i="2"/>
  <c r="A159" i="2"/>
  <c r="D158" i="2"/>
  <c r="C158" i="2"/>
  <c r="B158" i="2"/>
  <c r="A158" i="2"/>
  <c r="D157" i="2"/>
  <c r="C157" i="2"/>
  <c r="B157" i="2"/>
  <c r="A157" i="2"/>
  <c r="D156" i="2"/>
  <c r="C156" i="2"/>
  <c r="B156" i="2"/>
  <c r="A156" i="2"/>
  <c r="D155" i="2"/>
  <c r="C155" i="2"/>
  <c r="B155" i="2"/>
  <c r="A155" i="2"/>
  <c r="D154" i="2"/>
  <c r="C154" i="2"/>
  <c r="B154" i="2"/>
  <c r="A154" i="2"/>
  <c r="D153" i="2"/>
  <c r="C153" i="2"/>
  <c r="B153" i="2"/>
  <c r="A153" i="2"/>
  <c r="D152" i="2"/>
  <c r="C152" i="2"/>
  <c r="B152" i="2"/>
  <c r="A152" i="2"/>
  <c r="D151" i="2"/>
  <c r="C151" i="2"/>
  <c r="B151" i="2"/>
  <c r="A151" i="2"/>
  <c r="D150" i="2"/>
  <c r="C150" i="2"/>
  <c r="B150" i="2"/>
  <c r="A150" i="2"/>
  <c r="D149" i="2"/>
  <c r="C149" i="2"/>
  <c r="B149" i="2"/>
  <c r="A149" i="2"/>
  <c r="D148" i="2"/>
  <c r="C148" i="2"/>
  <c r="B148" i="2"/>
  <c r="A148" i="2"/>
  <c r="D147" i="2"/>
  <c r="C147" i="2"/>
  <c r="B147" i="2"/>
  <c r="A147" i="2"/>
  <c r="D146" i="2"/>
  <c r="C146" i="2"/>
  <c r="B146" i="2"/>
  <c r="A146" i="2"/>
  <c r="D145" i="2"/>
  <c r="C145" i="2"/>
  <c r="B145" i="2"/>
  <c r="A145" i="2"/>
  <c r="D144" i="2"/>
  <c r="C144" i="2"/>
  <c r="B144" i="2"/>
  <c r="A144" i="2"/>
  <c r="D143" i="2"/>
  <c r="C143" i="2"/>
  <c r="B143" i="2"/>
  <c r="A143" i="2"/>
  <c r="D142" i="2"/>
  <c r="C142" i="2"/>
  <c r="B142" i="2"/>
  <c r="A142" i="2"/>
  <c r="D141" i="2"/>
  <c r="C141" i="2"/>
  <c r="B141" i="2"/>
  <c r="A141" i="2"/>
  <c r="D140" i="2"/>
  <c r="C140" i="2"/>
  <c r="B140" i="2"/>
  <c r="A140" i="2"/>
  <c r="D139" i="2"/>
  <c r="C139" i="2"/>
  <c r="B139" i="2"/>
  <c r="A139" i="2"/>
  <c r="D138" i="2"/>
  <c r="C138" i="2"/>
  <c r="B138" i="2"/>
  <c r="A138" i="2"/>
  <c r="D137" i="2"/>
  <c r="C137" i="2"/>
  <c r="B137" i="2"/>
  <c r="A137" i="2"/>
  <c r="D136" i="2"/>
  <c r="C136" i="2"/>
  <c r="B136" i="2"/>
  <c r="A136" i="2"/>
  <c r="D135" i="2"/>
  <c r="C135" i="2"/>
  <c r="B135" i="2"/>
  <c r="A135" i="2"/>
  <c r="D134" i="2"/>
  <c r="C134" i="2"/>
  <c r="B134" i="2"/>
  <c r="A134" i="2"/>
  <c r="D133" i="2"/>
  <c r="C133" i="2"/>
  <c r="B133" i="2"/>
  <c r="A133" i="2"/>
  <c r="D132" i="2"/>
  <c r="C132" i="2"/>
  <c r="B132" i="2"/>
  <c r="A132" i="2"/>
  <c r="D131" i="2"/>
  <c r="C131" i="2"/>
  <c r="B131" i="2"/>
  <c r="A131" i="2"/>
  <c r="D130" i="2"/>
  <c r="C130" i="2"/>
  <c r="B130" i="2"/>
  <c r="A130" i="2"/>
  <c r="D129" i="2"/>
  <c r="C129" i="2"/>
  <c r="B129" i="2"/>
  <c r="A129" i="2"/>
  <c r="D128" i="2"/>
  <c r="C128" i="2"/>
  <c r="B128" i="2"/>
  <c r="A128" i="2"/>
  <c r="D127" i="2"/>
  <c r="C127" i="2"/>
  <c r="B127" i="2"/>
  <c r="A127" i="2"/>
  <c r="D126" i="2"/>
  <c r="C126" i="2"/>
  <c r="B126" i="2"/>
  <c r="A126" i="2"/>
  <c r="D125" i="2"/>
  <c r="C125" i="2"/>
  <c r="B125" i="2"/>
  <c r="A125" i="2"/>
  <c r="D124" i="2"/>
  <c r="C124" i="2"/>
  <c r="B124" i="2"/>
  <c r="A124" i="2"/>
  <c r="D123" i="2"/>
  <c r="C123" i="2"/>
  <c r="B123" i="2"/>
  <c r="A123" i="2"/>
  <c r="D122" i="2"/>
  <c r="C122" i="2"/>
  <c r="B122" i="2"/>
  <c r="A122" i="2"/>
  <c r="D121" i="2"/>
  <c r="C121" i="2"/>
  <c r="B121" i="2"/>
  <c r="A121" i="2"/>
  <c r="D120" i="2"/>
  <c r="C120" i="2"/>
  <c r="B120" i="2"/>
  <c r="A120" i="2"/>
  <c r="D119" i="2"/>
  <c r="C119" i="2"/>
  <c r="B119" i="2"/>
  <c r="A119" i="2"/>
  <c r="D118" i="2"/>
  <c r="C118" i="2"/>
  <c r="B118" i="2"/>
  <c r="A118" i="2"/>
  <c r="D117" i="2"/>
  <c r="C117" i="2"/>
  <c r="B117" i="2"/>
  <c r="A117" i="2"/>
  <c r="D116" i="2"/>
  <c r="C116" i="2"/>
  <c r="B116" i="2"/>
  <c r="A116" i="2"/>
  <c r="D115" i="2"/>
  <c r="C115" i="2"/>
  <c r="B115" i="2"/>
  <c r="A115" i="2"/>
  <c r="D114" i="2"/>
  <c r="C114" i="2"/>
  <c r="B114" i="2"/>
  <c r="A114" i="2"/>
  <c r="D113" i="2"/>
  <c r="C113" i="2"/>
  <c r="B113" i="2"/>
  <c r="A113" i="2"/>
  <c r="D112" i="2"/>
  <c r="C112" i="2"/>
  <c r="B112" i="2"/>
  <c r="A112" i="2"/>
  <c r="D111" i="2"/>
  <c r="C111" i="2"/>
  <c r="B111" i="2"/>
  <c r="A111" i="2"/>
  <c r="D110" i="2"/>
  <c r="C110" i="2"/>
  <c r="B110" i="2"/>
  <c r="A110" i="2"/>
  <c r="D109" i="2"/>
  <c r="C109" i="2"/>
  <c r="B109" i="2"/>
  <c r="A109" i="2"/>
  <c r="D108" i="2"/>
  <c r="C108" i="2"/>
  <c r="B108" i="2"/>
  <c r="A108" i="2"/>
  <c r="D107" i="2"/>
  <c r="C107" i="2"/>
  <c r="B107" i="2"/>
  <c r="A107" i="2"/>
  <c r="D106" i="2"/>
  <c r="C106" i="2"/>
  <c r="B106" i="2"/>
  <c r="A106" i="2"/>
  <c r="D105" i="2"/>
  <c r="C105" i="2"/>
  <c r="B105" i="2"/>
  <c r="A105" i="2"/>
  <c r="D104" i="2"/>
  <c r="C104" i="2"/>
  <c r="B104" i="2"/>
  <c r="A104" i="2"/>
  <c r="D103" i="2"/>
  <c r="C103" i="2"/>
  <c r="B103" i="2"/>
  <c r="A103" i="2"/>
  <c r="D102" i="2"/>
  <c r="C102" i="2"/>
  <c r="B102" i="2"/>
  <c r="A102" i="2"/>
  <c r="D101" i="2"/>
  <c r="C101" i="2"/>
  <c r="B101" i="2"/>
  <c r="A101" i="2"/>
  <c r="D100" i="2"/>
  <c r="C100" i="2"/>
  <c r="B100" i="2"/>
  <c r="A100" i="2"/>
  <c r="D99" i="2"/>
  <c r="C99" i="2"/>
  <c r="B99" i="2"/>
  <c r="A99" i="2"/>
  <c r="D98" i="2"/>
  <c r="C98" i="2"/>
  <c r="B98" i="2"/>
  <c r="A98" i="2"/>
  <c r="D97" i="2"/>
  <c r="C97" i="2"/>
  <c r="B97" i="2"/>
  <c r="A97" i="2"/>
  <c r="D96" i="2"/>
  <c r="C96" i="2"/>
  <c r="B96" i="2"/>
  <c r="A96" i="2"/>
  <c r="D95" i="2"/>
  <c r="C95" i="2"/>
  <c r="B95" i="2"/>
  <c r="A95" i="2"/>
  <c r="D94" i="2"/>
  <c r="C94" i="2"/>
  <c r="B94" i="2"/>
  <c r="A94" i="2"/>
  <c r="D93" i="2"/>
  <c r="C93" i="2"/>
  <c r="B93" i="2"/>
  <c r="A93" i="2"/>
  <c r="D92" i="2"/>
  <c r="C92" i="2"/>
  <c r="B92" i="2"/>
  <c r="A92" i="2"/>
  <c r="D91" i="2"/>
  <c r="C91" i="2"/>
  <c r="B91" i="2"/>
  <c r="A91" i="2"/>
  <c r="D90" i="2"/>
  <c r="C90" i="2"/>
  <c r="B90" i="2"/>
  <c r="A90" i="2"/>
  <c r="D89" i="2"/>
  <c r="C89" i="2"/>
  <c r="B89" i="2"/>
  <c r="A89" i="2"/>
  <c r="D88" i="2"/>
  <c r="C88" i="2"/>
  <c r="B88" i="2"/>
  <c r="A88" i="2"/>
  <c r="D87" i="2"/>
  <c r="C87" i="2"/>
  <c r="B87" i="2"/>
  <c r="A87" i="2"/>
  <c r="D86" i="2"/>
  <c r="C86" i="2"/>
  <c r="B86" i="2"/>
  <c r="A86" i="2"/>
  <c r="D85" i="2"/>
  <c r="C85" i="2"/>
  <c r="B85" i="2"/>
  <c r="A85" i="2"/>
  <c r="D84" i="2"/>
  <c r="C84" i="2"/>
  <c r="B84" i="2"/>
  <c r="A84" i="2"/>
  <c r="D83" i="2"/>
  <c r="C83" i="2"/>
  <c r="B83" i="2"/>
  <c r="A83" i="2"/>
  <c r="D82" i="2"/>
  <c r="C82" i="2"/>
  <c r="B82" i="2"/>
  <c r="A82" i="2"/>
  <c r="D81" i="2"/>
  <c r="C81" i="2"/>
  <c r="B81" i="2"/>
  <c r="A81" i="2"/>
  <c r="D80" i="2"/>
  <c r="C80" i="2"/>
  <c r="B80" i="2"/>
  <c r="A80" i="2"/>
  <c r="D79" i="2"/>
  <c r="C79" i="2"/>
  <c r="B79" i="2"/>
  <c r="A79" i="2"/>
  <c r="D78" i="2"/>
  <c r="C78" i="2"/>
  <c r="B78" i="2"/>
  <c r="A78" i="2"/>
  <c r="D77" i="2"/>
  <c r="C77" i="2"/>
  <c r="B77" i="2"/>
  <c r="A77" i="2"/>
  <c r="D76" i="2"/>
  <c r="C76" i="2"/>
  <c r="B76" i="2"/>
  <c r="A76" i="2"/>
  <c r="D75" i="2"/>
  <c r="C75" i="2"/>
  <c r="B75" i="2"/>
  <c r="A75" i="2"/>
  <c r="D74" i="2"/>
  <c r="C74" i="2"/>
  <c r="B74" i="2"/>
  <c r="A74" i="2"/>
  <c r="D73" i="2"/>
  <c r="C73" i="2"/>
  <c r="B73" i="2"/>
  <c r="A73" i="2"/>
  <c r="D72" i="2"/>
  <c r="C72" i="2"/>
  <c r="B72" i="2"/>
  <c r="A72" i="2"/>
  <c r="D71" i="2"/>
  <c r="C71" i="2"/>
  <c r="B71" i="2"/>
  <c r="A71" i="2"/>
  <c r="D70" i="2"/>
  <c r="C70" i="2"/>
  <c r="B70" i="2"/>
  <c r="A70" i="2"/>
  <c r="D69" i="2"/>
  <c r="C69" i="2"/>
  <c r="B69" i="2"/>
  <c r="A69" i="2"/>
  <c r="D68" i="2"/>
  <c r="C68" i="2"/>
  <c r="B68" i="2"/>
  <c r="A68" i="2"/>
  <c r="D67" i="2"/>
  <c r="C67" i="2"/>
  <c r="B67" i="2"/>
  <c r="A67" i="2"/>
  <c r="D66" i="2"/>
  <c r="C66" i="2"/>
  <c r="B66" i="2"/>
  <c r="A66" i="2"/>
  <c r="D65" i="2"/>
  <c r="C65" i="2"/>
  <c r="B65" i="2"/>
  <c r="A65" i="2"/>
  <c r="D64" i="2"/>
  <c r="C64" i="2"/>
  <c r="B64" i="2"/>
  <c r="A64" i="2"/>
  <c r="D63" i="2"/>
  <c r="C63" i="2"/>
  <c r="B63" i="2"/>
  <c r="A63" i="2"/>
  <c r="D62" i="2"/>
  <c r="C62" i="2"/>
  <c r="B62" i="2"/>
  <c r="A62" i="2"/>
  <c r="D61" i="2"/>
  <c r="C61" i="2"/>
  <c r="B61" i="2"/>
  <c r="A61" i="2"/>
  <c r="D60" i="2"/>
  <c r="C60" i="2"/>
  <c r="B60" i="2"/>
  <c r="A60" i="2"/>
  <c r="D59" i="2"/>
  <c r="C59" i="2"/>
  <c r="B59" i="2"/>
  <c r="A59" i="2"/>
  <c r="D58" i="2"/>
  <c r="C58" i="2"/>
  <c r="B58" i="2"/>
  <c r="A58" i="2"/>
  <c r="D57" i="2"/>
  <c r="C57" i="2"/>
  <c r="B57" i="2"/>
  <c r="A57" i="2"/>
  <c r="D56" i="2"/>
  <c r="C56" i="2"/>
  <c r="B56" i="2"/>
  <c r="A56" i="2"/>
  <c r="D55" i="2"/>
  <c r="C55" i="2"/>
  <c r="B55" i="2"/>
  <c r="A55" i="2"/>
  <c r="D54" i="2"/>
  <c r="C54" i="2"/>
  <c r="B54" i="2"/>
  <c r="A54" i="2"/>
  <c r="D53" i="2"/>
  <c r="C53" i="2"/>
  <c r="B53" i="2"/>
  <c r="A53" i="2"/>
  <c r="D52" i="2"/>
  <c r="C52" i="2"/>
  <c r="B52" i="2"/>
  <c r="A52" i="2"/>
  <c r="D51" i="2"/>
  <c r="C51" i="2"/>
  <c r="B51" i="2"/>
  <c r="A51" i="2"/>
  <c r="D50" i="2"/>
  <c r="C50" i="2"/>
  <c r="B50" i="2"/>
  <c r="A50" i="2"/>
  <c r="D49" i="2"/>
  <c r="C49" i="2"/>
  <c r="B49" i="2"/>
  <c r="A49" i="2"/>
  <c r="D48" i="2"/>
  <c r="C48" i="2"/>
  <c r="B48" i="2"/>
  <c r="A48" i="2"/>
  <c r="D47" i="2"/>
  <c r="C47" i="2"/>
  <c r="B47" i="2"/>
  <c r="A47" i="2"/>
  <c r="D46" i="2"/>
  <c r="C46" i="2"/>
  <c r="B46" i="2"/>
  <c r="A46" i="2"/>
  <c r="D45" i="2"/>
  <c r="C45" i="2"/>
  <c r="B45" i="2"/>
  <c r="A45" i="2"/>
  <c r="D44" i="2"/>
  <c r="C44" i="2"/>
  <c r="B44" i="2"/>
  <c r="A44" i="2"/>
  <c r="D43" i="2"/>
  <c r="C43" i="2"/>
  <c r="B43" i="2"/>
  <c r="A43" i="2"/>
  <c r="D42" i="2"/>
  <c r="C42" i="2"/>
  <c r="B42" i="2"/>
  <c r="A42" i="2"/>
  <c r="D41" i="2"/>
  <c r="C41" i="2"/>
  <c r="B41" i="2"/>
  <c r="A41" i="2"/>
  <c r="D40" i="2"/>
  <c r="C40" i="2"/>
  <c r="B40" i="2"/>
  <c r="A40" i="2"/>
  <c r="D39" i="2"/>
  <c r="C39" i="2"/>
  <c r="B39" i="2"/>
  <c r="A39" i="2"/>
  <c r="D38" i="2"/>
  <c r="C38" i="2"/>
  <c r="B38" i="2"/>
  <c r="A38" i="2"/>
  <c r="D37" i="2"/>
  <c r="C37" i="2"/>
  <c r="B37" i="2"/>
  <c r="A37" i="2"/>
  <c r="D36" i="2"/>
  <c r="C36" i="2"/>
  <c r="B36" i="2"/>
  <c r="A36" i="2"/>
  <c r="D35" i="2"/>
  <c r="C35" i="2"/>
  <c r="B35" i="2"/>
  <c r="A35" i="2"/>
  <c r="D34" i="2"/>
  <c r="C34" i="2"/>
  <c r="B34" i="2"/>
  <c r="A34" i="2"/>
  <c r="D33" i="2"/>
  <c r="C33" i="2"/>
  <c r="B33" i="2"/>
  <c r="A33" i="2"/>
  <c r="D32" i="2"/>
  <c r="C32" i="2"/>
  <c r="B32" i="2"/>
  <c r="A32" i="2"/>
  <c r="D31" i="2"/>
  <c r="C31" i="2"/>
  <c r="B31" i="2"/>
  <c r="A31" i="2"/>
  <c r="D30" i="2"/>
  <c r="C30" i="2"/>
  <c r="B30" i="2"/>
  <c r="A30" i="2"/>
  <c r="D29" i="2"/>
  <c r="C29" i="2"/>
  <c r="B29" i="2"/>
  <c r="A29" i="2"/>
  <c r="D28" i="2"/>
  <c r="C28" i="2"/>
  <c r="B28" i="2"/>
  <c r="A28" i="2"/>
  <c r="D27" i="2"/>
  <c r="C27" i="2"/>
  <c r="B27" i="2"/>
  <c r="A27" i="2"/>
  <c r="D26" i="2"/>
  <c r="C26" i="2"/>
  <c r="B26" i="2"/>
  <c r="A26" i="2"/>
  <c r="D25" i="2"/>
  <c r="C25" i="2"/>
  <c r="B25" i="2"/>
  <c r="A25" i="2"/>
  <c r="D24" i="2"/>
  <c r="C24" i="2"/>
  <c r="B24" i="2"/>
  <c r="A24" i="2"/>
  <c r="D23" i="2"/>
  <c r="C23" i="2"/>
  <c r="B23" i="2"/>
  <c r="A23" i="2"/>
  <c r="D22" i="2"/>
  <c r="C22" i="2"/>
  <c r="B22" i="2"/>
  <c r="A22" i="2"/>
  <c r="D21" i="2"/>
  <c r="C21" i="2"/>
  <c r="B21" i="2"/>
  <c r="A21" i="2"/>
  <c r="D20" i="2"/>
  <c r="C20" i="2"/>
  <c r="B20" i="2"/>
  <c r="A20" i="2"/>
  <c r="D19" i="2"/>
  <c r="C19" i="2"/>
  <c r="B19" i="2"/>
  <c r="A19" i="2"/>
  <c r="D18" i="2"/>
  <c r="C18" i="2"/>
  <c r="B18" i="2"/>
  <c r="A18" i="2"/>
  <c r="D17" i="2"/>
  <c r="C17" i="2"/>
  <c r="B17" i="2"/>
  <c r="A17" i="2"/>
  <c r="D16" i="2"/>
  <c r="C16" i="2"/>
  <c r="B16" i="2"/>
  <c r="A16" i="2"/>
  <c r="D15" i="2"/>
  <c r="C15" i="2"/>
  <c r="B15" i="2"/>
  <c r="A15" i="2"/>
  <c r="D14" i="2"/>
  <c r="C14" i="2"/>
  <c r="B14" i="2"/>
  <c r="A14" i="2"/>
  <c r="D13" i="2"/>
  <c r="C13" i="2"/>
  <c r="B13" i="2"/>
  <c r="A13" i="2"/>
  <c r="D12" i="2"/>
  <c r="C12" i="2"/>
  <c r="B12" i="2"/>
  <c r="A12" i="2"/>
  <c r="D11" i="2"/>
  <c r="C11" i="2"/>
  <c r="B11" i="2"/>
  <c r="A11" i="2"/>
  <c r="D10" i="2"/>
  <c r="C10" i="2"/>
  <c r="B10" i="2"/>
  <c r="A10" i="2"/>
  <c r="D9" i="2"/>
  <c r="C9" i="2"/>
  <c r="B9" i="2"/>
  <c r="A9" i="2"/>
  <c r="D8" i="2"/>
  <c r="C8" i="2"/>
  <c r="B8" i="2"/>
  <c r="A8" i="2"/>
  <c r="D7" i="2"/>
  <c r="C7" i="2"/>
  <c r="B7" i="2"/>
  <c r="A7" i="2"/>
  <c r="D6" i="2"/>
  <c r="C6" i="2"/>
  <c r="B6" i="2"/>
  <c r="A6" i="2"/>
  <c r="D5" i="2"/>
  <c r="C5" i="2"/>
  <c r="B5" i="2"/>
  <c r="A5" i="2"/>
  <c r="D4" i="2"/>
  <c r="C4" i="2"/>
  <c r="B4" i="2"/>
  <c r="A4" i="2"/>
  <c r="D3" i="2"/>
  <c r="C3" i="2"/>
  <c r="B3" i="2"/>
  <c r="A3" i="2"/>
  <c r="D2" i="2"/>
  <c r="C2" i="2"/>
  <c r="B2" i="2"/>
  <c r="A2" i="2"/>
  <c r="D1" i="2"/>
  <c r="C1" i="2"/>
  <c r="B1" i="2"/>
  <c r="A1" i="2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m\ d"/>
  </numFmts>
  <fonts count="3" x14ac:knownFonts="1">
    <font>
      <sz val="10"/>
      <color rgb="FF000000"/>
      <name val="Arial"/>
      <scheme val="minor"/>
    </font>
    <font>
      <b/>
      <sz val="10"/>
      <color theme="1"/>
      <name val="Lato"/>
    </font>
    <font>
      <sz val="10"/>
      <color theme="1"/>
      <name val="Lato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2" fillId="0" borderId="0" xfId="0" applyFont="1"/>
    <xf numFmtId="164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16048"/>
  <sheetViews>
    <sheetView tabSelected="1" workbookViewId="0"/>
  </sheetViews>
  <sheetFormatPr defaultColWidth="12.5703125" defaultRowHeight="15.75" customHeight="1" x14ac:dyDescent="0.2"/>
  <cols>
    <col min="1" max="1" width="13" customWidth="1"/>
    <col min="2" max="2" width="39.42578125" customWidth="1"/>
    <col min="3" max="3" width="12.42578125" customWidth="1"/>
    <col min="4" max="4" width="88.5703125" customWidth="1"/>
  </cols>
  <sheetData>
    <row r="1" spans="1:26" ht="15.75" customHeight="1" x14ac:dyDescent="0.35">
      <c r="A1" s="1" t="str">
        <f ca="1">IFERROR(__xludf.DUMMYFUNCTION("IMPORTRANGE(""https://docs.google.com/spreadsheets/d/1G908j14HO2BM8AUZLCmW02bBeRb5S4CdARBf5KceBZI/edit#gid=2021457240"", ""Bayut Location Tree!ZZZ:A"")"),"emirate")</f>
        <v>emirate</v>
      </c>
      <c r="B1" s="1" t="str">
        <f ca="1">IFERROR(__xludf.DUMMYFUNCTION("""COMPUTED_VALUE"""),"location_name")</f>
        <v>location_name</v>
      </c>
      <c r="C1" s="1" t="str">
        <f ca="1">IFERROR(__xludf.DUMMYFUNCTION("""COMPUTED_VALUE"""),"location_type")</f>
        <v>location_type</v>
      </c>
      <c r="D1" s="1" t="str">
        <f ca="1">IFERROR(__xludf.DUMMYFUNCTION("""COMPUTED_VALUE"""),"location_hierarchy")</f>
        <v>location_hierarchy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2" t="str">
        <f ca="1">IFERROR(__xludf.DUMMYFUNCTION("""COMPUTED_VALUE"""),"Dubai")</f>
        <v>Dubai</v>
      </c>
      <c r="B2" s="2" t="str">
        <f ca="1">IFERROR(__xludf.DUMMYFUNCTION("""COMPUTED_VALUE"""),"Innovation One")</f>
        <v>Innovation One</v>
      </c>
      <c r="C2" s="2" t="str">
        <f ca="1">IFERROR(__xludf.DUMMYFUNCTION("""COMPUTED_VALUE"""),"Building")</f>
        <v>Building</v>
      </c>
      <c r="D2" s="2" t="str">
        <f ca="1">IFERROR(__xludf.DUMMYFUNCTION("""COMPUTED_VALUE"""),"Dubai&gt;Za'abeel&gt;Za'abeel 2&gt;Innovation One")</f>
        <v>Dubai&gt;Za'abeel&gt;Za'abeel 2&gt;Innovation One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35">
      <c r="A3" s="2" t="str">
        <f ca="1">IFERROR(__xludf.DUMMYFUNCTION("""COMPUTED_VALUE"""),"Dubai")</f>
        <v>Dubai</v>
      </c>
      <c r="B3" s="2" t="str">
        <f ca="1">IFERROR(__xludf.DUMMYFUNCTION("""COMPUTED_VALUE"""),"Samari Residences 17")</f>
        <v>Samari Residences 17</v>
      </c>
      <c r="C3" s="2" t="str">
        <f ca="1">IFERROR(__xludf.DUMMYFUNCTION("""COMPUTED_VALUE"""),"Building")</f>
        <v>Building</v>
      </c>
      <c r="D3" s="2" t="str">
        <f ca="1">IFERROR(__xludf.DUMMYFUNCTION("""COMPUTED_VALUE"""),"Dubai&gt;Ras Al Khor&gt;Ras Al Khor Industrial&gt;Ras Al Khor Industrial 3&gt;Samari Residences&gt;Samari Residences 17")</f>
        <v>Dubai&gt;Ras Al Khor&gt;Ras Al Khor Industrial&gt;Ras Al Khor Industrial 3&gt;Samari Residences&gt;Samari Residences 17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35">
      <c r="A4" s="2" t="str">
        <f ca="1">IFERROR(__xludf.DUMMYFUNCTION("""COMPUTED_VALUE"""),"Dubai")</f>
        <v>Dubai</v>
      </c>
      <c r="B4" s="2" t="str">
        <f ca="1">IFERROR(__xludf.DUMMYFUNCTION("""COMPUTED_VALUE"""),"Deyaar Park")</f>
        <v>Deyaar Park</v>
      </c>
      <c r="C4" s="2" t="str">
        <f ca="1">IFERROR(__xludf.DUMMYFUNCTION("""COMPUTED_VALUE"""),"Building")</f>
        <v>Building</v>
      </c>
      <c r="D4" s="2" t="str">
        <f ca="1">IFERROR(__xludf.DUMMYFUNCTION("""COMPUTED_VALUE"""),"Dubai&gt;Jebel Ali&gt;Downtown Jebel Ali&gt;Deyaar Park")</f>
        <v>Dubai&gt;Jebel Ali&gt;Downtown Jebel Ali&gt;Deyaar Park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35">
      <c r="A5" s="2" t="str">
        <f ca="1">IFERROR(__xludf.DUMMYFUNCTION("""COMPUTED_VALUE"""),"Dubai")</f>
        <v>Dubai</v>
      </c>
      <c r="B5" s="2" t="str">
        <f ca="1">IFERROR(__xludf.DUMMYFUNCTION("""COMPUTED_VALUE"""),"Jebel Ali 2")</f>
        <v>Jebel Ali 2</v>
      </c>
      <c r="C5" s="2" t="str">
        <f ca="1">IFERROR(__xludf.DUMMYFUNCTION("""COMPUTED_VALUE"""),"Neighbourhood")</f>
        <v>Neighbourhood</v>
      </c>
      <c r="D5" s="2" t="str">
        <f ca="1">IFERROR(__xludf.DUMMYFUNCTION("""COMPUTED_VALUE"""),"Dubai&gt;Jebel Ali&gt;Jebel Ali 2")</f>
        <v>Dubai&gt;Jebel Ali&gt;Jebel Ali 2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 customHeight="1" x14ac:dyDescent="0.35">
      <c r="A6" s="2" t="str">
        <f ca="1">IFERROR(__xludf.DUMMYFUNCTION("""COMPUTED_VALUE"""),"Dubai")</f>
        <v>Dubai</v>
      </c>
      <c r="B6" s="2" t="str">
        <f ca="1">IFERROR(__xludf.DUMMYFUNCTION("""COMPUTED_VALUE"""),"Oswego Summit Building")</f>
        <v>Oswego Summit Building</v>
      </c>
      <c r="C6" s="2" t="str">
        <f ca="1">IFERROR(__xludf.DUMMYFUNCTION("""COMPUTED_VALUE"""),"Building")</f>
        <v>Building</v>
      </c>
      <c r="D6" s="2" t="str">
        <f ca="1">IFERROR(__xludf.DUMMYFUNCTION("""COMPUTED_VALUE"""),"Dubai&gt;Nad Al Hamar&gt;Oswego Summit Building")</f>
        <v>Dubai&gt;Nad Al Hamar&gt;Oswego Summit Building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x14ac:dyDescent="0.35">
      <c r="A7" s="2" t="str">
        <f ca="1">IFERROR(__xludf.DUMMYFUNCTION("""COMPUTED_VALUE"""),"Dubai")</f>
        <v>Dubai</v>
      </c>
      <c r="B7" s="2" t="str">
        <f ca="1">IFERROR(__xludf.DUMMYFUNCTION("""COMPUTED_VALUE"""),"Global Indian International School, Dubai")</f>
        <v>Global Indian International School, Dubai</v>
      </c>
      <c r="C7" s="2" t="str">
        <f ca="1">IFERROR(__xludf.DUMMYFUNCTION("""COMPUTED_VALUE"""),"School")</f>
        <v>School</v>
      </c>
      <c r="D7" s="2" t="str">
        <f ca="1">IFERROR(__xludf.DUMMYFUNCTION("""COMPUTED_VALUE"""),"Dubai&gt;Al Barsha&gt;Global Indian International School, Dubai")</f>
        <v>Dubai&gt;Al Barsha&gt;Global Indian International School, Dubai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35">
      <c r="A8" s="2" t="str">
        <f ca="1">IFERROR(__xludf.DUMMYFUNCTION("""COMPUTED_VALUE"""),"Dubai")</f>
        <v>Dubai</v>
      </c>
      <c r="B8" s="2" t="str">
        <f ca="1">IFERROR(__xludf.DUMMYFUNCTION("""COMPUTED_VALUE"""),"Tower C")</f>
        <v>Tower C</v>
      </c>
      <c r="C8" s="2" t="str">
        <f ca="1">IFERROR(__xludf.DUMMYFUNCTION("""COMPUTED_VALUE"""),"Building")</f>
        <v>Building</v>
      </c>
      <c r="D8" s="2" t="str">
        <f ca="1">IFERROR(__xludf.DUMMYFUNCTION("""COMPUTED_VALUE"""),"Dubai&gt;Al Barsha&gt;Al Barsha 1&gt;API Trio Towers&gt;Tower C")</f>
        <v>Dubai&gt;Al Barsha&gt;Al Barsha 1&gt;API Trio Towers&gt;Tower C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35">
      <c r="A9" s="2" t="str">
        <f ca="1">IFERROR(__xludf.DUMMYFUNCTION("""COMPUTED_VALUE"""),"Dubai")</f>
        <v>Dubai</v>
      </c>
      <c r="B9" s="2" t="str">
        <f ca="1">IFERROR(__xludf.DUMMYFUNCTION("""COMPUTED_VALUE"""),"Al Thani Residence")</f>
        <v>Al Thani Residence</v>
      </c>
      <c r="C9" s="2" t="str">
        <f ca="1">IFERROR(__xludf.DUMMYFUNCTION("""COMPUTED_VALUE"""),"Building")</f>
        <v>Building</v>
      </c>
      <c r="D9" s="2" t="str">
        <f ca="1">IFERROR(__xludf.DUMMYFUNCTION("""COMPUTED_VALUE"""),"Dubai&gt;Al Barsha&gt;Al Barsha 1&gt;Al Thani Residence")</f>
        <v>Dubai&gt;Al Barsha&gt;Al Barsha 1&gt;Al Thani Residence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35">
      <c r="A10" s="2" t="str">
        <f ca="1">IFERROR(__xludf.DUMMYFUNCTION("""COMPUTED_VALUE"""),"Dubai")</f>
        <v>Dubai</v>
      </c>
      <c r="B10" s="2" t="str">
        <f ca="1">IFERROR(__xludf.DUMMYFUNCTION("""COMPUTED_VALUE"""),"City Stay Residences")</f>
        <v>City Stay Residences</v>
      </c>
      <c r="C10" s="2" t="str">
        <f ca="1">IFERROR(__xludf.DUMMYFUNCTION("""COMPUTED_VALUE"""),"Building")</f>
        <v>Building</v>
      </c>
      <c r="D10" s="2" t="str">
        <f ca="1">IFERROR(__xludf.DUMMYFUNCTION("""COMPUTED_VALUE"""),"Dubai&gt;Al Barsha&gt;Al Barsha 1&gt;City Stay Residences")</f>
        <v>Dubai&gt;Al Barsha&gt;Al Barsha 1&gt;City Stay Residences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 customHeight="1" x14ac:dyDescent="0.35">
      <c r="A11" s="2" t="str">
        <f ca="1">IFERROR(__xludf.DUMMYFUNCTION("""COMPUTED_VALUE"""),"Dubai")</f>
        <v>Dubai</v>
      </c>
      <c r="B11" s="2" t="str">
        <f ca="1">IFERROR(__xludf.DUMMYFUNCTION("""COMPUTED_VALUE"""),"Al Raha Building")</f>
        <v>Al Raha Building</v>
      </c>
      <c r="C11" s="2" t="str">
        <f ca="1">IFERROR(__xludf.DUMMYFUNCTION("""COMPUTED_VALUE"""),"Building")</f>
        <v>Building</v>
      </c>
      <c r="D11" s="2" t="str">
        <f ca="1">IFERROR(__xludf.DUMMYFUNCTION("""COMPUTED_VALUE"""),"Dubai&gt;Al Barsha&gt;Al Barsha 1&gt;Al Raha Building")</f>
        <v>Dubai&gt;Al Barsha&gt;Al Barsha 1&gt;Al Raha Building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 customHeight="1" x14ac:dyDescent="0.35">
      <c r="A12" s="2" t="str">
        <f ca="1">IFERROR(__xludf.DUMMYFUNCTION("""COMPUTED_VALUE"""),"Dubai")</f>
        <v>Dubai</v>
      </c>
      <c r="B12" s="2" t="str">
        <f ca="1">IFERROR(__xludf.DUMMYFUNCTION("""COMPUTED_VALUE"""),"City House 2")</f>
        <v>City House 2</v>
      </c>
      <c r="C12" s="2" t="str">
        <f ca="1">IFERROR(__xludf.DUMMYFUNCTION("""COMPUTED_VALUE"""),"Building")</f>
        <v>Building</v>
      </c>
      <c r="D12" s="2" t="str">
        <f ca="1">IFERROR(__xludf.DUMMYFUNCTION("""COMPUTED_VALUE"""),"Dubai&gt;Al Barsha&gt;Al Barsha 1&gt;City House 2")</f>
        <v>Dubai&gt;Al Barsha&gt;Al Barsha 1&gt;City House 2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 customHeight="1" x14ac:dyDescent="0.35">
      <c r="A13" s="2" t="str">
        <f ca="1">IFERROR(__xludf.DUMMYFUNCTION("""COMPUTED_VALUE"""),"Dubai")</f>
        <v>Dubai</v>
      </c>
      <c r="B13" s="2" t="str">
        <f ca="1">IFERROR(__xludf.DUMMYFUNCTION("""COMPUTED_VALUE"""),"Dania Building")</f>
        <v>Dania Building</v>
      </c>
      <c r="C13" s="2" t="str">
        <f ca="1">IFERROR(__xludf.DUMMYFUNCTION("""COMPUTED_VALUE"""),"Building")</f>
        <v>Building</v>
      </c>
      <c r="D13" s="2" t="str">
        <f ca="1">IFERROR(__xludf.DUMMYFUNCTION("""COMPUTED_VALUE"""),"Dubai&gt;Al Barsha&gt;Al Barsha 1&gt;Dania Building")</f>
        <v>Dubai&gt;Al Barsha&gt;Al Barsha 1&gt;Dania Building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 customHeight="1" x14ac:dyDescent="0.35">
      <c r="A14" s="2" t="str">
        <f ca="1">IFERROR(__xludf.DUMMYFUNCTION("""COMPUTED_VALUE"""),"Dubai")</f>
        <v>Dubai</v>
      </c>
      <c r="B14" s="2" t="str">
        <f ca="1">IFERROR(__xludf.DUMMYFUNCTION("""COMPUTED_VALUE"""),"Akas Inn Hotel Apartments")</f>
        <v>Akas Inn Hotel Apartments</v>
      </c>
      <c r="C14" s="2" t="str">
        <f ca="1">IFERROR(__xludf.DUMMYFUNCTION("""COMPUTED_VALUE"""),"Building")</f>
        <v>Building</v>
      </c>
      <c r="D14" s="2" t="str">
        <f ca="1">IFERROR(__xludf.DUMMYFUNCTION("""COMPUTED_VALUE"""),"Dubai&gt;Al Barsha&gt;Al Barsha 1&gt;Akas Inn Hotel Apartments")</f>
        <v>Dubai&gt;Al Barsha&gt;Al Barsha 1&gt;Akas Inn Hotel Apartments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 customHeight="1" x14ac:dyDescent="0.35">
      <c r="A15" s="2" t="str">
        <f ca="1">IFERROR(__xludf.DUMMYFUNCTION("""COMPUTED_VALUE"""),"Dubai")</f>
        <v>Dubai</v>
      </c>
      <c r="B15" s="2" t="str">
        <f ca="1">IFERROR(__xludf.DUMMYFUNCTION("""COMPUTED_VALUE"""),"Al Bafta Grand Tower")</f>
        <v>Al Bafta Grand Tower</v>
      </c>
      <c r="C15" s="2" t="str">
        <f ca="1">IFERROR(__xludf.DUMMYFUNCTION("""COMPUTED_VALUE"""),"Building")</f>
        <v>Building</v>
      </c>
      <c r="D15" s="2" t="str">
        <f ca="1">IFERROR(__xludf.DUMMYFUNCTION("""COMPUTED_VALUE"""),"Dubai&gt;Al Barsha&gt;Al Barsha 1&gt;Al Bafta Grand Tower")</f>
        <v>Dubai&gt;Al Barsha&gt;Al Barsha 1&gt;Al Bafta Grand Tower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 customHeight="1" x14ac:dyDescent="0.35">
      <c r="A16" s="2" t="str">
        <f ca="1">IFERROR(__xludf.DUMMYFUNCTION("""COMPUTED_VALUE"""),"Dubai")</f>
        <v>Dubai</v>
      </c>
      <c r="B16" s="2" t="str">
        <f ca="1">IFERROR(__xludf.DUMMYFUNCTION("""COMPUTED_VALUE"""),"Sheikha Noora Bint Obaid Bin Thani Al Maktoum Building")</f>
        <v>Sheikha Noora Bint Obaid Bin Thani Al Maktoum Building</v>
      </c>
      <c r="C16" s="2" t="str">
        <f ca="1">IFERROR(__xludf.DUMMYFUNCTION("""COMPUTED_VALUE"""),"Building")</f>
        <v>Building</v>
      </c>
      <c r="D16" s="2" t="str">
        <f ca="1">IFERROR(__xludf.DUMMYFUNCTION("""COMPUTED_VALUE"""),"Dubai&gt;Al Barsha&gt;Al Barsha 1&gt;Sheikha Noora Bint Obaid Bin Thani Al Maktoum Building")</f>
        <v>Dubai&gt;Al Barsha&gt;Al Barsha 1&gt;Sheikha Noora Bint Obaid Bin Thani Al Maktoum Building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 customHeight="1" x14ac:dyDescent="0.35">
      <c r="A17" s="2" t="str">
        <f ca="1">IFERROR(__xludf.DUMMYFUNCTION("""COMPUTED_VALUE"""),"Dubai")</f>
        <v>Dubai</v>
      </c>
      <c r="B17" s="2" t="str">
        <f ca="1">IFERROR(__xludf.DUMMYFUNCTION("""COMPUTED_VALUE"""),"Blossom Nursery Business Bay")</f>
        <v>Blossom Nursery Business Bay</v>
      </c>
      <c r="C17" s="2" t="str">
        <f ca="1">IFERROR(__xludf.DUMMYFUNCTION("""COMPUTED_VALUE"""),"Nursery")</f>
        <v>Nursery</v>
      </c>
      <c r="D17" s="2" t="str">
        <f ca="1">IFERROR(__xludf.DUMMYFUNCTION("""COMPUTED_VALUE"""),"Dubai&gt;Downtown Dubai&gt;Blossom Nursery Business Bay")</f>
        <v>Dubai&gt;Downtown Dubai&gt;Blossom Nursery Business Bay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 customHeight="1" x14ac:dyDescent="0.35">
      <c r="A18" s="2" t="str">
        <f ca="1">IFERROR(__xludf.DUMMYFUNCTION("""COMPUTED_VALUE"""),"Dubai")</f>
        <v>Dubai</v>
      </c>
      <c r="B18" s="2" t="str">
        <f ca="1">IFERROR(__xludf.DUMMYFUNCTION("""COMPUTED_VALUE"""),"Movenpick Hotel Apartments Downtown")</f>
        <v>Movenpick Hotel Apartments Downtown</v>
      </c>
      <c r="C18" s="2" t="str">
        <f ca="1">IFERROR(__xludf.DUMMYFUNCTION("""COMPUTED_VALUE"""),"Building")</f>
        <v>Building</v>
      </c>
      <c r="D18" s="2" t="str">
        <f ca="1">IFERROR(__xludf.DUMMYFUNCTION("""COMPUTED_VALUE"""),"Dubai&gt;Downtown Dubai&gt;Movenpick Hotel Apartments Downtown")</f>
        <v>Dubai&gt;Downtown Dubai&gt;Movenpick Hotel Apartments Downtown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 customHeight="1" x14ac:dyDescent="0.35">
      <c r="A19" s="2" t="str">
        <f ca="1">IFERROR(__xludf.DUMMYFUNCTION("""COMPUTED_VALUE"""),"Dubai")</f>
        <v>Dubai</v>
      </c>
      <c r="B19" s="2" t="str">
        <f ca="1">IFERROR(__xludf.DUMMYFUNCTION("""COMPUTED_VALUE"""),"The Old Town Island")</f>
        <v>The Old Town Island</v>
      </c>
      <c r="C19" s="2" t="str">
        <f ca="1">IFERROR(__xludf.DUMMYFUNCTION("""COMPUTED_VALUE"""),"Neighbourhood")</f>
        <v>Neighbourhood</v>
      </c>
      <c r="D19" s="2" t="str">
        <f ca="1">IFERROR(__xludf.DUMMYFUNCTION("""COMPUTED_VALUE"""),"Dubai&gt;Downtown Dubai&gt;The Old Town Island")</f>
        <v>Dubai&gt;Downtown Dubai&gt;The Old Town Island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35">
      <c r="A20" s="2" t="str">
        <f ca="1">IFERROR(__xludf.DUMMYFUNCTION("""COMPUTED_VALUE"""),"Dubai")</f>
        <v>Dubai</v>
      </c>
      <c r="B20" s="2" t="str">
        <f ca="1">IFERROR(__xludf.DUMMYFUNCTION("""COMPUTED_VALUE"""),"Burj Khalifa")</f>
        <v>Burj Khalifa</v>
      </c>
      <c r="C20" s="2" t="str">
        <f ca="1">IFERROR(__xludf.DUMMYFUNCTION("""COMPUTED_VALUE"""),"Building")</f>
        <v>Building</v>
      </c>
      <c r="D20" s="2" t="str">
        <f ca="1">IFERROR(__xludf.DUMMYFUNCTION("""COMPUTED_VALUE"""),"Dubai&gt;Downtown Dubai&gt;Burj Khalifa")</f>
        <v>Dubai&gt;Downtown Dubai&gt;Burj Khalifa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35">
      <c r="A21" s="2" t="str">
        <f ca="1">IFERROR(__xludf.DUMMYFUNCTION("""COMPUTED_VALUE"""),"Dubai")</f>
        <v>Dubai</v>
      </c>
      <c r="B21" s="2" t="str">
        <f ca="1">IFERROR(__xludf.DUMMYFUNCTION("""COMPUTED_VALUE"""),"Reehan")</f>
        <v>Reehan</v>
      </c>
      <c r="C21" s="2" t="str">
        <f ca="1">IFERROR(__xludf.DUMMYFUNCTION("""COMPUTED_VALUE"""),"Cluster")</f>
        <v>Cluster</v>
      </c>
      <c r="D21" s="2" t="str">
        <f ca="1">IFERROR(__xludf.DUMMYFUNCTION("""COMPUTED_VALUE"""),"Dubai&gt;Downtown Dubai&gt;Old Town&gt;Reehan")</f>
        <v>Dubai&gt;Downtown Dubai&gt;Old Town&gt;Reehan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6.5" x14ac:dyDescent="0.35">
      <c r="A22" s="2" t="str">
        <f ca="1">IFERROR(__xludf.DUMMYFUNCTION("""COMPUTED_VALUE"""),"Dubai")</f>
        <v>Dubai</v>
      </c>
      <c r="B22" s="2" t="str">
        <f ca="1">IFERROR(__xludf.DUMMYFUNCTION("""COMPUTED_VALUE"""),"Vizir Downtown")</f>
        <v>Vizir Downtown</v>
      </c>
      <c r="C22" s="2" t="str">
        <f ca="1">IFERROR(__xludf.DUMMYFUNCTION("""COMPUTED_VALUE"""),"Building")</f>
        <v>Building</v>
      </c>
      <c r="D22" s="2" t="str">
        <f ca="1">IFERROR(__xludf.DUMMYFUNCTION("""COMPUTED_VALUE"""),"Dubai&gt;Downtown Dubai&gt;Vizir Downtown")</f>
        <v>Dubai&gt;Downtown Dubai&gt;Vizir Downtown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6.5" x14ac:dyDescent="0.35">
      <c r="A23" s="2" t="str">
        <f ca="1">IFERROR(__xludf.DUMMYFUNCTION("""COMPUTED_VALUE"""),"Dubai")</f>
        <v>Dubai</v>
      </c>
      <c r="B23" s="2" t="str">
        <f ca="1">IFERROR(__xludf.DUMMYFUNCTION("""COMPUTED_VALUE"""),"Sofitel Residences Downtown")</f>
        <v>Sofitel Residences Downtown</v>
      </c>
      <c r="C23" s="2" t="str">
        <f ca="1">IFERROR(__xludf.DUMMYFUNCTION("""COMPUTED_VALUE"""),"Building")</f>
        <v>Building</v>
      </c>
      <c r="D23" s="2" t="str">
        <f ca="1">IFERROR(__xludf.DUMMYFUNCTION("""COMPUTED_VALUE"""),"Dubai&gt;Downtown Dubai&gt;Sofitel Residences Downtown")</f>
        <v>Dubai&gt;Downtown Dubai&gt;Sofitel Residences Downtown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6.5" x14ac:dyDescent="0.35">
      <c r="A24" s="2" t="str">
        <f ca="1">IFERROR(__xludf.DUMMYFUNCTION("""COMPUTED_VALUE"""),"Dubai")</f>
        <v>Dubai</v>
      </c>
      <c r="B24" s="2" t="str">
        <f ca="1">IFERROR(__xludf.DUMMYFUNCTION("""COMPUTED_VALUE"""),"Binghatti Jewels")</f>
        <v>Binghatti Jewels</v>
      </c>
      <c r="C24" s="2" t="str">
        <f ca="1">IFERROR(__xludf.DUMMYFUNCTION("""COMPUTED_VALUE"""),"Building")</f>
        <v>Building</v>
      </c>
      <c r="D24" s="2" t="str">
        <f ca="1">IFERROR(__xludf.DUMMYFUNCTION("""COMPUTED_VALUE"""),"Dubai&gt;Liwan&gt;Queue Point&gt;Binghatti Jewels")</f>
        <v>Dubai&gt;Liwan&gt;Queue Point&gt;Binghatti Jewels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6.5" x14ac:dyDescent="0.35">
      <c r="A25" s="2" t="str">
        <f ca="1">IFERROR(__xludf.DUMMYFUNCTION("""COMPUTED_VALUE"""),"Dubai")</f>
        <v>Dubai</v>
      </c>
      <c r="B25" s="2" t="str">
        <f ca="1">IFERROR(__xludf.DUMMYFUNCTION("""COMPUTED_VALUE"""),"Geepas Park View 1")</f>
        <v>Geepas Park View 1</v>
      </c>
      <c r="C25" s="2" t="str">
        <f ca="1">IFERROR(__xludf.DUMMYFUNCTION("""COMPUTED_VALUE"""),"Building")</f>
        <v>Building</v>
      </c>
      <c r="D25" s="2" t="str">
        <f ca="1">IFERROR(__xludf.DUMMYFUNCTION("""COMPUTED_VALUE"""),"Dubai&gt;Liwan&gt;Queue Point&gt;Geepas Park View 1")</f>
        <v>Dubai&gt;Liwan&gt;Queue Point&gt;Geepas Park View 1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6.5" x14ac:dyDescent="0.35">
      <c r="A26" s="2" t="str">
        <f ca="1">IFERROR(__xludf.DUMMYFUNCTION("""COMPUTED_VALUE"""),"Dubai")</f>
        <v>Dubai</v>
      </c>
      <c r="B26" s="2" t="str">
        <f ca="1">IFERROR(__xludf.DUMMYFUNCTION("""COMPUTED_VALUE"""),"Al Khawaneej 2")</f>
        <v>Al Khawaneej 2</v>
      </c>
      <c r="C26" s="2" t="str">
        <f ca="1">IFERROR(__xludf.DUMMYFUNCTION("""COMPUTED_VALUE"""),"Neighbourhood")</f>
        <v>Neighbourhood</v>
      </c>
      <c r="D26" s="2" t="str">
        <f ca="1">IFERROR(__xludf.DUMMYFUNCTION("""COMPUTED_VALUE"""),"Dubai&gt;Al Khawaneej&gt;Al Khawaneej 2")</f>
        <v>Dubai&gt;Al Khawaneej&gt;Al Khawaneej 2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6.5" x14ac:dyDescent="0.35">
      <c r="A27" s="2" t="str">
        <f ca="1">IFERROR(__xludf.DUMMYFUNCTION("""COMPUTED_VALUE"""),"Dubai")</f>
        <v>Dubai</v>
      </c>
      <c r="B27" s="2" t="str">
        <f ca="1">IFERROR(__xludf.DUMMYFUNCTION("""COMPUTED_VALUE"""),"Central Park Towers")</f>
        <v>Central Park Towers</v>
      </c>
      <c r="C27" s="2" t="str">
        <f ca="1">IFERROR(__xludf.DUMMYFUNCTION("""COMPUTED_VALUE"""),"Cluster")</f>
        <v>Cluster</v>
      </c>
      <c r="D27" s="2" t="str">
        <f ca="1">IFERROR(__xludf.DUMMYFUNCTION("""COMPUTED_VALUE"""),"Dubai&gt;DIFC&gt;Central Park Towers")</f>
        <v>Dubai&gt;DIFC&gt;Central Park Towers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6.5" x14ac:dyDescent="0.35">
      <c r="A28" s="2" t="str">
        <f ca="1">IFERROR(__xludf.DUMMYFUNCTION("""COMPUTED_VALUE"""),"Dubai")</f>
        <v>Dubai</v>
      </c>
      <c r="B28" s="2" t="str">
        <f ca="1">IFERROR(__xludf.DUMMYFUNCTION("""COMPUTED_VALUE"""),"Gate Avenue at DIFC")</f>
        <v>Gate Avenue at DIFC</v>
      </c>
      <c r="C28" s="2" t="str">
        <f ca="1">IFERROR(__xludf.DUMMYFUNCTION("""COMPUTED_VALUE"""),"Building")</f>
        <v>Building</v>
      </c>
      <c r="D28" s="2" t="str">
        <f ca="1">IFERROR(__xludf.DUMMYFUNCTION("""COMPUTED_VALUE"""),"Dubai&gt;DIFC&gt;Gate Avenue at DIFC")</f>
        <v>Dubai&gt;DIFC&gt;Gate Avenue at DIFC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6.5" x14ac:dyDescent="0.35">
      <c r="A29" s="2" t="str">
        <f ca="1">IFERROR(__xludf.DUMMYFUNCTION("""COMPUTED_VALUE"""),"Dubai")</f>
        <v>Dubai</v>
      </c>
      <c r="B29" s="2" t="str">
        <f ca="1">IFERROR(__xludf.DUMMYFUNCTION("""COMPUTED_VALUE"""),"Al Warqaa 1")</f>
        <v>Al Warqaa 1</v>
      </c>
      <c r="C29" s="2" t="str">
        <f ca="1">IFERROR(__xludf.DUMMYFUNCTION("""COMPUTED_VALUE"""),"Neighbourhood")</f>
        <v>Neighbourhood</v>
      </c>
      <c r="D29" s="2" t="str">
        <f ca="1">IFERROR(__xludf.DUMMYFUNCTION("""COMPUTED_VALUE"""),"Dubai&gt;Al Warqaa&gt;Al Warqaa 1")</f>
        <v>Dubai&gt;Al Warqaa&gt;Al Warqaa 1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6.5" x14ac:dyDescent="0.35">
      <c r="A30" s="2" t="str">
        <f ca="1">IFERROR(__xludf.DUMMYFUNCTION("""COMPUTED_VALUE"""),"Dubai")</f>
        <v>Dubai</v>
      </c>
      <c r="B30" s="2" t="str">
        <f ca="1">IFERROR(__xludf.DUMMYFUNCTION("""COMPUTED_VALUE"""),"Al Blooshi Apartments")</f>
        <v>Al Blooshi Apartments</v>
      </c>
      <c r="C30" s="2" t="str">
        <f ca="1">IFERROR(__xludf.DUMMYFUNCTION("""COMPUTED_VALUE"""),"Building")</f>
        <v>Building</v>
      </c>
      <c r="D30" s="2" t="str">
        <f ca="1">IFERROR(__xludf.DUMMYFUNCTION("""COMPUTED_VALUE"""),"Dubai&gt;Al Warqaa&gt;Al Warqaa 1&gt;Al Blooshi Apartments")</f>
        <v>Dubai&gt;Al Warqaa&gt;Al Warqaa 1&gt;Al Blooshi Apartments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6.5" x14ac:dyDescent="0.35">
      <c r="A31" s="2" t="str">
        <f ca="1">IFERROR(__xludf.DUMMYFUNCTION("""COMPUTED_VALUE"""),"Dubai")</f>
        <v>Dubai</v>
      </c>
      <c r="B31" s="2" t="str">
        <f ca="1">IFERROR(__xludf.DUMMYFUNCTION("""COMPUTED_VALUE"""),"Solaire 6")</f>
        <v>Solaire 6</v>
      </c>
      <c r="C31" s="2" t="str">
        <f ca="1">IFERROR(__xludf.DUMMYFUNCTION("""COMPUTED_VALUE"""),"Building")</f>
        <v>Building</v>
      </c>
      <c r="D31" s="2" t="str">
        <f ca="1">IFERROR(__xludf.DUMMYFUNCTION("""COMPUTED_VALUE"""),"Dubai&gt;Al Warqaa&gt;Al Warqaa 1&gt;Solaire 6")</f>
        <v>Dubai&gt;Al Warqaa&gt;Al Warqaa 1&gt;Solaire 6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6.5" x14ac:dyDescent="0.35">
      <c r="A32" s="2" t="str">
        <f ca="1">IFERROR(__xludf.DUMMYFUNCTION("""COMPUTED_VALUE"""),"Dubai")</f>
        <v>Dubai</v>
      </c>
      <c r="B32" s="2" t="str">
        <f ca="1">IFERROR(__xludf.DUMMYFUNCTION("""COMPUTED_VALUE"""),"Nabil Abdul Rahim Hussain Gargash Building")</f>
        <v>Nabil Abdul Rahim Hussain Gargash Building</v>
      </c>
      <c r="C32" s="2" t="str">
        <f ca="1">IFERROR(__xludf.DUMMYFUNCTION("""COMPUTED_VALUE"""),"Building")</f>
        <v>Building</v>
      </c>
      <c r="D32" s="2" t="str">
        <f ca="1">IFERROR(__xludf.DUMMYFUNCTION("""COMPUTED_VALUE"""),"Dubai&gt;Al Warqaa&gt;Al Warqaa 1&gt;Nabil Abdul Rahim Hussain Gargash Building")</f>
        <v>Dubai&gt;Al Warqaa&gt;Al Warqaa 1&gt;Nabil Abdul Rahim Hussain Gargash Building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6.5" x14ac:dyDescent="0.35">
      <c r="A33" s="2" t="str">
        <f ca="1">IFERROR(__xludf.DUMMYFUNCTION("""COMPUTED_VALUE"""),"Dubai")</f>
        <v>Dubai</v>
      </c>
      <c r="B33" s="2" t="str">
        <f ca="1">IFERROR(__xludf.DUMMYFUNCTION("""COMPUTED_VALUE"""),"Fancy Rose Apartments")</f>
        <v>Fancy Rose Apartments</v>
      </c>
      <c r="C33" s="2" t="str">
        <f ca="1">IFERROR(__xludf.DUMMYFUNCTION("""COMPUTED_VALUE"""),"Building")</f>
        <v>Building</v>
      </c>
      <c r="D33" s="2" t="str">
        <f ca="1">IFERROR(__xludf.DUMMYFUNCTION("""COMPUTED_VALUE"""),"Dubai&gt;Jumeirah Lake Towers (JLT)&gt;Fancy Rose&gt;Fancy Rose Apartments")</f>
        <v>Dubai&gt;Jumeirah Lake Towers (JLT)&gt;Fancy Rose&gt;Fancy Rose Apartments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6.5" x14ac:dyDescent="0.35">
      <c r="A34" s="2" t="str">
        <f ca="1">IFERROR(__xludf.DUMMYFUNCTION("""COMPUTED_VALUE"""),"Dubai")</f>
        <v>Dubai</v>
      </c>
      <c r="B34" s="2" t="str">
        <f ca="1">IFERROR(__xludf.DUMMYFUNCTION("""COMPUTED_VALUE"""),"Indigo Icon")</f>
        <v>Indigo Icon</v>
      </c>
      <c r="C34" s="2" t="str">
        <f ca="1">IFERROR(__xludf.DUMMYFUNCTION("""COMPUTED_VALUE"""),"Building")</f>
        <v>Building</v>
      </c>
      <c r="D34" s="2" t="str">
        <f ca="1">IFERROR(__xludf.DUMMYFUNCTION("""COMPUTED_VALUE"""),"Dubai&gt;Jumeirah Lake Towers (JLT)&gt;JLT Cluster F&gt;Indigo Icon")</f>
        <v>Dubai&gt;Jumeirah Lake Towers (JLT)&gt;JLT Cluster F&gt;Indigo Icon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6.5" x14ac:dyDescent="0.35">
      <c r="A35" s="2" t="str">
        <f ca="1">IFERROR(__xludf.DUMMYFUNCTION("""COMPUTED_VALUE"""),"Dubai")</f>
        <v>Dubai</v>
      </c>
      <c r="B35" s="2" t="str">
        <f ca="1">IFERROR(__xludf.DUMMYFUNCTION("""COMPUTED_VALUE"""),"Baby Home Nursery")</f>
        <v>Baby Home Nursery</v>
      </c>
      <c r="C35" s="2" t="str">
        <f ca="1">IFERROR(__xludf.DUMMYFUNCTION("""COMPUTED_VALUE"""),"Nursery")</f>
        <v>Nursery</v>
      </c>
      <c r="D35" s="2" t="str">
        <f ca="1">IFERROR(__xludf.DUMMYFUNCTION("""COMPUTED_VALUE"""),"Dubai&gt;Jumeirah Lake Towers (JLT)&gt;JLT Cluster N&gt;Baby Home Nursery")</f>
        <v>Dubai&gt;Jumeirah Lake Towers (JLT)&gt;JLT Cluster N&gt;Baby Home Nursery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6.5" x14ac:dyDescent="0.35">
      <c r="A36" s="2" t="str">
        <f ca="1">IFERROR(__xludf.DUMMYFUNCTION("""COMPUTED_VALUE"""),"Dubai")</f>
        <v>Dubai</v>
      </c>
      <c r="B36" s="2" t="str">
        <f ca="1">IFERROR(__xludf.DUMMYFUNCTION("""COMPUTED_VALUE"""),"Tamweel Tower")</f>
        <v>Tamweel Tower</v>
      </c>
      <c r="C36" s="2" t="str">
        <f ca="1">IFERROR(__xludf.DUMMYFUNCTION("""COMPUTED_VALUE"""),"Building")</f>
        <v>Building</v>
      </c>
      <c r="D36" s="2" t="str">
        <f ca="1">IFERROR(__xludf.DUMMYFUNCTION("""COMPUTED_VALUE"""),"Dubai&gt;Jumeirah Lake Towers (JLT)&gt;JLT Cluster U&gt;Tamweel Tower")</f>
        <v>Dubai&gt;Jumeirah Lake Towers (JLT)&gt;JLT Cluster U&gt;Tamweel Tower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6.5" x14ac:dyDescent="0.35">
      <c r="A37" s="2" t="str">
        <f ca="1">IFERROR(__xludf.DUMMYFUNCTION("""COMPUTED_VALUE"""),"Dubai")</f>
        <v>Dubai</v>
      </c>
      <c r="B37" s="2" t="str">
        <f ca="1">IFERROR(__xludf.DUMMYFUNCTION("""COMPUTED_VALUE"""),"Uptown Dubai")</f>
        <v>Uptown Dubai</v>
      </c>
      <c r="C37" s="2" t="str">
        <f ca="1">IFERROR(__xludf.DUMMYFUNCTION("""COMPUTED_VALUE"""),"Neighbourhood")</f>
        <v>Neighbourhood</v>
      </c>
      <c r="D37" s="2" t="str">
        <f ca="1">IFERROR(__xludf.DUMMYFUNCTION("""COMPUTED_VALUE"""),"Dubai&gt;Jumeirah Lake Towers (JLT)&gt;Uptown Dubai")</f>
        <v>Dubai&gt;Jumeirah Lake Towers (JLT)&gt;Uptown Dubai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6.5" x14ac:dyDescent="0.35">
      <c r="A38" s="2" t="str">
        <f ca="1">IFERROR(__xludf.DUMMYFUNCTION("""COMPUTED_VALUE"""),"Dubai")</f>
        <v>Dubai</v>
      </c>
      <c r="B38" s="2" t="str">
        <f ca="1">IFERROR(__xludf.DUMMYFUNCTION("""COMPUTED_VALUE"""),"Mudon Al Ranim 8")</f>
        <v>Mudon Al Ranim 8</v>
      </c>
      <c r="C38" s="2" t="str">
        <f ca="1">IFERROR(__xludf.DUMMYFUNCTION("""COMPUTED_VALUE"""),"Neighbourhood")</f>
        <v>Neighbourhood</v>
      </c>
      <c r="D38" s="2" t="str">
        <f ca="1">IFERROR(__xludf.DUMMYFUNCTION("""COMPUTED_VALUE"""),"Dubai&gt;Mudon&gt;Mudon Al Ranim&gt;Mudon Al Ranim 8")</f>
        <v>Dubai&gt;Mudon&gt;Mudon Al Ranim&gt;Mudon Al Ranim 8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6.5" x14ac:dyDescent="0.35">
      <c r="A39" s="2" t="str">
        <f ca="1">IFERROR(__xludf.DUMMYFUNCTION("""COMPUTED_VALUE"""),"Dubai")</f>
        <v>Dubai</v>
      </c>
      <c r="B39" s="2" t="str">
        <f ca="1">IFERROR(__xludf.DUMMYFUNCTION("""COMPUTED_VALUE"""),"Jumeirah Garden City")</f>
        <v>Jumeirah Garden City</v>
      </c>
      <c r="C39" s="2" t="str">
        <f ca="1">IFERROR(__xludf.DUMMYFUNCTION("""COMPUTED_VALUE"""),"Neighbourhood")</f>
        <v>Neighbourhood</v>
      </c>
      <c r="D39" s="2" t="str">
        <f ca="1">IFERROR(__xludf.DUMMYFUNCTION("""COMPUTED_VALUE"""),"Dubai&gt;Al Satwa&gt;Jumeirah Garden City")</f>
        <v>Dubai&gt;Al Satwa&gt;Jumeirah Garden City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6.5" x14ac:dyDescent="0.35">
      <c r="A40" s="2" t="str">
        <f ca="1">IFERROR(__xludf.DUMMYFUNCTION("""COMPUTED_VALUE"""),"Dubai")</f>
        <v>Dubai</v>
      </c>
      <c r="B40" s="2" t="str">
        <f ca="1">IFERROR(__xludf.DUMMYFUNCTION("""COMPUTED_VALUE"""),"Alya Residence")</f>
        <v>Alya Residence</v>
      </c>
      <c r="C40" s="2" t="str">
        <f ca="1">IFERROR(__xludf.DUMMYFUNCTION("""COMPUTED_VALUE"""),"Building")</f>
        <v>Building</v>
      </c>
      <c r="D40" s="2" t="str">
        <f ca="1">IFERROR(__xludf.DUMMYFUNCTION("""COMPUTED_VALUE"""),"Dubai&gt;Al Satwa&gt;Jumeirah Garden City&gt;Alya Residence")</f>
        <v>Dubai&gt;Al Satwa&gt;Jumeirah Garden City&gt;Alya Residence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6.5" x14ac:dyDescent="0.35">
      <c r="A41" s="2" t="str">
        <f ca="1">IFERROR(__xludf.DUMMYFUNCTION("""COMPUTED_VALUE"""),"Dubai")</f>
        <v>Dubai</v>
      </c>
      <c r="B41" s="2" t="str">
        <f ca="1">IFERROR(__xludf.DUMMYFUNCTION("""COMPUTED_VALUE"""),"Jumeirah Garden Building 4")</f>
        <v>Jumeirah Garden Building 4</v>
      </c>
      <c r="C41" s="2" t="str">
        <f ca="1">IFERROR(__xludf.DUMMYFUNCTION("""COMPUTED_VALUE"""),"Building")</f>
        <v>Building</v>
      </c>
      <c r="D41" s="2" t="str">
        <f ca="1">IFERROR(__xludf.DUMMYFUNCTION("""COMPUTED_VALUE"""),"Dubai&gt;Al Satwa&gt;Jumeirah Garden City&gt;Jumeirah Garden Building 4")</f>
        <v>Dubai&gt;Al Satwa&gt;Jumeirah Garden City&gt;Jumeirah Garden Building 4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6.5" x14ac:dyDescent="0.35">
      <c r="A42" s="2" t="str">
        <f ca="1">IFERROR(__xludf.DUMMYFUNCTION("""COMPUTED_VALUE"""),"Dubai")</f>
        <v>Dubai</v>
      </c>
      <c r="B42" s="2" t="str">
        <f ca="1">IFERROR(__xludf.DUMMYFUNCTION("""COMPUTED_VALUE"""),"Holm One")</f>
        <v>Holm One</v>
      </c>
      <c r="C42" s="2" t="str">
        <f ca="1">IFERROR(__xludf.DUMMYFUNCTION("""COMPUTED_VALUE"""),"Building")</f>
        <v>Building</v>
      </c>
      <c r="D42" s="2" t="str">
        <f ca="1">IFERROR(__xludf.DUMMYFUNCTION("""COMPUTED_VALUE"""),"Dubai&gt;Al Satwa&gt;Jumeirah Garden City&gt;Holm One")</f>
        <v>Dubai&gt;Al Satwa&gt;Jumeirah Garden City&gt;Holm One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6.5" x14ac:dyDescent="0.35">
      <c r="A43" s="2" t="str">
        <f ca="1">IFERROR(__xludf.DUMMYFUNCTION("""COMPUTED_VALUE"""),"Dubai")</f>
        <v>Dubai</v>
      </c>
      <c r="B43" s="2" t="str">
        <f ca="1">IFERROR(__xludf.DUMMYFUNCTION("""COMPUTED_VALUE"""),"Arab Unity School")</f>
        <v>Arab Unity School</v>
      </c>
      <c r="C43" s="2" t="str">
        <f ca="1">IFERROR(__xludf.DUMMYFUNCTION("""COMPUTED_VALUE"""),"School")</f>
        <v>School</v>
      </c>
      <c r="D43" s="2" t="str">
        <f ca="1">IFERROR(__xludf.DUMMYFUNCTION("""COMPUTED_VALUE"""),"Dubai&gt;Al Mizhar&gt;Al Mizhar 2&gt;Arab Unity School")</f>
        <v>Dubai&gt;Al Mizhar&gt;Al Mizhar 2&gt;Arab Unity School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6.5" x14ac:dyDescent="0.35">
      <c r="A44" s="2" t="str">
        <f ca="1">IFERROR(__xludf.DUMMYFUNCTION("""COMPUTED_VALUE"""),"Dubai")</f>
        <v>Dubai</v>
      </c>
      <c r="B44" s="2" t="str">
        <f ca="1">IFERROR(__xludf.DUMMYFUNCTION("""COMPUTED_VALUE"""),"Building 119")</f>
        <v>Building 119</v>
      </c>
      <c r="C44" s="2" t="str">
        <f ca="1">IFERROR(__xludf.DUMMYFUNCTION("""COMPUTED_VALUE"""),"Building")</f>
        <v>Building</v>
      </c>
      <c r="D44" s="2" t="str">
        <f ca="1">IFERROR(__xludf.DUMMYFUNCTION("""COMPUTED_VALUE"""),"Dubai&gt;Discovery Gardens&gt;Contemporary&gt;Building 119")</f>
        <v>Dubai&gt;Discovery Gardens&gt;Contemporary&gt;Building 119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6.5" x14ac:dyDescent="0.35">
      <c r="A45" s="2" t="str">
        <f ca="1">IFERROR(__xludf.DUMMYFUNCTION("""COMPUTED_VALUE"""),"Dubai")</f>
        <v>Dubai</v>
      </c>
      <c r="B45" s="2" t="str">
        <f ca="1">IFERROR(__xludf.DUMMYFUNCTION("""COMPUTED_VALUE"""),"Building 245")</f>
        <v>Building 245</v>
      </c>
      <c r="C45" s="2" t="str">
        <f ca="1">IFERROR(__xludf.DUMMYFUNCTION("""COMPUTED_VALUE"""),"Building")</f>
        <v>Building</v>
      </c>
      <c r="D45" s="2" t="str">
        <f ca="1">IFERROR(__xludf.DUMMYFUNCTION("""COMPUTED_VALUE"""),"Dubai&gt;Discovery Gardens&gt;Mesoamerican&gt;Building 245")</f>
        <v>Dubai&gt;Discovery Gardens&gt;Mesoamerican&gt;Building 245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6.5" x14ac:dyDescent="0.35">
      <c r="A46" s="2" t="str">
        <f ca="1">IFERROR(__xludf.DUMMYFUNCTION("""COMPUTED_VALUE"""),"Dubai")</f>
        <v>Dubai</v>
      </c>
      <c r="B46" s="2" t="str">
        <f ca="1">IFERROR(__xludf.DUMMYFUNCTION("""COMPUTED_VALUE"""),"Building 208")</f>
        <v>Building 208</v>
      </c>
      <c r="C46" s="2" t="str">
        <f ca="1">IFERROR(__xludf.DUMMYFUNCTION("""COMPUTED_VALUE"""),"Building")</f>
        <v>Building</v>
      </c>
      <c r="D46" s="2" t="str">
        <f ca="1">IFERROR(__xludf.DUMMYFUNCTION("""COMPUTED_VALUE"""),"Dubai&gt;Discovery Gardens&gt;Mogul&gt;Building 208")</f>
        <v>Dubai&gt;Discovery Gardens&gt;Mogul&gt;Building 208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6.5" x14ac:dyDescent="0.35">
      <c r="A47" s="2" t="str">
        <f ca="1">IFERROR(__xludf.DUMMYFUNCTION("""COMPUTED_VALUE"""),"Dubai")</f>
        <v>Dubai</v>
      </c>
      <c r="B47" s="2" t="str">
        <f ca="1">IFERROR(__xludf.DUMMYFUNCTION("""COMPUTED_VALUE"""),"Building 8")</f>
        <v>Building 8</v>
      </c>
      <c r="C47" s="2" t="str">
        <f ca="1">IFERROR(__xludf.DUMMYFUNCTION("""COMPUTED_VALUE"""),"Building")</f>
        <v>Building</v>
      </c>
      <c r="D47" s="2" t="str">
        <f ca="1">IFERROR(__xludf.DUMMYFUNCTION("""COMPUTED_VALUE"""),"Dubai&gt;Discovery Gardens&gt;Zen Cluster&gt;Building 8")</f>
        <v>Dubai&gt;Discovery Gardens&gt;Zen Cluster&gt;Building 8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6.5" x14ac:dyDescent="0.35">
      <c r="A48" s="2" t="str">
        <f ca="1">IFERROR(__xludf.DUMMYFUNCTION("""COMPUTED_VALUE"""),"Dubai")</f>
        <v>Dubai</v>
      </c>
      <c r="B48" s="2" t="str">
        <f ca="1">IFERROR(__xludf.DUMMYFUNCTION("""COMPUTED_VALUE"""),"Building 56")</f>
        <v>Building 56</v>
      </c>
      <c r="C48" s="2" t="str">
        <f ca="1">IFERROR(__xludf.DUMMYFUNCTION("""COMPUTED_VALUE"""),"Building")</f>
        <v>Building</v>
      </c>
      <c r="D48" s="2" t="str">
        <f ca="1">IFERROR(__xludf.DUMMYFUNCTION("""COMPUTED_VALUE"""),"Dubai&gt;Discovery Gardens&gt;Mediterranean&gt;Building 56")</f>
        <v>Dubai&gt;Discovery Gardens&gt;Mediterranean&gt;Building 56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6.5" x14ac:dyDescent="0.35">
      <c r="A49" s="2" t="str">
        <f ca="1">IFERROR(__xludf.DUMMYFUNCTION("""COMPUTED_VALUE"""),"Dubai")</f>
        <v>Dubai</v>
      </c>
      <c r="B49" s="2" t="str">
        <f ca="1">IFERROR(__xludf.DUMMYFUNCTION("""COMPUTED_VALUE"""),"Building 49")</f>
        <v>Building 49</v>
      </c>
      <c r="C49" s="2" t="str">
        <f ca="1">IFERROR(__xludf.DUMMYFUNCTION("""COMPUTED_VALUE"""),"Building")</f>
        <v>Building</v>
      </c>
      <c r="D49" s="2" t="str">
        <f ca="1">IFERROR(__xludf.DUMMYFUNCTION("""COMPUTED_VALUE"""),"Dubai&gt;Discovery Gardens&gt;Mediterranean&gt;Building 49")</f>
        <v>Dubai&gt;Discovery Gardens&gt;Mediterranean&gt;Building 49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6.5" x14ac:dyDescent="0.35">
      <c r="A50" s="2" t="str">
        <f ca="1">IFERROR(__xludf.DUMMYFUNCTION("""COMPUTED_VALUE"""),"Dubai")</f>
        <v>Dubai</v>
      </c>
      <c r="B50" s="2" t="str">
        <f ca="1">IFERROR(__xludf.DUMMYFUNCTION("""COMPUTED_VALUE"""),"Building 100")</f>
        <v>Building 100</v>
      </c>
      <c r="C50" s="2" t="str">
        <f ca="1">IFERROR(__xludf.DUMMYFUNCTION("""COMPUTED_VALUE"""),"Building")</f>
        <v>Building</v>
      </c>
      <c r="D50" s="2" t="str">
        <f ca="1">IFERROR(__xludf.DUMMYFUNCTION("""COMPUTED_VALUE"""),"Dubai&gt;Discovery Gardens&gt;Mediterranean&gt;Building 100")</f>
        <v>Dubai&gt;Discovery Gardens&gt;Mediterranean&gt;Building 100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6.5" x14ac:dyDescent="0.35">
      <c r="A51" s="2" t="str">
        <f ca="1">IFERROR(__xludf.DUMMYFUNCTION("""COMPUTED_VALUE"""),"Dubai")</f>
        <v>Dubai</v>
      </c>
      <c r="B51" s="2" t="str">
        <f ca="1">IFERROR(__xludf.DUMMYFUNCTION("""COMPUTED_VALUE"""),"Al Shahla")</f>
        <v>Al Shahla</v>
      </c>
      <c r="C51" s="2" t="str">
        <f ca="1">IFERROR(__xludf.DUMMYFUNCTION("""COMPUTED_VALUE"""),"Building")</f>
        <v>Building</v>
      </c>
      <c r="D51" s="2" t="str">
        <f ca="1">IFERROR(__xludf.DUMMYFUNCTION("""COMPUTED_VALUE"""),"Dubai&gt;Palm Jumeirah&gt;Shoreline Apartments&gt;Al Shahla")</f>
        <v>Dubai&gt;Palm Jumeirah&gt;Shoreline Apartments&gt;Al Shahla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6.5" x14ac:dyDescent="0.35">
      <c r="A52" s="2" t="str">
        <f ca="1">IFERROR(__xludf.DUMMYFUNCTION("""COMPUTED_VALUE"""),"Dubai")</f>
        <v>Dubai</v>
      </c>
      <c r="B52" s="2" t="str">
        <f ca="1">IFERROR(__xludf.DUMMYFUNCTION("""COMPUTED_VALUE"""),"Emerald")</f>
        <v>Emerald</v>
      </c>
      <c r="C52" s="2" t="str">
        <f ca="1">IFERROR(__xludf.DUMMYFUNCTION("""COMPUTED_VALUE"""),"Building")</f>
        <v>Building</v>
      </c>
      <c r="D52" s="2" t="str">
        <f ca="1">IFERROR(__xludf.DUMMYFUNCTION("""COMPUTED_VALUE"""),"Dubai&gt;Palm Jumeirah&gt;Tiara Residences&gt;Emerald")</f>
        <v>Dubai&gt;Palm Jumeirah&gt;Tiara Residences&gt;Emerald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6.5" x14ac:dyDescent="0.35">
      <c r="A53" s="2" t="str">
        <f ca="1">IFERROR(__xludf.DUMMYFUNCTION("""COMPUTED_VALUE"""),"Dubai")</f>
        <v>Dubai</v>
      </c>
      <c r="B53" s="2" t="str">
        <f ca="1">IFERROR(__xludf.DUMMYFUNCTION("""COMPUTED_VALUE"""),"Golden Mile 9")</f>
        <v>Golden Mile 9</v>
      </c>
      <c r="C53" s="2" t="str">
        <f ca="1">IFERROR(__xludf.DUMMYFUNCTION("""COMPUTED_VALUE"""),"Building")</f>
        <v>Building</v>
      </c>
      <c r="D53" s="2" t="str">
        <f ca="1">IFERROR(__xludf.DUMMYFUNCTION("""COMPUTED_VALUE"""),"Dubai&gt;Palm Jumeirah&gt;Golden Mile&gt;Golden Mile 9")</f>
        <v>Dubai&gt;Palm Jumeirah&gt;Golden Mile&gt;Golden Mile 9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6.5" x14ac:dyDescent="0.35">
      <c r="A54" s="2" t="str">
        <f ca="1">IFERROR(__xludf.DUMMYFUNCTION("""COMPUTED_VALUE"""),"Dubai")</f>
        <v>Dubai</v>
      </c>
      <c r="B54" s="2" t="str">
        <f ca="1">IFERROR(__xludf.DUMMYFUNCTION("""COMPUTED_VALUE"""),"Taj Exotica Resort &amp; Spa")</f>
        <v>Taj Exotica Resort &amp; Spa</v>
      </c>
      <c r="C54" s="2" t="str">
        <f ca="1">IFERROR(__xludf.DUMMYFUNCTION("""COMPUTED_VALUE"""),"Building")</f>
        <v>Building</v>
      </c>
      <c r="D54" s="2" t="str">
        <f ca="1">IFERROR(__xludf.DUMMYFUNCTION("""COMPUTED_VALUE"""),"Dubai&gt;Palm Jumeirah&gt;The Crescent&gt;Taj Exotica Resort &amp; Spa")</f>
        <v>Dubai&gt;Palm Jumeirah&gt;The Crescent&gt;Taj Exotica Resort &amp; Spa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6.5" x14ac:dyDescent="0.35">
      <c r="A55" s="2" t="str">
        <f ca="1">IFERROR(__xludf.DUMMYFUNCTION("""COMPUTED_VALUE"""),"Dubai")</f>
        <v>Dubai</v>
      </c>
      <c r="B55" s="2" t="str">
        <f ca="1">IFERROR(__xludf.DUMMYFUNCTION("""COMPUTED_VALUE"""),"The Palm Crown")</f>
        <v>The Palm Crown</v>
      </c>
      <c r="C55" s="2" t="str">
        <f ca="1">IFERROR(__xludf.DUMMYFUNCTION("""COMPUTED_VALUE"""),"Neighbourhood")</f>
        <v>Neighbourhood</v>
      </c>
      <c r="D55" s="2" t="str">
        <f ca="1">IFERROR(__xludf.DUMMYFUNCTION("""COMPUTED_VALUE"""),"Dubai&gt;Palm Jumeirah&gt;The Palm Crown")</f>
        <v>Dubai&gt;Palm Jumeirah&gt;The Palm Crown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6.5" x14ac:dyDescent="0.35">
      <c r="A56" s="2" t="str">
        <f ca="1">IFERROR(__xludf.DUMMYFUNCTION("""COMPUTED_VALUE"""),"Dubai")</f>
        <v>Dubai</v>
      </c>
      <c r="B56" s="2" t="str">
        <f ca="1">IFERROR(__xludf.DUMMYFUNCTION("""COMPUTED_VALUE"""),"Palm Flower")</f>
        <v>Palm Flower</v>
      </c>
      <c r="C56" s="2" t="str">
        <f ca="1">IFERROR(__xludf.DUMMYFUNCTION("""COMPUTED_VALUE"""),"Building")</f>
        <v>Building</v>
      </c>
      <c r="D56" s="2" t="str">
        <f ca="1">IFERROR(__xludf.DUMMYFUNCTION("""COMPUTED_VALUE"""),"Dubai&gt;Palm Jumeirah&gt;Palm Flower")</f>
        <v>Dubai&gt;Palm Jumeirah&gt;Palm Flower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6.5" x14ac:dyDescent="0.35">
      <c r="A57" s="2" t="str">
        <f ca="1">IFERROR(__xludf.DUMMYFUNCTION("""COMPUTED_VALUE"""),"Dubai")</f>
        <v>Dubai</v>
      </c>
      <c r="B57" s="2" t="str">
        <f ca="1">IFERROR(__xludf.DUMMYFUNCTION("""COMPUTED_VALUE"""),"Solaia Residences")</f>
        <v>Solaia Residences</v>
      </c>
      <c r="C57" s="2" t="str">
        <f ca="1">IFERROR(__xludf.DUMMYFUNCTION("""COMPUTED_VALUE"""),"Building")</f>
        <v>Building</v>
      </c>
      <c r="D57" s="2" t="str">
        <f ca="1">IFERROR(__xludf.DUMMYFUNCTION("""COMPUTED_VALUE"""),"Dubai&gt;Palm Jumeirah&gt;Solaia Residences")</f>
        <v>Dubai&gt;Palm Jumeirah&gt;Solaia Residences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6.5" x14ac:dyDescent="0.35">
      <c r="A58" s="2" t="str">
        <f ca="1">IFERROR(__xludf.DUMMYFUNCTION("""COMPUTED_VALUE"""),"Dubai")</f>
        <v>Dubai</v>
      </c>
      <c r="B58" s="2" t="str">
        <f ca="1">IFERROR(__xludf.DUMMYFUNCTION("""COMPUTED_VALUE"""),"Creek Views by Azizi (Farhad Azizi Residence)")</f>
        <v>Creek Views by Azizi (Farhad Azizi Residence)</v>
      </c>
      <c r="C58" s="2" t="str">
        <f ca="1">IFERROR(__xludf.DUMMYFUNCTION("""COMPUTED_VALUE"""),"Building")</f>
        <v>Building</v>
      </c>
      <c r="D58" s="2" t="str">
        <f ca="1">IFERROR(__xludf.DUMMYFUNCTION("""COMPUTED_VALUE"""),"Dubai&gt;Al Jaddaf&gt;Dubai Healthcare City Phase 2&gt;Creek Views by Azizi (Farhad Azizi Residence)")</f>
        <v>Dubai&gt;Al Jaddaf&gt;Dubai Healthcare City Phase 2&gt;Creek Views by Azizi (Farhad Azizi Residence)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6.5" x14ac:dyDescent="0.35">
      <c r="A59" s="2" t="str">
        <f ca="1">IFERROR(__xludf.DUMMYFUNCTION("""COMPUTED_VALUE"""),"Dubai")</f>
        <v>Dubai</v>
      </c>
      <c r="B59" s="2" t="str">
        <f ca="1">IFERROR(__xludf.DUMMYFUNCTION("""COMPUTED_VALUE"""),"SHK Building")</f>
        <v>SHK Building</v>
      </c>
      <c r="C59" s="2" t="str">
        <f ca="1">IFERROR(__xludf.DUMMYFUNCTION("""COMPUTED_VALUE"""),"Building")</f>
        <v>Building</v>
      </c>
      <c r="D59" s="2" t="str">
        <f ca="1">IFERROR(__xludf.DUMMYFUNCTION("""COMPUTED_VALUE"""),"Dubai&gt;Al Jaddaf&gt;SHK Building")</f>
        <v>Dubai&gt;Al Jaddaf&gt;SHK Building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6.5" x14ac:dyDescent="0.35">
      <c r="A60" s="2" t="str">
        <f ca="1">IFERROR(__xludf.DUMMYFUNCTION("""COMPUTED_VALUE"""),"Dubai")</f>
        <v>Dubai</v>
      </c>
      <c r="B60" s="2" t="str">
        <f ca="1">IFERROR(__xludf.DUMMYFUNCTION("""COMPUTED_VALUE"""),"Al Jaddaf Avenue")</f>
        <v>Al Jaddaf Avenue</v>
      </c>
      <c r="C60" s="2" t="str">
        <f ca="1">IFERROR(__xludf.DUMMYFUNCTION("""COMPUTED_VALUE"""),"Building")</f>
        <v>Building</v>
      </c>
      <c r="D60" s="2" t="str">
        <f ca="1">IFERROR(__xludf.DUMMYFUNCTION("""COMPUTED_VALUE"""),"Dubai&gt;Al Jaddaf&gt;Al Jaddaf Avenue")</f>
        <v>Dubai&gt;Al Jaddaf&gt;Al Jaddaf Avenue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6.5" x14ac:dyDescent="0.35">
      <c r="A61" s="2" t="str">
        <f ca="1">IFERROR(__xludf.DUMMYFUNCTION("""COMPUTED_VALUE"""),"Dubai")</f>
        <v>Dubai</v>
      </c>
      <c r="B61" s="2" t="str">
        <f ca="1">IFERROR(__xludf.DUMMYFUNCTION("""COMPUTED_VALUE"""),"The Premium Plot Collection")</f>
        <v>The Premium Plot Collection</v>
      </c>
      <c r="C61" s="2" t="str">
        <f ca="1">IFERROR(__xludf.DUMMYFUNCTION("""COMPUTED_VALUE"""),"Neighbourhood")</f>
        <v>Neighbourhood</v>
      </c>
      <c r="D61" s="2" t="str">
        <f ca="1">IFERROR(__xludf.DUMMYFUNCTION("""COMPUTED_VALUE"""),"Dubai&gt;Palm Jebel Ali&gt;Frond O&gt;The Premium Plot Collection")</f>
        <v>Dubai&gt;Palm Jebel Ali&gt;Frond O&gt;The Premium Plot Collection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6.5" x14ac:dyDescent="0.35">
      <c r="A62" s="2" t="str">
        <f ca="1">IFERROR(__xludf.DUMMYFUNCTION("""COMPUTED_VALUE"""),"Dubai")</f>
        <v>Dubai</v>
      </c>
      <c r="B62" s="2" t="str">
        <f ca="1">IFERROR(__xludf.DUMMYFUNCTION("""COMPUTED_VALUE"""),"Marriott Residences Tower 2")</f>
        <v>Marriott Residences Tower 2</v>
      </c>
      <c r="C62" s="2" t="str">
        <f ca="1">IFERROR(__xludf.DUMMYFUNCTION("""COMPUTED_VALUE"""),"Building")</f>
        <v>Building</v>
      </c>
      <c r="D62" s="2" t="str">
        <f ca="1">IFERROR(__xludf.DUMMYFUNCTION("""COMPUTED_VALUE"""),"Dubai&gt;Dubai Science Park&gt;Marriott Residences Al Barsha South&gt;Marriott Residences Tower 2")</f>
        <v>Dubai&gt;Dubai Science Park&gt;Marriott Residences Al Barsha South&gt;Marriott Residences Tower 2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6.5" x14ac:dyDescent="0.35">
      <c r="A63" s="2" t="str">
        <f ca="1">IFERROR(__xludf.DUMMYFUNCTION("""COMPUTED_VALUE"""),"Dubai")</f>
        <v>Dubai</v>
      </c>
      <c r="B63" s="2" t="str">
        <f ca="1">IFERROR(__xludf.DUMMYFUNCTION("""COMPUTED_VALUE"""),"Dragon Mart 2")</f>
        <v>Dragon Mart 2</v>
      </c>
      <c r="C63" s="2" t="str">
        <f ca="1">IFERROR(__xludf.DUMMYFUNCTION("""COMPUTED_VALUE"""),"Building")</f>
        <v>Building</v>
      </c>
      <c r="D63" s="2" t="str">
        <f ca="1">IFERROR(__xludf.DUMMYFUNCTION("""COMPUTED_VALUE"""),"Dubai&gt;Dragon City&gt;Dragon Mart 2")</f>
        <v>Dubai&gt;Dragon City&gt;Dragon Mart 2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6.5" x14ac:dyDescent="0.35">
      <c r="A64" s="2" t="str">
        <f ca="1">IFERROR(__xludf.DUMMYFUNCTION("""COMPUTED_VALUE"""),"Dubai")</f>
        <v>Dubai</v>
      </c>
      <c r="B64" s="2" t="str">
        <f ca="1">IFERROR(__xludf.DUMMYFUNCTION("""COMPUTED_VALUE"""),"Hillside Residences 1 Building C")</f>
        <v>Hillside Residences 1 Building C</v>
      </c>
      <c r="C64" s="2" t="str">
        <f ca="1">IFERROR(__xludf.DUMMYFUNCTION("""COMPUTED_VALUE"""),"Building")</f>
        <v>Building</v>
      </c>
      <c r="D64" s="2" t="str">
        <f ca="1">IFERROR(__xludf.DUMMYFUNCTION("""COMPUTED_VALUE"""),"Dubai&gt;Wasl Gate&gt;Hillside Residences&gt;Hillside Residences 1&gt;Hillside Residences 1 Building C")</f>
        <v>Dubai&gt;Wasl Gate&gt;Hillside Residences&gt;Hillside Residences 1&gt;Hillside Residences 1 Building C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6.5" x14ac:dyDescent="0.35">
      <c r="A65" s="2" t="str">
        <f ca="1">IFERROR(__xludf.DUMMYFUNCTION("""COMPUTED_VALUE"""),"Dubai")</f>
        <v>Dubai</v>
      </c>
      <c r="B65" s="2" t="str">
        <f ca="1">IFERROR(__xludf.DUMMYFUNCTION("""COMPUTED_VALUE"""),"Nad Al Sheba Gardens")</f>
        <v>Nad Al Sheba Gardens</v>
      </c>
      <c r="C65" s="2" t="str">
        <f ca="1">IFERROR(__xludf.DUMMYFUNCTION("""COMPUTED_VALUE"""),"Neighbourhood")</f>
        <v>Neighbourhood</v>
      </c>
      <c r="D65" s="2" t="str">
        <f ca="1">IFERROR(__xludf.DUMMYFUNCTION("""COMPUTED_VALUE"""),"Dubai&gt;Nad Al Sheba&gt;Nad Al Sheba 1&gt;Nad Al Sheba Gardens")</f>
        <v>Dubai&gt;Nad Al Sheba&gt;Nad Al Sheba 1&gt;Nad Al Sheba Gardens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6.5" x14ac:dyDescent="0.35">
      <c r="A66" s="2" t="str">
        <f ca="1">IFERROR(__xludf.DUMMYFUNCTION("""COMPUTED_VALUE"""),"Dubai")</f>
        <v>Dubai</v>
      </c>
      <c r="B66" s="2" t="str">
        <f ca="1">IFERROR(__xludf.DUMMYFUNCTION("""COMPUTED_VALUE"""),"Kings’ School Nad Al Sheba")</f>
        <v>Kings’ School Nad Al Sheba</v>
      </c>
      <c r="C66" s="2" t="str">
        <f ca="1">IFERROR(__xludf.DUMMYFUNCTION("""COMPUTED_VALUE"""),"School")</f>
        <v>School</v>
      </c>
      <c r="D66" s="2" t="str">
        <f ca="1">IFERROR(__xludf.DUMMYFUNCTION("""COMPUTED_VALUE"""),"Dubai&gt;Nad Al Sheba&gt;Nad Al Sheba 3&gt;Kings’ School Nad Al Sheba")</f>
        <v>Dubai&gt;Nad Al Sheba&gt;Nad Al Sheba 3&gt;Kings’ School Nad Al Sheba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6.5" x14ac:dyDescent="0.35">
      <c r="A67" s="2" t="str">
        <f ca="1">IFERROR(__xludf.DUMMYFUNCTION("""COMPUTED_VALUE"""),"Dubai")</f>
        <v>Dubai</v>
      </c>
      <c r="B67" s="2" t="str">
        <f ca="1">IFERROR(__xludf.DUMMYFUNCTION("""COMPUTED_VALUE"""),"DIC 10 (3M Innovation Centre)")</f>
        <v>DIC 10 (3M Innovation Centre)</v>
      </c>
      <c r="C67" s="2" t="str">
        <f ca="1">IFERROR(__xludf.DUMMYFUNCTION("""COMPUTED_VALUE"""),"Building")</f>
        <v>Building</v>
      </c>
      <c r="D67" s="2" t="str">
        <f ca="1">IFERROR(__xludf.DUMMYFUNCTION("""COMPUTED_VALUE"""),"Dubai&gt;Dubai Internet City&gt;DIC&gt;DIC 10 (3M Innovation Centre)")</f>
        <v>Dubai&gt;Dubai Internet City&gt;DIC&gt;DIC 10 (3M Innovation Centre)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6.5" x14ac:dyDescent="0.35">
      <c r="A68" s="2" t="str">
        <f ca="1">IFERROR(__xludf.DUMMYFUNCTION("""COMPUTED_VALUE"""),"Dubai")</f>
        <v>Dubai</v>
      </c>
      <c r="B68" s="2" t="str">
        <f ca="1">IFERROR(__xludf.DUMMYFUNCTION("""COMPUTED_VALUE"""),"Caya 1")</f>
        <v>Caya 1</v>
      </c>
      <c r="C68" s="2" t="str">
        <f ca="1">IFERROR(__xludf.DUMMYFUNCTION("""COMPUTED_VALUE"""),"Neighbourhood")</f>
        <v>Neighbourhood</v>
      </c>
      <c r="D68" s="2" t="str">
        <f ca="1">IFERROR(__xludf.DUMMYFUNCTION("""COMPUTED_VALUE"""),"Dubai&gt;Arabian Ranches 3&gt;Caya&gt;Caya 1")</f>
        <v>Dubai&gt;Arabian Ranches 3&gt;Caya&gt;Caya 1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6.5" x14ac:dyDescent="0.35">
      <c r="A69" s="2" t="str">
        <f ca="1">IFERROR(__xludf.DUMMYFUNCTION("""COMPUTED_VALUE"""),"Dubai")</f>
        <v>Dubai</v>
      </c>
      <c r="B69" s="2" t="str">
        <f ca="1">IFERROR(__xludf.DUMMYFUNCTION("""COMPUTED_VALUE"""),"Seascape Building 3")</f>
        <v>Seascape Building 3</v>
      </c>
      <c r="C69" s="2" t="str">
        <f ca="1">IFERROR(__xludf.DUMMYFUNCTION("""COMPUTED_VALUE"""),"Building")</f>
        <v>Building</v>
      </c>
      <c r="D69" s="2" t="str">
        <f ca="1">IFERROR(__xludf.DUMMYFUNCTION("""COMPUTED_VALUE"""),"Dubai&gt;Mina Rashid&gt;Seascape&gt;Seascape Building 3")</f>
        <v>Dubai&gt;Mina Rashid&gt;Seascape&gt;Seascape Building 3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6.5" x14ac:dyDescent="0.35">
      <c r="A70" s="2" t="str">
        <f ca="1">IFERROR(__xludf.DUMMYFUNCTION("""COMPUTED_VALUE"""),"Dubai")</f>
        <v>Dubai</v>
      </c>
      <c r="B70" s="2" t="str">
        <f ca="1">IFERROR(__xludf.DUMMYFUNCTION("""COMPUTED_VALUE"""),"Sera 2 Tower B")</f>
        <v>Sera 2 Tower B</v>
      </c>
      <c r="C70" s="2" t="str">
        <f ca="1">IFERROR(__xludf.DUMMYFUNCTION("""COMPUTED_VALUE"""),"Building")</f>
        <v>Building</v>
      </c>
      <c r="D70" s="2" t="str">
        <f ca="1">IFERROR(__xludf.DUMMYFUNCTION("""COMPUTED_VALUE"""),"Dubai&gt;Mina Rashid&gt;Sera 2&gt;Sera 2 Tower B")</f>
        <v>Dubai&gt;Mina Rashid&gt;Sera 2&gt;Sera 2 Tower B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6.5" x14ac:dyDescent="0.35">
      <c r="A71" s="2" t="str">
        <f ca="1">IFERROR(__xludf.DUMMYFUNCTION("""COMPUTED_VALUE"""),"Dubai")</f>
        <v>Dubai</v>
      </c>
      <c r="B71" s="2" t="str">
        <f ca="1">IFERROR(__xludf.DUMMYFUNCTION("""COMPUTED_VALUE"""),"Alana")</f>
        <v>Alana</v>
      </c>
      <c r="C71" s="2" t="str">
        <f ca="1">IFERROR(__xludf.DUMMYFUNCTION("""COMPUTED_VALUE"""),"Neighbourhood")</f>
        <v>Neighbourhood</v>
      </c>
      <c r="D71" s="2" t="str">
        <f ca="1">IFERROR(__xludf.DUMMYFUNCTION("""COMPUTED_VALUE"""),"Dubai&gt;The Valley by Emaar&gt;Alana")</f>
        <v>Dubai&gt;The Valley by Emaar&gt;Alana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6.5" x14ac:dyDescent="0.35">
      <c r="A72" s="2" t="str">
        <f ca="1">IFERROR(__xludf.DUMMYFUNCTION("""COMPUTED_VALUE"""),"Dubai")</f>
        <v>Dubai</v>
      </c>
      <c r="B72" s="2" t="str">
        <f ca="1">IFERROR(__xludf.DUMMYFUNCTION("""COMPUTED_VALUE"""),"Al Reem 1")</f>
        <v>Al Reem 1</v>
      </c>
      <c r="C72" s="2" t="str">
        <f ca="1">IFERROR(__xludf.DUMMYFUNCTION("""COMPUTED_VALUE"""),"Neighbourhood")</f>
        <v>Neighbourhood</v>
      </c>
      <c r="D72" s="2" t="str">
        <f ca="1">IFERROR(__xludf.DUMMYFUNCTION("""COMPUTED_VALUE"""),"Dubai&gt;Arabian Ranches&gt;Al Reem&gt;Al Reem 1")</f>
        <v>Dubai&gt;Arabian Ranches&gt;Al Reem&gt;Al Reem 1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6.5" x14ac:dyDescent="0.35">
      <c r="A73" s="2" t="str">
        <f ca="1">IFERROR(__xludf.DUMMYFUNCTION("""COMPUTED_VALUE"""),"Dubai")</f>
        <v>Dubai</v>
      </c>
      <c r="B73" s="2" t="str">
        <f ca="1">IFERROR(__xludf.DUMMYFUNCTION("""COMPUTED_VALUE"""),"The Gardens Apartments 3")</f>
        <v>The Gardens Apartments 3</v>
      </c>
      <c r="C73" s="2" t="str">
        <f ca="1">IFERROR(__xludf.DUMMYFUNCTION("""COMPUTED_VALUE"""),"Building")</f>
        <v>Building</v>
      </c>
      <c r="D73" s="2" t="str">
        <f ca="1">IFERROR(__xludf.DUMMYFUNCTION("""COMPUTED_VALUE"""),"Dubai&gt;The Gardens&gt;The Gardens Apartments&gt;The Gardens Apartments 3")</f>
        <v>Dubai&gt;The Gardens&gt;The Gardens Apartments&gt;The Gardens Apartments 3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6.5" x14ac:dyDescent="0.35">
      <c r="A74" s="2" t="str">
        <f ca="1">IFERROR(__xludf.DUMMYFUNCTION("""COMPUTED_VALUE"""),"Dubai")</f>
        <v>Dubai</v>
      </c>
      <c r="B74" s="2" t="str">
        <f ca="1">IFERROR(__xludf.DUMMYFUNCTION("""COMPUTED_VALUE"""),"The Gardens Building 39")</f>
        <v>The Gardens Building 39</v>
      </c>
      <c r="C74" s="2" t="str">
        <f ca="1">IFERROR(__xludf.DUMMYFUNCTION("""COMPUTED_VALUE"""),"Building")</f>
        <v>Building</v>
      </c>
      <c r="D74" s="2" t="str">
        <f ca="1">IFERROR(__xludf.DUMMYFUNCTION("""COMPUTED_VALUE"""),"Dubai&gt;The Gardens&gt;The Gardens Building 39")</f>
        <v>Dubai&gt;The Gardens&gt;The Gardens Building 39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6.5" x14ac:dyDescent="0.35">
      <c r="A75" s="2" t="str">
        <f ca="1">IFERROR(__xludf.DUMMYFUNCTION("""COMPUTED_VALUE"""),"Dubai")</f>
        <v>Dubai</v>
      </c>
      <c r="B75" s="2" t="str">
        <f ca="1">IFERROR(__xludf.DUMMYFUNCTION("""COMPUTED_VALUE"""),"The Gardens Building 79")</f>
        <v>The Gardens Building 79</v>
      </c>
      <c r="C75" s="2" t="str">
        <f ca="1">IFERROR(__xludf.DUMMYFUNCTION("""COMPUTED_VALUE"""),"Building")</f>
        <v>Building</v>
      </c>
      <c r="D75" s="2" t="str">
        <f ca="1">IFERROR(__xludf.DUMMYFUNCTION("""COMPUTED_VALUE"""),"Dubai&gt;The Gardens&gt;The Gardens Building 79")</f>
        <v>Dubai&gt;The Gardens&gt;The Gardens Building 79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6.5" x14ac:dyDescent="0.35">
      <c r="A76" s="2" t="str">
        <f ca="1">IFERROR(__xludf.DUMMYFUNCTION("""COMPUTED_VALUE"""),"Dubai")</f>
        <v>Dubai</v>
      </c>
      <c r="B76" s="2" t="str">
        <f ca="1">IFERROR(__xludf.DUMMYFUNCTION("""COMPUTED_VALUE"""),"The Gardens Building 20")</f>
        <v>The Gardens Building 20</v>
      </c>
      <c r="C76" s="2" t="str">
        <f ca="1">IFERROR(__xludf.DUMMYFUNCTION("""COMPUTED_VALUE"""),"Building")</f>
        <v>Building</v>
      </c>
      <c r="D76" s="2" t="str">
        <f ca="1">IFERROR(__xludf.DUMMYFUNCTION("""COMPUTED_VALUE"""),"Dubai&gt;The Gardens&gt;The Gardens Building 20")</f>
        <v>Dubai&gt;The Gardens&gt;The Gardens Building 20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6.5" x14ac:dyDescent="0.35">
      <c r="A77" s="2" t="str">
        <f ca="1">IFERROR(__xludf.DUMMYFUNCTION("""COMPUTED_VALUE"""),"Dubai")</f>
        <v>Dubai</v>
      </c>
      <c r="B77" s="2" t="str">
        <f ca="1">IFERROR(__xludf.DUMMYFUNCTION("""COMPUTED_VALUE"""),"The Gardens Building 63")</f>
        <v>The Gardens Building 63</v>
      </c>
      <c r="C77" s="2" t="str">
        <f ca="1">IFERROR(__xludf.DUMMYFUNCTION("""COMPUTED_VALUE"""),"Building")</f>
        <v>Building</v>
      </c>
      <c r="D77" s="2" t="str">
        <f ca="1">IFERROR(__xludf.DUMMYFUNCTION("""COMPUTED_VALUE"""),"Dubai&gt;The Gardens&gt;The Gardens Building 63")</f>
        <v>Dubai&gt;The Gardens&gt;The Gardens Building 63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6.5" x14ac:dyDescent="0.35">
      <c r="A78" s="2" t="str">
        <f ca="1">IFERROR(__xludf.DUMMYFUNCTION("""COMPUTED_VALUE"""),"Dubai")</f>
        <v>Dubai</v>
      </c>
      <c r="B78" s="2" t="str">
        <f ca="1">IFERROR(__xludf.DUMMYFUNCTION("""COMPUTED_VALUE"""),"Al Khalafi Building Block A")</f>
        <v>Al Khalafi Building Block A</v>
      </c>
      <c r="C78" s="2" t="str">
        <f ca="1">IFERROR(__xludf.DUMMYFUNCTION("""COMPUTED_VALUE"""),"Building")</f>
        <v>Building</v>
      </c>
      <c r="D78" s="2" t="str">
        <f ca="1">IFERROR(__xludf.DUMMYFUNCTION("""COMPUTED_VALUE"""),"Dubai&gt;Al Mamzar&gt;Al Khalafi Buildings&gt;Al Khalafi Building Block A")</f>
        <v>Dubai&gt;Al Mamzar&gt;Al Khalafi Buildings&gt;Al Khalafi Building Block A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6.5" x14ac:dyDescent="0.35">
      <c r="A79" s="2" t="str">
        <f ca="1">IFERROR(__xludf.DUMMYFUNCTION("""COMPUTED_VALUE"""),"Dubai")</f>
        <v>Dubai</v>
      </c>
      <c r="B79" s="2" t="str">
        <f ca="1">IFERROR(__xludf.DUMMYFUNCTION("""COMPUTED_VALUE"""),"Banyan Tree Dubai")</f>
        <v>Banyan Tree Dubai</v>
      </c>
      <c r="C79" s="2" t="str">
        <f ca="1">IFERROR(__xludf.DUMMYFUNCTION("""COMPUTED_VALUE"""),"Building")</f>
        <v>Building</v>
      </c>
      <c r="D79" s="2" t="str">
        <f ca="1">IFERROR(__xludf.DUMMYFUNCTION("""COMPUTED_VALUE"""),"Dubai&gt;Bluewaters Island&gt;Banyan Tree Dubai")</f>
        <v>Dubai&gt;Bluewaters Island&gt;Banyan Tree Dubai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6.5" x14ac:dyDescent="0.35">
      <c r="A80" s="2" t="str">
        <f ca="1">IFERROR(__xludf.DUMMYFUNCTION("""COMPUTED_VALUE"""),"Dubai")</f>
        <v>Dubai</v>
      </c>
      <c r="B80" s="2" t="str">
        <f ca="1">IFERROR(__xludf.DUMMYFUNCTION("""COMPUTED_VALUE"""),"Al Jabri Building")</f>
        <v>Al Jabri Building</v>
      </c>
      <c r="C80" s="2" t="str">
        <f ca="1">IFERROR(__xludf.DUMMYFUNCTION("""COMPUTED_VALUE"""),"Building")</f>
        <v>Building</v>
      </c>
      <c r="D80" s="2" t="str">
        <f ca="1">IFERROR(__xludf.DUMMYFUNCTION("""COMPUTED_VALUE"""),"Dubai&gt;Muhaisnah&gt;Muhaisnah 4&gt;Al Jabri Building")</f>
        <v>Dubai&gt;Muhaisnah&gt;Muhaisnah 4&gt;Al Jabri Building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6.5" x14ac:dyDescent="0.35">
      <c r="A81" s="2" t="str">
        <f ca="1">IFERROR(__xludf.DUMMYFUNCTION("""COMPUTED_VALUE"""),"Dubai")</f>
        <v>Dubai</v>
      </c>
      <c r="B81" s="2" t="str">
        <f ca="1">IFERROR(__xludf.DUMMYFUNCTION("""COMPUTED_VALUE"""),"Qamar 7")</f>
        <v>Qamar 7</v>
      </c>
      <c r="C81" s="2" t="str">
        <f ca="1">IFERROR(__xludf.DUMMYFUNCTION("""COMPUTED_VALUE"""),"Building")</f>
        <v>Building</v>
      </c>
      <c r="D81" s="2" t="str">
        <f ca="1">IFERROR(__xludf.DUMMYFUNCTION("""COMPUTED_VALUE"""),"Dubai&gt;Muhaisnah&gt;Muhaisnah 1&gt;Madinat Badr&gt;Qamar 7")</f>
        <v>Dubai&gt;Muhaisnah&gt;Muhaisnah 1&gt;Madinat Badr&gt;Qamar 7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6.5" x14ac:dyDescent="0.35">
      <c r="A82" s="2" t="str">
        <f ca="1">IFERROR(__xludf.DUMMYFUNCTION("""COMPUTED_VALUE"""),"Dubai")</f>
        <v>Dubai</v>
      </c>
      <c r="B82" s="2" t="str">
        <f ca="1">IFERROR(__xludf.DUMMYFUNCTION("""COMPUTED_VALUE"""),"JAM Tower")</f>
        <v>JAM Tower</v>
      </c>
      <c r="C82" s="2" t="str">
        <f ca="1">IFERROR(__xludf.DUMMYFUNCTION("""COMPUTED_VALUE"""),"Building")</f>
        <v>Building</v>
      </c>
      <c r="D82" s="2" t="str">
        <f ca="1">IFERROR(__xludf.DUMMYFUNCTION("""COMPUTED_VALUE"""),"Dubai&gt;Sheikh Zayed Road&gt;JAM Tower")</f>
        <v>Dubai&gt;Sheikh Zayed Road&gt;JAM Tower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6.5" x14ac:dyDescent="0.35">
      <c r="A83" s="2" t="str">
        <f ca="1">IFERROR(__xludf.DUMMYFUNCTION("""COMPUTED_VALUE"""),"Dubai")</f>
        <v>Dubai</v>
      </c>
      <c r="B83" s="2" t="str">
        <f ca="1">IFERROR(__xludf.DUMMYFUNCTION("""COMPUTED_VALUE"""),"Al Kawakeb B")</f>
        <v>Al Kawakeb B</v>
      </c>
      <c r="C83" s="2" t="str">
        <f ca="1">IFERROR(__xludf.DUMMYFUNCTION("""COMPUTED_VALUE"""),"Building")</f>
        <v>Building</v>
      </c>
      <c r="D83" s="2" t="str">
        <f ca="1">IFERROR(__xludf.DUMMYFUNCTION("""COMPUTED_VALUE"""),"Dubai&gt;Sheikh Zayed Road&gt;Al Kawakeb&gt;Al Kawakeb B")</f>
        <v>Dubai&gt;Sheikh Zayed Road&gt;Al Kawakeb&gt;Al Kawakeb B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6.5" x14ac:dyDescent="0.35">
      <c r="A84" s="2" t="str">
        <f ca="1">IFERROR(__xludf.DUMMYFUNCTION("""COMPUTED_VALUE"""),"Dubai")</f>
        <v>Dubai</v>
      </c>
      <c r="B84" s="2" t="str">
        <f ca="1">IFERROR(__xludf.DUMMYFUNCTION("""COMPUTED_VALUE"""),"Sheraton Grand Hotel")</f>
        <v>Sheraton Grand Hotel</v>
      </c>
      <c r="C84" s="2" t="str">
        <f ca="1">IFERROR(__xludf.DUMMYFUNCTION("""COMPUTED_VALUE"""),"Building")</f>
        <v>Building</v>
      </c>
      <c r="D84" s="2" t="str">
        <f ca="1">IFERROR(__xludf.DUMMYFUNCTION("""COMPUTED_VALUE"""),"Dubai&gt;Sheikh Zayed Road&gt;Sheraton Grand Hotel")</f>
        <v>Dubai&gt;Sheikh Zayed Road&gt;Sheraton Grand Hotel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6.5" x14ac:dyDescent="0.35">
      <c r="A85" s="2" t="str">
        <f ca="1">IFERROR(__xludf.DUMMYFUNCTION("""COMPUTED_VALUE"""),"Dubai")</f>
        <v>Dubai</v>
      </c>
      <c r="B85" s="2" t="str">
        <f ca="1">IFERROR(__xludf.DUMMYFUNCTION("""COMPUTED_VALUE"""),"Al Habtoor Motors Building")</f>
        <v>Al Habtoor Motors Building</v>
      </c>
      <c r="C85" s="2" t="str">
        <f ca="1">IFERROR(__xludf.DUMMYFUNCTION("""COMPUTED_VALUE"""),"Building")</f>
        <v>Building</v>
      </c>
      <c r="D85" s="2" t="str">
        <f ca="1">IFERROR(__xludf.DUMMYFUNCTION("""COMPUTED_VALUE"""),"Dubai&gt;Sheikh Zayed Road&gt;Al Habtoor Motors Building")</f>
        <v>Dubai&gt;Sheikh Zayed Road&gt;Al Habtoor Motors Building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6.5" x14ac:dyDescent="0.35">
      <c r="A86" s="2" t="str">
        <f ca="1">IFERROR(__xludf.DUMMYFUNCTION("""COMPUTED_VALUE"""),"Dubai")</f>
        <v>Dubai</v>
      </c>
      <c r="B86" s="2" t="str">
        <f ca="1">IFERROR(__xludf.DUMMYFUNCTION("""COMPUTED_VALUE"""),"Al Waleed 1 Building")</f>
        <v>Al Waleed 1 Building</v>
      </c>
      <c r="C86" s="2" t="str">
        <f ca="1">IFERROR(__xludf.DUMMYFUNCTION("""COMPUTED_VALUE"""),"Building")</f>
        <v>Building</v>
      </c>
      <c r="D86" s="2" t="str">
        <f ca="1">IFERROR(__xludf.DUMMYFUNCTION("""COMPUTED_VALUE"""),"Dubai&gt;Al Karama&gt;Al Waleed 1 Building")</f>
        <v>Dubai&gt;Al Karama&gt;Al Waleed 1 Building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6.5" x14ac:dyDescent="0.35">
      <c r="A87" s="2" t="str">
        <f ca="1">IFERROR(__xludf.DUMMYFUNCTION("""COMPUTED_VALUE"""),"Dubai")</f>
        <v>Dubai</v>
      </c>
      <c r="B87" s="2" t="str">
        <f ca="1">IFERROR(__xludf.DUMMYFUNCTION("""COMPUTED_VALUE"""),"Building 23")</f>
        <v>Building 23</v>
      </c>
      <c r="C87" s="2" t="str">
        <f ca="1">IFERROR(__xludf.DUMMYFUNCTION("""COMPUTED_VALUE"""),"Building")</f>
        <v>Building</v>
      </c>
      <c r="D87" s="2" t="str">
        <f ca="1">IFERROR(__xludf.DUMMYFUNCTION("""COMPUTED_VALUE"""),"Dubai&gt;Al Karama&gt;Karam Pioneer Buildings&gt;Building 23")</f>
        <v>Dubai&gt;Al Karama&gt;Karam Pioneer Buildings&gt;Building 23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6.5" x14ac:dyDescent="0.35">
      <c r="A88" s="2" t="str">
        <f ca="1">IFERROR(__xludf.DUMMYFUNCTION("""COMPUTED_VALUE"""),"Dubai")</f>
        <v>Dubai</v>
      </c>
      <c r="B88" s="2" t="str">
        <f ca="1">IFERROR(__xludf.DUMMYFUNCTION("""COMPUTED_VALUE"""),"Hamsah B")</f>
        <v>Hamsah B</v>
      </c>
      <c r="C88" s="2" t="str">
        <f ca="1">IFERROR(__xludf.DUMMYFUNCTION("""COMPUTED_VALUE"""),"Building")</f>
        <v>Building</v>
      </c>
      <c r="D88" s="2" t="str">
        <f ca="1">IFERROR(__xludf.DUMMYFUNCTION("""COMPUTED_VALUE"""),"Dubai&gt;Al Karama&gt;Hamsah B")</f>
        <v>Dubai&gt;Al Karama&gt;Hamsah B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6.5" x14ac:dyDescent="0.35">
      <c r="A89" s="2" t="str">
        <f ca="1">IFERROR(__xludf.DUMMYFUNCTION("""COMPUTED_VALUE"""),"Dubai")</f>
        <v>Dubai</v>
      </c>
      <c r="B89" s="2" t="str">
        <f ca="1">IFERROR(__xludf.DUMMYFUNCTION("""COMPUTED_VALUE"""),"Reem Residency")</f>
        <v>Reem Residency</v>
      </c>
      <c r="C89" s="2" t="str">
        <f ca="1">IFERROR(__xludf.DUMMYFUNCTION("""COMPUTED_VALUE"""),"Building")</f>
        <v>Building</v>
      </c>
      <c r="D89" s="2" t="str">
        <f ca="1">IFERROR(__xludf.DUMMYFUNCTION("""COMPUTED_VALUE"""),"Dubai&gt;Al Karama&gt;Reem Residency")</f>
        <v>Dubai&gt;Al Karama&gt;Reem Residency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6.5" x14ac:dyDescent="0.35">
      <c r="A90" s="2" t="str">
        <f ca="1">IFERROR(__xludf.DUMMYFUNCTION("""COMPUTED_VALUE"""),"Dubai")</f>
        <v>Dubai</v>
      </c>
      <c r="B90" s="2" t="str">
        <f ca="1">IFERROR(__xludf.DUMMYFUNCTION("""COMPUTED_VALUE"""),"Shamma Building")</f>
        <v>Shamma Building</v>
      </c>
      <c r="C90" s="2" t="str">
        <f ca="1">IFERROR(__xludf.DUMMYFUNCTION("""COMPUTED_VALUE"""),"Building")</f>
        <v>Building</v>
      </c>
      <c r="D90" s="2" t="str">
        <f ca="1">IFERROR(__xludf.DUMMYFUNCTION("""COMPUTED_VALUE"""),"Dubai&gt;Al Karama&gt;Shamma Building")</f>
        <v>Dubai&gt;Al Karama&gt;Shamma Building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6.5" x14ac:dyDescent="0.35">
      <c r="A91" s="2" t="str">
        <f ca="1">IFERROR(__xludf.DUMMYFUNCTION("""COMPUTED_VALUE"""),"Dubai")</f>
        <v>Dubai</v>
      </c>
      <c r="B91" s="2" t="str">
        <f ca="1">IFERROR(__xludf.DUMMYFUNCTION("""COMPUTED_VALUE"""),"Pyramid A")</f>
        <v>Pyramid A</v>
      </c>
      <c r="C91" s="2" t="str">
        <f ca="1">IFERROR(__xludf.DUMMYFUNCTION("""COMPUTED_VALUE"""),"Building")</f>
        <v>Building</v>
      </c>
      <c r="D91" s="2" t="str">
        <f ca="1">IFERROR(__xludf.DUMMYFUNCTION("""COMPUTED_VALUE"""),"Dubai&gt;Al Karama&gt;Pyramid A")</f>
        <v>Dubai&gt;Al Karama&gt;Pyramid A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6.5" x14ac:dyDescent="0.35">
      <c r="A92" s="2" t="str">
        <f ca="1">IFERROR(__xludf.DUMMYFUNCTION("""COMPUTED_VALUE"""),"Dubai")</f>
        <v>Dubai</v>
      </c>
      <c r="B92" s="2" t="str">
        <f ca="1">IFERROR(__xludf.DUMMYFUNCTION("""COMPUTED_VALUE"""),"Offices Land Building Block 3")</f>
        <v>Offices Land Building Block 3</v>
      </c>
      <c r="C92" s="2" t="str">
        <f ca="1">IFERROR(__xludf.DUMMYFUNCTION("""COMPUTED_VALUE"""),"Building")</f>
        <v>Building</v>
      </c>
      <c r="D92" s="2" t="str">
        <f ca="1">IFERROR(__xludf.DUMMYFUNCTION("""COMPUTED_VALUE"""),"Dubai&gt;Al Karama&gt;Offices Land Building&gt;Offices Land Building Block 3")</f>
        <v>Dubai&gt;Al Karama&gt;Offices Land Building&gt;Offices Land Building Block 3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6.5" x14ac:dyDescent="0.35">
      <c r="A93" s="2" t="str">
        <f ca="1">IFERROR(__xludf.DUMMYFUNCTION("""COMPUTED_VALUE"""),"Dubai")</f>
        <v>Dubai</v>
      </c>
      <c r="B93" s="2" t="str">
        <f ca="1">IFERROR(__xludf.DUMMYFUNCTION("""COMPUTED_VALUE"""),"A-17")</f>
        <v>A-17</v>
      </c>
      <c r="C93" s="2" t="str">
        <f ca="1">IFERROR(__xludf.DUMMYFUNCTION("""COMPUTED_VALUE"""),"Building")</f>
        <v>Building</v>
      </c>
      <c r="D93" s="2" t="str">
        <f ca="1">IFERROR(__xludf.DUMMYFUNCTION("""COMPUTED_VALUE"""),"Dubai&gt;Al Karama&gt;A-17")</f>
        <v>Dubai&gt;Al Karama&gt;A-17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6.5" x14ac:dyDescent="0.35">
      <c r="A94" s="2" t="str">
        <f ca="1">IFERROR(__xludf.DUMMYFUNCTION("""COMPUTED_VALUE"""),"Dubai")</f>
        <v>Dubai</v>
      </c>
      <c r="B94" s="2" t="str">
        <f ca="1">IFERROR(__xludf.DUMMYFUNCTION("""COMPUTED_VALUE"""),"Al Shaya building")</f>
        <v>Al Shaya building</v>
      </c>
      <c r="C94" s="2" t="str">
        <f ca="1">IFERROR(__xludf.DUMMYFUNCTION("""COMPUTED_VALUE"""),"Building")</f>
        <v>Building</v>
      </c>
      <c r="D94" s="2" t="str">
        <f ca="1">IFERROR(__xludf.DUMMYFUNCTION("""COMPUTED_VALUE"""),"Dubai&gt;Al Karama&gt;Al Shaya building")</f>
        <v>Dubai&gt;Al Karama&gt;Al Shaya building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6.5" x14ac:dyDescent="0.35">
      <c r="A95" s="2" t="str">
        <f ca="1">IFERROR(__xludf.DUMMYFUNCTION("""COMPUTED_VALUE"""),"Dubai")</f>
        <v>Dubai</v>
      </c>
      <c r="B95" s="2" t="str">
        <f ca="1">IFERROR(__xludf.DUMMYFUNCTION("""COMPUTED_VALUE"""),"Rashid Belhoul Building")</f>
        <v>Rashid Belhoul Building</v>
      </c>
      <c r="C95" s="2" t="str">
        <f ca="1">IFERROR(__xludf.DUMMYFUNCTION("""COMPUTED_VALUE"""),"Building")</f>
        <v>Building</v>
      </c>
      <c r="D95" s="2" t="str">
        <f ca="1">IFERROR(__xludf.DUMMYFUNCTION("""COMPUTED_VALUE"""),"Dubai&gt;Al Karama&gt;Rashid Belhoul Building")</f>
        <v>Dubai&gt;Al Karama&gt;Rashid Belhoul Building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6.5" x14ac:dyDescent="0.35">
      <c r="A96" s="2" t="str">
        <f ca="1">IFERROR(__xludf.DUMMYFUNCTION("""COMPUTED_VALUE"""),"Dubai")</f>
        <v>Dubai</v>
      </c>
      <c r="B96" s="2" t="str">
        <f ca="1">IFERROR(__xludf.DUMMYFUNCTION("""COMPUTED_VALUE"""),"Al Karama 2 Building")</f>
        <v>Al Karama 2 Building</v>
      </c>
      <c r="C96" s="2" t="str">
        <f ca="1">IFERROR(__xludf.DUMMYFUNCTION("""COMPUTED_VALUE"""),"Building")</f>
        <v>Building</v>
      </c>
      <c r="D96" s="2" t="str">
        <f ca="1">IFERROR(__xludf.DUMMYFUNCTION("""COMPUTED_VALUE"""),"Dubai&gt;Al Karama&gt;Al Karama 2 Building")</f>
        <v>Dubai&gt;Al Karama&gt;Al Karama 2 Building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6.5" x14ac:dyDescent="0.35">
      <c r="A97" s="2" t="str">
        <f ca="1">IFERROR(__xludf.DUMMYFUNCTION("""COMPUTED_VALUE"""),"Dubai")</f>
        <v>Dubai</v>
      </c>
      <c r="B97" s="2" t="str">
        <f ca="1">IFERROR(__xludf.DUMMYFUNCTION("""COMPUTED_VALUE"""),"Rashed Building")</f>
        <v>Rashed Building</v>
      </c>
      <c r="C97" s="2" t="str">
        <f ca="1">IFERROR(__xludf.DUMMYFUNCTION("""COMPUTED_VALUE"""),"Building")</f>
        <v>Building</v>
      </c>
      <c r="D97" s="2" t="str">
        <f ca="1">IFERROR(__xludf.DUMMYFUNCTION("""COMPUTED_VALUE"""),"Dubai&gt;Al Karama&gt;Rashed Building")</f>
        <v>Dubai&gt;Al Karama&gt;Rashed Building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6.5" x14ac:dyDescent="0.35">
      <c r="A98" s="2" t="str">
        <f ca="1">IFERROR(__xludf.DUMMYFUNCTION("""COMPUTED_VALUE"""),"Dubai")</f>
        <v>Dubai</v>
      </c>
      <c r="B98" s="2" t="str">
        <f ca="1">IFERROR(__xludf.DUMMYFUNCTION("""COMPUTED_VALUE"""),"Creek View by Iraz")</f>
        <v>Creek View by Iraz</v>
      </c>
      <c r="C98" s="2" t="str">
        <f ca="1">IFERROR(__xludf.DUMMYFUNCTION("""COMPUTED_VALUE"""),"Building")</f>
        <v>Building</v>
      </c>
      <c r="D98" s="2" t="str">
        <f ca="1">IFERROR(__xludf.DUMMYFUNCTION("""COMPUTED_VALUE"""),"Dubai&gt;Culture Village (Jaddaf Waterfront)&gt;Creek View by Iraz")</f>
        <v>Dubai&gt;Culture Village (Jaddaf Waterfront)&gt;Creek View by Iraz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6.5" x14ac:dyDescent="0.35">
      <c r="A99" s="2" t="str">
        <f ca="1">IFERROR(__xludf.DUMMYFUNCTION("""COMPUTED_VALUE"""),"Dubai")</f>
        <v>Dubai</v>
      </c>
      <c r="B99" s="2" t="str">
        <f ca="1">IFERROR(__xludf.DUMMYFUNCTION("""COMPUTED_VALUE"""),"Madinat Jumeirah Living")</f>
        <v>Madinat Jumeirah Living</v>
      </c>
      <c r="C99" s="2" t="str">
        <f ca="1">IFERROR(__xludf.DUMMYFUNCTION("""COMPUTED_VALUE"""),"Neighbourhood")</f>
        <v>Neighbourhood</v>
      </c>
      <c r="D99" s="2" t="str">
        <f ca="1">IFERROR(__xludf.DUMMYFUNCTION("""COMPUTED_VALUE"""),"Dubai&gt;Umm Suqeim&gt;Madinat Jumeirah Living")</f>
        <v>Dubai&gt;Umm Suqeim&gt;Madinat Jumeirah Living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6.5" x14ac:dyDescent="0.35">
      <c r="A100" s="2" t="str">
        <f ca="1">IFERROR(__xludf.DUMMYFUNCTION("""COMPUTED_VALUE"""),"Dubai")</f>
        <v>Dubai</v>
      </c>
      <c r="B100" s="2" t="str">
        <f ca="1">IFERROR(__xludf.DUMMYFUNCTION("""COMPUTED_VALUE"""),"Jomana 6")</f>
        <v>Jomana 6</v>
      </c>
      <c r="C100" s="2" t="str">
        <f ca="1">IFERROR(__xludf.DUMMYFUNCTION("""COMPUTED_VALUE"""),"Building")</f>
        <v>Building</v>
      </c>
      <c r="D100" s="2" t="str">
        <f ca="1">IFERROR(__xludf.DUMMYFUNCTION("""COMPUTED_VALUE"""),"Dubai&gt;Umm Suqeim&gt;Madinat Jumeirah Living&gt;Jomana&gt;Jomana 6")</f>
        <v>Dubai&gt;Umm Suqeim&gt;Madinat Jumeirah Living&gt;Jomana&gt;Jomana 6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6.5" x14ac:dyDescent="0.35">
      <c r="A101" s="2" t="str">
        <f ca="1">IFERROR(__xludf.DUMMYFUNCTION("""COMPUTED_VALUE"""),"Dubai")</f>
        <v>Dubai</v>
      </c>
      <c r="B101" s="2" t="str">
        <f ca="1">IFERROR(__xludf.DUMMYFUNCTION("""COMPUTED_VALUE"""),"Abdul Jalil Grove Two Villas")</f>
        <v>Abdul Jalil Grove Two Villas</v>
      </c>
      <c r="C101" s="2" t="str">
        <f ca="1">IFERROR(__xludf.DUMMYFUNCTION("""COMPUTED_VALUE"""),"Neighbourhood")</f>
        <v>Neighbourhood</v>
      </c>
      <c r="D101" s="2" t="str">
        <f ca="1">IFERROR(__xludf.DUMMYFUNCTION("""COMPUTED_VALUE"""),"Dubai&gt;Umm Suqeim&gt;Umm Suqeim 1&gt;Abdul Jalil Grove Two Villas")</f>
        <v>Dubai&gt;Umm Suqeim&gt;Umm Suqeim 1&gt;Abdul Jalil Grove Two Villas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6.5" x14ac:dyDescent="0.35">
      <c r="A102" s="2" t="str">
        <f ca="1">IFERROR(__xludf.DUMMYFUNCTION("""COMPUTED_VALUE"""),"Dubai")</f>
        <v>Dubai</v>
      </c>
      <c r="B102" s="2" t="str">
        <f ca="1">IFERROR(__xludf.DUMMYFUNCTION("""COMPUTED_VALUE"""),"Azizi Milan Heights Tower F")</f>
        <v>Azizi Milan Heights Tower F</v>
      </c>
      <c r="C102" s="2" t="str">
        <f ca="1">IFERROR(__xludf.DUMMYFUNCTION("""COMPUTED_VALUE"""),"Building")</f>
        <v>Building</v>
      </c>
      <c r="D102" s="2" t="str">
        <f ca="1">IFERROR(__xludf.DUMMYFUNCTION("""COMPUTED_VALUE"""),"Dubai&gt;City of Arabia&gt;Azizi Milan&gt;Azizi Milan Heights&gt;Azizi Milan Heights Tower F")</f>
        <v>Dubai&gt;City of Arabia&gt;Azizi Milan&gt;Azizi Milan Heights&gt;Azizi Milan Heights Tower F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6.5" x14ac:dyDescent="0.35">
      <c r="A103" s="2" t="str">
        <f ca="1">IFERROR(__xludf.DUMMYFUNCTION("""COMPUTED_VALUE"""),"Dubai")</f>
        <v>Dubai</v>
      </c>
      <c r="B103" s="2" t="str">
        <f ca="1">IFERROR(__xludf.DUMMYFUNCTION("""COMPUTED_VALUE"""),"Al Madani Building")</f>
        <v>Al Madani Building</v>
      </c>
      <c r="C103" s="2" t="str">
        <f ca="1">IFERROR(__xludf.DUMMYFUNCTION("""COMPUTED_VALUE"""),"Building")</f>
        <v>Building</v>
      </c>
      <c r="D103" s="2" t="str">
        <f ca="1">IFERROR(__xludf.DUMMYFUNCTION("""COMPUTED_VALUE"""),"Dubai&gt;Al Badaa&gt;Al Madani Building")</f>
        <v>Dubai&gt;Al Badaa&gt;Al Madani Building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6.5" x14ac:dyDescent="0.35">
      <c r="A104" s="2" t="str">
        <f ca="1">IFERROR(__xludf.DUMMYFUNCTION("""COMPUTED_VALUE"""),"Dubai")</f>
        <v>Dubai</v>
      </c>
      <c r="B104" s="2" t="str">
        <f ca="1">IFERROR(__xludf.DUMMYFUNCTION("""COMPUTED_VALUE"""),"Dhiyafa Building")</f>
        <v>Dhiyafa Building</v>
      </c>
      <c r="C104" s="2" t="str">
        <f ca="1">IFERROR(__xludf.DUMMYFUNCTION("""COMPUTED_VALUE"""),"Building")</f>
        <v>Building</v>
      </c>
      <c r="D104" s="2" t="str">
        <f ca="1">IFERROR(__xludf.DUMMYFUNCTION("""COMPUTED_VALUE"""),"Dubai&gt;Al Badaa&gt;Dhiyafa Building")</f>
        <v>Dubai&gt;Al Badaa&gt;Dhiyafa Building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6.5" x14ac:dyDescent="0.35">
      <c r="A105" s="2" t="str">
        <f ca="1">IFERROR(__xludf.DUMMYFUNCTION("""COMPUTED_VALUE"""),"Dubai")</f>
        <v>Dubai</v>
      </c>
      <c r="B105" s="2" t="str">
        <f ca="1">IFERROR(__xludf.DUMMYFUNCTION("""COMPUTED_VALUE"""),"Al Awir")</f>
        <v>Al Awir</v>
      </c>
      <c r="C105" s="2" t="str">
        <f ca="1">IFERROR(__xludf.DUMMYFUNCTION("""COMPUTED_VALUE"""),"Neighbourhood")</f>
        <v>Neighbourhood</v>
      </c>
      <c r="D105" s="2" t="str">
        <f ca="1">IFERROR(__xludf.DUMMYFUNCTION("""COMPUTED_VALUE"""),"Dubai&gt;Al Awir")</f>
        <v>Dubai&gt;Al Awir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6.5" x14ac:dyDescent="0.35">
      <c r="A106" s="2" t="str">
        <f ca="1">IFERROR(__xludf.DUMMYFUNCTION("""COMPUTED_VALUE"""),"Dubai")</f>
        <v>Dubai</v>
      </c>
      <c r="B106" s="2" t="str">
        <f ca="1">IFERROR(__xludf.DUMMYFUNCTION("""COMPUTED_VALUE"""),"Al Fareej Courtyard Block A")</f>
        <v>Al Fareej Courtyard Block A</v>
      </c>
      <c r="C106" s="2" t="str">
        <f ca="1">IFERROR(__xludf.DUMMYFUNCTION("""COMPUTED_VALUE"""),"Building")</f>
        <v>Building</v>
      </c>
      <c r="D106" s="2" t="str">
        <f ca="1">IFERROR(__xludf.DUMMYFUNCTION("""COMPUTED_VALUE"""),"Dubai&gt;Al Rashidiya&gt;Al Fareej Courtyard&gt;Al Fareej Courtyard Block A")</f>
        <v>Dubai&gt;Al Rashidiya&gt;Al Fareej Courtyard&gt;Al Fareej Courtyard Block A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6.5" x14ac:dyDescent="0.35">
      <c r="A107" s="2" t="str">
        <f ca="1">IFERROR(__xludf.DUMMYFUNCTION("""COMPUTED_VALUE"""),"Dubai")</f>
        <v>Dubai</v>
      </c>
      <c r="B107" s="2" t="str">
        <f ca="1">IFERROR(__xludf.DUMMYFUNCTION("""COMPUTED_VALUE"""),"The Edit Tower C")</f>
        <v>The Edit Tower C</v>
      </c>
      <c r="C107" s="2" t="str">
        <f ca="1">IFERROR(__xludf.DUMMYFUNCTION("""COMPUTED_VALUE"""),"Building")</f>
        <v>Building</v>
      </c>
      <c r="D107" s="2" t="str">
        <f ca="1">IFERROR(__xludf.DUMMYFUNCTION("""COMPUTED_VALUE"""),"Dubai&gt;Dubai Design District&gt;The Edit at D3&gt;The Edit Tower C")</f>
        <v>Dubai&gt;Dubai Design District&gt;The Edit at D3&gt;The Edit Tower C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6.5" x14ac:dyDescent="0.35">
      <c r="A108" s="2" t="str">
        <f ca="1">IFERROR(__xludf.DUMMYFUNCTION("""COMPUTED_VALUE"""),"Dubai")</f>
        <v>Dubai</v>
      </c>
      <c r="B108" s="2" t="str">
        <f ca="1">IFERROR(__xludf.DUMMYFUNCTION("""COMPUTED_VALUE"""),"Al Telal 6")</f>
        <v>Al Telal 6</v>
      </c>
      <c r="C108" s="2" t="str">
        <f ca="1">IFERROR(__xludf.DUMMYFUNCTION("""COMPUTED_VALUE"""),"Building")</f>
        <v>Building</v>
      </c>
      <c r="D108" s="2" t="str">
        <f ca="1">IFERROR(__xludf.DUMMYFUNCTION("""COMPUTED_VALUE"""),"Dubai&gt;Al Hudaiba&gt;Al Telal 6")</f>
        <v>Dubai&gt;Al Hudaiba&gt;Al Telal 6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6.5" x14ac:dyDescent="0.35">
      <c r="A109" s="2" t="str">
        <f ca="1">IFERROR(__xludf.DUMMYFUNCTION("""COMPUTED_VALUE"""),"Dubai")</f>
        <v>Dubai</v>
      </c>
      <c r="B109" s="2" t="str">
        <f ca="1">IFERROR(__xludf.DUMMYFUNCTION("""COMPUTED_VALUE"""),"Beach Hotel Apartments")</f>
        <v>Beach Hotel Apartments</v>
      </c>
      <c r="C109" s="2" t="str">
        <f ca="1">IFERROR(__xludf.DUMMYFUNCTION("""COMPUTED_VALUE"""),"Building")</f>
        <v>Building</v>
      </c>
      <c r="D109" s="2" t="str">
        <f ca="1">IFERROR(__xludf.DUMMYFUNCTION("""COMPUTED_VALUE"""),"Dubai&gt;Jumeirah&gt;Jumeirah 1&gt;Beach Hotel Apartments")</f>
        <v>Dubai&gt;Jumeirah&gt;Jumeirah 1&gt;Beach Hotel Apartments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6.5" x14ac:dyDescent="0.35">
      <c r="A110" s="2" t="str">
        <f ca="1">IFERROR(__xludf.DUMMYFUNCTION("""COMPUTED_VALUE"""),"Dubai")</f>
        <v>Dubai</v>
      </c>
      <c r="B110" s="2" t="str">
        <f ca="1">IFERROR(__xludf.DUMMYFUNCTION("""COMPUTED_VALUE"""),"The Terraces Compound")</f>
        <v>The Terraces Compound</v>
      </c>
      <c r="C110" s="2" t="str">
        <f ca="1">IFERROR(__xludf.DUMMYFUNCTION("""COMPUTED_VALUE"""),"Neighbourhood")</f>
        <v>Neighbourhood</v>
      </c>
      <c r="D110" s="2" t="str">
        <f ca="1">IFERROR(__xludf.DUMMYFUNCTION("""COMPUTED_VALUE"""),"Dubai&gt;Jumeirah&gt;Jumeirah 2&gt;The Terraces Compound")</f>
        <v>Dubai&gt;Jumeirah&gt;Jumeirah 2&gt;The Terraces Compound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6.5" x14ac:dyDescent="0.35">
      <c r="A111" s="2" t="str">
        <f ca="1">IFERROR(__xludf.DUMMYFUNCTION("""COMPUTED_VALUE"""),"Dubai")</f>
        <v>Dubai</v>
      </c>
      <c r="B111" s="2" t="str">
        <f ca="1">IFERROR(__xludf.DUMMYFUNCTION("""COMPUTED_VALUE"""),"La Cote Tower 1")</f>
        <v>La Cote Tower 1</v>
      </c>
      <c r="C111" s="2" t="str">
        <f ca="1">IFERROR(__xludf.DUMMYFUNCTION("""COMPUTED_VALUE"""),"Building")</f>
        <v>Building</v>
      </c>
      <c r="D111" s="2" t="str">
        <f ca="1">IFERROR(__xludf.DUMMYFUNCTION("""COMPUTED_VALUE"""),"Dubai&gt;Jumeirah&gt;La Mer&gt;Port de La Mer&gt;La Cote&gt;La Cote Tower 1")</f>
        <v>Dubai&gt;Jumeirah&gt;La Mer&gt;Port de La Mer&gt;La Cote&gt;La Cote Tower 1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6.5" x14ac:dyDescent="0.35">
      <c r="A112" s="2" t="str">
        <f ca="1">IFERROR(__xludf.DUMMYFUNCTION("""COMPUTED_VALUE"""),"Dubai")</f>
        <v>Dubai</v>
      </c>
      <c r="B112" s="2" t="str">
        <f ca="1">IFERROR(__xludf.DUMMYFUNCTION("""COMPUTED_VALUE"""),"Solaya 7")</f>
        <v>Solaya 7</v>
      </c>
      <c r="C112" s="2" t="str">
        <f ca="1">IFERROR(__xludf.DUMMYFUNCTION("""COMPUTED_VALUE"""),"Building")</f>
        <v>Building</v>
      </c>
      <c r="D112" s="2" t="str">
        <f ca="1">IFERROR(__xludf.DUMMYFUNCTION("""COMPUTED_VALUE"""),"Dubai&gt;Jumeirah&gt;La Mer&gt;Solaya&gt;Solaya 7")</f>
        <v>Dubai&gt;Jumeirah&gt;La Mer&gt;Solaya&gt;Solaya 7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6.5" x14ac:dyDescent="0.35">
      <c r="A113" s="2" t="str">
        <f ca="1">IFERROR(__xludf.DUMMYFUNCTION("""COMPUTED_VALUE"""),"Dubai")</f>
        <v>Dubai</v>
      </c>
      <c r="B113" s="2" t="str">
        <f ca="1">IFERROR(__xludf.DUMMYFUNCTION("""COMPUTED_VALUE"""),"Creek Gate Tower 1")</f>
        <v>Creek Gate Tower 1</v>
      </c>
      <c r="C113" s="2" t="str">
        <f ca="1">IFERROR(__xludf.DUMMYFUNCTION("""COMPUTED_VALUE"""),"Building")</f>
        <v>Building</v>
      </c>
      <c r="D113" s="2" t="str">
        <f ca="1">IFERROR(__xludf.DUMMYFUNCTION("""COMPUTED_VALUE"""),"Dubai&gt;Dubai Creek Harbour&gt;Creek Gate&gt;Creek Gate Tower 1")</f>
        <v>Dubai&gt;Dubai Creek Harbour&gt;Creek Gate&gt;Creek Gate Tower 1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6.5" x14ac:dyDescent="0.35">
      <c r="A114" s="2" t="str">
        <f ca="1">IFERROR(__xludf.DUMMYFUNCTION("""COMPUTED_VALUE"""),"Dubai")</f>
        <v>Dubai</v>
      </c>
      <c r="B114" s="2" t="str">
        <f ca="1">IFERROR(__xludf.DUMMYFUNCTION("""COMPUTED_VALUE"""),"Grove Building 2")</f>
        <v>Grove Building 2</v>
      </c>
      <c r="C114" s="2" t="str">
        <f ca="1">IFERROR(__xludf.DUMMYFUNCTION("""COMPUTED_VALUE"""),"Building")</f>
        <v>Building</v>
      </c>
      <c r="D114" s="2" t="str">
        <f ca="1">IFERROR(__xludf.DUMMYFUNCTION("""COMPUTED_VALUE"""),"Dubai&gt;Dubai Creek Harbour&gt;Grove at Creek Beach&gt;Grove Building 2")</f>
        <v>Dubai&gt;Dubai Creek Harbour&gt;Grove at Creek Beach&gt;Grove Building 2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6.5" x14ac:dyDescent="0.35">
      <c r="A115" s="2" t="str">
        <f ca="1">IFERROR(__xludf.DUMMYFUNCTION("""COMPUTED_VALUE"""),"Dubai")</f>
        <v>Dubai</v>
      </c>
      <c r="B115" s="2" t="str">
        <f ca="1">IFERROR(__xludf.DUMMYFUNCTION("""COMPUTED_VALUE"""),"The Cove II Building 11")</f>
        <v>The Cove II Building 11</v>
      </c>
      <c r="C115" s="2" t="str">
        <f ca="1">IFERROR(__xludf.DUMMYFUNCTION("""COMPUTED_VALUE"""),"Building")</f>
        <v>Building</v>
      </c>
      <c r="D115" s="2" t="str">
        <f ca="1">IFERROR(__xludf.DUMMYFUNCTION("""COMPUTED_VALUE"""),"Dubai&gt;Dubai Creek Harbour&gt;The Cove II&gt;The Cove II Building 11")</f>
        <v>Dubai&gt;Dubai Creek Harbour&gt;The Cove II&gt;The Cove II Building 11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6.5" x14ac:dyDescent="0.35">
      <c r="A116" s="2" t="str">
        <f ca="1">IFERROR(__xludf.DUMMYFUNCTION("""COMPUTED_VALUE"""),"Dubai")</f>
        <v>Dubai</v>
      </c>
      <c r="B116" s="2" t="str">
        <f ca="1">IFERROR(__xludf.DUMMYFUNCTION("""COMPUTED_VALUE"""),"Moor at Creek Beach Building 1")</f>
        <v>Moor at Creek Beach Building 1</v>
      </c>
      <c r="C116" s="2" t="str">
        <f ca="1">IFERROR(__xludf.DUMMYFUNCTION("""COMPUTED_VALUE"""),"Building")</f>
        <v>Building</v>
      </c>
      <c r="D116" s="2" t="str">
        <f ca="1">IFERROR(__xludf.DUMMYFUNCTION("""COMPUTED_VALUE"""),"Dubai&gt;Dubai Creek Harbour&gt;Moor at Creek Beach&gt;Moor at Creek Beach Building 1")</f>
        <v>Dubai&gt;Dubai Creek Harbour&gt;Moor at Creek Beach&gt;Moor at Creek Beach Building 1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6.5" x14ac:dyDescent="0.35">
      <c r="A117" s="2" t="str">
        <f ca="1">IFERROR(__xludf.DUMMYFUNCTION("""COMPUTED_VALUE"""),"Dubai")</f>
        <v>Dubai</v>
      </c>
      <c r="B117" s="2" t="str">
        <f ca="1">IFERROR(__xludf.DUMMYFUNCTION("""COMPUTED_VALUE"""),"Arabian Oryx House")</f>
        <v>Arabian Oryx House</v>
      </c>
      <c r="C117" s="2" t="str">
        <f ca="1">IFERROR(__xludf.DUMMYFUNCTION("""COMPUTED_VALUE"""),"Building")</f>
        <v>Building</v>
      </c>
      <c r="D117" s="2" t="str">
        <f ca="1">IFERROR(__xludf.DUMMYFUNCTION("""COMPUTED_VALUE"""),"Dubai&gt;Barsha Heights (Tecom)&gt;Arabian Oryx House")</f>
        <v>Dubai&gt;Barsha Heights (Tecom)&gt;Arabian Oryx House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6.5" x14ac:dyDescent="0.35">
      <c r="A118" s="2" t="str">
        <f ca="1">IFERROR(__xludf.DUMMYFUNCTION("""COMPUTED_VALUE"""),"Dubai")</f>
        <v>Dubai</v>
      </c>
      <c r="B118" s="2" t="str">
        <f ca="1">IFERROR(__xludf.DUMMYFUNCTION("""COMPUTED_VALUE"""),"Oasis Residence")</f>
        <v>Oasis Residence</v>
      </c>
      <c r="C118" s="2" t="str">
        <f ca="1">IFERROR(__xludf.DUMMYFUNCTION("""COMPUTED_VALUE"""),"Building")</f>
        <v>Building</v>
      </c>
      <c r="D118" s="2" t="str">
        <f ca="1">IFERROR(__xludf.DUMMYFUNCTION("""COMPUTED_VALUE"""),"Dubai&gt;Barsha Heights (Tecom)&gt;Oasis Residence")</f>
        <v>Dubai&gt;Barsha Heights (Tecom)&gt;Oasis Residence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6.5" x14ac:dyDescent="0.35">
      <c r="A119" s="2" t="str">
        <f ca="1">IFERROR(__xludf.DUMMYFUNCTION("""COMPUTED_VALUE"""),"Dubai")</f>
        <v>Dubai</v>
      </c>
      <c r="B119" s="2" t="str">
        <f ca="1">IFERROR(__xludf.DUMMYFUNCTION("""COMPUTED_VALUE"""),"Art Tower 4")</f>
        <v>Art Tower 4</v>
      </c>
      <c r="C119" s="2" t="str">
        <f ca="1">IFERROR(__xludf.DUMMYFUNCTION("""COMPUTED_VALUE"""),"Building")</f>
        <v>Building</v>
      </c>
      <c r="D119" s="2" t="str">
        <f ca="1">IFERROR(__xludf.DUMMYFUNCTION("""COMPUTED_VALUE"""),"Dubai&gt;Barsha Heights (Tecom)&gt;Art Tower 4")</f>
        <v>Dubai&gt;Barsha Heights (Tecom)&gt;Art Tower 4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6.5" x14ac:dyDescent="0.35">
      <c r="A120" s="2" t="str">
        <f ca="1">IFERROR(__xludf.DUMMYFUNCTION("""COMPUTED_VALUE"""),"Dubai")</f>
        <v>Dubai</v>
      </c>
      <c r="B120" s="2" t="str">
        <f ca="1">IFERROR(__xludf.DUMMYFUNCTION("""COMPUTED_VALUE"""),"Telal Hotel &amp; Hotel Apartments")</f>
        <v>Telal Hotel &amp; Hotel Apartments</v>
      </c>
      <c r="C120" s="2" t="str">
        <f ca="1">IFERROR(__xludf.DUMMYFUNCTION("""COMPUTED_VALUE"""),"Building")</f>
        <v>Building</v>
      </c>
      <c r="D120" s="2" t="str">
        <f ca="1">IFERROR(__xludf.DUMMYFUNCTION("""COMPUTED_VALUE"""),"Dubai&gt;Barsha Heights (Tecom)&gt;Telal Hotel &amp; Hotel Apartments")</f>
        <v>Dubai&gt;Barsha Heights (Tecom)&gt;Telal Hotel &amp; Hotel Apartments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6.5" x14ac:dyDescent="0.35">
      <c r="A121" s="2" t="str">
        <f ca="1">IFERROR(__xludf.DUMMYFUNCTION("""COMPUTED_VALUE"""),"Dubai")</f>
        <v>Dubai</v>
      </c>
      <c r="B121" s="2" t="str">
        <f ca="1">IFERROR(__xludf.DUMMYFUNCTION("""COMPUTED_VALUE"""),"Terraced Apartment 1B")</f>
        <v>Terraced Apartment 1B</v>
      </c>
      <c r="C121" s="2" t="str">
        <f ca="1">IFERROR(__xludf.DUMMYFUNCTION("""COMPUTED_VALUE"""),"Building")</f>
        <v>Building</v>
      </c>
      <c r="D121" s="2" t="str">
        <f ca="1">IFERROR(__xludf.DUMMYFUNCTION("""COMPUTED_VALUE"""),"Dubai&gt;Motor City&gt;Green Community (Motor City)&gt;Terraced Apartments&gt;Terraced Apartment 1B")</f>
        <v>Dubai&gt;Motor City&gt;Green Community (Motor City)&gt;Terraced Apartments&gt;Terraced Apartment 1B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6.5" x14ac:dyDescent="0.35">
      <c r="A122" s="2" t="str">
        <f ca="1">IFERROR(__xludf.DUMMYFUNCTION("""COMPUTED_VALUE"""),"Dubai")</f>
        <v>Dubai</v>
      </c>
      <c r="B122" s="2" t="str">
        <f ca="1">IFERROR(__xludf.DUMMYFUNCTION("""COMPUTED_VALUE"""),"Norton Court 3")</f>
        <v>Norton Court 3</v>
      </c>
      <c r="C122" s="2" t="str">
        <f ca="1">IFERROR(__xludf.DUMMYFUNCTION("""COMPUTED_VALUE"""),"Building")</f>
        <v>Building</v>
      </c>
      <c r="D122" s="2" t="str">
        <f ca="1">IFERROR(__xludf.DUMMYFUNCTION("""COMPUTED_VALUE"""),"Dubai&gt;Motor City&gt;Uptown Motor City&gt;Norton Court&gt;Norton Court 3")</f>
        <v>Dubai&gt;Motor City&gt;Uptown Motor City&gt;Norton Court&gt;Norton Court 3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6.5" x14ac:dyDescent="0.35">
      <c r="A123" s="2" t="str">
        <f ca="1">IFERROR(__xludf.DUMMYFUNCTION("""COMPUTED_VALUE"""),"Dubai")</f>
        <v>Dubai</v>
      </c>
      <c r="B123" s="2" t="str">
        <f ca="1">IFERROR(__xludf.DUMMYFUNCTION("""COMPUTED_VALUE"""),"Fox Hill 1")</f>
        <v>Fox Hill 1</v>
      </c>
      <c r="C123" s="2" t="str">
        <f ca="1">IFERROR(__xludf.DUMMYFUNCTION("""COMPUTED_VALUE"""),"Building")</f>
        <v>Building</v>
      </c>
      <c r="D123" s="2" t="str">
        <f ca="1">IFERROR(__xludf.DUMMYFUNCTION("""COMPUTED_VALUE"""),"Dubai&gt;Motor City&gt;Uptown Motor City&gt;Fox Hill&gt;Fox Hill 1")</f>
        <v>Dubai&gt;Motor City&gt;Uptown Motor City&gt;Fox Hill&gt;Fox Hill 1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6.5" x14ac:dyDescent="0.35">
      <c r="A124" s="2" t="str">
        <f ca="1">IFERROR(__xludf.DUMMYFUNCTION("""COMPUTED_VALUE"""),"Dubai")</f>
        <v>Dubai</v>
      </c>
      <c r="B124" s="2" t="str">
        <f ca="1">IFERROR(__xludf.DUMMYFUNCTION("""COMPUTED_VALUE"""),"Sobha Orbis Tower A")</f>
        <v>Sobha Orbis Tower A</v>
      </c>
      <c r="C124" s="2" t="str">
        <f ca="1">IFERROR(__xludf.DUMMYFUNCTION("""COMPUTED_VALUE"""),"Building")</f>
        <v>Building</v>
      </c>
      <c r="D124" s="2" t="str">
        <f ca="1">IFERROR(__xludf.DUMMYFUNCTION("""COMPUTED_VALUE"""),"Dubai&gt;Motor City&gt;Sobha Orbis&gt;Sobha Orbis Tower A")</f>
        <v>Dubai&gt;Motor City&gt;Sobha Orbis&gt;Sobha Orbis Tower A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6.5" x14ac:dyDescent="0.35">
      <c r="A125" s="2" t="str">
        <f ca="1">IFERROR(__xludf.DUMMYFUNCTION("""COMPUTED_VALUE"""),"Dubai")</f>
        <v>Dubai</v>
      </c>
      <c r="B125" s="2" t="str">
        <f ca="1">IFERROR(__xludf.DUMMYFUNCTION("""COMPUTED_VALUE"""),"Control Tower")</f>
        <v>Control Tower</v>
      </c>
      <c r="C125" s="2" t="str">
        <f ca="1">IFERROR(__xludf.DUMMYFUNCTION("""COMPUTED_VALUE"""),"Building")</f>
        <v>Building</v>
      </c>
      <c r="D125" s="2" t="str">
        <f ca="1">IFERROR(__xludf.DUMMYFUNCTION("""COMPUTED_VALUE"""),"Dubai&gt;Motor City&gt;Control Tower")</f>
        <v>Dubai&gt;Motor City&gt;Control Tower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6.5" x14ac:dyDescent="0.35">
      <c r="A126" s="2" t="str">
        <f ca="1">IFERROR(__xludf.DUMMYFUNCTION("""COMPUTED_VALUE"""),"Dubai")</f>
        <v>Dubai</v>
      </c>
      <c r="B126" s="2" t="str">
        <f ca="1">IFERROR(__xludf.DUMMYFUNCTION("""COMPUTED_VALUE"""),"Al Sufouh 2")</f>
        <v>Al Sufouh 2</v>
      </c>
      <c r="C126" s="2" t="str">
        <f ca="1">IFERROR(__xludf.DUMMYFUNCTION("""COMPUTED_VALUE"""),"Neighbourhood")</f>
        <v>Neighbourhood</v>
      </c>
      <c r="D126" s="2" t="str">
        <f ca="1">IFERROR(__xludf.DUMMYFUNCTION("""COMPUTED_VALUE"""),"Dubai&gt;Al Sufouh&gt;Al Sufouh 2")</f>
        <v>Dubai&gt;Al Sufouh&gt;Al Sufouh 2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6.5" x14ac:dyDescent="0.35">
      <c r="A127" s="2" t="str">
        <f ca="1">IFERROR(__xludf.DUMMYFUNCTION("""COMPUTED_VALUE"""),"Dubai")</f>
        <v>Dubai</v>
      </c>
      <c r="B127" s="2" t="str">
        <f ca="1">IFERROR(__xludf.DUMMYFUNCTION("""COMPUTED_VALUE"""),"Flamingo Villas")</f>
        <v>Flamingo Villas</v>
      </c>
      <c r="C127" s="2" t="str">
        <f ca="1">IFERROR(__xludf.DUMMYFUNCTION("""COMPUTED_VALUE"""),"Neighbourhood")</f>
        <v>Neighbourhood</v>
      </c>
      <c r="D127" s="2" t="str">
        <f ca="1">IFERROR(__xludf.DUMMYFUNCTION("""COMPUTED_VALUE"""),"Dubai&gt;Al Sufouh&gt;Al Sufouh 2&gt;Flamingo Villas")</f>
        <v>Dubai&gt;Al Sufouh&gt;Al Sufouh 2&gt;Flamingo Villas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6.5" x14ac:dyDescent="0.35">
      <c r="A128" s="2" t="str">
        <f ca="1">IFERROR(__xludf.DUMMYFUNCTION("""COMPUTED_VALUE"""),"Dubai")</f>
        <v>Dubai</v>
      </c>
      <c r="B128" s="2" t="str">
        <f ca="1">IFERROR(__xludf.DUMMYFUNCTION("""COMPUTED_VALUE"""),"Al Badia Living")</f>
        <v>Al Badia Living</v>
      </c>
      <c r="C128" s="2" t="str">
        <f ca="1">IFERROR(__xludf.DUMMYFUNCTION("""COMPUTED_VALUE"""),"Cluster")</f>
        <v>Cluster</v>
      </c>
      <c r="D128" s="2" t="str">
        <f ca="1">IFERROR(__xludf.DUMMYFUNCTION("""COMPUTED_VALUE"""),"Dubai&gt;Dubai Festival City&gt;Al Badia Living")</f>
        <v>Dubai&gt;Dubai Festival City&gt;Al Badia Living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6.5" x14ac:dyDescent="0.35">
      <c r="A129" s="2" t="str">
        <f ca="1">IFERROR(__xludf.DUMMYFUNCTION("""COMPUTED_VALUE"""),"Dubai")</f>
        <v>Dubai</v>
      </c>
      <c r="B129" s="2" t="str">
        <f ca="1">IFERROR(__xludf.DUMMYFUNCTION("""COMPUTED_VALUE"""),"Golf Promenade 3")</f>
        <v>Golf Promenade 3</v>
      </c>
      <c r="C129" s="2" t="str">
        <f ca="1">IFERROR(__xludf.DUMMYFUNCTION("""COMPUTED_VALUE"""),"Cluster")</f>
        <v>Cluster</v>
      </c>
      <c r="D129" s="2" t="str">
        <f ca="1">IFERROR(__xludf.DUMMYFUNCTION("""COMPUTED_VALUE"""),"Dubai&gt;DAMAC Hills&gt;Golf Town&gt;Golf Promenade&gt;Golf Promenade 3")</f>
        <v>Dubai&gt;DAMAC Hills&gt;Golf Town&gt;Golf Promenade&gt;Golf Promenade 3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6.5" x14ac:dyDescent="0.35">
      <c r="A130" s="2" t="str">
        <f ca="1">IFERROR(__xludf.DUMMYFUNCTION("""COMPUTED_VALUE"""),"Dubai")</f>
        <v>Dubai</v>
      </c>
      <c r="B130" s="2" t="str">
        <f ca="1">IFERROR(__xludf.DUMMYFUNCTION("""COMPUTED_VALUE"""),"Topanga")</f>
        <v>Topanga</v>
      </c>
      <c r="C130" s="2" t="str">
        <f ca="1">IFERROR(__xludf.DUMMYFUNCTION("""COMPUTED_VALUE"""),"Neighbourhood")</f>
        <v>Neighbourhood</v>
      </c>
      <c r="D130" s="2" t="str">
        <f ca="1">IFERROR(__xludf.DUMMYFUNCTION("""COMPUTED_VALUE"""),"Dubai&gt;DAMAC Hills&gt;The Park Villas&gt;Topanga")</f>
        <v>Dubai&gt;DAMAC Hills&gt;The Park Villas&gt;Topanga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6.5" x14ac:dyDescent="0.35">
      <c r="A131" s="2" t="str">
        <f ca="1">IFERROR(__xludf.DUMMYFUNCTION("""COMPUTED_VALUE"""),"Dubai")</f>
        <v>Dubai</v>
      </c>
      <c r="B131" s="2" t="str">
        <f ca="1">IFERROR(__xludf.DUMMYFUNCTION("""COMPUTED_VALUE"""),"Loreto 2A")</f>
        <v>Loreto 2A</v>
      </c>
      <c r="C131" s="2" t="str">
        <f ca="1">IFERROR(__xludf.DUMMYFUNCTION("""COMPUTED_VALUE"""),"Building")</f>
        <v>Building</v>
      </c>
      <c r="D131" s="2" t="str">
        <f ca="1">IFERROR(__xludf.DUMMYFUNCTION("""COMPUTED_VALUE"""),"Dubai&gt;DAMAC Hills&gt;Loreto&gt;Loreto A&gt;Loreto 2A")</f>
        <v>Dubai&gt;DAMAC Hills&gt;Loreto&gt;Loreto A&gt;Loreto 2A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6.5" x14ac:dyDescent="0.35">
      <c r="A132" s="2" t="str">
        <f ca="1">IFERROR(__xludf.DUMMYFUNCTION("""COMPUTED_VALUE"""),"Dubai")</f>
        <v>Dubai</v>
      </c>
      <c r="B132" s="2" t="str">
        <f ca="1">IFERROR(__xludf.DUMMYFUNCTION("""COMPUTED_VALUE"""),"Wasl Port Views 8")</f>
        <v>Wasl Port Views 8</v>
      </c>
      <c r="C132" s="2" t="str">
        <f ca="1">IFERROR(__xludf.DUMMYFUNCTION("""COMPUTED_VALUE"""),"Building")</f>
        <v>Building</v>
      </c>
      <c r="D132" s="2" t="str">
        <f ca="1">IFERROR(__xludf.DUMMYFUNCTION("""COMPUTED_VALUE"""),"Dubai&gt;Al Mina&gt;Wasl Port Views&gt;Wasl Port Views 8")</f>
        <v>Dubai&gt;Al Mina&gt;Wasl Port Views&gt;Wasl Port Views 8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6.5" x14ac:dyDescent="0.35">
      <c r="A133" s="2" t="str">
        <f ca="1">IFERROR(__xludf.DUMMYFUNCTION("""COMPUTED_VALUE"""),"Dubai")</f>
        <v>Dubai</v>
      </c>
      <c r="B133" s="2" t="str">
        <f ca="1">IFERROR(__xludf.DUMMYFUNCTION("""COMPUTED_VALUE"""),"Dubai Maritime City")</f>
        <v>Dubai Maritime City</v>
      </c>
      <c r="C133" s="2" t="str">
        <f ca="1">IFERROR(__xludf.DUMMYFUNCTION("""COMPUTED_VALUE"""),"Neighbourhood")</f>
        <v>Neighbourhood</v>
      </c>
      <c r="D133" s="2" t="str">
        <f ca="1">IFERROR(__xludf.DUMMYFUNCTION("""COMPUTED_VALUE"""),"Dubai&gt;Dubai Maritime City")</f>
        <v>Dubai&gt;Dubai Maritime City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6.5" x14ac:dyDescent="0.35">
      <c r="A134" s="2" t="str">
        <f ca="1">IFERROR(__xludf.DUMMYFUNCTION("""COMPUTED_VALUE"""),"Dubai")</f>
        <v>Dubai</v>
      </c>
      <c r="B134" s="2" t="str">
        <f ca="1">IFERROR(__xludf.DUMMYFUNCTION("""COMPUTED_VALUE"""),"Talea by Beyond")</f>
        <v>Talea by Beyond</v>
      </c>
      <c r="C134" s="2" t="str">
        <f ca="1">IFERROR(__xludf.DUMMYFUNCTION("""COMPUTED_VALUE"""),"Building")</f>
        <v>Building</v>
      </c>
      <c r="D134" s="2" t="str">
        <f ca="1">IFERROR(__xludf.DUMMYFUNCTION("""COMPUTED_VALUE"""),"Dubai&gt;Dubai Maritime City&gt;Talea by Beyond")</f>
        <v>Dubai&gt;Dubai Maritime City&gt;Talea by Beyond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6.5" x14ac:dyDescent="0.35">
      <c r="A135" s="2" t="str">
        <f ca="1">IFERROR(__xludf.DUMMYFUNCTION("""COMPUTED_VALUE"""),"Dubai")</f>
        <v>Dubai</v>
      </c>
      <c r="B135" s="2" t="str">
        <f ca="1">IFERROR(__xludf.DUMMYFUNCTION("""COMPUTED_VALUE"""),"The Links")</f>
        <v>The Links</v>
      </c>
      <c r="C135" s="2" t="str">
        <f ca="1">IFERROR(__xludf.DUMMYFUNCTION("""COMPUTED_VALUE"""),"Cluster")</f>
        <v>Cluster</v>
      </c>
      <c r="D135" s="2" t="str">
        <f ca="1">IFERROR(__xludf.DUMMYFUNCTION("""COMPUTED_VALUE"""),"Dubai&gt;The Views&gt;The Links")</f>
        <v>Dubai&gt;The Views&gt;The Links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6.5" x14ac:dyDescent="0.35">
      <c r="A136" s="2" t="str">
        <f ca="1">IFERROR(__xludf.DUMMYFUNCTION("""COMPUTED_VALUE"""),"Dubai")</f>
        <v>Dubai</v>
      </c>
      <c r="B136" s="2" t="str">
        <f ca="1">IFERROR(__xludf.DUMMYFUNCTION("""COMPUTED_VALUE"""),"Leader Building")</f>
        <v>Leader Building</v>
      </c>
      <c r="C136" s="2" t="str">
        <f ca="1">IFERROR(__xludf.DUMMYFUNCTION("""COMPUTED_VALUE"""),"Building")</f>
        <v>Building</v>
      </c>
      <c r="D136" s="2" t="str">
        <f ca="1">IFERROR(__xludf.DUMMYFUNCTION("""COMPUTED_VALUE"""),"Dubai&gt;Al Quoz&gt;Al Quoz 1&gt;Leader Building")</f>
        <v>Dubai&gt;Al Quoz&gt;Al Quoz 1&gt;Leader Building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6.5" x14ac:dyDescent="0.35">
      <c r="A137" s="2" t="str">
        <f ca="1">IFERROR(__xludf.DUMMYFUNCTION("""COMPUTED_VALUE"""),"Dubai")</f>
        <v>Dubai</v>
      </c>
      <c r="B137" s="2" t="str">
        <f ca="1">IFERROR(__xludf.DUMMYFUNCTION("""COMPUTED_VALUE"""),"Al Quoz 3")</f>
        <v>Al Quoz 3</v>
      </c>
      <c r="C137" s="2" t="str">
        <f ca="1">IFERROR(__xludf.DUMMYFUNCTION("""COMPUTED_VALUE"""),"Neighbourhood")</f>
        <v>Neighbourhood</v>
      </c>
      <c r="D137" s="2" t="str">
        <f ca="1">IFERROR(__xludf.DUMMYFUNCTION("""COMPUTED_VALUE"""),"Dubai&gt;Al Quoz&gt;Al Quoz 3")</f>
        <v>Dubai&gt;Al Quoz&gt;Al Quoz 3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6.5" x14ac:dyDescent="0.35">
      <c r="A138" s="2" t="str">
        <f ca="1">IFERROR(__xludf.DUMMYFUNCTION("""COMPUTED_VALUE"""),"Dubai")</f>
        <v>Dubai</v>
      </c>
      <c r="B138" s="2" t="str">
        <f ca="1">IFERROR(__xludf.DUMMYFUNCTION("""COMPUTED_VALUE"""),"Al Khail Heights Building 8B")</f>
        <v>Al Khail Heights Building 8B</v>
      </c>
      <c r="C138" s="2" t="str">
        <f ca="1">IFERROR(__xludf.DUMMYFUNCTION("""COMPUTED_VALUE"""),"Building")</f>
        <v>Building</v>
      </c>
      <c r="D138" s="2" t="str">
        <f ca="1">IFERROR(__xludf.DUMMYFUNCTION("""COMPUTED_VALUE"""),"Dubai&gt;Al Quoz&gt;Al Quoz 4&gt;Al Khail Heights&gt;Al Khail Heights Building 8B")</f>
        <v>Dubai&gt;Al Quoz&gt;Al Quoz 4&gt;Al Khail Heights&gt;Al Khail Heights Building 8B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6.5" x14ac:dyDescent="0.35">
      <c r="A139" s="2" t="str">
        <f ca="1">IFERROR(__xludf.DUMMYFUNCTION("""COMPUTED_VALUE"""),"Dubai")</f>
        <v>Dubai</v>
      </c>
      <c r="B139" s="2" t="str">
        <f ca="1">IFERROR(__xludf.DUMMYFUNCTION("""COMPUTED_VALUE"""),"La Vista Residence 7")</f>
        <v>La Vista Residence 7</v>
      </c>
      <c r="C139" s="2" t="str">
        <f ca="1">IFERROR(__xludf.DUMMYFUNCTION("""COMPUTED_VALUE"""),"Building")</f>
        <v>Building</v>
      </c>
      <c r="D139" s="2" t="str">
        <f ca="1">IFERROR(__xludf.DUMMYFUNCTION("""COMPUTED_VALUE"""),"Dubai&gt;Dubai Silicon Oasis (DSO)&gt;La Vista Residence&gt;La Vista Residence 7")</f>
        <v>Dubai&gt;Dubai Silicon Oasis (DSO)&gt;La Vista Residence&gt;La Vista Residence 7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6.5" x14ac:dyDescent="0.35">
      <c r="A140" s="2" t="str">
        <f ca="1">IFERROR(__xludf.DUMMYFUNCTION("""COMPUTED_VALUE"""),"Dubai")</f>
        <v>Dubai</v>
      </c>
      <c r="B140" s="2" t="str">
        <f ca="1">IFERROR(__xludf.DUMMYFUNCTION("""COMPUTED_VALUE"""),"Wasayf Building")</f>
        <v>Wasayf Building</v>
      </c>
      <c r="C140" s="2" t="str">
        <f ca="1">IFERROR(__xludf.DUMMYFUNCTION("""COMPUTED_VALUE"""),"Building")</f>
        <v>Building</v>
      </c>
      <c r="D140" s="2" t="str">
        <f ca="1">IFERROR(__xludf.DUMMYFUNCTION("""COMPUTED_VALUE"""),"Dubai&gt;Dubai Silicon Oasis (DSO)&gt;Wasayf Building")</f>
        <v>Dubai&gt;Dubai Silicon Oasis (DSO)&gt;Wasayf Building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6.5" x14ac:dyDescent="0.35">
      <c r="A141" s="2" t="str">
        <f ca="1">IFERROR(__xludf.DUMMYFUNCTION("""COMPUTED_VALUE"""),"Dubai")</f>
        <v>Dubai</v>
      </c>
      <c r="B141" s="2" t="str">
        <f ca="1">IFERROR(__xludf.DUMMYFUNCTION("""COMPUTED_VALUE"""),"Silicon Oasis Techno Hub")</f>
        <v>Silicon Oasis Techno Hub</v>
      </c>
      <c r="C141" s="2" t="str">
        <f ca="1">IFERROR(__xludf.DUMMYFUNCTION("""COMPUTED_VALUE"""),"Cluster")</f>
        <v>Cluster</v>
      </c>
      <c r="D141" s="2" t="str">
        <f ca="1">IFERROR(__xludf.DUMMYFUNCTION("""COMPUTED_VALUE"""),"Dubai&gt;Dubai Silicon Oasis (DSO)&gt;Silicon Oasis Techno Hub")</f>
        <v>Dubai&gt;Dubai Silicon Oasis (DSO)&gt;Silicon Oasis Techno Hub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6.5" x14ac:dyDescent="0.35">
      <c r="A142" s="2" t="str">
        <f ca="1">IFERROR(__xludf.DUMMYFUNCTION("""COMPUTED_VALUE"""),"Dubai")</f>
        <v>Dubai</v>
      </c>
      <c r="B142" s="2" t="str">
        <f ca="1">IFERROR(__xludf.DUMMYFUNCTION("""COMPUTED_VALUE"""),"Axis Silver 1")</f>
        <v>Axis Silver 1</v>
      </c>
      <c r="C142" s="2" t="str">
        <f ca="1">IFERROR(__xludf.DUMMYFUNCTION("""COMPUTED_VALUE"""),"Building")</f>
        <v>Building</v>
      </c>
      <c r="D142" s="2" t="str">
        <f ca="1">IFERROR(__xludf.DUMMYFUNCTION("""COMPUTED_VALUE"""),"Dubai&gt;Dubai Silicon Oasis (DSO)&gt;Axis Silver 1")</f>
        <v>Dubai&gt;Dubai Silicon Oasis (DSO)&gt;Axis Silver 1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6.5" x14ac:dyDescent="0.35">
      <c r="A143" s="2" t="str">
        <f ca="1">IFERROR(__xludf.DUMMYFUNCTION("""COMPUTED_VALUE"""),"Dubai")</f>
        <v>Dubai</v>
      </c>
      <c r="B143" s="2" t="str">
        <f ca="1">IFERROR(__xludf.DUMMYFUNCTION("""COMPUTED_VALUE"""),"Jawaher Building")</f>
        <v>Jawaher Building</v>
      </c>
      <c r="C143" s="2" t="str">
        <f ca="1">IFERROR(__xludf.DUMMYFUNCTION("""COMPUTED_VALUE"""),"Building")</f>
        <v>Building</v>
      </c>
      <c r="D143" s="2" t="str">
        <f ca="1">IFERROR(__xludf.DUMMYFUNCTION("""COMPUTED_VALUE"""),"Dubai&gt;Dubai Silicon Oasis (DSO)&gt;Jawaher Building")</f>
        <v>Dubai&gt;Dubai Silicon Oasis (DSO)&gt;Jawaher Building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6.5" x14ac:dyDescent="0.35">
      <c r="A144" s="2" t="str">
        <f ca="1">IFERROR(__xludf.DUMMYFUNCTION("""COMPUTED_VALUE"""),"Dubai")</f>
        <v>Dubai</v>
      </c>
      <c r="B144" s="2" t="str">
        <f ca="1">IFERROR(__xludf.DUMMYFUNCTION("""COMPUTED_VALUE"""),"DSO Emirates Tower 4")</f>
        <v>DSO Emirates Tower 4</v>
      </c>
      <c r="C144" s="2" t="str">
        <f ca="1">IFERROR(__xludf.DUMMYFUNCTION("""COMPUTED_VALUE"""),"Building")</f>
        <v>Building</v>
      </c>
      <c r="D144" s="2" t="str">
        <f ca="1">IFERROR(__xludf.DUMMYFUNCTION("""COMPUTED_VALUE"""),"Dubai&gt;Dubai Silicon Oasis (DSO)&gt;DSO Emirates Towers&gt;DSO Emirates Tower 4")</f>
        <v>Dubai&gt;Dubai Silicon Oasis (DSO)&gt;DSO Emirates Towers&gt;DSO Emirates Tower 4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6.5" x14ac:dyDescent="0.35">
      <c r="A145" s="2" t="str">
        <f ca="1">IFERROR(__xludf.DUMMYFUNCTION("""COMPUTED_VALUE"""),"Dubai")</f>
        <v>Dubai</v>
      </c>
      <c r="B145" s="2" t="str">
        <f ca="1">IFERROR(__xludf.DUMMYFUNCTION("""COMPUTED_VALUE"""),"Aura Prestige")</f>
        <v>Aura Prestige</v>
      </c>
      <c r="C145" s="2" t="str">
        <f ca="1">IFERROR(__xludf.DUMMYFUNCTION("""COMPUTED_VALUE"""),"Building")</f>
        <v>Building</v>
      </c>
      <c r="D145" s="2" t="str">
        <f ca="1">IFERROR(__xludf.DUMMYFUNCTION("""COMPUTED_VALUE"""),"Dubai&gt;Dubai Silicon Oasis (DSO)&gt;Aura Prestige")</f>
        <v>Dubai&gt;Dubai Silicon Oasis (DSO)&gt;Aura Prestige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6.5" x14ac:dyDescent="0.35">
      <c r="A146" s="2" t="str">
        <f ca="1">IFERROR(__xludf.DUMMYFUNCTION("""COMPUTED_VALUE"""),"Dubai")</f>
        <v>Dubai</v>
      </c>
      <c r="B146" s="2" t="str">
        <f ca="1">IFERROR(__xludf.DUMMYFUNCTION("""COMPUTED_VALUE"""),"Desert Leaf 5")</f>
        <v>Desert Leaf 5</v>
      </c>
      <c r="C146" s="2" t="str">
        <f ca="1">IFERROR(__xludf.DUMMYFUNCTION("""COMPUTED_VALUE"""),"Neighbourhood")</f>
        <v>Neighbourhood</v>
      </c>
      <c r="D146" s="2" t="str">
        <f ca="1">IFERROR(__xludf.DUMMYFUNCTION("""COMPUTED_VALUE"""),"Dubai&gt;Al Barari&gt;The Residences&gt;Desert Leaf&gt;Desert Leaf 5")</f>
        <v>Dubai&gt;Al Barari&gt;The Residences&gt;Desert Leaf&gt;Desert Leaf 5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6.5" x14ac:dyDescent="0.35">
      <c r="A147" s="2" t="str">
        <f ca="1">IFERROR(__xludf.DUMMYFUNCTION("""COMPUTED_VALUE"""),"Dubai")</f>
        <v>Dubai</v>
      </c>
      <c r="B147" s="2" t="str">
        <f ca="1">IFERROR(__xludf.DUMMYFUNCTION("""COMPUTED_VALUE"""),"MAG Eye Townhouses")</f>
        <v>MAG Eye Townhouses</v>
      </c>
      <c r="C147" s="2" t="str">
        <f ca="1">IFERROR(__xludf.DUMMYFUNCTION("""COMPUTED_VALUE"""),"Neighbourhood")</f>
        <v>Neighbourhood</v>
      </c>
      <c r="D147" s="2" t="str">
        <f ca="1">IFERROR(__xludf.DUMMYFUNCTION("""COMPUTED_VALUE"""),"Dubai&gt;Mohammed Bin Rashid City&gt;District 7&gt;MAG City&gt;MAG Eye Townhouses")</f>
        <v>Dubai&gt;Mohammed Bin Rashid City&gt;District 7&gt;MAG City&gt;MAG Eye Townhouses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6.5" x14ac:dyDescent="0.35">
      <c r="A148" s="2" t="str">
        <f ca="1">IFERROR(__xludf.DUMMYFUNCTION("""COMPUTED_VALUE"""),"Dubai")</f>
        <v>Dubai</v>
      </c>
      <c r="B148" s="2" t="str">
        <f ca="1">IFERROR(__xludf.DUMMYFUNCTION("""COMPUTED_VALUE"""),"The Cube Quarter Residences")</f>
        <v>The Cube Quarter Residences</v>
      </c>
      <c r="C148" s="2" t="str">
        <f ca="1">IFERROR(__xludf.DUMMYFUNCTION("""COMPUTED_VALUE"""),"Building")</f>
        <v>Building</v>
      </c>
      <c r="D148" s="2" t="str">
        <f ca="1">IFERROR(__xludf.DUMMYFUNCTION("""COMPUTED_VALUE"""),"Dubai&gt;Mohammed Bin Rashid City&gt;District 11&gt;The Cube Quarter Residences")</f>
        <v>Dubai&gt;Mohammed Bin Rashid City&gt;District 11&gt;The Cube Quarter Residences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6.5" x14ac:dyDescent="0.35">
      <c r="A149" s="2" t="str">
        <f ca="1">IFERROR(__xludf.DUMMYFUNCTION("""COMPUTED_VALUE"""),"Dubai")</f>
        <v>Dubai</v>
      </c>
      <c r="B149" s="2" t="str">
        <f ca="1">IFERROR(__xludf.DUMMYFUNCTION("""COMPUTED_VALUE"""),"Residences 1")</f>
        <v>Residences 1</v>
      </c>
      <c r="C149" s="2" t="str">
        <f ca="1">IFERROR(__xludf.DUMMYFUNCTION("""COMPUTED_VALUE"""),"Building")</f>
        <v>Building</v>
      </c>
      <c r="D149" s="2" t="str">
        <f ca="1">IFERROR(__xludf.DUMMYFUNCTION("""COMPUTED_VALUE"""),"Dubai&gt;Mohammed Bin Rashid City&gt;District One&gt;The Residences at District One&gt;Residences 1")</f>
        <v>Dubai&gt;Mohammed Bin Rashid City&gt;District One&gt;The Residences at District One&gt;Residences 1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6.5" x14ac:dyDescent="0.35">
      <c r="A150" s="2" t="str">
        <f ca="1">IFERROR(__xludf.DUMMYFUNCTION("""COMPUTED_VALUE"""),"Dubai")</f>
        <v>Dubai</v>
      </c>
      <c r="B150" s="2" t="str">
        <f ca="1">IFERROR(__xludf.DUMMYFUNCTION("""COMPUTED_VALUE"""),"Residential District")</f>
        <v>Residential District</v>
      </c>
      <c r="C150" s="2" t="str">
        <f ca="1">IFERROR(__xludf.DUMMYFUNCTION("""COMPUTED_VALUE"""),"Neighbourhood")</f>
        <v>Neighbourhood</v>
      </c>
      <c r="D150" s="2" t="str">
        <f ca="1">IFERROR(__xludf.DUMMYFUNCTION("""COMPUTED_VALUE"""),"Dubai&gt;Dubai South&gt;Residential District")</f>
        <v>Dubai&gt;Dubai South&gt;Residential District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6.5" x14ac:dyDescent="0.35">
      <c r="A151" s="2" t="str">
        <f ca="1">IFERROR(__xludf.DUMMYFUNCTION("""COMPUTED_VALUE"""),"Dubai")</f>
        <v>Dubai</v>
      </c>
      <c r="B151" s="2" t="str">
        <f ca="1">IFERROR(__xludf.DUMMYFUNCTION("""COMPUTED_VALUE"""),"The Pulse Residence Plaza B9")</f>
        <v>The Pulse Residence Plaza B9</v>
      </c>
      <c r="C151" s="2" t="str">
        <f ca="1">IFERROR(__xludf.DUMMYFUNCTION("""COMPUTED_VALUE"""),"Building")</f>
        <v>Building</v>
      </c>
      <c r="D151" s="2" t="str">
        <f ca="1">IFERROR(__xludf.DUMMYFUNCTION("""COMPUTED_VALUE"""),"Dubai&gt;Dubai South&gt;Residential District&gt;The Pulse&gt;The Pulse Residence Plaza&gt;The Pulse Residence Plaza B9")</f>
        <v>Dubai&gt;Dubai South&gt;Residential District&gt;The Pulse&gt;The Pulse Residence Plaza&gt;The Pulse Residence Plaza B9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6.5" x14ac:dyDescent="0.35">
      <c r="A152" s="2" t="str">
        <f ca="1">IFERROR(__xludf.DUMMYFUNCTION("""COMPUTED_VALUE"""),"Dubai")</f>
        <v>Dubai</v>
      </c>
      <c r="B152" s="2" t="str">
        <f ca="1">IFERROR(__xludf.DUMMYFUNCTION("""COMPUTED_VALUE"""),"AG 03")</f>
        <v>AG 03</v>
      </c>
      <c r="C152" s="2" t="str">
        <f ca="1">IFERROR(__xludf.DUMMYFUNCTION("""COMPUTED_VALUE"""),"Building")</f>
        <v>Building</v>
      </c>
      <c r="D152" s="2" t="str">
        <f ca="1">IFERROR(__xludf.DUMMYFUNCTION("""COMPUTED_VALUE"""),"Dubai&gt;Dubai South&gt;Residential District&gt;AG 03")</f>
        <v>Dubai&gt;Dubai South&gt;Residential District&gt;AG 03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6.5" x14ac:dyDescent="0.35">
      <c r="A153" s="2" t="str">
        <f ca="1">IFERROR(__xludf.DUMMYFUNCTION("""COMPUTED_VALUE"""),"Dubai")</f>
        <v>Dubai</v>
      </c>
      <c r="B153" s="2" t="str">
        <f ca="1">IFERROR(__xludf.DUMMYFUNCTION("""COMPUTED_VALUE"""),"The Oak")</f>
        <v>The Oak</v>
      </c>
      <c r="C153" s="2" t="str">
        <f ca="1">IFERROR(__xludf.DUMMYFUNCTION("""COMPUTED_VALUE"""),"Building")</f>
        <v>Building</v>
      </c>
      <c r="D153" s="2" t="str">
        <f ca="1">IFERROR(__xludf.DUMMYFUNCTION("""COMPUTED_VALUE"""),"Dubai&gt;Dubai South&gt;Residential District&gt;The Oak")</f>
        <v>Dubai&gt;Dubai South&gt;Residential District&gt;The Oak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6.5" x14ac:dyDescent="0.35">
      <c r="A154" s="2" t="str">
        <f ca="1">IFERROR(__xludf.DUMMYFUNCTION("""COMPUTED_VALUE"""),"Dubai")</f>
        <v>Dubai</v>
      </c>
      <c r="B154" s="2" t="str">
        <f ca="1">IFERROR(__xludf.DUMMYFUNCTION("""COMPUTED_VALUE"""),"Greenfield Living")</f>
        <v>Greenfield Living</v>
      </c>
      <c r="C154" s="2" t="str">
        <f ca="1">IFERROR(__xludf.DUMMYFUNCTION("""COMPUTED_VALUE"""),"Building")</f>
        <v>Building</v>
      </c>
      <c r="D154" s="2" t="str">
        <f ca="1">IFERROR(__xludf.DUMMYFUNCTION("""COMPUTED_VALUE"""),"Dubai&gt;Dubai South&gt;Residential District&gt;Greenfield Living")</f>
        <v>Dubai&gt;Dubai South&gt;Residential District&gt;Greenfield Living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6.5" x14ac:dyDescent="0.35">
      <c r="A155" s="2" t="str">
        <f ca="1">IFERROR(__xludf.DUMMYFUNCTION("""COMPUTED_VALUE"""),"Dubai")</f>
        <v>Dubai</v>
      </c>
      <c r="B155" s="2" t="str">
        <f ca="1">IFERROR(__xludf.DUMMYFUNCTION("""COMPUTED_VALUE"""),"Golf Dale Tower 1")</f>
        <v>Golf Dale Tower 1</v>
      </c>
      <c r="C155" s="2" t="str">
        <f ca="1">IFERROR(__xludf.DUMMYFUNCTION("""COMPUTED_VALUE"""),"Building")</f>
        <v>Building</v>
      </c>
      <c r="D155" s="2" t="str">
        <f ca="1">IFERROR(__xludf.DUMMYFUNCTION("""COMPUTED_VALUE"""),"Dubai&gt;Dubai South&gt;Emaar South&gt;Golf Dale&gt;Golf Dale Tower 1")</f>
        <v>Dubai&gt;Dubai South&gt;Emaar South&gt;Golf Dale&gt;Golf Dale Tower 1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6.5" x14ac:dyDescent="0.35">
      <c r="A156" s="2" t="str">
        <f ca="1">IFERROR(__xludf.DUMMYFUNCTION("""COMPUTED_VALUE"""),"Dubai")</f>
        <v>Dubai</v>
      </c>
      <c r="B156" s="2" t="str">
        <f ca="1">IFERROR(__xludf.DUMMYFUNCTION("""COMPUTED_VALUE"""),"South Square")</f>
        <v>South Square</v>
      </c>
      <c r="C156" s="2" t="str">
        <f ca="1">IFERROR(__xludf.DUMMYFUNCTION("""COMPUTED_VALUE"""),"Cluster")</f>
        <v>Cluster</v>
      </c>
      <c r="D156" s="2" t="str">
        <f ca="1">IFERROR(__xludf.DUMMYFUNCTION("""COMPUTED_VALUE"""),"Dubai&gt;Dubai South&gt;Logistics City&gt;South Square")</f>
        <v>Dubai&gt;Dubai South&gt;Logistics City&gt;South Square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6.5" x14ac:dyDescent="0.35">
      <c r="A157" s="2" t="str">
        <f ca="1">IFERROR(__xludf.DUMMYFUNCTION("""COMPUTED_VALUE"""),"Dubai")</f>
        <v>Dubai</v>
      </c>
      <c r="B157" s="2" t="str">
        <f ca="1">IFERROR(__xludf.DUMMYFUNCTION("""COMPUTED_VALUE"""),"Azizi Venice 7 Building E")</f>
        <v>Azizi Venice 7 Building E</v>
      </c>
      <c r="C157" s="2" t="str">
        <f ca="1">IFERROR(__xludf.DUMMYFUNCTION("""COMPUTED_VALUE"""),"Building")</f>
        <v>Building</v>
      </c>
      <c r="D157" s="2" t="str">
        <f ca="1">IFERROR(__xludf.DUMMYFUNCTION("""COMPUTED_VALUE"""),"Dubai&gt;Dubai South&gt;Azizi Venice&gt;Azizi Venice 7&gt;Azizi Venice 7 Building E")</f>
        <v>Dubai&gt;Dubai South&gt;Azizi Venice&gt;Azizi Venice 7&gt;Azizi Venice 7 Building E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6.5" x14ac:dyDescent="0.35">
      <c r="A158" s="2" t="str">
        <f ca="1">IFERROR(__xludf.DUMMYFUNCTION("""COMPUTED_VALUE"""),"Dubai")</f>
        <v>Dubai</v>
      </c>
      <c r="B158" s="2" t="str">
        <f ca="1">IFERROR(__xludf.DUMMYFUNCTION("""COMPUTED_VALUE"""),"Discovery Dunes")</f>
        <v>Discovery Dunes</v>
      </c>
      <c r="C158" s="2" t="str">
        <f ca="1">IFERROR(__xludf.DUMMYFUNCTION("""COMPUTED_VALUE"""),"Neighbourhood")</f>
        <v>Neighbourhood</v>
      </c>
      <c r="D158" s="2" t="str">
        <f ca="1">IFERROR(__xludf.DUMMYFUNCTION("""COMPUTED_VALUE"""),"Dubai&gt;Dubai South&gt;Discovery Dunes")</f>
        <v>Dubai&gt;Dubai South&gt;Discovery Dunes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6.5" x14ac:dyDescent="0.35">
      <c r="A159" s="2" t="str">
        <f ca="1">IFERROR(__xludf.DUMMYFUNCTION("""COMPUTED_VALUE"""),"Dubai")</f>
        <v>Dubai</v>
      </c>
      <c r="B159" s="2" t="str">
        <f ca="1">IFERROR(__xludf.DUMMYFUNCTION("""COMPUTED_VALUE"""),"Dubai Gem Private School")</f>
        <v>Dubai Gem Private School</v>
      </c>
      <c r="C159" s="2" t="str">
        <f ca="1">IFERROR(__xludf.DUMMYFUNCTION("""COMPUTED_VALUE"""),"School")</f>
        <v>School</v>
      </c>
      <c r="D159" s="2" t="str">
        <f ca="1">IFERROR(__xludf.DUMMYFUNCTION("""COMPUTED_VALUE"""),"Dubai&gt;Bur Dubai&gt;Oud Metha&gt;Dubai Gem Private School")</f>
        <v>Dubai&gt;Bur Dubai&gt;Oud Metha&gt;Dubai Gem Private School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6.5" x14ac:dyDescent="0.35">
      <c r="A160" s="2" t="str">
        <f ca="1">IFERROR(__xludf.DUMMYFUNCTION("""COMPUTED_VALUE"""),"Dubai")</f>
        <v>Dubai</v>
      </c>
      <c r="B160" s="2" t="str">
        <f ca="1">IFERROR(__xludf.DUMMYFUNCTION("""COMPUTED_VALUE"""),"Al Hareb Building")</f>
        <v>Al Hareb Building</v>
      </c>
      <c r="C160" s="2" t="str">
        <f ca="1">IFERROR(__xludf.DUMMYFUNCTION("""COMPUTED_VALUE"""),"Building")</f>
        <v>Building</v>
      </c>
      <c r="D160" s="2" t="str">
        <f ca="1">IFERROR(__xludf.DUMMYFUNCTION("""COMPUTED_VALUE"""),"Dubai&gt;Bur Dubai&gt;Oud Metha&gt;Al Hareb Building")</f>
        <v>Dubai&gt;Bur Dubai&gt;Oud Metha&gt;Al Hareb Building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6.5" x14ac:dyDescent="0.35">
      <c r="A161" s="2" t="str">
        <f ca="1">IFERROR(__xludf.DUMMYFUNCTION("""COMPUTED_VALUE"""),"Dubai")</f>
        <v>Dubai</v>
      </c>
      <c r="B161" s="2" t="str">
        <f ca="1">IFERROR(__xludf.DUMMYFUNCTION("""COMPUTED_VALUE"""),"Business Atrium Building")</f>
        <v>Business Atrium Building</v>
      </c>
      <c r="C161" s="2" t="str">
        <f ca="1">IFERROR(__xludf.DUMMYFUNCTION("""COMPUTED_VALUE"""),"Building")</f>
        <v>Building</v>
      </c>
      <c r="D161" s="2" t="str">
        <f ca="1">IFERROR(__xludf.DUMMYFUNCTION("""COMPUTED_VALUE"""),"Dubai&gt;Bur Dubai&gt;Oud Metha&gt;Business Atrium Building")</f>
        <v>Dubai&gt;Bur Dubai&gt;Oud Metha&gt;Business Atrium Building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6.5" x14ac:dyDescent="0.35">
      <c r="A162" s="2" t="str">
        <f ca="1">IFERROR(__xludf.DUMMYFUNCTION("""COMPUTED_VALUE"""),"Dubai")</f>
        <v>Dubai</v>
      </c>
      <c r="B162" s="2" t="str">
        <f ca="1">IFERROR(__xludf.DUMMYFUNCTION("""COMPUTED_VALUE"""),"Art Tower")</f>
        <v>Art Tower</v>
      </c>
      <c r="C162" s="2" t="str">
        <f ca="1">IFERROR(__xludf.DUMMYFUNCTION("""COMPUTED_VALUE"""),"Building")</f>
        <v>Building</v>
      </c>
      <c r="D162" s="2" t="str">
        <f ca="1">IFERROR(__xludf.DUMMYFUNCTION("""COMPUTED_VALUE"""),"Dubai&gt;Bur Dubai&gt;Al Raffa&gt;Art Tower")</f>
        <v>Dubai&gt;Bur Dubai&gt;Al Raffa&gt;Art Tower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6.5" x14ac:dyDescent="0.35">
      <c r="A163" s="2" t="str">
        <f ca="1">IFERROR(__xludf.DUMMYFUNCTION("""COMPUTED_VALUE"""),"Dubai")</f>
        <v>Dubai</v>
      </c>
      <c r="B163" s="2" t="str">
        <f ca="1">IFERROR(__xludf.DUMMYFUNCTION("""COMPUTED_VALUE"""),"Burjuman Business Tower")</f>
        <v>Burjuman Business Tower</v>
      </c>
      <c r="C163" s="2" t="str">
        <f ca="1">IFERROR(__xludf.DUMMYFUNCTION("""COMPUTED_VALUE"""),"Building")</f>
        <v>Building</v>
      </c>
      <c r="D163" s="2" t="str">
        <f ca="1">IFERROR(__xludf.DUMMYFUNCTION("""COMPUTED_VALUE"""),"Dubai&gt;Bur Dubai&gt;Al Mankhool&gt;Burjuman Business Tower")</f>
        <v>Dubai&gt;Bur Dubai&gt;Al Mankhool&gt;Burjuman Business Tower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6.5" x14ac:dyDescent="0.35">
      <c r="A164" s="2" t="str">
        <f ca="1">IFERROR(__xludf.DUMMYFUNCTION("""COMPUTED_VALUE"""),"Dubai")</f>
        <v>Dubai</v>
      </c>
      <c r="B164" s="2" t="str">
        <f ca="1">IFERROR(__xludf.DUMMYFUNCTION("""COMPUTED_VALUE"""),"RS Residence")</f>
        <v>RS Residence</v>
      </c>
      <c r="C164" s="2" t="str">
        <f ca="1">IFERROR(__xludf.DUMMYFUNCTION("""COMPUTED_VALUE"""),"Building")</f>
        <v>Building</v>
      </c>
      <c r="D164" s="2" t="str">
        <f ca="1">IFERROR(__xludf.DUMMYFUNCTION("""COMPUTED_VALUE"""),"Dubai&gt;Bur Dubai&gt;Al Mankhool&gt;RS Residence")</f>
        <v>Dubai&gt;Bur Dubai&gt;Al Mankhool&gt;RS Residence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6.5" x14ac:dyDescent="0.35">
      <c r="A165" s="2" t="str">
        <f ca="1">IFERROR(__xludf.DUMMYFUNCTION("""COMPUTED_VALUE"""),"Dubai")</f>
        <v>Dubai</v>
      </c>
      <c r="B165" s="2" t="str">
        <f ca="1">IFERROR(__xludf.DUMMYFUNCTION("""COMPUTED_VALUE"""),"Al Nada 2 Building")</f>
        <v>Al Nada 2 Building</v>
      </c>
      <c r="C165" s="2" t="str">
        <f ca="1">IFERROR(__xludf.DUMMYFUNCTION("""COMPUTED_VALUE"""),"Building")</f>
        <v>Building</v>
      </c>
      <c r="D165" s="2" t="str">
        <f ca="1">IFERROR(__xludf.DUMMYFUNCTION("""COMPUTED_VALUE"""),"Dubai&gt;Bur Dubai&gt;Al Mankhool&gt;Al Nada 2 Building")</f>
        <v>Dubai&gt;Bur Dubai&gt;Al Mankhool&gt;Al Nada 2 Building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6.5" x14ac:dyDescent="0.35">
      <c r="A166" s="2" t="str">
        <f ca="1">IFERROR(__xludf.DUMMYFUNCTION("""COMPUTED_VALUE"""),"Dubai")</f>
        <v>Dubai</v>
      </c>
      <c r="B166" s="2" t="str">
        <f ca="1">IFERROR(__xludf.DUMMYFUNCTION("""COMPUTED_VALUE"""),"The Atrium Centre")</f>
        <v>The Atrium Centre</v>
      </c>
      <c r="C166" s="2" t="str">
        <f ca="1">IFERROR(__xludf.DUMMYFUNCTION("""COMPUTED_VALUE"""),"Building")</f>
        <v>Building</v>
      </c>
      <c r="D166" s="2" t="str">
        <f ca="1">IFERROR(__xludf.DUMMYFUNCTION("""COMPUTED_VALUE"""),"Dubai&gt;Bur Dubai&gt;Al Mankhool&gt;The Atrium Centre")</f>
        <v>Dubai&gt;Bur Dubai&gt;Al Mankhool&gt;The Atrium Centre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6.5" x14ac:dyDescent="0.35">
      <c r="A167" s="2" t="str">
        <f ca="1">IFERROR(__xludf.DUMMYFUNCTION("""COMPUTED_VALUE"""),"Dubai")</f>
        <v>Dubai</v>
      </c>
      <c r="B167" s="2" t="str">
        <f ca="1">IFERROR(__xludf.DUMMYFUNCTION("""COMPUTED_VALUE"""),"Wafi Mall")</f>
        <v>Wafi Mall</v>
      </c>
      <c r="C167" s="2" t="str">
        <f ca="1">IFERROR(__xludf.DUMMYFUNCTION("""COMPUTED_VALUE"""),"Building")</f>
        <v>Building</v>
      </c>
      <c r="D167" s="2" t="str">
        <f ca="1">IFERROR(__xludf.DUMMYFUNCTION("""COMPUTED_VALUE"""),"Dubai&gt;Bur Dubai&gt;Umm Hurair&gt;Umm Hurair 2&gt;Wafi Mall")</f>
        <v>Dubai&gt;Bur Dubai&gt;Umm Hurair&gt;Umm Hurair 2&gt;Wafi Mall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6.5" x14ac:dyDescent="0.35">
      <c r="A168" s="2" t="str">
        <f ca="1">IFERROR(__xludf.DUMMYFUNCTION("""COMPUTED_VALUE"""),"Dubai")</f>
        <v>Dubai</v>
      </c>
      <c r="B168" s="2" t="str">
        <f ca="1">IFERROR(__xludf.DUMMYFUNCTION("""COMPUTED_VALUE"""),"Al Firdous Building")</f>
        <v>Al Firdous Building</v>
      </c>
      <c r="C168" s="2" t="str">
        <f ca="1">IFERROR(__xludf.DUMMYFUNCTION("""COMPUTED_VALUE"""),"Building")</f>
        <v>Building</v>
      </c>
      <c r="D168" s="2" t="str">
        <f ca="1">IFERROR(__xludf.DUMMYFUNCTION("""COMPUTED_VALUE"""),"Dubai&gt;Bur Dubai&gt;Al Souk Al Kabeer (Al Fahidi)&gt;Al Firdous Building")</f>
        <v>Dubai&gt;Bur Dubai&gt;Al Souk Al Kabeer (Al Fahidi)&gt;Al Firdous Building</v>
      </c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6.5" x14ac:dyDescent="0.35">
      <c r="A169" s="2" t="str">
        <f ca="1">IFERROR(__xludf.DUMMYFUNCTION("""COMPUTED_VALUE"""),"Dubai")</f>
        <v>Dubai</v>
      </c>
      <c r="B169" s="2" t="str">
        <f ca="1">IFERROR(__xludf.DUMMYFUNCTION("""COMPUTED_VALUE"""),"Ahmad Hamdan Budesh Building")</f>
        <v>Ahmad Hamdan Budesh Building</v>
      </c>
      <c r="C169" s="2" t="str">
        <f ca="1">IFERROR(__xludf.DUMMYFUNCTION("""COMPUTED_VALUE"""),"Building")</f>
        <v>Building</v>
      </c>
      <c r="D169" s="2" t="str">
        <f ca="1">IFERROR(__xludf.DUMMYFUNCTION("""COMPUTED_VALUE"""),"Dubai&gt;Bur Dubai&gt;Al Hamriya&gt;Ahmad Hamdan Budesh Building")</f>
        <v>Dubai&gt;Bur Dubai&gt;Al Hamriya&gt;Ahmad Hamdan Budesh Building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6.5" x14ac:dyDescent="0.35">
      <c r="A170" s="2" t="str">
        <f ca="1">IFERROR(__xludf.DUMMYFUNCTION("""COMPUTED_VALUE"""),"Dubai")</f>
        <v>Dubai</v>
      </c>
      <c r="B170" s="2" t="str">
        <f ca="1">IFERROR(__xludf.DUMMYFUNCTION("""COMPUTED_VALUE"""),"Ibn Sina Building")</f>
        <v>Ibn Sina Building</v>
      </c>
      <c r="C170" s="2" t="str">
        <f ca="1">IFERROR(__xludf.DUMMYFUNCTION("""COMPUTED_VALUE"""),"Building")</f>
        <v>Building</v>
      </c>
      <c r="D170" s="2" t="str">
        <f ca="1">IFERROR(__xludf.DUMMYFUNCTION("""COMPUTED_VALUE"""),"Dubai&gt;Bur Dubai&gt;Dubai Healthcare City&gt;Ibn Sina Building")</f>
        <v>Dubai&gt;Bur Dubai&gt;Dubai Healthcare City&gt;Ibn Sina Building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6.5" x14ac:dyDescent="0.35">
      <c r="A171" s="2" t="str">
        <f ca="1">IFERROR(__xludf.DUMMYFUNCTION("""COMPUTED_VALUE"""),"Dubai")</f>
        <v>Dubai</v>
      </c>
      <c r="B171" s="2" t="str">
        <f ca="1">IFERROR(__xludf.DUMMYFUNCTION("""COMPUTED_VALUE"""),"Al Andalus Tower G")</f>
        <v>Al Andalus Tower G</v>
      </c>
      <c r="C171" s="2" t="str">
        <f ca="1">IFERROR(__xludf.DUMMYFUNCTION("""COMPUTED_VALUE"""),"Building")</f>
        <v>Building</v>
      </c>
      <c r="D171" s="2" t="str">
        <f ca="1">IFERROR(__xludf.DUMMYFUNCTION("""COMPUTED_VALUE"""),"Dubai&gt;Jumeirah Golf Estates&gt;Al Andalus&gt;Al Andalus Tower G")</f>
        <v>Dubai&gt;Jumeirah Golf Estates&gt;Al Andalus&gt;Al Andalus Tower G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6.5" x14ac:dyDescent="0.35">
      <c r="A172" s="2" t="str">
        <f ca="1">IFERROR(__xludf.DUMMYFUNCTION("""COMPUTED_VALUE"""),"Dubai")</f>
        <v>Dubai</v>
      </c>
      <c r="B172" s="2" t="str">
        <f ca="1">IFERROR(__xludf.DUMMYFUNCTION("""COMPUTED_VALUE"""),"Beach Isle Tower 1")</f>
        <v>Beach Isle Tower 1</v>
      </c>
      <c r="C172" s="2" t="str">
        <f ca="1">IFERROR(__xludf.DUMMYFUNCTION("""COMPUTED_VALUE"""),"Building")</f>
        <v>Building</v>
      </c>
      <c r="D172" s="2" t="str">
        <f ca="1">IFERROR(__xludf.DUMMYFUNCTION("""COMPUTED_VALUE"""),"Dubai&gt;Dubai Harbour&gt;Emaar Beachfront&gt;Beach Isle&gt;Beach Isle Tower 1")</f>
        <v>Dubai&gt;Dubai Harbour&gt;Emaar Beachfront&gt;Beach Isle&gt;Beach Isle Tower 1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6.5" x14ac:dyDescent="0.35">
      <c r="A173" s="2" t="str">
        <f ca="1">IFERROR(__xludf.DUMMYFUNCTION("""COMPUTED_VALUE"""),"Dubai")</f>
        <v>Dubai</v>
      </c>
      <c r="B173" s="2" t="str">
        <f ca="1">IFERROR(__xludf.DUMMYFUNCTION("""COMPUTED_VALUE"""),"Sobha Seahaven Tower C")</f>
        <v>Sobha Seahaven Tower C</v>
      </c>
      <c r="C173" s="2" t="str">
        <f ca="1">IFERROR(__xludf.DUMMYFUNCTION("""COMPUTED_VALUE"""),"Building")</f>
        <v>Building</v>
      </c>
      <c r="D173" s="2" t="str">
        <f ca="1">IFERROR(__xludf.DUMMYFUNCTION("""COMPUTED_VALUE"""),"Dubai&gt;Dubai Harbour&gt;Sobha Seahaven&gt;Sobha Seahaven Tower C")</f>
        <v>Dubai&gt;Dubai Harbour&gt;Sobha Seahaven&gt;Sobha Seahaven Tower C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6.5" x14ac:dyDescent="0.35">
      <c r="A174" s="2" t="str">
        <f ca="1">IFERROR(__xludf.DUMMYFUNCTION("""COMPUTED_VALUE"""),"Dubai")</f>
        <v>Dubai</v>
      </c>
      <c r="B174" s="2" t="str">
        <f ca="1">IFERROR(__xludf.DUMMYFUNCTION("""COMPUTED_VALUE"""),"Sycamore")</f>
        <v>Sycamore</v>
      </c>
      <c r="C174" s="2" t="str">
        <f ca="1">IFERROR(__xludf.DUMMYFUNCTION("""COMPUTED_VALUE"""),"Neighbourhood")</f>
        <v>Neighbourhood</v>
      </c>
      <c r="D174" s="2" t="str">
        <f ca="1">IFERROR(__xludf.DUMMYFUNCTION("""COMPUTED_VALUE"""),"Dubai&gt;DAMAC Hills 2 (Akoya by DAMAC)&gt;Sycamore")</f>
        <v>Dubai&gt;DAMAC Hills 2 (Akoya by DAMAC)&gt;Sycamore</v>
      </c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6.5" x14ac:dyDescent="0.35">
      <c r="A175" s="2" t="str">
        <f ca="1">IFERROR(__xludf.DUMMYFUNCTION("""COMPUTED_VALUE"""),"Dubai")</f>
        <v>Dubai</v>
      </c>
      <c r="B175" s="2" t="str">
        <f ca="1">IFERROR(__xludf.DUMMYFUNCTION("""COMPUTED_VALUE"""),"Bella Casa")</f>
        <v>Bella Casa</v>
      </c>
      <c r="C175" s="2" t="str">
        <f ca="1">IFERROR(__xludf.DUMMYFUNCTION("""COMPUTED_VALUE"""),"Neighbourhood")</f>
        <v>Neighbourhood</v>
      </c>
      <c r="D175" s="2" t="str">
        <f ca="1">IFERROR(__xludf.DUMMYFUNCTION("""COMPUTED_VALUE"""),"Dubai&gt;Serena&gt;Bella Casa")</f>
        <v>Dubai&gt;Serena&gt;Bella Casa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6.5" x14ac:dyDescent="0.35">
      <c r="A176" s="2" t="str">
        <f ca="1">IFERROR(__xludf.DUMMYFUNCTION("""COMPUTED_VALUE"""),"Dubai")</f>
        <v>Dubai</v>
      </c>
      <c r="B176" s="2" t="str">
        <f ca="1">IFERROR(__xludf.DUMMYFUNCTION("""COMPUTED_VALUE"""),"G-02")</f>
        <v>G-02</v>
      </c>
      <c r="C176" s="2" t="str">
        <f ca="1">IFERROR(__xludf.DUMMYFUNCTION("""COMPUTED_VALUE"""),"Building")</f>
        <v>Building</v>
      </c>
      <c r="D176" s="2" t="str">
        <f ca="1">IFERROR(__xludf.DUMMYFUNCTION("""COMPUTED_VALUE"""),"Dubai&gt;International City&gt;Morocco Cluster&gt;G-02")</f>
        <v>Dubai&gt;International City&gt;Morocco Cluster&gt;G-02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6.5" x14ac:dyDescent="0.35">
      <c r="A177" s="2" t="str">
        <f ca="1">IFERROR(__xludf.DUMMYFUNCTION("""COMPUTED_VALUE"""),"Dubai")</f>
        <v>Dubai</v>
      </c>
      <c r="B177" s="2" t="str">
        <f ca="1">IFERROR(__xludf.DUMMYFUNCTION("""COMPUTED_VALUE"""),"H-01")</f>
        <v>H-01</v>
      </c>
      <c r="C177" s="2" t="str">
        <f ca="1">IFERROR(__xludf.DUMMYFUNCTION("""COMPUTED_VALUE"""),"Building")</f>
        <v>Building</v>
      </c>
      <c r="D177" s="2" t="str">
        <f ca="1">IFERROR(__xludf.DUMMYFUNCTION("""COMPUTED_VALUE"""),"Dubai&gt;International City&gt;China Cluster&gt;H-01")</f>
        <v>Dubai&gt;International City&gt;China Cluster&gt;H-01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6.5" x14ac:dyDescent="0.35">
      <c r="A178" s="2" t="str">
        <f ca="1">IFERROR(__xludf.DUMMYFUNCTION("""COMPUTED_VALUE"""),"Dubai")</f>
        <v>Dubai</v>
      </c>
      <c r="B178" s="2" t="str">
        <f ca="1">IFERROR(__xludf.DUMMYFUNCTION("""COMPUTED_VALUE"""),"C-07")</f>
        <v>C-07</v>
      </c>
      <c r="C178" s="2" t="str">
        <f ca="1">IFERROR(__xludf.DUMMYFUNCTION("""COMPUTED_VALUE"""),"Building")</f>
        <v>Building</v>
      </c>
      <c r="D178" s="2" t="str">
        <f ca="1">IFERROR(__xludf.DUMMYFUNCTION("""COMPUTED_VALUE"""),"Dubai&gt;International City&gt;China Cluster&gt;C-07")</f>
        <v>Dubai&gt;International City&gt;China Cluster&gt;C-07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6.5" x14ac:dyDescent="0.35">
      <c r="A179" s="2" t="str">
        <f ca="1">IFERROR(__xludf.DUMMYFUNCTION("""COMPUTED_VALUE"""),"Dubai")</f>
        <v>Dubai</v>
      </c>
      <c r="B179" s="2" t="str">
        <f ca="1">IFERROR(__xludf.DUMMYFUNCTION("""COMPUTED_VALUE"""),"F-13")</f>
        <v>F-13</v>
      </c>
      <c r="C179" s="2" t="str">
        <f ca="1">IFERROR(__xludf.DUMMYFUNCTION("""COMPUTED_VALUE"""),"Building")</f>
        <v>Building</v>
      </c>
      <c r="D179" s="2" t="str">
        <f ca="1">IFERROR(__xludf.DUMMYFUNCTION("""COMPUTED_VALUE"""),"Dubai&gt;International City&gt;China Cluster&gt;F-13")</f>
        <v>Dubai&gt;International City&gt;China Cluster&gt;F-13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6.5" x14ac:dyDescent="0.35">
      <c r="A180" s="2" t="str">
        <f ca="1">IFERROR(__xludf.DUMMYFUNCTION("""COMPUTED_VALUE"""),"Dubai")</f>
        <v>Dubai</v>
      </c>
      <c r="B180" s="2" t="str">
        <f ca="1">IFERROR(__xludf.DUMMYFUNCTION("""COMPUTED_VALUE"""),"T-01")</f>
        <v>T-01</v>
      </c>
      <c r="C180" s="2" t="str">
        <f ca="1">IFERROR(__xludf.DUMMYFUNCTION("""COMPUTED_VALUE"""),"Building")</f>
        <v>Building</v>
      </c>
      <c r="D180" s="2" t="str">
        <f ca="1">IFERROR(__xludf.DUMMYFUNCTION("""COMPUTED_VALUE"""),"Dubai&gt;International City&gt;Spain Cluster&gt;T-01")</f>
        <v>Dubai&gt;International City&gt;Spain Cluster&gt;T-01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6.5" x14ac:dyDescent="0.35">
      <c r="A181" s="2" t="str">
        <f ca="1">IFERROR(__xludf.DUMMYFUNCTION("""COMPUTED_VALUE"""),"Dubai")</f>
        <v>Dubai</v>
      </c>
      <c r="B181" s="2" t="str">
        <f ca="1">IFERROR(__xludf.DUMMYFUNCTION("""COMPUTED_VALUE"""),"U-10")</f>
        <v>U-10</v>
      </c>
      <c r="C181" s="2" t="str">
        <f ca="1">IFERROR(__xludf.DUMMYFUNCTION("""COMPUTED_VALUE"""),"Building")</f>
        <v>Building</v>
      </c>
      <c r="D181" s="2" t="str">
        <f ca="1">IFERROR(__xludf.DUMMYFUNCTION("""COMPUTED_VALUE"""),"Dubai&gt;International City&gt;Italy Cluster&gt;U-10")</f>
        <v>Dubai&gt;International City&gt;Italy Cluster&gt;U-10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6.5" x14ac:dyDescent="0.35">
      <c r="A182" s="2" t="str">
        <f ca="1">IFERROR(__xludf.DUMMYFUNCTION("""COMPUTED_VALUE"""),"Dubai")</f>
        <v>Dubai</v>
      </c>
      <c r="B182" s="2" t="str">
        <f ca="1">IFERROR(__xludf.DUMMYFUNCTION("""COMPUTED_VALUE"""),"V-14")</f>
        <v>V-14</v>
      </c>
      <c r="C182" s="2" t="str">
        <f ca="1">IFERROR(__xludf.DUMMYFUNCTION("""COMPUTED_VALUE"""),"Building")</f>
        <v>Building</v>
      </c>
      <c r="D182" s="2" t="str">
        <f ca="1">IFERROR(__xludf.DUMMYFUNCTION("""COMPUTED_VALUE"""),"Dubai&gt;International City&gt;Russia Cluster&gt;V-14")</f>
        <v>Dubai&gt;International City&gt;Russia Cluster&gt;V-14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6.5" x14ac:dyDescent="0.35">
      <c r="A183" s="2" t="str">
        <f ca="1">IFERROR(__xludf.DUMMYFUNCTION("""COMPUTED_VALUE"""),"Dubai")</f>
        <v>Dubai</v>
      </c>
      <c r="B183" s="2" t="str">
        <f ca="1">IFERROR(__xludf.DUMMYFUNCTION("""COMPUTED_VALUE"""),"O-07")</f>
        <v>O-07</v>
      </c>
      <c r="C183" s="2" t="str">
        <f ca="1">IFERROR(__xludf.DUMMYFUNCTION("""COMPUTED_VALUE"""),"Building")</f>
        <v>Building</v>
      </c>
      <c r="D183" s="2" t="str">
        <f ca="1">IFERROR(__xludf.DUMMYFUNCTION("""COMPUTED_VALUE"""),"Dubai&gt;International City&gt;Persia Cluster&gt;O-07")</f>
        <v>Dubai&gt;International City&gt;Persia Cluster&gt;O-07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6.5" x14ac:dyDescent="0.35">
      <c r="A184" s="2" t="str">
        <f ca="1">IFERROR(__xludf.DUMMYFUNCTION("""COMPUTED_VALUE"""),"Dubai")</f>
        <v>Dubai</v>
      </c>
      <c r="B184" s="2" t="str">
        <f ca="1">IFERROR(__xludf.DUMMYFUNCTION("""COMPUTED_VALUE"""),"EMR-09")</f>
        <v>EMR-09</v>
      </c>
      <c r="C184" s="2" t="str">
        <f ca="1">IFERROR(__xludf.DUMMYFUNCTION("""COMPUTED_VALUE"""),"Building")</f>
        <v>Building</v>
      </c>
      <c r="D184" s="2" t="str">
        <f ca="1">IFERROR(__xludf.DUMMYFUNCTION("""COMPUTED_VALUE"""),"Dubai&gt;International City&gt;Emirates Cluster&gt;EMR-09")</f>
        <v>Dubai&gt;International City&gt;Emirates Cluster&gt;EMR-09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6.5" x14ac:dyDescent="0.35">
      <c r="A185" s="2" t="str">
        <f ca="1">IFERROR(__xludf.DUMMYFUNCTION("""COMPUTED_VALUE"""),"Dubai")</f>
        <v>Dubai</v>
      </c>
      <c r="B185" s="2" t="str">
        <f ca="1">IFERROR(__xludf.DUMMYFUNCTION("""COMPUTED_VALUE"""),"X-14")</f>
        <v>X-14</v>
      </c>
      <c r="C185" s="2" t="str">
        <f ca="1">IFERROR(__xludf.DUMMYFUNCTION("""COMPUTED_VALUE"""),"Building")</f>
        <v>Building</v>
      </c>
      <c r="D185" s="2" t="str">
        <f ca="1">IFERROR(__xludf.DUMMYFUNCTION("""COMPUTED_VALUE"""),"Dubai&gt;International City&gt;England Cluster&gt;X-14")</f>
        <v>Dubai&gt;International City&gt;England Cluster&gt;X-14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6.5" x14ac:dyDescent="0.35">
      <c r="A186" s="2" t="str">
        <f ca="1">IFERROR(__xludf.DUMMYFUNCTION("""COMPUTED_VALUE"""),"Dubai")</f>
        <v>Dubai</v>
      </c>
      <c r="B186" s="2" t="str">
        <f ca="1">IFERROR(__xludf.DUMMYFUNCTION("""COMPUTED_VALUE"""),"Y-20")</f>
        <v>Y-20</v>
      </c>
      <c r="C186" s="2" t="str">
        <f ca="1">IFERROR(__xludf.DUMMYFUNCTION("""COMPUTED_VALUE"""),"Building")</f>
        <v>Building</v>
      </c>
      <c r="D186" s="2" t="str">
        <f ca="1">IFERROR(__xludf.DUMMYFUNCTION("""COMPUTED_VALUE"""),"Dubai&gt;International City&gt;England Cluster&gt;Y-20")</f>
        <v>Dubai&gt;International City&gt;England Cluster&gt;Y-20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6.5" x14ac:dyDescent="0.35">
      <c r="A187" s="2" t="str">
        <f ca="1">IFERROR(__xludf.DUMMYFUNCTION("""COMPUTED_VALUE"""),"Dubai")</f>
        <v>Dubai</v>
      </c>
      <c r="B187" s="2" t="str">
        <f ca="1">IFERROR(__xludf.DUMMYFUNCTION("""COMPUTED_VALUE"""),"Alia Building")</f>
        <v>Alia Building</v>
      </c>
      <c r="C187" s="2" t="str">
        <f ca="1">IFERROR(__xludf.DUMMYFUNCTION("""COMPUTED_VALUE"""),"Building")</f>
        <v>Building</v>
      </c>
      <c r="D187" s="2" t="str">
        <f ca="1">IFERROR(__xludf.DUMMYFUNCTION("""COMPUTED_VALUE"""),"Dubai&gt;International City&gt;International City Phase 2 (Warsan 4)&gt;Alia Building")</f>
        <v>Dubai&gt;International City&gt;International City Phase 2 (Warsan 4)&gt;Alia Building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6.5" x14ac:dyDescent="0.35">
      <c r="A188" s="2" t="str">
        <f ca="1">IFERROR(__xludf.DUMMYFUNCTION("""COMPUTED_VALUE"""),"Dubai")</f>
        <v>Dubai</v>
      </c>
      <c r="B188" s="2" t="str">
        <f ca="1">IFERROR(__xludf.DUMMYFUNCTION("""COMPUTED_VALUE"""),"Al Basha 8")</f>
        <v>Al Basha 8</v>
      </c>
      <c r="C188" s="2" t="str">
        <f ca="1">IFERROR(__xludf.DUMMYFUNCTION("""COMPUTED_VALUE"""),"Building")</f>
        <v>Building</v>
      </c>
      <c r="D188" s="2" t="str">
        <f ca="1">IFERROR(__xludf.DUMMYFUNCTION("""COMPUTED_VALUE"""),"Dubai&gt;International City&gt;International City Phase 2 (Warsan 4)&gt;Al Basha 8")</f>
        <v>Dubai&gt;International City&gt;International City Phase 2 (Warsan 4)&gt;Al Basha 8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6.5" x14ac:dyDescent="0.35">
      <c r="A189" s="2" t="str">
        <f ca="1">IFERROR(__xludf.DUMMYFUNCTION("""COMPUTED_VALUE"""),"Dubai")</f>
        <v>Dubai</v>
      </c>
      <c r="B189" s="2" t="str">
        <f ca="1">IFERROR(__xludf.DUMMYFUNCTION("""COMPUTED_VALUE"""),"5 Stars Residence")</f>
        <v>5 Stars Residence</v>
      </c>
      <c r="C189" s="2" t="str">
        <f ca="1">IFERROR(__xludf.DUMMYFUNCTION("""COMPUTED_VALUE"""),"Building")</f>
        <v>Building</v>
      </c>
      <c r="D189" s="2" t="str">
        <f ca="1">IFERROR(__xludf.DUMMYFUNCTION("""COMPUTED_VALUE"""),"Dubai&gt;International City&gt;International City Phase 2 (Warsan 4)&gt;5 Stars Residence")</f>
        <v>Dubai&gt;International City&gt;International City Phase 2 (Warsan 4)&gt;5 Stars Residence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6.5" x14ac:dyDescent="0.35">
      <c r="A190" s="2" t="str">
        <f ca="1">IFERROR(__xludf.DUMMYFUNCTION("""COMPUTED_VALUE"""),"Dubai")</f>
        <v>Dubai</v>
      </c>
      <c r="B190" s="2" t="str">
        <f ca="1">IFERROR(__xludf.DUMMYFUNCTION("""COMPUTED_VALUE"""),"Al Warsan Awqaf Building")</f>
        <v>Al Warsan Awqaf Building</v>
      </c>
      <c r="C190" s="2" t="str">
        <f ca="1">IFERROR(__xludf.DUMMYFUNCTION("""COMPUTED_VALUE"""),"Building")</f>
        <v>Building</v>
      </c>
      <c r="D190" s="2" t="str">
        <f ca="1">IFERROR(__xludf.DUMMYFUNCTION("""COMPUTED_VALUE"""),"Dubai&gt;International City&gt;International City Phase 2 (Warsan 4)&gt;Al Warsan Awqaf Building")</f>
        <v>Dubai&gt;International City&gt;International City Phase 2 (Warsan 4)&gt;Al Warsan Awqaf Building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6.5" x14ac:dyDescent="0.35">
      <c r="A191" s="2" t="str">
        <f ca="1">IFERROR(__xludf.DUMMYFUNCTION("""COMPUTED_VALUE"""),"Dubai")</f>
        <v>Dubai</v>
      </c>
      <c r="B191" s="2" t="str">
        <f ca="1">IFERROR(__xludf.DUMMYFUNCTION("""COMPUTED_VALUE"""),"The Pearl")</f>
        <v>The Pearl</v>
      </c>
      <c r="C191" s="2" t="str">
        <f ca="1">IFERROR(__xludf.DUMMYFUNCTION("""COMPUTED_VALUE"""),"Building")</f>
        <v>Building</v>
      </c>
      <c r="D191" s="2" t="str">
        <f ca="1">IFERROR(__xludf.DUMMYFUNCTION("""COMPUTED_VALUE"""),"Dubai&gt;International City&gt;International City Phase 2 (Warsan 4)&gt;The Pearl")</f>
        <v>Dubai&gt;International City&gt;International City Phase 2 (Warsan 4)&gt;The Pearl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6.5" x14ac:dyDescent="0.35">
      <c r="A192" s="2" t="str">
        <f ca="1">IFERROR(__xludf.DUMMYFUNCTION("""COMPUTED_VALUE"""),"Dubai")</f>
        <v>Dubai</v>
      </c>
      <c r="B192" s="2" t="str">
        <f ca="1">IFERROR(__xludf.DUMMYFUNCTION("""COMPUTED_VALUE"""),"K-06")</f>
        <v>K-06</v>
      </c>
      <c r="C192" s="2" t="str">
        <f ca="1">IFERROR(__xludf.DUMMYFUNCTION("""COMPUTED_VALUE"""),"Building")</f>
        <v>Building</v>
      </c>
      <c r="D192" s="2" t="str">
        <f ca="1">IFERROR(__xludf.DUMMYFUNCTION("""COMPUTED_VALUE"""),"Dubai&gt;International City&gt;Greece Cluster&gt;K-06")</f>
        <v>Dubai&gt;International City&gt;Greece Cluster&gt;K-06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6.5" x14ac:dyDescent="0.35">
      <c r="A193" s="2" t="str">
        <f ca="1">IFERROR(__xludf.DUMMYFUNCTION("""COMPUTED_VALUE"""),"Dubai")</f>
        <v>Dubai</v>
      </c>
      <c r="B193" s="2" t="str">
        <f ca="1">IFERROR(__xludf.DUMMYFUNCTION("""COMPUTED_VALUE"""),"P-26")</f>
        <v>P-26</v>
      </c>
      <c r="C193" s="2" t="str">
        <f ca="1">IFERROR(__xludf.DUMMYFUNCTION("""COMPUTED_VALUE"""),"Building")</f>
        <v>Building</v>
      </c>
      <c r="D193" s="2" t="str">
        <f ca="1">IFERROR(__xludf.DUMMYFUNCTION("""COMPUTED_VALUE"""),"Dubai&gt;International City&gt;France Cluster&gt;P-26")</f>
        <v>Dubai&gt;International City&gt;France Cluster&gt;P-26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6.5" x14ac:dyDescent="0.35">
      <c r="A194" s="2" t="str">
        <f ca="1">IFERROR(__xludf.DUMMYFUNCTION("""COMPUTED_VALUE"""),"Dubai")</f>
        <v>Dubai</v>
      </c>
      <c r="B194" s="2" t="str">
        <f ca="1">IFERROR(__xludf.DUMMYFUNCTION("""COMPUTED_VALUE"""),"Q-03")</f>
        <v>Q-03</v>
      </c>
      <c r="C194" s="2" t="str">
        <f ca="1">IFERROR(__xludf.DUMMYFUNCTION("""COMPUTED_VALUE"""),"Building")</f>
        <v>Building</v>
      </c>
      <c r="D194" s="2" t="str">
        <f ca="1">IFERROR(__xludf.DUMMYFUNCTION("""COMPUTED_VALUE"""),"Dubai&gt;International City&gt;France Cluster&gt;Q-03")</f>
        <v>Dubai&gt;International City&gt;France Cluster&gt;Q-03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6.5" x14ac:dyDescent="0.35">
      <c r="A195" s="2" t="str">
        <f ca="1">IFERROR(__xludf.DUMMYFUNCTION("""COMPUTED_VALUE"""),"Dubai")</f>
        <v>Dubai</v>
      </c>
      <c r="B195" s="2" t="str">
        <f ca="1">IFERROR(__xludf.DUMMYFUNCTION("""COMPUTED_VALUE"""),"CBD-C08")</f>
        <v>CBD-C08</v>
      </c>
      <c r="C195" s="2" t="str">
        <f ca="1">IFERROR(__xludf.DUMMYFUNCTION("""COMPUTED_VALUE"""),"Building")</f>
        <v>Building</v>
      </c>
      <c r="D195" s="2" t="str">
        <f ca="1">IFERROR(__xludf.DUMMYFUNCTION("""COMPUTED_VALUE"""),"Dubai&gt;International City&gt;Central Business District&gt;CBD-C08")</f>
        <v>Dubai&gt;International City&gt;Central Business District&gt;CBD-C08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6.5" x14ac:dyDescent="0.35">
      <c r="A196" s="2" t="str">
        <f ca="1">IFERROR(__xludf.DUMMYFUNCTION("""COMPUTED_VALUE"""),"Dubai")</f>
        <v>Dubai</v>
      </c>
      <c r="B196" s="2" t="str">
        <f ca="1">IFERROR(__xludf.DUMMYFUNCTION("""COMPUTED_VALUE"""),"Tomorrow Commercial Tower")</f>
        <v>Tomorrow Commercial Tower</v>
      </c>
      <c r="C196" s="2" t="str">
        <f ca="1">IFERROR(__xludf.DUMMYFUNCTION("""COMPUTED_VALUE"""),"Building")</f>
        <v>Building</v>
      </c>
      <c r="D196" s="2" t="str">
        <f ca="1">IFERROR(__xludf.DUMMYFUNCTION("""COMPUTED_VALUE"""),"Dubai&gt;International City&gt;Tomorrow Commercial Tower")</f>
        <v>Dubai&gt;International City&gt;Tomorrow Commercial Tower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6.5" x14ac:dyDescent="0.35">
      <c r="A197" s="2" t="str">
        <f ca="1">IFERROR(__xludf.DUMMYFUNCTION("""COMPUTED_VALUE"""),"Dubai")</f>
        <v>Dubai</v>
      </c>
      <c r="B197" s="2" t="str">
        <f ca="1">IFERROR(__xludf.DUMMYFUNCTION("""COMPUTED_VALUE"""),"Atlantic Tower 2")</f>
        <v>Atlantic Tower 2</v>
      </c>
      <c r="C197" s="2" t="str">
        <f ca="1">IFERROR(__xludf.DUMMYFUNCTION("""COMPUTED_VALUE"""),"Building")</f>
        <v>Building</v>
      </c>
      <c r="D197" s="2" t="str">
        <f ca="1">IFERROR(__xludf.DUMMYFUNCTION("""COMPUTED_VALUE"""),"Dubai&gt;Dubai Marina&gt;The Atlantic&gt;Atlantic Tower 2")</f>
        <v>Dubai&gt;Dubai Marina&gt;The Atlantic&gt;Atlantic Tower 2</v>
      </c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6.5" x14ac:dyDescent="0.35">
      <c r="A198" s="2" t="str">
        <f ca="1">IFERROR(__xludf.DUMMYFUNCTION("""COMPUTED_VALUE"""),"Dubai")</f>
        <v>Dubai</v>
      </c>
      <c r="B198" s="2" t="str">
        <f ca="1">IFERROR(__xludf.DUMMYFUNCTION("""COMPUTED_VALUE"""),"Bay Central")</f>
        <v>Bay Central</v>
      </c>
      <c r="C198" s="2" t="str">
        <f ca="1">IFERROR(__xludf.DUMMYFUNCTION("""COMPUTED_VALUE"""),"Cluster")</f>
        <v>Cluster</v>
      </c>
      <c r="D198" s="2" t="str">
        <f ca="1">IFERROR(__xludf.DUMMYFUNCTION("""COMPUTED_VALUE"""),"Dubai&gt;Dubai Marina&gt;Bay Central")</f>
        <v>Dubai&gt;Dubai Marina&gt;Bay Central</v>
      </c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6.5" x14ac:dyDescent="0.35">
      <c r="A199" s="2" t="str">
        <f ca="1">IFERROR(__xludf.DUMMYFUNCTION("""COMPUTED_VALUE"""),"Dubai")</f>
        <v>Dubai</v>
      </c>
      <c r="B199" s="2" t="str">
        <f ca="1">IFERROR(__xludf.DUMMYFUNCTION("""COMPUTED_VALUE"""),"Jannah Place Dubai Marina")</f>
        <v>Jannah Place Dubai Marina</v>
      </c>
      <c r="C199" s="2" t="str">
        <f ca="1">IFERROR(__xludf.DUMMYFUNCTION("""COMPUTED_VALUE"""),"Building")</f>
        <v>Building</v>
      </c>
      <c r="D199" s="2" t="str">
        <f ca="1">IFERROR(__xludf.DUMMYFUNCTION("""COMPUTED_VALUE"""),"Dubai&gt;Dubai Marina&gt;Jannah Place Dubai Marina")</f>
        <v>Dubai&gt;Dubai Marina&gt;Jannah Place Dubai Marina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6.5" x14ac:dyDescent="0.35">
      <c r="A200" s="2" t="str">
        <f ca="1">IFERROR(__xludf.DUMMYFUNCTION("""COMPUTED_VALUE"""),"Dubai")</f>
        <v>Dubai</v>
      </c>
      <c r="B200" s="2" t="str">
        <f ca="1">IFERROR(__xludf.DUMMYFUNCTION("""COMPUTED_VALUE"""),"DEC Tower 3")</f>
        <v>DEC Tower 3</v>
      </c>
      <c r="C200" s="2" t="str">
        <f ca="1">IFERROR(__xludf.DUMMYFUNCTION("""COMPUTED_VALUE"""),"Building")</f>
        <v>Building</v>
      </c>
      <c r="D200" s="2" t="str">
        <f ca="1">IFERROR(__xludf.DUMMYFUNCTION("""COMPUTED_VALUE"""),"Dubai&gt;Dubai Marina&gt;DEC Towers&gt;DEC Tower 3")</f>
        <v>Dubai&gt;Dubai Marina&gt;DEC Towers&gt;DEC Tower 3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6.5" x14ac:dyDescent="0.35">
      <c r="A201" s="2" t="str">
        <f ca="1">IFERROR(__xludf.DUMMYFUNCTION("""COMPUTED_VALUE"""),"Dubai")</f>
        <v>Dubai</v>
      </c>
      <c r="B201" s="2" t="str">
        <f ca="1">IFERROR(__xludf.DUMMYFUNCTION("""COMPUTED_VALUE"""),"Manchester Tower")</f>
        <v>Manchester Tower</v>
      </c>
      <c r="C201" s="2" t="str">
        <f ca="1">IFERROR(__xludf.DUMMYFUNCTION("""COMPUTED_VALUE"""),"Building")</f>
        <v>Building</v>
      </c>
      <c r="D201" s="2" t="str">
        <f ca="1">IFERROR(__xludf.DUMMYFUNCTION("""COMPUTED_VALUE"""),"Dubai&gt;Dubai Marina&gt;Manchester Tower")</f>
        <v>Dubai&gt;Dubai Marina&gt;Manchester Tower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6.5" x14ac:dyDescent="0.35">
      <c r="A202" s="2" t="str">
        <f ca="1">IFERROR(__xludf.DUMMYFUNCTION("""COMPUTED_VALUE"""),"Dubai")</f>
        <v>Dubai</v>
      </c>
      <c r="B202" s="2" t="str">
        <f ca="1">IFERROR(__xludf.DUMMYFUNCTION("""COMPUTED_VALUE"""),"The Jewels")</f>
        <v>The Jewels</v>
      </c>
      <c r="C202" s="2" t="str">
        <f ca="1">IFERROR(__xludf.DUMMYFUNCTION("""COMPUTED_VALUE"""),"Cluster")</f>
        <v>Cluster</v>
      </c>
      <c r="D202" s="2" t="str">
        <f ca="1">IFERROR(__xludf.DUMMYFUNCTION("""COMPUTED_VALUE"""),"Dubai&gt;Dubai Marina&gt;The Jewels")</f>
        <v>Dubai&gt;Dubai Marina&gt;The Jewels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6.5" x14ac:dyDescent="0.35">
      <c r="A203" s="2" t="str">
        <f ca="1">IFERROR(__xludf.DUMMYFUNCTION("""COMPUTED_VALUE"""),"Dubai")</f>
        <v>Dubai</v>
      </c>
      <c r="B203" s="2" t="str">
        <f ca="1">IFERROR(__xludf.DUMMYFUNCTION("""COMPUTED_VALUE"""),"Mada'in")</f>
        <v>Mada'in</v>
      </c>
      <c r="C203" s="2" t="str">
        <f ca="1">IFERROR(__xludf.DUMMYFUNCTION("""COMPUTED_VALUE"""),"Building")</f>
        <v>Building</v>
      </c>
      <c r="D203" s="2" t="str">
        <f ca="1">IFERROR(__xludf.DUMMYFUNCTION("""COMPUTED_VALUE"""),"Dubai&gt;Dubai Marina&gt;Mada'in")</f>
        <v>Dubai&gt;Dubai Marina&gt;Mada'in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6.5" x14ac:dyDescent="0.35">
      <c r="A204" s="2" t="str">
        <f ca="1">IFERROR(__xludf.DUMMYFUNCTION("""COMPUTED_VALUE"""),"Dubai")</f>
        <v>Dubai</v>
      </c>
      <c r="B204" s="2" t="str">
        <f ca="1">IFERROR(__xludf.DUMMYFUNCTION("""COMPUTED_VALUE"""),"Al Qudra Building 4A")</f>
        <v>Al Qudra Building 4A</v>
      </c>
      <c r="C204" s="2" t="str">
        <f ca="1">IFERROR(__xludf.DUMMYFUNCTION("""COMPUTED_VALUE"""),"Building")</f>
        <v>Building</v>
      </c>
      <c r="D204" s="2" t="str">
        <f ca="1">IFERROR(__xludf.DUMMYFUNCTION("""COMPUTED_VALUE"""),"Dubai&gt;Town Square&gt;Al Qudra Building 4A")</f>
        <v>Dubai&gt;Town Square&gt;Al Qudra Building 4A</v>
      </c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6.5" x14ac:dyDescent="0.35">
      <c r="A205" s="2" t="str">
        <f ca="1">IFERROR(__xludf.DUMMYFUNCTION("""COMPUTED_VALUE"""),"Dubai")</f>
        <v>Dubai</v>
      </c>
      <c r="B205" s="2" t="str">
        <f ca="1">IFERROR(__xludf.DUMMYFUNCTION("""COMPUTED_VALUE"""),"Zahra Apartments 1B")</f>
        <v>Zahra Apartments 1B</v>
      </c>
      <c r="C205" s="2" t="str">
        <f ca="1">IFERROR(__xludf.DUMMYFUNCTION("""COMPUTED_VALUE"""),"Building")</f>
        <v>Building</v>
      </c>
      <c r="D205" s="2" t="str">
        <f ca="1">IFERROR(__xludf.DUMMYFUNCTION("""COMPUTED_VALUE"""),"Dubai&gt;Town Square&gt;Zahra Apartments&gt;Zahra Apartments 1B")</f>
        <v>Dubai&gt;Town Square&gt;Zahra Apartments&gt;Zahra Apartments 1B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6.5" x14ac:dyDescent="0.35">
      <c r="A206" s="2" t="str">
        <f ca="1">IFERROR(__xludf.DUMMYFUNCTION("""COMPUTED_VALUE"""),"Dubai")</f>
        <v>Dubai</v>
      </c>
      <c r="B206" s="2" t="str">
        <f ca="1">IFERROR(__xludf.DUMMYFUNCTION("""COMPUTED_VALUE"""),"Rosewell")</f>
        <v>Rosewell</v>
      </c>
      <c r="C206" s="2" t="str">
        <f ca="1">IFERROR(__xludf.DUMMYFUNCTION("""COMPUTED_VALUE"""),"Building")</f>
        <v>Building</v>
      </c>
      <c r="D206" s="2" t="str">
        <f ca="1">IFERROR(__xludf.DUMMYFUNCTION("""COMPUTED_VALUE"""),"Dubai&gt;Town Square&gt;Rosewell")</f>
        <v>Dubai&gt;Town Square&gt;Rosewell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6.5" x14ac:dyDescent="0.35">
      <c r="A207" s="2" t="str">
        <f ca="1">IFERROR(__xludf.DUMMYFUNCTION("""COMPUTED_VALUE"""),"Dubai")</f>
        <v>Dubai</v>
      </c>
      <c r="B207" s="2" t="str">
        <f ca="1">IFERROR(__xludf.DUMMYFUNCTION("""COMPUTED_VALUE"""),"Victoria Residency")</f>
        <v>Victoria Residency</v>
      </c>
      <c r="C207" s="2" t="str">
        <f ca="1">IFERROR(__xludf.DUMMYFUNCTION("""COMPUTED_VALUE"""),"Building")</f>
        <v>Building</v>
      </c>
      <c r="D207" s="2" t="str">
        <f ca="1">IFERROR(__xludf.DUMMYFUNCTION("""COMPUTED_VALUE"""),"Dubai&gt;Al Furjan&gt;Victoria Residency")</f>
        <v>Dubai&gt;Al Furjan&gt;Victoria Residency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6.5" x14ac:dyDescent="0.35">
      <c r="A208" s="2" t="str">
        <f ca="1">IFERROR(__xludf.DUMMYFUNCTION("""COMPUTED_VALUE"""),"Dubai")</f>
        <v>Dubai</v>
      </c>
      <c r="B208" s="2" t="str">
        <f ca="1">IFERROR(__xludf.DUMMYFUNCTION("""COMPUTED_VALUE"""),"Samia Azizi")</f>
        <v>Samia Azizi</v>
      </c>
      <c r="C208" s="2" t="str">
        <f ca="1">IFERROR(__xludf.DUMMYFUNCTION("""COMPUTED_VALUE"""),"Building")</f>
        <v>Building</v>
      </c>
      <c r="D208" s="2" t="str">
        <f ca="1">IFERROR(__xludf.DUMMYFUNCTION("""COMPUTED_VALUE"""),"Dubai&gt;Al Furjan&gt;Samia Azizi")</f>
        <v>Dubai&gt;Al Furjan&gt;Samia Azizi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6.5" x14ac:dyDescent="0.35">
      <c r="A209" s="2" t="str">
        <f ca="1">IFERROR(__xludf.DUMMYFUNCTION("""COMPUTED_VALUE"""),"Dubai")</f>
        <v>Dubai</v>
      </c>
      <c r="B209" s="2" t="str">
        <f ca="1">IFERROR(__xludf.DUMMYFUNCTION("""COMPUTED_VALUE"""),"Zazen Gardens")</f>
        <v>Zazen Gardens</v>
      </c>
      <c r="C209" s="2" t="str">
        <f ca="1">IFERROR(__xludf.DUMMYFUNCTION("""COMPUTED_VALUE"""),"Building")</f>
        <v>Building</v>
      </c>
      <c r="D209" s="2" t="str">
        <f ca="1">IFERROR(__xludf.DUMMYFUNCTION("""COMPUTED_VALUE"""),"Dubai&gt;Al Furjan&gt;Zazen Gardens")</f>
        <v>Dubai&gt;Al Furjan&gt;Zazen Gardens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6.5" x14ac:dyDescent="0.35">
      <c r="A210" s="2" t="str">
        <f ca="1">IFERROR(__xludf.DUMMYFUNCTION("""COMPUTED_VALUE"""),"Dubai")</f>
        <v>Dubai</v>
      </c>
      <c r="B210" s="2" t="str">
        <f ca="1">IFERROR(__xludf.DUMMYFUNCTION("""COMPUTED_VALUE"""),"Valores Residences")</f>
        <v>Valores Residences</v>
      </c>
      <c r="C210" s="2" t="str">
        <f ca="1">IFERROR(__xludf.DUMMYFUNCTION("""COMPUTED_VALUE"""),"Building")</f>
        <v>Building</v>
      </c>
      <c r="D210" s="2" t="str">
        <f ca="1">IFERROR(__xludf.DUMMYFUNCTION("""COMPUTED_VALUE"""),"Dubai&gt;Al Furjan&gt;Valores Residences")</f>
        <v>Dubai&gt;Al Furjan&gt;Valores Residences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6.5" x14ac:dyDescent="0.35">
      <c r="A211" s="2" t="str">
        <f ca="1">IFERROR(__xludf.DUMMYFUNCTION("""COMPUTED_VALUE"""),"Dubai")</f>
        <v>Dubai</v>
      </c>
      <c r="B211" s="2" t="str">
        <f ca="1">IFERROR(__xludf.DUMMYFUNCTION("""COMPUTED_VALUE"""),"V1stara House 2")</f>
        <v>V1stara House 2</v>
      </c>
      <c r="C211" s="2" t="str">
        <f ca="1">IFERROR(__xludf.DUMMYFUNCTION("""COMPUTED_VALUE"""),"Building")</f>
        <v>Building</v>
      </c>
      <c r="D211" s="2" t="str">
        <f ca="1">IFERROR(__xludf.DUMMYFUNCTION("""COMPUTED_VALUE"""),"Dubai&gt;Al Furjan&gt;V1stara House 2")</f>
        <v>Dubai&gt;Al Furjan&gt;V1stara House 2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6.5" x14ac:dyDescent="0.35">
      <c r="A212" s="2" t="str">
        <f ca="1">IFERROR(__xludf.DUMMYFUNCTION("""COMPUTED_VALUE"""),"Dubai")</f>
        <v>Dubai</v>
      </c>
      <c r="B212" s="2" t="str">
        <f ca="1">IFERROR(__xludf.DUMMYFUNCTION("""COMPUTED_VALUE"""),"Azizi Riviera 23")</f>
        <v>Azizi Riviera 23</v>
      </c>
      <c r="C212" s="2" t="str">
        <f ca="1">IFERROR(__xludf.DUMMYFUNCTION("""COMPUTED_VALUE"""),"Building")</f>
        <v>Building</v>
      </c>
      <c r="D212" s="2" t="str">
        <f ca="1">IFERROR(__xludf.DUMMYFUNCTION("""COMPUTED_VALUE"""),"Dubai&gt;Meydan City&gt;Meydan One&gt;Azizi Riviera&gt;Azizi Riviera 23")</f>
        <v>Dubai&gt;Meydan City&gt;Meydan One&gt;Azizi Riviera&gt;Azizi Riviera 23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6.5" x14ac:dyDescent="0.35">
      <c r="A213" s="2" t="str">
        <f ca="1">IFERROR(__xludf.DUMMYFUNCTION("""COMPUTED_VALUE"""),"Dubai")</f>
        <v>Dubai</v>
      </c>
      <c r="B213" s="2" t="str">
        <f ca="1">IFERROR(__xludf.DUMMYFUNCTION("""COMPUTED_VALUE"""),"Riviera Beachfront Tower A")</f>
        <v>Riviera Beachfront Tower A</v>
      </c>
      <c r="C213" s="2" t="str">
        <f ca="1">IFERROR(__xludf.DUMMYFUNCTION("""COMPUTED_VALUE"""),"Building")</f>
        <v>Building</v>
      </c>
      <c r="D213" s="2" t="str">
        <f ca="1">IFERROR(__xludf.DUMMYFUNCTION("""COMPUTED_VALUE"""),"Dubai&gt;Meydan City&gt;Meydan One&gt;Azizi Riviera&gt;Riviera Beachfront&gt;Riviera Beachfront Tower A")</f>
        <v>Dubai&gt;Meydan City&gt;Meydan One&gt;Azizi Riviera&gt;Riviera Beachfront&gt;Riviera Beachfront Tower A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6.5" x14ac:dyDescent="0.35">
      <c r="A214" s="2" t="str">
        <f ca="1">IFERROR(__xludf.DUMMYFUNCTION("""COMPUTED_VALUE"""),"Dubai")</f>
        <v>Dubai</v>
      </c>
      <c r="B214" s="2" t="str">
        <f ca="1">IFERROR(__xludf.DUMMYFUNCTION("""COMPUTED_VALUE"""),"Azizi Riviera 53")</f>
        <v>Azizi Riviera 53</v>
      </c>
      <c r="C214" s="2" t="str">
        <f ca="1">IFERROR(__xludf.DUMMYFUNCTION("""COMPUTED_VALUE"""),"Building")</f>
        <v>Building</v>
      </c>
      <c r="D214" s="2" t="str">
        <f ca="1">IFERROR(__xludf.DUMMYFUNCTION("""COMPUTED_VALUE"""),"Dubai&gt;Meydan City&gt;Meydan One&gt;Azizi Riviera&gt;Azizi Riviera 53")</f>
        <v>Dubai&gt;Meydan City&gt;Meydan One&gt;Azizi Riviera&gt;Azizi Riviera 53</v>
      </c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6.5" x14ac:dyDescent="0.35">
      <c r="A215" s="2" t="str">
        <f ca="1">IFERROR(__xludf.DUMMYFUNCTION("""COMPUTED_VALUE"""),"Dubai")</f>
        <v>Dubai</v>
      </c>
      <c r="B215" s="2" t="str">
        <f ca="1">IFERROR(__xludf.DUMMYFUNCTION("""COMPUTED_VALUE"""),"Polo Residence B4")</f>
        <v>Polo Residence B4</v>
      </c>
      <c r="C215" s="2" t="str">
        <f ca="1">IFERROR(__xludf.DUMMYFUNCTION("""COMPUTED_VALUE"""),"Building")</f>
        <v>Building</v>
      </c>
      <c r="D215" s="2" t="str">
        <f ca="1">IFERROR(__xludf.DUMMYFUNCTION("""COMPUTED_VALUE"""),"Dubai&gt;Meydan City&gt;Meydan Avenue&gt;Polo Residence&gt;Polo Residence B4")</f>
        <v>Dubai&gt;Meydan City&gt;Meydan Avenue&gt;Polo Residence&gt;Polo Residence B4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6.5" x14ac:dyDescent="0.35">
      <c r="A216" s="2" t="str">
        <f ca="1">IFERROR(__xludf.DUMMYFUNCTION("""COMPUTED_VALUE"""),"Dubai")</f>
        <v>Dubai</v>
      </c>
      <c r="B216" s="2" t="str">
        <f ca="1">IFERROR(__xludf.DUMMYFUNCTION("""COMPUTED_VALUE"""),"Masar Residence")</f>
        <v>Masar Residence</v>
      </c>
      <c r="C216" s="2" t="str">
        <f ca="1">IFERROR(__xludf.DUMMYFUNCTION("""COMPUTED_VALUE"""),"Building")</f>
        <v>Building</v>
      </c>
      <c r="D216" s="2" t="str">
        <f ca="1">IFERROR(__xludf.DUMMYFUNCTION("""COMPUTED_VALUE"""),"Dubai&gt;Meydan City&gt;Meydan Avenue&gt;Masar Residence")</f>
        <v>Dubai&gt;Meydan City&gt;Meydan Avenue&gt;Masar Residence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6.5" x14ac:dyDescent="0.35">
      <c r="A217" s="2" t="str">
        <f ca="1">IFERROR(__xludf.DUMMYFUNCTION("""COMPUTED_VALUE"""),"Dubai")</f>
        <v>Dubai</v>
      </c>
      <c r="B217" s="2" t="str">
        <f ca="1">IFERROR(__xludf.DUMMYFUNCTION("""COMPUTED_VALUE"""),"Al Ghaf")</f>
        <v>Al Ghaf</v>
      </c>
      <c r="C217" s="2" t="str">
        <f ca="1">IFERROR(__xludf.DUMMYFUNCTION("""COMPUTED_VALUE"""),"Cluster")</f>
        <v>Cluster</v>
      </c>
      <c r="D217" s="2" t="str">
        <f ca="1">IFERROR(__xludf.DUMMYFUNCTION("""COMPUTED_VALUE"""),"Dubai&gt;The Greens&gt;Al Ghaf")</f>
        <v>Dubai&gt;The Greens&gt;Al Ghaf</v>
      </c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6.5" x14ac:dyDescent="0.35">
      <c r="A218" s="2" t="str">
        <f ca="1">IFERROR(__xludf.DUMMYFUNCTION("""COMPUTED_VALUE"""),"Dubai")</f>
        <v>Dubai</v>
      </c>
      <c r="B218" s="2" t="str">
        <f ca="1">IFERROR(__xludf.DUMMYFUNCTION("""COMPUTED_VALUE"""),"Al Dhafrah 2")</f>
        <v>Al Dhafrah 2</v>
      </c>
      <c r="C218" s="2" t="str">
        <f ca="1">IFERROR(__xludf.DUMMYFUNCTION("""COMPUTED_VALUE"""),"Building")</f>
        <v>Building</v>
      </c>
      <c r="D218" s="2" t="str">
        <f ca="1">IFERROR(__xludf.DUMMYFUNCTION("""COMPUTED_VALUE"""),"Dubai&gt;The Greens&gt;Al Dhafrah&gt;Al Dhafrah 2")</f>
        <v>Dubai&gt;The Greens&gt;Al Dhafrah&gt;Al Dhafrah 2</v>
      </c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6.5" x14ac:dyDescent="0.35">
      <c r="A219" s="2" t="str">
        <f ca="1">IFERROR(__xludf.DUMMYFUNCTION("""COMPUTED_VALUE"""),"Dubai")</f>
        <v>Dubai</v>
      </c>
      <c r="B219" s="2" t="str">
        <f ca="1">IFERROR(__xludf.DUMMYFUNCTION("""COMPUTED_VALUE"""),"SOL Golf Views")</f>
        <v>SOL Golf Views</v>
      </c>
      <c r="C219" s="2" t="str">
        <f ca="1">IFERROR(__xludf.DUMMYFUNCTION("""COMPUTED_VALUE"""),"Cluster")</f>
        <v>Cluster</v>
      </c>
      <c r="D219" s="2" t="str">
        <f ca="1">IFERROR(__xludf.DUMMYFUNCTION("""COMPUTED_VALUE"""),"Dubai&gt;Dubai Production City (IMPZ)&gt;SOL Golf Views")</f>
        <v>Dubai&gt;Dubai Production City (IMPZ)&gt;SOL Golf Views</v>
      </c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6.5" x14ac:dyDescent="0.35">
      <c r="A220" s="2" t="str">
        <f ca="1">IFERROR(__xludf.DUMMYFUNCTION("""COMPUTED_VALUE"""),"Dubai")</f>
        <v>Dubai</v>
      </c>
      <c r="B220" s="2" t="str">
        <f ca="1">IFERROR(__xludf.DUMMYFUNCTION("""COMPUTED_VALUE"""),"Mesk 2")</f>
        <v>Mesk 2</v>
      </c>
      <c r="C220" s="2" t="str">
        <f ca="1">IFERROR(__xludf.DUMMYFUNCTION("""COMPUTED_VALUE"""),"Building")</f>
        <v>Building</v>
      </c>
      <c r="D220" s="2" t="str">
        <f ca="1">IFERROR(__xludf.DUMMYFUNCTION("""COMPUTED_VALUE"""),"Dubai&gt;Dubai Production City (IMPZ)&gt;Midtown&gt;Mesk&gt;Mesk 2")</f>
        <v>Dubai&gt;Dubai Production City (IMPZ)&gt;Midtown&gt;Mesk&gt;Mesk 2</v>
      </c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6.5" x14ac:dyDescent="0.35">
      <c r="A221" s="2" t="str">
        <f ca="1">IFERROR(__xludf.DUMMYFUNCTION("""COMPUTED_VALUE"""),"Dubai")</f>
        <v>Dubai</v>
      </c>
      <c r="B221" s="2" t="str">
        <f ca="1">IFERROR(__xludf.DUMMYFUNCTION("""COMPUTED_VALUE"""),"Ramada Residence")</f>
        <v>Ramada Residence</v>
      </c>
      <c r="C221" s="2" t="str">
        <f ca="1">IFERROR(__xludf.DUMMYFUNCTION("""COMPUTED_VALUE"""),"Building")</f>
        <v>Building</v>
      </c>
      <c r="D221" s="2" t="str">
        <f ca="1">IFERROR(__xludf.DUMMYFUNCTION("""COMPUTED_VALUE"""),"Dubai&gt;Dubai Production City (IMPZ)&gt;Ramada Residence")</f>
        <v>Dubai&gt;Dubai Production City (IMPZ)&gt;Ramada Residence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6.5" x14ac:dyDescent="0.35">
      <c r="A222" s="2" t="str">
        <f ca="1">IFERROR(__xludf.DUMMYFUNCTION("""COMPUTED_VALUE"""),"Dubai")</f>
        <v>Dubai</v>
      </c>
      <c r="B222" s="2" t="str">
        <f ca="1">IFERROR(__xludf.DUMMYFUNCTION("""COMPUTED_VALUE"""),"Samana Resorts Tower A")</f>
        <v>Samana Resorts Tower A</v>
      </c>
      <c r="C222" s="2" t="str">
        <f ca="1">IFERROR(__xludf.DUMMYFUNCTION("""COMPUTED_VALUE"""),"Building")</f>
        <v>Building</v>
      </c>
      <c r="D222" s="2" t="str">
        <f ca="1">IFERROR(__xludf.DUMMYFUNCTION("""COMPUTED_VALUE"""),"Dubai&gt;Dubai Production City (IMPZ)&gt;Samana Resorts&gt;Samana Resorts Tower A")</f>
        <v>Dubai&gt;Dubai Production City (IMPZ)&gt;Samana Resorts&gt;Samana Resorts Tower A</v>
      </c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6.5" x14ac:dyDescent="0.35">
      <c r="A223" s="2" t="str">
        <f ca="1">IFERROR(__xludf.DUMMYFUNCTION("""COMPUTED_VALUE"""),"Dubai")</f>
        <v>Dubai</v>
      </c>
      <c r="B223" s="2" t="str">
        <f ca="1">IFERROR(__xludf.DUMMYFUNCTION("""COMPUTED_VALUE"""),"Rakayez DB2")</f>
        <v>Rakayez DB2</v>
      </c>
      <c r="C223" s="2" t="str">
        <f ca="1">IFERROR(__xludf.DUMMYFUNCTION("""COMPUTED_VALUE"""),"Neighbourhood")</f>
        <v>Neighbourhood</v>
      </c>
      <c r="D223" s="2" t="str">
        <f ca="1">IFERROR(__xludf.DUMMYFUNCTION("""COMPUTED_VALUE"""),"Dubai&gt;Dubai Industrial City&gt;Rakayez DB2")</f>
        <v>Dubai&gt;Dubai Industrial City&gt;Rakayez DB2</v>
      </c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6.5" x14ac:dyDescent="0.35">
      <c r="A224" s="2" t="str">
        <f ca="1">IFERROR(__xludf.DUMMYFUNCTION("""COMPUTED_VALUE"""),"Dubai")</f>
        <v>Dubai</v>
      </c>
      <c r="B224" s="2" t="str">
        <f ca="1">IFERROR(__xludf.DUMMYFUNCTION("""COMPUTED_VALUE"""),"Umm Al Sheif")</f>
        <v>Umm Al Sheif</v>
      </c>
      <c r="C224" s="2" t="str">
        <f ca="1">IFERROR(__xludf.DUMMYFUNCTION("""COMPUTED_VALUE"""),"Neighbourhood")</f>
        <v>Neighbourhood</v>
      </c>
      <c r="D224" s="2" t="str">
        <f ca="1">IFERROR(__xludf.DUMMYFUNCTION("""COMPUTED_VALUE"""),"Dubai&gt;Umm Al Sheif")</f>
        <v>Dubai&gt;Umm Al Sheif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6.5" x14ac:dyDescent="0.35">
      <c r="A225" s="2" t="str">
        <f ca="1">IFERROR(__xludf.DUMMYFUNCTION("""COMPUTED_VALUE"""),"Dubai")</f>
        <v>Dubai</v>
      </c>
      <c r="B225" s="2" t="str">
        <f ca="1">IFERROR(__xludf.DUMMYFUNCTION("""COMPUTED_VALUE"""),"Plagette 32")</f>
        <v>Plagette 32</v>
      </c>
      <c r="C225" s="2" t="str">
        <f ca="1">IFERROR(__xludf.DUMMYFUNCTION("""COMPUTED_VALUE"""),"Neighbourhood")</f>
        <v>Neighbourhood</v>
      </c>
      <c r="D225" s="2" t="str">
        <f ca="1">IFERROR(__xludf.DUMMYFUNCTION("""COMPUTED_VALUE"""),"Dubai&gt;Tilal Al Ghaf&gt;Plagette 32")</f>
        <v>Dubai&gt;Tilal Al Ghaf&gt;Plagette 32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6.5" x14ac:dyDescent="0.35">
      <c r="A226" s="2" t="str">
        <f ca="1">IFERROR(__xludf.DUMMYFUNCTION("""COMPUTED_VALUE"""),"Dubai")</f>
        <v>Dubai</v>
      </c>
      <c r="B226" s="2" t="str">
        <f ca="1">IFERROR(__xludf.DUMMYFUNCTION("""COMPUTED_VALUE"""),"Bay Grove Residences Building 5")</f>
        <v>Bay Grove Residences Building 5</v>
      </c>
      <c r="C226" s="2" t="str">
        <f ca="1">IFERROR(__xludf.DUMMYFUNCTION("""COMPUTED_VALUE"""),"Building")</f>
        <v>Building</v>
      </c>
      <c r="D226" s="2" t="str">
        <f ca="1">IFERROR(__xludf.DUMMYFUNCTION("""COMPUTED_VALUE"""),"Dubai&gt;Dubai Islands&gt;Bay Grove Residences&gt;Bay Grove Residences Building 5")</f>
        <v>Dubai&gt;Dubai Islands&gt;Bay Grove Residences&gt;Bay Grove Residences Building 5</v>
      </c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6.5" x14ac:dyDescent="0.35">
      <c r="A227" s="2" t="str">
        <f ca="1">IFERROR(__xludf.DUMMYFUNCTION("""COMPUTED_VALUE"""),"Dubai")</f>
        <v>Dubai</v>
      </c>
      <c r="B227" s="2" t="str">
        <f ca="1">IFERROR(__xludf.DUMMYFUNCTION("""COMPUTED_VALUE"""),"Luxury Canal Residences")</f>
        <v>Luxury Canal Residences</v>
      </c>
      <c r="C227" s="2" t="str">
        <f ca="1">IFERROR(__xludf.DUMMYFUNCTION("""COMPUTED_VALUE"""),"Building")</f>
        <v>Building</v>
      </c>
      <c r="D227" s="2" t="str">
        <f ca="1">IFERROR(__xludf.DUMMYFUNCTION("""COMPUTED_VALUE"""),"Dubai&gt;Dubai Islands&gt;Luxury Canal Residences")</f>
        <v>Dubai&gt;Dubai Islands&gt;Luxury Canal Residences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6.5" x14ac:dyDescent="0.35">
      <c r="A228" s="2" t="str">
        <f ca="1">IFERROR(__xludf.DUMMYFUNCTION("""COMPUTED_VALUE"""),"Dubai")</f>
        <v>Dubai</v>
      </c>
      <c r="B228" s="2" t="str">
        <f ca="1">IFERROR(__xludf.DUMMYFUNCTION("""COMPUTED_VALUE"""),"Treppan Serenique Residences Tower B")</f>
        <v>Treppan Serenique Residences Tower B</v>
      </c>
      <c r="C228" s="2" t="str">
        <f ca="1">IFERROR(__xludf.DUMMYFUNCTION("""COMPUTED_VALUE"""),"Building")</f>
        <v>Building</v>
      </c>
      <c r="D228" s="2" t="str">
        <f ca="1">IFERROR(__xludf.DUMMYFUNCTION("""COMPUTED_VALUE"""),"Dubai&gt;Dubai Islands&gt;Treppan Serenique Residences&gt;Treppan Serenique Residences Tower B")</f>
        <v>Dubai&gt;Dubai Islands&gt;Treppan Serenique Residences&gt;Treppan Serenique Residences Tower B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6.5" x14ac:dyDescent="0.35">
      <c r="A229" s="2" t="str">
        <f ca="1">IFERROR(__xludf.DUMMYFUNCTION("""COMPUTED_VALUE"""),"Dubai")</f>
        <v>Dubai</v>
      </c>
      <c r="B229" s="2" t="str">
        <f ca="1">IFERROR(__xludf.DUMMYFUNCTION("""COMPUTED_VALUE"""),"Ellington Sands I")</f>
        <v>Ellington Sands I</v>
      </c>
      <c r="C229" s="2" t="str">
        <f ca="1">IFERROR(__xludf.DUMMYFUNCTION("""COMPUTED_VALUE"""),"Cluster")</f>
        <v>Cluster</v>
      </c>
      <c r="D229" s="2" t="str">
        <f ca="1">IFERROR(__xludf.DUMMYFUNCTION("""COMPUTED_VALUE"""),"Dubai&gt;Dubai Islands&gt;Ellington Sands I")</f>
        <v>Dubai&gt;Dubai Islands&gt;Ellington Sands I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6.5" x14ac:dyDescent="0.35">
      <c r="A230" s="2" t="str">
        <f ca="1">IFERROR(__xludf.DUMMYFUNCTION("""COMPUTED_VALUE"""),"Dubai")</f>
        <v>Dubai</v>
      </c>
      <c r="B230" s="2" t="str">
        <f ca="1">IFERROR(__xludf.DUMMYFUNCTION("""COMPUTED_VALUE"""),"Step by Step Nursery Dubailand")</f>
        <v>Step by Step Nursery Dubailand</v>
      </c>
      <c r="C230" s="2" t="str">
        <f ca="1">IFERROR(__xludf.DUMMYFUNCTION("""COMPUTED_VALUE"""),"Nursery")</f>
        <v>Nursery</v>
      </c>
      <c r="D230" s="2" t="str">
        <f ca="1">IFERROR(__xludf.DUMMYFUNCTION("""COMPUTED_VALUE"""),"Dubai&gt;Dubailand&gt;Layan&gt;Step by Step Nursery Dubailand")</f>
        <v>Dubai&gt;Dubailand&gt;Layan&gt;Step by Step Nursery Dubailand</v>
      </c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6.5" x14ac:dyDescent="0.35">
      <c r="A231" s="2" t="str">
        <f ca="1">IFERROR(__xludf.DUMMYFUNCTION("""COMPUTED_VALUE"""),"Dubai")</f>
        <v>Dubai</v>
      </c>
      <c r="B231" s="2" t="str">
        <f ca="1">IFERROR(__xludf.DUMMYFUNCTION("""COMPUTED_VALUE"""),"La Quinta")</f>
        <v>La Quinta</v>
      </c>
      <c r="C231" s="2" t="str">
        <f ca="1">IFERROR(__xludf.DUMMYFUNCTION("""COMPUTED_VALUE"""),"Neighbourhood")</f>
        <v>Neighbourhood</v>
      </c>
      <c r="D231" s="2" t="str">
        <f ca="1">IFERROR(__xludf.DUMMYFUNCTION("""COMPUTED_VALUE"""),"Dubai&gt;Dubailand&gt;Villanova&gt;La Quinta")</f>
        <v>Dubai&gt;Dubailand&gt;Villanova&gt;La Quinta</v>
      </c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6.5" x14ac:dyDescent="0.35">
      <c r="A232" s="2" t="str">
        <f ca="1">IFERROR(__xludf.DUMMYFUNCTION("""COMPUTED_VALUE"""),"Dubai")</f>
        <v>Dubai</v>
      </c>
      <c r="B232" s="2" t="str">
        <f ca="1">IFERROR(__xludf.DUMMYFUNCTION("""COMPUTED_VALUE"""),"Cassia 6")</f>
        <v>Cassia 6</v>
      </c>
      <c r="C232" s="2" t="str">
        <f ca="1">IFERROR(__xludf.DUMMYFUNCTION("""COMPUTED_VALUE"""),"Neighbourhood")</f>
        <v>Neighbourhood</v>
      </c>
      <c r="D232" s="2" t="str">
        <f ca="1">IFERROR(__xludf.DUMMYFUNCTION("""COMPUTED_VALUE"""),"Dubai&gt;Dubailand&gt;The Wilds&gt;Cassia 6")</f>
        <v>Dubai&gt;Dubailand&gt;The Wilds&gt;Cassia 6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6.5" x14ac:dyDescent="0.35">
      <c r="A233" s="2" t="str">
        <f ca="1">IFERROR(__xludf.DUMMYFUNCTION("""COMPUTED_VALUE"""),"Dubai")</f>
        <v>Dubai</v>
      </c>
      <c r="B233" s="2" t="str">
        <f ca="1">IFERROR(__xludf.DUMMYFUNCTION("""COMPUTED_VALUE"""),"Cinderella Tower")</f>
        <v>Cinderella Tower</v>
      </c>
      <c r="C233" s="2" t="str">
        <f ca="1">IFERROR(__xludf.DUMMYFUNCTION("""COMPUTED_VALUE"""),"Building")</f>
        <v>Building</v>
      </c>
      <c r="D233" s="2" t="str">
        <f ca="1">IFERROR(__xludf.DUMMYFUNCTION("""COMPUTED_VALUE"""),"Dubai&gt;Living Legends&gt;Cinderella Tower")</f>
        <v>Dubai&gt;Living Legends&gt;Cinderella Tower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6.5" x14ac:dyDescent="0.35">
      <c r="A234" s="2" t="str">
        <f ca="1">IFERROR(__xludf.DUMMYFUNCTION("""COMPUTED_VALUE"""),"Dubai")</f>
        <v>Dubai</v>
      </c>
      <c r="B234" s="2" t="str">
        <f ca="1">IFERROR(__xludf.DUMMYFUNCTION("""COMPUTED_VALUE"""),"Akala Hotels and Residences")</f>
        <v>Akala Hotels and Residences</v>
      </c>
      <c r="C234" s="2" t="str">
        <f ca="1">IFERROR(__xludf.DUMMYFUNCTION("""COMPUTED_VALUE"""),"Building")</f>
        <v>Building</v>
      </c>
      <c r="D234" s="2" t="str">
        <f ca="1">IFERROR(__xludf.DUMMYFUNCTION("""COMPUTED_VALUE"""),"Dubai&gt;Za'abeel&gt;Za'abeel 2&gt;Akala Hotels and Residences")</f>
        <v>Dubai&gt;Za'abeel&gt;Za'abeel 2&gt;Akala Hotels and Residences</v>
      </c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6.5" x14ac:dyDescent="0.35">
      <c r="A235" s="2" t="str">
        <f ca="1">IFERROR(__xludf.DUMMYFUNCTION("""COMPUTED_VALUE"""),"Dubai")</f>
        <v>Dubai</v>
      </c>
      <c r="B235" s="2" t="str">
        <f ca="1">IFERROR(__xludf.DUMMYFUNCTION("""COMPUTED_VALUE"""),"Samari Residences 18")</f>
        <v>Samari Residences 18</v>
      </c>
      <c r="C235" s="2" t="str">
        <f ca="1">IFERROR(__xludf.DUMMYFUNCTION("""COMPUTED_VALUE"""),"Building")</f>
        <v>Building</v>
      </c>
      <c r="D235" s="2" t="str">
        <f ca="1">IFERROR(__xludf.DUMMYFUNCTION("""COMPUTED_VALUE"""),"Dubai&gt;Ras Al Khor&gt;Ras Al Khor Industrial&gt;Ras Al Khor Industrial 3&gt;Samari Residences&gt;Samari Residences 18")</f>
        <v>Dubai&gt;Ras Al Khor&gt;Ras Al Khor Industrial&gt;Ras Al Khor Industrial 3&gt;Samari Residences&gt;Samari Residences 18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6.5" x14ac:dyDescent="0.35">
      <c r="A236" s="2" t="str">
        <f ca="1">IFERROR(__xludf.DUMMYFUNCTION("""COMPUTED_VALUE"""),"Dubai")</f>
        <v>Dubai</v>
      </c>
      <c r="B236" s="2" t="str">
        <f ca="1">IFERROR(__xludf.DUMMYFUNCTION("""COMPUTED_VALUE"""),"The 7 By Aurora")</f>
        <v>The 7 By Aurora</v>
      </c>
      <c r="C236" s="2" t="str">
        <f ca="1">IFERROR(__xludf.DUMMYFUNCTION("""COMPUTED_VALUE"""),"Building")</f>
        <v>Building</v>
      </c>
      <c r="D236" s="2" t="str">
        <f ca="1">IFERROR(__xludf.DUMMYFUNCTION("""COMPUTED_VALUE"""),"Dubai&gt;Jebel Ali&gt;Downtown Jebel Ali&gt;The 7 By Aurora")</f>
        <v>Dubai&gt;Jebel Ali&gt;Downtown Jebel Ali&gt;The 7 By Aurora</v>
      </c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6.5" x14ac:dyDescent="0.35">
      <c r="A237" s="2" t="str">
        <f ca="1">IFERROR(__xludf.DUMMYFUNCTION("""COMPUTED_VALUE"""),"Dubai")</f>
        <v>Dubai</v>
      </c>
      <c r="B237" s="2" t="str">
        <f ca="1">IFERROR(__xludf.DUMMYFUNCTION("""COMPUTED_VALUE"""),"MTM &amp; O Gold Refinery Building")</f>
        <v>MTM &amp; O Gold Refinery Building</v>
      </c>
      <c r="C237" s="2" t="str">
        <f ca="1">IFERROR(__xludf.DUMMYFUNCTION("""COMPUTED_VALUE"""),"Building")</f>
        <v>Building</v>
      </c>
      <c r="D237" s="2" t="str">
        <f ca="1">IFERROR(__xludf.DUMMYFUNCTION("""COMPUTED_VALUE"""),"Dubai&gt;Jebel Ali&gt;MTM &amp; O Gold Refinery Building")</f>
        <v>Dubai&gt;Jebel Ali&gt;MTM &amp; O Gold Refinery Building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6.5" x14ac:dyDescent="0.35">
      <c r="A238" s="2" t="str">
        <f ca="1">IFERROR(__xludf.DUMMYFUNCTION("""COMPUTED_VALUE"""),"Dubai")</f>
        <v>Dubai</v>
      </c>
      <c r="B238" s="2" t="str">
        <f ca="1">IFERROR(__xludf.DUMMYFUNCTION("""COMPUTED_VALUE"""),"Ras Al Khor Commercial Complex")</f>
        <v>Ras Al Khor Commercial Complex</v>
      </c>
      <c r="C238" s="2" t="str">
        <f ca="1">IFERROR(__xludf.DUMMYFUNCTION("""COMPUTED_VALUE"""),"Building")</f>
        <v>Building</v>
      </c>
      <c r="D238" s="2" t="str">
        <f ca="1">IFERROR(__xludf.DUMMYFUNCTION("""COMPUTED_VALUE"""),"Dubai&gt;Nad Al Hamar&gt;Ras Al Khor Commercial Complex")</f>
        <v>Dubai&gt;Nad Al Hamar&gt;Ras Al Khor Commercial Complex</v>
      </c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6.5" x14ac:dyDescent="0.35">
      <c r="A239" s="2" t="str">
        <f ca="1">IFERROR(__xludf.DUMMYFUNCTION("""COMPUTED_VALUE"""),"Dubai")</f>
        <v>Dubai</v>
      </c>
      <c r="B239" s="2" t="str">
        <f ca="1">IFERROR(__xludf.DUMMYFUNCTION("""COMPUTED_VALUE"""),"Al Barsha 1")</f>
        <v>Al Barsha 1</v>
      </c>
      <c r="C239" s="2" t="str">
        <f ca="1">IFERROR(__xludf.DUMMYFUNCTION("""COMPUTED_VALUE"""),"Neighbourhood")</f>
        <v>Neighbourhood</v>
      </c>
      <c r="D239" s="2" t="str">
        <f ca="1">IFERROR(__xludf.DUMMYFUNCTION("""COMPUTED_VALUE"""),"Dubai&gt;Al Barsha&gt;Al Barsha 1")</f>
        <v>Dubai&gt;Al Barsha&gt;Al Barsha 1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6.5" x14ac:dyDescent="0.35">
      <c r="A240" s="2" t="str">
        <f ca="1">IFERROR(__xludf.DUMMYFUNCTION("""COMPUTED_VALUE"""),"Dubai")</f>
        <v>Dubai</v>
      </c>
      <c r="B240" s="2" t="str">
        <f ca="1">IFERROR(__xludf.DUMMYFUNCTION("""COMPUTED_VALUE"""),"Adagio Aparthotel")</f>
        <v>Adagio Aparthotel</v>
      </c>
      <c r="C240" s="2" t="str">
        <f ca="1">IFERROR(__xludf.DUMMYFUNCTION("""COMPUTED_VALUE"""),"Building")</f>
        <v>Building</v>
      </c>
      <c r="D240" s="2" t="str">
        <f ca="1">IFERROR(__xludf.DUMMYFUNCTION("""COMPUTED_VALUE"""),"Dubai&gt;Al Barsha&gt;Al Barsha 1&gt;API Trio Towers&gt;Adagio Aparthotel")</f>
        <v>Dubai&gt;Al Barsha&gt;Al Barsha 1&gt;API Trio Towers&gt;Adagio Aparthotel</v>
      </c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6.5" x14ac:dyDescent="0.35">
      <c r="A241" s="2" t="str">
        <f ca="1">IFERROR(__xludf.DUMMYFUNCTION("""COMPUTED_VALUE"""),"Dubai")</f>
        <v>Dubai</v>
      </c>
      <c r="B241" s="2" t="str">
        <f ca="1">IFERROR(__xludf.DUMMYFUNCTION("""COMPUTED_VALUE"""),"SBO Tower")</f>
        <v>SBO Tower</v>
      </c>
      <c r="C241" s="2" t="str">
        <f ca="1">IFERROR(__xludf.DUMMYFUNCTION("""COMPUTED_VALUE"""),"Building")</f>
        <v>Building</v>
      </c>
      <c r="D241" s="2" t="str">
        <f ca="1">IFERROR(__xludf.DUMMYFUNCTION("""COMPUTED_VALUE"""),"Dubai&gt;Al Barsha&gt;Al Barsha 1&gt;SBO Tower")</f>
        <v>Dubai&gt;Al Barsha&gt;Al Barsha 1&gt;SBO Tower</v>
      </c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6.5" x14ac:dyDescent="0.35">
      <c r="A242" s="2" t="str">
        <f ca="1">IFERROR(__xludf.DUMMYFUNCTION("""COMPUTED_VALUE"""),"Dubai")</f>
        <v>Dubai</v>
      </c>
      <c r="B242" s="2" t="str">
        <f ca="1">IFERROR(__xludf.DUMMYFUNCTION("""COMPUTED_VALUE"""),"Al Bahri Building")</f>
        <v>Al Bahri Building</v>
      </c>
      <c r="C242" s="2" t="str">
        <f ca="1">IFERROR(__xludf.DUMMYFUNCTION("""COMPUTED_VALUE"""),"Building")</f>
        <v>Building</v>
      </c>
      <c r="D242" s="2" t="str">
        <f ca="1">IFERROR(__xludf.DUMMYFUNCTION("""COMPUTED_VALUE"""),"Dubai&gt;Al Barsha&gt;Al Barsha 1&gt;Al Bahri Building")</f>
        <v>Dubai&gt;Al Barsha&gt;Al Barsha 1&gt;Al Bahri Building</v>
      </c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6.5" x14ac:dyDescent="0.35">
      <c r="A243" s="2" t="str">
        <f ca="1">IFERROR(__xludf.DUMMYFUNCTION("""COMPUTED_VALUE"""),"Dubai")</f>
        <v>Dubai</v>
      </c>
      <c r="B243" s="2" t="str">
        <f ca="1">IFERROR(__xludf.DUMMYFUNCTION("""COMPUTED_VALUE"""),"Al Barsha Twin Towers")</f>
        <v>Al Barsha Twin Towers</v>
      </c>
      <c r="C243" s="2" t="str">
        <f ca="1">IFERROR(__xludf.DUMMYFUNCTION("""COMPUTED_VALUE"""),"Cluster")</f>
        <v>Cluster</v>
      </c>
      <c r="D243" s="2" t="str">
        <f ca="1">IFERROR(__xludf.DUMMYFUNCTION("""COMPUTED_VALUE"""),"Dubai&gt;Al Barsha&gt;Al Barsha 1&gt;Al Barsha Twin Towers")</f>
        <v>Dubai&gt;Al Barsha&gt;Al Barsha 1&gt;Al Barsha Twin Towers</v>
      </c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6.5" x14ac:dyDescent="0.35">
      <c r="A244" s="2" t="str">
        <f ca="1">IFERROR(__xludf.DUMMYFUNCTION("""COMPUTED_VALUE"""),"Dubai")</f>
        <v>Dubai</v>
      </c>
      <c r="B244" s="2" t="str">
        <f ca="1">IFERROR(__xludf.DUMMYFUNCTION("""COMPUTED_VALUE"""),"City Stay Pearl Hotel Apartments")</f>
        <v>City Stay Pearl Hotel Apartments</v>
      </c>
      <c r="C244" s="2" t="str">
        <f ca="1">IFERROR(__xludf.DUMMYFUNCTION("""COMPUTED_VALUE"""),"Building")</f>
        <v>Building</v>
      </c>
      <c r="D244" s="2" t="str">
        <f ca="1">IFERROR(__xludf.DUMMYFUNCTION("""COMPUTED_VALUE"""),"Dubai&gt;Al Barsha&gt;Al Barsha 1&gt;City Stay Pearl Hotel Apartments")</f>
        <v>Dubai&gt;Al Barsha&gt;Al Barsha 1&gt;City Stay Pearl Hotel Apartments</v>
      </c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6.5" x14ac:dyDescent="0.35">
      <c r="A245" s="2" t="str">
        <f ca="1">IFERROR(__xludf.DUMMYFUNCTION("""COMPUTED_VALUE"""),"Dubai")</f>
        <v>Dubai</v>
      </c>
      <c r="B245" s="2" t="str">
        <f ca="1">IFERROR(__xludf.DUMMYFUNCTION("""COMPUTED_VALUE"""),"Gulf Drug Building")</f>
        <v>Gulf Drug Building</v>
      </c>
      <c r="C245" s="2" t="str">
        <f ca="1">IFERROR(__xludf.DUMMYFUNCTION("""COMPUTED_VALUE"""),"Building")</f>
        <v>Building</v>
      </c>
      <c r="D245" s="2" t="str">
        <f ca="1">IFERROR(__xludf.DUMMYFUNCTION("""COMPUTED_VALUE"""),"Dubai&gt;Al Barsha&gt;Al Barsha 1&gt;Gulf Drug Building")</f>
        <v>Dubai&gt;Al Barsha&gt;Al Barsha 1&gt;Gulf Drug Building</v>
      </c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6.5" x14ac:dyDescent="0.35">
      <c r="A246" s="2" t="str">
        <f ca="1">IFERROR(__xludf.DUMMYFUNCTION("""COMPUTED_VALUE"""),"Dubai")</f>
        <v>Dubai</v>
      </c>
      <c r="B246" s="2" t="str">
        <f ca="1">IFERROR(__xludf.DUMMYFUNCTION("""COMPUTED_VALUE"""),"Avari Residence Al Barsha")</f>
        <v>Avari Residence Al Barsha</v>
      </c>
      <c r="C246" s="2" t="str">
        <f ca="1">IFERROR(__xludf.DUMMYFUNCTION("""COMPUTED_VALUE"""),"Building")</f>
        <v>Building</v>
      </c>
      <c r="D246" s="2" t="str">
        <f ca="1">IFERROR(__xludf.DUMMYFUNCTION("""COMPUTED_VALUE"""),"Dubai&gt;Al Barsha&gt;Al Barsha 1&gt;Avari Residence Al Barsha")</f>
        <v>Dubai&gt;Al Barsha&gt;Al Barsha 1&gt;Avari Residence Al Barsha</v>
      </c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6.5" x14ac:dyDescent="0.35">
      <c r="A247" s="2" t="str">
        <f ca="1">IFERROR(__xludf.DUMMYFUNCTION("""COMPUTED_VALUE"""),"Dubai")</f>
        <v>Dubai</v>
      </c>
      <c r="B247" s="2" t="str">
        <f ca="1">IFERROR(__xludf.DUMMYFUNCTION("""COMPUTED_VALUE"""),"Al Hawai 2 Building")</f>
        <v>Al Hawai 2 Building</v>
      </c>
      <c r="C247" s="2" t="str">
        <f ca="1">IFERROR(__xludf.DUMMYFUNCTION("""COMPUTED_VALUE"""),"Building")</f>
        <v>Building</v>
      </c>
      <c r="D247" s="2" t="str">
        <f ca="1">IFERROR(__xludf.DUMMYFUNCTION("""COMPUTED_VALUE"""),"Dubai&gt;Al Barsha&gt;Al Barsha 1&gt;Al Hawai 2 Building")</f>
        <v>Dubai&gt;Al Barsha&gt;Al Barsha 1&gt;Al Hawai 2 Building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6.5" x14ac:dyDescent="0.35">
      <c r="A248" s="2" t="str">
        <f ca="1">IFERROR(__xludf.DUMMYFUNCTION("""COMPUTED_VALUE"""),"Dubai")</f>
        <v>Dubai</v>
      </c>
      <c r="B248" s="2" t="str">
        <f ca="1">IFERROR(__xludf.DUMMYFUNCTION("""COMPUTED_VALUE"""),"Al Wafa Building")</f>
        <v>Al Wafa Building</v>
      </c>
      <c r="C248" s="2" t="str">
        <f ca="1">IFERROR(__xludf.DUMMYFUNCTION("""COMPUTED_VALUE"""),"Building")</f>
        <v>Building</v>
      </c>
      <c r="D248" s="2" t="str">
        <f ca="1">IFERROR(__xludf.DUMMYFUNCTION("""COMPUTED_VALUE"""),"Dubai&gt;Al Barsha&gt;Al Barsha 1&gt;Al Wafa Building")</f>
        <v>Dubai&gt;Al Barsha&gt;Al Barsha 1&gt;Al Wafa Building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6.5" x14ac:dyDescent="0.35">
      <c r="A249" s="2" t="str">
        <f ca="1">IFERROR(__xludf.DUMMYFUNCTION("""COMPUTED_VALUE"""),"Dubai")</f>
        <v>Dubai</v>
      </c>
      <c r="B249" s="2" t="str">
        <f ca="1">IFERROR(__xludf.DUMMYFUNCTION("""COMPUTED_VALUE"""),"Imperial Avenue")</f>
        <v>Imperial Avenue</v>
      </c>
      <c r="C249" s="2" t="str">
        <f ca="1">IFERROR(__xludf.DUMMYFUNCTION("""COMPUTED_VALUE"""),"Building")</f>
        <v>Building</v>
      </c>
      <c r="D249" s="2" t="str">
        <f ca="1">IFERROR(__xludf.DUMMYFUNCTION("""COMPUTED_VALUE"""),"Dubai&gt;Downtown Dubai&gt;Imperial Avenue")</f>
        <v>Dubai&gt;Downtown Dubai&gt;Imperial Avenue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6.5" x14ac:dyDescent="0.35">
      <c r="A250" s="2" t="str">
        <f ca="1">IFERROR(__xludf.DUMMYFUNCTION("""COMPUTED_VALUE"""),"Dubai")</f>
        <v>Dubai</v>
      </c>
      <c r="B250" s="2" t="str">
        <f ca="1">IFERROR(__xludf.DUMMYFUNCTION("""COMPUTED_VALUE"""),"Burj Royale")</f>
        <v>Burj Royale</v>
      </c>
      <c r="C250" s="2" t="str">
        <f ca="1">IFERROR(__xludf.DUMMYFUNCTION("""COMPUTED_VALUE"""),"Building")</f>
        <v>Building</v>
      </c>
      <c r="D250" s="2" t="str">
        <f ca="1">IFERROR(__xludf.DUMMYFUNCTION("""COMPUTED_VALUE"""),"Dubai&gt;Downtown Dubai&gt;Burj Royale")</f>
        <v>Dubai&gt;Downtown Dubai&gt;Burj Royale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6.5" x14ac:dyDescent="0.35">
      <c r="A251" s="2" t="str">
        <f ca="1">IFERROR(__xludf.DUMMYFUNCTION("""COMPUTED_VALUE"""),"Dubai")</f>
        <v>Dubai</v>
      </c>
      <c r="B251" s="2" t="str">
        <f ca="1">IFERROR(__xludf.DUMMYFUNCTION("""COMPUTED_VALUE"""),"Al Saaha Offices")</f>
        <v>Al Saaha Offices</v>
      </c>
      <c r="C251" s="2" t="str">
        <f ca="1">IFERROR(__xludf.DUMMYFUNCTION("""COMPUTED_VALUE"""),"Cluster")</f>
        <v>Cluster</v>
      </c>
      <c r="D251" s="2" t="str">
        <f ca="1">IFERROR(__xludf.DUMMYFUNCTION("""COMPUTED_VALUE"""),"Dubai&gt;Downtown Dubai&gt;The Old Town Island&gt;Al Saaha Offices")</f>
        <v>Dubai&gt;Downtown Dubai&gt;The Old Town Island&gt;Al Saaha Offices</v>
      </c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6.5" x14ac:dyDescent="0.35">
      <c r="A252" s="2" t="str">
        <f ca="1">IFERROR(__xludf.DUMMYFUNCTION("""COMPUTED_VALUE"""),"Dubai")</f>
        <v>Dubai</v>
      </c>
      <c r="B252" s="2" t="str">
        <f ca="1">IFERROR(__xludf.DUMMYFUNCTION("""COMPUTED_VALUE"""),"Burj Al Nujoom")</f>
        <v>Burj Al Nujoom</v>
      </c>
      <c r="C252" s="2" t="str">
        <f ca="1">IFERROR(__xludf.DUMMYFUNCTION("""COMPUTED_VALUE"""),"Building")</f>
        <v>Building</v>
      </c>
      <c r="D252" s="2" t="str">
        <f ca="1">IFERROR(__xludf.DUMMYFUNCTION("""COMPUTED_VALUE"""),"Dubai&gt;Downtown Dubai&gt;Burj Al Nujoom")</f>
        <v>Dubai&gt;Downtown Dubai&gt;Burj Al Nujoom</v>
      </c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6.5" x14ac:dyDescent="0.35">
      <c r="A253" s="2" t="str">
        <f ca="1">IFERROR(__xludf.DUMMYFUNCTION("""COMPUTED_VALUE"""),"Dubai")</f>
        <v>Dubai</v>
      </c>
      <c r="B253" s="2" t="str">
        <f ca="1">IFERROR(__xludf.DUMMYFUNCTION("""COMPUTED_VALUE"""),"Reehan 6")</f>
        <v>Reehan 6</v>
      </c>
      <c r="C253" s="2" t="str">
        <f ca="1">IFERROR(__xludf.DUMMYFUNCTION("""COMPUTED_VALUE"""),"Building")</f>
        <v>Building</v>
      </c>
      <c r="D253" s="2" t="str">
        <f ca="1">IFERROR(__xludf.DUMMYFUNCTION("""COMPUTED_VALUE"""),"Dubai&gt;Downtown Dubai&gt;Old Town&gt;Reehan&gt;Reehan 6")</f>
        <v>Dubai&gt;Downtown Dubai&gt;Old Town&gt;Reehan&gt;Reehan 6</v>
      </c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6.5" x14ac:dyDescent="0.35">
      <c r="A254" s="2" t="str">
        <f ca="1">IFERROR(__xludf.DUMMYFUNCTION("""COMPUTED_VALUE"""),"Dubai")</f>
        <v>Dubai</v>
      </c>
      <c r="B254" s="2" t="str">
        <f ca="1">IFERROR(__xludf.DUMMYFUNCTION("""COMPUTED_VALUE"""),"Ramada Downtown Dubai")</f>
        <v>Ramada Downtown Dubai</v>
      </c>
      <c r="C254" s="2" t="str">
        <f ca="1">IFERROR(__xludf.DUMMYFUNCTION("""COMPUTED_VALUE"""),"Building")</f>
        <v>Building</v>
      </c>
      <c r="D254" s="2" t="str">
        <f ca="1">IFERROR(__xludf.DUMMYFUNCTION("""COMPUTED_VALUE"""),"Dubai&gt;Downtown Dubai&gt;Ramada Downtown Dubai")</f>
        <v>Dubai&gt;Downtown Dubai&gt;Ramada Downtown Dubai</v>
      </c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6.5" x14ac:dyDescent="0.35">
      <c r="A255" s="2" t="str">
        <f ca="1">IFERROR(__xludf.DUMMYFUNCTION("""COMPUTED_VALUE"""),"Dubai")</f>
        <v>Dubai</v>
      </c>
      <c r="B255" s="2" t="str">
        <f ca="1">IFERROR(__xludf.DUMMYFUNCTION("""COMPUTED_VALUE"""),"TAT Residence")</f>
        <v>TAT Residence</v>
      </c>
      <c r="C255" s="2" t="str">
        <f ca="1">IFERROR(__xludf.DUMMYFUNCTION("""COMPUTED_VALUE"""),"Building")</f>
        <v>Building</v>
      </c>
      <c r="D255" s="2" t="str">
        <f ca="1">IFERROR(__xludf.DUMMYFUNCTION("""COMPUTED_VALUE"""),"Dubai&gt;Downtown Dubai&gt;TAT Residence")</f>
        <v>Dubai&gt;Downtown Dubai&gt;TAT Residence</v>
      </c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6.5" x14ac:dyDescent="0.35">
      <c r="A256" s="2" t="str">
        <f ca="1">IFERROR(__xludf.DUMMYFUNCTION("""COMPUTED_VALUE"""),"Dubai")</f>
        <v>Dubai</v>
      </c>
      <c r="B256" s="2" t="str">
        <f ca="1">IFERROR(__xludf.DUMMYFUNCTION("""COMPUTED_VALUE"""),"Farah Tower 4")</f>
        <v>Farah Tower 4</v>
      </c>
      <c r="C256" s="2" t="str">
        <f ca="1">IFERROR(__xludf.DUMMYFUNCTION("""COMPUTED_VALUE"""),"Building")</f>
        <v>Building</v>
      </c>
      <c r="D256" s="2" t="str">
        <f ca="1">IFERROR(__xludf.DUMMYFUNCTION("""COMPUTED_VALUE"""),"Dubai&gt;Liwan&gt;Queue Point&gt;Farah Tower 4")</f>
        <v>Dubai&gt;Liwan&gt;Queue Point&gt;Farah Tower 4</v>
      </c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6.5" x14ac:dyDescent="0.35">
      <c r="A257" s="2" t="str">
        <f ca="1">IFERROR(__xludf.DUMMYFUNCTION("""COMPUTED_VALUE"""),"Dubai")</f>
        <v>Dubai</v>
      </c>
      <c r="B257" s="2" t="str">
        <f ca="1">IFERROR(__xludf.DUMMYFUNCTION("""COMPUTED_VALUE"""),"Geepas Park View 2")</f>
        <v>Geepas Park View 2</v>
      </c>
      <c r="C257" s="2" t="str">
        <f ca="1">IFERROR(__xludf.DUMMYFUNCTION("""COMPUTED_VALUE"""),"Building")</f>
        <v>Building</v>
      </c>
      <c r="D257" s="2" t="str">
        <f ca="1">IFERROR(__xludf.DUMMYFUNCTION("""COMPUTED_VALUE"""),"Dubai&gt;Liwan&gt;Queue Point&gt;Geepas Park View 2")</f>
        <v>Dubai&gt;Liwan&gt;Queue Point&gt;Geepas Park View 2</v>
      </c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6.5" x14ac:dyDescent="0.35">
      <c r="A258" s="2" t="str">
        <f ca="1">IFERROR(__xludf.DUMMYFUNCTION("""COMPUTED_VALUE"""),"Dubai")</f>
        <v>Dubai</v>
      </c>
      <c r="B258" s="2" t="str">
        <f ca="1">IFERROR(__xludf.DUMMYFUNCTION("""COMPUTED_VALUE"""),"Al Khawaneej 1")</f>
        <v>Al Khawaneej 1</v>
      </c>
      <c r="C258" s="2" t="str">
        <f ca="1">IFERROR(__xludf.DUMMYFUNCTION("""COMPUTED_VALUE"""),"Neighbourhood")</f>
        <v>Neighbourhood</v>
      </c>
      <c r="D258" s="2" t="str">
        <f ca="1">IFERROR(__xludf.DUMMYFUNCTION("""COMPUTED_VALUE"""),"Dubai&gt;Al Khawaneej&gt;Al Khawaneej 1")</f>
        <v>Dubai&gt;Al Khawaneej&gt;Al Khawaneej 1</v>
      </c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6.5" x14ac:dyDescent="0.35">
      <c r="A259" s="2" t="str">
        <f ca="1">IFERROR(__xludf.DUMMYFUNCTION("""COMPUTED_VALUE"""),"Dubai")</f>
        <v>Dubai</v>
      </c>
      <c r="B259" s="2" t="str">
        <f ca="1">IFERROR(__xludf.DUMMYFUNCTION("""COMPUTED_VALUE"""),"Central Park Residence Tower")</f>
        <v>Central Park Residence Tower</v>
      </c>
      <c r="C259" s="2" t="str">
        <f ca="1">IFERROR(__xludf.DUMMYFUNCTION("""COMPUTED_VALUE"""),"Building")</f>
        <v>Building</v>
      </c>
      <c r="D259" s="2" t="str">
        <f ca="1">IFERROR(__xludf.DUMMYFUNCTION("""COMPUTED_VALUE"""),"Dubai&gt;DIFC&gt;Central Park Towers&gt;Central Park Residence Tower")</f>
        <v>Dubai&gt;DIFC&gt;Central Park Towers&gt;Central Park Residence Tower</v>
      </c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6.5" x14ac:dyDescent="0.35">
      <c r="A260" s="2" t="str">
        <f ca="1">IFERROR(__xludf.DUMMYFUNCTION("""COMPUTED_VALUE"""),"Dubai")</f>
        <v>Dubai</v>
      </c>
      <c r="B260" s="2" t="str">
        <f ca="1">IFERROR(__xludf.DUMMYFUNCTION("""COMPUTED_VALUE"""),"Janu Dubai")</f>
        <v>Janu Dubai</v>
      </c>
      <c r="C260" s="2" t="str">
        <f ca="1">IFERROR(__xludf.DUMMYFUNCTION("""COMPUTED_VALUE"""),"Building")</f>
        <v>Building</v>
      </c>
      <c r="D260" s="2" t="str">
        <f ca="1">IFERROR(__xludf.DUMMYFUNCTION("""COMPUTED_VALUE"""),"Dubai&gt;DIFC&gt;Janu Dubai")</f>
        <v>Dubai&gt;DIFC&gt;Janu Dubai</v>
      </c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6.5" x14ac:dyDescent="0.35">
      <c r="A261" s="2" t="str">
        <f ca="1">IFERROR(__xludf.DUMMYFUNCTION("""COMPUTED_VALUE"""),"Dubai")</f>
        <v>Dubai</v>
      </c>
      <c r="B261" s="2" t="str">
        <f ca="1">IFERROR(__xludf.DUMMYFUNCTION("""COMPUTED_VALUE"""),"Cedar School Dubai")</f>
        <v>Cedar School Dubai</v>
      </c>
      <c r="C261" s="2" t="str">
        <f ca="1">IFERROR(__xludf.DUMMYFUNCTION("""COMPUTED_VALUE"""),"School")</f>
        <v>School</v>
      </c>
      <c r="D261" s="2" t="str">
        <f ca="1">IFERROR(__xludf.DUMMYFUNCTION("""COMPUTED_VALUE"""),"Dubai&gt;Al Warqaa&gt;Al Warqaa 1&gt;Cedar School Dubai")</f>
        <v>Dubai&gt;Al Warqaa&gt;Al Warqaa 1&gt;Cedar School Dubai</v>
      </c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6.5" x14ac:dyDescent="0.35">
      <c r="A262" s="2" t="str">
        <f ca="1">IFERROR(__xludf.DUMMYFUNCTION("""COMPUTED_VALUE"""),"Dubai")</f>
        <v>Dubai</v>
      </c>
      <c r="B262" s="2" t="str">
        <f ca="1">IFERROR(__xludf.DUMMYFUNCTION("""COMPUTED_VALUE"""),"Dywan Residence")</f>
        <v>Dywan Residence</v>
      </c>
      <c r="C262" s="2" t="str">
        <f ca="1">IFERROR(__xludf.DUMMYFUNCTION("""COMPUTED_VALUE"""),"Building")</f>
        <v>Building</v>
      </c>
      <c r="D262" s="2" t="str">
        <f ca="1">IFERROR(__xludf.DUMMYFUNCTION("""COMPUTED_VALUE"""),"Dubai&gt;Al Warqaa&gt;Al Warqaa 1&gt;Dywan Residence")</f>
        <v>Dubai&gt;Al Warqaa&gt;Al Warqaa 1&gt;Dywan Residence</v>
      </c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6.5" x14ac:dyDescent="0.35">
      <c r="A263" s="2" t="str">
        <f ca="1">IFERROR(__xludf.DUMMYFUNCTION("""COMPUTED_VALUE"""),"Dubai")</f>
        <v>Dubai</v>
      </c>
      <c r="B263" s="2" t="str">
        <f ca="1">IFERROR(__xludf.DUMMYFUNCTION("""COMPUTED_VALUE"""),"Al Dana Building")</f>
        <v>Al Dana Building</v>
      </c>
      <c r="C263" s="2" t="str">
        <f ca="1">IFERROR(__xludf.DUMMYFUNCTION("""COMPUTED_VALUE"""),"Building")</f>
        <v>Building</v>
      </c>
      <c r="D263" s="2" t="str">
        <f ca="1">IFERROR(__xludf.DUMMYFUNCTION("""COMPUTED_VALUE"""),"Dubai&gt;Al Warqaa&gt;Al Warqaa 1&gt;Al Dana Building")</f>
        <v>Dubai&gt;Al Warqaa&gt;Al Warqaa 1&gt;Al Dana Building</v>
      </c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6.5" x14ac:dyDescent="0.35">
      <c r="A264" s="2" t="str">
        <f ca="1">IFERROR(__xludf.DUMMYFUNCTION("""COMPUTED_VALUE"""),"Dubai")</f>
        <v>Dubai</v>
      </c>
      <c r="B264" s="2" t="str">
        <f ca="1">IFERROR(__xludf.DUMMYFUNCTION("""COMPUTED_VALUE"""),"Mohamed Ahmed Dhaen Al Qemzi 2 Building")</f>
        <v>Mohamed Ahmed Dhaen Al Qemzi 2 Building</v>
      </c>
      <c r="C264" s="2" t="str">
        <f ca="1">IFERROR(__xludf.DUMMYFUNCTION("""COMPUTED_VALUE"""),"Building")</f>
        <v>Building</v>
      </c>
      <c r="D264" s="2" t="str">
        <f ca="1">IFERROR(__xludf.DUMMYFUNCTION("""COMPUTED_VALUE"""),"Dubai&gt;Al Warqaa&gt;Al Warqaa 1&gt;Mohamed Ahmed Dhaen Al Qemzi 2 Building")</f>
        <v>Dubai&gt;Al Warqaa&gt;Al Warqaa 1&gt;Mohamed Ahmed Dhaen Al Qemzi 2 Building</v>
      </c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6.5" x14ac:dyDescent="0.35">
      <c r="A265" s="2" t="str">
        <f ca="1">IFERROR(__xludf.DUMMYFUNCTION("""COMPUTED_VALUE"""),"Dubai")</f>
        <v>Dubai</v>
      </c>
      <c r="B265" s="2" t="str">
        <f ca="1">IFERROR(__xludf.DUMMYFUNCTION("""COMPUTED_VALUE"""),"Banyan Tree Residences")</f>
        <v>Banyan Tree Residences</v>
      </c>
      <c r="C265" s="2" t="str">
        <f ca="1">IFERROR(__xludf.DUMMYFUNCTION("""COMPUTED_VALUE"""),"Building")</f>
        <v>Building</v>
      </c>
      <c r="D265" s="2" t="str">
        <f ca="1">IFERROR(__xludf.DUMMYFUNCTION("""COMPUTED_VALUE"""),"Dubai&gt;Jumeirah Lake Towers (JLT)&gt;Banyan Tree Residences")</f>
        <v>Dubai&gt;Jumeirah Lake Towers (JLT)&gt;Banyan Tree Residences</v>
      </c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6.5" x14ac:dyDescent="0.35">
      <c r="A266" s="2" t="str">
        <f ca="1">IFERROR(__xludf.DUMMYFUNCTION("""COMPUTED_VALUE"""),"Dubai")</f>
        <v>Dubai</v>
      </c>
      <c r="B266" s="2" t="str">
        <f ca="1">IFERROR(__xludf.DUMMYFUNCTION("""COMPUTED_VALUE"""),"HDS Tower")</f>
        <v>HDS Tower</v>
      </c>
      <c r="C266" s="2" t="str">
        <f ca="1">IFERROR(__xludf.DUMMYFUNCTION("""COMPUTED_VALUE"""),"Building")</f>
        <v>Building</v>
      </c>
      <c r="D266" s="2" t="str">
        <f ca="1">IFERROR(__xludf.DUMMYFUNCTION("""COMPUTED_VALUE"""),"Dubai&gt;Jumeirah Lake Towers (JLT)&gt;JLT Cluster F&gt;HDS Tower")</f>
        <v>Dubai&gt;Jumeirah Lake Towers (JLT)&gt;JLT Cluster F&gt;HDS Tower</v>
      </c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6.5" x14ac:dyDescent="0.35">
      <c r="A267" s="2" t="str">
        <f ca="1">IFERROR(__xludf.DUMMYFUNCTION("""COMPUTED_VALUE"""),"Dubai")</f>
        <v>Dubai</v>
      </c>
      <c r="B267" s="2" t="str">
        <f ca="1">IFERROR(__xludf.DUMMYFUNCTION("""COMPUTED_VALUE"""),"Three Little Fingers JLT")</f>
        <v>Three Little Fingers JLT</v>
      </c>
      <c r="C267" s="2" t="str">
        <f ca="1">IFERROR(__xludf.DUMMYFUNCTION("""COMPUTED_VALUE"""),"Nursery")</f>
        <v>Nursery</v>
      </c>
      <c r="D267" s="2" t="str">
        <f ca="1">IFERROR(__xludf.DUMMYFUNCTION("""COMPUTED_VALUE"""),"Dubai&gt;Jumeirah Lake Towers (JLT)&gt;JLT Cluster N&gt;Three Little Fingers JLT")</f>
        <v>Dubai&gt;Jumeirah Lake Towers (JLT)&gt;JLT Cluster N&gt;Three Little Fingers JLT</v>
      </c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6.5" x14ac:dyDescent="0.35">
      <c r="A268" s="2" t="str">
        <f ca="1">IFERROR(__xludf.DUMMYFUNCTION("""COMPUTED_VALUE"""),"Dubai")</f>
        <v>Dubai</v>
      </c>
      <c r="B268" s="2" t="str">
        <f ca="1">IFERROR(__xludf.DUMMYFUNCTION("""COMPUTED_VALUE"""),"Al Seef Tower 2")</f>
        <v>Al Seef Tower 2</v>
      </c>
      <c r="C268" s="2" t="str">
        <f ca="1">IFERROR(__xludf.DUMMYFUNCTION("""COMPUTED_VALUE"""),"Building")</f>
        <v>Building</v>
      </c>
      <c r="D268" s="2" t="str">
        <f ca="1">IFERROR(__xludf.DUMMYFUNCTION("""COMPUTED_VALUE"""),"Dubai&gt;Jumeirah Lake Towers (JLT)&gt;JLT Cluster U&gt;Al Seef Tower 2")</f>
        <v>Dubai&gt;Jumeirah Lake Towers (JLT)&gt;JLT Cluster U&gt;Al Seef Tower 2</v>
      </c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6.5" x14ac:dyDescent="0.35">
      <c r="A269" s="2" t="str">
        <f ca="1">IFERROR(__xludf.DUMMYFUNCTION("""COMPUTED_VALUE"""),"Dubai")</f>
        <v>Dubai</v>
      </c>
      <c r="B269" s="2" t="str">
        <f ca="1">IFERROR(__xludf.DUMMYFUNCTION("""COMPUTED_VALUE"""),"SO/ Uptown Dubai")</f>
        <v>SO/ Uptown Dubai</v>
      </c>
      <c r="C269" s="2" t="str">
        <f ca="1">IFERROR(__xludf.DUMMYFUNCTION("""COMPUTED_VALUE"""),"Building")</f>
        <v>Building</v>
      </c>
      <c r="D269" s="2" t="str">
        <f ca="1">IFERROR(__xludf.DUMMYFUNCTION("""COMPUTED_VALUE"""),"Dubai&gt;Jumeirah Lake Towers (JLT)&gt;Uptown Dubai&gt;SO/ Uptown Dubai")</f>
        <v>Dubai&gt;Jumeirah Lake Towers (JLT)&gt;Uptown Dubai&gt;SO/ Uptown Dubai</v>
      </c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6.5" x14ac:dyDescent="0.35">
      <c r="A270" s="2" t="str">
        <f ca="1">IFERROR(__xludf.DUMMYFUNCTION("""COMPUTED_VALUE"""),"Dubai")</f>
        <v>Dubai</v>
      </c>
      <c r="B270" s="2" t="str">
        <f ca="1">IFERROR(__xludf.DUMMYFUNCTION("""COMPUTED_VALUE"""),"Arabian Ranches 2")</f>
        <v>Arabian Ranches 2</v>
      </c>
      <c r="C270" s="2" t="str">
        <f ca="1">IFERROR(__xludf.DUMMYFUNCTION("""COMPUTED_VALUE"""),"Neighbourhood")</f>
        <v>Neighbourhood</v>
      </c>
      <c r="D270" s="2" t="str">
        <f ca="1">IFERROR(__xludf.DUMMYFUNCTION("""COMPUTED_VALUE"""),"Dubai&gt;Arabian Ranches 2")</f>
        <v>Dubai&gt;Arabian Ranches 2</v>
      </c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6.5" x14ac:dyDescent="0.35">
      <c r="A271" s="2" t="str">
        <f ca="1">IFERROR(__xludf.DUMMYFUNCTION("""COMPUTED_VALUE"""),"Dubai")</f>
        <v>Dubai</v>
      </c>
      <c r="B271" s="2" t="str">
        <f ca="1">IFERROR(__xludf.DUMMYFUNCTION("""COMPUTED_VALUE"""),"Makeen Residence")</f>
        <v>Makeen Residence</v>
      </c>
      <c r="C271" s="2" t="str">
        <f ca="1">IFERROR(__xludf.DUMMYFUNCTION("""COMPUTED_VALUE"""),"Building")</f>
        <v>Building</v>
      </c>
      <c r="D271" s="2" t="str">
        <f ca="1">IFERROR(__xludf.DUMMYFUNCTION("""COMPUTED_VALUE"""),"Dubai&gt;Al Satwa&gt;Jumeirah Garden City&gt;Makeen Residence")</f>
        <v>Dubai&gt;Al Satwa&gt;Jumeirah Garden City&gt;Makeen Residence</v>
      </c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6.5" x14ac:dyDescent="0.35">
      <c r="A272" s="2" t="str">
        <f ca="1">IFERROR(__xludf.DUMMYFUNCTION("""COMPUTED_VALUE"""),"Dubai")</f>
        <v>Dubai</v>
      </c>
      <c r="B272" s="2" t="str">
        <f ca="1">IFERROR(__xludf.DUMMYFUNCTION("""COMPUTED_VALUE"""),"Diamond Building")</f>
        <v>Diamond Building</v>
      </c>
      <c r="C272" s="2" t="str">
        <f ca="1">IFERROR(__xludf.DUMMYFUNCTION("""COMPUTED_VALUE"""),"Building")</f>
        <v>Building</v>
      </c>
      <c r="D272" s="2" t="str">
        <f ca="1">IFERROR(__xludf.DUMMYFUNCTION("""COMPUTED_VALUE"""),"Dubai&gt;Al Satwa&gt;Jumeirah Garden City&gt;Diamond Building")</f>
        <v>Dubai&gt;Al Satwa&gt;Jumeirah Garden City&gt;Diamond Building</v>
      </c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6.5" x14ac:dyDescent="0.35">
      <c r="A273" s="2" t="str">
        <f ca="1">IFERROR(__xludf.DUMMYFUNCTION("""COMPUTED_VALUE"""),"Dubai")</f>
        <v>Dubai</v>
      </c>
      <c r="B273" s="2" t="str">
        <f ca="1">IFERROR(__xludf.DUMMYFUNCTION("""COMPUTED_VALUE"""),"BQ Residence")</f>
        <v>BQ Residence</v>
      </c>
      <c r="C273" s="2" t="str">
        <f ca="1">IFERROR(__xludf.DUMMYFUNCTION("""COMPUTED_VALUE"""),"Building")</f>
        <v>Building</v>
      </c>
      <c r="D273" s="2" t="str">
        <f ca="1">IFERROR(__xludf.DUMMYFUNCTION("""COMPUTED_VALUE"""),"Dubai&gt;Al Satwa&gt;Jumeirah Garden City&gt;BQ Residence")</f>
        <v>Dubai&gt;Al Satwa&gt;Jumeirah Garden City&gt;BQ Residence</v>
      </c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6.5" x14ac:dyDescent="0.35">
      <c r="A274" s="2" t="str">
        <f ca="1">IFERROR(__xludf.DUMMYFUNCTION("""COMPUTED_VALUE"""),"Dubai")</f>
        <v>Dubai</v>
      </c>
      <c r="B274" s="2" t="str">
        <f ca="1">IFERROR(__xludf.DUMMYFUNCTION("""COMPUTED_VALUE"""),"Jad 288")</f>
        <v>Jad 288</v>
      </c>
      <c r="C274" s="2" t="str">
        <f ca="1">IFERROR(__xludf.DUMMYFUNCTION("""COMPUTED_VALUE"""),"Cluster")</f>
        <v>Cluster</v>
      </c>
      <c r="D274" s="2" t="str">
        <f ca="1">IFERROR(__xludf.DUMMYFUNCTION("""COMPUTED_VALUE"""),"Dubai&gt;Al Satwa&gt;Jumeirah Garden City&gt;Jad 288")</f>
        <v>Dubai&gt;Al Satwa&gt;Jumeirah Garden City&gt;Jad 288</v>
      </c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6.5" x14ac:dyDescent="0.35">
      <c r="A275" s="2" t="str">
        <f ca="1">IFERROR(__xludf.DUMMYFUNCTION("""COMPUTED_VALUE"""),"Dubai")</f>
        <v>Dubai</v>
      </c>
      <c r="B275" s="2" t="str">
        <f ca="1">IFERROR(__xludf.DUMMYFUNCTION("""COMPUTED_VALUE"""),"Al Mizhar 3")</f>
        <v>Al Mizhar 3</v>
      </c>
      <c r="C275" s="2" t="str">
        <f ca="1">IFERROR(__xludf.DUMMYFUNCTION("""COMPUTED_VALUE"""),"Neighbourhood")</f>
        <v>Neighbourhood</v>
      </c>
      <c r="D275" s="2" t="str">
        <f ca="1">IFERROR(__xludf.DUMMYFUNCTION("""COMPUTED_VALUE"""),"Dubai&gt;Al Mizhar&gt;Al Mizhar 3")</f>
        <v>Dubai&gt;Al Mizhar&gt;Al Mizhar 3</v>
      </c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6.5" x14ac:dyDescent="0.35">
      <c r="A276" s="2" t="str">
        <f ca="1">IFERROR(__xludf.DUMMYFUNCTION("""COMPUTED_VALUE"""),"Dubai")</f>
        <v>Dubai</v>
      </c>
      <c r="B276" s="2" t="str">
        <f ca="1">IFERROR(__xludf.DUMMYFUNCTION("""COMPUTED_VALUE"""),"Building 118")</f>
        <v>Building 118</v>
      </c>
      <c r="C276" s="2" t="str">
        <f ca="1">IFERROR(__xludf.DUMMYFUNCTION("""COMPUTED_VALUE"""),"Building")</f>
        <v>Building</v>
      </c>
      <c r="D276" s="2" t="str">
        <f ca="1">IFERROR(__xludf.DUMMYFUNCTION("""COMPUTED_VALUE"""),"Dubai&gt;Discovery Gardens&gt;Contemporary&gt;Building 118")</f>
        <v>Dubai&gt;Discovery Gardens&gt;Contemporary&gt;Building 118</v>
      </c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6.5" x14ac:dyDescent="0.35">
      <c r="A277" s="2" t="str">
        <f ca="1">IFERROR(__xludf.DUMMYFUNCTION("""COMPUTED_VALUE"""),"Dubai")</f>
        <v>Dubai</v>
      </c>
      <c r="B277" s="2" t="str">
        <f ca="1">IFERROR(__xludf.DUMMYFUNCTION("""COMPUTED_VALUE"""),"Building 247")</f>
        <v>Building 247</v>
      </c>
      <c r="C277" s="2" t="str">
        <f ca="1">IFERROR(__xludf.DUMMYFUNCTION("""COMPUTED_VALUE"""),"Building")</f>
        <v>Building</v>
      </c>
      <c r="D277" s="2" t="str">
        <f ca="1">IFERROR(__xludf.DUMMYFUNCTION("""COMPUTED_VALUE"""),"Dubai&gt;Discovery Gardens&gt;Mesoamerican&gt;Building 247")</f>
        <v>Dubai&gt;Discovery Gardens&gt;Mesoamerican&gt;Building 247</v>
      </c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6.5" x14ac:dyDescent="0.35">
      <c r="A278" s="2" t="str">
        <f ca="1">IFERROR(__xludf.DUMMYFUNCTION("""COMPUTED_VALUE"""),"Dubai")</f>
        <v>Dubai</v>
      </c>
      <c r="B278" s="2" t="str">
        <f ca="1">IFERROR(__xludf.DUMMYFUNCTION("""COMPUTED_VALUE"""),"Building 209")</f>
        <v>Building 209</v>
      </c>
      <c r="C278" s="2" t="str">
        <f ca="1">IFERROR(__xludf.DUMMYFUNCTION("""COMPUTED_VALUE"""),"Building")</f>
        <v>Building</v>
      </c>
      <c r="D278" s="2" t="str">
        <f ca="1">IFERROR(__xludf.DUMMYFUNCTION("""COMPUTED_VALUE"""),"Dubai&gt;Discovery Gardens&gt;Mogul&gt;Building 209")</f>
        <v>Dubai&gt;Discovery Gardens&gt;Mogul&gt;Building 209</v>
      </c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6.5" x14ac:dyDescent="0.35">
      <c r="A279" s="2" t="str">
        <f ca="1">IFERROR(__xludf.DUMMYFUNCTION("""COMPUTED_VALUE"""),"Dubai")</f>
        <v>Dubai</v>
      </c>
      <c r="B279" s="2" t="str">
        <f ca="1">IFERROR(__xludf.DUMMYFUNCTION("""COMPUTED_VALUE"""),"Building 9")</f>
        <v>Building 9</v>
      </c>
      <c r="C279" s="2" t="str">
        <f ca="1">IFERROR(__xludf.DUMMYFUNCTION("""COMPUTED_VALUE"""),"Building")</f>
        <v>Building</v>
      </c>
      <c r="D279" s="2" t="str">
        <f ca="1">IFERROR(__xludf.DUMMYFUNCTION("""COMPUTED_VALUE"""),"Dubai&gt;Discovery Gardens&gt;Zen Cluster&gt;Building 9")</f>
        <v>Dubai&gt;Discovery Gardens&gt;Zen Cluster&gt;Building 9</v>
      </c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6.5" x14ac:dyDescent="0.35">
      <c r="A280" s="2" t="str">
        <f ca="1">IFERROR(__xludf.DUMMYFUNCTION("""COMPUTED_VALUE"""),"Dubai")</f>
        <v>Dubai</v>
      </c>
      <c r="B280" s="2" t="str">
        <f ca="1">IFERROR(__xludf.DUMMYFUNCTION("""COMPUTED_VALUE"""),"Building 73")</f>
        <v>Building 73</v>
      </c>
      <c r="C280" s="2" t="str">
        <f ca="1">IFERROR(__xludf.DUMMYFUNCTION("""COMPUTED_VALUE"""),"Building")</f>
        <v>Building</v>
      </c>
      <c r="D280" s="2" t="str">
        <f ca="1">IFERROR(__xludf.DUMMYFUNCTION("""COMPUTED_VALUE"""),"Dubai&gt;Discovery Gardens&gt;Mediterranean&gt;Building 73")</f>
        <v>Dubai&gt;Discovery Gardens&gt;Mediterranean&gt;Building 73</v>
      </c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6.5" x14ac:dyDescent="0.35">
      <c r="A281" s="2" t="str">
        <f ca="1">IFERROR(__xludf.DUMMYFUNCTION("""COMPUTED_VALUE"""),"Dubai")</f>
        <v>Dubai</v>
      </c>
      <c r="B281" s="2" t="str">
        <f ca="1">IFERROR(__xludf.DUMMYFUNCTION("""COMPUTED_VALUE"""),"Building 50")</f>
        <v>Building 50</v>
      </c>
      <c r="C281" s="2" t="str">
        <f ca="1">IFERROR(__xludf.DUMMYFUNCTION("""COMPUTED_VALUE"""),"Building")</f>
        <v>Building</v>
      </c>
      <c r="D281" s="2" t="str">
        <f ca="1">IFERROR(__xludf.DUMMYFUNCTION("""COMPUTED_VALUE"""),"Dubai&gt;Discovery Gardens&gt;Mediterranean&gt;Building 50")</f>
        <v>Dubai&gt;Discovery Gardens&gt;Mediterranean&gt;Building 50</v>
      </c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6.5" x14ac:dyDescent="0.35">
      <c r="A282" s="2" t="str">
        <f ca="1">IFERROR(__xludf.DUMMYFUNCTION("""COMPUTED_VALUE"""),"Dubai")</f>
        <v>Dubai</v>
      </c>
      <c r="B282" s="2" t="str">
        <f ca="1">IFERROR(__xludf.DUMMYFUNCTION("""COMPUTED_VALUE"""),"Building 101")</f>
        <v>Building 101</v>
      </c>
      <c r="C282" s="2" t="str">
        <f ca="1">IFERROR(__xludf.DUMMYFUNCTION("""COMPUTED_VALUE"""),"Building")</f>
        <v>Building</v>
      </c>
      <c r="D282" s="2" t="str">
        <f ca="1">IFERROR(__xludf.DUMMYFUNCTION("""COMPUTED_VALUE"""),"Dubai&gt;Discovery Gardens&gt;Mediterranean&gt;Building 101")</f>
        <v>Dubai&gt;Discovery Gardens&gt;Mediterranean&gt;Building 101</v>
      </c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6.5" x14ac:dyDescent="0.35">
      <c r="A283" s="2" t="str">
        <f ca="1">IFERROR(__xludf.DUMMYFUNCTION("""COMPUTED_VALUE"""),"Dubai")</f>
        <v>Dubai</v>
      </c>
      <c r="B283" s="2" t="str">
        <f ca="1">IFERROR(__xludf.DUMMYFUNCTION("""COMPUTED_VALUE"""),"Jash Hamad")</f>
        <v>Jash Hamad</v>
      </c>
      <c r="C283" s="2" t="str">
        <f ca="1">IFERROR(__xludf.DUMMYFUNCTION("""COMPUTED_VALUE"""),"Building")</f>
        <v>Building</v>
      </c>
      <c r="D283" s="2" t="str">
        <f ca="1">IFERROR(__xludf.DUMMYFUNCTION("""COMPUTED_VALUE"""),"Dubai&gt;Palm Jumeirah&gt;Shoreline Apartments&gt;Jash Hamad")</f>
        <v>Dubai&gt;Palm Jumeirah&gt;Shoreline Apartments&gt;Jash Hamad</v>
      </c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6.5" x14ac:dyDescent="0.35">
      <c r="A284" s="2" t="str">
        <f ca="1">IFERROR(__xludf.DUMMYFUNCTION("""COMPUTED_VALUE"""),"Dubai")</f>
        <v>Dubai</v>
      </c>
      <c r="B284" s="2" t="str">
        <f ca="1">IFERROR(__xludf.DUMMYFUNCTION("""COMPUTED_VALUE"""),"Amber")</f>
        <v>Amber</v>
      </c>
      <c r="C284" s="2" t="str">
        <f ca="1">IFERROR(__xludf.DUMMYFUNCTION("""COMPUTED_VALUE"""),"Building")</f>
        <v>Building</v>
      </c>
      <c r="D284" s="2" t="str">
        <f ca="1">IFERROR(__xludf.DUMMYFUNCTION("""COMPUTED_VALUE"""),"Dubai&gt;Palm Jumeirah&gt;Tiara Residences&gt;Amber")</f>
        <v>Dubai&gt;Palm Jumeirah&gt;Tiara Residences&gt;Amber</v>
      </c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6.5" x14ac:dyDescent="0.35">
      <c r="A285" s="2" t="str">
        <f ca="1">IFERROR(__xludf.DUMMYFUNCTION("""COMPUTED_VALUE"""),"Dubai")</f>
        <v>Dubai</v>
      </c>
      <c r="B285" s="2" t="str">
        <f ca="1">IFERROR(__xludf.DUMMYFUNCTION("""COMPUTED_VALUE"""),"Golden Mile 1")</f>
        <v>Golden Mile 1</v>
      </c>
      <c r="C285" s="2" t="str">
        <f ca="1">IFERROR(__xludf.DUMMYFUNCTION("""COMPUTED_VALUE"""),"Building")</f>
        <v>Building</v>
      </c>
      <c r="D285" s="2" t="str">
        <f ca="1">IFERROR(__xludf.DUMMYFUNCTION("""COMPUTED_VALUE"""),"Dubai&gt;Palm Jumeirah&gt;Golden Mile&gt;Golden Mile 1")</f>
        <v>Dubai&gt;Palm Jumeirah&gt;Golden Mile&gt;Golden Mile 1</v>
      </c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6.5" x14ac:dyDescent="0.35">
      <c r="A286" s="2" t="str">
        <f ca="1">IFERROR(__xludf.DUMMYFUNCTION("""COMPUTED_VALUE"""),"Dubai")</f>
        <v>Dubai</v>
      </c>
      <c r="B286" s="2" t="str">
        <f ca="1">IFERROR(__xludf.DUMMYFUNCTION("""COMPUTED_VALUE"""),"Rixos The Palm Dubai")</f>
        <v>Rixos The Palm Dubai</v>
      </c>
      <c r="C286" s="2" t="str">
        <f ca="1">IFERROR(__xludf.DUMMYFUNCTION("""COMPUTED_VALUE"""),"Building")</f>
        <v>Building</v>
      </c>
      <c r="D286" s="2" t="str">
        <f ca="1">IFERROR(__xludf.DUMMYFUNCTION("""COMPUTED_VALUE"""),"Dubai&gt;Palm Jumeirah&gt;The Crescent&gt;Rixos The Palm Dubai")</f>
        <v>Dubai&gt;Palm Jumeirah&gt;The Crescent&gt;Rixos The Palm Dubai</v>
      </c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6.5" x14ac:dyDescent="0.35">
      <c r="A287" s="2" t="str">
        <f ca="1">IFERROR(__xludf.DUMMYFUNCTION("""COMPUTED_VALUE"""),"Dubai")</f>
        <v>Dubai</v>
      </c>
      <c r="B287" s="2" t="str">
        <f ca="1">IFERROR(__xludf.DUMMYFUNCTION("""COMPUTED_VALUE"""),"Atlantis The Palm")</f>
        <v>Atlantis The Palm</v>
      </c>
      <c r="C287" s="2" t="str">
        <f ca="1">IFERROR(__xludf.DUMMYFUNCTION("""COMPUTED_VALUE"""),"Building")</f>
        <v>Building</v>
      </c>
      <c r="D287" s="2" t="str">
        <f ca="1">IFERROR(__xludf.DUMMYFUNCTION("""COMPUTED_VALUE"""),"Dubai&gt;Palm Jumeirah&gt;Atlantis The Palm")</f>
        <v>Dubai&gt;Palm Jumeirah&gt;Atlantis The Palm</v>
      </c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6.5" x14ac:dyDescent="0.35">
      <c r="A288" s="2" t="str">
        <f ca="1">IFERROR(__xludf.DUMMYFUNCTION("""COMPUTED_VALUE"""),"Dubai")</f>
        <v>Dubai</v>
      </c>
      <c r="B288" s="2" t="str">
        <f ca="1">IFERROR(__xludf.DUMMYFUNCTION("""COMPUTED_VALUE"""),"Ocean House")</f>
        <v>Ocean House</v>
      </c>
      <c r="C288" s="2" t="str">
        <f ca="1">IFERROR(__xludf.DUMMYFUNCTION("""COMPUTED_VALUE"""),"Building")</f>
        <v>Building</v>
      </c>
      <c r="D288" s="2" t="str">
        <f ca="1">IFERROR(__xludf.DUMMYFUNCTION("""COMPUTED_VALUE"""),"Dubai&gt;Palm Jumeirah&gt;Ocean House")</f>
        <v>Dubai&gt;Palm Jumeirah&gt;Ocean House</v>
      </c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6.5" x14ac:dyDescent="0.35">
      <c r="A289" s="2" t="str">
        <f ca="1">IFERROR(__xludf.DUMMYFUNCTION("""COMPUTED_VALUE"""),"Dubai")</f>
        <v>Dubai</v>
      </c>
      <c r="B289" s="2" t="str">
        <f ca="1">IFERROR(__xludf.DUMMYFUNCTION("""COMPUTED_VALUE"""),"Olaia Residences")</f>
        <v>Olaia Residences</v>
      </c>
      <c r="C289" s="2" t="str">
        <f ca="1">IFERROR(__xludf.DUMMYFUNCTION("""COMPUTED_VALUE"""),"Building")</f>
        <v>Building</v>
      </c>
      <c r="D289" s="2" t="str">
        <f ca="1">IFERROR(__xludf.DUMMYFUNCTION("""COMPUTED_VALUE"""),"Dubai&gt;Palm Jumeirah&gt;Olaia Residences")</f>
        <v>Dubai&gt;Palm Jumeirah&gt;Olaia Residences</v>
      </c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6.5" x14ac:dyDescent="0.35">
      <c r="A290" s="2" t="str">
        <f ca="1">IFERROR(__xludf.DUMMYFUNCTION("""COMPUTED_VALUE"""),"Dubai")</f>
        <v>Dubai</v>
      </c>
      <c r="B290" s="2" t="str">
        <f ca="1">IFERROR(__xludf.DUMMYFUNCTION("""COMPUTED_VALUE"""),"Creek Views II by Azizi (Azizi Fawad Residence)")</f>
        <v>Creek Views II by Azizi (Azizi Fawad Residence)</v>
      </c>
      <c r="C290" s="2" t="str">
        <f ca="1">IFERROR(__xludf.DUMMYFUNCTION("""COMPUTED_VALUE"""),"Building")</f>
        <v>Building</v>
      </c>
      <c r="D290" s="2" t="str">
        <f ca="1">IFERROR(__xludf.DUMMYFUNCTION("""COMPUTED_VALUE"""),"Dubai&gt;Al Jaddaf&gt;Dubai Healthcare City Phase 2&gt;Creek Views II by Azizi (Azizi Fawad Residence)")</f>
        <v>Dubai&gt;Al Jaddaf&gt;Dubai Healthcare City Phase 2&gt;Creek Views II by Azizi (Azizi Fawad Residence)</v>
      </c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6.5" x14ac:dyDescent="0.35">
      <c r="A291" s="2" t="str">
        <f ca="1">IFERROR(__xludf.DUMMYFUNCTION("""COMPUTED_VALUE"""),"Dubai")</f>
        <v>Dubai</v>
      </c>
      <c r="B291" s="2" t="str">
        <f ca="1">IFERROR(__xludf.DUMMYFUNCTION("""COMPUTED_VALUE"""),"Al Jaddaf Star Building")</f>
        <v>Al Jaddaf Star Building</v>
      </c>
      <c r="C291" s="2" t="str">
        <f ca="1">IFERROR(__xludf.DUMMYFUNCTION("""COMPUTED_VALUE"""),"Building")</f>
        <v>Building</v>
      </c>
      <c r="D291" s="2" t="str">
        <f ca="1">IFERROR(__xludf.DUMMYFUNCTION("""COMPUTED_VALUE"""),"Dubai&gt;Al Jaddaf&gt;Al Jaddaf Star Building")</f>
        <v>Dubai&gt;Al Jaddaf&gt;Al Jaddaf Star Building</v>
      </c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6.5" x14ac:dyDescent="0.35">
      <c r="A292" s="2" t="str">
        <f ca="1">IFERROR(__xludf.DUMMYFUNCTION("""COMPUTED_VALUE"""),"Dubai")</f>
        <v>Dubai</v>
      </c>
      <c r="B292" s="2" t="str">
        <f ca="1">IFERROR(__xludf.DUMMYFUNCTION("""COMPUTED_VALUE"""),"Ayesha Tower")</f>
        <v>Ayesha Tower</v>
      </c>
      <c r="C292" s="2" t="str">
        <f ca="1">IFERROR(__xludf.DUMMYFUNCTION("""COMPUTED_VALUE"""),"Building")</f>
        <v>Building</v>
      </c>
      <c r="D292" s="2" t="str">
        <f ca="1">IFERROR(__xludf.DUMMYFUNCTION("""COMPUTED_VALUE"""),"Dubai&gt;Al Jaddaf&gt;Ayesha Tower")</f>
        <v>Dubai&gt;Al Jaddaf&gt;Ayesha Tower</v>
      </c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6.5" x14ac:dyDescent="0.35">
      <c r="A293" s="2" t="str">
        <f ca="1">IFERROR(__xludf.DUMMYFUNCTION("""COMPUTED_VALUE"""),"Dubai")</f>
        <v>Dubai</v>
      </c>
      <c r="B293" s="2" t="str">
        <f ca="1">IFERROR(__xludf.DUMMYFUNCTION("""COMPUTED_VALUE"""),"Frond N")</f>
        <v>Frond N</v>
      </c>
      <c r="C293" s="2" t="str">
        <f ca="1">IFERROR(__xludf.DUMMYFUNCTION("""COMPUTED_VALUE"""),"Neighbourhood")</f>
        <v>Neighbourhood</v>
      </c>
      <c r="D293" s="2" t="str">
        <f ca="1">IFERROR(__xludf.DUMMYFUNCTION("""COMPUTED_VALUE"""),"Dubai&gt;Palm Jebel Ali&gt;Frond N")</f>
        <v>Dubai&gt;Palm Jebel Ali&gt;Frond N</v>
      </c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6.5" x14ac:dyDescent="0.35">
      <c r="A294" s="2" t="str">
        <f ca="1">IFERROR(__xludf.DUMMYFUNCTION("""COMPUTED_VALUE"""),"Dubai")</f>
        <v>Dubai</v>
      </c>
      <c r="B294" s="2" t="str">
        <f ca="1">IFERROR(__xludf.DUMMYFUNCTION("""COMPUTED_VALUE"""),"Villa Lantana")</f>
        <v>Villa Lantana</v>
      </c>
      <c r="C294" s="2" t="str">
        <f ca="1">IFERROR(__xludf.DUMMYFUNCTION("""COMPUTED_VALUE"""),"Neighbourhood")</f>
        <v>Neighbourhood</v>
      </c>
      <c r="D294" s="2" t="str">
        <f ca="1">IFERROR(__xludf.DUMMYFUNCTION("""COMPUTED_VALUE"""),"Dubai&gt;Dubai Science Park&gt;Villa Lantana")</f>
        <v>Dubai&gt;Dubai Science Park&gt;Villa Lantana</v>
      </c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6.5" x14ac:dyDescent="0.35">
      <c r="A295" s="2" t="str">
        <f ca="1">IFERROR(__xludf.DUMMYFUNCTION("""COMPUTED_VALUE"""),"Dubai")</f>
        <v>Dubai</v>
      </c>
      <c r="B295" s="2" t="str">
        <f ca="1">IFERROR(__xludf.DUMMYFUNCTION("""COMPUTED_VALUE"""),"The Springs")</f>
        <v>The Springs</v>
      </c>
      <c r="C295" s="2" t="str">
        <f ca="1">IFERROR(__xludf.DUMMYFUNCTION("""COMPUTED_VALUE"""),"Neighbourhood")</f>
        <v>Neighbourhood</v>
      </c>
      <c r="D295" s="2" t="str">
        <f ca="1">IFERROR(__xludf.DUMMYFUNCTION("""COMPUTED_VALUE"""),"Dubai&gt;The Springs")</f>
        <v>Dubai&gt;The Springs</v>
      </c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6.5" x14ac:dyDescent="0.35">
      <c r="A296" s="2" t="str">
        <f ca="1">IFERROR(__xludf.DUMMYFUNCTION("""COMPUTED_VALUE"""),"Dubai")</f>
        <v>Dubai</v>
      </c>
      <c r="B296" s="2" t="str">
        <f ca="1">IFERROR(__xludf.DUMMYFUNCTION("""COMPUTED_VALUE"""),"Hillside Residences 1 Building D")</f>
        <v>Hillside Residences 1 Building D</v>
      </c>
      <c r="C296" s="2" t="str">
        <f ca="1">IFERROR(__xludf.DUMMYFUNCTION("""COMPUTED_VALUE"""),"Building")</f>
        <v>Building</v>
      </c>
      <c r="D296" s="2" t="str">
        <f ca="1">IFERROR(__xludf.DUMMYFUNCTION("""COMPUTED_VALUE"""),"Dubai&gt;Wasl Gate&gt;Hillside Residences&gt;Hillside Residences 1&gt;Hillside Residences 1 Building D")</f>
        <v>Dubai&gt;Wasl Gate&gt;Hillside Residences&gt;Hillside Residences 1&gt;Hillside Residences 1 Building D</v>
      </c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6.5" x14ac:dyDescent="0.35">
      <c r="A297" s="2" t="str">
        <f ca="1">IFERROR(__xludf.DUMMYFUNCTION("""COMPUTED_VALUE"""),"Dubai")</f>
        <v>Dubai</v>
      </c>
      <c r="B297" s="2" t="str">
        <f ca="1">IFERROR(__xludf.DUMMYFUNCTION("""COMPUTED_VALUE"""),"Nad Al Sheba Gardens 1")</f>
        <v>Nad Al Sheba Gardens 1</v>
      </c>
      <c r="C297" s="2" t="str">
        <f ca="1">IFERROR(__xludf.DUMMYFUNCTION("""COMPUTED_VALUE"""),"Neighbourhood")</f>
        <v>Neighbourhood</v>
      </c>
      <c r="D297" s="2" t="str">
        <f ca="1">IFERROR(__xludf.DUMMYFUNCTION("""COMPUTED_VALUE"""),"Dubai&gt;Nad Al Sheba&gt;Nad Al Sheba 1&gt;Nad Al Sheba Gardens&gt;Nad Al Sheba Gardens 1")</f>
        <v>Dubai&gt;Nad Al Sheba&gt;Nad Al Sheba 1&gt;Nad Al Sheba Gardens&gt;Nad Al Sheba Gardens 1</v>
      </c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6.5" x14ac:dyDescent="0.35">
      <c r="A298" s="2" t="str">
        <f ca="1">IFERROR(__xludf.DUMMYFUNCTION("""COMPUTED_VALUE"""),"Dubai")</f>
        <v>Dubai</v>
      </c>
      <c r="B298" s="2" t="str">
        <f ca="1">IFERROR(__xludf.DUMMYFUNCTION("""COMPUTED_VALUE"""),"Repton School, Dubai")</f>
        <v>Repton School, Dubai</v>
      </c>
      <c r="C298" s="2" t="str">
        <f ca="1">IFERROR(__xludf.DUMMYFUNCTION("""COMPUTED_VALUE"""),"School")</f>
        <v>School</v>
      </c>
      <c r="D298" s="2" t="str">
        <f ca="1">IFERROR(__xludf.DUMMYFUNCTION("""COMPUTED_VALUE"""),"Dubai&gt;Nad Al Sheba&gt;Nad Al Sheba 3&gt;Repton School, Dubai")</f>
        <v>Dubai&gt;Nad Al Sheba&gt;Nad Al Sheba 3&gt;Repton School, Dubai</v>
      </c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6.5" x14ac:dyDescent="0.35">
      <c r="A299" s="2" t="str">
        <f ca="1">IFERROR(__xludf.DUMMYFUNCTION("""COMPUTED_VALUE"""),"Dubai")</f>
        <v>Dubai</v>
      </c>
      <c r="B299" s="2" t="str">
        <f ca="1">IFERROR(__xludf.DUMMYFUNCTION("""COMPUTED_VALUE"""),"DIC 11 (3M Wipro Building)")</f>
        <v>DIC 11 (3M Wipro Building)</v>
      </c>
      <c r="C299" s="2" t="str">
        <f ca="1">IFERROR(__xludf.DUMMYFUNCTION("""COMPUTED_VALUE"""),"Building")</f>
        <v>Building</v>
      </c>
      <c r="D299" s="2" t="str">
        <f ca="1">IFERROR(__xludf.DUMMYFUNCTION("""COMPUTED_VALUE"""),"Dubai&gt;Dubai Internet City&gt;DIC&gt;DIC 11 (3M Wipro Building)")</f>
        <v>Dubai&gt;Dubai Internet City&gt;DIC&gt;DIC 11 (3M Wipro Building)</v>
      </c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6.5" x14ac:dyDescent="0.35">
      <c r="A300" s="2" t="str">
        <f ca="1">IFERROR(__xludf.DUMMYFUNCTION("""COMPUTED_VALUE"""),"Dubai")</f>
        <v>Dubai</v>
      </c>
      <c r="B300" s="2" t="str">
        <f ca="1">IFERROR(__xludf.DUMMYFUNCTION("""COMPUTED_VALUE"""),"Caya 2")</f>
        <v>Caya 2</v>
      </c>
      <c r="C300" s="2" t="str">
        <f ca="1">IFERROR(__xludf.DUMMYFUNCTION("""COMPUTED_VALUE"""),"Neighbourhood")</f>
        <v>Neighbourhood</v>
      </c>
      <c r="D300" s="2" t="str">
        <f ca="1">IFERROR(__xludf.DUMMYFUNCTION("""COMPUTED_VALUE"""),"Dubai&gt;Arabian Ranches 3&gt;Caya&gt;Caya 2")</f>
        <v>Dubai&gt;Arabian Ranches 3&gt;Caya&gt;Caya 2</v>
      </c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6.5" x14ac:dyDescent="0.35">
      <c r="A301" s="2" t="str">
        <f ca="1">IFERROR(__xludf.DUMMYFUNCTION("""COMPUTED_VALUE"""),"Dubai")</f>
        <v>Dubai</v>
      </c>
      <c r="B301" s="2" t="str">
        <f ca="1">IFERROR(__xludf.DUMMYFUNCTION("""COMPUTED_VALUE"""),"Seascape Building 4")</f>
        <v>Seascape Building 4</v>
      </c>
      <c r="C301" s="2" t="str">
        <f ca="1">IFERROR(__xludf.DUMMYFUNCTION("""COMPUTED_VALUE"""),"Building")</f>
        <v>Building</v>
      </c>
      <c r="D301" s="2" t="str">
        <f ca="1">IFERROR(__xludf.DUMMYFUNCTION("""COMPUTED_VALUE"""),"Dubai&gt;Mina Rashid&gt;Seascape&gt;Seascape Building 4")</f>
        <v>Dubai&gt;Mina Rashid&gt;Seascape&gt;Seascape Building 4</v>
      </c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6.5" x14ac:dyDescent="0.35">
      <c r="A302" s="2" t="str">
        <f ca="1">IFERROR(__xludf.DUMMYFUNCTION("""COMPUTED_VALUE"""),"Dubai")</f>
        <v>Dubai</v>
      </c>
      <c r="B302" s="2" t="str">
        <f ca="1">IFERROR(__xludf.DUMMYFUNCTION("""COMPUTED_VALUE"""),"Aurea")</f>
        <v>Aurea</v>
      </c>
      <c r="C302" s="2" t="str">
        <f ca="1">IFERROR(__xludf.DUMMYFUNCTION("""COMPUTED_VALUE"""),"Building")</f>
        <v>Building</v>
      </c>
      <c r="D302" s="2" t="str">
        <f ca="1">IFERROR(__xludf.DUMMYFUNCTION("""COMPUTED_VALUE"""),"Dubai&gt;Mina Rashid&gt;Aurea")</f>
        <v>Dubai&gt;Mina Rashid&gt;Aurea</v>
      </c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6.5" x14ac:dyDescent="0.35">
      <c r="A303" s="2" t="str">
        <f ca="1">IFERROR(__xludf.DUMMYFUNCTION("""COMPUTED_VALUE"""),"Dubai")</f>
        <v>Dubai</v>
      </c>
      <c r="B303" s="2" t="str">
        <f ca="1">IFERROR(__xludf.DUMMYFUNCTION("""COMPUTED_VALUE"""),"Farm Gardens 2")</f>
        <v>Farm Gardens 2</v>
      </c>
      <c r="C303" s="2" t="str">
        <f ca="1">IFERROR(__xludf.DUMMYFUNCTION("""COMPUTED_VALUE"""),"Neighbourhood")</f>
        <v>Neighbourhood</v>
      </c>
      <c r="D303" s="2" t="str">
        <f ca="1">IFERROR(__xludf.DUMMYFUNCTION("""COMPUTED_VALUE"""),"Dubai&gt;The Valley by Emaar&gt;Farm Gardens 2")</f>
        <v>Dubai&gt;The Valley by Emaar&gt;Farm Gardens 2</v>
      </c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6.5" x14ac:dyDescent="0.35">
      <c r="A304" s="2" t="str">
        <f ca="1">IFERROR(__xludf.DUMMYFUNCTION("""COMPUTED_VALUE"""),"Dubai")</f>
        <v>Dubai</v>
      </c>
      <c r="B304" s="2" t="str">
        <f ca="1">IFERROR(__xludf.DUMMYFUNCTION("""COMPUTED_VALUE"""),"Al Reem 2")</f>
        <v>Al Reem 2</v>
      </c>
      <c r="C304" s="2" t="str">
        <f ca="1">IFERROR(__xludf.DUMMYFUNCTION("""COMPUTED_VALUE"""),"Neighbourhood")</f>
        <v>Neighbourhood</v>
      </c>
      <c r="D304" s="2" t="str">
        <f ca="1">IFERROR(__xludf.DUMMYFUNCTION("""COMPUTED_VALUE"""),"Dubai&gt;Arabian Ranches&gt;Al Reem&gt;Al Reem 2")</f>
        <v>Dubai&gt;Arabian Ranches&gt;Al Reem&gt;Al Reem 2</v>
      </c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6.5" x14ac:dyDescent="0.35">
      <c r="A305" s="2" t="str">
        <f ca="1">IFERROR(__xludf.DUMMYFUNCTION("""COMPUTED_VALUE"""),"Dubai")</f>
        <v>Dubai</v>
      </c>
      <c r="B305" s="2" t="str">
        <f ca="1">IFERROR(__xludf.DUMMYFUNCTION("""COMPUTED_VALUE"""),"The Gardens Apartments 4")</f>
        <v>The Gardens Apartments 4</v>
      </c>
      <c r="C305" s="2" t="str">
        <f ca="1">IFERROR(__xludf.DUMMYFUNCTION("""COMPUTED_VALUE"""),"Building")</f>
        <v>Building</v>
      </c>
      <c r="D305" s="2" t="str">
        <f ca="1">IFERROR(__xludf.DUMMYFUNCTION("""COMPUTED_VALUE"""),"Dubai&gt;The Gardens&gt;The Gardens Apartments&gt;The Gardens Apartments 4")</f>
        <v>Dubai&gt;The Gardens&gt;The Gardens Apartments&gt;The Gardens Apartments 4</v>
      </c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6.5" x14ac:dyDescent="0.35">
      <c r="A306" s="2" t="str">
        <f ca="1">IFERROR(__xludf.DUMMYFUNCTION("""COMPUTED_VALUE"""),"Dubai")</f>
        <v>Dubai</v>
      </c>
      <c r="B306" s="2" t="str">
        <f ca="1">IFERROR(__xludf.DUMMYFUNCTION("""COMPUTED_VALUE"""),"The Gardens Building 21")</f>
        <v>The Gardens Building 21</v>
      </c>
      <c r="C306" s="2" t="str">
        <f ca="1">IFERROR(__xludf.DUMMYFUNCTION("""COMPUTED_VALUE"""),"Building")</f>
        <v>Building</v>
      </c>
      <c r="D306" s="2" t="str">
        <f ca="1">IFERROR(__xludf.DUMMYFUNCTION("""COMPUTED_VALUE"""),"Dubai&gt;The Gardens&gt;The Gardens Building 21")</f>
        <v>Dubai&gt;The Gardens&gt;The Gardens Building 21</v>
      </c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6.5" x14ac:dyDescent="0.35">
      <c r="A307" s="2" t="str">
        <f ca="1">IFERROR(__xludf.DUMMYFUNCTION("""COMPUTED_VALUE"""),"Dubai")</f>
        <v>Dubai</v>
      </c>
      <c r="B307" s="2" t="str">
        <f ca="1">IFERROR(__xludf.DUMMYFUNCTION("""COMPUTED_VALUE"""),"The Gardens Building 81")</f>
        <v>The Gardens Building 81</v>
      </c>
      <c r="C307" s="2" t="str">
        <f ca="1">IFERROR(__xludf.DUMMYFUNCTION("""COMPUTED_VALUE"""),"Building")</f>
        <v>Building</v>
      </c>
      <c r="D307" s="2" t="str">
        <f ca="1">IFERROR(__xludf.DUMMYFUNCTION("""COMPUTED_VALUE"""),"Dubai&gt;The Gardens&gt;The Gardens Building 81")</f>
        <v>Dubai&gt;The Gardens&gt;The Gardens Building 81</v>
      </c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6.5" x14ac:dyDescent="0.35">
      <c r="A308" s="2" t="str">
        <f ca="1">IFERROR(__xludf.DUMMYFUNCTION("""COMPUTED_VALUE"""),"Dubai")</f>
        <v>Dubai</v>
      </c>
      <c r="B308" s="2" t="str">
        <f ca="1">IFERROR(__xludf.DUMMYFUNCTION("""COMPUTED_VALUE"""),"The Gardens Building 23")</f>
        <v>The Gardens Building 23</v>
      </c>
      <c r="C308" s="2" t="str">
        <f ca="1">IFERROR(__xludf.DUMMYFUNCTION("""COMPUTED_VALUE"""),"Building")</f>
        <v>Building</v>
      </c>
      <c r="D308" s="2" t="str">
        <f ca="1">IFERROR(__xludf.DUMMYFUNCTION("""COMPUTED_VALUE"""),"Dubai&gt;The Gardens&gt;The Gardens Building 23")</f>
        <v>Dubai&gt;The Gardens&gt;The Gardens Building 23</v>
      </c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6.5" x14ac:dyDescent="0.35">
      <c r="A309" s="2" t="str">
        <f ca="1">IFERROR(__xludf.DUMMYFUNCTION("""COMPUTED_VALUE"""),"Dubai")</f>
        <v>Dubai</v>
      </c>
      <c r="B309" s="2" t="str">
        <f ca="1">IFERROR(__xludf.DUMMYFUNCTION("""COMPUTED_VALUE"""),"The Gardens Building 64")</f>
        <v>The Gardens Building 64</v>
      </c>
      <c r="C309" s="2" t="str">
        <f ca="1">IFERROR(__xludf.DUMMYFUNCTION("""COMPUTED_VALUE"""),"Building")</f>
        <v>Building</v>
      </c>
      <c r="D309" s="2" t="str">
        <f ca="1">IFERROR(__xludf.DUMMYFUNCTION("""COMPUTED_VALUE"""),"Dubai&gt;The Gardens&gt;The Gardens Building 64")</f>
        <v>Dubai&gt;The Gardens&gt;The Gardens Building 64</v>
      </c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6.5" x14ac:dyDescent="0.35">
      <c r="A310" s="2" t="str">
        <f ca="1">IFERROR(__xludf.DUMMYFUNCTION("""COMPUTED_VALUE"""),"Dubai")</f>
        <v>Dubai</v>
      </c>
      <c r="B310" s="2" t="str">
        <f ca="1">IFERROR(__xludf.DUMMYFUNCTION("""COMPUTED_VALUE"""),"Al Khalafi Building Block B")</f>
        <v>Al Khalafi Building Block B</v>
      </c>
      <c r="C310" s="2" t="str">
        <f ca="1">IFERROR(__xludf.DUMMYFUNCTION("""COMPUTED_VALUE"""),"Building")</f>
        <v>Building</v>
      </c>
      <c r="D310" s="2" t="str">
        <f ca="1">IFERROR(__xludf.DUMMYFUNCTION("""COMPUTED_VALUE"""),"Dubai&gt;Al Mamzar&gt;Al Khalafi Buildings&gt;Al Khalafi Building Block B")</f>
        <v>Dubai&gt;Al Mamzar&gt;Al Khalafi Buildings&gt;Al Khalafi Building Block B</v>
      </c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6.5" x14ac:dyDescent="0.35">
      <c r="A311" s="2" t="str">
        <f ca="1">IFERROR(__xludf.DUMMYFUNCTION("""COMPUTED_VALUE"""),"Dubai")</f>
        <v>Dubai</v>
      </c>
      <c r="B311" s="2" t="str">
        <f ca="1">IFERROR(__xludf.DUMMYFUNCTION("""COMPUTED_VALUE"""),"Muhaisnah")</f>
        <v>Muhaisnah</v>
      </c>
      <c r="C311" s="2" t="str">
        <f ca="1">IFERROR(__xludf.DUMMYFUNCTION("""COMPUTED_VALUE"""),"Neighbourhood")</f>
        <v>Neighbourhood</v>
      </c>
      <c r="D311" s="2" t="str">
        <f ca="1">IFERROR(__xludf.DUMMYFUNCTION("""COMPUTED_VALUE"""),"Dubai&gt;Muhaisnah")</f>
        <v>Dubai&gt;Muhaisnah</v>
      </c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6.5" x14ac:dyDescent="0.35">
      <c r="A312" s="2" t="str">
        <f ca="1">IFERROR(__xludf.DUMMYFUNCTION("""COMPUTED_VALUE"""),"Dubai")</f>
        <v>Dubai</v>
      </c>
      <c r="B312" s="2" t="str">
        <f ca="1">IFERROR(__xludf.DUMMYFUNCTION("""COMPUTED_VALUE"""),"Droor 2 Residency")</f>
        <v>Droor 2 Residency</v>
      </c>
      <c r="C312" s="2" t="str">
        <f ca="1">IFERROR(__xludf.DUMMYFUNCTION("""COMPUTED_VALUE"""),"Building")</f>
        <v>Building</v>
      </c>
      <c r="D312" s="2" t="str">
        <f ca="1">IFERROR(__xludf.DUMMYFUNCTION("""COMPUTED_VALUE"""),"Dubai&gt;Muhaisnah&gt;Muhaisnah 4&gt;Droor 2 Residency")</f>
        <v>Dubai&gt;Muhaisnah&gt;Muhaisnah 4&gt;Droor 2 Residency</v>
      </c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6.5" x14ac:dyDescent="0.35">
      <c r="A313" s="2" t="str">
        <f ca="1">IFERROR(__xludf.DUMMYFUNCTION("""COMPUTED_VALUE"""),"Dubai")</f>
        <v>Dubai</v>
      </c>
      <c r="B313" s="2" t="str">
        <f ca="1">IFERROR(__xludf.DUMMYFUNCTION("""COMPUTED_VALUE"""),"Qamar 3")</f>
        <v>Qamar 3</v>
      </c>
      <c r="C313" s="2" t="str">
        <f ca="1">IFERROR(__xludf.DUMMYFUNCTION("""COMPUTED_VALUE"""),"Building")</f>
        <v>Building</v>
      </c>
      <c r="D313" s="2" t="str">
        <f ca="1">IFERROR(__xludf.DUMMYFUNCTION("""COMPUTED_VALUE"""),"Dubai&gt;Muhaisnah&gt;Muhaisnah 1&gt;Madinat Badr&gt;Qamar 3")</f>
        <v>Dubai&gt;Muhaisnah&gt;Muhaisnah 1&gt;Madinat Badr&gt;Qamar 3</v>
      </c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6.5" x14ac:dyDescent="0.35">
      <c r="A314" s="2" t="str">
        <f ca="1">IFERROR(__xludf.DUMMYFUNCTION("""COMPUTED_VALUE"""),"Dubai")</f>
        <v>Dubai</v>
      </c>
      <c r="B314" s="2" t="str">
        <f ca="1">IFERROR(__xludf.DUMMYFUNCTION("""COMPUTED_VALUE"""),"Infinity Building")</f>
        <v>Infinity Building</v>
      </c>
      <c r="C314" s="2" t="str">
        <f ca="1">IFERROR(__xludf.DUMMYFUNCTION("""COMPUTED_VALUE"""),"Building")</f>
        <v>Building</v>
      </c>
      <c r="D314" s="2" t="str">
        <f ca="1">IFERROR(__xludf.DUMMYFUNCTION("""COMPUTED_VALUE"""),"Dubai&gt;Sheikh Zayed Road&gt;Infinity Building")</f>
        <v>Dubai&gt;Sheikh Zayed Road&gt;Infinity Building</v>
      </c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6.5" x14ac:dyDescent="0.35">
      <c r="A315" s="2" t="str">
        <f ca="1">IFERROR(__xludf.DUMMYFUNCTION("""COMPUTED_VALUE"""),"Dubai")</f>
        <v>Dubai</v>
      </c>
      <c r="B315" s="2" t="str">
        <f ca="1">IFERROR(__xludf.DUMMYFUNCTION("""COMPUTED_VALUE"""),"Al Kawakeb D")</f>
        <v>Al Kawakeb D</v>
      </c>
      <c r="C315" s="2" t="str">
        <f ca="1">IFERROR(__xludf.DUMMYFUNCTION("""COMPUTED_VALUE"""),"Building")</f>
        <v>Building</v>
      </c>
      <c r="D315" s="2" t="str">
        <f ca="1">IFERROR(__xludf.DUMMYFUNCTION("""COMPUTED_VALUE"""),"Dubai&gt;Sheikh Zayed Road&gt;Al Kawakeb&gt;Al Kawakeb D")</f>
        <v>Dubai&gt;Sheikh Zayed Road&gt;Al Kawakeb&gt;Al Kawakeb D</v>
      </c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6.5" x14ac:dyDescent="0.35">
      <c r="A316" s="2" t="str">
        <f ca="1">IFERROR(__xludf.DUMMYFUNCTION("""COMPUTED_VALUE"""),"Dubai")</f>
        <v>Dubai</v>
      </c>
      <c r="B316" s="2" t="str">
        <f ca="1">IFERROR(__xludf.DUMMYFUNCTION("""COMPUTED_VALUE"""),"AHS Tower")</f>
        <v>AHS Tower</v>
      </c>
      <c r="C316" s="2" t="str">
        <f ca="1">IFERROR(__xludf.DUMMYFUNCTION("""COMPUTED_VALUE"""),"Building")</f>
        <v>Building</v>
      </c>
      <c r="D316" s="2" t="str">
        <f ca="1">IFERROR(__xludf.DUMMYFUNCTION("""COMPUTED_VALUE"""),"Dubai&gt;Sheikh Zayed Road&gt;AHS Tower")</f>
        <v>Dubai&gt;Sheikh Zayed Road&gt;AHS Tower</v>
      </c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6.5" x14ac:dyDescent="0.35">
      <c r="A317" s="2" t="str">
        <f ca="1">IFERROR(__xludf.DUMMYFUNCTION("""COMPUTED_VALUE"""),"Dubai")</f>
        <v>Dubai</v>
      </c>
      <c r="B317" s="2" t="str">
        <f ca="1">IFERROR(__xludf.DUMMYFUNCTION("""COMPUTED_VALUE"""),"Vakson Building")</f>
        <v>Vakson Building</v>
      </c>
      <c r="C317" s="2" t="str">
        <f ca="1">IFERROR(__xludf.DUMMYFUNCTION("""COMPUTED_VALUE"""),"Building")</f>
        <v>Building</v>
      </c>
      <c r="D317" s="2" t="str">
        <f ca="1">IFERROR(__xludf.DUMMYFUNCTION("""COMPUTED_VALUE"""),"Dubai&gt;Sheikh Zayed Road&gt;Vakson Building")</f>
        <v>Dubai&gt;Sheikh Zayed Road&gt;Vakson Building</v>
      </c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6.5" x14ac:dyDescent="0.35">
      <c r="A318" s="2" t="str">
        <f ca="1">IFERROR(__xludf.DUMMYFUNCTION("""COMPUTED_VALUE"""),"Dubai")</f>
        <v>Dubai</v>
      </c>
      <c r="B318" s="2" t="str">
        <f ca="1">IFERROR(__xludf.DUMMYFUNCTION("""COMPUTED_VALUE"""),"Al Waleed 2 Building")</f>
        <v>Al Waleed 2 Building</v>
      </c>
      <c r="C318" s="2" t="str">
        <f ca="1">IFERROR(__xludf.DUMMYFUNCTION("""COMPUTED_VALUE"""),"Building")</f>
        <v>Building</v>
      </c>
      <c r="D318" s="2" t="str">
        <f ca="1">IFERROR(__xludf.DUMMYFUNCTION("""COMPUTED_VALUE"""),"Dubai&gt;Al Karama&gt;Al Waleed 2 Building")</f>
        <v>Dubai&gt;Al Karama&gt;Al Waleed 2 Building</v>
      </c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6.5" x14ac:dyDescent="0.35">
      <c r="A319" s="2" t="str">
        <f ca="1">IFERROR(__xludf.DUMMYFUNCTION("""COMPUTED_VALUE"""),"Dubai")</f>
        <v>Dubai</v>
      </c>
      <c r="B319" s="2" t="str">
        <f ca="1">IFERROR(__xludf.DUMMYFUNCTION("""COMPUTED_VALUE"""),"Building 24")</f>
        <v>Building 24</v>
      </c>
      <c r="C319" s="2" t="str">
        <f ca="1">IFERROR(__xludf.DUMMYFUNCTION("""COMPUTED_VALUE"""),"Building")</f>
        <v>Building</v>
      </c>
      <c r="D319" s="2" t="str">
        <f ca="1">IFERROR(__xludf.DUMMYFUNCTION("""COMPUTED_VALUE"""),"Dubai&gt;Al Karama&gt;Karam Pioneer Buildings&gt;Building 24")</f>
        <v>Dubai&gt;Al Karama&gt;Karam Pioneer Buildings&gt;Building 24</v>
      </c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6.5" x14ac:dyDescent="0.35">
      <c r="A320" s="2" t="str">
        <f ca="1">IFERROR(__xludf.DUMMYFUNCTION("""COMPUTED_VALUE"""),"Dubai")</f>
        <v>Dubai</v>
      </c>
      <c r="B320" s="2" t="str">
        <f ca="1">IFERROR(__xludf.DUMMYFUNCTION("""COMPUTED_VALUE"""),"Al Manzel")</f>
        <v>Al Manzel</v>
      </c>
      <c r="C320" s="2" t="str">
        <f ca="1">IFERROR(__xludf.DUMMYFUNCTION("""COMPUTED_VALUE"""),"Building")</f>
        <v>Building</v>
      </c>
      <c r="D320" s="2" t="str">
        <f ca="1">IFERROR(__xludf.DUMMYFUNCTION("""COMPUTED_VALUE"""),"Dubai&gt;Al Karama&gt;Al Manzel")</f>
        <v>Dubai&gt;Al Karama&gt;Al Manzel</v>
      </c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6.5" x14ac:dyDescent="0.35">
      <c r="A321" s="2" t="str">
        <f ca="1">IFERROR(__xludf.DUMMYFUNCTION("""COMPUTED_VALUE"""),"Dubai")</f>
        <v>Dubai</v>
      </c>
      <c r="B321" s="2" t="str">
        <f ca="1">IFERROR(__xludf.DUMMYFUNCTION("""COMPUTED_VALUE"""),"Kanoo Group Building")</f>
        <v>Kanoo Group Building</v>
      </c>
      <c r="C321" s="2" t="str">
        <f ca="1">IFERROR(__xludf.DUMMYFUNCTION("""COMPUTED_VALUE"""),"Building")</f>
        <v>Building</v>
      </c>
      <c r="D321" s="2" t="str">
        <f ca="1">IFERROR(__xludf.DUMMYFUNCTION("""COMPUTED_VALUE"""),"Dubai&gt;Al Karama&gt;Kanoo Group Building")</f>
        <v>Dubai&gt;Al Karama&gt;Kanoo Group Building</v>
      </c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6.5" x14ac:dyDescent="0.35">
      <c r="A322" s="2" t="str">
        <f ca="1">IFERROR(__xludf.DUMMYFUNCTION("""COMPUTED_VALUE"""),"Dubai")</f>
        <v>Dubai</v>
      </c>
      <c r="B322" s="2" t="str">
        <f ca="1">IFERROR(__xludf.DUMMYFUNCTION("""COMPUTED_VALUE"""),"Sultana Building")</f>
        <v>Sultana Building</v>
      </c>
      <c r="C322" s="2" t="str">
        <f ca="1">IFERROR(__xludf.DUMMYFUNCTION("""COMPUTED_VALUE"""),"Building")</f>
        <v>Building</v>
      </c>
      <c r="D322" s="2" t="str">
        <f ca="1">IFERROR(__xludf.DUMMYFUNCTION("""COMPUTED_VALUE"""),"Dubai&gt;Al Karama&gt;Sultana Building")</f>
        <v>Dubai&gt;Al Karama&gt;Sultana Building</v>
      </c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6.5" x14ac:dyDescent="0.35">
      <c r="A323" s="2" t="str">
        <f ca="1">IFERROR(__xludf.DUMMYFUNCTION("""COMPUTED_VALUE"""),"Dubai")</f>
        <v>Dubai</v>
      </c>
      <c r="B323" s="2" t="str">
        <f ca="1">IFERROR(__xludf.DUMMYFUNCTION("""COMPUTED_VALUE"""),"Pyramid B")</f>
        <v>Pyramid B</v>
      </c>
      <c r="C323" s="2" t="str">
        <f ca="1">IFERROR(__xludf.DUMMYFUNCTION("""COMPUTED_VALUE"""),"Building")</f>
        <v>Building</v>
      </c>
      <c r="D323" s="2" t="str">
        <f ca="1">IFERROR(__xludf.DUMMYFUNCTION("""COMPUTED_VALUE"""),"Dubai&gt;Al Karama&gt;Pyramid B")</f>
        <v>Dubai&gt;Al Karama&gt;Pyramid B</v>
      </c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6.5" x14ac:dyDescent="0.35">
      <c r="A324" s="2" t="str">
        <f ca="1">IFERROR(__xludf.DUMMYFUNCTION("""COMPUTED_VALUE"""),"Dubai")</f>
        <v>Dubai</v>
      </c>
      <c r="B324" s="2" t="str">
        <f ca="1">IFERROR(__xludf.DUMMYFUNCTION("""COMPUTED_VALUE"""),"Ali Salam B1 Building")</f>
        <v>Ali Salam B1 Building</v>
      </c>
      <c r="C324" s="2" t="str">
        <f ca="1">IFERROR(__xludf.DUMMYFUNCTION("""COMPUTED_VALUE"""),"Building")</f>
        <v>Building</v>
      </c>
      <c r="D324" s="2" t="str">
        <f ca="1">IFERROR(__xludf.DUMMYFUNCTION("""COMPUTED_VALUE"""),"Dubai&gt;Al Karama&gt;Ali Salam B1 Building")</f>
        <v>Dubai&gt;Al Karama&gt;Ali Salam B1 Building</v>
      </c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6.5" x14ac:dyDescent="0.35">
      <c r="A325" s="2" t="str">
        <f ca="1">IFERROR(__xludf.DUMMYFUNCTION("""COMPUTED_VALUE"""),"Dubai")</f>
        <v>Dubai</v>
      </c>
      <c r="B325" s="2" t="str">
        <f ca="1">IFERROR(__xludf.DUMMYFUNCTION("""COMPUTED_VALUE"""),"Bin Humaidan Building")</f>
        <v>Bin Humaidan Building</v>
      </c>
      <c r="C325" s="2" t="str">
        <f ca="1">IFERROR(__xludf.DUMMYFUNCTION("""COMPUTED_VALUE"""),"Building")</f>
        <v>Building</v>
      </c>
      <c r="D325" s="2" t="str">
        <f ca="1">IFERROR(__xludf.DUMMYFUNCTION("""COMPUTED_VALUE"""),"Dubai&gt;Al Karama&gt;Bin Humaidan Building")</f>
        <v>Dubai&gt;Al Karama&gt;Bin Humaidan Building</v>
      </c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6.5" x14ac:dyDescent="0.35">
      <c r="A326" s="2" t="str">
        <f ca="1">IFERROR(__xludf.DUMMYFUNCTION("""COMPUTED_VALUE"""),"Dubai")</f>
        <v>Dubai</v>
      </c>
      <c r="B326" s="2" t="str">
        <f ca="1">IFERROR(__xludf.DUMMYFUNCTION("""COMPUTED_VALUE"""),"A-4")</f>
        <v>A-4</v>
      </c>
      <c r="C326" s="2" t="str">
        <f ca="1">IFERROR(__xludf.DUMMYFUNCTION("""COMPUTED_VALUE"""),"Building")</f>
        <v>Building</v>
      </c>
      <c r="D326" s="2" t="str">
        <f ca="1">IFERROR(__xludf.DUMMYFUNCTION("""COMPUTED_VALUE"""),"Dubai&gt;Al Karama&gt;A-4")</f>
        <v>Dubai&gt;Al Karama&gt;A-4</v>
      </c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6.5" x14ac:dyDescent="0.35">
      <c r="A327" s="2" t="str">
        <f ca="1">IFERROR(__xludf.DUMMYFUNCTION("""COMPUTED_VALUE"""),"Dubai")</f>
        <v>Dubai</v>
      </c>
      <c r="B327" s="2" t="str">
        <f ca="1">IFERROR(__xludf.DUMMYFUNCTION("""COMPUTED_VALUE"""),"Al Karama Market")</f>
        <v>Al Karama Market</v>
      </c>
      <c r="C327" s="2" t="str">
        <f ca="1">IFERROR(__xludf.DUMMYFUNCTION("""COMPUTED_VALUE"""),"Building")</f>
        <v>Building</v>
      </c>
      <c r="D327" s="2" t="str">
        <f ca="1">IFERROR(__xludf.DUMMYFUNCTION("""COMPUTED_VALUE"""),"Dubai&gt;Al Karama&gt;Al Karama Market")</f>
        <v>Dubai&gt;Al Karama&gt;Al Karama Market</v>
      </c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6.5" x14ac:dyDescent="0.35">
      <c r="A328" s="2" t="str">
        <f ca="1">IFERROR(__xludf.DUMMYFUNCTION("""COMPUTED_VALUE"""),"Dubai")</f>
        <v>Dubai</v>
      </c>
      <c r="B328" s="2" t="str">
        <f ca="1">IFERROR(__xludf.DUMMYFUNCTION("""COMPUTED_VALUE"""),"Wasl R367 Block C")</f>
        <v>Wasl R367 Block C</v>
      </c>
      <c r="C328" s="2" t="str">
        <f ca="1">IFERROR(__xludf.DUMMYFUNCTION("""COMPUTED_VALUE"""),"Building")</f>
        <v>Building</v>
      </c>
      <c r="D328" s="2" t="str">
        <f ca="1">IFERROR(__xludf.DUMMYFUNCTION("""COMPUTED_VALUE"""),"Dubai&gt;Al Karama&gt;Wasl R367 Block C")</f>
        <v>Dubai&gt;Al Karama&gt;Wasl R367 Block C</v>
      </c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6.5" x14ac:dyDescent="0.35">
      <c r="A329" s="2" t="str">
        <f ca="1">IFERROR(__xludf.DUMMYFUNCTION("""COMPUTED_VALUE"""),"Dubai")</f>
        <v>Dubai</v>
      </c>
      <c r="B329" s="2" t="str">
        <f ca="1">IFERROR(__xludf.DUMMYFUNCTION("""COMPUTED_VALUE"""),"KW252 Building")</f>
        <v>KW252 Building</v>
      </c>
      <c r="C329" s="2" t="str">
        <f ca="1">IFERROR(__xludf.DUMMYFUNCTION("""COMPUTED_VALUE"""),"Building")</f>
        <v>Building</v>
      </c>
      <c r="D329" s="2" t="str">
        <f ca="1">IFERROR(__xludf.DUMMYFUNCTION("""COMPUTED_VALUE"""),"Dubai&gt;Al Karama&gt;KW252 Building")</f>
        <v>Dubai&gt;Al Karama&gt;KW252 Building</v>
      </c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6.5" x14ac:dyDescent="0.35">
      <c r="A330" s="2" t="str">
        <f ca="1">IFERROR(__xludf.DUMMYFUNCTION("""COMPUTED_VALUE"""),"Dubai")</f>
        <v>Dubai</v>
      </c>
      <c r="B330" s="2" t="str">
        <f ca="1">IFERROR(__xludf.DUMMYFUNCTION("""COMPUTED_VALUE"""),"La Boutique by LMD")</f>
        <v>La Boutique by LMD</v>
      </c>
      <c r="C330" s="2" t="str">
        <f ca="1">IFERROR(__xludf.DUMMYFUNCTION("""COMPUTED_VALUE"""),"Building")</f>
        <v>Building</v>
      </c>
      <c r="D330" s="2" t="str">
        <f ca="1">IFERROR(__xludf.DUMMYFUNCTION("""COMPUTED_VALUE"""),"Dubai&gt;Culture Village (Jaddaf Waterfront)&gt;La Boutique by LMD")</f>
        <v>Dubai&gt;Culture Village (Jaddaf Waterfront)&gt;La Boutique by LMD</v>
      </c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6.5" x14ac:dyDescent="0.35">
      <c r="A331" s="2" t="str">
        <f ca="1">IFERROR(__xludf.DUMMYFUNCTION("""COMPUTED_VALUE"""),"Dubai")</f>
        <v>Dubai</v>
      </c>
      <c r="B331" s="2" t="str">
        <f ca="1">IFERROR(__xludf.DUMMYFUNCTION("""COMPUTED_VALUE"""),"Lamtara")</f>
        <v>Lamtara</v>
      </c>
      <c r="C331" s="2" t="str">
        <f ca="1">IFERROR(__xludf.DUMMYFUNCTION("""COMPUTED_VALUE"""),"Cluster")</f>
        <v>Cluster</v>
      </c>
      <c r="D331" s="2" t="str">
        <f ca="1">IFERROR(__xludf.DUMMYFUNCTION("""COMPUTED_VALUE"""),"Dubai&gt;Umm Suqeim&gt;Madinat Jumeirah Living&gt;Lamtara")</f>
        <v>Dubai&gt;Umm Suqeim&gt;Madinat Jumeirah Living&gt;Lamtara</v>
      </c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6.5" x14ac:dyDescent="0.35">
      <c r="A332" s="2" t="str">
        <f ca="1">IFERROR(__xludf.DUMMYFUNCTION("""COMPUTED_VALUE"""),"Dubai")</f>
        <v>Dubai</v>
      </c>
      <c r="B332" s="2" t="str">
        <f ca="1">IFERROR(__xludf.DUMMYFUNCTION("""COMPUTED_VALUE"""),"Jomana 7")</f>
        <v>Jomana 7</v>
      </c>
      <c r="C332" s="2" t="str">
        <f ca="1">IFERROR(__xludf.DUMMYFUNCTION("""COMPUTED_VALUE"""),"Building")</f>
        <v>Building</v>
      </c>
      <c r="D332" s="2" t="str">
        <f ca="1">IFERROR(__xludf.DUMMYFUNCTION("""COMPUTED_VALUE"""),"Dubai&gt;Umm Suqeim&gt;Madinat Jumeirah Living&gt;Jomana&gt;Jomana 7")</f>
        <v>Dubai&gt;Umm Suqeim&gt;Madinat Jumeirah Living&gt;Jomana&gt;Jomana 7</v>
      </c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6.5" x14ac:dyDescent="0.35">
      <c r="A333" s="2" t="str">
        <f ca="1">IFERROR(__xludf.DUMMYFUNCTION("""COMPUTED_VALUE"""),"Dubai")</f>
        <v>Dubai</v>
      </c>
      <c r="B333" s="2" t="str">
        <f ca="1">IFERROR(__xludf.DUMMYFUNCTION("""COMPUTED_VALUE"""),"Roda Boutique Villas")</f>
        <v>Roda Boutique Villas</v>
      </c>
      <c r="C333" s="2" t="str">
        <f ca="1">IFERROR(__xludf.DUMMYFUNCTION("""COMPUTED_VALUE"""),"Neighbourhood")</f>
        <v>Neighbourhood</v>
      </c>
      <c r="D333" s="2" t="str">
        <f ca="1">IFERROR(__xludf.DUMMYFUNCTION("""COMPUTED_VALUE"""),"Dubai&gt;Umm Suqeim&gt;Umm Suqeim 1&gt;Roda Boutique Villas")</f>
        <v>Dubai&gt;Umm Suqeim&gt;Umm Suqeim 1&gt;Roda Boutique Villas</v>
      </c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6.5" x14ac:dyDescent="0.35">
      <c r="A334" s="2" t="str">
        <f ca="1">IFERROR(__xludf.DUMMYFUNCTION("""COMPUTED_VALUE"""),"Dubai")</f>
        <v>Dubai</v>
      </c>
      <c r="B334" s="2" t="str">
        <f ca="1">IFERROR(__xludf.DUMMYFUNCTION("""COMPUTED_VALUE"""),"Azizi Milan Heights Tower G")</f>
        <v>Azizi Milan Heights Tower G</v>
      </c>
      <c r="C334" s="2" t="str">
        <f ca="1">IFERROR(__xludf.DUMMYFUNCTION("""COMPUTED_VALUE"""),"Building")</f>
        <v>Building</v>
      </c>
      <c r="D334" s="2" t="str">
        <f ca="1">IFERROR(__xludf.DUMMYFUNCTION("""COMPUTED_VALUE"""),"Dubai&gt;City of Arabia&gt;Azizi Milan&gt;Azizi Milan Heights&gt;Azizi Milan Heights Tower G")</f>
        <v>Dubai&gt;City of Arabia&gt;Azizi Milan&gt;Azizi Milan Heights&gt;Azizi Milan Heights Tower G</v>
      </c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6.5" x14ac:dyDescent="0.35">
      <c r="A335" s="2" t="str">
        <f ca="1">IFERROR(__xludf.DUMMYFUNCTION("""COMPUTED_VALUE"""),"Dubai")</f>
        <v>Dubai</v>
      </c>
      <c r="B335" s="2" t="str">
        <f ca="1">IFERROR(__xludf.DUMMYFUNCTION("""COMPUTED_VALUE"""),"Sheikh Juma Bin Ahamed Maktoum Building")</f>
        <v>Sheikh Juma Bin Ahamed Maktoum Building</v>
      </c>
      <c r="C335" s="2" t="str">
        <f ca="1">IFERROR(__xludf.DUMMYFUNCTION("""COMPUTED_VALUE"""),"Building")</f>
        <v>Building</v>
      </c>
      <c r="D335" s="2" t="str">
        <f ca="1">IFERROR(__xludf.DUMMYFUNCTION("""COMPUTED_VALUE"""),"Dubai&gt;Al Badaa&gt;Sheikh Juma Bin Ahamed Maktoum Building")</f>
        <v>Dubai&gt;Al Badaa&gt;Sheikh Juma Bin Ahamed Maktoum Building</v>
      </c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6.5" x14ac:dyDescent="0.35">
      <c r="A336" s="2" t="str">
        <f ca="1">IFERROR(__xludf.DUMMYFUNCTION("""COMPUTED_VALUE"""),"Dubai")</f>
        <v>Dubai</v>
      </c>
      <c r="B336" s="2" t="str">
        <f ca="1">IFERROR(__xludf.DUMMYFUNCTION("""COMPUTED_VALUE"""),"Al Sharaf 2 Building")</f>
        <v>Al Sharaf 2 Building</v>
      </c>
      <c r="C336" s="2" t="str">
        <f ca="1">IFERROR(__xludf.DUMMYFUNCTION("""COMPUTED_VALUE"""),"Building")</f>
        <v>Building</v>
      </c>
      <c r="D336" s="2" t="str">
        <f ca="1">IFERROR(__xludf.DUMMYFUNCTION("""COMPUTED_VALUE"""),"Dubai&gt;Al Badaa&gt;Al Sharaf 2 Building")</f>
        <v>Dubai&gt;Al Badaa&gt;Al Sharaf 2 Building</v>
      </c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6.5" x14ac:dyDescent="0.35">
      <c r="A337" s="2" t="str">
        <f ca="1">IFERROR(__xludf.DUMMYFUNCTION("""COMPUTED_VALUE"""),"Dubai")</f>
        <v>Dubai</v>
      </c>
      <c r="B337" s="2" t="str">
        <f ca="1">IFERROR(__xludf.DUMMYFUNCTION("""COMPUTED_VALUE"""),"Academic City")</f>
        <v>Academic City</v>
      </c>
      <c r="C337" s="2" t="str">
        <f ca="1">IFERROR(__xludf.DUMMYFUNCTION("""COMPUTED_VALUE"""),"Neighbourhood")</f>
        <v>Neighbourhood</v>
      </c>
      <c r="D337" s="2" t="str">
        <f ca="1">IFERROR(__xludf.DUMMYFUNCTION("""COMPUTED_VALUE"""),"Dubai&gt;Academic City")</f>
        <v>Dubai&gt;Academic City</v>
      </c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6.5" x14ac:dyDescent="0.35">
      <c r="A338" s="2" t="str">
        <f ca="1">IFERROR(__xludf.DUMMYFUNCTION("""COMPUTED_VALUE"""),"Dubai")</f>
        <v>Dubai</v>
      </c>
      <c r="B338" s="2" t="str">
        <f ca="1">IFERROR(__xludf.DUMMYFUNCTION("""COMPUTED_VALUE"""),"Al Fareej Courtyard Block B")</f>
        <v>Al Fareej Courtyard Block B</v>
      </c>
      <c r="C338" s="2" t="str">
        <f ca="1">IFERROR(__xludf.DUMMYFUNCTION("""COMPUTED_VALUE"""),"Building")</f>
        <v>Building</v>
      </c>
      <c r="D338" s="2" t="str">
        <f ca="1">IFERROR(__xludf.DUMMYFUNCTION("""COMPUTED_VALUE"""),"Dubai&gt;Al Rashidiya&gt;Al Fareej Courtyard&gt;Al Fareej Courtyard Block B")</f>
        <v>Dubai&gt;Al Rashidiya&gt;Al Fareej Courtyard&gt;Al Fareej Courtyard Block B</v>
      </c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6.5" x14ac:dyDescent="0.35">
      <c r="A339" s="2" t="str">
        <f ca="1">IFERROR(__xludf.DUMMYFUNCTION("""COMPUTED_VALUE"""),"Dubai")</f>
        <v>Dubai</v>
      </c>
      <c r="B339" s="2" t="str">
        <f ca="1">IFERROR(__xludf.DUMMYFUNCTION("""COMPUTED_VALUE"""),"Al Hudaiba")</f>
        <v>Al Hudaiba</v>
      </c>
      <c r="C339" s="2" t="str">
        <f ca="1">IFERROR(__xludf.DUMMYFUNCTION("""COMPUTED_VALUE"""),"Neighbourhood")</f>
        <v>Neighbourhood</v>
      </c>
      <c r="D339" s="2" t="str">
        <f ca="1">IFERROR(__xludf.DUMMYFUNCTION("""COMPUTED_VALUE"""),"Dubai&gt;Al Hudaiba")</f>
        <v>Dubai&gt;Al Hudaiba</v>
      </c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6.5" x14ac:dyDescent="0.35">
      <c r="A340" s="2" t="str">
        <f ca="1">IFERROR(__xludf.DUMMYFUNCTION("""COMPUTED_VALUE"""),"Dubai")</f>
        <v>Dubai</v>
      </c>
      <c r="B340" s="2" t="str">
        <f ca="1">IFERROR(__xludf.DUMMYFUNCTION("""COMPUTED_VALUE"""),"Bin Sabt Building 4")</f>
        <v>Bin Sabt Building 4</v>
      </c>
      <c r="C340" s="2" t="str">
        <f ca="1">IFERROR(__xludf.DUMMYFUNCTION("""COMPUTED_VALUE"""),"Building")</f>
        <v>Building</v>
      </c>
      <c r="D340" s="2" t="str">
        <f ca="1">IFERROR(__xludf.DUMMYFUNCTION("""COMPUTED_VALUE"""),"Dubai&gt;Al Hudaiba&gt;Bin Sabt Building 4")</f>
        <v>Dubai&gt;Al Hudaiba&gt;Bin Sabt Building 4</v>
      </c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6.5" x14ac:dyDescent="0.35">
      <c r="A341" s="2" t="str">
        <f ca="1">IFERROR(__xludf.DUMMYFUNCTION("""COMPUTED_VALUE"""),"Dubai")</f>
        <v>Dubai</v>
      </c>
      <c r="B341" s="2" t="str">
        <f ca="1">IFERROR(__xludf.DUMMYFUNCTION("""COMPUTED_VALUE"""),"API Jumeirah Villas")</f>
        <v>API Jumeirah Villas</v>
      </c>
      <c r="C341" s="2" t="str">
        <f ca="1">IFERROR(__xludf.DUMMYFUNCTION("""COMPUTED_VALUE"""),"Neighbourhood")</f>
        <v>Neighbourhood</v>
      </c>
      <c r="D341" s="2" t="str">
        <f ca="1">IFERROR(__xludf.DUMMYFUNCTION("""COMPUTED_VALUE"""),"Dubai&gt;Jumeirah&gt;Jumeirah 1&gt;API Jumeirah Villas")</f>
        <v>Dubai&gt;Jumeirah&gt;Jumeirah 1&gt;API Jumeirah Villas</v>
      </c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6.5" x14ac:dyDescent="0.35">
      <c r="A342" s="2" t="str">
        <f ca="1">IFERROR(__xludf.DUMMYFUNCTION("""COMPUTED_VALUE"""),"Dubai")</f>
        <v>Dubai</v>
      </c>
      <c r="B342" s="2" t="str">
        <f ca="1">IFERROR(__xludf.DUMMYFUNCTION("""COMPUTED_VALUE"""),"La Plage")</f>
        <v>La Plage</v>
      </c>
      <c r="C342" s="2" t="str">
        <f ca="1">IFERROR(__xludf.DUMMYFUNCTION("""COMPUTED_VALUE"""),"Building")</f>
        <v>Building</v>
      </c>
      <c r="D342" s="2" t="str">
        <f ca="1">IFERROR(__xludf.DUMMYFUNCTION("""COMPUTED_VALUE"""),"Dubai&gt;Jumeirah&gt;Jumeirah 2&gt;La Plage")</f>
        <v>Dubai&gt;Jumeirah&gt;Jumeirah 2&gt;La Plage</v>
      </c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6.5" x14ac:dyDescent="0.35">
      <c r="A343" s="2" t="str">
        <f ca="1">IFERROR(__xludf.DUMMYFUNCTION("""COMPUTED_VALUE"""),"Dubai")</f>
        <v>Dubai</v>
      </c>
      <c r="B343" s="2" t="str">
        <f ca="1">IFERROR(__xludf.DUMMYFUNCTION("""COMPUTED_VALUE"""),"La Cote Tower 2")</f>
        <v>La Cote Tower 2</v>
      </c>
      <c r="C343" s="2" t="str">
        <f ca="1">IFERROR(__xludf.DUMMYFUNCTION("""COMPUTED_VALUE"""),"Building")</f>
        <v>Building</v>
      </c>
      <c r="D343" s="2" t="str">
        <f ca="1">IFERROR(__xludf.DUMMYFUNCTION("""COMPUTED_VALUE"""),"Dubai&gt;Jumeirah&gt;La Mer&gt;Port de La Mer&gt;La Cote&gt;La Cote Tower 2")</f>
        <v>Dubai&gt;Jumeirah&gt;La Mer&gt;Port de La Mer&gt;La Cote&gt;La Cote Tower 2</v>
      </c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6.5" x14ac:dyDescent="0.35">
      <c r="A344" s="2" t="str">
        <f ca="1">IFERROR(__xludf.DUMMYFUNCTION("""COMPUTED_VALUE"""),"Dubai")</f>
        <v>Dubai</v>
      </c>
      <c r="B344" s="2" t="str">
        <f ca="1">IFERROR(__xludf.DUMMYFUNCTION("""COMPUTED_VALUE"""),"Dubai Creek Harbour")</f>
        <v>Dubai Creek Harbour</v>
      </c>
      <c r="C344" s="2" t="str">
        <f ca="1">IFERROR(__xludf.DUMMYFUNCTION("""COMPUTED_VALUE"""),"Neighbourhood")</f>
        <v>Neighbourhood</v>
      </c>
      <c r="D344" s="2" t="str">
        <f ca="1">IFERROR(__xludf.DUMMYFUNCTION("""COMPUTED_VALUE"""),"Dubai&gt;Dubai Creek Harbour")</f>
        <v>Dubai&gt;Dubai Creek Harbour</v>
      </c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6.5" x14ac:dyDescent="0.35">
      <c r="A345" s="2" t="str">
        <f ca="1">IFERROR(__xludf.DUMMYFUNCTION("""COMPUTED_VALUE"""),"Dubai")</f>
        <v>Dubai</v>
      </c>
      <c r="B345" s="2" t="str">
        <f ca="1">IFERROR(__xludf.DUMMYFUNCTION("""COMPUTED_VALUE"""),"Creek Gate Tower 2")</f>
        <v>Creek Gate Tower 2</v>
      </c>
      <c r="C345" s="2" t="str">
        <f ca="1">IFERROR(__xludf.DUMMYFUNCTION("""COMPUTED_VALUE"""),"Building")</f>
        <v>Building</v>
      </c>
      <c r="D345" s="2" t="str">
        <f ca="1">IFERROR(__xludf.DUMMYFUNCTION("""COMPUTED_VALUE"""),"Dubai&gt;Dubai Creek Harbour&gt;Creek Gate&gt;Creek Gate Tower 2")</f>
        <v>Dubai&gt;Dubai Creek Harbour&gt;Creek Gate&gt;Creek Gate Tower 2</v>
      </c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6.5" x14ac:dyDescent="0.35">
      <c r="A346" s="2" t="str">
        <f ca="1">IFERROR(__xludf.DUMMYFUNCTION("""COMPUTED_VALUE"""),"Dubai")</f>
        <v>Dubai</v>
      </c>
      <c r="B346" s="2" t="str">
        <f ca="1">IFERROR(__xludf.DUMMYFUNCTION("""COMPUTED_VALUE"""),"Grove Building 3")</f>
        <v>Grove Building 3</v>
      </c>
      <c r="C346" s="2" t="str">
        <f ca="1">IFERROR(__xludf.DUMMYFUNCTION("""COMPUTED_VALUE"""),"Building")</f>
        <v>Building</v>
      </c>
      <c r="D346" s="2" t="str">
        <f ca="1">IFERROR(__xludf.DUMMYFUNCTION("""COMPUTED_VALUE"""),"Dubai&gt;Dubai Creek Harbour&gt;Grove at Creek Beach&gt;Grove Building 3")</f>
        <v>Dubai&gt;Dubai Creek Harbour&gt;Grove at Creek Beach&gt;Grove Building 3</v>
      </c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6.5" x14ac:dyDescent="0.35">
      <c r="A347" s="2" t="str">
        <f ca="1">IFERROR(__xludf.DUMMYFUNCTION("""COMPUTED_VALUE"""),"Dubai")</f>
        <v>Dubai</v>
      </c>
      <c r="B347" s="2" t="str">
        <f ca="1">IFERROR(__xludf.DUMMYFUNCTION("""COMPUTED_VALUE"""),"Palace Residences North")</f>
        <v>Palace Residences North</v>
      </c>
      <c r="C347" s="2" t="str">
        <f ca="1">IFERROR(__xludf.DUMMYFUNCTION("""COMPUTED_VALUE"""),"Building")</f>
        <v>Building</v>
      </c>
      <c r="D347" s="2" t="str">
        <f ca="1">IFERROR(__xludf.DUMMYFUNCTION("""COMPUTED_VALUE"""),"Dubai&gt;Dubai Creek Harbour&gt;Palace Residences North")</f>
        <v>Dubai&gt;Dubai Creek Harbour&gt;Palace Residences North</v>
      </c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6.5" x14ac:dyDescent="0.35">
      <c r="A348" s="2" t="str">
        <f ca="1">IFERROR(__xludf.DUMMYFUNCTION("""COMPUTED_VALUE"""),"Dubai")</f>
        <v>Dubai</v>
      </c>
      <c r="B348" s="2" t="str">
        <f ca="1">IFERROR(__xludf.DUMMYFUNCTION("""COMPUTED_VALUE"""),"Moor at Creek Beach Building 2")</f>
        <v>Moor at Creek Beach Building 2</v>
      </c>
      <c r="C348" s="2" t="str">
        <f ca="1">IFERROR(__xludf.DUMMYFUNCTION("""COMPUTED_VALUE"""),"Building")</f>
        <v>Building</v>
      </c>
      <c r="D348" s="2" t="str">
        <f ca="1">IFERROR(__xludf.DUMMYFUNCTION("""COMPUTED_VALUE"""),"Dubai&gt;Dubai Creek Harbour&gt;Moor at Creek Beach&gt;Moor at Creek Beach Building 2")</f>
        <v>Dubai&gt;Dubai Creek Harbour&gt;Moor at Creek Beach&gt;Moor at Creek Beach Building 2</v>
      </c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6.5" x14ac:dyDescent="0.35">
      <c r="A349" s="2" t="str">
        <f ca="1">IFERROR(__xludf.DUMMYFUNCTION("""COMPUTED_VALUE"""),"Dubai")</f>
        <v>Dubai</v>
      </c>
      <c r="B349" s="2" t="str">
        <f ca="1">IFERROR(__xludf.DUMMYFUNCTION("""COMPUTED_VALUE"""),"Mercure Barsha Heights Hotel Suites &amp; Apartments")</f>
        <v>Mercure Barsha Heights Hotel Suites &amp; Apartments</v>
      </c>
      <c r="C349" s="2" t="str">
        <f ca="1">IFERROR(__xludf.DUMMYFUNCTION("""COMPUTED_VALUE"""),"Building")</f>
        <v>Building</v>
      </c>
      <c r="D349" s="2" t="str">
        <f ca="1">IFERROR(__xludf.DUMMYFUNCTION("""COMPUTED_VALUE"""),"Dubai&gt;Barsha Heights (Tecom)&gt;Mercure Barsha Heights Hotel Suites &amp; Apartments")</f>
        <v>Dubai&gt;Barsha Heights (Tecom)&gt;Mercure Barsha Heights Hotel Suites &amp; Apartments</v>
      </c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6.5" x14ac:dyDescent="0.35">
      <c r="A350" s="2" t="str">
        <f ca="1">IFERROR(__xludf.DUMMYFUNCTION("""COMPUTED_VALUE"""),"Dubai")</f>
        <v>Dubai</v>
      </c>
      <c r="B350" s="2" t="str">
        <f ca="1">IFERROR(__xludf.DUMMYFUNCTION("""COMPUTED_VALUE"""),"Vista Tower")</f>
        <v>Vista Tower</v>
      </c>
      <c r="C350" s="2" t="str">
        <f ca="1">IFERROR(__xludf.DUMMYFUNCTION("""COMPUTED_VALUE"""),"Building")</f>
        <v>Building</v>
      </c>
      <c r="D350" s="2" t="str">
        <f ca="1">IFERROR(__xludf.DUMMYFUNCTION("""COMPUTED_VALUE"""),"Dubai&gt;Barsha Heights (Tecom)&gt;Vista Tower")</f>
        <v>Dubai&gt;Barsha Heights (Tecom)&gt;Vista Tower</v>
      </c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6.5" x14ac:dyDescent="0.35">
      <c r="A351" s="2" t="str">
        <f ca="1">IFERROR(__xludf.DUMMYFUNCTION("""COMPUTED_VALUE"""),"Dubai")</f>
        <v>Dubai</v>
      </c>
      <c r="B351" s="2" t="str">
        <f ca="1">IFERROR(__xludf.DUMMYFUNCTION("""COMPUTED_VALUE"""),"Madison Residency")</f>
        <v>Madison Residency</v>
      </c>
      <c r="C351" s="2" t="str">
        <f ca="1">IFERROR(__xludf.DUMMYFUNCTION("""COMPUTED_VALUE"""),"Building")</f>
        <v>Building</v>
      </c>
      <c r="D351" s="2" t="str">
        <f ca="1">IFERROR(__xludf.DUMMYFUNCTION("""COMPUTED_VALUE"""),"Dubai&gt;Barsha Heights (Tecom)&gt;Madison Residency")</f>
        <v>Dubai&gt;Barsha Heights (Tecom)&gt;Madison Residency</v>
      </c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6.5" x14ac:dyDescent="0.35">
      <c r="A352" s="2" t="str">
        <f ca="1">IFERROR(__xludf.DUMMYFUNCTION("""COMPUTED_VALUE"""),"Dubai")</f>
        <v>Dubai</v>
      </c>
      <c r="B352" s="2" t="str">
        <f ca="1">IFERROR(__xludf.DUMMYFUNCTION("""COMPUTED_VALUE"""),"Al Wathba Residential Tower")</f>
        <v>Al Wathba Residential Tower</v>
      </c>
      <c r="C352" s="2" t="str">
        <f ca="1">IFERROR(__xludf.DUMMYFUNCTION("""COMPUTED_VALUE"""),"Building")</f>
        <v>Building</v>
      </c>
      <c r="D352" s="2" t="str">
        <f ca="1">IFERROR(__xludf.DUMMYFUNCTION("""COMPUTED_VALUE"""),"Dubai&gt;Barsha Heights (Tecom)&gt;Al Wathba Residential Tower")</f>
        <v>Dubai&gt;Barsha Heights (Tecom)&gt;Al Wathba Residential Tower</v>
      </c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6.5" x14ac:dyDescent="0.35">
      <c r="A353" s="2" t="str">
        <f ca="1">IFERROR(__xludf.DUMMYFUNCTION("""COMPUTED_VALUE"""),"Dubai")</f>
        <v>Dubai</v>
      </c>
      <c r="B353" s="2" t="str">
        <f ca="1">IFERROR(__xludf.DUMMYFUNCTION("""COMPUTED_VALUE"""),"Terraced Apartment 1C")</f>
        <v>Terraced Apartment 1C</v>
      </c>
      <c r="C353" s="2" t="str">
        <f ca="1">IFERROR(__xludf.DUMMYFUNCTION("""COMPUTED_VALUE"""),"Building")</f>
        <v>Building</v>
      </c>
      <c r="D353" s="2" t="str">
        <f ca="1">IFERROR(__xludf.DUMMYFUNCTION("""COMPUTED_VALUE"""),"Dubai&gt;Motor City&gt;Green Community (Motor City)&gt;Terraced Apartments&gt;Terraced Apartment 1C")</f>
        <v>Dubai&gt;Motor City&gt;Green Community (Motor City)&gt;Terraced Apartments&gt;Terraced Apartment 1C</v>
      </c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6.5" x14ac:dyDescent="0.35">
      <c r="A354" s="2" t="str">
        <f ca="1">IFERROR(__xludf.DUMMYFUNCTION("""COMPUTED_VALUE"""),"Dubai")</f>
        <v>Dubai</v>
      </c>
      <c r="B354" s="2" t="str">
        <f ca="1">IFERROR(__xludf.DUMMYFUNCTION("""COMPUTED_VALUE"""),"Norton Court 4")</f>
        <v>Norton Court 4</v>
      </c>
      <c r="C354" s="2" t="str">
        <f ca="1">IFERROR(__xludf.DUMMYFUNCTION("""COMPUTED_VALUE"""),"Building")</f>
        <v>Building</v>
      </c>
      <c r="D354" s="2" t="str">
        <f ca="1">IFERROR(__xludf.DUMMYFUNCTION("""COMPUTED_VALUE"""),"Dubai&gt;Motor City&gt;Uptown Motor City&gt;Norton Court&gt;Norton Court 4")</f>
        <v>Dubai&gt;Motor City&gt;Uptown Motor City&gt;Norton Court&gt;Norton Court 4</v>
      </c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6.5" x14ac:dyDescent="0.35">
      <c r="A355" s="2" t="str">
        <f ca="1">IFERROR(__xludf.DUMMYFUNCTION("""COMPUTED_VALUE"""),"Dubai")</f>
        <v>Dubai</v>
      </c>
      <c r="B355" s="2" t="str">
        <f ca="1">IFERROR(__xludf.DUMMYFUNCTION("""COMPUTED_VALUE"""),"Fox Hill 3")</f>
        <v>Fox Hill 3</v>
      </c>
      <c r="C355" s="2" t="str">
        <f ca="1">IFERROR(__xludf.DUMMYFUNCTION("""COMPUTED_VALUE"""),"Building")</f>
        <v>Building</v>
      </c>
      <c r="D355" s="2" t="str">
        <f ca="1">IFERROR(__xludf.DUMMYFUNCTION("""COMPUTED_VALUE"""),"Dubai&gt;Motor City&gt;Uptown Motor City&gt;Fox Hill&gt;Fox Hill 3")</f>
        <v>Dubai&gt;Motor City&gt;Uptown Motor City&gt;Fox Hill&gt;Fox Hill 3</v>
      </c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6.5" x14ac:dyDescent="0.35">
      <c r="A356" s="2" t="str">
        <f ca="1">IFERROR(__xludf.DUMMYFUNCTION("""COMPUTED_VALUE"""),"Dubai")</f>
        <v>Dubai</v>
      </c>
      <c r="B356" s="2" t="str">
        <f ca="1">IFERROR(__xludf.DUMMYFUNCTION("""COMPUTED_VALUE"""),"Sobha Orbis Tower B")</f>
        <v>Sobha Orbis Tower B</v>
      </c>
      <c r="C356" s="2" t="str">
        <f ca="1">IFERROR(__xludf.DUMMYFUNCTION("""COMPUTED_VALUE"""),"Building")</f>
        <v>Building</v>
      </c>
      <c r="D356" s="2" t="str">
        <f ca="1">IFERROR(__xludf.DUMMYFUNCTION("""COMPUTED_VALUE"""),"Dubai&gt;Motor City&gt;Sobha Orbis&gt;Sobha Orbis Tower B")</f>
        <v>Dubai&gt;Motor City&gt;Sobha Orbis&gt;Sobha Orbis Tower B</v>
      </c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6.5" x14ac:dyDescent="0.35">
      <c r="A357" s="2" t="str">
        <f ca="1">IFERROR(__xludf.DUMMYFUNCTION("""COMPUTED_VALUE"""),"Dubai")</f>
        <v>Dubai</v>
      </c>
      <c r="B357" s="2" t="str">
        <f ca="1">IFERROR(__xludf.DUMMYFUNCTION("""COMPUTED_VALUE"""),"Oud Al Muteena")</f>
        <v>Oud Al Muteena</v>
      </c>
      <c r="C357" s="2" t="str">
        <f ca="1">IFERROR(__xludf.DUMMYFUNCTION("""COMPUTED_VALUE"""),"Neighbourhood")</f>
        <v>Neighbourhood</v>
      </c>
      <c r="D357" s="2" t="str">
        <f ca="1">IFERROR(__xludf.DUMMYFUNCTION("""COMPUTED_VALUE"""),"Dubai&gt;Oud Al Muteena")</f>
        <v>Dubai&gt;Oud Al Muteena</v>
      </c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6.5" x14ac:dyDescent="0.35">
      <c r="A358" s="2" t="str">
        <f ca="1">IFERROR(__xludf.DUMMYFUNCTION("""COMPUTED_VALUE"""),"Dubai")</f>
        <v>Dubai</v>
      </c>
      <c r="B358" s="2" t="str">
        <f ca="1">IFERROR(__xludf.DUMMYFUNCTION("""COMPUTED_VALUE"""),"Dubai College")</f>
        <v>Dubai College</v>
      </c>
      <c r="C358" s="2" t="str">
        <f ca="1">IFERROR(__xludf.DUMMYFUNCTION("""COMPUTED_VALUE"""),"School")</f>
        <v>School</v>
      </c>
      <c r="D358" s="2" t="str">
        <f ca="1">IFERROR(__xludf.DUMMYFUNCTION("""COMPUTED_VALUE"""),"Dubai&gt;Al Sufouh&gt;Al Sufouh 2&gt;Dubai College")</f>
        <v>Dubai&gt;Al Sufouh&gt;Al Sufouh 2&gt;Dubai College</v>
      </c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6.5" x14ac:dyDescent="0.35">
      <c r="A359" s="2" t="str">
        <f ca="1">IFERROR(__xludf.DUMMYFUNCTION("""COMPUTED_VALUE"""),"Dubai")</f>
        <v>Dubai</v>
      </c>
      <c r="B359" s="2" t="str">
        <f ca="1">IFERROR(__xludf.DUMMYFUNCTION("""COMPUTED_VALUE"""),"Dubai Festival City")</f>
        <v>Dubai Festival City</v>
      </c>
      <c r="C359" s="2" t="str">
        <f ca="1">IFERROR(__xludf.DUMMYFUNCTION("""COMPUTED_VALUE"""),"Neighbourhood")</f>
        <v>Neighbourhood</v>
      </c>
      <c r="D359" s="2" t="str">
        <f ca="1">IFERROR(__xludf.DUMMYFUNCTION("""COMPUTED_VALUE"""),"Dubai&gt;Dubai Festival City")</f>
        <v>Dubai&gt;Dubai Festival City</v>
      </c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6.5" x14ac:dyDescent="0.35">
      <c r="A360" s="2" t="str">
        <f ca="1">IFERROR(__xludf.DUMMYFUNCTION("""COMPUTED_VALUE"""),"Dubai")</f>
        <v>Dubai</v>
      </c>
      <c r="B360" s="2" t="str">
        <f ca="1">IFERROR(__xludf.DUMMYFUNCTION("""COMPUTED_VALUE"""),"Al Badia Living Building A")</f>
        <v>Al Badia Living Building A</v>
      </c>
      <c r="C360" s="2" t="str">
        <f ca="1">IFERROR(__xludf.DUMMYFUNCTION("""COMPUTED_VALUE"""),"Building")</f>
        <v>Building</v>
      </c>
      <c r="D360" s="2" t="str">
        <f ca="1">IFERROR(__xludf.DUMMYFUNCTION("""COMPUTED_VALUE"""),"Dubai&gt;Dubai Festival City&gt;Al Badia Living&gt;Al Badia Living Building A")</f>
        <v>Dubai&gt;Dubai Festival City&gt;Al Badia Living&gt;Al Badia Living Building A</v>
      </c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6.5" x14ac:dyDescent="0.35">
      <c r="A361" s="2" t="str">
        <f ca="1">IFERROR(__xludf.DUMMYFUNCTION("""COMPUTED_VALUE"""),"Dubai")</f>
        <v>Dubai</v>
      </c>
      <c r="B361" s="2" t="str">
        <f ca="1">IFERROR(__xludf.DUMMYFUNCTION("""COMPUTED_VALUE"""),"Golf Promenade 3A")</f>
        <v>Golf Promenade 3A</v>
      </c>
      <c r="C361" s="2" t="str">
        <f ca="1">IFERROR(__xludf.DUMMYFUNCTION("""COMPUTED_VALUE"""),"Building")</f>
        <v>Building</v>
      </c>
      <c r="D361" s="2" t="str">
        <f ca="1">IFERROR(__xludf.DUMMYFUNCTION("""COMPUTED_VALUE"""),"Dubai&gt;DAMAC Hills&gt;Golf Town&gt;Golf Promenade&gt;Golf Promenade 3&gt;Golf Promenade 3A")</f>
        <v>Dubai&gt;DAMAC Hills&gt;Golf Town&gt;Golf Promenade&gt;Golf Promenade 3&gt;Golf Promenade 3A</v>
      </c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6.5" x14ac:dyDescent="0.35">
      <c r="A362" s="2" t="str">
        <f ca="1">IFERROR(__xludf.DUMMYFUNCTION("""COMPUTED_VALUE"""),"Dubai")</f>
        <v>Dubai</v>
      </c>
      <c r="B362" s="2" t="str">
        <f ca="1">IFERROR(__xludf.DUMMYFUNCTION("""COMPUTED_VALUE"""),"Longview")</f>
        <v>Longview</v>
      </c>
      <c r="C362" s="2" t="str">
        <f ca="1">IFERROR(__xludf.DUMMYFUNCTION("""COMPUTED_VALUE"""),"Neighbourhood")</f>
        <v>Neighbourhood</v>
      </c>
      <c r="D362" s="2" t="str">
        <f ca="1">IFERROR(__xludf.DUMMYFUNCTION("""COMPUTED_VALUE"""),"Dubai&gt;DAMAC Hills&gt;The Park Villas&gt;Longview")</f>
        <v>Dubai&gt;DAMAC Hills&gt;The Park Villas&gt;Longview</v>
      </c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6.5" x14ac:dyDescent="0.35">
      <c r="A363" s="2" t="str">
        <f ca="1">IFERROR(__xludf.DUMMYFUNCTION("""COMPUTED_VALUE"""),"Dubai")</f>
        <v>Dubai</v>
      </c>
      <c r="B363" s="2" t="str">
        <f ca="1">IFERROR(__xludf.DUMMYFUNCTION("""COMPUTED_VALUE"""),"Loreto 3A")</f>
        <v>Loreto 3A</v>
      </c>
      <c r="C363" s="2" t="str">
        <f ca="1">IFERROR(__xludf.DUMMYFUNCTION("""COMPUTED_VALUE"""),"Building")</f>
        <v>Building</v>
      </c>
      <c r="D363" s="2" t="str">
        <f ca="1">IFERROR(__xludf.DUMMYFUNCTION("""COMPUTED_VALUE"""),"Dubai&gt;DAMAC Hills&gt;Loreto&gt;Loreto A&gt;Loreto 3A")</f>
        <v>Dubai&gt;DAMAC Hills&gt;Loreto&gt;Loreto A&gt;Loreto 3A</v>
      </c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6.5" x14ac:dyDescent="0.35">
      <c r="A364" s="2" t="str">
        <f ca="1">IFERROR(__xludf.DUMMYFUNCTION("""COMPUTED_VALUE"""),"Dubai")</f>
        <v>Dubai</v>
      </c>
      <c r="B364" s="2" t="str">
        <f ca="1">IFERROR(__xludf.DUMMYFUNCTION("""COMPUTED_VALUE"""),"Wasl Port Views 9")</f>
        <v>Wasl Port Views 9</v>
      </c>
      <c r="C364" s="2" t="str">
        <f ca="1">IFERROR(__xludf.DUMMYFUNCTION("""COMPUTED_VALUE"""),"Building")</f>
        <v>Building</v>
      </c>
      <c r="D364" s="2" t="str">
        <f ca="1">IFERROR(__xludf.DUMMYFUNCTION("""COMPUTED_VALUE"""),"Dubai&gt;Al Mina&gt;Wasl Port Views&gt;Wasl Port Views 9")</f>
        <v>Dubai&gt;Al Mina&gt;Wasl Port Views&gt;Wasl Port Views 9</v>
      </c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6.5" x14ac:dyDescent="0.35">
      <c r="A365" s="2" t="str">
        <f ca="1">IFERROR(__xludf.DUMMYFUNCTION("""COMPUTED_VALUE"""),"Dubai")</f>
        <v>Dubai</v>
      </c>
      <c r="B365" s="2" t="str">
        <f ca="1">IFERROR(__xludf.DUMMYFUNCTION("""COMPUTED_VALUE"""),"Anwa")</f>
        <v>Anwa</v>
      </c>
      <c r="C365" s="2" t="str">
        <f ca="1">IFERROR(__xludf.DUMMYFUNCTION("""COMPUTED_VALUE"""),"Building")</f>
        <v>Building</v>
      </c>
      <c r="D365" s="2" t="str">
        <f ca="1">IFERROR(__xludf.DUMMYFUNCTION("""COMPUTED_VALUE"""),"Dubai&gt;Dubai Maritime City&gt;Anwa")</f>
        <v>Dubai&gt;Dubai Maritime City&gt;Anwa</v>
      </c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6.5" x14ac:dyDescent="0.35">
      <c r="A366" s="2" t="str">
        <f ca="1">IFERROR(__xludf.DUMMYFUNCTION("""COMPUTED_VALUE"""),"Dubai")</f>
        <v>Dubai</v>
      </c>
      <c r="B366" s="2" t="str">
        <f ca="1">IFERROR(__xludf.DUMMYFUNCTION("""COMPUTED_VALUE"""),"Breez by Danube")</f>
        <v>Breez by Danube</v>
      </c>
      <c r="C366" s="2" t="str">
        <f ca="1">IFERROR(__xludf.DUMMYFUNCTION("""COMPUTED_VALUE"""),"Building")</f>
        <v>Building</v>
      </c>
      <c r="D366" s="2" t="str">
        <f ca="1">IFERROR(__xludf.DUMMYFUNCTION("""COMPUTED_VALUE"""),"Dubai&gt;Dubai Maritime City&gt;Breez by Danube")</f>
        <v>Dubai&gt;Dubai Maritime City&gt;Breez by Danube</v>
      </c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6.5" x14ac:dyDescent="0.35">
      <c r="A367" s="2" t="str">
        <f ca="1">IFERROR(__xludf.DUMMYFUNCTION("""COMPUTED_VALUE"""),"Dubai")</f>
        <v>Dubai</v>
      </c>
      <c r="B367" s="2" t="str">
        <f ca="1">IFERROR(__xludf.DUMMYFUNCTION("""COMPUTED_VALUE"""),"Canal Apartments")</f>
        <v>Canal Apartments</v>
      </c>
      <c r="C367" s="2" t="str">
        <f ca="1">IFERROR(__xludf.DUMMYFUNCTION("""COMPUTED_VALUE"""),"Building")</f>
        <v>Building</v>
      </c>
      <c r="D367" s="2" t="str">
        <f ca="1">IFERROR(__xludf.DUMMYFUNCTION("""COMPUTED_VALUE"""),"Dubai&gt;The Views&gt;The Links&gt;Canal Apartments")</f>
        <v>Dubai&gt;The Views&gt;The Links&gt;Canal Apartments</v>
      </c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6.5" x14ac:dyDescent="0.35">
      <c r="A368" s="2" t="str">
        <f ca="1">IFERROR(__xludf.DUMMYFUNCTION("""COMPUTED_VALUE"""),"Dubai")</f>
        <v>Dubai</v>
      </c>
      <c r="B368" s="2" t="str">
        <f ca="1">IFERROR(__xludf.DUMMYFUNCTION("""COMPUTED_VALUE"""),"Al Quoz 2")</f>
        <v>Al Quoz 2</v>
      </c>
      <c r="C368" s="2" t="str">
        <f ca="1">IFERROR(__xludf.DUMMYFUNCTION("""COMPUTED_VALUE"""),"Neighbourhood")</f>
        <v>Neighbourhood</v>
      </c>
      <c r="D368" s="2" t="str">
        <f ca="1">IFERROR(__xludf.DUMMYFUNCTION("""COMPUTED_VALUE"""),"Dubai&gt;Al Quoz&gt;Al Quoz 2")</f>
        <v>Dubai&gt;Al Quoz&gt;Al Quoz 2</v>
      </c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6.5" x14ac:dyDescent="0.35">
      <c r="A369" s="2" t="str">
        <f ca="1">IFERROR(__xludf.DUMMYFUNCTION("""COMPUTED_VALUE"""),"Dubai")</f>
        <v>Dubai</v>
      </c>
      <c r="B369" s="2" t="str">
        <f ca="1">IFERROR(__xludf.DUMMYFUNCTION("""COMPUTED_VALUE"""),"Del Ani Building")</f>
        <v>Del Ani Building</v>
      </c>
      <c r="C369" s="2" t="str">
        <f ca="1">IFERROR(__xludf.DUMMYFUNCTION("""COMPUTED_VALUE"""),"Building")</f>
        <v>Building</v>
      </c>
      <c r="D369" s="2" t="str">
        <f ca="1">IFERROR(__xludf.DUMMYFUNCTION("""COMPUTED_VALUE"""),"Dubai&gt;Al Quoz&gt;Al Quoz 3&gt;Del Ani Building")</f>
        <v>Dubai&gt;Al Quoz&gt;Al Quoz 3&gt;Del Ani Building</v>
      </c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6.5" x14ac:dyDescent="0.35">
      <c r="A370" s="2" t="str">
        <f ca="1">IFERROR(__xludf.DUMMYFUNCTION("""COMPUTED_VALUE"""),"Dubai")</f>
        <v>Dubai</v>
      </c>
      <c r="B370" s="2" t="str">
        <f ca="1">IFERROR(__xludf.DUMMYFUNCTION("""COMPUTED_VALUE"""),"Al Khail Heights Building 8A")</f>
        <v>Al Khail Heights Building 8A</v>
      </c>
      <c r="C370" s="2" t="str">
        <f ca="1">IFERROR(__xludf.DUMMYFUNCTION("""COMPUTED_VALUE"""),"Building")</f>
        <v>Building</v>
      </c>
      <c r="D370" s="2" t="str">
        <f ca="1">IFERROR(__xludf.DUMMYFUNCTION("""COMPUTED_VALUE"""),"Dubai&gt;Al Quoz&gt;Al Quoz 4&gt;Al Khail Heights&gt;Al Khail Heights Building 8A")</f>
        <v>Dubai&gt;Al Quoz&gt;Al Quoz 4&gt;Al Khail Heights&gt;Al Khail Heights Building 8A</v>
      </c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6.5" x14ac:dyDescent="0.35">
      <c r="A371" s="2" t="str">
        <f ca="1">IFERROR(__xludf.DUMMYFUNCTION("""COMPUTED_VALUE"""),"Dubai")</f>
        <v>Dubai</v>
      </c>
      <c r="B371" s="2" t="str">
        <f ca="1">IFERROR(__xludf.DUMMYFUNCTION("""COMPUTED_VALUE"""),"Arabian Gates")</f>
        <v>Arabian Gates</v>
      </c>
      <c r="C371" s="2" t="str">
        <f ca="1">IFERROR(__xludf.DUMMYFUNCTION("""COMPUTED_VALUE"""),"Building")</f>
        <v>Building</v>
      </c>
      <c r="D371" s="2" t="str">
        <f ca="1">IFERROR(__xludf.DUMMYFUNCTION("""COMPUTED_VALUE"""),"Dubai&gt;Dubai Silicon Oasis (DSO)&gt;Arabian Gates")</f>
        <v>Dubai&gt;Dubai Silicon Oasis (DSO)&gt;Arabian Gates</v>
      </c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6.5" x14ac:dyDescent="0.35">
      <c r="A372" s="2" t="str">
        <f ca="1">IFERROR(__xludf.DUMMYFUNCTION("""COMPUTED_VALUE"""),"Dubai")</f>
        <v>Dubai</v>
      </c>
      <c r="B372" s="2" t="str">
        <f ca="1">IFERROR(__xludf.DUMMYFUNCTION("""COMPUTED_VALUE"""),"Lynx Business Tower")</f>
        <v>Lynx Business Tower</v>
      </c>
      <c r="C372" s="2" t="str">
        <f ca="1">IFERROR(__xludf.DUMMYFUNCTION("""COMPUTED_VALUE"""),"Building")</f>
        <v>Building</v>
      </c>
      <c r="D372" s="2" t="str">
        <f ca="1">IFERROR(__xludf.DUMMYFUNCTION("""COMPUTED_VALUE"""),"Dubai&gt;Dubai Silicon Oasis (DSO)&gt;Lynx Business Tower")</f>
        <v>Dubai&gt;Dubai Silicon Oasis (DSO)&gt;Lynx Business Tower</v>
      </c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6.5" x14ac:dyDescent="0.35">
      <c r="A373" s="2" t="str">
        <f ca="1">IFERROR(__xludf.DUMMYFUNCTION("""COMPUTED_VALUE"""),"Dubai")</f>
        <v>Dubai</v>
      </c>
      <c r="B373" s="2" t="str">
        <f ca="1">IFERROR(__xludf.DUMMYFUNCTION("""COMPUTED_VALUE"""),"Silicon Oasis Techno Hub 1")</f>
        <v>Silicon Oasis Techno Hub 1</v>
      </c>
      <c r="C373" s="2" t="str">
        <f ca="1">IFERROR(__xludf.DUMMYFUNCTION("""COMPUTED_VALUE"""),"Building")</f>
        <v>Building</v>
      </c>
      <c r="D373" s="2" t="str">
        <f ca="1">IFERROR(__xludf.DUMMYFUNCTION("""COMPUTED_VALUE"""),"Dubai&gt;Dubai Silicon Oasis (DSO)&gt;Silicon Oasis Techno Hub&gt;Silicon Oasis Techno Hub 1")</f>
        <v>Dubai&gt;Dubai Silicon Oasis (DSO)&gt;Silicon Oasis Techno Hub&gt;Silicon Oasis Techno Hub 1</v>
      </c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6.5" x14ac:dyDescent="0.35">
      <c r="A374" s="2" t="str">
        <f ca="1">IFERROR(__xludf.DUMMYFUNCTION("""COMPUTED_VALUE"""),"Dubai")</f>
        <v>Dubai</v>
      </c>
      <c r="B374" s="2" t="str">
        <f ca="1">IFERROR(__xludf.DUMMYFUNCTION("""COMPUTED_VALUE"""),"The Blue Oasis")</f>
        <v>The Blue Oasis</v>
      </c>
      <c r="C374" s="2" t="str">
        <f ca="1">IFERROR(__xludf.DUMMYFUNCTION("""COMPUTED_VALUE"""),"Building")</f>
        <v>Building</v>
      </c>
      <c r="D374" s="2" t="str">
        <f ca="1">IFERROR(__xludf.DUMMYFUNCTION("""COMPUTED_VALUE"""),"Dubai&gt;Dubai Silicon Oasis (DSO)&gt;The Blue Oasis")</f>
        <v>Dubai&gt;Dubai Silicon Oasis (DSO)&gt;The Blue Oasis</v>
      </c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6.5" x14ac:dyDescent="0.35">
      <c r="A375" s="2" t="str">
        <f ca="1">IFERROR(__xludf.DUMMYFUNCTION("""COMPUTED_VALUE"""),"Dubai")</f>
        <v>Dubai</v>
      </c>
      <c r="B375" s="2" t="str">
        <f ca="1">IFERROR(__xludf.DUMMYFUNCTION("""COMPUTED_VALUE"""),"Tria")</f>
        <v>Tria</v>
      </c>
      <c r="C375" s="2" t="str">
        <f ca="1">IFERROR(__xludf.DUMMYFUNCTION("""COMPUTED_VALUE"""),"Building")</f>
        <v>Building</v>
      </c>
      <c r="D375" s="2" t="str">
        <f ca="1">IFERROR(__xludf.DUMMYFUNCTION("""COMPUTED_VALUE"""),"Dubai&gt;Dubai Silicon Oasis (DSO)&gt;Tria")</f>
        <v>Dubai&gt;Dubai Silicon Oasis (DSO)&gt;Tria</v>
      </c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6.5" x14ac:dyDescent="0.35">
      <c r="A376" s="2" t="str">
        <f ca="1">IFERROR(__xludf.DUMMYFUNCTION("""COMPUTED_VALUE"""),"Dubai")</f>
        <v>Dubai</v>
      </c>
      <c r="B376" s="2" t="str">
        <f ca="1">IFERROR(__xludf.DUMMYFUNCTION("""COMPUTED_VALUE"""),"DSO Emirates Tower 5")</f>
        <v>DSO Emirates Tower 5</v>
      </c>
      <c r="C376" s="2" t="str">
        <f ca="1">IFERROR(__xludf.DUMMYFUNCTION("""COMPUTED_VALUE"""),"Building")</f>
        <v>Building</v>
      </c>
      <c r="D376" s="2" t="str">
        <f ca="1">IFERROR(__xludf.DUMMYFUNCTION("""COMPUTED_VALUE"""),"Dubai&gt;Dubai Silicon Oasis (DSO)&gt;DSO Emirates Towers&gt;DSO Emirates Tower 5")</f>
        <v>Dubai&gt;Dubai Silicon Oasis (DSO)&gt;DSO Emirates Towers&gt;DSO Emirates Tower 5</v>
      </c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6.5" x14ac:dyDescent="0.35">
      <c r="A377" s="2" t="str">
        <f ca="1">IFERROR(__xludf.DUMMYFUNCTION("""COMPUTED_VALUE"""),"Dubai")</f>
        <v>Dubai</v>
      </c>
      <c r="B377" s="2" t="str">
        <f ca="1">IFERROR(__xludf.DUMMYFUNCTION("""COMPUTED_VALUE"""),"Solen Residence By Jamal Living")</f>
        <v>Solen Residence By Jamal Living</v>
      </c>
      <c r="C377" s="2" t="str">
        <f ca="1">IFERROR(__xludf.DUMMYFUNCTION("""COMPUTED_VALUE"""),"Building")</f>
        <v>Building</v>
      </c>
      <c r="D377" s="2" t="str">
        <f ca="1">IFERROR(__xludf.DUMMYFUNCTION("""COMPUTED_VALUE"""),"Dubai&gt;Dubai Silicon Oasis (DSO)&gt;Solen Residence By Jamal Living")</f>
        <v>Dubai&gt;Dubai Silicon Oasis (DSO)&gt;Solen Residence By Jamal Living</v>
      </c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6.5" x14ac:dyDescent="0.35">
      <c r="A378" s="2" t="str">
        <f ca="1">IFERROR(__xludf.DUMMYFUNCTION("""COMPUTED_VALUE"""),"Dubai")</f>
        <v>Dubai</v>
      </c>
      <c r="B378" s="2" t="str">
        <f ca="1">IFERROR(__xludf.DUMMYFUNCTION("""COMPUTED_VALUE"""),"Desert Leaf 1")</f>
        <v>Desert Leaf 1</v>
      </c>
      <c r="C378" s="2" t="str">
        <f ca="1">IFERROR(__xludf.DUMMYFUNCTION("""COMPUTED_VALUE"""),"Neighbourhood")</f>
        <v>Neighbourhood</v>
      </c>
      <c r="D378" s="2" t="str">
        <f ca="1">IFERROR(__xludf.DUMMYFUNCTION("""COMPUTED_VALUE"""),"Dubai&gt;Al Barari&gt;The Residences&gt;Desert Leaf&gt;Desert Leaf 1")</f>
        <v>Dubai&gt;Al Barari&gt;The Residences&gt;Desert Leaf&gt;Desert Leaf 1</v>
      </c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6.5" x14ac:dyDescent="0.35">
      <c r="A379" s="2" t="str">
        <f ca="1">IFERROR(__xludf.DUMMYFUNCTION("""COMPUTED_VALUE"""),"Dubai")</f>
        <v>Dubai</v>
      </c>
      <c r="B379" s="2" t="str">
        <f ca="1">IFERROR(__xludf.DUMMYFUNCTION("""COMPUTED_VALUE"""),"MAG 910")</f>
        <v>MAG 910</v>
      </c>
      <c r="C379" s="2" t="str">
        <f ca="1">IFERROR(__xludf.DUMMYFUNCTION("""COMPUTED_VALUE"""),"Building")</f>
        <v>Building</v>
      </c>
      <c r="D379" s="2" t="str">
        <f ca="1">IFERROR(__xludf.DUMMYFUNCTION("""COMPUTED_VALUE"""),"Dubai&gt;Mohammed Bin Rashid City&gt;District 7&gt;MAG City&gt;MAG 910")</f>
        <v>Dubai&gt;Mohammed Bin Rashid City&gt;District 7&gt;MAG City&gt;MAG 910</v>
      </c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6.5" x14ac:dyDescent="0.35">
      <c r="A380" s="2" t="str">
        <f ca="1">IFERROR(__xludf.DUMMYFUNCTION("""COMPUTED_VALUE"""),"Dubai")</f>
        <v>Dubai</v>
      </c>
      <c r="B380" s="2" t="str">
        <f ca="1">IFERROR(__xludf.DUMMYFUNCTION("""COMPUTED_VALUE"""),"Rome by Samana")</f>
        <v>Rome by Samana</v>
      </c>
      <c r="C380" s="2" t="str">
        <f ca="1">IFERROR(__xludf.DUMMYFUNCTION("""COMPUTED_VALUE"""),"Building")</f>
        <v>Building</v>
      </c>
      <c r="D380" s="2" t="str">
        <f ca="1">IFERROR(__xludf.DUMMYFUNCTION("""COMPUTED_VALUE"""),"Dubai&gt;Mohammed Bin Rashid City&gt;District 11&gt;Rome by Samana")</f>
        <v>Dubai&gt;Mohammed Bin Rashid City&gt;District 11&gt;Rome by Samana</v>
      </c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6.5" x14ac:dyDescent="0.35">
      <c r="A381" s="2" t="str">
        <f ca="1">IFERROR(__xludf.DUMMYFUNCTION("""COMPUTED_VALUE"""),"Dubai")</f>
        <v>Dubai</v>
      </c>
      <c r="B381" s="2" t="str">
        <f ca="1">IFERROR(__xludf.DUMMYFUNCTION("""COMPUTED_VALUE"""),"Residences 5")</f>
        <v>Residences 5</v>
      </c>
      <c r="C381" s="2" t="str">
        <f ca="1">IFERROR(__xludf.DUMMYFUNCTION("""COMPUTED_VALUE"""),"Building")</f>
        <v>Building</v>
      </c>
      <c r="D381" s="2" t="str">
        <f ca="1">IFERROR(__xludf.DUMMYFUNCTION("""COMPUTED_VALUE"""),"Dubai&gt;Mohammed Bin Rashid City&gt;District One&gt;The Residences at District One&gt;Residences 5")</f>
        <v>Dubai&gt;Mohammed Bin Rashid City&gt;District One&gt;The Residences at District One&gt;Residences 5</v>
      </c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6.5" x14ac:dyDescent="0.35">
      <c r="A382" s="2" t="str">
        <f ca="1">IFERROR(__xludf.DUMMYFUNCTION("""COMPUTED_VALUE"""),"Dubai")</f>
        <v>Dubai</v>
      </c>
      <c r="B382" s="2" t="str">
        <f ca="1">IFERROR(__xludf.DUMMYFUNCTION("""COMPUTED_VALUE"""),"Kappa Acca 3")</f>
        <v>Kappa Acca 3</v>
      </c>
      <c r="C382" s="2" t="str">
        <f ca="1">IFERROR(__xludf.DUMMYFUNCTION("""COMPUTED_VALUE"""),"Building")</f>
        <v>Building</v>
      </c>
      <c r="D382" s="2" t="str">
        <f ca="1">IFERROR(__xludf.DUMMYFUNCTION("""COMPUTED_VALUE"""),"Dubai&gt;Dubai South&gt;Residential District&gt;Kappa Acca 3")</f>
        <v>Dubai&gt;Dubai South&gt;Residential District&gt;Kappa Acca 3</v>
      </c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6.5" x14ac:dyDescent="0.35">
      <c r="A383" s="2" t="str">
        <f ca="1">IFERROR(__xludf.DUMMYFUNCTION("""COMPUTED_VALUE"""),"Dubai")</f>
        <v>Dubai</v>
      </c>
      <c r="B383" s="2" t="str">
        <f ca="1">IFERROR(__xludf.DUMMYFUNCTION("""COMPUTED_VALUE"""),"The Pulse Beachfront 2")</f>
        <v>The Pulse Beachfront 2</v>
      </c>
      <c r="C383" s="2" t="str">
        <f ca="1">IFERROR(__xludf.DUMMYFUNCTION("""COMPUTED_VALUE"""),"Neighbourhood")</f>
        <v>Neighbourhood</v>
      </c>
      <c r="D383" s="2" t="str">
        <f ca="1">IFERROR(__xludf.DUMMYFUNCTION("""COMPUTED_VALUE"""),"Dubai&gt;Dubai South&gt;Residential District&gt;The Pulse&gt;The Pulse Beachfront 2")</f>
        <v>Dubai&gt;Dubai South&gt;Residential District&gt;The Pulse&gt;The Pulse Beachfront 2</v>
      </c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6.5" x14ac:dyDescent="0.35">
      <c r="A384" s="2" t="str">
        <f ca="1">IFERROR(__xludf.DUMMYFUNCTION("""COMPUTED_VALUE"""),"Dubai")</f>
        <v>Dubai</v>
      </c>
      <c r="B384" s="2" t="str">
        <f ca="1">IFERROR(__xludf.DUMMYFUNCTION("""COMPUTED_VALUE"""),"Celestia")</f>
        <v>Celestia</v>
      </c>
      <c r="C384" s="2" t="str">
        <f ca="1">IFERROR(__xludf.DUMMYFUNCTION("""COMPUTED_VALUE"""),"Cluster")</f>
        <v>Cluster</v>
      </c>
      <c r="D384" s="2" t="str">
        <f ca="1">IFERROR(__xludf.DUMMYFUNCTION("""COMPUTED_VALUE"""),"Dubai&gt;Dubai South&gt;Residential District&gt;Celestia")</f>
        <v>Dubai&gt;Dubai South&gt;Residential District&gt;Celestia</v>
      </c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6.5" x14ac:dyDescent="0.35">
      <c r="A385" s="2" t="str">
        <f ca="1">IFERROR(__xludf.DUMMYFUNCTION("""COMPUTED_VALUE"""),"Dubai")</f>
        <v>Dubai</v>
      </c>
      <c r="B385" s="2" t="str">
        <f ca="1">IFERROR(__xludf.DUMMYFUNCTION("""COMPUTED_VALUE"""),"Bhuvi Residence")</f>
        <v>Bhuvi Residence</v>
      </c>
      <c r="C385" s="2" t="str">
        <f ca="1">IFERROR(__xludf.DUMMYFUNCTION("""COMPUTED_VALUE"""),"Building")</f>
        <v>Building</v>
      </c>
      <c r="D385" s="2" t="str">
        <f ca="1">IFERROR(__xludf.DUMMYFUNCTION("""COMPUTED_VALUE"""),"Dubai&gt;Dubai South&gt;Residential District&gt;Bhuvi Residence")</f>
        <v>Dubai&gt;Dubai South&gt;Residential District&gt;Bhuvi Residence</v>
      </c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6.5" x14ac:dyDescent="0.35">
      <c r="A386" s="2" t="str">
        <f ca="1">IFERROR(__xludf.DUMMYFUNCTION("""COMPUTED_VALUE"""),"Dubai")</f>
        <v>Dubai</v>
      </c>
      <c r="B386" s="2" t="str">
        <f ca="1">IFERROR(__xludf.DUMMYFUNCTION("""COMPUTED_VALUE"""),"Aristo")</f>
        <v>Aristo</v>
      </c>
      <c r="C386" s="2" t="str">
        <f ca="1">IFERROR(__xludf.DUMMYFUNCTION("""COMPUTED_VALUE"""),"Building")</f>
        <v>Building</v>
      </c>
      <c r="D386" s="2" t="str">
        <f ca="1">IFERROR(__xludf.DUMMYFUNCTION("""COMPUTED_VALUE"""),"Dubai&gt;Dubai South&gt;Residential District&gt;Aristo")</f>
        <v>Dubai&gt;Dubai South&gt;Residential District&gt;Aristo</v>
      </c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6.5" x14ac:dyDescent="0.35">
      <c r="A387" s="2" t="str">
        <f ca="1">IFERROR(__xludf.DUMMYFUNCTION("""COMPUTED_VALUE"""),"Dubai")</f>
        <v>Dubai</v>
      </c>
      <c r="B387" s="2" t="str">
        <f ca="1">IFERROR(__xludf.DUMMYFUNCTION("""COMPUTED_VALUE"""),"Golf Dale Tower 2")</f>
        <v>Golf Dale Tower 2</v>
      </c>
      <c r="C387" s="2" t="str">
        <f ca="1">IFERROR(__xludf.DUMMYFUNCTION("""COMPUTED_VALUE"""),"Building")</f>
        <v>Building</v>
      </c>
      <c r="D387" s="2" t="str">
        <f ca="1">IFERROR(__xludf.DUMMYFUNCTION("""COMPUTED_VALUE"""),"Dubai&gt;Dubai South&gt;Emaar South&gt;Golf Dale&gt;Golf Dale Tower 2")</f>
        <v>Dubai&gt;Dubai South&gt;Emaar South&gt;Golf Dale&gt;Golf Dale Tower 2</v>
      </c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6.5" x14ac:dyDescent="0.35">
      <c r="A388" s="2" t="str">
        <f ca="1">IFERROR(__xludf.DUMMYFUNCTION("""COMPUTED_VALUE"""),"Dubai")</f>
        <v>Dubai</v>
      </c>
      <c r="B388" s="2" t="str">
        <f ca="1">IFERROR(__xludf.DUMMYFUNCTION("""COMPUTED_VALUE"""),"Downtown Views II Tower 2")</f>
        <v>Downtown Views II Tower 2</v>
      </c>
      <c r="C388" s="2" t="str">
        <f ca="1">IFERROR(__xludf.DUMMYFUNCTION("""COMPUTED_VALUE"""),"Building")</f>
        <v>Building</v>
      </c>
      <c r="D388" s="2" t="str">
        <f ca="1">IFERROR(__xludf.DUMMYFUNCTION("""COMPUTED_VALUE"""),"Dubai&gt;Za'abeel&gt;Za'abeel 2&gt;Downtown Views II&gt;Downtown Views II Tower 2")</f>
        <v>Dubai&gt;Za'abeel&gt;Za'abeel 2&gt;Downtown Views II&gt;Downtown Views II Tower 2</v>
      </c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6.5" x14ac:dyDescent="0.35">
      <c r="A389" s="2" t="str">
        <f ca="1">IFERROR(__xludf.DUMMYFUNCTION("""COMPUTED_VALUE"""),"Dubai")</f>
        <v>Dubai</v>
      </c>
      <c r="B389" s="2" t="str">
        <f ca="1">IFERROR(__xludf.DUMMYFUNCTION("""COMPUTED_VALUE"""),"Samari Residences 15")</f>
        <v>Samari Residences 15</v>
      </c>
      <c r="C389" s="2" t="str">
        <f ca="1">IFERROR(__xludf.DUMMYFUNCTION("""COMPUTED_VALUE"""),"Building")</f>
        <v>Building</v>
      </c>
      <c r="D389" s="2" t="str">
        <f ca="1">IFERROR(__xludf.DUMMYFUNCTION("""COMPUTED_VALUE"""),"Dubai&gt;Ras Al Khor&gt;Ras Al Khor Industrial&gt;Ras Al Khor Industrial 3&gt;Samari Residences&gt;Samari Residences 15")</f>
        <v>Dubai&gt;Ras Al Khor&gt;Ras Al Khor Industrial&gt;Ras Al Khor Industrial 3&gt;Samari Residences&gt;Samari Residences 15</v>
      </c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6.5" x14ac:dyDescent="0.35">
      <c r="A390" s="2" t="str">
        <f ca="1">IFERROR(__xludf.DUMMYFUNCTION("""COMPUTED_VALUE"""),"Dubai")</f>
        <v>Dubai</v>
      </c>
      <c r="B390" s="2" t="str">
        <f ca="1">IFERROR(__xludf.DUMMYFUNCTION("""COMPUTED_VALUE"""),"The Galleries 3")</f>
        <v>The Galleries 3</v>
      </c>
      <c r="C390" s="2" t="str">
        <f ca="1">IFERROR(__xludf.DUMMYFUNCTION("""COMPUTED_VALUE"""),"Building")</f>
        <v>Building</v>
      </c>
      <c r="D390" s="2" t="str">
        <f ca="1">IFERROR(__xludf.DUMMYFUNCTION("""COMPUTED_VALUE"""),"Dubai&gt;Jebel Ali&gt;Downtown Jebel Ali&gt;The Galleries&gt;The Galleries 3")</f>
        <v>Dubai&gt;Jebel Ali&gt;Downtown Jebel Ali&gt;The Galleries&gt;The Galleries 3</v>
      </c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6.5" x14ac:dyDescent="0.35">
      <c r="A391" s="2" t="str">
        <f ca="1">IFERROR(__xludf.DUMMYFUNCTION("""COMPUTED_VALUE"""),"Dubai")</f>
        <v>Dubai</v>
      </c>
      <c r="B391" s="2" t="str">
        <f ca="1">IFERROR(__xludf.DUMMYFUNCTION("""COMPUTED_VALUE"""),"Delhi Private School")</f>
        <v>Delhi Private School</v>
      </c>
      <c r="C391" s="2" t="str">
        <f ca="1">IFERROR(__xludf.DUMMYFUNCTION("""COMPUTED_VALUE"""),"School")</f>
        <v>School</v>
      </c>
      <c r="D391" s="2" t="str">
        <f ca="1">IFERROR(__xludf.DUMMYFUNCTION("""COMPUTED_VALUE"""),"Dubai&gt;Jebel Ali&gt;Jebel Ali Village&gt;Delhi Private School")</f>
        <v>Dubai&gt;Jebel Ali&gt;Jebel Ali Village&gt;Delhi Private School</v>
      </c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6.5" x14ac:dyDescent="0.35">
      <c r="A392" s="2" t="str">
        <f ca="1">IFERROR(__xludf.DUMMYFUNCTION("""COMPUTED_VALUE"""),"Dubai")</f>
        <v>Dubai</v>
      </c>
      <c r="B392" s="2" t="str">
        <f ca="1">IFERROR(__xludf.DUMMYFUNCTION("""COMPUTED_VALUE"""),"Hassani 23 Building")</f>
        <v>Hassani 23 Building</v>
      </c>
      <c r="C392" s="2" t="str">
        <f ca="1">IFERROR(__xludf.DUMMYFUNCTION("""COMPUTED_VALUE"""),"Building")</f>
        <v>Building</v>
      </c>
      <c r="D392" s="2" t="str">
        <f ca="1">IFERROR(__xludf.DUMMYFUNCTION("""COMPUTED_VALUE"""),"Dubai&gt;Nad Al Hamar&gt;Hassani 23 Building")</f>
        <v>Dubai&gt;Nad Al Hamar&gt;Hassani 23 Building</v>
      </c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6.5" x14ac:dyDescent="0.35">
      <c r="A393" s="2" t="str">
        <f ca="1">IFERROR(__xludf.DUMMYFUNCTION("""COMPUTED_VALUE"""),"Dubai")</f>
        <v>Dubai</v>
      </c>
      <c r="B393" s="2" t="str">
        <f ca="1">IFERROR(__xludf.DUMMYFUNCTION("""COMPUTED_VALUE"""),"Hessa Residence 14")</f>
        <v>Hessa Residence 14</v>
      </c>
      <c r="C393" s="2" t="str">
        <f ca="1">IFERROR(__xludf.DUMMYFUNCTION("""COMPUTED_VALUE"""),"Building")</f>
        <v>Building</v>
      </c>
      <c r="D393" s="2" t="str">
        <f ca="1">IFERROR(__xludf.DUMMYFUNCTION("""COMPUTED_VALUE"""),"Dubai&gt;Nad Al Hamar&gt;Hessa Residence 14")</f>
        <v>Dubai&gt;Nad Al Hamar&gt;Hessa Residence 14</v>
      </c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6.5" x14ac:dyDescent="0.35">
      <c r="A394" s="2" t="str">
        <f ca="1">IFERROR(__xludf.DUMMYFUNCTION("""COMPUTED_VALUE"""),"Dubai")</f>
        <v>Dubai</v>
      </c>
      <c r="B394" s="2" t="str">
        <f ca="1">IFERROR(__xludf.DUMMYFUNCTION("""COMPUTED_VALUE"""),"API Trio Towers")</f>
        <v>API Trio Towers</v>
      </c>
      <c r="C394" s="2" t="str">
        <f ca="1">IFERROR(__xludf.DUMMYFUNCTION("""COMPUTED_VALUE"""),"Cluster")</f>
        <v>Cluster</v>
      </c>
      <c r="D394" s="2" t="str">
        <f ca="1">IFERROR(__xludf.DUMMYFUNCTION("""COMPUTED_VALUE"""),"Dubai&gt;Al Barsha&gt;Al Barsha 1&gt;API Trio Towers")</f>
        <v>Dubai&gt;Al Barsha&gt;Al Barsha 1&gt;API Trio Towers</v>
      </c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6.5" x14ac:dyDescent="0.35">
      <c r="A395" s="2" t="str">
        <f ca="1">IFERROR(__xludf.DUMMYFUNCTION("""COMPUTED_VALUE"""),"Dubai")</f>
        <v>Dubai</v>
      </c>
      <c r="B395" s="2" t="str">
        <f ca="1">IFERROR(__xludf.DUMMYFUNCTION("""COMPUTED_VALUE"""),"Manazil Al Barsha 02")</f>
        <v>Manazil Al Barsha 02</v>
      </c>
      <c r="C395" s="2" t="str">
        <f ca="1">IFERROR(__xludf.DUMMYFUNCTION("""COMPUTED_VALUE"""),"Building")</f>
        <v>Building</v>
      </c>
      <c r="D395" s="2" t="str">
        <f ca="1">IFERROR(__xludf.DUMMYFUNCTION("""COMPUTED_VALUE"""),"Dubai&gt;Al Barsha&gt;Al Barsha 1&gt;Manazil Al Barsha 02")</f>
        <v>Dubai&gt;Al Barsha&gt;Al Barsha 1&gt;Manazil Al Barsha 02</v>
      </c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6.5" x14ac:dyDescent="0.35">
      <c r="A396" s="2" t="str">
        <f ca="1">IFERROR(__xludf.DUMMYFUNCTION("""COMPUTED_VALUE"""),"Dubai")</f>
        <v>Dubai</v>
      </c>
      <c r="B396" s="2" t="str">
        <f ca="1">IFERROR(__xludf.DUMMYFUNCTION("""COMPUTED_VALUE"""),"Sama Building")</f>
        <v>Sama Building</v>
      </c>
      <c r="C396" s="2" t="str">
        <f ca="1">IFERROR(__xludf.DUMMYFUNCTION("""COMPUTED_VALUE"""),"Building")</f>
        <v>Building</v>
      </c>
      <c r="D396" s="2" t="str">
        <f ca="1">IFERROR(__xludf.DUMMYFUNCTION("""COMPUTED_VALUE"""),"Dubai&gt;Al Barsha&gt;Al Barsha 1&gt;Sama Building")</f>
        <v>Dubai&gt;Al Barsha&gt;Al Barsha 1&gt;Sama Building</v>
      </c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6.5" x14ac:dyDescent="0.35">
      <c r="A397" s="2" t="str">
        <f ca="1">IFERROR(__xludf.DUMMYFUNCTION("""COMPUTED_VALUE"""),"Dubai")</f>
        <v>Dubai</v>
      </c>
      <c r="B397" s="2" t="str">
        <f ca="1">IFERROR(__xludf.DUMMYFUNCTION("""COMPUTED_VALUE"""),"Manazel Al Barsha")</f>
        <v>Manazel Al Barsha</v>
      </c>
      <c r="C397" s="2" t="str">
        <f ca="1">IFERROR(__xludf.DUMMYFUNCTION("""COMPUTED_VALUE"""),"Building")</f>
        <v>Building</v>
      </c>
      <c r="D397" s="2" t="str">
        <f ca="1">IFERROR(__xludf.DUMMYFUNCTION("""COMPUTED_VALUE"""),"Dubai&gt;Al Barsha&gt;Al Barsha 1&gt;Manazel Al Barsha")</f>
        <v>Dubai&gt;Al Barsha&gt;Al Barsha 1&gt;Manazel Al Barsha</v>
      </c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6.5" x14ac:dyDescent="0.35">
      <c r="A398" s="2" t="str">
        <f ca="1">IFERROR(__xludf.DUMMYFUNCTION("""COMPUTED_VALUE"""),"Dubai")</f>
        <v>Dubai</v>
      </c>
      <c r="B398" s="2" t="str">
        <f ca="1">IFERROR(__xludf.DUMMYFUNCTION("""COMPUTED_VALUE"""),"Elite Byblos Hotel")</f>
        <v>Elite Byblos Hotel</v>
      </c>
      <c r="C398" s="2" t="str">
        <f ca="1">IFERROR(__xludf.DUMMYFUNCTION("""COMPUTED_VALUE"""),"Building")</f>
        <v>Building</v>
      </c>
      <c r="D398" s="2" t="str">
        <f ca="1">IFERROR(__xludf.DUMMYFUNCTION("""COMPUTED_VALUE"""),"Dubai&gt;Al Barsha&gt;Al Barsha 1&gt;Elite Byblos Hotel")</f>
        <v>Dubai&gt;Al Barsha&gt;Al Barsha 1&gt;Elite Byblos Hotel</v>
      </c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6.5" x14ac:dyDescent="0.35">
      <c r="A399" s="2" t="str">
        <f ca="1">IFERROR(__xludf.DUMMYFUNCTION("""COMPUTED_VALUE"""),"Dubai")</f>
        <v>Dubai</v>
      </c>
      <c r="B399" s="2" t="str">
        <f ca="1">IFERROR(__xludf.DUMMYFUNCTION("""COMPUTED_VALUE"""),"The Change Initiative Building")</f>
        <v>The Change Initiative Building</v>
      </c>
      <c r="C399" s="2" t="str">
        <f ca="1">IFERROR(__xludf.DUMMYFUNCTION("""COMPUTED_VALUE"""),"Building")</f>
        <v>Building</v>
      </c>
      <c r="D399" s="2" t="str">
        <f ca="1">IFERROR(__xludf.DUMMYFUNCTION("""COMPUTED_VALUE"""),"Dubai&gt;Al Barsha&gt;Al Barsha 1&gt;The Change Initiative Building")</f>
        <v>Dubai&gt;Al Barsha&gt;Al Barsha 1&gt;The Change Initiative Building</v>
      </c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6.5" x14ac:dyDescent="0.35">
      <c r="A400" s="2" t="str">
        <f ca="1">IFERROR(__xludf.DUMMYFUNCTION("""COMPUTED_VALUE"""),"Dubai")</f>
        <v>Dubai</v>
      </c>
      <c r="B400" s="2" t="str">
        <f ca="1">IFERROR(__xludf.DUMMYFUNCTION("""COMPUTED_VALUE"""),"Al Barsha Hotel Apartments")</f>
        <v>Al Barsha Hotel Apartments</v>
      </c>
      <c r="C400" s="2" t="str">
        <f ca="1">IFERROR(__xludf.DUMMYFUNCTION("""COMPUTED_VALUE"""),"Building")</f>
        <v>Building</v>
      </c>
      <c r="D400" s="2" t="str">
        <f ca="1">IFERROR(__xludf.DUMMYFUNCTION("""COMPUTED_VALUE"""),"Dubai&gt;Al Barsha&gt;Al Barsha 1&gt;Al Barsha Hotel Apartments")</f>
        <v>Dubai&gt;Al Barsha&gt;Al Barsha 1&gt;Al Barsha Hotel Apartments</v>
      </c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6.5" x14ac:dyDescent="0.35">
      <c r="A401" s="2" t="str">
        <f ca="1">IFERROR(__xludf.DUMMYFUNCTION("""COMPUTED_VALUE"""),"Dubai")</f>
        <v>Dubai</v>
      </c>
      <c r="B401" s="2" t="str">
        <f ca="1">IFERROR(__xludf.DUMMYFUNCTION("""COMPUTED_VALUE"""),"Belselah Residence")</f>
        <v>Belselah Residence</v>
      </c>
      <c r="C401" s="2" t="str">
        <f ca="1">IFERROR(__xludf.DUMMYFUNCTION("""COMPUTED_VALUE"""),"Building")</f>
        <v>Building</v>
      </c>
      <c r="D401" s="2" t="str">
        <f ca="1">IFERROR(__xludf.DUMMYFUNCTION("""COMPUTED_VALUE"""),"Dubai&gt;Al Barsha&gt;Al Barsha 1&gt;Belselah Residence")</f>
        <v>Dubai&gt;Al Barsha&gt;Al Barsha 1&gt;Belselah Residence</v>
      </c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6.5" x14ac:dyDescent="0.35">
      <c r="A402" s="2" t="str">
        <f ca="1">IFERROR(__xludf.DUMMYFUNCTION("""COMPUTED_VALUE"""),"Dubai")</f>
        <v>Dubai</v>
      </c>
      <c r="B402" s="2" t="str">
        <f ca="1">IFERROR(__xludf.DUMMYFUNCTION("""COMPUTED_VALUE"""),"Hamdan Juma Building")</f>
        <v>Hamdan Juma Building</v>
      </c>
      <c r="C402" s="2" t="str">
        <f ca="1">IFERROR(__xludf.DUMMYFUNCTION("""COMPUTED_VALUE"""),"Building")</f>
        <v>Building</v>
      </c>
      <c r="D402" s="2" t="str">
        <f ca="1">IFERROR(__xludf.DUMMYFUNCTION("""COMPUTED_VALUE"""),"Dubai&gt;Al Barsha&gt;Al Barsha 1&gt;Hamdan Juma Building")</f>
        <v>Dubai&gt;Al Barsha&gt;Al Barsha 1&gt;Hamdan Juma Building</v>
      </c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6.5" x14ac:dyDescent="0.35">
      <c r="A403" s="2" t="str">
        <f ca="1">IFERROR(__xludf.DUMMYFUNCTION("""COMPUTED_VALUE"""),"Dubai")</f>
        <v>Dubai</v>
      </c>
      <c r="B403" s="2" t="str">
        <f ca="1">IFERROR(__xludf.DUMMYFUNCTION("""COMPUTED_VALUE"""),"CreaKids Nurseries Al Barsha South")</f>
        <v>CreaKids Nurseries Al Barsha South</v>
      </c>
      <c r="C403" s="2" t="str">
        <f ca="1">IFERROR(__xludf.DUMMYFUNCTION("""COMPUTED_VALUE"""),"Nursery")</f>
        <v>Nursery</v>
      </c>
      <c r="D403" s="2" t="str">
        <f ca="1">IFERROR(__xludf.DUMMYFUNCTION("""COMPUTED_VALUE"""),"Dubai&gt;Al Barsha&gt;Al Barsha South&gt;Al Barsha South 1&gt;CreaKids Nurseries Al Barsha South")</f>
        <v>Dubai&gt;Al Barsha&gt;Al Barsha South&gt;Al Barsha South 1&gt;CreaKids Nurseries Al Barsha South</v>
      </c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6.5" x14ac:dyDescent="0.35">
      <c r="A404" s="2" t="str">
        <f ca="1">IFERROR(__xludf.DUMMYFUNCTION("""COMPUTED_VALUE"""),"Dubai")</f>
        <v>Dubai</v>
      </c>
      <c r="B404" s="2" t="str">
        <f ca="1">IFERROR(__xludf.DUMMYFUNCTION("""COMPUTED_VALUE"""),"The Address Residences Dubai Opera Tower 2")</f>
        <v>The Address Residences Dubai Opera Tower 2</v>
      </c>
      <c r="C404" s="2" t="str">
        <f ca="1">IFERROR(__xludf.DUMMYFUNCTION("""COMPUTED_VALUE"""),"Building")</f>
        <v>Building</v>
      </c>
      <c r="D404" s="2" t="str">
        <f ca="1">IFERROR(__xludf.DUMMYFUNCTION("""COMPUTED_VALUE"""),"Dubai&gt;Downtown Dubai&gt;The Address Residences Dubai Opera&gt;The Address Residences Dubai Opera Tower 2")</f>
        <v>Dubai&gt;Downtown Dubai&gt;The Address Residences Dubai Opera&gt;The Address Residences Dubai Opera Tower 2</v>
      </c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6.5" x14ac:dyDescent="0.35">
      <c r="A405" s="2" t="str">
        <f ca="1">IFERROR(__xludf.DUMMYFUNCTION("""COMPUTED_VALUE"""),"Dubai")</f>
        <v>Dubai</v>
      </c>
      <c r="B405" s="2" t="str">
        <f ca="1">IFERROR(__xludf.DUMMYFUNCTION("""COMPUTED_VALUE"""),"The Lofts Podium")</f>
        <v>The Lofts Podium</v>
      </c>
      <c r="C405" s="2" t="str">
        <f ca="1">IFERROR(__xludf.DUMMYFUNCTION("""COMPUTED_VALUE"""),"Building")</f>
        <v>Building</v>
      </c>
      <c r="D405" s="2" t="str">
        <f ca="1">IFERROR(__xludf.DUMMYFUNCTION("""COMPUTED_VALUE"""),"Dubai&gt;Downtown Dubai&gt;The Lofts&gt;The Lofts Podium")</f>
        <v>Dubai&gt;Downtown Dubai&gt;The Lofts&gt;The Lofts Podium</v>
      </c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6.5" x14ac:dyDescent="0.35">
      <c r="A406" s="2" t="str">
        <f ca="1">IFERROR(__xludf.DUMMYFUNCTION("""COMPUTED_VALUE"""),"Dubai")</f>
        <v>Dubai</v>
      </c>
      <c r="B406" s="2" t="str">
        <f ca="1">IFERROR(__xludf.DUMMYFUNCTION("""COMPUTED_VALUE"""),"Armani Hotel and Residences")</f>
        <v>Armani Hotel and Residences</v>
      </c>
      <c r="C406" s="2" t="str">
        <f ca="1">IFERROR(__xludf.DUMMYFUNCTION("""COMPUTED_VALUE"""),"Building")</f>
        <v>Building</v>
      </c>
      <c r="D406" s="2" t="str">
        <f ca="1">IFERROR(__xludf.DUMMYFUNCTION("""COMPUTED_VALUE"""),"Dubai&gt;Downtown Dubai&gt;Armani Hotel and Residences")</f>
        <v>Dubai&gt;Downtown Dubai&gt;Armani Hotel and Residences</v>
      </c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6.5" x14ac:dyDescent="0.35">
      <c r="A407" s="2" t="str">
        <f ca="1">IFERROR(__xludf.DUMMYFUNCTION("""COMPUTED_VALUE"""),"Dubai")</f>
        <v>Dubai</v>
      </c>
      <c r="B407" s="2" t="str">
        <f ca="1">IFERROR(__xludf.DUMMYFUNCTION("""COMPUTED_VALUE"""),"Kamoon 2")</f>
        <v>Kamoon 2</v>
      </c>
      <c r="C407" s="2" t="str">
        <f ca="1">IFERROR(__xludf.DUMMYFUNCTION("""COMPUTED_VALUE"""),"Building")</f>
        <v>Building</v>
      </c>
      <c r="D407" s="2" t="str">
        <f ca="1">IFERROR(__xludf.DUMMYFUNCTION("""COMPUTED_VALUE"""),"Dubai&gt;Downtown Dubai&gt;Old Town&gt;Kamoon&gt;Kamoon 2")</f>
        <v>Dubai&gt;Downtown Dubai&gt;Old Town&gt;Kamoon&gt;Kamoon 2</v>
      </c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6.5" x14ac:dyDescent="0.35">
      <c r="A408" s="2" t="str">
        <f ca="1">IFERROR(__xludf.DUMMYFUNCTION("""COMPUTED_VALUE"""),"Dubai")</f>
        <v>Dubai</v>
      </c>
      <c r="B408" s="2" t="str">
        <f ca="1">IFERROR(__xludf.DUMMYFUNCTION("""COMPUTED_VALUE"""),"Al Hikma Tower")</f>
        <v>Al Hikma Tower</v>
      </c>
      <c r="C408" s="2" t="str">
        <f ca="1">IFERROR(__xludf.DUMMYFUNCTION("""COMPUTED_VALUE"""),"Building")</f>
        <v>Building</v>
      </c>
      <c r="D408" s="2" t="str">
        <f ca="1">IFERROR(__xludf.DUMMYFUNCTION("""COMPUTED_VALUE"""),"Dubai&gt;Downtown Dubai&gt;Al Hikma Tower")</f>
        <v>Dubai&gt;Downtown Dubai&gt;Al Hikma Tower</v>
      </c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6.5" x14ac:dyDescent="0.35">
      <c r="A409" s="2" t="str">
        <f ca="1">IFERROR(__xludf.DUMMYFUNCTION("""COMPUTED_VALUE"""),"Dubai")</f>
        <v>Dubai</v>
      </c>
      <c r="B409" s="2" t="str">
        <f ca="1">IFERROR(__xludf.DUMMYFUNCTION("""COMPUTED_VALUE"""),"Banyan Tree Residences Aurelia Dubai")</f>
        <v>Banyan Tree Residences Aurelia Dubai</v>
      </c>
      <c r="C409" s="2" t="str">
        <f ca="1">IFERROR(__xludf.DUMMYFUNCTION("""COMPUTED_VALUE"""),"Building")</f>
        <v>Building</v>
      </c>
      <c r="D409" s="2" t="str">
        <f ca="1">IFERROR(__xludf.DUMMYFUNCTION("""COMPUTED_VALUE"""),"Dubai&gt;Downtown Dubai&gt;Banyan Tree Residences Aurelia Dubai")</f>
        <v>Dubai&gt;Downtown Dubai&gt;Banyan Tree Residences Aurelia Dubai</v>
      </c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6.5" x14ac:dyDescent="0.35">
      <c r="A410" s="2" t="str">
        <f ca="1">IFERROR(__xludf.DUMMYFUNCTION("""COMPUTED_VALUE"""),"Dubai")</f>
        <v>Dubai</v>
      </c>
      <c r="B410" s="2" t="str">
        <f ca="1">IFERROR(__xludf.DUMMYFUNCTION("""COMPUTED_VALUE"""),"Shams")</f>
        <v>Shams</v>
      </c>
      <c r="C410" s="2" t="str">
        <f ca="1">IFERROR(__xludf.DUMMYFUNCTION("""COMPUTED_VALUE"""),"Building")</f>
        <v>Building</v>
      </c>
      <c r="D410" s="2" t="str">
        <f ca="1">IFERROR(__xludf.DUMMYFUNCTION("""COMPUTED_VALUE"""),"Dubai&gt;Liwan&gt;Queue Point&gt;Shams")</f>
        <v>Dubai&gt;Liwan&gt;Queue Point&gt;Shams</v>
      </c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6.5" x14ac:dyDescent="0.35">
      <c r="A411" s="2" t="str">
        <f ca="1">IFERROR(__xludf.DUMMYFUNCTION("""COMPUTED_VALUE"""),"Dubai")</f>
        <v>Dubai</v>
      </c>
      <c r="B411" s="2" t="str">
        <f ca="1">IFERROR(__xludf.DUMMYFUNCTION("""COMPUTED_VALUE"""),"Mazaya 30")</f>
        <v>Mazaya 30</v>
      </c>
      <c r="C411" s="2" t="str">
        <f ca="1">IFERROR(__xludf.DUMMYFUNCTION("""COMPUTED_VALUE"""),"Building")</f>
        <v>Building</v>
      </c>
      <c r="D411" s="2" t="str">
        <f ca="1">IFERROR(__xludf.DUMMYFUNCTION("""COMPUTED_VALUE"""),"Dubai&gt;Liwan&gt;Queue Point&gt;Mazaya 30")</f>
        <v>Dubai&gt;Liwan&gt;Queue Point&gt;Mazaya 30</v>
      </c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6.5" x14ac:dyDescent="0.35">
      <c r="A412" s="2" t="str">
        <f ca="1">IFERROR(__xludf.DUMMYFUNCTION("""COMPUTED_VALUE"""),"Dubai")</f>
        <v>Dubai</v>
      </c>
      <c r="B412" s="2" t="str">
        <f ca="1">IFERROR(__xludf.DUMMYFUNCTION("""COMPUTED_VALUE"""),"Parkgreen Residences by Alishaan")</f>
        <v>Parkgreen Residences by Alishaan</v>
      </c>
      <c r="C412" s="2" t="str">
        <f ca="1">IFERROR(__xludf.DUMMYFUNCTION("""COMPUTED_VALUE"""),"Building")</f>
        <v>Building</v>
      </c>
      <c r="D412" s="2" t="str">
        <f ca="1">IFERROR(__xludf.DUMMYFUNCTION("""COMPUTED_VALUE"""),"Dubai&gt;Liwan&gt;Parkgreen Residences by Alishaan")</f>
        <v>Dubai&gt;Liwan&gt;Parkgreen Residences by Alishaan</v>
      </c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6.5" x14ac:dyDescent="0.35">
      <c r="A413" s="2" t="str">
        <f ca="1">IFERROR(__xludf.DUMMYFUNCTION("""COMPUTED_VALUE"""),"Dubai")</f>
        <v>Dubai</v>
      </c>
      <c r="B413" s="2" t="str">
        <f ca="1">IFERROR(__xludf.DUMMYFUNCTION("""COMPUTED_VALUE"""),"The Gate")</f>
        <v>The Gate</v>
      </c>
      <c r="C413" s="2" t="str">
        <f ca="1">IFERROR(__xludf.DUMMYFUNCTION("""COMPUTED_VALUE"""),"Building")</f>
        <v>Building</v>
      </c>
      <c r="D413" s="2" t="str">
        <f ca="1">IFERROR(__xludf.DUMMYFUNCTION("""COMPUTED_VALUE"""),"Dubai&gt;DIFC&gt;The Gate")</f>
        <v>Dubai&gt;DIFC&gt;The Gate</v>
      </c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6.5" x14ac:dyDescent="0.35">
      <c r="A414" s="2" t="str">
        <f ca="1">IFERROR(__xludf.DUMMYFUNCTION("""COMPUTED_VALUE"""),"Dubai")</f>
        <v>Dubai</v>
      </c>
      <c r="B414" s="2" t="str">
        <f ca="1">IFERROR(__xludf.DUMMYFUNCTION("""COMPUTED_VALUE"""),"North Tower")</f>
        <v>North Tower</v>
      </c>
      <c r="C414" s="2" t="str">
        <f ca="1">IFERROR(__xludf.DUMMYFUNCTION("""COMPUTED_VALUE"""),"Building")</f>
        <v>Building</v>
      </c>
      <c r="D414" s="2" t="str">
        <f ca="1">IFERROR(__xludf.DUMMYFUNCTION("""COMPUTED_VALUE"""),"Dubai&gt;DIFC&gt;Emirates Financial Towers&gt;North Tower")</f>
        <v>Dubai&gt;DIFC&gt;Emirates Financial Towers&gt;North Tower</v>
      </c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6.5" x14ac:dyDescent="0.35">
      <c r="A415" s="2" t="str">
        <f ca="1">IFERROR(__xludf.DUMMYFUNCTION("""COMPUTED_VALUE"""),"Dubai")</f>
        <v>Dubai</v>
      </c>
      <c r="B415" s="2" t="str">
        <f ca="1">IFERROR(__xludf.DUMMYFUNCTION("""COMPUTED_VALUE"""),"School of Research Science (SRS)")</f>
        <v>School of Research Science (SRS)</v>
      </c>
      <c r="C415" s="2" t="str">
        <f ca="1">IFERROR(__xludf.DUMMYFUNCTION("""COMPUTED_VALUE"""),"School")</f>
        <v>School</v>
      </c>
      <c r="D415" s="2" t="str">
        <f ca="1">IFERROR(__xludf.DUMMYFUNCTION("""COMPUTED_VALUE"""),"Dubai&gt;Al Warqaa&gt;Al Warqaa 4&gt;School of Research Science (SRS)")</f>
        <v>Dubai&gt;Al Warqaa&gt;Al Warqaa 4&gt;School of Research Science (SRS)</v>
      </c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6.5" x14ac:dyDescent="0.35">
      <c r="A416" s="2" t="str">
        <f ca="1">IFERROR(__xludf.DUMMYFUNCTION("""COMPUTED_VALUE"""),"Dubai")</f>
        <v>Dubai</v>
      </c>
      <c r="B416" s="2" t="str">
        <f ca="1">IFERROR(__xludf.DUMMYFUNCTION("""COMPUTED_VALUE"""),"Hilal 1 Building")</f>
        <v>Hilal 1 Building</v>
      </c>
      <c r="C416" s="2" t="str">
        <f ca="1">IFERROR(__xludf.DUMMYFUNCTION("""COMPUTED_VALUE"""),"Building")</f>
        <v>Building</v>
      </c>
      <c r="D416" s="2" t="str">
        <f ca="1">IFERROR(__xludf.DUMMYFUNCTION("""COMPUTED_VALUE"""),"Dubai&gt;Al Warqaa&gt;Al Warqaa 1&gt;Hilal 1 Building")</f>
        <v>Dubai&gt;Al Warqaa&gt;Al Warqaa 1&gt;Hilal 1 Building</v>
      </c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6.5" x14ac:dyDescent="0.35">
      <c r="A417" s="2" t="str">
        <f ca="1">IFERROR(__xludf.DUMMYFUNCTION("""COMPUTED_VALUE"""),"Dubai")</f>
        <v>Dubai</v>
      </c>
      <c r="B417" s="2" t="str">
        <f ca="1">IFERROR(__xludf.DUMMYFUNCTION("""COMPUTED_VALUE"""),"Solaire 5")</f>
        <v>Solaire 5</v>
      </c>
      <c r="C417" s="2" t="str">
        <f ca="1">IFERROR(__xludf.DUMMYFUNCTION("""COMPUTED_VALUE"""),"Building")</f>
        <v>Building</v>
      </c>
      <c r="D417" s="2" t="str">
        <f ca="1">IFERROR(__xludf.DUMMYFUNCTION("""COMPUTED_VALUE"""),"Dubai&gt;Al Warqaa&gt;Al Warqaa 1&gt;Solaire 5")</f>
        <v>Dubai&gt;Al Warqaa&gt;Al Warqaa 1&gt;Solaire 5</v>
      </c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6.5" x14ac:dyDescent="0.35">
      <c r="A418" s="2" t="str">
        <f ca="1">IFERROR(__xludf.DUMMYFUNCTION("""COMPUTED_VALUE"""),"Dubai")</f>
        <v>Dubai</v>
      </c>
      <c r="B418" s="2" t="str">
        <f ca="1">IFERROR(__xludf.DUMMYFUNCTION("""COMPUTED_VALUE"""),"B331 Building")</f>
        <v>B331 Building</v>
      </c>
      <c r="C418" s="2" t="str">
        <f ca="1">IFERROR(__xludf.DUMMYFUNCTION("""COMPUTED_VALUE"""),"Building")</f>
        <v>Building</v>
      </c>
      <c r="D418" s="2" t="str">
        <f ca="1">IFERROR(__xludf.DUMMYFUNCTION("""COMPUTED_VALUE"""),"Dubai&gt;Al Warqaa&gt;Al Warqaa 1&gt;B331 Building")</f>
        <v>Dubai&gt;Al Warqaa&gt;Al Warqaa 1&gt;B331 Building</v>
      </c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6.5" x14ac:dyDescent="0.35">
      <c r="A419" s="2" t="str">
        <f ca="1">IFERROR(__xludf.DUMMYFUNCTION("""COMPUTED_VALUE"""),"Dubai")</f>
        <v>Dubai</v>
      </c>
      <c r="B419" s="2" t="str">
        <f ca="1">IFERROR(__xludf.DUMMYFUNCTION("""COMPUTED_VALUE"""),"One JLT")</f>
        <v>One JLT</v>
      </c>
      <c r="C419" s="2" t="str">
        <f ca="1">IFERROR(__xludf.DUMMYFUNCTION("""COMPUTED_VALUE"""),"Building")</f>
        <v>Building</v>
      </c>
      <c r="D419" s="2" t="str">
        <f ca="1">IFERROR(__xludf.DUMMYFUNCTION("""COMPUTED_VALUE"""),"Dubai&gt;Jumeirah Lake Towers (JLT)&gt;One JLT")</f>
        <v>Dubai&gt;Jumeirah Lake Towers (JLT)&gt;One JLT</v>
      </c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6.5" x14ac:dyDescent="0.35">
      <c r="A420" s="2" t="str">
        <f ca="1">IFERROR(__xludf.DUMMYFUNCTION("""COMPUTED_VALUE"""),"Dubai")</f>
        <v>Dubai</v>
      </c>
      <c r="B420" s="2" t="str">
        <f ca="1">IFERROR(__xludf.DUMMYFUNCTION("""COMPUTED_VALUE"""),"Saba Tower 1")</f>
        <v>Saba Tower 1</v>
      </c>
      <c r="C420" s="2" t="str">
        <f ca="1">IFERROR(__xludf.DUMMYFUNCTION("""COMPUTED_VALUE"""),"Building")</f>
        <v>Building</v>
      </c>
      <c r="D420" s="2" t="str">
        <f ca="1">IFERROR(__xludf.DUMMYFUNCTION("""COMPUTED_VALUE"""),"Dubai&gt;Jumeirah Lake Towers (JLT)&gt;JLT Cluster E&gt;Saba Tower 1")</f>
        <v>Dubai&gt;Jumeirah Lake Towers (JLT)&gt;JLT Cluster E&gt;Saba Tower 1</v>
      </c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6.5" x14ac:dyDescent="0.35">
      <c r="A421" s="2" t="str">
        <f ca="1">IFERROR(__xludf.DUMMYFUNCTION("""COMPUTED_VALUE"""),"Dubai")</f>
        <v>Dubai</v>
      </c>
      <c r="B421" s="2" t="str">
        <f ca="1">IFERROR(__xludf.DUMMYFUNCTION("""COMPUTED_VALUE"""),"Icon Tower 1")</f>
        <v>Icon Tower 1</v>
      </c>
      <c r="C421" s="2" t="str">
        <f ca="1">IFERROR(__xludf.DUMMYFUNCTION("""COMPUTED_VALUE"""),"Building")</f>
        <v>Building</v>
      </c>
      <c r="D421" s="2" t="str">
        <f ca="1">IFERROR(__xludf.DUMMYFUNCTION("""COMPUTED_VALUE"""),"Dubai&gt;Jumeirah Lake Towers (JLT)&gt;JLT Cluster M&gt;Icon Tower 1")</f>
        <v>Dubai&gt;Jumeirah Lake Towers (JLT)&gt;JLT Cluster M&gt;Icon Tower 1</v>
      </c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6.5" x14ac:dyDescent="0.35">
      <c r="A422" s="2" t="str">
        <f ca="1">IFERROR(__xludf.DUMMYFUNCTION("""COMPUTED_VALUE"""),"Dubai")</f>
        <v>Dubai</v>
      </c>
      <c r="B422" s="2" t="str">
        <f ca="1">IFERROR(__xludf.DUMMYFUNCTION("""COMPUTED_VALUE"""),"JLT Cluster U")</f>
        <v>JLT Cluster U</v>
      </c>
      <c r="C422" s="2" t="str">
        <f ca="1">IFERROR(__xludf.DUMMYFUNCTION("""COMPUTED_VALUE"""),"Cluster")</f>
        <v>Cluster</v>
      </c>
      <c r="D422" s="2" t="str">
        <f ca="1">IFERROR(__xludf.DUMMYFUNCTION("""COMPUTED_VALUE"""),"Dubai&gt;Jumeirah Lake Towers (JLT)&gt;JLT Cluster U")</f>
        <v>Dubai&gt;Jumeirah Lake Towers (JLT)&gt;JLT Cluster U</v>
      </c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6.5" x14ac:dyDescent="0.35">
      <c r="A423" s="2" t="str">
        <f ca="1">IFERROR(__xludf.DUMMYFUNCTION("""COMPUTED_VALUE"""),"Dubai")</f>
        <v>Dubai</v>
      </c>
      <c r="B423" s="2" t="str">
        <f ca="1">IFERROR(__xludf.DUMMYFUNCTION("""COMPUTED_VALUE"""),"Sobha Verde")</f>
        <v>Sobha Verde</v>
      </c>
      <c r="C423" s="2" t="str">
        <f ca="1">IFERROR(__xludf.DUMMYFUNCTION("""COMPUTED_VALUE"""),"Building")</f>
        <v>Building</v>
      </c>
      <c r="D423" s="2" t="str">
        <f ca="1">IFERROR(__xludf.DUMMYFUNCTION("""COMPUTED_VALUE"""),"Dubai&gt;Jumeirah Lake Towers (JLT)&gt;Sobha Verde")</f>
        <v>Dubai&gt;Jumeirah Lake Towers (JLT)&gt;Sobha Verde</v>
      </c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6.5" x14ac:dyDescent="0.35">
      <c r="A424" s="2" t="str">
        <f ca="1">IFERROR(__xludf.DUMMYFUNCTION("""COMPUTED_VALUE"""),"Dubai")</f>
        <v>Dubai</v>
      </c>
      <c r="B424" s="2" t="str">
        <f ca="1">IFERROR(__xludf.DUMMYFUNCTION("""COMPUTED_VALUE"""),"Mudon Al Ranim 6")</f>
        <v>Mudon Al Ranim 6</v>
      </c>
      <c r="C424" s="2" t="str">
        <f ca="1">IFERROR(__xludf.DUMMYFUNCTION("""COMPUTED_VALUE"""),"Neighbourhood")</f>
        <v>Neighbourhood</v>
      </c>
      <c r="D424" s="2" t="str">
        <f ca="1">IFERROR(__xludf.DUMMYFUNCTION("""COMPUTED_VALUE"""),"Dubai&gt;Mudon&gt;Mudon Al Ranim&gt;Mudon Al Ranim 6")</f>
        <v>Dubai&gt;Mudon&gt;Mudon Al Ranim&gt;Mudon Al Ranim 6</v>
      </c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6.5" x14ac:dyDescent="0.35">
      <c r="A425" s="2" t="str">
        <f ca="1">IFERROR(__xludf.DUMMYFUNCTION("""COMPUTED_VALUE"""),"Dubai")</f>
        <v>Dubai</v>
      </c>
      <c r="B425" s="2" t="str">
        <f ca="1">IFERROR(__xludf.DUMMYFUNCTION("""COMPUTED_VALUE"""),"Al Fattan Downtown Tower 2")</f>
        <v>Al Fattan Downtown Tower 2</v>
      </c>
      <c r="C425" s="2" t="str">
        <f ca="1">IFERROR(__xludf.DUMMYFUNCTION("""COMPUTED_VALUE"""),"Building")</f>
        <v>Building</v>
      </c>
      <c r="D425" s="2" t="str">
        <f ca="1">IFERROR(__xludf.DUMMYFUNCTION("""COMPUTED_VALUE"""),"Dubai&gt;Al Satwa&gt;Al Fattan Downtown Towers&gt;Al Fattan Downtown Tower 2")</f>
        <v>Dubai&gt;Al Satwa&gt;Al Fattan Downtown Towers&gt;Al Fattan Downtown Tower 2</v>
      </c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6.5" x14ac:dyDescent="0.35">
      <c r="A426" s="2" t="str">
        <f ca="1">IFERROR(__xludf.DUMMYFUNCTION("""COMPUTED_VALUE"""),"Dubai")</f>
        <v>Dubai</v>
      </c>
      <c r="B426" s="2" t="str">
        <f ca="1">IFERROR(__xludf.DUMMYFUNCTION("""COMPUTED_VALUE"""),"Al Habbai 3 Building")</f>
        <v>Al Habbai 3 Building</v>
      </c>
      <c r="C426" s="2" t="str">
        <f ca="1">IFERROR(__xludf.DUMMYFUNCTION("""COMPUTED_VALUE"""),"Building")</f>
        <v>Building</v>
      </c>
      <c r="D426" s="2" t="str">
        <f ca="1">IFERROR(__xludf.DUMMYFUNCTION("""COMPUTED_VALUE"""),"Dubai&gt;Al Satwa&gt;Jumeirah Garden City&gt;Al Habbai 3 Building")</f>
        <v>Dubai&gt;Al Satwa&gt;Jumeirah Garden City&gt;Al Habbai 3 Building</v>
      </c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6.5" x14ac:dyDescent="0.35">
      <c r="A427" s="2" t="str">
        <f ca="1">IFERROR(__xludf.DUMMYFUNCTION("""COMPUTED_VALUE"""),"Dubai")</f>
        <v>Dubai</v>
      </c>
      <c r="B427" s="2" t="str">
        <f ca="1">IFERROR(__xludf.DUMMYFUNCTION("""COMPUTED_VALUE"""),"Arista One")</f>
        <v>Arista One</v>
      </c>
      <c r="C427" s="2" t="str">
        <f ca="1">IFERROR(__xludf.DUMMYFUNCTION("""COMPUTED_VALUE"""),"Building")</f>
        <v>Building</v>
      </c>
      <c r="D427" s="2" t="str">
        <f ca="1">IFERROR(__xludf.DUMMYFUNCTION("""COMPUTED_VALUE"""),"Dubai&gt;Al Satwa&gt;Jumeirah Garden City&gt;Arista One")</f>
        <v>Dubai&gt;Al Satwa&gt;Jumeirah Garden City&gt;Arista One</v>
      </c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6.5" x14ac:dyDescent="0.35">
      <c r="A428" s="2" t="str">
        <f ca="1">IFERROR(__xludf.DUMMYFUNCTION("""COMPUTED_VALUE"""),"Dubai")</f>
        <v>Dubai</v>
      </c>
      <c r="B428" s="2" t="str">
        <f ca="1">IFERROR(__xludf.DUMMYFUNCTION("""COMPUTED_VALUE"""),"The Flagship Three")</f>
        <v>The Flagship Three</v>
      </c>
      <c r="C428" s="2" t="str">
        <f ca="1">IFERROR(__xludf.DUMMYFUNCTION("""COMPUTED_VALUE"""),"Building")</f>
        <v>Building</v>
      </c>
      <c r="D428" s="2" t="str">
        <f ca="1">IFERROR(__xludf.DUMMYFUNCTION("""COMPUTED_VALUE"""),"Dubai&gt;Al Satwa&gt;Jumeirah Garden City&gt;The Flagship Three")</f>
        <v>Dubai&gt;Al Satwa&gt;Jumeirah Garden City&gt;The Flagship Three</v>
      </c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6.5" x14ac:dyDescent="0.35">
      <c r="A429" s="2" t="str">
        <f ca="1">IFERROR(__xludf.DUMMYFUNCTION("""COMPUTED_VALUE"""),"Dubai")</f>
        <v>Dubai</v>
      </c>
      <c r="B429" s="2" t="str">
        <f ca="1">IFERROR(__xludf.DUMMYFUNCTION("""COMPUTED_VALUE"""),"Arabian Center Mall")</f>
        <v>Arabian Center Mall</v>
      </c>
      <c r="C429" s="2" t="str">
        <f ca="1">IFERROR(__xludf.DUMMYFUNCTION("""COMPUTED_VALUE"""),"Building")</f>
        <v>Building</v>
      </c>
      <c r="D429" s="2" t="str">
        <f ca="1">IFERROR(__xludf.DUMMYFUNCTION("""COMPUTED_VALUE"""),"Dubai&gt;Al Mizhar&gt;Al Mizhar 1&gt;Arabian Center Mall")</f>
        <v>Dubai&gt;Al Mizhar&gt;Al Mizhar 1&gt;Arabian Center Mall</v>
      </c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6.5" x14ac:dyDescent="0.35">
      <c r="A430" s="2" t="str">
        <f ca="1">IFERROR(__xludf.DUMMYFUNCTION("""COMPUTED_VALUE"""),"Dubai")</f>
        <v>Dubai</v>
      </c>
      <c r="B430" s="2" t="str">
        <f ca="1">IFERROR(__xludf.DUMMYFUNCTION("""COMPUTED_VALUE"""),"Building 121")</f>
        <v>Building 121</v>
      </c>
      <c r="C430" s="2" t="str">
        <f ca="1">IFERROR(__xludf.DUMMYFUNCTION("""COMPUTED_VALUE"""),"Building")</f>
        <v>Building</v>
      </c>
      <c r="D430" s="2" t="str">
        <f ca="1">IFERROR(__xludf.DUMMYFUNCTION("""COMPUTED_VALUE"""),"Dubai&gt;Discovery Gardens&gt;Contemporary&gt;Building 121")</f>
        <v>Dubai&gt;Discovery Gardens&gt;Contemporary&gt;Building 121</v>
      </c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6.5" x14ac:dyDescent="0.35">
      <c r="A431" s="2" t="str">
        <f ca="1">IFERROR(__xludf.DUMMYFUNCTION("""COMPUTED_VALUE"""),"Dubai")</f>
        <v>Dubai</v>
      </c>
      <c r="B431" s="2" t="str">
        <f ca="1">IFERROR(__xludf.DUMMYFUNCTION("""COMPUTED_VALUE"""),"Building 243")</f>
        <v>Building 243</v>
      </c>
      <c r="C431" s="2" t="str">
        <f ca="1">IFERROR(__xludf.DUMMYFUNCTION("""COMPUTED_VALUE"""),"Building")</f>
        <v>Building</v>
      </c>
      <c r="D431" s="2" t="str">
        <f ca="1">IFERROR(__xludf.DUMMYFUNCTION("""COMPUTED_VALUE"""),"Dubai&gt;Discovery Gardens&gt;Mesoamerican&gt;Building 243")</f>
        <v>Dubai&gt;Discovery Gardens&gt;Mesoamerican&gt;Building 243</v>
      </c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6.5" x14ac:dyDescent="0.35">
      <c r="A432" s="2" t="str">
        <f ca="1">IFERROR(__xludf.DUMMYFUNCTION("""COMPUTED_VALUE"""),"Dubai")</f>
        <v>Dubai</v>
      </c>
      <c r="B432" s="2" t="str">
        <f ca="1">IFERROR(__xludf.DUMMYFUNCTION("""COMPUTED_VALUE"""),"Building 183")</f>
        <v>Building 183</v>
      </c>
      <c r="C432" s="2" t="str">
        <f ca="1">IFERROR(__xludf.DUMMYFUNCTION("""COMPUTED_VALUE"""),"Building")</f>
        <v>Building</v>
      </c>
      <c r="D432" s="2" t="str">
        <f ca="1">IFERROR(__xludf.DUMMYFUNCTION("""COMPUTED_VALUE"""),"Dubai&gt;Discovery Gardens&gt;Mogul&gt;Building 183")</f>
        <v>Dubai&gt;Discovery Gardens&gt;Mogul&gt;Building 183</v>
      </c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6.5" x14ac:dyDescent="0.35">
      <c r="A433" s="2" t="str">
        <f ca="1">IFERROR(__xludf.DUMMYFUNCTION("""COMPUTED_VALUE"""),"Dubai")</f>
        <v>Dubai</v>
      </c>
      <c r="B433" s="2" t="str">
        <f ca="1">IFERROR(__xludf.DUMMYFUNCTION("""COMPUTED_VALUE"""),"Building 4")</f>
        <v>Building 4</v>
      </c>
      <c r="C433" s="2" t="str">
        <f ca="1">IFERROR(__xludf.DUMMYFUNCTION("""COMPUTED_VALUE"""),"Building")</f>
        <v>Building</v>
      </c>
      <c r="D433" s="2" t="str">
        <f ca="1">IFERROR(__xludf.DUMMYFUNCTION("""COMPUTED_VALUE"""),"Dubai&gt;Discovery Gardens&gt;Zen Cluster&gt;Building 4")</f>
        <v>Dubai&gt;Discovery Gardens&gt;Zen Cluster&gt;Building 4</v>
      </c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6.5" x14ac:dyDescent="0.35">
      <c r="A434" s="2" t="str">
        <f ca="1">IFERROR(__xludf.DUMMYFUNCTION("""COMPUTED_VALUE"""),"Dubai")</f>
        <v>Dubai</v>
      </c>
      <c r="B434" s="2" t="str">
        <f ca="1">IFERROR(__xludf.DUMMYFUNCTION("""COMPUTED_VALUE"""),"Mediterranean")</f>
        <v>Mediterranean</v>
      </c>
      <c r="C434" s="2" t="str">
        <f ca="1">IFERROR(__xludf.DUMMYFUNCTION("""COMPUTED_VALUE"""),"Neighbourhood")</f>
        <v>Neighbourhood</v>
      </c>
      <c r="D434" s="2" t="str">
        <f ca="1">IFERROR(__xludf.DUMMYFUNCTION("""COMPUTED_VALUE"""),"Dubai&gt;Discovery Gardens&gt;Mediterranean")</f>
        <v>Dubai&gt;Discovery Gardens&gt;Mediterranean</v>
      </c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6.5" x14ac:dyDescent="0.35">
      <c r="A435" s="2" t="str">
        <f ca="1">IFERROR(__xludf.DUMMYFUNCTION("""COMPUTED_VALUE"""),"Dubai")</f>
        <v>Dubai</v>
      </c>
      <c r="B435" s="2" t="str">
        <f ca="1">IFERROR(__xludf.DUMMYFUNCTION("""COMPUTED_VALUE"""),"Building 47")</f>
        <v>Building 47</v>
      </c>
      <c r="C435" s="2" t="str">
        <f ca="1">IFERROR(__xludf.DUMMYFUNCTION("""COMPUTED_VALUE"""),"Building")</f>
        <v>Building</v>
      </c>
      <c r="D435" s="2" t="str">
        <f ca="1">IFERROR(__xludf.DUMMYFUNCTION("""COMPUTED_VALUE"""),"Dubai&gt;Discovery Gardens&gt;Mediterranean&gt;Building 47")</f>
        <v>Dubai&gt;Discovery Gardens&gt;Mediterranean&gt;Building 47</v>
      </c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6.5" x14ac:dyDescent="0.35">
      <c r="A436" s="2" t="str">
        <f ca="1">IFERROR(__xludf.DUMMYFUNCTION("""COMPUTED_VALUE"""),"Dubai")</f>
        <v>Dubai</v>
      </c>
      <c r="B436" s="2" t="str">
        <f ca="1">IFERROR(__xludf.DUMMYFUNCTION("""COMPUTED_VALUE"""),"Building 98")</f>
        <v>Building 98</v>
      </c>
      <c r="C436" s="2" t="str">
        <f ca="1">IFERROR(__xludf.DUMMYFUNCTION("""COMPUTED_VALUE"""),"Building")</f>
        <v>Building</v>
      </c>
      <c r="D436" s="2" t="str">
        <f ca="1">IFERROR(__xludf.DUMMYFUNCTION("""COMPUTED_VALUE"""),"Dubai&gt;Discovery Gardens&gt;Mediterranean&gt;Building 98")</f>
        <v>Dubai&gt;Discovery Gardens&gt;Mediterranean&gt;Building 98</v>
      </c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6.5" x14ac:dyDescent="0.35">
      <c r="A437" s="2" t="str">
        <f ca="1">IFERROR(__xludf.DUMMYFUNCTION("""COMPUTED_VALUE"""),"Dubai")</f>
        <v>Dubai</v>
      </c>
      <c r="B437" s="2" t="str">
        <f ca="1">IFERROR(__xludf.DUMMYFUNCTION("""COMPUTED_VALUE"""),"Asya’s Nursery")</f>
        <v>Asya’s Nursery</v>
      </c>
      <c r="C437" s="2" t="str">
        <f ca="1">IFERROR(__xludf.DUMMYFUNCTION("""COMPUTED_VALUE"""),"Nursery")</f>
        <v>Nursery</v>
      </c>
      <c r="D437" s="2" t="str">
        <f ca="1">IFERROR(__xludf.DUMMYFUNCTION("""COMPUTED_VALUE"""),"Dubai&gt;Palm Jumeirah&gt;Shoreline Apartments&gt;Asya’s Nursery")</f>
        <v>Dubai&gt;Palm Jumeirah&gt;Shoreline Apartments&gt;Asya’s Nursery</v>
      </c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6.5" x14ac:dyDescent="0.35">
      <c r="A438" s="2" t="str">
        <f ca="1">IFERROR(__xludf.DUMMYFUNCTION("""COMPUTED_VALUE"""),"Dubai")</f>
        <v>Dubai</v>
      </c>
      <c r="B438" s="2" t="str">
        <f ca="1">IFERROR(__xludf.DUMMYFUNCTION("""COMPUTED_VALUE"""),"Ruby")</f>
        <v>Ruby</v>
      </c>
      <c r="C438" s="2" t="str">
        <f ca="1">IFERROR(__xludf.DUMMYFUNCTION("""COMPUTED_VALUE"""),"Building")</f>
        <v>Building</v>
      </c>
      <c r="D438" s="2" t="str">
        <f ca="1">IFERROR(__xludf.DUMMYFUNCTION("""COMPUTED_VALUE"""),"Dubai&gt;Palm Jumeirah&gt;Tiara Residences&gt;Ruby")</f>
        <v>Dubai&gt;Palm Jumeirah&gt;Tiara Residences&gt;Ruby</v>
      </c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6.5" x14ac:dyDescent="0.35">
      <c r="A439" s="2" t="str">
        <f ca="1">IFERROR(__xludf.DUMMYFUNCTION("""COMPUTED_VALUE"""),"Dubai")</f>
        <v>Dubai</v>
      </c>
      <c r="B439" s="2" t="str">
        <f ca="1">IFERROR(__xludf.DUMMYFUNCTION("""COMPUTED_VALUE"""),"Golden Mile 6")</f>
        <v>Golden Mile 6</v>
      </c>
      <c r="C439" s="2" t="str">
        <f ca="1">IFERROR(__xludf.DUMMYFUNCTION("""COMPUTED_VALUE"""),"Building")</f>
        <v>Building</v>
      </c>
      <c r="D439" s="2" t="str">
        <f ca="1">IFERROR(__xludf.DUMMYFUNCTION("""COMPUTED_VALUE"""),"Dubai&gt;Palm Jumeirah&gt;Golden Mile&gt;Golden Mile 6")</f>
        <v>Dubai&gt;Palm Jumeirah&gt;Golden Mile&gt;Golden Mile 6</v>
      </c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6.5" x14ac:dyDescent="0.35">
      <c r="A440" s="2" t="str">
        <f ca="1">IFERROR(__xludf.DUMMYFUNCTION("""COMPUTED_VALUE"""),"Dubai")</f>
        <v>Dubai</v>
      </c>
      <c r="B440" s="2" t="str">
        <f ca="1">IFERROR(__xludf.DUMMYFUNCTION("""COMPUTED_VALUE"""),"Raffles The Palm Dubai")</f>
        <v>Raffles The Palm Dubai</v>
      </c>
      <c r="C440" s="2" t="str">
        <f ca="1">IFERROR(__xludf.DUMMYFUNCTION("""COMPUTED_VALUE"""),"Building")</f>
        <v>Building</v>
      </c>
      <c r="D440" s="2" t="str">
        <f ca="1">IFERROR(__xludf.DUMMYFUNCTION("""COMPUTED_VALUE"""),"Dubai&gt;Palm Jumeirah&gt;The Crescent&gt;Raffles The Palm Dubai")</f>
        <v>Dubai&gt;Palm Jumeirah&gt;The Crescent&gt;Raffles The Palm Dubai</v>
      </c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6.5" x14ac:dyDescent="0.35">
      <c r="A441" s="2" t="str">
        <f ca="1">IFERROR(__xludf.DUMMYFUNCTION("""COMPUTED_VALUE"""),"Dubai")</f>
        <v>Dubai</v>
      </c>
      <c r="B441" s="2" t="str">
        <f ca="1">IFERROR(__xludf.DUMMYFUNCTION("""COMPUTED_VALUE"""),"Garden Homes Frond G")</f>
        <v>Garden Homes Frond G</v>
      </c>
      <c r="C441" s="2" t="str">
        <f ca="1">IFERROR(__xludf.DUMMYFUNCTION("""COMPUTED_VALUE"""),"Neighbourhood")</f>
        <v>Neighbourhood</v>
      </c>
      <c r="D441" s="2" t="str">
        <f ca="1">IFERROR(__xludf.DUMMYFUNCTION("""COMPUTED_VALUE"""),"Dubai&gt;Palm Jumeirah&gt;Garden Homes Palm Jumeirah&gt;Garden Homes Frond G")</f>
        <v>Dubai&gt;Palm Jumeirah&gt;Garden Homes Palm Jumeirah&gt;Garden Homes Frond G</v>
      </c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6.5" x14ac:dyDescent="0.35">
      <c r="A442" s="2" t="str">
        <f ca="1">IFERROR(__xludf.DUMMYFUNCTION("""COMPUTED_VALUE"""),"Dubai")</f>
        <v>Dubai</v>
      </c>
      <c r="B442" s="2" t="str">
        <f ca="1">IFERROR(__xludf.DUMMYFUNCTION("""COMPUTED_VALUE"""),"Serenia Residences East Wing")</f>
        <v>Serenia Residences East Wing</v>
      </c>
      <c r="C442" s="2" t="str">
        <f ca="1">IFERROR(__xludf.DUMMYFUNCTION("""COMPUTED_VALUE"""),"Building")</f>
        <v>Building</v>
      </c>
      <c r="D442" s="2" t="str">
        <f ca="1">IFERROR(__xludf.DUMMYFUNCTION("""COMPUTED_VALUE"""),"Dubai&gt;Palm Jumeirah&gt;Serenia Residences The Palm&gt;Serenia Residences East Wing")</f>
        <v>Dubai&gt;Palm Jumeirah&gt;Serenia Residences The Palm&gt;Serenia Residences East Wing</v>
      </c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6.5" x14ac:dyDescent="0.35">
      <c r="A443" s="2" t="str">
        <f ca="1">IFERROR(__xludf.DUMMYFUNCTION("""COMPUTED_VALUE"""),"Dubai")</f>
        <v>Dubai</v>
      </c>
      <c r="B443" s="2" t="str">
        <f ca="1">IFERROR(__xludf.DUMMYFUNCTION("""COMPUTED_VALUE"""),"Palm Jumeirah Mall")</f>
        <v>Palm Jumeirah Mall</v>
      </c>
      <c r="C443" s="2" t="str">
        <f ca="1">IFERROR(__xludf.DUMMYFUNCTION("""COMPUTED_VALUE"""),"Building")</f>
        <v>Building</v>
      </c>
      <c r="D443" s="2" t="str">
        <f ca="1">IFERROR(__xludf.DUMMYFUNCTION("""COMPUTED_VALUE"""),"Dubai&gt;Palm Jumeirah&gt;Palm Jumeirah Mall")</f>
        <v>Dubai&gt;Palm Jumeirah&gt;Palm Jumeirah Mall</v>
      </c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6.5" x14ac:dyDescent="0.35">
      <c r="A444" s="2" t="str">
        <f ca="1">IFERROR(__xludf.DUMMYFUNCTION("""COMPUTED_VALUE"""),"Dubai")</f>
        <v>Dubai</v>
      </c>
      <c r="B444" s="2" t="str">
        <f ca="1">IFERROR(__xludf.DUMMYFUNCTION("""COMPUTED_VALUE"""),"Dubai Healthcare City Phase 2")</f>
        <v>Dubai Healthcare City Phase 2</v>
      </c>
      <c r="C444" s="2" t="str">
        <f ca="1">IFERROR(__xludf.DUMMYFUNCTION("""COMPUTED_VALUE"""),"Neighbourhood")</f>
        <v>Neighbourhood</v>
      </c>
      <c r="D444" s="2" t="str">
        <f ca="1">IFERROR(__xludf.DUMMYFUNCTION("""COMPUTED_VALUE"""),"Dubai&gt;Al Jaddaf&gt;Dubai Healthcare City Phase 2")</f>
        <v>Dubai&gt;Al Jaddaf&gt;Dubai Healthcare City Phase 2</v>
      </c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6.5" x14ac:dyDescent="0.35">
      <c r="A445" s="2" t="str">
        <f ca="1">IFERROR(__xludf.DUMMYFUNCTION("""COMPUTED_VALUE"""),"Dubai")</f>
        <v>Dubai</v>
      </c>
      <c r="B445" s="2" t="str">
        <f ca="1">IFERROR(__xludf.DUMMYFUNCTION("""COMPUTED_VALUE"""),"Al Kharbash Residence A")</f>
        <v>Al Kharbash Residence A</v>
      </c>
      <c r="C445" s="2" t="str">
        <f ca="1">IFERROR(__xludf.DUMMYFUNCTION("""COMPUTED_VALUE"""),"Building")</f>
        <v>Building</v>
      </c>
      <c r="D445" s="2" t="str">
        <f ca="1">IFERROR(__xludf.DUMMYFUNCTION("""COMPUTED_VALUE"""),"Dubai&gt;Al Jaddaf&gt;Al Kharbash Residence&gt;Al Kharbash Residence A")</f>
        <v>Dubai&gt;Al Jaddaf&gt;Al Kharbash Residence&gt;Al Kharbash Residence A</v>
      </c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6.5" x14ac:dyDescent="0.35">
      <c r="A446" s="2" t="str">
        <f ca="1">IFERROR(__xludf.DUMMYFUNCTION("""COMPUTED_VALUE"""),"Dubai")</f>
        <v>Dubai</v>
      </c>
      <c r="B446" s="2" t="str">
        <f ca="1">IFERROR(__xludf.DUMMYFUNCTION("""COMPUTED_VALUE"""),"Yasmeen Building")</f>
        <v>Yasmeen Building</v>
      </c>
      <c r="C446" s="2" t="str">
        <f ca="1">IFERROR(__xludf.DUMMYFUNCTION("""COMPUTED_VALUE"""),"Building")</f>
        <v>Building</v>
      </c>
      <c r="D446" s="2" t="str">
        <f ca="1">IFERROR(__xludf.DUMMYFUNCTION("""COMPUTED_VALUE"""),"Dubai&gt;Al Jaddaf&gt;Yasmeen Building")</f>
        <v>Dubai&gt;Al Jaddaf&gt;Yasmeen Building</v>
      </c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6.5" x14ac:dyDescent="0.35">
      <c r="A447" s="2" t="str">
        <f ca="1">IFERROR(__xludf.DUMMYFUNCTION("""COMPUTED_VALUE"""),"Dubai")</f>
        <v>Dubai</v>
      </c>
      <c r="B447" s="2" t="str">
        <f ca="1">IFERROR(__xludf.DUMMYFUNCTION("""COMPUTED_VALUE"""),"The Beach Collection")</f>
        <v>The Beach Collection</v>
      </c>
      <c r="C447" s="2" t="str">
        <f ca="1">IFERROR(__xludf.DUMMYFUNCTION("""COMPUTED_VALUE"""),"Neighbourhood")</f>
        <v>Neighbourhood</v>
      </c>
      <c r="D447" s="2" t="str">
        <f ca="1">IFERROR(__xludf.DUMMYFUNCTION("""COMPUTED_VALUE"""),"Dubai&gt;Palm Jebel Ali&gt;Frond O&gt;The Beach Collection")</f>
        <v>Dubai&gt;Palm Jebel Ali&gt;Frond O&gt;The Beach Collection</v>
      </c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6.5" x14ac:dyDescent="0.35">
      <c r="A448" s="2" t="str">
        <f ca="1">IFERROR(__xludf.DUMMYFUNCTION("""COMPUTED_VALUE"""),"Dubai")</f>
        <v>Dubai</v>
      </c>
      <c r="B448" s="2" t="str">
        <f ca="1">IFERROR(__xludf.DUMMYFUNCTION("""COMPUTED_VALUE"""),"Marriott Residences Tower 3")</f>
        <v>Marriott Residences Tower 3</v>
      </c>
      <c r="C448" s="2" t="str">
        <f ca="1">IFERROR(__xludf.DUMMYFUNCTION("""COMPUTED_VALUE"""),"Building")</f>
        <v>Building</v>
      </c>
      <c r="D448" s="2" t="str">
        <f ca="1">IFERROR(__xludf.DUMMYFUNCTION("""COMPUTED_VALUE"""),"Dubai&gt;Dubai Science Park&gt;Marriott Residences Al Barsha South&gt;Marriott Residences Tower 3")</f>
        <v>Dubai&gt;Dubai Science Park&gt;Marriott Residences Al Barsha South&gt;Marriott Residences Tower 3</v>
      </c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6.5" x14ac:dyDescent="0.35">
      <c r="A449" s="2" t="str">
        <f ca="1">IFERROR(__xludf.DUMMYFUNCTION("""COMPUTED_VALUE"""),"Dubai")</f>
        <v>Dubai</v>
      </c>
      <c r="B449" s="2" t="str">
        <f ca="1">IFERROR(__xludf.DUMMYFUNCTION("""COMPUTED_VALUE"""),"Dragon Towers")</f>
        <v>Dragon Towers</v>
      </c>
      <c r="C449" s="2" t="str">
        <f ca="1">IFERROR(__xludf.DUMMYFUNCTION("""COMPUTED_VALUE"""),"Cluster")</f>
        <v>Cluster</v>
      </c>
      <c r="D449" s="2" t="str">
        <f ca="1">IFERROR(__xludf.DUMMYFUNCTION("""COMPUTED_VALUE"""),"Dubai&gt;Dragon City&gt;Dragon Towers")</f>
        <v>Dubai&gt;Dragon City&gt;Dragon Towers</v>
      </c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6.5" x14ac:dyDescent="0.35">
      <c r="A450" s="2" t="str">
        <f ca="1">IFERROR(__xludf.DUMMYFUNCTION("""COMPUTED_VALUE"""),"Dubai")</f>
        <v>Dubai</v>
      </c>
      <c r="B450" s="2" t="str">
        <f ca="1">IFERROR(__xludf.DUMMYFUNCTION("""COMPUTED_VALUE"""),"Hillside Residences 1 Building A")</f>
        <v>Hillside Residences 1 Building A</v>
      </c>
      <c r="C450" s="2" t="str">
        <f ca="1">IFERROR(__xludf.DUMMYFUNCTION("""COMPUTED_VALUE"""),"Building")</f>
        <v>Building</v>
      </c>
      <c r="D450" s="2" t="str">
        <f ca="1">IFERROR(__xludf.DUMMYFUNCTION("""COMPUTED_VALUE"""),"Dubai&gt;Wasl Gate&gt;Hillside Residences&gt;Hillside Residences 1&gt;Hillside Residences 1 Building A")</f>
        <v>Dubai&gt;Wasl Gate&gt;Hillside Residences&gt;Hillside Residences 1&gt;Hillside Residences 1 Building A</v>
      </c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6.5" x14ac:dyDescent="0.35">
      <c r="A451" s="2" t="str">
        <f ca="1">IFERROR(__xludf.DUMMYFUNCTION("""COMPUTED_VALUE"""),"Dubai")</f>
        <v>Dubai</v>
      </c>
      <c r="B451" s="2" t="str">
        <f ca="1">IFERROR(__xludf.DUMMYFUNCTION("""COMPUTED_VALUE"""),"Nad Al Sheba 1")</f>
        <v>Nad Al Sheba 1</v>
      </c>
      <c r="C451" s="2" t="str">
        <f ca="1">IFERROR(__xludf.DUMMYFUNCTION("""COMPUTED_VALUE"""),"Neighbourhood")</f>
        <v>Neighbourhood</v>
      </c>
      <c r="D451" s="2" t="str">
        <f ca="1">IFERROR(__xludf.DUMMYFUNCTION("""COMPUTED_VALUE"""),"Dubai&gt;Nad Al Sheba&gt;Nad Al Sheba 1")</f>
        <v>Dubai&gt;Nad Al Sheba&gt;Nad Al Sheba 1</v>
      </c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6.5" x14ac:dyDescent="0.35">
      <c r="A452" s="2" t="str">
        <f ca="1">IFERROR(__xludf.DUMMYFUNCTION("""COMPUTED_VALUE"""),"Dubai")</f>
        <v>Dubai</v>
      </c>
      <c r="B452" s="2" t="str">
        <f ca="1">IFERROR(__xludf.DUMMYFUNCTION("""COMPUTED_VALUE"""),"GEMS Modern Academy")</f>
        <v>GEMS Modern Academy</v>
      </c>
      <c r="C452" s="2" t="str">
        <f ca="1">IFERROR(__xludf.DUMMYFUNCTION("""COMPUTED_VALUE"""),"School")</f>
        <v>School</v>
      </c>
      <c r="D452" s="2" t="str">
        <f ca="1">IFERROR(__xludf.DUMMYFUNCTION("""COMPUTED_VALUE"""),"Dubai&gt;Nad Al Sheba&gt;Nad Al Sheba 3&gt;GEMS Modern Academy")</f>
        <v>Dubai&gt;Nad Al Sheba&gt;Nad Al Sheba 3&gt;GEMS Modern Academy</v>
      </c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6.5" x14ac:dyDescent="0.35">
      <c r="A453" s="2" t="str">
        <f ca="1">IFERROR(__xludf.DUMMYFUNCTION("""COMPUTED_VALUE"""),"Dubai")</f>
        <v>Dubai</v>
      </c>
      <c r="B453" s="2" t="str">
        <f ca="1">IFERROR(__xludf.DUMMYFUNCTION("""COMPUTED_VALUE"""),"DIC")</f>
        <v>DIC</v>
      </c>
      <c r="C453" s="2" t="str">
        <f ca="1">IFERROR(__xludf.DUMMYFUNCTION("""COMPUTED_VALUE"""),"Cluster")</f>
        <v>Cluster</v>
      </c>
      <c r="D453" s="2" t="str">
        <f ca="1">IFERROR(__xludf.DUMMYFUNCTION("""COMPUTED_VALUE"""),"Dubai&gt;Dubai Internet City&gt;DIC")</f>
        <v>Dubai&gt;Dubai Internet City&gt;DIC</v>
      </c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6.5" x14ac:dyDescent="0.35">
      <c r="A454" s="2" t="str">
        <f ca="1">IFERROR(__xludf.DUMMYFUNCTION("""COMPUTED_VALUE"""),"Dubai")</f>
        <v>Dubai</v>
      </c>
      <c r="B454" s="2" t="str">
        <f ca="1">IFERROR(__xludf.DUMMYFUNCTION("""COMPUTED_VALUE"""),"Ruba")</f>
        <v>Ruba</v>
      </c>
      <c r="C454" s="2" t="str">
        <f ca="1">IFERROR(__xludf.DUMMYFUNCTION("""COMPUTED_VALUE"""),"Neighbourhood")</f>
        <v>Neighbourhood</v>
      </c>
      <c r="D454" s="2" t="str">
        <f ca="1">IFERROR(__xludf.DUMMYFUNCTION("""COMPUTED_VALUE"""),"Dubai&gt;Arabian Ranches 3&gt;Ruba")</f>
        <v>Dubai&gt;Arabian Ranches 3&gt;Ruba</v>
      </c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6.5" x14ac:dyDescent="0.35">
      <c r="A455" s="2" t="str">
        <f ca="1">IFERROR(__xludf.DUMMYFUNCTION("""COMPUTED_VALUE"""),"Dubai")</f>
        <v>Dubai</v>
      </c>
      <c r="B455" s="2" t="str">
        <f ca="1">IFERROR(__xludf.DUMMYFUNCTION("""COMPUTED_VALUE"""),"Seascape Building 1")</f>
        <v>Seascape Building 1</v>
      </c>
      <c r="C455" s="2" t="str">
        <f ca="1">IFERROR(__xludf.DUMMYFUNCTION("""COMPUTED_VALUE"""),"Building")</f>
        <v>Building</v>
      </c>
      <c r="D455" s="2" t="str">
        <f ca="1">IFERROR(__xludf.DUMMYFUNCTION("""COMPUTED_VALUE"""),"Dubai&gt;Mina Rashid&gt;Seascape&gt;Seascape Building 1")</f>
        <v>Dubai&gt;Mina Rashid&gt;Seascape&gt;Seascape Building 1</v>
      </c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6.5" x14ac:dyDescent="0.35">
      <c r="A456" s="2" t="str">
        <f ca="1">IFERROR(__xludf.DUMMYFUNCTION("""COMPUTED_VALUE"""),"Dubai")</f>
        <v>Dubai</v>
      </c>
      <c r="B456" s="2" t="str">
        <f ca="1">IFERROR(__xludf.DUMMYFUNCTION("""COMPUTED_VALUE"""),"Sera 2")</f>
        <v>Sera 2</v>
      </c>
      <c r="C456" s="2" t="str">
        <f ca="1">IFERROR(__xludf.DUMMYFUNCTION("""COMPUTED_VALUE"""),"Cluster")</f>
        <v>Cluster</v>
      </c>
      <c r="D456" s="2" t="str">
        <f ca="1">IFERROR(__xludf.DUMMYFUNCTION("""COMPUTED_VALUE"""),"Dubai&gt;Mina Rashid&gt;Sera 2")</f>
        <v>Dubai&gt;Mina Rashid&gt;Sera 2</v>
      </c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6.5" x14ac:dyDescent="0.35">
      <c r="A457" s="2" t="str">
        <f ca="1">IFERROR(__xludf.DUMMYFUNCTION("""COMPUTED_VALUE"""),"Dubai")</f>
        <v>Dubai</v>
      </c>
      <c r="B457" s="2" t="str">
        <f ca="1">IFERROR(__xludf.DUMMYFUNCTION("""COMPUTED_VALUE"""),"Rivana")</f>
        <v>Rivana</v>
      </c>
      <c r="C457" s="2" t="str">
        <f ca="1">IFERROR(__xludf.DUMMYFUNCTION("""COMPUTED_VALUE"""),"Neighbourhood")</f>
        <v>Neighbourhood</v>
      </c>
      <c r="D457" s="2" t="str">
        <f ca="1">IFERROR(__xludf.DUMMYFUNCTION("""COMPUTED_VALUE"""),"Dubai&gt;The Valley by Emaar&gt;Rivana")</f>
        <v>Dubai&gt;The Valley by Emaar&gt;Rivana</v>
      </c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6.5" x14ac:dyDescent="0.35">
      <c r="A458" s="2" t="str">
        <f ca="1">IFERROR(__xludf.DUMMYFUNCTION("""COMPUTED_VALUE"""),"Dubai")</f>
        <v>Dubai</v>
      </c>
      <c r="B458" s="2" t="str">
        <f ca="1">IFERROR(__xludf.DUMMYFUNCTION("""COMPUTED_VALUE"""),"Al Reem")</f>
        <v>Al Reem</v>
      </c>
      <c r="C458" s="2" t="str">
        <f ca="1">IFERROR(__xludf.DUMMYFUNCTION("""COMPUTED_VALUE"""),"Neighbourhood")</f>
        <v>Neighbourhood</v>
      </c>
      <c r="D458" s="2" t="str">
        <f ca="1">IFERROR(__xludf.DUMMYFUNCTION("""COMPUTED_VALUE"""),"Dubai&gt;Arabian Ranches&gt;Al Reem")</f>
        <v>Dubai&gt;Arabian Ranches&gt;Al Reem</v>
      </c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6.5" x14ac:dyDescent="0.35">
      <c r="A459" s="2" t="str">
        <f ca="1">IFERROR(__xludf.DUMMYFUNCTION("""COMPUTED_VALUE"""),"Dubai")</f>
        <v>Dubai</v>
      </c>
      <c r="B459" s="2" t="str">
        <f ca="1">IFERROR(__xludf.DUMMYFUNCTION("""COMPUTED_VALUE"""),"The Gardens Apartments 1")</f>
        <v>The Gardens Apartments 1</v>
      </c>
      <c r="C459" s="2" t="str">
        <f ca="1">IFERROR(__xludf.DUMMYFUNCTION("""COMPUTED_VALUE"""),"Building")</f>
        <v>Building</v>
      </c>
      <c r="D459" s="2" t="str">
        <f ca="1">IFERROR(__xludf.DUMMYFUNCTION("""COMPUTED_VALUE"""),"Dubai&gt;The Gardens&gt;The Gardens Apartments&gt;The Gardens Apartments 1")</f>
        <v>Dubai&gt;The Gardens&gt;The Gardens Apartments&gt;The Gardens Apartments 1</v>
      </c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6.5" x14ac:dyDescent="0.35">
      <c r="A460" s="2" t="str">
        <f ca="1">IFERROR(__xludf.DUMMYFUNCTION("""COMPUTED_VALUE"""),"Dubai")</f>
        <v>Dubai</v>
      </c>
      <c r="B460" s="2" t="str">
        <f ca="1">IFERROR(__xludf.DUMMYFUNCTION("""COMPUTED_VALUE"""),"The Gardens Building 60")</f>
        <v>The Gardens Building 60</v>
      </c>
      <c r="C460" s="2" t="str">
        <f ca="1">IFERROR(__xludf.DUMMYFUNCTION("""COMPUTED_VALUE"""),"Building")</f>
        <v>Building</v>
      </c>
      <c r="D460" s="2" t="str">
        <f ca="1">IFERROR(__xludf.DUMMYFUNCTION("""COMPUTED_VALUE"""),"Dubai&gt;The Gardens&gt;The Gardens Building 60")</f>
        <v>Dubai&gt;The Gardens&gt;The Gardens Building 60</v>
      </c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6.5" x14ac:dyDescent="0.35">
      <c r="A461" s="2" t="str">
        <f ca="1">IFERROR(__xludf.DUMMYFUNCTION("""COMPUTED_VALUE"""),"Dubai")</f>
        <v>Dubai</v>
      </c>
      <c r="B461" s="2" t="str">
        <f ca="1">IFERROR(__xludf.DUMMYFUNCTION("""COMPUTED_VALUE"""),"The Gardens Building 71")</f>
        <v>The Gardens Building 71</v>
      </c>
      <c r="C461" s="2" t="str">
        <f ca="1">IFERROR(__xludf.DUMMYFUNCTION("""COMPUTED_VALUE"""),"Building")</f>
        <v>Building</v>
      </c>
      <c r="D461" s="2" t="str">
        <f ca="1">IFERROR(__xludf.DUMMYFUNCTION("""COMPUTED_VALUE"""),"Dubai&gt;The Gardens&gt;The Gardens Building 71")</f>
        <v>Dubai&gt;The Gardens&gt;The Gardens Building 71</v>
      </c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6.5" x14ac:dyDescent="0.35">
      <c r="A462" s="2" t="str">
        <f ca="1">IFERROR(__xludf.DUMMYFUNCTION("""COMPUTED_VALUE"""),"Dubai")</f>
        <v>Dubai</v>
      </c>
      <c r="B462" s="2" t="str">
        <f ca="1">IFERROR(__xludf.DUMMYFUNCTION("""COMPUTED_VALUE"""),"The Gardens Building 18")</f>
        <v>The Gardens Building 18</v>
      </c>
      <c r="C462" s="2" t="str">
        <f ca="1">IFERROR(__xludf.DUMMYFUNCTION("""COMPUTED_VALUE"""),"Building")</f>
        <v>Building</v>
      </c>
      <c r="D462" s="2" t="str">
        <f ca="1">IFERROR(__xludf.DUMMYFUNCTION("""COMPUTED_VALUE"""),"Dubai&gt;The Gardens&gt;The Gardens Building 18")</f>
        <v>Dubai&gt;The Gardens&gt;The Gardens Building 18</v>
      </c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6.5" x14ac:dyDescent="0.35">
      <c r="A463" s="2" t="str">
        <f ca="1">IFERROR(__xludf.DUMMYFUNCTION("""COMPUTED_VALUE"""),"Dubai")</f>
        <v>Dubai</v>
      </c>
      <c r="B463" s="2" t="str">
        <f ca="1">IFERROR(__xludf.DUMMYFUNCTION("""COMPUTED_VALUE"""),"The Gardens Building 61")</f>
        <v>The Gardens Building 61</v>
      </c>
      <c r="C463" s="2" t="str">
        <f ca="1">IFERROR(__xludf.DUMMYFUNCTION("""COMPUTED_VALUE"""),"Building")</f>
        <v>Building</v>
      </c>
      <c r="D463" s="2" t="str">
        <f ca="1">IFERROR(__xludf.DUMMYFUNCTION("""COMPUTED_VALUE"""),"Dubai&gt;The Gardens&gt;The Gardens Building 61")</f>
        <v>Dubai&gt;The Gardens&gt;The Gardens Building 61</v>
      </c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6.5" x14ac:dyDescent="0.35">
      <c r="A464" s="2" t="str">
        <f ca="1">IFERROR(__xludf.DUMMYFUNCTION("""COMPUTED_VALUE"""),"Dubai")</f>
        <v>Dubai</v>
      </c>
      <c r="B464" s="2" t="str">
        <f ca="1">IFERROR(__xludf.DUMMYFUNCTION("""COMPUTED_VALUE"""),"Al Suhail Tower")</f>
        <v>Al Suhail Tower</v>
      </c>
      <c r="C464" s="2" t="str">
        <f ca="1">IFERROR(__xludf.DUMMYFUNCTION("""COMPUTED_VALUE"""),"Building")</f>
        <v>Building</v>
      </c>
      <c r="D464" s="2" t="str">
        <f ca="1">IFERROR(__xludf.DUMMYFUNCTION("""COMPUTED_VALUE"""),"Dubai&gt;Al Mamzar&gt;Al Suhail Tower")</f>
        <v>Dubai&gt;Al Mamzar&gt;Al Suhail Tower</v>
      </c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6.5" x14ac:dyDescent="0.35">
      <c r="A465" s="2" t="str">
        <f ca="1">IFERROR(__xludf.DUMMYFUNCTION("""COMPUTED_VALUE"""),"Dubai")</f>
        <v>Dubai</v>
      </c>
      <c r="B465" s="2" t="str">
        <f ca="1">IFERROR(__xludf.DUMMYFUNCTION("""COMPUTED_VALUE"""),"Bluewaters Bay Building 1")</f>
        <v>Bluewaters Bay Building 1</v>
      </c>
      <c r="C465" s="2" t="str">
        <f ca="1">IFERROR(__xludf.DUMMYFUNCTION("""COMPUTED_VALUE"""),"Building")</f>
        <v>Building</v>
      </c>
      <c r="D465" s="2" t="str">
        <f ca="1">IFERROR(__xludf.DUMMYFUNCTION("""COMPUTED_VALUE"""),"Dubai&gt;Bluewaters Island&gt;Bluewaters Bay&gt;Bluewaters Bay Building 1")</f>
        <v>Dubai&gt;Bluewaters Island&gt;Bluewaters Bay&gt;Bluewaters Bay Building 1</v>
      </c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6.5" x14ac:dyDescent="0.35">
      <c r="A466" s="2" t="str">
        <f ca="1">IFERROR(__xludf.DUMMYFUNCTION("""COMPUTED_VALUE"""),"Dubai")</f>
        <v>Dubai</v>
      </c>
      <c r="B466" s="2" t="str">
        <f ca="1">IFERROR(__xludf.DUMMYFUNCTION("""COMPUTED_VALUE"""),"Concord 3")</f>
        <v>Concord 3</v>
      </c>
      <c r="C466" s="2" t="str">
        <f ca="1">IFERROR(__xludf.DUMMYFUNCTION("""COMPUTED_VALUE"""),"Building")</f>
        <v>Building</v>
      </c>
      <c r="D466" s="2" t="str">
        <f ca="1">IFERROR(__xludf.DUMMYFUNCTION("""COMPUTED_VALUE"""),"Dubai&gt;Muhaisnah&gt;Muhaisnah 4&gt;Concord 3")</f>
        <v>Dubai&gt;Muhaisnah&gt;Muhaisnah 4&gt;Concord 3</v>
      </c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6.5" x14ac:dyDescent="0.35">
      <c r="A467" s="2" t="str">
        <f ca="1">IFERROR(__xludf.DUMMYFUNCTION("""COMPUTED_VALUE"""),"Dubai")</f>
        <v>Dubai</v>
      </c>
      <c r="B467" s="2" t="str">
        <f ca="1">IFERROR(__xludf.DUMMYFUNCTION("""COMPUTED_VALUE"""),"Qamar 5")</f>
        <v>Qamar 5</v>
      </c>
      <c r="C467" s="2" t="str">
        <f ca="1">IFERROR(__xludf.DUMMYFUNCTION("""COMPUTED_VALUE"""),"Building")</f>
        <v>Building</v>
      </c>
      <c r="D467" s="2" t="str">
        <f ca="1">IFERROR(__xludf.DUMMYFUNCTION("""COMPUTED_VALUE"""),"Dubai&gt;Muhaisnah&gt;Muhaisnah 1&gt;Madinat Badr&gt;Qamar 5")</f>
        <v>Dubai&gt;Muhaisnah&gt;Muhaisnah 1&gt;Madinat Badr&gt;Qamar 5</v>
      </c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6.5" x14ac:dyDescent="0.35">
      <c r="A468" s="2" t="str">
        <f ca="1">IFERROR(__xludf.DUMMYFUNCTION("""COMPUTED_VALUE"""),"Dubai")</f>
        <v>Dubai</v>
      </c>
      <c r="B468" s="2" t="str">
        <f ca="1">IFERROR(__xludf.DUMMYFUNCTION("""COMPUTED_VALUE"""),"Eiffel 2")</f>
        <v>Eiffel 2</v>
      </c>
      <c r="C468" s="2" t="str">
        <f ca="1">IFERROR(__xludf.DUMMYFUNCTION("""COMPUTED_VALUE"""),"Building")</f>
        <v>Building</v>
      </c>
      <c r="D468" s="2" t="str">
        <f ca="1">IFERROR(__xludf.DUMMYFUNCTION("""COMPUTED_VALUE"""),"Dubai&gt;Sheikh Zayed Road&gt;Eiffel 2")</f>
        <v>Dubai&gt;Sheikh Zayed Road&gt;Eiffel 2</v>
      </c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6.5" x14ac:dyDescent="0.35">
      <c r="A469" s="2" t="str">
        <f ca="1">IFERROR(__xludf.DUMMYFUNCTION("""COMPUTED_VALUE"""),"Dubai")</f>
        <v>Dubai</v>
      </c>
      <c r="B469" s="2" t="str">
        <f ca="1">IFERROR(__xludf.DUMMYFUNCTION("""COMPUTED_VALUE"""),"Al Kawakeb E")</f>
        <v>Al Kawakeb E</v>
      </c>
      <c r="C469" s="2" t="str">
        <f ca="1">IFERROR(__xludf.DUMMYFUNCTION("""COMPUTED_VALUE"""),"Building")</f>
        <v>Building</v>
      </c>
      <c r="D469" s="2" t="str">
        <f ca="1">IFERROR(__xludf.DUMMYFUNCTION("""COMPUTED_VALUE"""),"Dubai&gt;Sheikh Zayed Road&gt;Al Kawakeb&gt;Al Kawakeb E")</f>
        <v>Dubai&gt;Sheikh Zayed Road&gt;Al Kawakeb&gt;Al Kawakeb E</v>
      </c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6.5" x14ac:dyDescent="0.35">
      <c r="A470" s="2" t="str">
        <f ca="1">IFERROR(__xludf.DUMMYFUNCTION("""COMPUTED_VALUE"""),"Dubai")</f>
        <v>Dubai</v>
      </c>
      <c r="B470" s="2" t="str">
        <f ca="1">IFERROR(__xludf.DUMMYFUNCTION("""COMPUTED_VALUE"""),"Al Saqr Business Tower")</f>
        <v>Al Saqr Business Tower</v>
      </c>
      <c r="C470" s="2" t="str">
        <f ca="1">IFERROR(__xludf.DUMMYFUNCTION("""COMPUTED_VALUE"""),"Building")</f>
        <v>Building</v>
      </c>
      <c r="D470" s="2" t="str">
        <f ca="1">IFERROR(__xludf.DUMMYFUNCTION("""COMPUTED_VALUE"""),"Dubai&gt;Sheikh Zayed Road&gt;Al Saqr Business Tower")</f>
        <v>Dubai&gt;Sheikh Zayed Road&gt;Al Saqr Business Tower</v>
      </c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6.5" x14ac:dyDescent="0.35">
      <c r="A471" s="2" t="str">
        <f ca="1">IFERROR(__xludf.DUMMYFUNCTION("""COMPUTED_VALUE"""),"Dubai")</f>
        <v>Dubai</v>
      </c>
      <c r="B471" s="2" t="str">
        <f ca="1">IFERROR(__xludf.DUMMYFUNCTION("""COMPUTED_VALUE"""),"Single Business Tower")</f>
        <v>Single Business Tower</v>
      </c>
      <c r="C471" s="2" t="str">
        <f ca="1">IFERROR(__xludf.DUMMYFUNCTION("""COMPUTED_VALUE"""),"Building")</f>
        <v>Building</v>
      </c>
      <c r="D471" s="2" t="str">
        <f ca="1">IFERROR(__xludf.DUMMYFUNCTION("""COMPUTED_VALUE"""),"Dubai&gt;Sheikh Zayed Road&gt;Single Business Tower")</f>
        <v>Dubai&gt;Sheikh Zayed Road&gt;Single Business Tower</v>
      </c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6.5" x14ac:dyDescent="0.35">
      <c r="A472" s="2" t="str">
        <f ca="1">IFERROR(__xludf.DUMMYFUNCTION("""COMPUTED_VALUE"""),"Dubai")</f>
        <v>Dubai</v>
      </c>
      <c r="B472" s="2" t="str">
        <f ca="1">IFERROR(__xludf.DUMMYFUNCTION("""COMPUTED_VALUE"""),"Al Karama Building")</f>
        <v>Al Karama Building</v>
      </c>
      <c r="C472" s="2" t="str">
        <f ca="1">IFERROR(__xludf.DUMMYFUNCTION("""COMPUTED_VALUE"""),"Building")</f>
        <v>Building</v>
      </c>
      <c r="D472" s="2" t="str">
        <f ca="1">IFERROR(__xludf.DUMMYFUNCTION("""COMPUTED_VALUE"""),"Dubai&gt;Al Karama&gt;Al Karama Building")</f>
        <v>Dubai&gt;Al Karama&gt;Al Karama Building</v>
      </c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6.5" x14ac:dyDescent="0.35">
      <c r="A473" s="2" t="str">
        <f ca="1">IFERROR(__xludf.DUMMYFUNCTION("""COMPUTED_VALUE"""),"Dubai")</f>
        <v>Dubai</v>
      </c>
      <c r="B473" s="2" t="str">
        <f ca="1">IFERROR(__xludf.DUMMYFUNCTION("""COMPUTED_VALUE"""),"Building 21")</f>
        <v>Building 21</v>
      </c>
      <c r="C473" s="2" t="str">
        <f ca="1">IFERROR(__xludf.DUMMYFUNCTION("""COMPUTED_VALUE"""),"Building")</f>
        <v>Building</v>
      </c>
      <c r="D473" s="2" t="str">
        <f ca="1">IFERROR(__xludf.DUMMYFUNCTION("""COMPUTED_VALUE"""),"Dubai&gt;Al Karama&gt;Karam Pioneer Buildings&gt;Building 21")</f>
        <v>Dubai&gt;Al Karama&gt;Karam Pioneer Buildings&gt;Building 21</v>
      </c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6.5" x14ac:dyDescent="0.35">
      <c r="A474" s="2" t="str">
        <f ca="1">IFERROR(__xludf.DUMMYFUNCTION("""COMPUTED_VALUE"""),"Dubai")</f>
        <v>Dubai</v>
      </c>
      <c r="B474" s="2" t="str">
        <f ca="1">IFERROR(__xludf.DUMMYFUNCTION("""COMPUTED_VALUE"""),"Al Amani Building")</f>
        <v>Al Amani Building</v>
      </c>
      <c r="C474" s="2" t="str">
        <f ca="1">IFERROR(__xludf.DUMMYFUNCTION("""COMPUTED_VALUE"""),"Building")</f>
        <v>Building</v>
      </c>
      <c r="D474" s="2" t="str">
        <f ca="1">IFERROR(__xludf.DUMMYFUNCTION("""COMPUTED_VALUE"""),"Dubai&gt;Al Karama&gt;Al Amani Building")</f>
        <v>Dubai&gt;Al Karama&gt;Al Amani Building</v>
      </c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6.5" x14ac:dyDescent="0.35">
      <c r="A475" s="2" t="str">
        <f ca="1">IFERROR(__xludf.DUMMYFUNCTION("""COMPUTED_VALUE"""),"Dubai")</f>
        <v>Dubai</v>
      </c>
      <c r="B475" s="2" t="str">
        <f ca="1">IFERROR(__xludf.DUMMYFUNCTION("""COMPUTED_VALUE"""),"Al Kifaf Apartments")</f>
        <v>Al Kifaf Apartments</v>
      </c>
      <c r="C475" s="2" t="str">
        <f ca="1">IFERROR(__xludf.DUMMYFUNCTION("""COMPUTED_VALUE"""),"Building")</f>
        <v>Building</v>
      </c>
      <c r="D475" s="2" t="str">
        <f ca="1">IFERROR(__xludf.DUMMYFUNCTION("""COMPUTED_VALUE"""),"Dubai&gt;Al Karama&gt;Al Kifaf Apartments")</f>
        <v>Dubai&gt;Al Karama&gt;Al Kifaf Apartments</v>
      </c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6.5" x14ac:dyDescent="0.35">
      <c r="A476" s="2" t="str">
        <f ca="1">IFERROR(__xludf.DUMMYFUNCTION("""COMPUTED_VALUE"""),"Dubai")</f>
        <v>Dubai</v>
      </c>
      <c r="B476" s="2" t="str">
        <f ca="1">IFERROR(__xludf.DUMMYFUNCTION("""COMPUTED_VALUE"""),"Al Khafajy Building")</f>
        <v>Al Khafajy Building</v>
      </c>
      <c r="C476" s="2" t="str">
        <f ca="1">IFERROR(__xludf.DUMMYFUNCTION("""COMPUTED_VALUE"""),"Building")</f>
        <v>Building</v>
      </c>
      <c r="D476" s="2" t="str">
        <f ca="1">IFERROR(__xludf.DUMMYFUNCTION("""COMPUTED_VALUE"""),"Dubai&gt;Al Karama&gt;Al Khafajy Building")</f>
        <v>Dubai&gt;Al Karama&gt;Al Khafajy Building</v>
      </c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6.5" x14ac:dyDescent="0.35">
      <c r="A477" s="2" t="str">
        <f ca="1">IFERROR(__xludf.DUMMYFUNCTION("""COMPUTED_VALUE"""),"Dubai")</f>
        <v>Dubai</v>
      </c>
      <c r="B477" s="2" t="str">
        <f ca="1">IFERROR(__xludf.DUMMYFUNCTION("""COMPUTED_VALUE"""),"Stalco Building")</f>
        <v>Stalco Building</v>
      </c>
      <c r="C477" s="2" t="str">
        <f ca="1">IFERROR(__xludf.DUMMYFUNCTION("""COMPUTED_VALUE"""),"Building")</f>
        <v>Building</v>
      </c>
      <c r="D477" s="2" t="str">
        <f ca="1">IFERROR(__xludf.DUMMYFUNCTION("""COMPUTED_VALUE"""),"Dubai&gt;Al Karama&gt;Stalco Building")</f>
        <v>Dubai&gt;Al Karama&gt;Stalco Building</v>
      </c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6.5" x14ac:dyDescent="0.35">
      <c r="A478" s="2" t="str">
        <f ca="1">IFERROR(__xludf.DUMMYFUNCTION("""COMPUTED_VALUE"""),"Dubai")</f>
        <v>Dubai</v>
      </c>
      <c r="B478" s="2" t="str">
        <f ca="1">IFERROR(__xludf.DUMMYFUNCTION("""COMPUTED_VALUE"""),"Offices Land Building Block 1")</f>
        <v>Offices Land Building Block 1</v>
      </c>
      <c r="C478" s="2" t="str">
        <f ca="1">IFERROR(__xludf.DUMMYFUNCTION("""COMPUTED_VALUE"""),"Building")</f>
        <v>Building</v>
      </c>
      <c r="D478" s="2" t="str">
        <f ca="1">IFERROR(__xludf.DUMMYFUNCTION("""COMPUTED_VALUE"""),"Dubai&gt;Al Karama&gt;Offices Land Building&gt;Offices Land Building Block 1")</f>
        <v>Dubai&gt;Al Karama&gt;Offices Land Building&gt;Offices Land Building Block 1</v>
      </c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6.5" x14ac:dyDescent="0.35">
      <c r="A479" s="2" t="str">
        <f ca="1">IFERROR(__xludf.DUMMYFUNCTION("""COMPUTED_VALUE"""),"Dubai")</f>
        <v>Dubai</v>
      </c>
      <c r="B479" s="2" t="str">
        <f ca="1">IFERROR(__xludf.DUMMYFUNCTION("""COMPUTED_VALUE"""),"Sangeetha Building")</f>
        <v>Sangeetha Building</v>
      </c>
      <c r="C479" s="2" t="str">
        <f ca="1">IFERROR(__xludf.DUMMYFUNCTION("""COMPUTED_VALUE"""),"Building")</f>
        <v>Building</v>
      </c>
      <c r="D479" s="2" t="str">
        <f ca="1">IFERROR(__xludf.DUMMYFUNCTION("""COMPUTED_VALUE"""),"Dubai&gt;Al Karama&gt;Sangeetha Building")</f>
        <v>Dubai&gt;Al Karama&gt;Sangeetha Building</v>
      </c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6.5" x14ac:dyDescent="0.35">
      <c r="A480" s="2" t="str">
        <f ca="1">IFERROR(__xludf.DUMMYFUNCTION("""COMPUTED_VALUE"""),"Dubai")</f>
        <v>Dubai</v>
      </c>
      <c r="B480" s="2" t="str">
        <f ca="1">IFERROR(__xludf.DUMMYFUNCTION("""COMPUTED_VALUE"""),"Al Mansouri Building 2")</f>
        <v>Al Mansouri Building 2</v>
      </c>
      <c r="C480" s="2" t="str">
        <f ca="1">IFERROR(__xludf.DUMMYFUNCTION("""COMPUTED_VALUE"""),"Building")</f>
        <v>Building</v>
      </c>
      <c r="D480" s="2" t="str">
        <f ca="1">IFERROR(__xludf.DUMMYFUNCTION("""COMPUTED_VALUE"""),"Dubai&gt;Al Karama&gt;Al Mansouri Building 2")</f>
        <v>Dubai&gt;Al Karama&gt;Al Mansouri Building 2</v>
      </c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6.5" x14ac:dyDescent="0.35">
      <c r="A481" s="2" t="str">
        <f ca="1">IFERROR(__xludf.DUMMYFUNCTION("""COMPUTED_VALUE"""),"Dubai")</f>
        <v>Dubai</v>
      </c>
      <c r="B481" s="2" t="str">
        <f ca="1">IFERROR(__xludf.DUMMYFUNCTION("""COMPUTED_VALUE"""),"Khalifa Juma Al Nabooda Building")</f>
        <v>Khalifa Juma Al Nabooda Building</v>
      </c>
      <c r="C481" s="2" t="str">
        <f ca="1">IFERROR(__xludf.DUMMYFUNCTION("""COMPUTED_VALUE"""),"Building")</f>
        <v>Building</v>
      </c>
      <c r="D481" s="2" t="str">
        <f ca="1">IFERROR(__xludf.DUMMYFUNCTION("""COMPUTED_VALUE"""),"Dubai&gt;Al Karama&gt;Khalifa Juma Al Nabooda Building")</f>
        <v>Dubai&gt;Al Karama&gt;Khalifa Juma Al Nabooda Building</v>
      </c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6.5" x14ac:dyDescent="0.35">
      <c r="A482" s="2" t="str">
        <f ca="1">IFERROR(__xludf.DUMMYFUNCTION("""COMPUTED_VALUE"""),"Dubai")</f>
        <v>Dubai</v>
      </c>
      <c r="B482" s="2" t="str">
        <f ca="1">IFERROR(__xludf.DUMMYFUNCTION("""COMPUTED_VALUE"""),"Al Wasl Building R406")</f>
        <v>Al Wasl Building R406</v>
      </c>
      <c r="C482" s="2" t="str">
        <f ca="1">IFERROR(__xludf.DUMMYFUNCTION("""COMPUTED_VALUE"""),"Building")</f>
        <v>Building</v>
      </c>
      <c r="D482" s="2" t="str">
        <f ca="1">IFERROR(__xludf.DUMMYFUNCTION("""COMPUTED_VALUE"""),"Dubai&gt;Al Karama&gt;Al Wasl Building R406")</f>
        <v>Dubai&gt;Al Karama&gt;Al Wasl Building R406</v>
      </c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6.5" x14ac:dyDescent="0.35">
      <c r="A483" s="2" t="str">
        <f ca="1">IFERROR(__xludf.DUMMYFUNCTION("""COMPUTED_VALUE"""),"Dubai")</f>
        <v>Dubai</v>
      </c>
      <c r="B483" s="2" t="str">
        <f ca="1">IFERROR(__xludf.DUMMYFUNCTION("""COMPUTED_VALUE"""),"Behbehani Residence 2")</f>
        <v>Behbehani Residence 2</v>
      </c>
      <c r="C483" s="2" t="str">
        <f ca="1">IFERROR(__xludf.DUMMYFUNCTION("""COMPUTED_VALUE"""),"Building")</f>
        <v>Building</v>
      </c>
      <c r="D483" s="2" t="str">
        <f ca="1">IFERROR(__xludf.DUMMYFUNCTION("""COMPUTED_VALUE"""),"Dubai&gt;Al Karama&gt;Behbehani Residence 2")</f>
        <v>Dubai&gt;Al Karama&gt;Behbehani Residence 2</v>
      </c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6.5" x14ac:dyDescent="0.35">
      <c r="A484" s="2" t="str">
        <f ca="1">IFERROR(__xludf.DUMMYFUNCTION("""COMPUTED_VALUE"""),"Dubai")</f>
        <v>Dubai</v>
      </c>
      <c r="B484" s="2" t="str">
        <f ca="1">IFERROR(__xludf.DUMMYFUNCTION("""COMPUTED_VALUE"""),"Art Bay East")</f>
        <v>Art Bay East</v>
      </c>
      <c r="C484" s="2" t="str">
        <f ca="1">IFERROR(__xludf.DUMMYFUNCTION("""COMPUTED_VALUE"""),"Building")</f>
        <v>Building</v>
      </c>
      <c r="D484" s="2" t="str">
        <f ca="1">IFERROR(__xludf.DUMMYFUNCTION("""COMPUTED_VALUE"""),"Dubai&gt;Culture Village (Jaddaf Waterfront)&gt;Art Bay&gt;Art Bay East")</f>
        <v>Dubai&gt;Culture Village (Jaddaf Waterfront)&gt;Art Bay&gt;Art Bay East</v>
      </c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6.5" x14ac:dyDescent="0.35">
      <c r="A485" s="2" t="str">
        <f ca="1">IFERROR(__xludf.DUMMYFUNCTION("""COMPUTED_VALUE"""),"Dubai")</f>
        <v>Dubai</v>
      </c>
      <c r="B485" s="2" t="str">
        <f ca="1">IFERROR(__xludf.DUMMYFUNCTION("""COMPUTED_VALUE"""),"Marsa Al Arab Villas")</f>
        <v>Marsa Al Arab Villas</v>
      </c>
      <c r="C485" s="2" t="str">
        <f ca="1">IFERROR(__xludf.DUMMYFUNCTION("""COMPUTED_VALUE"""),"Neighbourhood")</f>
        <v>Neighbourhood</v>
      </c>
      <c r="D485" s="2" t="str">
        <f ca="1">IFERROR(__xludf.DUMMYFUNCTION("""COMPUTED_VALUE"""),"Dubai&gt;Umm Suqeim&gt;Umm Suqeim 3&gt;Marsa Al Arab&gt;Marsa Al Arab Villas")</f>
        <v>Dubai&gt;Umm Suqeim&gt;Umm Suqeim 3&gt;Marsa Al Arab&gt;Marsa Al Arab Villas</v>
      </c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6.5" x14ac:dyDescent="0.35">
      <c r="A486" s="2" t="str">
        <f ca="1">IFERROR(__xludf.DUMMYFUNCTION("""COMPUTED_VALUE"""),"Dubai")</f>
        <v>Dubai</v>
      </c>
      <c r="B486" s="2" t="str">
        <f ca="1">IFERROR(__xludf.DUMMYFUNCTION("""COMPUTED_VALUE"""),"Jomana 4")</f>
        <v>Jomana 4</v>
      </c>
      <c r="C486" s="2" t="str">
        <f ca="1">IFERROR(__xludf.DUMMYFUNCTION("""COMPUTED_VALUE"""),"Building")</f>
        <v>Building</v>
      </c>
      <c r="D486" s="2" t="str">
        <f ca="1">IFERROR(__xludf.DUMMYFUNCTION("""COMPUTED_VALUE"""),"Dubai&gt;Umm Suqeim&gt;Madinat Jumeirah Living&gt;Jomana&gt;Jomana 4")</f>
        <v>Dubai&gt;Umm Suqeim&gt;Madinat Jumeirah Living&gt;Jomana&gt;Jomana 4</v>
      </c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6.5" x14ac:dyDescent="0.35">
      <c r="A487" s="2" t="str">
        <f ca="1">IFERROR(__xludf.DUMMYFUNCTION("""COMPUTED_VALUE"""),"Dubai")</f>
        <v>Dubai</v>
      </c>
      <c r="B487" s="2" t="str">
        <f ca="1">IFERROR(__xludf.DUMMYFUNCTION("""COMPUTED_VALUE"""),"British Orchard Nursery Jumeirah")</f>
        <v>British Orchard Nursery Jumeirah</v>
      </c>
      <c r="C487" s="2" t="str">
        <f ca="1">IFERROR(__xludf.DUMMYFUNCTION("""COMPUTED_VALUE"""),"Nursery")</f>
        <v>Nursery</v>
      </c>
      <c r="D487" s="2" t="str">
        <f ca="1">IFERROR(__xludf.DUMMYFUNCTION("""COMPUTED_VALUE"""),"Dubai&gt;Umm Suqeim&gt;Umm Suqeim 1&gt;British Orchard Nursery Jumeirah")</f>
        <v>Dubai&gt;Umm Suqeim&gt;Umm Suqeim 1&gt;British Orchard Nursery Jumeirah</v>
      </c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6.5" x14ac:dyDescent="0.35">
      <c r="A488" s="2" t="str">
        <f ca="1">IFERROR(__xludf.DUMMYFUNCTION("""COMPUTED_VALUE"""),"Dubai")</f>
        <v>Dubai</v>
      </c>
      <c r="B488" s="2" t="str">
        <f ca="1">IFERROR(__xludf.DUMMYFUNCTION("""COMPUTED_VALUE"""),"Azizi Milan Heights Tower D")</f>
        <v>Azizi Milan Heights Tower D</v>
      </c>
      <c r="C488" s="2" t="str">
        <f ca="1">IFERROR(__xludf.DUMMYFUNCTION("""COMPUTED_VALUE"""),"Building")</f>
        <v>Building</v>
      </c>
      <c r="D488" s="2" t="str">
        <f ca="1">IFERROR(__xludf.DUMMYFUNCTION("""COMPUTED_VALUE"""),"Dubai&gt;City of Arabia&gt;Azizi Milan&gt;Azizi Milan Heights&gt;Azizi Milan Heights Tower D")</f>
        <v>Dubai&gt;City of Arabia&gt;Azizi Milan&gt;Azizi Milan Heights&gt;Azizi Milan Heights Tower D</v>
      </c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6.5" x14ac:dyDescent="0.35">
      <c r="A489" s="2" t="str">
        <f ca="1">IFERROR(__xludf.DUMMYFUNCTION("""COMPUTED_VALUE"""),"Dubai")</f>
        <v>Dubai</v>
      </c>
      <c r="B489" s="2" t="str">
        <f ca="1">IFERROR(__xludf.DUMMYFUNCTION("""COMPUTED_VALUE"""),"Hamda Al Bada Building")</f>
        <v>Hamda Al Bada Building</v>
      </c>
      <c r="C489" s="2" t="str">
        <f ca="1">IFERROR(__xludf.DUMMYFUNCTION("""COMPUTED_VALUE"""),"Building")</f>
        <v>Building</v>
      </c>
      <c r="D489" s="2" t="str">
        <f ca="1">IFERROR(__xludf.DUMMYFUNCTION("""COMPUTED_VALUE"""),"Dubai&gt;Al Badaa&gt;Hamda Al Bada Building")</f>
        <v>Dubai&gt;Al Badaa&gt;Hamda Al Bada Building</v>
      </c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6.5" x14ac:dyDescent="0.35">
      <c r="A490" s="2" t="str">
        <f ca="1">IFERROR(__xludf.DUMMYFUNCTION("""COMPUTED_VALUE"""),"Dubai")</f>
        <v>Dubai</v>
      </c>
      <c r="B490" s="2" t="str">
        <f ca="1">IFERROR(__xludf.DUMMYFUNCTION("""COMPUTED_VALUE"""),"Al Zaffin Commercial Building")</f>
        <v>Al Zaffin Commercial Building</v>
      </c>
      <c r="C490" s="2" t="str">
        <f ca="1">IFERROR(__xludf.DUMMYFUNCTION("""COMPUTED_VALUE"""),"Building")</f>
        <v>Building</v>
      </c>
      <c r="D490" s="2" t="str">
        <f ca="1">IFERROR(__xludf.DUMMYFUNCTION("""COMPUTED_VALUE"""),"Dubai&gt;Al Badaa&gt;Al Zaffin Commercial Building")</f>
        <v>Dubai&gt;Al Badaa&gt;Al Zaffin Commercial Building</v>
      </c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6.5" x14ac:dyDescent="0.35">
      <c r="A491" s="2" t="str">
        <f ca="1">IFERROR(__xludf.DUMMYFUNCTION("""COMPUTED_VALUE"""),"Dubai")</f>
        <v>Dubai</v>
      </c>
      <c r="B491" s="2" t="str">
        <f ca="1">IFERROR(__xludf.DUMMYFUNCTION("""COMPUTED_VALUE"""),"Veneto")</f>
        <v>Veneto</v>
      </c>
      <c r="C491" s="2" t="str">
        <f ca="1">IFERROR(__xludf.DUMMYFUNCTION("""COMPUTED_VALUE"""),"Neighbourhood")</f>
        <v>Neighbourhood</v>
      </c>
      <c r="D491" s="2" t="str">
        <f ca="1">IFERROR(__xludf.DUMMYFUNCTION("""COMPUTED_VALUE"""),"Dubai&gt;Dubai Waterfront&gt;Veneto")</f>
        <v>Dubai&gt;Dubai Waterfront&gt;Veneto</v>
      </c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6.5" x14ac:dyDescent="0.35">
      <c r="A492" s="2" t="str">
        <f ca="1">IFERROR(__xludf.DUMMYFUNCTION("""COMPUTED_VALUE"""),"Dubai")</f>
        <v>Dubai</v>
      </c>
      <c r="B492" s="2" t="str">
        <f ca="1">IFERROR(__xludf.DUMMYFUNCTION("""COMPUTED_VALUE"""),"Al Eman Private School, Dubai")</f>
        <v>Al Eman Private School, Dubai</v>
      </c>
      <c r="C492" s="2" t="str">
        <f ca="1">IFERROR(__xludf.DUMMYFUNCTION("""COMPUTED_VALUE"""),"School")</f>
        <v>School</v>
      </c>
      <c r="D492" s="2" t="str">
        <f ca="1">IFERROR(__xludf.DUMMYFUNCTION("""COMPUTED_VALUE"""),"Dubai&gt;Al Rashidiya&gt;Al Eman Private School, Dubai")</f>
        <v>Dubai&gt;Al Rashidiya&gt;Al Eman Private School, Dubai</v>
      </c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6.5" x14ac:dyDescent="0.35">
      <c r="A493" s="2" t="str">
        <f ca="1">IFERROR(__xludf.DUMMYFUNCTION("""COMPUTED_VALUE"""),"Dubai")</f>
        <v>Dubai</v>
      </c>
      <c r="B493" s="2" t="str">
        <f ca="1">IFERROR(__xludf.DUMMYFUNCTION("""COMPUTED_VALUE"""),"The Edit Tower A")</f>
        <v>The Edit Tower A</v>
      </c>
      <c r="C493" s="2" t="str">
        <f ca="1">IFERROR(__xludf.DUMMYFUNCTION("""COMPUTED_VALUE"""),"Building")</f>
        <v>Building</v>
      </c>
      <c r="D493" s="2" t="str">
        <f ca="1">IFERROR(__xludf.DUMMYFUNCTION("""COMPUTED_VALUE"""),"Dubai&gt;Dubai Design District&gt;The Edit at D3&gt;The Edit Tower A")</f>
        <v>Dubai&gt;Dubai Design District&gt;The Edit at D3&gt;The Edit Tower A</v>
      </c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6.5" x14ac:dyDescent="0.35">
      <c r="A494" s="2" t="str">
        <f ca="1">IFERROR(__xludf.DUMMYFUNCTION("""COMPUTED_VALUE"""),"Dubai")</f>
        <v>Dubai</v>
      </c>
      <c r="B494" s="2" t="str">
        <f ca="1">IFERROR(__xludf.DUMMYFUNCTION("""COMPUTED_VALUE"""),"Al Wasl H1 PR398")</f>
        <v>Al Wasl H1 PR398</v>
      </c>
      <c r="C494" s="2" t="str">
        <f ca="1">IFERROR(__xludf.DUMMYFUNCTION("""COMPUTED_VALUE"""),"Building")</f>
        <v>Building</v>
      </c>
      <c r="D494" s="2" t="str">
        <f ca="1">IFERROR(__xludf.DUMMYFUNCTION("""COMPUTED_VALUE"""),"Dubai&gt;Al Hudaiba&gt;Al Wasl H1 PR398")</f>
        <v>Dubai&gt;Al Hudaiba&gt;Al Wasl H1 PR398</v>
      </c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6.5" x14ac:dyDescent="0.35">
      <c r="A495" s="2" t="str">
        <f ca="1">IFERROR(__xludf.DUMMYFUNCTION("""COMPUTED_VALUE"""),"Dubai")</f>
        <v>Dubai</v>
      </c>
      <c r="B495" s="2" t="str">
        <f ca="1">IFERROR(__xludf.DUMMYFUNCTION("""COMPUTED_VALUE"""),"Al Souq")</f>
        <v>Al Souq</v>
      </c>
      <c r="C495" s="2" t="str">
        <f ca="1">IFERROR(__xludf.DUMMYFUNCTION("""COMPUTED_VALUE"""),"Building")</f>
        <v>Building</v>
      </c>
      <c r="D495" s="2" t="str">
        <f ca="1">IFERROR(__xludf.DUMMYFUNCTION("""COMPUTED_VALUE"""),"Dubai&gt;Jumeirah&gt;Jumeirah 1&gt;Al Souq")</f>
        <v>Dubai&gt;Jumeirah&gt;Jumeirah 1&gt;Al Souq</v>
      </c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6.5" x14ac:dyDescent="0.35">
      <c r="A496" s="2" t="str">
        <f ca="1">IFERROR(__xludf.DUMMYFUNCTION("""COMPUTED_VALUE"""),"Dubai")</f>
        <v>Dubai</v>
      </c>
      <c r="B496" s="2" t="str">
        <f ca="1">IFERROR(__xludf.DUMMYFUNCTION("""COMPUTED_VALUE"""),"Bulgari Ocean Mansions")</f>
        <v>Bulgari Ocean Mansions</v>
      </c>
      <c r="C496" s="2" t="str">
        <f ca="1">IFERROR(__xludf.DUMMYFUNCTION("""COMPUTED_VALUE"""),"Neighbourhood")</f>
        <v>Neighbourhood</v>
      </c>
      <c r="D496" s="2" t="str">
        <f ca="1">IFERROR(__xludf.DUMMYFUNCTION("""COMPUTED_VALUE"""),"Dubai&gt;Jumeirah&gt;Jumeirah Bay Islands&gt;Bulgari Ocean Mansions")</f>
        <v>Dubai&gt;Jumeirah&gt;Jumeirah Bay Islands&gt;Bulgari Ocean Mansions</v>
      </c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6.5" x14ac:dyDescent="0.35">
      <c r="A497" s="2" t="str">
        <f ca="1">IFERROR(__xludf.DUMMYFUNCTION("""COMPUTED_VALUE"""),"Dubai")</f>
        <v>Dubai</v>
      </c>
      <c r="B497" s="2" t="str">
        <f ca="1">IFERROR(__xludf.DUMMYFUNCTION("""COMPUTED_VALUE"""),"La Rive Tower 4")</f>
        <v>La Rive Tower 4</v>
      </c>
      <c r="C497" s="2" t="str">
        <f ca="1">IFERROR(__xludf.DUMMYFUNCTION("""COMPUTED_VALUE"""),"Building")</f>
        <v>Building</v>
      </c>
      <c r="D497" s="2" t="str">
        <f ca="1">IFERROR(__xludf.DUMMYFUNCTION("""COMPUTED_VALUE"""),"Dubai&gt;Jumeirah&gt;La Mer&gt;Port de La Mer&gt;La Rive&gt;La Rive Tower 4")</f>
        <v>Dubai&gt;Jumeirah&gt;La Mer&gt;Port de La Mer&gt;La Rive&gt;La Rive Tower 4</v>
      </c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6.5" x14ac:dyDescent="0.35">
      <c r="A498" s="2" t="str">
        <f ca="1">IFERROR(__xludf.DUMMYFUNCTION("""COMPUTED_VALUE"""),"Dubai")</f>
        <v>Dubai</v>
      </c>
      <c r="B498" s="2" t="str">
        <f ca="1">IFERROR(__xludf.DUMMYFUNCTION("""COMPUTED_VALUE"""),"Solaya 6")</f>
        <v>Solaya 6</v>
      </c>
      <c r="C498" s="2" t="str">
        <f ca="1">IFERROR(__xludf.DUMMYFUNCTION("""COMPUTED_VALUE"""),"Building")</f>
        <v>Building</v>
      </c>
      <c r="D498" s="2" t="str">
        <f ca="1">IFERROR(__xludf.DUMMYFUNCTION("""COMPUTED_VALUE"""),"Dubai&gt;Jumeirah&gt;La Mer&gt;Solaya&gt;Solaya 6")</f>
        <v>Dubai&gt;Jumeirah&gt;La Mer&gt;Solaya&gt;Solaya 6</v>
      </c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6.5" x14ac:dyDescent="0.35">
      <c r="A499" s="2" t="str">
        <f ca="1">IFERROR(__xludf.DUMMYFUNCTION("""COMPUTED_VALUE"""),"Dubai")</f>
        <v>Dubai</v>
      </c>
      <c r="B499" s="2" t="str">
        <f ca="1">IFERROR(__xludf.DUMMYFUNCTION("""COMPUTED_VALUE"""),"Creek Gate")</f>
        <v>Creek Gate</v>
      </c>
      <c r="C499" s="2" t="str">
        <f ca="1">IFERROR(__xludf.DUMMYFUNCTION("""COMPUTED_VALUE"""),"Cluster")</f>
        <v>Cluster</v>
      </c>
      <c r="D499" s="2" t="str">
        <f ca="1">IFERROR(__xludf.DUMMYFUNCTION("""COMPUTED_VALUE"""),"Dubai&gt;Dubai Creek Harbour&gt;Creek Gate")</f>
        <v>Dubai&gt;Dubai Creek Harbour&gt;Creek Gate</v>
      </c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6.5" x14ac:dyDescent="0.35">
      <c r="A500" s="2" t="str">
        <f ca="1">IFERROR(__xludf.DUMMYFUNCTION("""COMPUTED_VALUE"""),"Dubai")</f>
        <v>Dubai</v>
      </c>
      <c r="B500" s="2" t="str">
        <f ca="1">IFERROR(__xludf.DUMMYFUNCTION("""COMPUTED_VALUE"""),"Grove at Creek Beach")</f>
        <v>Grove at Creek Beach</v>
      </c>
      <c r="C500" s="2" t="str">
        <f ca="1">IFERROR(__xludf.DUMMYFUNCTION("""COMPUTED_VALUE"""),"Cluster")</f>
        <v>Cluster</v>
      </c>
      <c r="D500" s="2" t="str">
        <f ca="1">IFERROR(__xludf.DUMMYFUNCTION("""COMPUTED_VALUE"""),"Dubai&gt;Dubai Creek Harbour&gt;Grove at Creek Beach")</f>
        <v>Dubai&gt;Dubai Creek Harbour&gt;Grove at Creek Beach</v>
      </c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6.5" x14ac:dyDescent="0.35">
      <c r="A501" s="2" t="str">
        <f ca="1">IFERROR(__xludf.DUMMYFUNCTION("""COMPUTED_VALUE"""),"Dubai")</f>
        <v>Dubai</v>
      </c>
      <c r="B501" s="2" t="str">
        <f ca="1">IFERROR(__xludf.DUMMYFUNCTION("""COMPUTED_VALUE"""),"The Cove II Building 9")</f>
        <v>The Cove II Building 9</v>
      </c>
      <c r="C501" s="2" t="str">
        <f ca="1">IFERROR(__xludf.DUMMYFUNCTION("""COMPUTED_VALUE"""),"Building")</f>
        <v>Building</v>
      </c>
      <c r="D501" s="2" t="str">
        <f ca="1">IFERROR(__xludf.DUMMYFUNCTION("""COMPUTED_VALUE"""),"Dubai&gt;Dubai Creek Harbour&gt;The Cove II&gt;The Cove II Building 9")</f>
        <v>Dubai&gt;Dubai Creek Harbour&gt;The Cove II&gt;The Cove II Building 9</v>
      </c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6.5" x14ac:dyDescent="0.35">
      <c r="A502" s="2" t="str">
        <f ca="1">IFERROR(__xludf.DUMMYFUNCTION("""COMPUTED_VALUE"""),"Dubai")</f>
        <v>Dubai</v>
      </c>
      <c r="B502" s="2" t="str">
        <f ca="1">IFERROR(__xludf.DUMMYFUNCTION("""COMPUTED_VALUE"""),"Canopy at Creek Beach Building 5")</f>
        <v>Canopy at Creek Beach Building 5</v>
      </c>
      <c r="C502" s="2" t="str">
        <f ca="1">IFERROR(__xludf.DUMMYFUNCTION("""COMPUTED_VALUE"""),"Building")</f>
        <v>Building</v>
      </c>
      <c r="D502" s="2" t="str">
        <f ca="1">IFERROR(__xludf.DUMMYFUNCTION("""COMPUTED_VALUE"""),"Dubai&gt;Dubai Creek Harbour&gt;Canopy at Creek Beach&gt;Canopy at Creek Beach Building 5")</f>
        <v>Dubai&gt;Dubai Creek Harbour&gt;Canopy at Creek Beach&gt;Canopy at Creek Beach Building 5</v>
      </c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6.5" x14ac:dyDescent="0.35">
      <c r="A503" s="2" t="str">
        <f ca="1">IFERROR(__xludf.DUMMYFUNCTION("""COMPUTED_VALUE"""),"Dubai")</f>
        <v>Dubai</v>
      </c>
      <c r="B503" s="2" t="str">
        <f ca="1">IFERROR(__xludf.DUMMYFUNCTION("""COMPUTED_VALUE"""),"Grosvenor Business Tower")</f>
        <v>Grosvenor Business Tower</v>
      </c>
      <c r="C503" s="2" t="str">
        <f ca="1">IFERROR(__xludf.DUMMYFUNCTION("""COMPUTED_VALUE"""),"Building")</f>
        <v>Building</v>
      </c>
      <c r="D503" s="2" t="str">
        <f ca="1">IFERROR(__xludf.DUMMYFUNCTION("""COMPUTED_VALUE"""),"Dubai&gt;Barsha Heights (Tecom)&gt;Grosvenor Business Tower")</f>
        <v>Dubai&gt;Barsha Heights (Tecom)&gt;Grosvenor Business Tower</v>
      </c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6.5" x14ac:dyDescent="0.35">
      <c r="A504" s="2" t="str">
        <f ca="1">IFERROR(__xludf.DUMMYFUNCTION("""COMPUTED_VALUE"""),"Dubai")</f>
        <v>Dubai</v>
      </c>
      <c r="B504" s="2" t="str">
        <f ca="1">IFERROR(__xludf.DUMMYFUNCTION("""COMPUTED_VALUE"""),"Al Noor Tower 2")</f>
        <v>Al Noor Tower 2</v>
      </c>
      <c r="C504" s="2" t="str">
        <f ca="1">IFERROR(__xludf.DUMMYFUNCTION("""COMPUTED_VALUE"""),"Building")</f>
        <v>Building</v>
      </c>
      <c r="D504" s="2" t="str">
        <f ca="1">IFERROR(__xludf.DUMMYFUNCTION("""COMPUTED_VALUE"""),"Dubai&gt;Barsha Heights (Tecom)&gt;Al Noor Tower 2")</f>
        <v>Dubai&gt;Barsha Heights (Tecom)&gt;Al Noor Tower 2</v>
      </c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6.5" x14ac:dyDescent="0.35">
      <c r="A505" s="2" t="str">
        <f ca="1">IFERROR(__xludf.DUMMYFUNCTION("""COMPUTED_VALUE"""),"Dubai")</f>
        <v>Dubai</v>
      </c>
      <c r="B505" s="2" t="str">
        <f ca="1">IFERROR(__xludf.DUMMYFUNCTION("""COMPUTED_VALUE"""),"Home to Home Hotel Apartments")</f>
        <v>Home to Home Hotel Apartments</v>
      </c>
      <c r="C505" s="2" t="str">
        <f ca="1">IFERROR(__xludf.DUMMYFUNCTION("""COMPUTED_VALUE"""),"Building")</f>
        <v>Building</v>
      </c>
      <c r="D505" s="2" t="str">
        <f ca="1">IFERROR(__xludf.DUMMYFUNCTION("""COMPUTED_VALUE"""),"Dubai&gt;Barsha Heights (Tecom)&gt;Home to Home Hotel Apartments")</f>
        <v>Dubai&gt;Barsha Heights (Tecom)&gt;Home to Home Hotel Apartments</v>
      </c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6.5" x14ac:dyDescent="0.35">
      <c r="A506" s="2" t="str">
        <f ca="1">IFERROR(__xludf.DUMMYFUNCTION("""COMPUTED_VALUE"""),"Dubai")</f>
        <v>Dubai</v>
      </c>
      <c r="B506" s="2" t="str">
        <f ca="1">IFERROR(__xludf.DUMMYFUNCTION("""COMPUTED_VALUE"""),"Social Hotel")</f>
        <v>Social Hotel</v>
      </c>
      <c r="C506" s="2" t="str">
        <f ca="1">IFERROR(__xludf.DUMMYFUNCTION("""COMPUTED_VALUE"""),"Building")</f>
        <v>Building</v>
      </c>
      <c r="D506" s="2" t="str">
        <f ca="1">IFERROR(__xludf.DUMMYFUNCTION("""COMPUTED_VALUE"""),"Dubai&gt;Barsha Heights (Tecom)&gt;Social Hotel")</f>
        <v>Dubai&gt;Barsha Heights (Tecom)&gt;Social Hotel</v>
      </c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6.5" x14ac:dyDescent="0.35">
      <c r="A507" s="2" t="str">
        <f ca="1">IFERROR(__xludf.DUMMYFUNCTION("""COMPUTED_VALUE"""),"Dubai")</f>
        <v>Dubai</v>
      </c>
      <c r="B507" s="2" t="str">
        <f ca="1">IFERROR(__xludf.DUMMYFUNCTION("""COMPUTED_VALUE"""),"Terraced Apartments")</f>
        <v>Terraced Apartments</v>
      </c>
      <c r="C507" s="2" t="str">
        <f ca="1">IFERROR(__xludf.DUMMYFUNCTION("""COMPUTED_VALUE"""),"Cluster")</f>
        <v>Cluster</v>
      </c>
      <c r="D507" s="2" t="str">
        <f ca="1">IFERROR(__xludf.DUMMYFUNCTION("""COMPUTED_VALUE"""),"Dubai&gt;Motor City&gt;Green Community (Motor City)&gt;Terraced Apartments")</f>
        <v>Dubai&gt;Motor City&gt;Green Community (Motor City)&gt;Terraced Apartments</v>
      </c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6.5" x14ac:dyDescent="0.35">
      <c r="A508" s="2" t="str">
        <f ca="1">IFERROR(__xludf.DUMMYFUNCTION("""COMPUTED_VALUE"""),"Dubai")</f>
        <v>Dubai</v>
      </c>
      <c r="B508" s="2" t="str">
        <f ca="1">IFERROR(__xludf.DUMMYFUNCTION("""COMPUTED_VALUE"""),"Norton Court")</f>
        <v>Norton Court</v>
      </c>
      <c r="C508" s="2" t="str">
        <f ca="1">IFERROR(__xludf.DUMMYFUNCTION("""COMPUTED_VALUE"""),"Cluster")</f>
        <v>Cluster</v>
      </c>
      <c r="D508" s="2" t="str">
        <f ca="1">IFERROR(__xludf.DUMMYFUNCTION("""COMPUTED_VALUE"""),"Dubai&gt;Motor City&gt;Uptown Motor City&gt;Norton Court")</f>
        <v>Dubai&gt;Motor City&gt;Uptown Motor City&gt;Norton Court</v>
      </c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6.5" x14ac:dyDescent="0.35">
      <c r="A509" s="2" t="str">
        <f ca="1">IFERROR(__xludf.DUMMYFUNCTION("""COMPUTED_VALUE"""),"Dubai")</f>
        <v>Dubai</v>
      </c>
      <c r="B509" s="2" t="str">
        <f ca="1">IFERROR(__xludf.DUMMYFUNCTION("""COMPUTED_VALUE"""),"Fox Hill 4")</f>
        <v>Fox Hill 4</v>
      </c>
      <c r="C509" s="2" t="str">
        <f ca="1">IFERROR(__xludf.DUMMYFUNCTION("""COMPUTED_VALUE"""),"Building")</f>
        <v>Building</v>
      </c>
      <c r="D509" s="2" t="str">
        <f ca="1">IFERROR(__xludf.DUMMYFUNCTION("""COMPUTED_VALUE"""),"Dubai&gt;Motor City&gt;Uptown Motor City&gt;Fox Hill&gt;Fox Hill 4")</f>
        <v>Dubai&gt;Motor City&gt;Uptown Motor City&gt;Fox Hill&gt;Fox Hill 4</v>
      </c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6.5" x14ac:dyDescent="0.35">
      <c r="A510" s="2" t="str">
        <f ca="1">IFERROR(__xludf.DUMMYFUNCTION("""COMPUTED_VALUE"""),"Dubai")</f>
        <v>Dubai</v>
      </c>
      <c r="B510" s="2" t="str">
        <f ca="1">IFERROR(__xludf.DUMMYFUNCTION("""COMPUTED_VALUE"""),"The Ribbon")</f>
        <v>The Ribbon</v>
      </c>
      <c r="C510" s="2" t="str">
        <f ca="1">IFERROR(__xludf.DUMMYFUNCTION("""COMPUTED_VALUE"""),"Building")</f>
        <v>Building</v>
      </c>
      <c r="D510" s="2" t="str">
        <f ca="1">IFERROR(__xludf.DUMMYFUNCTION("""COMPUTED_VALUE"""),"Dubai&gt;Motor City&gt;The Ribbon")</f>
        <v>Dubai&gt;Motor City&gt;The Ribbon</v>
      </c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6.5" x14ac:dyDescent="0.35">
      <c r="A511" s="2" t="str">
        <f ca="1">IFERROR(__xludf.DUMMYFUNCTION("""COMPUTED_VALUE"""),"Dubai")</f>
        <v>Dubai</v>
      </c>
      <c r="B511" s="2" t="str">
        <f ca="1">IFERROR(__xludf.DUMMYFUNCTION("""COMPUTED_VALUE"""),"Mirdad 3")</f>
        <v>Mirdad 3</v>
      </c>
      <c r="C511" s="2" t="str">
        <f ca="1">IFERROR(__xludf.DUMMYFUNCTION("""COMPUTED_VALUE"""),"Building")</f>
        <v>Building</v>
      </c>
      <c r="D511" s="2" t="str">
        <f ca="1">IFERROR(__xludf.DUMMYFUNCTION("""COMPUTED_VALUE"""),"Dubai&gt;Motor City&gt;Mirdad&gt;Mirdad 3")</f>
        <v>Dubai&gt;Motor City&gt;Mirdad&gt;Mirdad 3</v>
      </c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6.5" x14ac:dyDescent="0.35">
      <c r="A512" s="2" t="str">
        <f ca="1">IFERROR(__xludf.DUMMYFUNCTION("""COMPUTED_VALUE"""),"Dubai")</f>
        <v>Dubai</v>
      </c>
      <c r="B512" s="2" t="str">
        <f ca="1">IFERROR(__xludf.DUMMYFUNCTION("""COMPUTED_VALUE"""),"Liberty Lane Building")</f>
        <v>Liberty Lane Building</v>
      </c>
      <c r="C512" s="2" t="str">
        <f ca="1">IFERROR(__xludf.DUMMYFUNCTION("""COMPUTED_VALUE"""),"Building")</f>
        <v>Building</v>
      </c>
      <c r="D512" s="2" t="str">
        <f ca="1">IFERROR(__xludf.DUMMYFUNCTION("""COMPUTED_VALUE"""),"Dubai&gt;Al Sufouh&gt;Al Sufouh 1&gt;Liberty Lane Building")</f>
        <v>Dubai&gt;Al Sufouh&gt;Al Sufouh 1&gt;Liberty Lane Building</v>
      </c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6.5" x14ac:dyDescent="0.35">
      <c r="A513" s="2" t="str">
        <f ca="1">IFERROR(__xludf.DUMMYFUNCTION("""COMPUTED_VALUE"""),"Dubai")</f>
        <v>Dubai</v>
      </c>
      <c r="B513" s="2" t="str">
        <f ca="1">IFERROR(__xludf.DUMMYFUNCTION("""COMPUTED_VALUE"""),"Al Meera Complex")</f>
        <v>Al Meera Complex</v>
      </c>
      <c r="C513" s="2" t="str">
        <f ca="1">IFERROR(__xludf.DUMMYFUNCTION("""COMPUTED_VALUE"""),"Neighbourhood")</f>
        <v>Neighbourhood</v>
      </c>
      <c r="D513" s="2" t="str">
        <f ca="1">IFERROR(__xludf.DUMMYFUNCTION("""COMPUTED_VALUE"""),"Dubai&gt;Al Sufouh&gt;Al Sufouh 2&gt;Al Meera Complex")</f>
        <v>Dubai&gt;Al Sufouh&gt;Al Sufouh 2&gt;Al Meera Complex</v>
      </c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6.5" x14ac:dyDescent="0.35">
      <c r="A514" s="2" t="str">
        <f ca="1">IFERROR(__xludf.DUMMYFUNCTION("""COMPUTED_VALUE"""),"Dubai")</f>
        <v>Dubai</v>
      </c>
      <c r="B514" s="2" t="str">
        <f ca="1">IFERROR(__xludf.DUMMYFUNCTION("""COMPUTED_VALUE"""),"Dubai Festival City Mall")</f>
        <v>Dubai Festival City Mall</v>
      </c>
      <c r="C514" s="2" t="str">
        <f ca="1">IFERROR(__xludf.DUMMYFUNCTION("""COMPUTED_VALUE"""),"Building")</f>
        <v>Building</v>
      </c>
      <c r="D514" s="2" t="str">
        <f ca="1">IFERROR(__xludf.DUMMYFUNCTION("""COMPUTED_VALUE"""),"Dubai&gt;Dubai Festival City&gt;Dubai Festival City Mall")</f>
        <v>Dubai&gt;Dubai Festival City&gt;Dubai Festival City Mall</v>
      </c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6.5" x14ac:dyDescent="0.35">
      <c r="A515" s="2" t="str">
        <f ca="1">IFERROR(__xludf.DUMMYFUNCTION("""COMPUTED_VALUE"""),"Dubai")</f>
        <v>Dubai</v>
      </c>
      <c r="B515" s="2" t="str">
        <f ca="1">IFERROR(__xludf.DUMMYFUNCTION("""COMPUTED_VALUE"""),"Golf Promenade 2A")</f>
        <v>Golf Promenade 2A</v>
      </c>
      <c r="C515" s="2" t="str">
        <f ca="1">IFERROR(__xludf.DUMMYFUNCTION("""COMPUTED_VALUE"""),"Building")</f>
        <v>Building</v>
      </c>
      <c r="D515" s="2" t="str">
        <f ca="1">IFERROR(__xludf.DUMMYFUNCTION("""COMPUTED_VALUE"""),"Dubai&gt;DAMAC Hills&gt;Golf Town&gt;Golf Promenade&gt;Golf Promenade 2&gt;Golf Promenade 2A")</f>
        <v>Dubai&gt;DAMAC Hills&gt;Golf Town&gt;Golf Promenade&gt;Golf Promenade 2&gt;Golf Promenade 2A</v>
      </c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6.5" x14ac:dyDescent="0.35">
      <c r="A516" s="2" t="str">
        <f ca="1">IFERROR(__xludf.DUMMYFUNCTION("""COMPUTED_VALUE"""),"Dubai")</f>
        <v>Dubai</v>
      </c>
      <c r="B516" s="2" t="str">
        <f ca="1">IFERROR(__xludf.DUMMYFUNCTION("""COMPUTED_VALUE"""),"Calero")</f>
        <v>Calero</v>
      </c>
      <c r="C516" s="2" t="str">
        <f ca="1">IFERROR(__xludf.DUMMYFUNCTION("""COMPUTED_VALUE"""),"Neighbourhood")</f>
        <v>Neighbourhood</v>
      </c>
      <c r="D516" s="2" t="str">
        <f ca="1">IFERROR(__xludf.DUMMYFUNCTION("""COMPUTED_VALUE"""),"Dubai&gt;DAMAC Hills&gt;The Park Villas&gt;Calero")</f>
        <v>Dubai&gt;DAMAC Hills&gt;The Park Villas&gt;Calero</v>
      </c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6.5" x14ac:dyDescent="0.35">
      <c r="A517" s="2" t="str">
        <f ca="1">IFERROR(__xludf.DUMMYFUNCTION("""COMPUTED_VALUE"""),"Dubai")</f>
        <v>Dubai</v>
      </c>
      <c r="B517" s="2" t="str">
        <f ca="1">IFERROR(__xludf.DUMMYFUNCTION("""COMPUTED_VALUE"""),"Loreto A")</f>
        <v>Loreto A</v>
      </c>
      <c r="C517" s="2" t="str">
        <f ca="1">IFERROR(__xludf.DUMMYFUNCTION("""COMPUTED_VALUE"""),"Cluster")</f>
        <v>Cluster</v>
      </c>
      <c r="D517" s="2" t="str">
        <f ca="1">IFERROR(__xludf.DUMMYFUNCTION("""COMPUTED_VALUE"""),"Dubai&gt;DAMAC Hills&gt;Loreto&gt;Loreto A")</f>
        <v>Dubai&gt;DAMAC Hills&gt;Loreto&gt;Loreto A</v>
      </c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6.5" x14ac:dyDescent="0.35">
      <c r="A518" s="2" t="str">
        <f ca="1">IFERROR(__xludf.DUMMYFUNCTION("""COMPUTED_VALUE"""),"Dubai")</f>
        <v>Dubai</v>
      </c>
      <c r="B518" s="2" t="str">
        <f ca="1">IFERROR(__xludf.DUMMYFUNCTION("""COMPUTED_VALUE"""),"Wasl Port Views 2")</f>
        <v>Wasl Port Views 2</v>
      </c>
      <c r="C518" s="2" t="str">
        <f ca="1">IFERROR(__xludf.DUMMYFUNCTION("""COMPUTED_VALUE"""),"Building")</f>
        <v>Building</v>
      </c>
      <c r="D518" s="2" t="str">
        <f ca="1">IFERROR(__xludf.DUMMYFUNCTION("""COMPUTED_VALUE"""),"Dubai&gt;Al Mina&gt;Wasl Port Views&gt;Wasl Port Views 2")</f>
        <v>Dubai&gt;Al Mina&gt;Wasl Port Views&gt;Wasl Port Views 2</v>
      </c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6.5" x14ac:dyDescent="0.35">
      <c r="A519" s="2" t="str">
        <f ca="1">IFERROR(__xludf.DUMMYFUNCTION("""COMPUTED_VALUE"""),"Dubai")</f>
        <v>Dubai</v>
      </c>
      <c r="B519" s="2" t="str">
        <f ca="1">IFERROR(__xludf.DUMMYFUNCTION("""COMPUTED_VALUE"""),"Ocean Point Building 2")</f>
        <v>Ocean Point Building 2</v>
      </c>
      <c r="C519" s="2" t="str">
        <f ca="1">IFERROR(__xludf.DUMMYFUNCTION("""COMPUTED_VALUE"""),"Building")</f>
        <v>Building</v>
      </c>
      <c r="D519" s="2" t="str">
        <f ca="1">IFERROR(__xludf.DUMMYFUNCTION("""COMPUTED_VALUE"""),"Dubai&gt;Al Mina&gt;Ocean Point&gt;Ocean Point Building 2")</f>
        <v>Dubai&gt;Al Mina&gt;Ocean Point&gt;Ocean Point Building 2</v>
      </c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6.5" x14ac:dyDescent="0.35">
      <c r="A520" s="2" t="str">
        <f ca="1">IFERROR(__xludf.DUMMYFUNCTION("""COMPUTED_VALUE"""),"Dubai")</f>
        <v>Dubai</v>
      </c>
      <c r="B520" s="2" t="str">
        <f ca="1">IFERROR(__xludf.DUMMYFUNCTION("""COMPUTED_VALUE"""),"Chelsea Residences 2 by DAMAC Tower C")</f>
        <v>Chelsea Residences 2 by DAMAC Tower C</v>
      </c>
      <c r="C520" s="2" t="str">
        <f ca="1">IFERROR(__xludf.DUMMYFUNCTION("""COMPUTED_VALUE"""),"Building")</f>
        <v>Building</v>
      </c>
      <c r="D520" s="2" t="str">
        <f ca="1">IFERROR(__xludf.DUMMYFUNCTION("""COMPUTED_VALUE"""),"Dubai&gt;Dubai Maritime City&gt;Chelsea Residences 2 by DAMAC&gt;Chelsea Residences 2 by DAMAC Tower C")</f>
        <v>Dubai&gt;Dubai Maritime City&gt;Chelsea Residences 2 by DAMAC&gt;Chelsea Residences 2 by DAMAC Tower C</v>
      </c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6.5" x14ac:dyDescent="0.35">
      <c r="A521" s="2" t="str">
        <f ca="1">IFERROR(__xludf.DUMMYFUNCTION("""COMPUTED_VALUE"""),"Dubai")</f>
        <v>Dubai</v>
      </c>
      <c r="B521" s="2" t="str">
        <f ca="1">IFERROR(__xludf.DUMMYFUNCTION("""COMPUTED_VALUE"""),"Arno")</f>
        <v>Arno</v>
      </c>
      <c r="C521" s="2" t="str">
        <f ca="1">IFERROR(__xludf.DUMMYFUNCTION("""COMPUTED_VALUE"""),"Building")</f>
        <v>Building</v>
      </c>
      <c r="D521" s="2" t="str">
        <f ca="1">IFERROR(__xludf.DUMMYFUNCTION("""COMPUTED_VALUE"""),"Dubai&gt;The Views&gt;Arno")</f>
        <v>Dubai&gt;The Views&gt;Arno</v>
      </c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6.5" x14ac:dyDescent="0.35">
      <c r="A522" s="2" t="str">
        <f ca="1">IFERROR(__xludf.DUMMYFUNCTION("""COMPUTED_VALUE"""),"Dubai")</f>
        <v>Dubai</v>
      </c>
      <c r="B522" s="2" t="str">
        <f ca="1">IFERROR(__xludf.DUMMYFUNCTION("""COMPUTED_VALUE"""),"Kia Flagship Offices")</f>
        <v>Kia Flagship Offices</v>
      </c>
      <c r="C522" s="2" t="str">
        <f ca="1">IFERROR(__xludf.DUMMYFUNCTION("""COMPUTED_VALUE"""),"Building")</f>
        <v>Building</v>
      </c>
      <c r="D522" s="2" t="str">
        <f ca="1">IFERROR(__xludf.DUMMYFUNCTION("""COMPUTED_VALUE"""),"Dubai&gt;Al Quoz&gt;Al Quoz 1&gt;Kia Flagship Offices")</f>
        <v>Dubai&gt;Al Quoz&gt;Al Quoz 1&gt;Kia Flagship Offices</v>
      </c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6.5" x14ac:dyDescent="0.35">
      <c r="A523" s="2" t="str">
        <f ca="1">IFERROR(__xludf.DUMMYFUNCTION("""COMPUTED_VALUE"""),"Dubai")</f>
        <v>Dubai</v>
      </c>
      <c r="B523" s="2" t="str">
        <f ca="1">IFERROR(__xludf.DUMMYFUNCTION("""COMPUTED_VALUE"""),"Al Quoz Commercial and Office Building")</f>
        <v>Al Quoz Commercial and Office Building</v>
      </c>
      <c r="C523" s="2" t="str">
        <f ca="1">IFERROR(__xludf.DUMMYFUNCTION("""COMPUTED_VALUE"""),"Building")</f>
        <v>Building</v>
      </c>
      <c r="D523" s="2" t="str">
        <f ca="1">IFERROR(__xludf.DUMMYFUNCTION("""COMPUTED_VALUE"""),"Dubai&gt;Al Quoz&gt;Al Quoz Industrial Area&gt;Al Quoz Industrial Area 1&gt;Al Quoz Commercial and Office Building")</f>
        <v>Dubai&gt;Al Quoz&gt;Al Quoz Industrial Area&gt;Al Quoz Industrial Area 1&gt;Al Quoz Commercial and Office Building</v>
      </c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6.5" x14ac:dyDescent="0.35">
      <c r="A524" s="2" t="str">
        <f ca="1">IFERROR(__xludf.DUMMYFUNCTION("""COMPUTED_VALUE"""),"Dubai")</f>
        <v>Dubai</v>
      </c>
      <c r="B524" s="2" t="str">
        <f ca="1">IFERROR(__xludf.DUMMYFUNCTION("""COMPUTED_VALUE"""),"Al Khail Heights Building 7A")</f>
        <v>Al Khail Heights Building 7A</v>
      </c>
      <c r="C524" s="2" t="str">
        <f ca="1">IFERROR(__xludf.DUMMYFUNCTION("""COMPUTED_VALUE"""),"Building")</f>
        <v>Building</v>
      </c>
      <c r="D524" s="2" t="str">
        <f ca="1">IFERROR(__xludf.DUMMYFUNCTION("""COMPUTED_VALUE"""),"Dubai&gt;Al Quoz&gt;Al Quoz 4&gt;Al Khail Heights&gt;Al Khail Heights Building 7A")</f>
        <v>Dubai&gt;Al Quoz&gt;Al Quoz 4&gt;Al Khail Heights&gt;Al Khail Heights Building 7A</v>
      </c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6.5" x14ac:dyDescent="0.35">
      <c r="A525" s="2" t="str">
        <f ca="1">IFERROR(__xludf.DUMMYFUNCTION("""COMPUTED_VALUE"""),"Dubai")</f>
        <v>Dubai</v>
      </c>
      <c r="B525" s="2" t="str">
        <f ca="1">IFERROR(__xludf.DUMMYFUNCTION("""COMPUTED_VALUE"""),"La Vista Residence 2")</f>
        <v>La Vista Residence 2</v>
      </c>
      <c r="C525" s="2" t="str">
        <f ca="1">IFERROR(__xludf.DUMMYFUNCTION("""COMPUTED_VALUE"""),"Building")</f>
        <v>Building</v>
      </c>
      <c r="D525" s="2" t="str">
        <f ca="1">IFERROR(__xludf.DUMMYFUNCTION("""COMPUTED_VALUE"""),"Dubai&gt;Dubai Silicon Oasis (DSO)&gt;La Vista Residence&gt;La Vista Residence 2")</f>
        <v>Dubai&gt;Dubai Silicon Oasis (DSO)&gt;La Vista Residence&gt;La Vista Residence 2</v>
      </c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6.5" x14ac:dyDescent="0.35">
      <c r="A526" s="2" t="str">
        <f ca="1">IFERROR(__xludf.DUMMYFUNCTION("""COMPUTED_VALUE"""),"Dubai")</f>
        <v>Dubai</v>
      </c>
      <c r="B526" s="2" t="str">
        <f ca="1">IFERROR(__xludf.DUMMYFUNCTION("""COMPUTED_VALUE"""),"Silicon Arch")</f>
        <v>Silicon Arch</v>
      </c>
      <c r="C526" s="2" t="str">
        <f ca="1">IFERROR(__xludf.DUMMYFUNCTION("""COMPUTED_VALUE"""),"Building")</f>
        <v>Building</v>
      </c>
      <c r="D526" s="2" t="str">
        <f ca="1">IFERROR(__xludf.DUMMYFUNCTION("""COMPUTED_VALUE"""),"Dubai&gt;Dubai Silicon Oasis (DSO)&gt;Silicon Arch")</f>
        <v>Dubai&gt;Dubai Silicon Oasis (DSO)&gt;Silicon Arch</v>
      </c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6.5" x14ac:dyDescent="0.35">
      <c r="A527" s="2" t="str">
        <f ca="1">IFERROR(__xludf.DUMMYFUNCTION("""COMPUTED_VALUE"""),"Dubai")</f>
        <v>Dubai</v>
      </c>
      <c r="B527" s="2" t="str">
        <f ca="1">IFERROR(__xludf.DUMMYFUNCTION("""COMPUTED_VALUE"""),"Saima Heights")</f>
        <v>Saima Heights</v>
      </c>
      <c r="C527" s="2" t="str">
        <f ca="1">IFERROR(__xludf.DUMMYFUNCTION("""COMPUTED_VALUE"""),"Building")</f>
        <v>Building</v>
      </c>
      <c r="D527" s="2" t="str">
        <f ca="1">IFERROR(__xludf.DUMMYFUNCTION("""COMPUTED_VALUE"""),"Dubai&gt;Dubai Silicon Oasis (DSO)&gt;Saima Heights")</f>
        <v>Dubai&gt;Dubai Silicon Oasis (DSO)&gt;Saima Heights</v>
      </c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6.5" x14ac:dyDescent="0.35">
      <c r="A528" s="2" t="str">
        <f ca="1">IFERROR(__xludf.DUMMYFUNCTION("""COMPUTED_VALUE"""),"Dubai")</f>
        <v>Dubai</v>
      </c>
      <c r="B528" s="2" t="str">
        <f ca="1">IFERROR(__xludf.DUMMYFUNCTION("""COMPUTED_VALUE"""),"Binghatti Diamonds")</f>
        <v>Binghatti Diamonds</v>
      </c>
      <c r="C528" s="2" t="str">
        <f ca="1">IFERROR(__xludf.DUMMYFUNCTION("""COMPUTED_VALUE"""),"Building")</f>
        <v>Building</v>
      </c>
      <c r="D528" s="2" t="str">
        <f ca="1">IFERROR(__xludf.DUMMYFUNCTION("""COMPUTED_VALUE"""),"Dubai&gt;Dubai Silicon Oasis (DSO)&gt;Binghatti Diamonds")</f>
        <v>Dubai&gt;Dubai Silicon Oasis (DSO)&gt;Binghatti Diamonds</v>
      </c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6.5" x14ac:dyDescent="0.35">
      <c r="A529" s="2" t="str">
        <f ca="1">IFERROR(__xludf.DUMMYFUNCTION("""COMPUTED_VALUE"""),"Dubai")</f>
        <v>Dubai</v>
      </c>
      <c r="B529" s="2" t="str">
        <f ca="1">IFERROR(__xludf.DUMMYFUNCTION("""COMPUTED_VALUE"""),"Liwa Oasis 2")</f>
        <v>Liwa Oasis 2</v>
      </c>
      <c r="C529" s="2" t="str">
        <f ca="1">IFERROR(__xludf.DUMMYFUNCTION("""COMPUTED_VALUE"""),"Building")</f>
        <v>Building</v>
      </c>
      <c r="D529" s="2" t="str">
        <f ca="1">IFERROR(__xludf.DUMMYFUNCTION("""COMPUTED_VALUE"""),"Dubai&gt;Dubai Silicon Oasis (DSO)&gt;Liwa Oasis&gt;Liwa Oasis 2")</f>
        <v>Dubai&gt;Dubai Silicon Oasis (DSO)&gt;Liwa Oasis&gt;Liwa Oasis 2</v>
      </c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6.5" x14ac:dyDescent="0.35">
      <c r="A530" s="2" t="str">
        <f ca="1">IFERROR(__xludf.DUMMYFUNCTION("""COMPUTED_VALUE"""),"Dubai")</f>
        <v>Dubai</v>
      </c>
      <c r="B530" s="2" t="str">
        <f ca="1">IFERROR(__xludf.DUMMYFUNCTION("""COMPUTED_VALUE"""),"DSO Emirates Towers")</f>
        <v>DSO Emirates Towers</v>
      </c>
      <c r="C530" s="2" t="str">
        <f ca="1">IFERROR(__xludf.DUMMYFUNCTION("""COMPUTED_VALUE"""),"Cluster")</f>
        <v>Cluster</v>
      </c>
      <c r="D530" s="2" t="str">
        <f ca="1">IFERROR(__xludf.DUMMYFUNCTION("""COMPUTED_VALUE"""),"Dubai&gt;Dubai Silicon Oasis (DSO)&gt;DSO Emirates Towers")</f>
        <v>Dubai&gt;Dubai Silicon Oasis (DSO)&gt;DSO Emirates Towers</v>
      </c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6.5" x14ac:dyDescent="0.35">
      <c r="A531" s="2" t="str">
        <f ca="1">IFERROR(__xludf.DUMMYFUNCTION("""COMPUTED_VALUE"""),"Dubai")</f>
        <v>Dubai</v>
      </c>
      <c r="B531" s="2" t="str">
        <f ca="1">IFERROR(__xludf.DUMMYFUNCTION("""COMPUTED_VALUE"""),"Belle Vie")</f>
        <v>Belle Vie</v>
      </c>
      <c r="C531" s="2" t="str">
        <f ca="1">IFERROR(__xludf.DUMMYFUNCTION("""COMPUTED_VALUE"""),"Building")</f>
        <v>Building</v>
      </c>
      <c r="D531" s="2" t="str">
        <f ca="1">IFERROR(__xludf.DUMMYFUNCTION("""COMPUTED_VALUE"""),"Dubai&gt;Dubai Silicon Oasis (DSO)&gt;Belle Vie")</f>
        <v>Dubai&gt;Dubai Silicon Oasis (DSO)&gt;Belle Vie</v>
      </c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6.5" x14ac:dyDescent="0.35">
      <c r="A532" s="2" t="str">
        <f ca="1">IFERROR(__xludf.DUMMYFUNCTION("""COMPUTED_VALUE"""),"Dubai")</f>
        <v>Dubai</v>
      </c>
      <c r="B532" s="2" t="str">
        <f ca="1">IFERROR(__xludf.DUMMYFUNCTION("""COMPUTED_VALUE"""),"Desert Leaf 3")</f>
        <v>Desert Leaf 3</v>
      </c>
      <c r="C532" s="2" t="str">
        <f ca="1">IFERROR(__xludf.DUMMYFUNCTION("""COMPUTED_VALUE"""),"Neighbourhood")</f>
        <v>Neighbourhood</v>
      </c>
      <c r="D532" s="2" t="str">
        <f ca="1">IFERROR(__xludf.DUMMYFUNCTION("""COMPUTED_VALUE"""),"Dubai&gt;Al Barari&gt;The Residences&gt;Desert Leaf&gt;Desert Leaf 3")</f>
        <v>Dubai&gt;Al Barari&gt;The Residences&gt;Desert Leaf&gt;Desert Leaf 3</v>
      </c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6.5" x14ac:dyDescent="0.35">
      <c r="A533" s="2" t="str">
        <f ca="1">IFERROR(__xludf.DUMMYFUNCTION("""COMPUTED_VALUE"""),"Dubai")</f>
        <v>Dubai</v>
      </c>
      <c r="B533" s="2" t="str">
        <f ca="1">IFERROR(__xludf.DUMMYFUNCTION("""COMPUTED_VALUE"""),"MAG 900")</f>
        <v>MAG 900</v>
      </c>
      <c r="C533" s="2" t="str">
        <f ca="1">IFERROR(__xludf.DUMMYFUNCTION("""COMPUTED_VALUE"""),"Building")</f>
        <v>Building</v>
      </c>
      <c r="D533" s="2" t="str">
        <f ca="1">IFERROR(__xludf.DUMMYFUNCTION("""COMPUTED_VALUE"""),"Dubai&gt;Mohammed Bin Rashid City&gt;District 7&gt;MAG City&gt;MAG 900")</f>
        <v>Dubai&gt;Mohammed Bin Rashid City&gt;District 7&gt;MAG City&gt;MAG 900</v>
      </c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6.5" x14ac:dyDescent="0.35">
      <c r="A534" s="2" t="str">
        <f ca="1">IFERROR(__xludf.DUMMYFUNCTION("""COMPUTED_VALUE"""),"Dubai")</f>
        <v>Dubai</v>
      </c>
      <c r="B534" s="2" t="str">
        <f ca="1">IFERROR(__xludf.DUMMYFUNCTION("""COMPUTED_VALUE"""),"The Watercrest")</f>
        <v>The Watercrest</v>
      </c>
      <c r="C534" s="2" t="str">
        <f ca="1">IFERROR(__xludf.DUMMYFUNCTION("""COMPUTED_VALUE"""),"Neighbourhood")</f>
        <v>Neighbourhood</v>
      </c>
      <c r="D534" s="2" t="str">
        <f ca="1">IFERROR(__xludf.DUMMYFUNCTION("""COMPUTED_VALUE"""),"Dubai&gt;Mohammed Bin Rashid City&gt;District 11&gt;The Watercrest")</f>
        <v>Dubai&gt;Mohammed Bin Rashid City&gt;District 11&gt;The Watercrest</v>
      </c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6.5" x14ac:dyDescent="0.35">
      <c r="A535" s="2" t="str">
        <f ca="1">IFERROR(__xludf.DUMMYFUNCTION("""COMPUTED_VALUE"""),"Dubai")</f>
        <v>Dubai</v>
      </c>
      <c r="B535" s="2" t="str">
        <f ca="1">IFERROR(__xludf.DUMMYFUNCTION("""COMPUTED_VALUE"""),"Residences 11")</f>
        <v>Residences 11</v>
      </c>
      <c r="C535" s="2" t="str">
        <f ca="1">IFERROR(__xludf.DUMMYFUNCTION("""COMPUTED_VALUE"""),"Building")</f>
        <v>Building</v>
      </c>
      <c r="D535" s="2" t="str">
        <f ca="1">IFERROR(__xludf.DUMMYFUNCTION("""COMPUTED_VALUE"""),"Dubai&gt;Mohammed Bin Rashid City&gt;District One&gt;The Residences at District One&gt;Residences 11")</f>
        <v>Dubai&gt;Mohammed Bin Rashid City&gt;District One&gt;The Residences at District One&gt;Residences 11</v>
      </c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6.5" x14ac:dyDescent="0.35">
      <c r="A536" s="2" t="str">
        <f ca="1">IFERROR(__xludf.DUMMYFUNCTION("""COMPUTED_VALUE"""),"Dubai")</f>
        <v>Dubai</v>
      </c>
      <c r="B536" s="2" t="str">
        <f ca="1">IFERROR(__xludf.DUMMYFUNCTION("""COMPUTED_VALUE"""),"Kappa Acca 1")</f>
        <v>Kappa Acca 1</v>
      </c>
      <c r="C536" s="2" t="str">
        <f ca="1">IFERROR(__xludf.DUMMYFUNCTION("""COMPUTED_VALUE"""),"Building")</f>
        <v>Building</v>
      </c>
      <c r="D536" s="2" t="str">
        <f ca="1">IFERROR(__xludf.DUMMYFUNCTION("""COMPUTED_VALUE"""),"Dubai&gt;Dubai South&gt;Kappa Acca 1")</f>
        <v>Dubai&gt;Dubai South&gt;Kappa Acca 1</v>
      </c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6.5" x14ac:dyDescent="0.35">
      <c r="A537" s="2" t="str">
        <f ca="1">IFERROR(__xludf.DUMMYFUNCTION("""COMPUTED_VALUE"""),"Dubai")</f>
        <v>Dubai</v>
      </c>
      <c r="B537" s="2" t="str">
        <f ca="1">IFERROR(__xludf.DUMMYFUNCTION("""COMPUTED_VALUE"""),"The Pulse Residence Plaza")</f>
        <v>The Pulse Residence Plaza</v>
      </c>
      <c r="C537" s="2" t="str">
        <f ca="1">IFERROR(__xludf.DUMMYFUNCTION("""COMPUTED_VALUE"""),"Cluster")</f>
        <v>Cluster</v>
      </c>
      <c r="D537" s="2" t="str">
        <f ca="1">IFERROR(__xludf.DUMMYFUNCTION("""COMPUTED_VALUE"""),"Dubai&gt;Dubai South&gt;Residential District&gt;The Pulse&gt;The Pulse Residence Plaza")</f>
        <v>Dubai&gt;Dubai South&gt;Residential District&gt;The Pulse&gt;The Pulse Residence Plaza</v>
      </c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6.5" x14ac:dyDescent="0.35">
      <c r="A538" s="2" t="str">
        <f ca="1">IFERROR(__xludf.DUMMYFUNCTION("""COMPUTED_VALUE"""),"Dubai")</f>
        <v>Dubai</v>
      </c>
      <c r="B538" s="2" t="str">
        <f ca="1">IFERROR(__xludf.DUMMYFUNCTION("""COMPUTED_VALUE"""),"South Bay 6")</f>
        <v>South Bay 6</v>
      </c>
      <c r="C538" s="2" t="str">
        <f ca="1">IFERROR(__xludf.DUMMYFUNCTION("""COMPUTED_VALUE"""),"Neighbourhood")</f>
        <v>Neighbourhood</v>
      </c>
      <c r="D538" s="2" t="str">
        <f ca="1">IFERROR(__xludf.DUMMYFUNCTION("""COMPUTED_VALUE"""),"Dubai&gt;Dubai South&gt;Residential District&gt;South Bay&gt;South Bay 6")</f>
        <v>Dubai&gt;Dubai South&gt;Residential District&gt;South Bay&gt;South Bay 6</v>
      </c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6.5" x14ac:dyDescent="0.35">
      <c r="A539" s="2" t="str">
        <f ca="1">IFERROR(__xludf.DUMMYFUNCTION("""COMPUTED_VALUE"""),"Dubai")</f>
        <v>Dubai</v>
      </c>
      <c r="B539" s="2" t="str">
        <f ca="1">IFERROR(__xludf.DUMMYFUNCTION("""COMPUTED_VALUE"""),"Westar Altair")</f>
        <v>Westar Altair</v>
      </c>
      <c r="C539" s="2" t="str">
        <f ca="1">IFERROR(__xludf.DUMMYFUNCTION("""COMPUTED_VALUE"""),"Building")</f>
        <v>Building</v>
      </c>
      <c r="D539" s="2" t="str">
        <f ca="1">IFERROR(__xludf.DUMMYFUNCTION("""COMPUTED_VALUE"""),"Dubai&gt;Dubai South&gt;Residential District&gt;Westar Altair")</f>
        <v>Dubai&gt;Dubai South&gt;Residential District&gt;Westar Altair</v>
      </c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6.5" x14ac:dyDescent="0.35">
      <c r="A540" s="2" t="str">
        <f ca="1">IFERROR(__xludf.DUMMYFUNCTION("""COMPUTED_VALUE"""),"Dubai")</f>
        <v>Dubai</v>
      </c>
      <c r="B540" s="2" t="str">
        <f ca="1">IFERROR(__xludf.DUMMYFUNCTION("""COMPUTED_VALUE"""),"Maak Residence")</f>
        <v>Maak Residence</v>
      </c>
      <c r="C540" s="2" t="str">
        <f ca="1">IFERROR(__xludf.DUMMYFUNCTION("""COMPUTED_VALUE"""),"Building")</f>
        <v>Building</v>
      </c>
      <c r="D540" s="2" t="str">
        <f ca="1">IFERROR(__xludf.DUMMYFUNCTION("""COMPUTED_VALUE"""),"Dubai&gt;Dubai South&gt;Residential District&gt;Maak Residence")</f>
        <v>Dubai&gt;Dubai South&gt;Residential District&gt;Maak Residence</v>
      </c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6.5" x14ac:dyDescent="0.35">
      <c r="A541" s="2" t="str">
        <f ca="1">IFERROR(__xludf.DUMMYFUNCTION("""COMPUTED_VALUE"""),"Dubai")</f>
        <v>Dubai</v>
      </c>
      <c r="B541" s="2" t="str">
        <f ca="1">IFERROR(__xludf.DUMMYFUNCTION("""COMPUTED_VALUE"""),"Golf Acres")</f>
        <v>Golf Acres</v>
      </c>
      <c r="C541" s="2" t="str">
        <f ca="1">IFERROR(__xludf.DUMMYFUNCTION("""COMPUTED_VALUE"""),"Neighbourhood")</f>
        <v>Neighbourhood</v>
      </c>
      <c r="D541" s="2" t="str">
        <f ca="1">IFERROR(__xludf.DUMMYFUNCTION("""COMPUTED_VALUE"""),"Dubai&gt;Dubai South&gt;Emaar South&gt;Golf Acres")</f>
        <v>Dubai&gt;Dubai South&gt;Emaar South&gt;Golf Acres</v>
      </c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6.5" x14ac:dyDescent="0.35">
      <c r="A542" s="2" t="str">
        <f ca="1">IFERROR(__xludf.DUMMYFUNCTION("""COMPUTED_VALUE"""),"Dubai")</f>
        <v>Dubai</v>
      </c>
      <c r="B542" s="2" t="str">
        <f ca="1">IFERROR(__xludf.DUMMYFUNCTION("""COMPUTED_VALUE"""),"Dubai South Business Park B4")</f>
        <v>Dubai South Business Park B4</v>
      </c>
      <c r="C542" s="2" t="str">
        <f ca="1">IFERROR(__xludf.DUMMYFUNCTION("""COMPUTED_VALUE"""),"Building")</f>
        <v>Building</v>
      </c>
      <c r="D542" s="2" t="str">
        <f ca="1">IFERROR(__xludf.DUMMYFUNCTION("""COMPUTED_VALUE"""),"Dubai&gt;Dubai South&gt;Logistics City&gt;The Avenue&gt;Dubai South Business Park B4")</f>
        <v>Dubai&gt;Dubai South&gt;Logistics City&gt;The Avenue&gt;Dubai South Business Park B4</v>
      </c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6.5" x14ac:dyDescent="0.35">
      <c r="A543" s="2" t="str">
        <f ca="1">IFERROR(__xludf.DUMMYFUNCTION("""COMPUTED_VALUE"""),"Dubai")</f>
        <v>Dubai</v>
      </c>
      <c r="B543" s="2" t="str">
        <f ca="1">IFERROR(__xludf.DUMMYFUNCTION("""COMPUTED_VALUE"""),"Azizi Venice 7 Building C")</f>
        <v>Azizi Venice 7 Building C</v>
      </c>
      <c r="C543" s="2" t="str">
        <f ca="1">IFERROR(__xludf.DUMMYFUNCTION("""COMPUTED_VALUE"""),"Building")</f>
        <v>Building</v>
      </c>
      <c r="D543" s="2" t="str">
        <f ca="1">IFERROR(__xludf.DUMMYFUNCTION("""COMPUTED_VALUE"""),"Dubai&gt;Dubai South&gt;Azizi Venice&gt;Azizi Venice 7&gt;Azizi Venice 7 Building C")</f>
        <v>Dubai&gt;Dubai South&gt;Azizi Venice&gt;Azizi Venice 7&gt;Azizi Venice 7 Building C</v>
      </c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6.5" x14ac:dyDescent="0.35">
      <c r="A544" s="2" t="str">
        <f ca="1">IFERROR(__xludf.DUMMYFUNCTION("""COMPUTED_VALUE"""),"Dubai")</f>
        <v>Dubai</v>
      </c>
      <c r="B544" s="2" t="str">
        <f ca="1">IFERROR(__xludf.DUMMYFUNCTION("""COMPUTED_VALUE"""),"Al Kharafi Building")</f>
        <v>Al Kharafi Building</v>
      </c>
      <c r="C544" s="2" t="str">
        <f ca="1">IFERROR(__xludf.DUMMYFUNCTION("""COMPUTED_VALUE"""),"Building")</f>
        <v>Building</v>
      </c>
      <c r="D544" s="2" t="str">
        <f ca="1">IFERROR(__xludf.DUMMYFUNCTION("""COMPUTED_VALUE"""),"Dubai&gt;Dubai South&gt;Al Kharafi Building")</f>
        <v>Dubai&gt;Dubai South&gt;Al Kharafi Building</v>
      </c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6.5" x14ac:dyDescent="0.35">
      <c r="A545" s="2" t="str">
        <f ca="1">IFERROR(__xludf.DUMMYFUNCTION("""COMPUTED_VALUE"""),"Dubai")</f>
        <v>Dubai</v>
      </c>
      <c r="B545" s="2" t="str">
        <f ca="1">IFERROR(__xludf.DUMMYFUNCTION("""COMPUTED_VALUE"""),"Bur Dubai")</f>
        <v>Bur Dubai</v>
      </c>
      <c r="C545" s="2" t="str">
        <f ca="1">IFERROR(__xludf.DUMMYFUNCTION("""COMPUTED_VALUE"""),"Neighbourhood")</f>
        <v>Neighbourhood</v>
      </c>
      <c r="D545" s="2" t="str">
        <f ca="1">IFERROR(__xludf.DUMMYFUNCTION("""COMPUTED_VALUE"""),"Dubai&gt;Bur Dubai")</f>
        <v>Dubai&gt;Bur Dubai</v>
      </c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6.5" x14ac:dyDescent="0.35">
      <c r="A546" s="2" t="str">
        <f ca="1">IFERROR(__xludf.DUMMYFUNCTION("""COMPUTED_VALUE"""),"Dubai")</f>
        <v>Dubai</v>
      </c>
      <c r="B546" s="2" t="str">
        <f ca="1">IFERROR(__xludf.DUMMYFUNCTION("""COMPUTED_VALUE"""),"Pyramid Centre")</f>
        <v>Pyramid Centre</v>
      </c>
      <c r="C546" s="2" t="str">
        <f ca="1">IFERROR(__xludf.DUMMYFUNCTION("""COMPUTED_VALUE"""),"Building")</f>
        <v>Building</v>
      </c>
      <c r="D546" s="2" t="str">
        <f ca="1">IFERROR(__xludf.DUMMYFUNCTION("""COMPUTED_VALUE"""),"Dubai&gt;Bur Dubai&gt;Oud Metha&gt;Pyramid Centre")</f>
        <v>Dubai&gt;Bur Dubai&gt;Oud Metha&gt;Pyramid Centre</v>
      </c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6.5" x14ac:dyDescent="0.35">
      <c r="A547" s="2" t="str">
        <f ca="1">IFERROR(__xludf.DUMMYFUNCTION("""COMPUTED_VALUE"""),"Dubai")</f>
        <v>Dubai</v>
      </c>
      <c r="B547" s="2" t="str">
        <f ca="1">IFERROR(__xludf.DUMMYFUNCTION("""COMPUTED_VALUE"""),"Faisal Bin Ahmed Building")</f>
        <v>Faisal Bin Ahmed Building</v>
      </c>
      <c r="C547" s="2" t="str">
        <f ca="1">IFERROR(__xludf.DUMMYFUNCTION("""COMPUTED_VALUE"""),"Building")</f>
        <v>Building</v>
      </c>
      <c r="D547" s="2" t="str">
        <f ca="1">IFERROR(__xludf.DUMMYFUNCTION("""COMPUTED_VALUE"""),"Dubai&gt;Bur Dubai&gt;Oud Metha&gt;Faisal Bin Ahmed Building")</f>
        <v>Dubai&gt;Bur Dubai&gt;Oud Metha&gt;Faisal Bin Ahmed Building</v>
      </c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6.5" x14ac:dyDescent="0.35">
      <c r="A548" s="2" t="str">
        <f ca="1">IFERROR(__xludf.DUMMYFUNCTION("""COMPUTED_VALUE"""),"Dubai")</f>
        <v>Dubai</v>
      </c>
      <c r="B548" s="2" t="str">
        <f ca="1">IFERROR(__xludf.DUMMYFUNCTION("""COMPUTED_VALUE"""),"Element Al Mina")</f>
        <v>Element Al Mina</v>
      </c>
      <c r="C548" s="2" t="str">
        <f ca="1">IFERROR(__xludf.DUMMYFUNCTION("""COMPUTED_VALUE"""),"Building")</f>
        <v>Building</v>
      </c>
      <c r="D548" s="2" t="str">
        <f ca="1">IFERROR(__xludf.DUMMYFUNCTION("""COMPUTED_VALUE"""),"Dubai&gt;Bur Dubai&gt;Al Raffa&gt;Element Al Mina")</f>
        <v>Dubai&gt;Bur Dubai&gt;Al Raffa&gt;Element Al Mina</v>
      </c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6.5" x14ac:dyDescent="0.35">
      <c r="A549" s="2" t="str">
        <f ca="1">IFERROR(__xludf.DUMMYFUNCTION("""COMPUTED_VALUE"""),"Dubai")</f>
        <v>Dubai</v>
      </c>
      <c r="B549" s="2" t="str">
        <f ca="1">IFERROR(__xludf.DUMMYFUNCTION("""COMPUTED_VALUE"""),"Ambassador School")</f>
        <v>Ambassador School</v>
      </c>
      <c r="C549" s="2" t="str">
        <f ca="1">IFERROR(__xludf.DUMMYFUNCTION("""COMPUTED_VALUE"""),"School")</f>
        <v>School</v>
      </c>
      <c r="D549" s="2" t="str">
        <f ca="1">IFERROR(__xludf.DUMMYFUNCTION("""COMPUTED_VALUE"""),"Dubai&gt;Bur Dubai&gt;Al Mankhool&gt;Ambassador School")</f>
        <v>Dubai&gt;Bur Dubai&gt;Al Mankhool&gt;Ambassador School</v>
      </c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6.5" x14ac:dyDescent="0.35">
      <c r="A550" s="2" t="str">
        <f ca="1">IFERROR(__xludf.DUMMYFUNCTION("""COMPUTED_VALUE"""),"Dubai")</f>
        <v>Dubai</v>
      </c>
      <c r="B550" s="2" t="str">
        <f ca="1">IFERROR(__xludf.DUMMYFUNCTION("""COMPUTED_VALUE"""),"Residence 1003")</f>
        <v>Residence 1003</v>
      </c>
      <c r="C550" s="2" t="str">
        <f ca="1">IFERROR(__xludf.DUMMYFUNCTION("""COMPUTED_VALUE"""),"Building")</f>
        <v>Building</v>
      </c>
      <c r="D550" s="2" t="str">
        <f ca="1">IFERROR(__xludf.DUMMYFUNCTION("""COMPUTED_VALUE"""),"Dubai&gt;Bur Dubai&gt;Al Mankhool&gt;Residence 1003")</f>
        <v>Dubai&gt;Bur Dubai&gt;Al Mankhool&gt;Residence 1003</v>
      </c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6.5" x14ac:dyDescent="0.35">
      <c r="A551" s="2" t="str">
        <f ca="1">IFERROR(__xludf.DUMMYFUNCTION("""COMPUTED_VALUE"""),"Dubai")</f>
        <v>Dubai</v>
      </c>
      <c r="B551" s="2" t="str">
        <f ca="1">IFERROR(__xludf.DUMMYFUNCTION("""COMPUTED_VALUE"""),"Al Bafta Grand")</f>
        <v>Al Bafta Grand</v>
      </c>
      <c r="C551" s="2" t="str">
        <f ca="1">IFERROR(__xludf.DUMMYFUNCTION("""COMPUTED_VALUE"""),"Building")</f>
        <v>Building</v>
      </c>
      <c r="D551" s="2" t="str">
        <f ca="1">IFERROR(__xludf.DUMMYFUNCTION("""COMPUTED_VALUE"""),"Dubai&gt;Bur Dubai&gt;Al Mankhool&gt;Al Bafta Grand")</f>
        <v>Dubai&gt;Bur Dubai&gt;Al Mankhool&gt;Al Bafta Grand</v>
      </c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6.5" x14ac:dyDescent="0.35">
      <c r="A552" s="2" t="str">
        <f ca="1">IFERROR(__xludf.DUMMYFUNCTION("""COMPUTED_VALUE"""),"Dubai")</f>
        <v>Dubai</v>
      </c>
      <c r="B552" s="2" t="str">
        <f ca="1">IFERROR(__xludf.DUMMYFUNCTION("""COMPUTED_VALUE"""),"Qasar Al Mankhool")</f>
        <v>Qasar Al Mankhool</v>
      </c>
      <c r="C552" s="2" t="str">
        <f ca="1">IFERROR(__xludf.DUMMYFUNCTION("""COMPUTED_VALUE"""),"Building")</f>
        <v>Building</v>
      </c>
      <c r="D552" s="2" t="str">
        <f ca="1">IFERROR(__xludf.DUMMYFUNCTION("""COMPUTED_VALUE"""),"Dubai&gt;Bur Dubai&gt;Al Mankhool&gt;Qasar Al Mankhool")</f>
        <v>Dubai&gt;Bur Dubai&gt;Al Mankhool&gt;Qasar Al Mankhool</v>
      </c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6.5" x14ac:dyDescent="0.35">
      <c r="A553" s="2" t="str">
        <f ca="1">IFERROR(__xludf.DUMMYFUNCTION("""COMPUTED_VALUE"""),"Dubai")</f>
        <v>Dubai</v>
      </c>
      <c r="B553" s="2" t="str">
        <f ca="1">IFERROR(__xludf.DUMMYFUNCTION("""COMPUTED_VALUE"""),"Grand Hyatt Dubai")</f>
        <v>Grand Hyatt Dubai</v>
      </c>
      <c r="C553" s="2" t="str">
        <f ca="1">IFERROR(__xludf.DUMMYFUNCTION("""COMPUTED_VALUE"""),"Building")</f>
        <v>Building</v>
      </c>
      <c r="D553" s="2" t="str">
        <f ca="1">IFERROR(__xludf.DUMMYFUNCTION("""COMPUTED_VALUE"""),"Dubai&gt;Bur Dubai&gt;Umm Hurair&gt;Umm Hurair 2&gt;Grand Hyatt Dubai")</f>
        <v>Dubai&gt;Bur Dubai&gt;Umm Hurair&gt;Umm Hurair 2&gt;Grand Hyatt Dubai</v>
      </c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6.5" x14ac:dyDescent="0.35">
      <c r="A554" s="2" t="str">
        <f ca="1">IFERROR(__xludf.DUMMYFUNCTION("""COMPUTED_VALUE"""),"Dubai")</f>
        <v>Dubai</v>
      </c>
      <c r="B554" s="2" t="str">
        <f ca="1">IFERROR(__xludf.DUMMYFUNCTION("""COMPUTED_VALUE"""),"Hassan Yahya Ahmed Mahyouh Building")</f>
        <v>Hassan Yahya Ahmed Mahyouh Building</v>
      </c>
      <c r="C554" s="2" t="str">
        <f ca="1">IFERROR(__xludf.DUMMYFUNCTION("""COMPUTED_VALUE"""),"Building")</f>
        <v>Building</v>
      </c>
      <c r="D554" s="2" t="str">
        <f ca="1">IFERROR(__xludf.DUMMYFUNCTION("""COMPUTED_VALUE"""),"Dubai&gt;Bur Dubai&gt;Al Souk Al Kabeer (Al Fahidi)&gt;Hassan Yahya Ahmed Mahyouh Building")</f>
        <v>Dubai&gt;Bur Dubai&gt;Al Souk Al Kabeer (Al Fahidi)&gt;Hassan Yahya Ahmed Mahyouh Building</v>
      </c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6.5" x14ac:dyDescent="0.35">
      <c r="A555" s="2" t="str">
        <f ca="1">IFERROR(__xludf.DUMMYFUNCTION("""COMPUTED_VALUE"""),"Dubai")</f>
        <v>Dubai</v>
      </c>
      <c r="B555" s="2" t="str">
        <f ca="1">IFERROR(__xludf.DUMMYFUNCTION("""COMPUTED_VALUE"""),"Al Khayat Apartments")</f>
        <v>Al Khayat Apartments</v>
      </c>
      <c r="C555" s="2" t="str">
        <f ca="1">IFERROR(__xludf.DUMMYFUNCTION("""COMPUTED_VALUE"""),"Building")</f>
        <v>Building</v>
      </c>
      <c r="D555" s="2" t="str">
        <f ca="1">IFERROR(__xludf.DUMMYFUNCTION("""COMPUTED_VALUE"""),"Dubai&gt;Bur Dubai&gt;Al Hamriya&gt;Al Khayat Apartments")</f>
        <v>Dubai&gt;Bur Dubai&gt;Al Hamriya&gt;Al Khayat Apartments</v>
      </c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6.5" x14ac:dyDescent="0.35">
      <c r="A556" s="2" t="str">
        <f ca="1">IFERROR(__xludf.DUMMYFUNCTION("""COMPUTED_VALUE"""),"Dubai")</f>
        <v>Dubai</v>
      </c>
      <c r="B556" s="2" t="str">
        <f ca="1">IFERROR(__xludf.DUMMYFUNCTION("""COMPUTED_VALUE"""),"Building 27")</f>
        <v>Building 27</v>
      </c>
      <c r="C556" s="2" t="str">
        <f ca="1">IFERROR(__xludf.DUMMYFUNCTION("""COMPUTED_VALUE"""),"Building")</f>
        <v>Building</v>
      </c>
      <c r="D556" s="2" t="str">
        <f ca="1">IFERROR(__xludf.DUMMYFUNCTION("""COMPUTED_VALUE"""),"Dubai&gt;Bur Dubai&gt;Dubai Healthcare City&gt;Building 27")</f>
        <v>Dubai&gt;Bur Dubai&gt;Dubai Healthcare City&gt;Building 27</v>
      </c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6.5" x14ac:dyDescent="0.35">
      <c r="A557" s="2" t="str">
        <f ca="1">IFERROR(__xludf.DUMMYFUNCTION("""COMPUTED_VALUE"""),"Dubai")</f>
        <v>Dubai</v>
      </c>
      <c r="B557" s="2" t="str">
        <f ca="1">IFERROR(__xludf.DUMMYFUNCTION("""COMPUTED_VALUE"""),"Al Andalus Tower F")</f>
        <v>Al Andalus Tower F</v>
      </c>
      <c r="C557" s="2" t="str">
        <f ca="1">IFERROR(__xludf.DUMMYFUNCTION("""COMPUTED_VALUE"""),"Building")</f>
        <v>Building</v>
      </c>
      <c r="D557" s="2" t="str">
        <f ca="1">IFERROR(__xludf.DUMMYFUNCTION("""COMPUTED_VALUE"""),"Dubai&gt;Jumeirah Golf Estates&gt;Al Andalus&gt;Al Andalus Tower F")</f>
        <v>Dubai&gt;Jumeirah Golf Estates&gt;Al Andalus&gt;Al Andalus Tower F</v>
      </c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6.5" x14ac:dyDescent="0.35">
      <c r="A558" s="2" t="str">
        <f ca="1">IFERROR(__xludf.DUMMYFUNCTION("""COMPUTED_VALUE"""),"Dubai")</f>
        <v>Dubai</v>
      </c>
      <c r="B558" s="2" t="str">
        <f ca="1">IFERROR(__xludf.DUMMYFUNCTION("""COMPUTED_VALUE"""),"Marina Vista Podium")</f>
        <v>Marina Vista Podium</v>
      </c>
      <c r="C558" s="2" t="str">
        <f ca="1">IFERROR(__xludf.DUMMYFUNCTION("""COMPUTED_VALUE"""),"Building")</f>
        <v>Building</v>
      </c>
      <c r="D558" s="2" t="str">
        <f ca="1">IFERROR(__xludf.DUMMYFUNCTION("""COMPUTED_VALUE"""),"Dubai&gt;Dubai Harbour&gt;Emaar Beachfront&gt;Marina Vista&gt;Marina Vista Podium")</f>
        <v>Dubai&gt;Dubai Harbour&gt;Emaar Beachfront&gt;Marina Vista&gt;Marina Vista Podium</v>
      </c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6.5" x14ac:dyDescent="0.35">
      <c r="A559" s="2" t="str">
        <f ca="1">IFERROR(__xludf.DUMMYFUNCTION("""COMPUTED_VALUE"""),"Dubai")</f>
        <v>Dubai</v>
      </c>
      <c r="B559" s="2" t="str">
        <f ca="1">IFERROR(__xludf.DUMMYFUNCTION("""COMPUTED_VALUE"""),"Sobha Seahaven Tower A")</f>
        <v>Sobha Seahaven Tower A</v>
      </c>
      <c r="C559" s="2" t="str">
        <f ca="1">IFERROR(__xludf.DUMMYFUNCTION("""COMPUTED_VALUE"""),"Building")</f>
        <v>Building</v>
      </c>
      <c r="D559" s="2" t="str">
        <f ca="1">IFERROR(__xludf.DUMMYFUNCTION("""COMPUTED_VALUE"""),"Dubai&gt;Dubai Harbour&gt;Sobha Seahaven&gt;Sobha Seahaven Tower A")</f>
        <v>Dubai&gt;Dubai Harbour&gt;Sobha Seahaven&gt;Sobha Seahaven Tower A</v>
      </c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6.5" x14ac:dyDescent="0.35">
      <c r="A560" s="2" t="str">
        <f ca="1">IFERROR(__xludf.DUMMYFUNCTION("""COMPUTED_VALUE"""),"Dubai")</f>
        <v>Dubai</v>
      </c>
      <c r="B560" s="2" t="str">
        <f ca="1">IFERROR(__xludf.DUMMYFUNCTION("""COMPUTED_VALUE"""),"Navitas Hotel and Residences")</f>
        <v>Navitas Hotel and Residences</v>
      </c>
      <c r="C560" s="2" t="str">
        <f ca="1">IFERROR(__xludf.DUMMYFUNCTION("""COMPUTED_VALUE"""),"Building")</f>
        <v>Building</v>
      </c>
      <c r="D560" s="2" t="str">
        <f ca="1">IFERROR(__xludf.DUMMYFUNCTION("""COMPUTED_VALUE"""),"Dubai&gt;DAMAC Hills 2 (Akoya by DAMAC)&gt;Navitas Hotel and Residences")</f>
        <v>Dubai&gt;DAMAC Hills 2 (Akoya by DAMAC)&gt;Navitas Hotel and Residences</v>
      </c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6.5" x14ac:dyDescent="0.35">
      <c r="A561" s="2" t="str">
        <f ca="1">IFERROR(__xludf.DUMMYFUNCTION("""COMPUTED_VALUE"""),"Dubai")</f>
        <v>Dubai</v>
      </c>
      <c r="B561" s="2" t="str">
        <f ca="1">IFERROR(__xludf.DUMMYFUNCTION("""COMPUTED_VALUE"""),"Casa Dora")</f>
        <v>Casa Dora</v>
      </c>
      <c r="C561" s="2" t="str">
        <f ca="1">IFERROR(__xludf.DUMMYFUNCTION("""COMPUTED_VALUE"""),"Neighbourhood")</f>
        <v>Neighbourhood</v>
      </c>
      <c r="D561" s="2" t="str">
        <f ca="1">IFERROR(__xludf.DUMMYFUNCTION("""COMPUTED_VALUE"""),"Dubai&gt;Serena&gt;Casa Dora")</f>
        <v>Dubai&gt;Serena&gt;Casa Dora</v>
      </c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6.5" x14ac:dyDescent="0.35">
      <c r="A562" s="2" t="str">
        <f ca="1">IFERROR(__xludf.DUMMYFUNCTION("""COMPUTED_VALUE"""),"Dubai")</f>
        <v>Dubai</v>
      </c>
      <c r="B562" s="2" t="str">
        <f ca="1">IFERROR(__xludf.DUMMYFUNCTION("""COMPUTED_VALUE"""),"J-08")</f>
        <v>J-08</v>
      </c>
      <c r="C562" s="2" t="str">
        <f ca="1">IFERROR(__xludf.DUMMYFUNCTION("""COMPUTED_VALUE"""),"Building")</f>
        <v>Building</v>
      </c>
      <c r="D562" s="2" t="str">
        <f ca="1">IFERROR(__xludf.DUMMYFUNCTION("""COMPUTED_VALUE"""),"Dubai&gt;International City&gt;Morocco Cluster&gt;J-08")</f>
        <v>Dubai&gt;International City&gt;Morocco Cluster&gt;J-08</v>
      </c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6.5" x14ac:dyDescent="0.35">
      <c r="A563" s="2" t="str">
        <f ca="1">IFERROR(__xludf.DUMMYFUNCTION("""COMPUTED_VALUE"""),"Dubai")</f>
        <v>Dubai</v>
      </c>
      <c r="B563" s="2" t="str">
        <f ca="1">IFERROR(__xludf.DUMMYFUNCTION("""COMPUTED_VALUE"""),"D-08")</f>
        <v>D-08</v>
      </c>
      <c r="C563" s="2" t="str">
        <f ca="1">IFERROR(__xludf.DUMMYFUNCTION("""COMPUTED_VALUE"""),"Building")</f>
        <v>Building</v>
      </c>
      <c r="D563" s="2" t="str">
        <f ca="1">IFERROR(__xludf.DUMMYFUNCTION("""COMPUTED_VALUE"""),"Dubai&gt;International City&gt;China Cluster&gt;D-08")</f>
        <v>Dubai&gt;International City&gt;China Cluster&gt;D-08</v>
      </c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6.5" x14ac:dyDescent="0.35">
      <c r="A564" s="2" t="str">
        <f ca="1">IFERROR(__xludf.DUMMYFUNCTION("""COMPUTED_VALUE"""),"Dubai")</f>
        <v>Dubai</v>
      </c>
      <c r="B564" s="2" t="str">
        <f ca="1">IFERROR(__xludf.DUMMYFUNCTION("""COMPUTED_VALUE"""),"C-05")</f>
        <v>C-05</v>
      </c>
      <c r="C564" s="2" t="str">
        <f ca="1">IFERROR(__xludf.DUMMYFUNCTION("""COMPUTED_VALUE"""),"Building")</f>
        <v>Building</v>
      </c>
      <c r="D564" s="2" t="str">
        <f ca="1">IFERROR(__xludf.DUMMYFUNCTION("""COMPUTED_VALUE"""),"Dubai&gt;International City&gt;China Cluster&gt;C-05")</f>
        <v>Dubai&gt;International City&gt;China Cluster&gt;C-05</v>
      </c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6.5" x14ac:dyDescent="0.35">
      <c r="A565" s="2" t="str">
        <f ca="1">IFERROR(__xludf.DUMMYFUNCTION("""COMPUTED_VALUE"""),"Dubai")</f>
        <v>Dubai</v>
      </c>
      <c r="B565" s="2" t="str">
        <f ca="1">IFERROR(__xludf.DUMMYFUNCTION("""COMPUTED_VALUE"""),"F-11")</f>
        <v>F-11</v>
      </c>
      <c r="C565" s="2" t="str">
        <f ca="1">IFERROR(__xludf.DUMMYFUNCTION("""COMPUTED_VALUE"""),"Building")</f>
        <v>Building</v>
      </c>
      <c r="D565" s="2" t="str">
        <f ca="1">IFERROR(__xludf.DUMMYFUNCTION("""COMPUTED_VALUE"""),"Dubai&gt;International City&gt;China Cluster&gt;F-11")</f>
        <v>Dubai&gt;International City&gt;China Cluster&gt;F-11</v>
      </c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6.5" x14ac:dyDescent="0.35">
      <c r="A566" s="2" t="str">
        <f ca="1">IFERROR(__xludf.DUMMYFUNCTION("""COMPUTED_VALUE"""),"Dubai")</f>
        <v>Dubai</v>
      </c>
      <c r="B566" s="2" t="str">
        <f ca="1">IFERROR(__xludf.DUMMYFUNCTION("""COMPUTED_VALUE"""),"S-12")</f>
        <v>S-12</v>
      </c>
      <c r="C566" s="2" t="str">
        <f ca="1">IFERROR(__xludf.DUMMYFUNCTION("""COMPUTED_VALUE"""),"Building")</f>
        <v>Building</v>
      </c>
      <c r="D566" s="2" t="str">
        <f ca="1">IFERROR(__xludf.DUMMYFUNCTION("""COMPUTED_VALUE"""),"Dubai&gt;International City&gt;Spain Cluster&gt;S-12")</f>
        <v>Dubai&gt;International City&gt;Spain Cluster&gt;S-12</v>
      </c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6.5" x14ac:dyDescent="0.35">
      <c r="A567" s="2" t="str">
        <f ca="1">IFERROR(__xludf.DUMMYFUNCTION("""COMPUTED_VALUE"""),"Dubai")</f>
        <v>Dubai</v>
      </c>
      <c r="B567" s="2" t="str">
        <f ca="1">IFERROR(__xludf.DUMMYFUNCTION("""COMPUTED_VALUE"""),"U-08")</f>
        <v>U-08</v>
      </c>
      <c r="C567" s="2" t="str">
        <f ca="1">IFERROR(__xludf.DUMMYFUNCTION("""COMPUTED_VALUE"""),"Building")</f>
        <v>Building</v>
      </c>
      <c r="D567" s="2" t="str">
        <f ca="1">IFERROR(__xludf.DUMMYFUNCTION("""COMPUTED_VALUE"""),"Dubai&gt;International City&gt;Italy Cluster&gt;U-08")</f>
        <v>Dubai&gt;International City&gt;Italy Cluster&gt;U-08</v>
      </c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6.5" x14ac:dyDescent="0.35">
      <c r="A568" s="2" t="str">
        <f ca="1">IFERROR(__xludf.DUMMYFUNCTION("""COMPUTED_VALUE"""),"Dubai")</f>
        <v>Dubai</v>
      </c>
      <c r="B568" s="2" t="str">
        <f ca="1">IFERROR(__xludf.DUMMYFUNCTION("""COMPUTED_VALUE"""),"V-12")</f>
        <v>V-12</v>
      </c>
      <c r="C568" s="2" t="str">
        <f ca="1">IFERROR(__xludf.DUMMYFUNCTION("""COMPUTED_VALUE"""),"Building")</f>
        <v>Building</v>
      </c>
      <c r="D568" s="2" t="str">
        <f ca="1">IFERROR(__xludf.DUMMYFUNCTION("""COMPUTED_VALUE"""),"Dubai&gt;International City&gt;Russia Cluster&gt;V-12")</f>
        <v>Dubai&gt;International City&gt;Russia Cluster&gt;V-12</v>
      </c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6.5" x14ac:dyDescent="0.35">
      <c r="A569" s="2" t="str">
        <f ca="1">IFERROR(__xludf.DUMMYFUNCTION("""COMPUTED_VALUE"""),"Dubai")</f>
        <v>Dubai</v>
      </c>
      <c r="B569" s="2" t="str">
        <f ca="1">IFERROR(__xludf.DUMMYFUNCTION("""COMPUTED_VALUE"""),"N-12")</f>
        <v>N-12</v>
      </c>
      <c r="C569" s="2" t="str">
        <f ca="1">IFERROR(__xludf.DUMMYFUNCTION("""COMPUTED_VALUE"""),"Building")</f>
        <v>Building</v>
      </c>
      <c r="D569" s="2" t="str">
        <f ca="1">IFERROR(__xludf.DUMMYFUNCTION("""COMPUTED_VALUE"""),"Dubai&gt;International City&gt;Persia Cluster&gt;N-12")</f>
        <v>Dubai&gt;International City&gt;Persia Cluster&gt;N-12</v>
      </c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6.5" x14ac:dyDescent="0.35">
      <c r="A570" s="2" t="str">
        <f ca="1">IFERROR(__xludf.DUMMYFUNCTION("""COMPUTED_VALUE"""),"Dubai")</f>
        <v>Dubai</v>
      </c>
      <c r="B570" s="2" t="str">
        <f ca="1">IFERROR(__xludf.DUMMYFUNCTION("""COMPUTED_VALUE"""),"EMR-03")</f>
        <v>EMR-03</v>
      </c>
      <c r="C570" s="2" t="str">
        <f ca="1">IFERROR(__xludf.DUMMYFUNCTION("""COMPUTED_VALUE"""),"Building")</f>
        <v>Building</v>
      </c>
      <c r="D570" s="2" t="str">
        <f ca="1">IFERROR(__xludf.DUMMYFUNCTION("""COMPUTED_VALUE"""),"Dubai&gt;International City&gt;Emirates Cluster&gt;EMR-03")</f>
        <v>Dubai&gt;International City&gt;Emirates Cluster&gt;EMR-03</v>
      </c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6.5" x14ac:dyDescent="0.35">
      <c r="A571" s="2" t="str">
        <f ca="1">IFERROR(__xludf.DUMMYFUNCTION("""COMPUTED_VALUE"""),"Dubai")</f>
        <v>Dubai</v>
      </c>
      <c r="B571" s="2" t="str">
        <f ca="1">IFERROR(__xludf.DUMMYFUNCTION("""COMPUTED_VALUE"""),"X-12")</f>
        <v>X-12</v>
      </c>
      <c r="C571" s="2" t="str">
        <f ca="1">IFERROR(__xludf.DUMMYFUNCTION("""COMPUTED_VALUE"""),"Building")</f>
        <v>Building</v>
      </c>
      <c r="D571" s="2" t="str">
        <f ca="1">IFERROR(__xludf.DUMMYFUNCTION("""COMPUTED_VALUE"""),"Dubai&gt;International City&gt;England Cluster&gt;X-12")</f>
        <v>Dubai&gt;International City&gt;England Cluster&gt;X-12</v>
      </c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6.5" x14ac:dyDescent="0.35">
      <c r="A572" s="2" t="str">
        <f ca="1">IFERROR(__xludf.DUMMYFUNCTION("""COMPUTED_VALUE"""),"Dubai")</f>
        <v>Dubai</v>
      </c>
      <c r="B572" s="2" t="str">
        <f ca="1">IFERROR(__xludf.DUMMYFUNCTION("""COMPUTED_VALUE"""),"Y-18")</f>
        <v>Y-18</v>
      </c>
      <c r="C572" s="2" t="str">
        <f ca="1">IFERROR(__xludf.DUMMYFUNCTION("""COMPUTED_VALUE"""),"Building")</f>
        <v>Building</v>
      </c>
      <c r="D572" s="2" t="str">
        <f ca="1">IFERROR(__xludf.DUMMYFUNCTION("""COMPUTED_VALUE"""),"Dubai&gt;International City&gt;England Cluster&gt;Y-18")</f>
        <v>Dubai&gt;International City&gt;England Cluster&gt;Y-18</v>
      </c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6.5" x14ac:dyDescent="0.35">
      <c r="A573" s="2" t="str">
        <f ca="1">IFERROR(__xludf.DUMMYFUNCTION("""COMPUTED_VALUE"""),"Dubai")</f>
        <v>Dubai</v>
      </c>
      <c r="B573" s="2" t="str">
        <f ca="1">IFERROR(__xludf.DUMMYFUNCTION("""COMPUTED_VALUE"""),"Al Helal Al Zahaby Building")</f>
        <v>Al Helal Al Zahaby Building</v>
      </c>
      <c r="C573" s="2" t="str">
        <f ca="1">IFERROR(__xludf.DUMMYFUNCTION("""COMPUTED_VALUE"""),"Building")</f>
        <v>Building</v>
      </c>
      <c r="D573" s="2" t="str">
        <f ca="1">IFERROR(__xludf.DUMMYFUNCTION("""COMPUTED_VALUE"""),"Dubai&gt;International City&gt;International City Phase 2 (Warsan 4)&gt;Al Helal Al Zahaby Building")</f>
        <v>Dubai&gt;International City&gt;International City Phase 2 (Warsan 4)&gt;Al Helal Al Zahaby Building</v>
      </c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6.5" x14ac:dyDescent="0.35">
      <c r="A574" s="2" t="str">
        <f ca="1">IFERROR(__xludf.DUMMYFUNCTION("""COMPUTED_VALUE"""),"Dubai")</f>
        <v>Dubai</v>
      </c>
      <c r="B574" s="2" t="str">
        <f ca="1">IFERROR(__xludf.DUMMYFUNCTION("""COMPUTED_VALUE"""),"Al Jawzaa Block A")</f>
        <v>Al Jawzaa Block A</v>
      </c>
      <c r="C574" s="2" t="str">
        <f ca="1">IFERROR(__xludf.DUMMYFUNCTION("""COMPUTED_VALUE"""),"Building")</f>
        <v>Building</v>
      </c>
      <c r="D574" s="2" t="str">
        <f ca="1">IFERROR(__xludf.DUMMYFUNCTION("""COMPUTED_VALUE"""),"Dubai&gt;International City&gt;International City Phase 2 (Warsan 4)&gt;Al Jawzaa&gt;Al Jawzaa Block A")</f>
        <v>Dubai&gt;International City&gt;International City Phase 2 (Warsan 4)&gt;Al Jawzaa&gt;Al Jawzaa Block A</v>
      </c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6.5" x14ac:dyDescent="0.35">
      <c r="A575" s="2" t="str">
        <f ca="1">IFERROR(__xludf.DUMMYFUNCTION("""COMPUTED_VALUE"""),"Dubai")</f>
        <v>Dubai</v>
      </c>
      <c r="B575" s="2" t="str">
        <f ca="1">IFERROR(__xludf.DUMMYFUNCTION("""COMPUTED_VALUE"""),"Latif Residence 1")</f>
        <v>Latif Residence 1</v>
      </c>
      <c r="C575" s="2" t="str">
        <f ca="1">IFERROR(__xludf.DUMMYFUNCTION("""COMPUTED_VALUE"""),"Building")</f>
        <v>Building</v>
      </c>
      <c r="D575" s="2" t="str">
        <f ca="1">IFERROR(__xludf.DUMMYFUNCTION("""COMPUTED_VALUE"""),"Dubai&gt;International City&gt;International City Phase 2 (Warsan 4)&gt;Latif Residence 1")</f>
        <v>Dubai&gt;International City&gt;International City Phase 2 (Warsan 4)&gt;Latif Residence 1</v>
      </c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6.5" x14ac:dyDescent="0.35">
      <c r="A576" s="2" t="str">
        <f ca="1">IFERROR(__xludf.DUMMYFUNCTION("""COMPUTED_VALUE"""),"Dubai")</f>
        <v>Dubai</v>
      </c>
      <c r="B576" s="2" t="str">
        <f ca="1">IFERROR(__xludf.DUMMYFUNCTION("""COMPUTED_VALUE"""),"Mahdi Mohd Mahdi Alasmawi Building")</f>
        <v>Mahdi Mohd Mahdi Alasmawi Building</v>
      </c>
      <c r="C576" s="2" t="str">
        <f ca="1">IFERROR(__xludf.DUMMYFUNCTION("""COMPUTED_VALUE"""),"Building")</f>
        <v>Building</v>
      </c>
      <c r="D576" s="2" t="str">
        <f ca="1">IFERROR(__xludf.DUMMYFUNCTION("""COMPUTED_VALUE"""),"Dubai&gt;International City&gt;International City Phase 2 (Warsan 4)&gt;Mahdi Mohd Mahdi Alasmawi Building")</f>
        <v>Dubai&gt;International City&gt;International City Phase 2 (Warsan 4)&gt;Mahdi Mohd Mahdi Alasmawi Building</v>
      </c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6.5" x14ac:dyDescent="0.35">
      <c r="A577" s="2" t="str">
        <f ca="1">IFERROR(__xludf.DUMMYFUNCTION("""COMPUTED_VALUE"""),"Dubai")</f>
        <v>Dubai</v>
      </c>
      <c r="B577" s="2" t="str">
        <f ca="1">IFERROR(__xludf.DUMMYFUNCTION("""COMPUTED_VALUE"""),"Stellar Axis")</f>
        <v>Stellar Axis</v>
      </c>
      <c r="C577" s="2" t="str">
        <f ca="1">IFERROR(__xludf.DUMMYFUNCTION("""COMPUTED_VALUE"""),"Building")</f>
        <v>Building</v>
      </c>
      <c r="D577" s="2" t="str">
        <f ca="1">IFERROR(__xludf.DUMMYFUNCTION("""COMPUTED_VALUE"""),"Dubai&gt;International City&gt;International City Phase 2 (Warsan 4)&gt;Stellar Axis")</f>
        <v>Dubai&gt;International City&gt;International City Phase 2 (Warsan 4)&gt;Stellar Axis</v>
      </c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6.5" x14ac:dyDescent="0.35">
      <c r="A578" s="2" t="str">
        <f ca="1">IFERROR(__xludf.DUMMYFUNCTION("""COMPUTED_VALUE"""),"Dubai")</f>
        <v>Dubai</v>
      </c>
      <c r="B578" s="2" t="str">
        <f ca="1">IFERROR(__xludf.DUMMYFUNCTION("""COMPUTED_VALUE"""),"K-04")</f>
        <v>K-04</v>
      </c>
      <c r="C578" s="2" t="str">
        <f ca="1">IFERROR(__xludf.DUMMYFUNCTION("""COMPUTED_VALUE"""),"Building")</f>
        <v>Building</v>
      </c>
      <c r="D578" s="2" t="str">
        <f ca="1">IFERROR(__xludf.DUMMYFUNCTION("""COMPUTED_VALUE"""),"Dubai&gt;International City&gt;Greece Cluster&gt;K-04")</f>
        <v>Dubai&gt;International City&gt;Greece Cluster&gt;K-04</v>
      </c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6.5" x14ac:dyDescent="0.35">
      <c r="A579" s="2" t="str">
        <f ca="1">IFERROR(__xludf.DUMMYFUNCTION("""COMPUTED_VALUE"""),"Dubai")</f>
        <v>Dubai</v>
      </c>
      <c r="B579" s="2" t="str">
        <f ca="1">IFERROR(__xludf.DUMMYFUNCTION("""COMPUTED_VALUE"""),"P-23")</f>
        <v>P-23</v>
      </c>
      <c r="C579" s="2" t="str">
        <f ca="1">IFERROR(__xludf.DUMMYFUNCTION("""COMPUTED_VALUE"""),"Building")</f>
        <v>Building</v>
      </c>
      <c r="D579" s="2" t="str">
        <f ca="1">IFERROR(__xludf.DUMMYFUNCTION("""COMPUTED_VALUE"""),"Dubai&gt;International City&gt;France Cluster&gt;P-23")</f>
        <v>Dubai&gt;International City&gt;France Cluster&gt;P-23</v>
      </c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6.5" x14ac:dyDescent="0.35">
      <c r="A580" s="2" t="str">
        <f ca="1">IFERROR(__xludf.DUMMYFUNCTION("""COMPUTED_VALUE"""),"Dubai")</f>
        <v>Dubai</v>
      </c>
      <c r="B580" s="2" t="str">
        <f ca="1">IFERROR(__xludf.DUMMYFUNCTION("""COMPUTED_VALUE"""),"P-14")</f>
        <v>P-14</v>
      </c>
      <c r="C580" s="2" t="str">
        <f ca="1">IFERROR(__xludf.DUMMYFUNCTION("""COMPUTED_VALUE"""),"Building")</f>
        <v>Building</v>
      </c>
      <c r="D580" s="2" t="str">
        <f ca="1">IFERROR(__xludf.DUMMYFUNCTION("""COMPUTED_VALUE"""),"Dubai&gt;International City&gt;France Cluster&gt;P-14")</f>
        <v>Dubai&gt;International City&gt;France Cluster&gt;P-14</v>
      </c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6.5" x14ac:dyDescent="0.35">
      <c r="A581" s="2" t="str">
        <f ca="1">IFERROR(__xludf.DUMMYFUNCTION("""COMPUTED_VALUE"""),"Dubai")</f>
        <v>Dubai</v>
      </c>
      <c r="B581" s="2" t="str">
        <f ca="1">IFERROR(__xludf.DUMMYFUNCTION("""COMPUTED_VALUE"""),"Riviera Lake View Apartments")</f>
        <v>Riviera Lake View Apartments</v>
      </c>
      <c r="C581" s="2" t="str">
        <f ca="1">IFERROR(__xludf.DUMMYFUNCTION("""COMPUTED_VALUE"""),"Building")</f>
        <v>Building</v>
      </c>
      <c r="D581" s="2" t="str">
        <f ca="1">IFERROR(__xludf.DUMMYFUNCTION("""COMPUTED_VALUE"""),"Dubai&gt;International City&gt;Central Business District&gt;Riviera Lake View Apartments")</f>
        <v>Dubai&gt;International City&gt;Central Business District&gt;Riviera Lake View Apartments</v>
      </c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6.5" x14ac:dyDescent="0.35">
      <c r="A582" s="2" t="str">
        <f ca="1">IFERROR(__xludf.DUMMYFUNCTION("""COMPUTED_VALUE"""),"Dubai")</f>
        <v>Dubai</v>
      </c>
      <c r="B582" s="2" t="str">
        <f ca="1">IFERROR(__xludf.DUMMYFUNCTION("""COMPUTED_VALUE"""),"Geepas Commercial Centre")</f>
        <v>Geepas Commercial Centre</v>
      </c>
      <c r="C582" s="2" t="str">
        <f ca="1">IFERROR(__xludf.DUMMYFUNCTION("""COMPUTED_VALUE"""),"Building")</f>
        <v>Building</v>
      </c>
      <c r="D582" s="2" t="str">
        <f ca="1">IFERROR(__xludf.DUMMYFUNCTION("""COMPUTED_VALUE"""),"Dubai&gt;International City&gt;Geepas Commercial Centre")</f>
        <v>Dubai&gt;International City&gt;Geepas Commercial Centre</v>
      </c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6.5" x14ac:dyDescent="0.35">
      <c r="A583" s="2" t="str">
        <f ca="1">IFERROR(__xludf.DUMMYFUNCTION("""COMPUTED_VALUE"""),"Dubai")</f>
        <v>Dubai</v>
      </c>
      <c r="B583" s="2" t="str">
        <f ca="1">IFERROR(__xludf.DUMMYFUNCTION("""COMPUTED_VALUE"""),"The Atlantic")</f>
        <v>The Atlantic</v>
      </c>
      <c r="C583" s="2" t="str">
        <f ca="1">IFERROR(__xludf.DUMMYFUNCTION("""COMPUTED_VALUE"""),"Cluster")</f>
        <v>Cluster</v>
      </c>
      <c r="D583" s="2" t="str">
        <f ca="1">IFERROR(__xludf.DUMMYFUNCTION("""COMPUTED_VALUE"""),"Dubai&gt;Dubai Marina&gt;The Atlantic")</f>
        <v>Dubai&gt;Dubai Marina&gt;The Atlantic</v>
      </c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6.5" x14ac:dyDescent="0.35">
      <c r="A584" s="2" t="str">
        <f ca="1">IFERROR(__xludf.DUMMYFUNCTION("""COMPUTED_VALUE"""),"Dubai")</f>
        <v>Dubai</v>
      </c>
      <c r="B584" s="2" t="str">
        <f ca="1">IFERROR(__xludf.DUMMYFUNCTION("""COMPUTED_VALUE"""),"Orra Harbour Residences")</f>
        <v>Orra Harbour Residences</v>
      </c>
      <c r="C584" s="2" t="str">
        <f ca="1">IFERROR(__xludf.DUMMYFUNCTION("""COMPUTED_VALUE"""),"Building")</f>
        <v>Building</v>
      </c>
      <c r="D584" s="2" t="str">
        <f ca="1">IFERROR(__xludf.DUMMYFUNCTION("""COMPUTED_VALUE"""),"Dubai&gt;Dubai Marina&gt;Orra Harbour Residences")</f>
        <v>Dubai&gt;Dubai Marina&gt;Orra Harbour Residences</v>
      </c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6.5" x14ac:dyDescent="0.35">
      <c r="A585" s="2" t="str">
        <f ca="1">IFERROR(__xludf.DUMMYFUNCTION("""COMPUTED_VALUE"""),"Dubai")</f>
        <v>Dubai</v>
      </c>
      <c r="B585" s="2" t="str">
        <f ca="1">IFERROR(__xludf.DUMMYFUNCTION("""COMPUTED_VALUE"""),"Durrat Al Marsa")</f>
        <v>Durrat Al Marsa</v>
      </c>
      <c r="C585" s="2" t="str">
        <f ca="1">IFERROR(__xludf.DUMMYFUNCTION("""COMPUTED_VALUE"""),"Building")</f>
        <v>Building</v>
      </c>
      <c r="D585" s="2" t="str">
        <f ca="1">IFERROR(__xludf.DUMMYFUNCTION("""COMPUTED_VALUE"""),"Dubai&gt;Dubai Marina&gt;Durrat Al Marsa")</f>
        <v>Dubai&gt;Dubai Marina&gt;Durrat Al Marsa</v>
      </c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6.5" x14ac:dyDescent="0.35">
      <c r="A586" s="2" t="str">
        <f ca="1">IFERROR(__xludf.DUMMYFUNCTION("""COMPUTED_VALUE"""),"Dubai")</f>
        <v>Dubai</v>
      </c>
      <c r="B586" s="2" t="str">
        <f ca="1">IFERROR(__xludf.DUMMYFUNCTION("""COMPUTED_VALUE"""),"DEC Tower 1")</f>
        <v>DEC Tower 1</v>
      </c>
      <c r="C586" s="2" t="str">
        <f ca="1">IFERROR(__xludf.DUMMYFUNCTION("""COMPUTED_VALUE"""),"Building")</f>
        <v>Building</v>
      </c>
      <c r="D586" s="2" t="str">
        <f ca="1">IFERROR(__xludf.DUMMYFUNCTION("""COMPUTED_VALUE"""),"Dubai&gt;Dubai Marina&gt;DEC Towers&gt;DEC Tower 1")</f>
        <v>Dubai&gt;Dubai Marina&gt;DEC Towers&gt;DEC Tower 1</v>
      </c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6.5" x14ac:dyDescent="0.35">
      <c r="A587" s="2" t="str">
        <f ca="1">IFERROR(__xludf.DUMMYFUNCTION("""COMPUTED_VALUE"""),"Dubai")</f>
        <v>Dubai</v>
      </c>
      <c r="B587" s="2" t="str">
        <f ca="1">IFERROR(__xludf.DUMMYFUNCTION("""COMPUTED_VALUE"""),"Pier 7")</f>
        <v>Pier 7</v>
      </c>
      <c r="C587" s="2" t="str">
        <f ca="1">IFERROR(__xludf.DUMMYFUNCTION("""COMPUTED_VALUE"""),"Building")</f>
        <v>Building</v>
      </c>
      <c r="D587" s="2" t="str">
        <f ca="1">IFERROR(__xludf.DUMMYFUNCTION("""COMPUTED_VALUE"""),"Dubai&gt;Dubai Marina&gt;Pier 7")</f>
        <v>Dubai&gt;Dubai Marina&gt;Pier 7</v>
      </c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6.5" x14ac:dyDescent="0.35">
      <c r="A588" s="2" t="str">
        <f ca="1">IFERROR(__xludf.DUMMYFUNCTION("""COMPUTED_VALUE"""),"Dubai")</f>
        <v>Dubai</v>
      </c>
      <c r="B588" s="2" t="str">
        <f ca="1">IFERROR(__xludf.DUMMYFUNCTION("""COMPUTED_VALUE"""),"Marina Star")</f>
        <v>Marina Star</v>
      </c>
      <c r="C588" s="2" t="str">
        <f ca="1">IFERROR(__xludf.DUMMYFUNCTION("""COMPUTED_VALUE"""),"Building")</f>
        <v>Building</v>
      </c>
      <c r="D588" s="2" t="str">
        <f ca="1">IFERROR(__xludf.DUMMYFUNCTION("""COMPUTED_VALUE"""),"Dubai&gt;Dubai Marina&gt;Marina Star")</f>
        <v>Dubai&gt;Dubai Marina&gt;Marina Star</v>
      </c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6.5" x14ac:dyDescent="0.35">
      <c r="A589" s="2" t="str">
        <f ca="1">IFERROR(__xludf.DUMMYFUNCTION("""COMPUTED_VALUE"""),"Dubai")</f>
        <v>Dubai</v>
      </c>
      <c r="B589" s="2" t="str">
        <f ca="1">IFERROR(__xludf.DUMMYFUNCTION("""COMPUTED_VALUE"""),"Marina Cove")</f>
        <v>Marina Cove</v>
      </c>
      <c r="C589" s="2" t="str">
        <f ca="1">IFERROR(__xludf.DUMMYFUNCTION("""COMPUTED_VALUE"""),"Building")</f>
        <v>Building</v>
      </c>
      <c r="D589" s="2" t="str">
        <f ca="1">IFERROR(__xludf.DUMMYFUNCTION("""COMPUTED_VALUE"""),"Dubai&gt;Dubai Marina&gt;Marina Cove")</f>
        <v>Dubai&gt;Dubai Marina&gt;Marina Cove</v>
      </c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6.5" x14ac:dyDescent="0.35">
      <c r="A590" s="2" t="str">
        <f ca="1">IFERROR(__xludf.DUMMYFUNCTION("""COMPUTED_VALUE"""),"Dubai")</f>
        <v>Dubai</v>
      </c>
      <c r="B590" s="2" t="str">
        <f ca="1">IFERROR(__xludf.DUMMYFUNCTION("""COMPUTED_VALUE"""),"Hayat Townhouses")</f>
        <v>Hayat Townhouses</v>
      </c>
      <c r="C590" s="2" t="str">
        <f ca="1">IFERROR(__xludf.DUMMYFUNCTION("""COMPUTED_VALUE"""),"Neighbourhood")</f>
        <v>Neighbourhood</v>
      </c>
      <c r="D590" s="2" t="str">
        <f ca="1">IFERROR(__xludf.DUMMYFUNCTION("""COMPUTED_VALUE"""),"Dubai&gt;Town Square&gt;Hayat Townhouses")</f>
        <v>Dubai&gt;Town Square&gt;Hayat Townhouses</v>
      </c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6.5" x14ac:dyDescent="0.35">
      <c r="A591" s="2" t="str">
        <f ca="1">IFERROR(__xludf.DUMMYFUNCTION("""COMPUTED_VALUE"""),"Dubai")</f>
        <v>Dubai</v>
      </c>
      <c r="B591" s="2" t="str">
        <f ca="1">IFERROR(__xludf.DUMMYFUNCTION("""COMPUTED_VALUE"""),"Zahra Apartments 2B")</f>
        <v>Zahra Apartments 2B</v>
      </c>
      <c r="C591" s="2" t="str">
        <f ca="1">IFERROR(__xludf.DUMMYFUNCTION("""COMPUTED_VALUE"""),"Building")</f>
        <v>Building</v>
      </c>
      <c r="D591" s="2" t="str">
        <f ca="1">IFERROR(__xludf.DUMMYFUNCTION("""COMPUTED_VALUE"""),"Dubai&gt;Town Square&gt;Zahra Apartments&gt;Zahra Apartments 2B")</f>
        <v>Dubai&gt;Town Square&gt;Zahra Apartments&gt;Zahra Apartments 2B</v>
      </c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6.5" x14ac:dyDescent="0.35">
      <c r="A592" s="2" t="str">
        <f ca="1">IFERROR(__xludf.DUMMYFUNCTION("""COMPUTED_VALUE"""),"Dubai")</f>
        <v>Dubai</v>
      </c>
      <c r="B592" s="2" t="str">
        <f ca="1">IFERROR(__xludf.DUMMYFUNCTION("""COMPUTED_VALUE"""),"Camden")</f>
        <v>Camden</v>
      </c>
      <c r="C592" s="2" t="str">
        <f ca="1">IFERROR(__xludf.DUMMYFUNCTION("""COMPUTED_VALUE"""),"Building")</f>
        <v>Building</v>
      </c>
      <c r="D592" s="2" t="str">
        <f ca="1">IFERROR(__xludf.DUMMYFUNCTION("""COMPUTED_VALUE"""),"Dubai&gt;Town Square&gt;Camden")</f>
        <v>Dubai&gt;Town Square&gt;Camden</v>
      </c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6.5" x14ac:dyDescent="0.35">
      <c r="A593" s="2" t="str">
        <f ca="1">IFERROR(__xludf.DUMMYFUNCTION("""COMPUTED_VALUE"""),"Dubai")</f>
        <v>Dubai</v>
      </c>
      <c r="B593" s="2" t="str">
        <f ca="1">IFERROR(__xludf.DUMMYFUNCTION("""COMPUTED_VALUE"""),"Maria Tower")</f>
        <v>Maria Tower</v>
      </c>
      <c r="C593" s="2" t="str">
        <f ca="1">IFERROR(__xludf.DUMMYFUNCTION("""COMPUTED_VALUE"""),"Building")</f>
        <v>Building</v>
      </c>
      <c r="D593" s="2" t="str">
        <f ca="1">IFERROR(__xludf.DUMMYFUNCTION("""COMPUTED_VALUE"""),"Dubai&gt;Al Furjan&gt;Maria Tower")</f>
        <v>Dubai&gt;Al Furjan&gt;Maria Tower</v>
      </c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6.5" x14ac:dyDescent="0.35">
      <c r="A594" s="2" t="str">
        <f ca="1">IFERROR(__xludf.DUMMYFUNCTION("""COMPUTED_VALUE"""),"Dubai")</f>
        <v>Dubai</v>
      </c>
      <c r="B594" s="2" t="str">
        <f ca="1">IFERROR(__xludf.DUMMYFUNCTION("""COMPUTED_VALUE"""),"Glamz Residence Tower 1")</f>
        <v>Glamz Residence Tower 1</v>
      </c>
      <c r="C594" s="2" t="str">
        <f ca="1">IFERROR(__xludf.DUMMYFUNCTION("""COMPUTED_VALUE"""),"Building")</f>
        <v>Building</v>
      </c>
      <c r="D594" s="2" t="str">
        <f ca="1">IFERROR(__xludf.DUMMYFUNCTION("""COMPUTED_VALUE"""),"Dubai&gt;Al Furjan&gt;Glamz by Danube&gt;Glamz Residence Tower 1")</f>
        <v>Dubai&gt;Al Furjan&gt;Glamz by Danube&gt;Glamz Residence Tower 1</v>
      </c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6.5" x14ac:dyDescent="0.35">
      <c r="A595" s="2" t="str">
        <f ca="1">IFERROR(__xludf.DUMMYFUNCTION("""COMPUTED_VALUE"""),"Dubai")</f>
        <v>Dubai</v>
      </c>
      <c r="B595" s="2" t="str">
        <f ca="1">IFERROR(__xludf.DUMMYFUNCTION("""COMPUTED_VALUE"""),"Candace Aster")</f>
        <v>Candace Aster</v>
      </c>
      <c r="C595" s="2" t="str">
        <f ca="1">IFERROR(__xludf.DUMMYFUNCTION("""COMPUTED_VALUE"""),"Building")</f>
        <v>Building</v>
      </c>
      <c r="D595" s="2" t="str">
        <f ca="1">IFERROR(__xludf.DUMMYFUNCTION("""COMPUTED_VALUE"""),"Dubai&gt;Al Furjan&gt;Candace Aster")</f>
        <v>Dubai&gt;Al Furjan&gt;Candace Aster</v>
      </c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6.5" x14ac:dyDescent="0.35">
      <c r="A596" s="2" t="str">
        <f ca="1">IFERROR(__xludf.DUMMYFUNCTION("""COMPUTED_VALUE"""),"Dubai")</f>
        <v>Dubai</v>
      </c>
      <c r="B596" s="2" t="str">
        <f ca="1">IFERROR(__xludf.DUMMYFUNCTION("""COMPUTED_VALUE"""),"Primero Residences by Main Realty")</f>
        <v>Primero Residences by Main Realty</v>
      </c>
      <c r="C596" s="2" t="str">
        <f ca="1">IFERROR(__xludf.DUMMYFUNCTION("""COMPUTED_VALUE"""),"Building")</f>
        <v>Building</v>
      </c>
      <c r="D596" s="2" t="str">
        <f ca="1">IFERROR(__xludf.DUMMYFUNCTION("""COMPUTED_VALUE"""),"Dubai&gt;Al Furjan&gt;Primero Residences by Main Realty")</f>
        <v>Dubai&gt;Al Furjan&gt;Primero Residences by Main Realty</v>
      </c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6.5" x14ac:dyDescent="0.35">
      <c r="A597" s="2" t="str">
        <f ca="1">IFERROR(__xludf.DUMMYFUNCTION("""COMPUTED_VALUE"""),"Dubai")</f>
        <v>Dubai</v>
      </c>
      <c r="B597" s="2" t="str">
        <f ca="1">IFERROR(__xludf.DUMMYFUNCTION("""COMPUTED_VALUE"""),"Azizi Sikander")</f>
        <v>Azizi Sikander</v>
      </c>
      <c r="C597" s="2" t="str">
        <f ca="1">IFERROR(__xludf.DUMMYFUNCTION("""COMPUTED_VALUE"""),"Building")</f>
        <v>Building</v>
      </c>
      <c r="D597" s="2" t="str">
        <f ca="1">IFERROR(__xludf.DUMMYFUNCTION("""COMPUTED_VALUE"""),"Dubai&gt;Al Furjan&gt;Azizi Sikander")</f>
        <v>Dubai&gt;Al Furjan&gt;Azizi Sikander</v>
      </c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6.5" x14ac:dyDescent="0.35">
      <c r="A598" s="2" t="str">
        <f ca="1">IFERROR(__xludf.DUMMYFUNCTION("""COMPUTED_VALUE"""),"Dubai")</f>
        <v>Dubai</v>
      </c>
      <c r="B598" s="2" t="str">
        <f ca="1">IFERROR(__xludf.DUMMYFUNCTION("""COMPUTED_VALUE"""),"Azizi Riviera 32")</f>
        <v>Azizi Riviera 32</v>
      </c>
      <c r="C598" s="2" t="str">
        <f ca="1">IFERROR(__xludf.DUMMYFUNCTION("""COMPUTED_VALUE"""),"Building")</f>
        <v>Building</v>
      </c>
      <c r="D598" s="2" t="str">
        <f ca="1">IFERROR(__xludf.DUMMYFUNCTION("""COMPUTED_VALUE"""),"Dubai&gt;Meydan City&gt;Meydan One&gt;Azizi Riviera&gt;Azizi Riviera 32")</f>
        <v>Dubai&gt;Meydan City&gt;Meydan One&gt;Azizi Riviera&gt;Azizi Riviera 32</v>
      </c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6.5" x14ac:dyDescent="0.35">
      <c r="A599" s="2" t="str">
        <f ca="1">IFERROR(__xludf.DUMMYFUNCTION("""COMPUTED_VALUE"""),"Dubai")</f>
        <v>Dubai</v>
      </c>
      <c r="B599" s="2" t="str">
        <f ca="1">IFERROR(__xludf.DUMMYFUNCTION("""COMPUTED_VALUE"""),"Azizi Riviera 27")</f>
        <v>Azizi Riviera 27</v>
      </c>
      <c r="C599" s="2" t="str">
        <f ca="1">IFERROR(__xludf.DUMMYFUNCTION("""COMPUTED_VALUE"""),"Building")</f>
        <v>Building</v>
      </c>
      <c r="D599" s="2" t="str">
        <f ca="1">IFERROR(__xludf.DUMMYFUNCTION("""COMPUTED_VALUE"""),"Dubai&gt;Meydan City&gt;Meydan One&gt;Azizi Riviera&gt;Azizi Riviera 27")</f>
        <v>Dubai&gt;Meydan City&gt;Meydan One&gt;Azizi Riviera&gt;Azizi Riviera 27</v>
      </c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6.5" x14ac:dyDescent="0.35">
      <c r="A600" s="2" t="str">
        <f ca="1">IFERROR(__xludf.DUMMYFUNCTION("""COMPUTED_VALUE"""),"Dubai")</f>
        <v>Dubai</v>
      </c>
      <c r="B600" s="2" t="str">
        <f ca="1">IFERROR(__xludf.DUMMYFUNCTION("""COMPUTED_VALUE"""),"Azizi Riviera 49")</f>
        <v>Azizi Riviera 49</v>
      </c>
      <c r="C600" s="2" t="str">
        <f ca="1">IFERROR(__xludf.DUMMYFUNCTION("""COMPUTED_VALUE"""),"Building")</f>
        <v>Building</v>
      </c>
      <c r="D600" s="2" t="str">
        <f ca="1">IFERROR(__xludf.DUMMYFUNCTION("""COMPUTED_VALUE"""),"Dubai&gt;Meydan City&gt;Meydan One&gt;Azizi Riviera&gt;Azizi Riviera 49")</f>
        <v>Dubai&gt;Meydan City&gt;Meydan One&gt;Azizi Riviera&gt;Azizi Riviera 49</v>
      </c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6.5" x14ac:dyDescent="0.35">
      <c r="A601" s="2" t="str">
        <f ca="1">IFERROR(__xludf.DUMMYFUNCTION("""COMPUTED_VALUE"""),"Dubai")</f>
        <v>Dubai</v>
      </c>
      <c r="B601" s="2" t="str">
        <f ca="1">IFERROR(__xludf.DUMMYFUNCTION("""COMPUTED_VALUE"""),"Polo Residence B2")</f>
        <v>Polo Residence B2</v>
      </c>
      <c r="C601" s="2" t="str">
        <f ca="1">IFERROR(__xludf.DUMMYFUNCTION("""COMPUTED_VALUE"""),"Building")</f>
        <v>Building</v>
      </c>
      <c r="D601" s="2" t="str">
        <f ca="1">IFERROR(__xludf.DUMMYFUNCTION("""COMPUTED_VALUE"""),"Dubai&gt;Meydan City&gt;Meydan Avenue&gt;Polo Residence&gt;Polo Residence B2")</f>
        <v>Dubai&gt;Meydan City&gt;Meydan Avenue&gt;Polo Residence&gt;Polo Residence B2</v>
      </c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6.5" x14ac:dyDescent="0.35">
      <c r="A602" s="2" t="str">
        <f ca="1">IFERROR(__xludf.DUMMYFUNCTION("""COMPUTED_VALUE"""),"Dubai")</f>
        <v>Dubai</v>
      </c>
      <c r="B602" s="2" t="str">
        <f ca="1">IFERROR(__xludf.DUMMYFUNCTION("""COMPUTED_VALUE"""),"Centurion Onyx")</f>
        <v>Centurion Onyx</v>
      </c>
      <c r="C602" s="2" t="str">
        <f ca="1">IFERROR(__xludf.DUMMYFUNCTION("""COMPUTED_VALUE"""),"Building")</f>
        <v>Building</v>
      </c>
      <c r="D602" s="2" t="str">
        <f ca="1">IFERROR(__xludf.DUMMYFUNCTION("""COMPUTED_VALUE"""),"Dubai&gt;Meydan City&gt;Meydan Avenue&gt;Centurion Onyx")</f>
        <v>Dubai&gt;Meydan City&gt;Meydan Avenue&gt;Centurion Onyx</v>
      </c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6.5" x14ac:dyDescent="0.35">
      <c r="A603" s="2" t="str">
        <f ca="1">IFERROR(__xludf.DUMMYFUNCTION("""COMPUTED_VALUE"""),"Dubai")</f>
        <v>Dubai</v>
      </c>
      <c r="B603" s="2" t="str">
        <f ca="1">IFERROR(__xludf.DUMMYFUNCTION("""COMPUTED_VALUE"""),"Al Nakheel 3")</f>
        <v>Al Nakheel 3</v>
      </c>
      <c r="C603" s="2" t="str">
        <f ca="1">IFERROR(__xludf.DUMMYFUNCTION("""COMPUTED_VALUE"""),"Building")</f>
        <v>Building</v>
      </c>
      <c r="D603" s="2" t="str">
        <f ca="1">IFERROR(__xludf.DUMMYFUNCTION("""COMPUTED_VALUE"""),"Dubai&gt;The Greens&gt;Al Nakheel&gt;Al Nakheel 3")</f>
        <v>Dubai&gt;The Greens&gt;Al Nakheel&gt;Al Nakheel 3</v>
      </c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6.5" x14ac:dyDescent="0.35">
      <c r="A604" s="2" t="str">
        <f ca="1">IFERROR(__xludf.DUMMYFUNCTION("""COMPUTED_VALUE"""),"Dubai")</f>
        <v>Dubai</v>
      </c>
      <c r="B604" s="2" t="str">
        <f ca="1">IFERROR(__xludf.DUMMYFUNCTION("""COMPUTED_VALUE"""),"Al Dhafrah")</f>
        <v>Al Dhafrah</v>
      </c>
      <c r="C604" s="2" t="str">
        <f ca="1">IFERROR(__xludf.DUMMYFUNCTION("""COMPUTED_VALUE"""),"Cluster")</f>
        <v>Cluster</v>
      </c>
      <c r="D604" s="2" t="str">
        <f ca="1">IFERROR(__xludf.DUMMYFUNCTION("""COMPUTED_VALUE"""),"Dubai&gt;The Greens&gt;Al Dhafrah")</f>
        <v>Dubai&gt;The Greens&gt;Al Dhafrah</v>
      </c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6.5" x14ac:dyDescent="0.35">
      <c r="A605" s="2" t="str">
        <f ca="1">IFERROR(__xludf.DUMMYFUNCTION("""COMPUTED_VALUE"""),"Dubai")</f>
        <v>Dubai</v>
      </c>
      <c r="B605" s="2" t="str">
        <f ca="1">IFERROR(__xludf.DUMMYFUNCTION("""COMPUTED_VALUE"""),"The Towers by OBS")</f>
        <v>The Towers by OBS</v>
      </c>
      <c r="C605" s="2" t="str">
        <f ca="1">IFERROR(__xludf.DUMMYFUNCTION("""COMPUTED_VALUE"""),"Building")</f>
        <v>Building</v>
      </c>
      <c r="D605" s="2" t="str">
        <f ca="1">IFERROR(__xludf.DUMMYFUNCTION("""COMPUTED_VALUE"""),"Dubai&gt;Dubai Production City (IMPZ)&gt;The Towers by OBS")</f>
        <v>Dubai&gt;Dubai Production City (IMPZ)&gt;The Towers by OBS</v>
      </c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6.5" x14ac:dyDescent="0.35">
      <c r="A606" s="2" t="str">
        <f ca="1">IFERROR(__xludf.DUMMYFUNCTION("""COMPUTED_VALUE"""),"Dubai")</f>
        <v>Dubai</v>
      </c>
      <c r="B606" s="2" t="str">
        <f ca="1">IFERROR(__xludf.DUMMYFUNCTION("""COMPUTED_VALUE"""),"Mesk")</f>
        <v>Mesk</v>
      </c>
      <c r="C606" s="2" t="str">
        <f ca="1">IFERROR(__xludf.DUMMYFUNCTION("""COMPUTED_VALUE"""),"Neighbourhood")</f>
        <v>Neighbourhood</v>
      </c>
      <c r="D606" s="2" t="str">
        <f ca="1">IFERROR(__xludf.DUMMYFUNCTION("""COMPUTED_VALUE"""),"Dubai&gt;Dubai Production City (IMPZ)&gt;Midtown&gt;Mesk")</f>
        <v>Dubai&gt;Dubai Production City (IMPZ)&gt;Midtown&gt;Mesk</v>
      </c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6.5" x14ac:dyDescent="0.35">
      <c r="A607" s="2" t="str">
        <f ca="1">IFERROR(__xludf.DUMMYFUNCTION("""COMPUTED_VALUE"""),"Dubai")</f>
        <v>Dubai</v>
      </c>
      <c r="B607" s="2" t="str">
        <f ca="1">IFERROR(__xludf.DUMMYFUNCTION("""COMPUTED_VALUE"""),"Lakeside Tower B")</f>
        <v>Lakeside Tower B</v>
      </c>
      <c r="C607" s="2" t="str">
        <f ca="1">IFERROR(__xludf.DUMMYFUNCTION("""COMPUTED_VALUE"""),"Building")</f>
        <v>Building</v>
      </c>
      <c r="D607" s="2" t="str">
        <f ca="1">IFERROR(__xludf.DUMMYFUNCTION("""COMPUTED_VALUE"""),"Dubai&gt;Dubai Production City (IMPZ)&gt;Lakeside&gt;Lakeside Tower B")</f>
        <v>Dubai&gt;Dubai Production City (IMPZ)&gt;Lakeside&gt;Lakeside Tower B</v>
      </c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6.5" x14ac:dyDescent="0.35">
      <c r="A608" s="2" t="str">
        <f ca="1">IFERROR(__xludf.DUMMYFUNCTION("""COMPUTED_VALUE"""),"Dubai")</f>
        <v>Dubai</v>
      </c>
      <c r="B608" s="2" t="str">
        <f ca="1">IFERROR(__xludf.DUMMYFUNCTION("""COMPUTED_VALUE"""),"Golf Grove by Regent")</f>
        <v>Golf Grove by Regent</v>
      </c>
      <c r="C608" s="2" t="str">
        <f ca="1">IFERROR(__xludf.DUMMYFUNCTION("""COMPUTED_VALUE"""),"Building")</f>
        <v>Building</v>
      </c>
      <c r="D608" s="2" t="str">
        <f ca="1">IFERROR(__xludf.DUMMYFUNCTION("""COMPUTED_VALUE"""),"Dubai&gt;Dubai Production City (IMPZ)&gt;Golf Grove by Regent")</f>
        <v>Dubai&gt;Dubai Production City (IMPZ)&gt;Golf Grove by Regent</v>
      </c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6.5" x14ac:dyDescent="0.35">
      <c r="A609" s="2" t="str">
        <f ca="1">IFERROR(__xludf.DUMMYFUNCTION("""COMPUTED_VALUE"""),"Dubai")</f>
        <v>Dubai</v>
      </c>
      <c r="B609" s="2" t="str">
        <f ca="1">IFERROR(__xludf.DUMMYFUNCTION("""COMPUTED_VALUE"""),"Al Sondos Residences 3")</f>
        <v>Al Sondos Residences 3</v>
      </c>
      <c r="C609" s="2" t="str">
        <f ca="1">IFERROR(__xludf.DUMMYFUNCTION("""COMPUTED_VALUE"""),"Building")</f>
        <v>Building</v>
      </c>
      <c r="D609" s="2" t="str">
        <f ca="1">IFERROR(__xludf.DUMMYFUNCTION("""COMPUTED_VALUE"""),"Dubai&gt;Dubai Industrial City&gt;Al Sondos Residences&gt;Al Sondos Residences 3")</f>
        <v>Dubai&gt;Dubai Industrial City&gt;Al Sondos Residences&gt;Al Sondos Residences 3</v>
      </c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6.5" x14ac:dyDescent="0.35">
      <c r="A610" s="2" t="str">
        <f ca="1">IFERROR(__xludf.DUMMYFUNCTION("""COMPUTED_VALUE"""),"Dubai")</f>
        <v>Dubai</v>
      </c>
      <c r="B610" s="2" t="str">
        <f ca="1">IFERROR(__xludf.DUMMYFUNCTION("""COMPUTED_VALUE"""),"Samana Hills South 3")</f>
        <v>Samana Hills South 3</v>
      </c>
      <c r="C610" s="2" t="str">
        <f ca="1">IFERROR(__xludf.DUMMYFUNCTION("""COMPUTED_VALUE"""),"Building")</f>
        <v>Building</v>
      </c>
      <c r="D610" s="2" t="str">
        <f ca="1">IFERROR(__xludf.DUMMYFUNCTION("""COMPUTED_VALUE"""),"Dubai&gt;Dubai Industrial City&gt;Samana Hills South 3")</f>
        <v>Dubai&gt;Dubai Industrial City&gt;Samana Hills South 3</v>
      </c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6.5" x14ac:dyDescent="0.35">
      <c r="A611" s="2" t="str">
        <f ca="1">IFERROR(__xludf.DUMMYFUNCTION("""COMPUTED_VALUE"""),"Dubai")</f>
        <v>Dubai</v>
      </c>
      <c r="B611" s="2" t="str">
        <f ca="1">IFERROR(__xludf.DUMMYFUNCTION("""COMPUTED_VALUE"""),"Lanai Island")</f>
        <v>Lanai Island</v>
      </c>
      <c r="C611" s="2" t="str">
        <f ca="1">IFERROR(__xludf.DUMMYFUNCTION("""COMPUTED_VALUE"""),"Neighbourhood")</f>
        <v>Neighbourhood</v>
      </c>
      <c r="D611" s="2" t="str">
        <f ca="1">IFERROR(__xludf.DUMMYFUNCTION("""COMPUTED_VALUE"""),"Dubai&gt;Tilal Al Ghaf&gt;Lanai Island")</f>
        <v>Dubai&gt;Tilal Al Ghaf&gt;Lanai Island</v>
      </c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6.5" x14ac:dyDescent="0.35">
      <c r="A612" s="2" t="str">
        <f ca="1">IFERROR(__xludf.DUMMYFUNCTION("""COMPUTED_VALUE"""),"Dubai")</f>
        <v>Dubai</v>
      </c>
      <c r="B612" s="2" t="str">
        <f ca="1">IFERROR(__xludf.DUMMYFUNCTION("""COMPUTED_VALUE"""),"Bay Grove Residences Building 3")</f>
        <v>Bay Grove Residences Building 3</v>
      </c>
      <c r="C612" s="2" t="str">
        <f ca="1">IFERROR(__xludf.DUMMYFUNCTION("""COMPUTED_VALUE"""),"Building")</f>
        <v>Building</v>
      </c>
      <c r="D612" s="2" t="str">
        <f ca="1">IFERROR(__xludf.DUMMYFUNCTION("""COMPUTED_VALUE"""),"Dubai&gt;Dubai Islands&gt;Bay Grove Residences&gt;Bay Grove Residences Building 3")</f>
        <v>Dubai&gt;Dubai Islands&gt;Bay Grove Residences&gt;Bay Grove Residences Building 3</v>
      </c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6.5" x14ac:dyDescent="0.35">
      <c r="A613" s="2" t="str">
        <f ca="1">IFERROR(__xludf.DUMMYFUNCTION("""COMPUTED_VALUE"""),"Dubai")</f>
        <v>Dubai</v>
      </c>
      <c r="B613" s="2" t="str">
        <f ca="1">IFERROR(__xludf.DUMMYFUNCTION("""COMPUTED_VALUE"""),"Wellington Ocean")</f>
        <v>Wellington Ocean</v>
      </c>
      <c r="C613" s="2" t="str">
        <f ca="1">IFERROR(__xludf.DUMMYFUNCTION("""COMPUTED_VALUE"""),"Building")</f>
        <v>Building</v>
      </c>
      <c r="D613" s="2" t="str">
        <f ca="1">IFERROR(__xludf.DUMMYFUNCTION("""COMPUTED_VALUE"""),"Dubai&gt;Dubai Islands&gt;Wellington Ocean")</f>
        <v>Dubai&gt;Dubai Islands&gt;Wellington Ocean</v>
      </c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6.5" x14ac:dyDescent="0.35">
      <c r="A614" s="2" t="str">
        <f ca="1">IFERROR(__xludf.DUMMYFUNCTION("""COMPUTED_VALUE"""),"Dubai")</f>
        <v>Dubai</v>
      </c>
      <c r="B614" s="2" t="str">
        <f ca="1">IFERROR(__xludf.DUMMYFUNCTION("""COMPUTED_VALUE"""),"Treppan Serenique Residences")</f>
        <v>Treppan Serenique Residences</v>
      </c>
      <c r="C614" s="2" t="str">
        <f ca="1">IFERROR(__xludf.DUMMYFUNCTION("""COMPUTED_VALUE"""),"Cluster")</f>
        <v>Cluster</v>
      </c>
      <c r="D614" s="2" t="str">
        <f ca="1">IFERROR(__xludf.DUMMYFUNCTION("""COMPUTED_VALUE"""),"Dubai&gt;Dubai Islands&gt;Treppan Serenique Residences")</f>
        <v>Dubai&gt;Dubai Islands&gt;Treppan Serenique Residences</v>
      </c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6.5" x14ac:dyDescent="0.35">
      <c r="A615" s="2" t="str">
        <f ca="1">IFERROR(__xludf.DUMMYFUNCTION("""COMPUTED_VALUE"""),"Dubai")</f>
        <v>Dubai</v>
      </c>
      <c r="B615" s="2" t="str">
        <f ca="1">IFERROR(__xludf.DUMMYFUNCTION("""COMPUTED_VALUE"""),"Blue Marina Residence Building 2")</f>
        <v>Blue Marina Residence Building 2</v>
      </c>
      <c r="C615" s="2" t="str">
        <f ca="1">IFERROR(__xludf.DUMMYFUNCTION("""COMPUTED_VALUE"""),"Building")</f>
        <v>Building</v>
      </c>
      <c r="D615" s="2" t="str">
        <f ca="1">IFERROR(__xludf.DUMMYFUNCTION("""COMPUTED_VALUE"""),"Dubai&gt;Dubai Islands&gt;Blue Marina Residence&gt;Blue Marina Residence Building 2")</f>
        <v>Dubai&gt;Dubai Islands&gt;Blue Marina Residence&gt;Blue Marina Residence Building 2</v>
      </c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6.5" x14ac:dyDescent="0.35">
      <c r="A616" s="2" t="str">
        <f ca="1">IFERROR(__xludf.DUMMYFUNCTION("""COMPUTED_VALUE"""),"Dubai")</f>
        <v>Dubai</v>
      </c>
      <c r="B616" s="2" t="str">
        <f ca="1">IFERROR(__xludf.DUMMYFUNCTION("""COMPUTED_VALUE"""),"South Square Building 1")</f>
        <v>South Square Building 1</v>
      </c>
      <c r="C616" s="2" t="str">
        <f ca="1">IFERROR(__xludf.DUMMYFUNCTION("""COMPUTED_VALUE"""),"Building")</f>
        <v>Building</v>
      </c>
      <c r="D616" s="2" t="str">
        <f ca="1">IFERROR(__xludf.DUMMYFUNCTION("""COMPUTED_VALUE"""),"Dubai&gt;Dubai South&gt;Logistics City&gt;South Square&gt;South Square Building 1")</f>
        <v>Dubai&gt;Dubai South&gt;Logistics City&gt;South Square&gt;South Square Building 1</v>
      </c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6.5" x14ac:dyDescent="0.35">
      <c r="A617" s="2" t="str">
        <f ca="1">IFERROR(__xludf.DUMMYFUNCTION("""COMPUTED_VALUE"""),"Dubai")</f>
        <v>Dubai</v>
      </c>
      <c r="B617" s="2" t="str">
        <f ca="1">IFERROR(__xludf.DUMMYFUNCTION("""COMPUTED_VALUE"""),"Azizi Venice 8")</f>
        <v>Azizi Venice 8</v>
      </c>
      <c r="C617" s="2" t="str">
        <f ca="1">IFERROR(__xludf.DUMMYFUNCTION("""COMPUTED_VALUE"""),"Cluster")</f>
        <v>Cluster</v>
      </c>
      <c r="D617" s="2" t="str">
        <f ca="1">IFERROR(__xludf.DUMMYFUNCTION("""COMPUTED_VALUE"""),"Dubai&gt;Dubai South&gt;Azizi Venice&gt;Azizi Venice 8")</f>
        <v>Dubai&gt;Dubai South&gt;Azizi Venice&gt;Azizi Venice 8</v>
      </c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6.5" x14ac:dyDescent="0.35">
      <c r="A618" s="2" t="str">
        <f ca="1">IFERROR(__xludf.DUMMYFUNCTION("""COMPUTED_VALUE"""),"Dubai")</f>
        <v>Dubai</v>
      </c>
      <c r="B618" s="2" t="str">
        <f ca="1">IFERROR(__xludf.DUMMYFUNCTION("""COMPUTED_VALUE"""),"Bahria Town Dubai")</f>
        <v>Bahria Town Dubai</v>
      </c>
      <c r="C618" s="2" t="str">
        <f ca="1">IFERROR(__xludf.DUMMYFUNCTION("""COMPUTED_VALUE"""),"Neighbourhood")</f>
        <v>Neighbourhood</v>
      </c>
      <c r="D618" s="2" t="str">
        <f ca="1">IFERROR(__xludf.DUMMYFUNCTION("""COMPUTED_VALUE"""),"Dubai&gt;Dubai South&gt;Bahria Town Dubai")</f>
        <v>Dubai&gt;Dubai South&gt;Bahria Town Dubai</v>
      </c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6.5" x14ac:dyDescent="0.35">
      <c r="A619" s="2" t="str">
        <f ca="1">IFERROR(__xludf.DUMMYFUNCTION("""COMPUTED_VALUE"""),"Dubai")</f>
        <v>Dubai</v>
      </c>
      <c r="B619" s="2" t="str">
        <f ca="1">IFERROR(__xludf.DUMMYFUNCTION("""COMPUTED_VALUE"""),"GEMS Winchester School")</f>
        <v>GEMS Winchester School</v>
      </c>
      <c r="C619" s="2" t="str">
        <f ca="1">IFERROR(__xludf.DUMMYFUNCTION("""COMPUTED_VALUE"""),"School")</f>
        <v>School</v>
      </c>
      <c r="D619" s="2" t="str">
        <f ca="1">IFERROR(__xludf.DUMMYFUNCTION("""COMPUTED_VALUE"""),"Dubai&gt;Bur Dubai&gt;Oud Metha&gt;GEMS Winchester School")</f>
        <v>Dubai&gt;Bur Dubai&gt;Oud Metha&gt;GEMS Winchester School</v>
      </c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6.5" x14ac:dyDescent="0.35">
      <c r="A620" s="2" t="str">
        <f ca="1">IFERROR(__xludf.DUMMYFUNCTION("""COMPUTED_VALUE"""),"Dubai")</f>
        <v>Dubai</v>
      </c>
      <c r="B620" s="2" t="str">
        <f ca="1">IFERROR(__xludf.DUMMYFUNCTION("""COMPUTED_VALUE"""),"Oud Metha Tower 1")</f>
        <v>Oud Metha Tower 1</v>
      </c>
      <c r="C620" s="2" t="str">
        <f ca="1">IFERROR(__xludf.DUMMYFUNCTION("""COMPUTED_VALUE"""),"Building")</f>
        <v>Building</v>
      </c>
      <c r="D620" s="2" t="str">
        <f ca="1">IFERROR(__xludf.DUMMYFUNCTION("""COMPUTED_VALUE"""),"Dubai&gt;Bur Dubai&gt;Oud Metha&gt;Oud Metha Tower 1")</f>
        <v>Dubai&gt;Bur Dubai&gt;Oud Metha&gt;Oud Metha Tower 1</v>
      </c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6.5" x14ac:dyDescent="0.35">
      <c r="A621" s="2" t="str">
        <f ca="1">IFERROR(__xludf.DUMMYFUNCTION("""COMPUTED_VALUE"""),"Dubai")</f>
        <v>Dubai</v>
      </c>
      <c r="B621" s="2" t="str">
        <f ca="1">IFERROR(__xludf.DUMMYFUNCTION("""COMPUTED_VALUE"""),"Khalid Bin Waleed Road")</f>
        <v>Khalid Bin Waleed Road</v>
      </c>
      <c r="C621" s="2" t="str">
        <f ca="1">IFERROR(__xludf.DUMMYFUNCTION("""COMPUTED_VALUE"""),"Neighbourhood")</f>
        <v>Neighbourhood</v>
      </c>
      <c r="D621" s="2" t="str">
        <f ca="1">IFERROR(__xludf.DUMMYFUNCTION("""COMPUTED_VALUE"""),"Dubai&gt;Bur Dubai&gt;Khalid Bin Waleed Road")</f>
        <v>Dubai&gt;Bur Dubai&gt;Khalid Bin Waleed Road</v>
      </c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6.5" x14ac:dyDescent="0.35">
      <c r="A622" s="2" t="str">
        <f ca="1">IFERROR(__xludf.DUMMYFUNCTION("""COMPUTED_VALUE"""),"Dubai")</f>
        <v>Dubai</v>
      </c>
      <c r="B622" s="2" t="str">
        <f ca="1">IFERROR(__xludf.DUMMYFUNCTION("""COMPUTED_VALUE"""),"Manazil Al Raffa 01")</f>
        <v>Manazil Al Raffa 01</v>
      </c>
      <c r="C622" s="2" t="str">
        <f ca="1">IFERROR(__xludf.DUMMYFUNCTION("""COMPUTED_VALUE"""),"Building")</f>
        <v>Building</v>
      </c>
      <c r="D622" s="2" t="str">
        <f ca="1">IFERROR(__xludf.DUMMYFUNCTION("""COMPUTED_VALUE"""),"Dubai&gt;Bur Dubai&gt;Al Raffa&gt;Manazil Al Raffa 01")</f>
        <v>Dubai&gt;Bur Dubai&gt;Al Raffa&gt;Manazil Al Raffa 01</v>
      </c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6.5" x14ac:dyDescent="0.35">
      <c r="A623" s="2" t="str">
        <f ca="1">IFERROR(__xludf.DUMMYFUNCTION("""COMPUTED_VALUE"""),"Dubai")</f>
        <v>Dubai</v>
      </c>
      <c r="B623" s="2" t="str">
        <f ca="1">IFERROR(__xludf.DUMMYFUNCTION("""COMPUTED_VALUE"""),"Mostafawi Business Centre")</f>
        <v>Mostafawi Business Centre</v>
      </c>
      <c r="C623" s="2" t="str">
        <f ca="1">IFERROR(__xludf.DUMMYFUNCTION("""COMPUTED_VALUE"""),"Building")</f>
        <v>Building</v>
      </c>
      <c r="D623" s="2" t="str">
        <f ca="1">IFERROR(__xludf.DUMMYFUNCTION("""COMPUTED_VALUE"""),"Dubai&gt;Bur Dubai&gt;Al Mankhool&gt;Mostafawi Business Centre")</f>
        <v>Dubai&gt;Bur Dubai&gt;Al Mankhool&gt;Mostafawi Business Centre</v>
      </c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6.5" x14ac:dyDescent="0.35">
      <c r="A624" s="2" t="str">
        <f ca="1">IFERROR(__xludf.DUMMYFUNCTION("""COMPUTED_VALUE"""),"Dubai")</f>
        <v>Dubai</v>
      </c>
      <c r="B624" s="2" t="str">
        <f ca="1">IFERROR(__xludf.DUMMYFUNCTION("""COMPUTED_VALUE"""),"Yahya Residence")</f>
        <v>Yahya Residence</v>
      </c>
      <c r="C624" s="2" t="str">
        <f ca="1">IFERROR(__xludf.DUMMYFUNCTION("""COMPUTED_VALUE"""),"Building")</f>
        <v>Building</v>
      </c>
      <c r="D624" s="2" t="str">
        <f ca="1">IFERROR(__xludf.DUMMYFUNCTION("""COMPUTED_VALUE"""),"Dubai&gt;Bur Dubai&gt;Al Mankhool&gt;Yahya Residence")</f>
        <v>Dubai&gt;Bur Dubai&gt;Al Mankhool&gt;Yahya Residence</v>
      </c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6.5" x14ac:dyDescent="0.35">
      <c r="A625" s="2" t="str">
        <f ca="1">IFERROR(__xludf.DUMMYFUNCTION("""COMPUTED_VALUE"""),"Dubai")</f>
        <v>Dubai</v>
      </c>
      <c r="B625" s="2" t="str">
        <f ca="1">IFERROR(__xludf.DUMMYFUNCTION("""COMPUTED_VALUE"""),"Bukash Building")</f>
        <v>Bukash Building</v>
      </c>
      <c r="C625" s="2" t="str">
        <f ca="1">IFERROR(__xludf.DUMMYFUNCTION("""COMPUTED_VALUE"""),"Building")</f>
        <v>Building</v>
      </c>
      <c r="D625" s="2" t="str">
        <f ca="1">IFERROR(__xludf.DUMMYFUNCTION("""COMPUTED_VALUE"""),"Dubai&gt;Bur Dubai&gt;Al Mankhool&gt;Bukash Building")</f>
        <v>Dubai&gt;Bur Dubai&gt;Al Mankhool&gt;Bukash Building</v>
      </c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6.5" x14ac:dyDescent="0.35">
      <c r="A626" s="2" t="str">
        <f ca="1">IFERROR(__xludf.DUMMYFUNCTION("""COMPUTED_VALUE"""),"Dubai")</f>
        <v>Dubai</v>
      </c>
      <c r="B626" s="2" t="str">
        <f ca="1">IFERROR(__xludf.DUMMYFUNCTION("""COMPUTED_VALUE"""),"Al Amri Building")</f>
        <v>Al Amri Building</v>
      </c>
      <c r="C626" s="2" t="str">
        <f ca="1">IFERROR(__xludf.DUMMYFUNCTION("""COMPUTED_VALUE"""),"Building")</f>
        <v>Building</v>
      </c>
      <c r="D626" s="2" t="str">
        <f ca="1">IFERROR(__xludf.DUMMYFUNCTION("""COMPUTED_VALUE"""),"Dubai&gt;Bur Dubai&gt;Al Mankhool&gt;Al Amri Building")</f>
        <v>Dubai&gt;Bur Dubai&gt;Al Mankhool&gt;Al Amri Building</v>
      </c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6.5" x14ac:dyDescent="0.35">
      <c r="A627" s="2" t="str">
        <f ca="1">IFERROR(__xludf.DUMMYFUNCTION("""COMPUTED_VALUE"""),"Dubai")</f>
        <v>Dubai</v>
      </c>
      <c r="B627" s="2" t="str">
        <f ca="1">IFERROR(__xludf.DUMMYFUNCTION("""COMPUTED_VALUE"""),"Dubai Supreme Court Complex")</f>
        <v>Dubai Supreme Court Complex</v>
      </c>
      <c r="C627" s="2" t="str">
        <f ca="1">IFERROR(__xludf.DUMMYFUNCTION("""COMPUTED_VALUE"""),"Building")</f>
        <v>Building</v>
      </c>
      <c r="D627" s="2" t="str">
        <f ca="1">IFERROR(__xludf.DUMMYFUNCTION("""COMPUTED_VALUE"""),"Dubai&gt;Bur Dubai&gt;Umm Hurair&gt;Umm Hurair 2&gt;Dubai Supreme Court Complex")</f>
        <v>Dubai&gt;Bur Dubai&gt;Umm Hurair&gt;Umm Hurair 2&gt;Dubai Supreme Court Complex</v>
      </c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6.5" x14ac:dyDescent="0.35">
      <c r="A628" s="2" t="str">
        <f ca="1">IFERROR(__xludf.DUMMYFUNCTION("""COMPUTED_VALUE"""),"Dubai")</f>
        <v>Dubai</v>
      </c>
      <c r="B628" s="2" t="str">
        <f ca="1">IFERROR(__xludf.DUMMYFUNCTION("""COMPUTED_VALUE"""),"Musalla Building")</f>
        <v>Musalla Building</v>
      </c>
      <c r="C628" s="2" t="str">
        <f ca="1">IFERROR(__xludf.DUMMYFUNCTION("""COMPUTED_VALUE"""),"Building")</f>
        <v>Building</v>
      </c>
      <c r="D628" s="2" t="str">
        <f ca="1">IFERROR(__xludf.DUMMYFUNCTION("""COMPUTED_VALUE"""),"Dubai&gt;Bur Dubai&gt;Al Souk Al Kabeer (Al Fahidi)&gt;Musalla Building")</f>
        <v>Dubai&gt;Bur Dubai&gt;Al Souk Al Kabeer (Al Fahidi)&gt;Musalla Building</v>
      </c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6.5" x14ac:dyDescent="0.35">
      <c r="A629" s="2" t="str">
        <f ca="1">IFERROR(__xludf.DUMMYFUNCTION("""COMPUTED_VALUE"""),"Dubai")</f>
        <v>Dubai</v>
      </c>
      <c r="B629" s="2" t="str">
        <f ca="1">IFERROR(__xludf.DUMMYFUNCTION("""COMPUTED_VALUE"""),"Al Otaiba Building")</f>
        <v>Al Otaiba Building</v>
      </c>
      <c r="C629" s="2" t="str">
        <f ca="1">IFERROR(__xludf.DUMMYFUNCTION("""COMPUTED_VALUE"""),"Building")</f>
        <v>Building</v>
      </c>
      <c r="D629" s="2" t="str">
        <f ca="1">IFERROR(__xludf.DUMMYFUNCTION("""COMPUTED_VALUE"""),"Dubai&gt;Bur Dubai&gt;Al Hamriya&gt;Al Otaiba Building")</f>
        <v>Dubai&gt;Bur Dubai&gt;Al Hamriya&gt;Al Otaiba Building</v>
      </c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6.5" x14ac:dyDescent="0.35">
      <c r="A630" s="2" t="str">
        <f ca="1">IFERROR(__xludf.DUMMYFUNCTION("""COMPUTED_VALUE"""),"Dubai")</f>
        <v>Dubai</v>
      </c>
      <c r="B630" s="2" t="str">
        <f ca="1">IFERROR(__xludf.DUMMYFUNCTION("""COMPUTED_VALUE"""),"Al Razi Building")</f>
        <v>Al Razi Building</v>
      </c>
      <c r="C630" s="2" t="str">
        <f ca="1">IFERROR(__xludf.DUMMYFUNCTION("""COMPUTED_VALUE"""),"Building")</f>
        <v>Building</v>
      </c>
      <c r="D630" s="2" t="str">
        <f ca="1">IFERROR(__xludf.DUMMYFUNCTION("""COMPUTED_VALUE"""),"Dubai&gt;Bur Dubai&gt;Dubai Healthcare City&gt;Al Razi Building")</f>
        <v>Dubai&gt;Bur Dubai&gt;Dubai Healthcare City&gt;Al Razi Building</v>
      </c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6.5" x14ac:dyDescent="0.35">
      <c r="A631" s="2" t="str">
        <f ca="1">IFERROR(__xludf.DUMMYFUNCTION("""COMPUTED_VALUE"""),"Dubai")</f>
        <v>Dubai</v>
      </c>
      <c r="B631" s="2" t="str">
        <f ca="1">IFERROR(__xludf.DUMMYFUNCTION("""COMPUTED_VALUE"""),"Al Andalus Tower H")</f>
        <v>Al Andalus Tower H</v>
      </c>
      <c r="C631" s="2" t="str">
        <f ca="1">IFERROR(__xludf.DUMMYFUNCTION("""COMPUTED_VALUE"""),"Building")</f>
        <v>Building</v>
      </c>
      <c r="D631" s="2" t="str">
        <f ca="1">IFERROR(__xludf.DUMMYFUNCTION("""COMPUTED_VALUE"""),"Dubai&gt;Jumeirah Golf Estates&gt;Al Andalus&gt;Al Andalus Tower H")</f>
        <v>Dubai&gt;Jumeirah Golf Estates&gt;Al Andalus&gt;Al Andalus Tower H</v>
      </c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6.5" x14ac:dyDescent="0.35">
      <c r="A632" s="2" t="str">
        <f ca="1">IFERROR(__xludf.DUMMYFUNCTION("""COMPUTED_VALUE"""),"Dubai")</f>
        <v>Dubai</v>
      </c>
      <c r="B632" s="2" t="str">
        <f ca="1">IFERROR(__xludf.DUMMYFUNCTION("""COMPUTED_VALUE"""),"Beach Isle Tower 2")</f>
        <v>Beach Isle Tower 2</v>
      </c>
      <c r="C632" s="2" t="str">
        <f ca="1">IFERROR(__xludf.DUMMYFUNCTION("""COMPUTED_VALUE"""),"Building")</f>
        <v>Building</v>
      </c>
      <c r="D632" s="2" t="str">
        <f ca="1">IFERROR(__xludf.DUMMYFUNCTION("""COMPUTED_VALUE"""),"Dubai&gt;Dubai Harbour&gt;Emaar Beachfront&gt;Beach Isle&gt;Beach Isle Tower 2")</f>
        <v>Dubai&gt;Dubai Harbour&gt;Emaar Beachfront&gt;Beach Isle&gt;Beach Isle Tower 2</v>
      </c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6.5" x14ac:dyDescent="0.35">
      <c r="A633" s="2" t="str">
        <f ca="1">IFERROR(__xludf.DUMMYFUNCTION("""COMPUTED_VALUE"""),"Dubai")</f>
        <v>Dubai</v>
      </c>
      <c r="B633" s="2" t="str">
        <f ca="1">IFERROR(__xludf.DUMMYFUNCTION("""COMPUTED_VALUE"""),"DAMAC Bay by Cavalli")</f>
        <v>DAMAC Bay by Cavalli</v>
      </c>
      <c r="C633" s="2" t="str">
        <f ca="1">IFERROR(__xludf.DUMMYFUNCTION("""COMPUTED_VALUE"""),"Cluster")</f>
        <v>Cluster</v>
      </c>
      <c r="D633" s="2" t="str">
        <f ca="1">IFERROR(__xludf.DUMMYFUNCTION("""COMPUTED_VALUE"""),"Dubai&gt;Dubai Harbour&gt;DAMAC Bay by Cavalli")</f>
        <v>Dubai&gt;Dubai Harbour&gt;DAMAC Bay by Cavalli</v>
      </c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6.5" x14ac:dyDescent="0.35">
      <c r="A634" s="2" t="str">
        <f ca="1">IFERROR(__xludf.DUMMYFUNCTION("""COMPUTED_VALUE"""),"Dubai")</f>
        <v>Dubai</v>
      </c>
      <c r="B634" s="2" t="str">
        <f ca="1">IFERROR(__xludf.DUMMYFUNCTION("""COMPUTED_VALUE"""),"Janusia")</f>
        <v>Janusia</v>
      </c>
      <c r="C634" s="2" t="str">
        <f ca="1">IFERROR(__xludf.DUMMYFUNCTION("""COMPUTED_VALUE"""),"Neighbourhood")</f>
        <v>Neighbourhood</v>
      </c>
      <c r="D634" s="2" t="str">
        <f ca="1">IFERROR(__xludf.DUMMYFUNCTION("""COMPUTED_VALUE"""),"Dubai&gt;DAMAC Hills 2 (Akoya by DAMAC)&gt;Janusia")</f>
        <v>Dubai&gt;DAMAC Hills 2 (Akoya by DAMAC)&gt;Janusia</v>
      </c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6.5" x14ac:dyDescent="0.35">
      <c r="A635" s="2" t="str">
        <f ca="1">IFERROR(__xludf.DUMMYFUNCTION("""COMPUTED_VALUE"""),"Dubai")</f>
        <v>Dubai</v>
      </c>
      <c r="B635" s="2" t="str">
        <f ca="1">IFERROR(__xludf.DUMMYFUNCTION("""COMPUTED_VALUE"""),"Knowledge Village")</f>
        <v>Knowledge Village</v>
      </c>
      <c r="C635" s="2" t="str">
        <f ca="1">IFERROR(__xludf.DUMMYFUNCTION("""COMPUTED_VALUE"""),"Neighbourhood")</f>
        <v>Neighbourhood</v>
      </c>
      <c r="D635" s="2" t="str">
        <f ca="1">IFERROR(__xludf.DUMMYFUNCTION("""COMPUTED_VALUE"""),"Dubai&gt;Knowledge Village")</f>
        <v>Dubai&gt;Knowledge Village</v>
      </c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6.5" x14ac:dyDescent="0.35">
      <c r="A636" s="2" t="str">
        <f ca="1">IFERROR(__xludf.DUMMYFUNCTION("""COMPUTED_VALUE"""),"Dubai")</f>
        <v>Dubai</v>
      </c>
      <c r="B636" s="2" t="str">
        <f ca="1">IFERROR(__xludf.DUMMYFUNCTION("""COMPUTED_VALUE"""),"G-03")</f>
        <v>G-03</v>
      </c>
      <c r="C636" s="2" t="str">
        <f ca="1">IFERROR(__xludf.DUMMYFUNCTION("""COMPUTED_VALUE"""),"Building")</f>
        <v>Building</v>
      </c>
      <c r="D636" s="2" t="str">
        <f ca="1">IFERROR(__xludf.DUMMYFUNCTION("""COMPUTED_VALUE"""),"Dubai&gt;International City&gt;Morocco Cluster&gt;G-03")</f>
        <v>Dubai&gt;International City&gt;Morocco Cluster&gt;G-03</v>
      </c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6.5" x14ac:dyDescent="0.35">
      <c r="A637" s="2" t="str">
        <f ca="1">IFERROR(__xludf.DUMMYFUNCTION("""COMPUTED_VALUE"""),"Dubai")</f>
        <v>Dubai</v>
      </c>
      <c r="B637" s="2" t="str">
        <f ca="1">IFERROR(__xludf.DUMMYFUNCTION("""COMPUTED_VALUE"""),"A-01")</f>
        <v>A-01</v>
      </c>
      <c r="C637" s="2" t="str">
        <f ca="1">IFERROR(__xludf.DUMMYFUNCTION("""COMPUTED_VALUE"""),"Building")</f>
        <v>Building</v>
      </c>
      <c r="D637" s="2" t="str">
        <f ca="1">IFERROR(__xludf.DUMMYFUNCTION("""COMPUTED_VALUE"""),"Dubai&gt;International City&gt;China Cluster&gt;A-01")</f>
        <v>Dubai&gt;International City&gt;China Cluster&gt;A-01</v>
      </c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6.5" x14ac:dyDescent="0.35">
      <c r="A638" s="2" t="str">
        <f ca="1">IFERROR(__xludf.DUMMYFUNCTION("""COMPUTED_VALUE"""),"Dubai")</f>
        <v>Dubai</v>
      </c>
      <c r="B638" s="2" t="str">
        <f ca="1">IFERROR(__xludf.DUMMYFUNCTION("""COMPUTED_VALUE"""),"C-08")</f>
        <v>C-08</v>
      </c>
      <c r="C638" s="2" t="str">
        <f ca="1">IFERROR(__xludf.DUMMYFUNCTION("""COMPUTED_VALUE"""),"Building")</f>
        <v>Building</v>
      </c>
      <c r="D638" s="2" t="str">
        <f ca="1">IFERROR(__xludf.DUMMYFUNCTION("""COMPUTED_VALUE"""),"Dubai&gt;International City&gt;China Cluster&gt;C-08")</f>
        <v>Dubai&gt;International City&gt;China Cluster&gt;C-08</v>
      </c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6.5" x14ac:dyDescent="0.35">
      <c r="A639" s="2" t="str">
        <f ca="1">IFERROR(__xludf.DUMMYFUNCTION("""COMPUTED_VALUE"""),"Dubai")</f>
        <v>Dubai</v>
      </c>
      <c r="B639" s="2" t="str">
        <f ca="1">IFERROR(__xludf.DUMMYFUNCTION("""COMPUTED_VALUE"""),"F-14")</f>
        <v>F-14</v>
      </c>
      <c r="C639" s="2" t="str">
        <f ca="1">IFERROR(__xludf.DUMMYFUNCTION("""COMPUTED_VALUE"""),"Building")</f>
        <v>Building</v>
      </c>
      <c r="D639" s="2" t="str">
        <f ca="1">IFERROR(__xludf.DUMMYFUNCTION("""COMPUTED_VALUE"""),"Dubai&gt;International City&gt;China Cluster&gt;F-14")</f>
        <v>Dubai&gt;International City&gt;China Cluster&gt;F-14</v>
      </c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6.5" x14ac:dyDescent="0.35">
      <c r="A640" s="2" t="str">
        <f ca="1">IFERROR(__xludf.DUMMYFUNCTION("""COMPUTED_VALUE"""),"Dubai")</f>
        <v>Dubai</v>
      </c>
      <c r="B640" s="2" t="str">
        <f ca="1">IFERROR(__xludf.DUMMYFUNCTION("""COMPUTED_VALUE"""),"S-01")</f>
        <v>S-01</v>
      </c>
      <c r="C640" s="2" t="str">
        <f ca="1">IFERROR(__xludf.DUMMYFUNCTION("""COMPUTED_VALUE"""),"Building")</f>
        <v>Building</v>
      </c>
      <c r="D640" s="2" t="str">
        <f ca="1">IFERROR(__xludf.DUMMYFUNCTION("""COMPUTED_VALUE"""),"Dubai&gt;International City&gt;Spain Cluster&gt;S-01")</f>
        <v>Dubai&gt;International City&gt;Spain Cluster&gt;S-01</v>
      </c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6.5" x14ac:dyDescent="0.35">
      <c r="A641" s="2" t="str">
        <f ca="1">IFERROR(__xludf.DUMMYFUNCTION("""COMPUTED_VALUE"""),"Dubai")</f>
        <v>Dubai</v>
      </c>
      <c r="B641" s="2" t="str">
        <f ca="1">IFERROR(__xludf.DUMMYFUNCTION("""COMPUTED_VALUE"""),"U-11")</f>
        <v>U-11</v>
      </c>
      <c r="C641" s="2" t="str">
        <f ca="1">IFERROR(__xludf.DUMMYFUNCTION("""COMPUTED_VALUE"""),"Building")</f>
        <v>Building</v>
      </c>
      <c r="D641" s="2" t="str">
        <f ca="1">IFERROR(__xludf.DUMMYFUNCTION("""COMPUTED_VALUE"""),"Dubai&gt;International City&gt;Italy Cluster&gt;U-11")</f>
        <v>Dubai&gt;International City&gt;Italy Cluster&gt;U-11</v>
      </c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6.5" x14ac:dyDescent="0.35">
      <c r="A642" s="2" t="str">
        <f ca="1">IFERROR(__xludf.DUMMYFUNCTION("""COMPUTED_VALUE"""),"Dubai")</f>
        <v>Dubai</v>
      </c>
      <c r="B642" s="2" t="str">
        <f ca="1">IFERROR(__xludf.DUMMYFUNCTION("""COMPUTED_VALUE"""),"V-17")</f>
        <v>V-17</v>
      </c>
      <c r="C642" s="2" t="str">
        <f ca="1">IFERROR(__xludf.DUMMYFUNCTION("""COMPUTED_VALUE"""),"Building")</f>
        <v>Building</v>
      </c>
      <c r="D642" s="2" t="str">
        <f ca="1">IFERROR(__xludf.DUMMYFUNCTION("""COMPUTED_VALUE"""),"Dubai&gt;International City&gt;Russia Cluster&gt;V-17")</f>
        <v>Dubai&gt;International City&gt;Russia Cluster&gt;V-17</v>
      </c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6.5" x14ac:dyDescent="0.35">
      <c r="A643" s="2" t="str">
        <f ca="1">IFERROR(__xludf.DUMMYFUNCTION("""COMPUTED_VALUE"""),"Dubai")</f>
        <v>Dubai</v>
      </c>
      <c r="B643" s="2" t="str">
        <f ca="1">IFERROR(__xludf.DUMMYFUNCTION("""COMPUTED_VALUE"""),"N-04")</f>
        <v>N-04</v>
      </c>
      <c r="C643" s="2" t="str">
        <f ca="1">IFERROR(__xludf.DUMMYFUNCTION("""COMPUTED_VALUE"""),"Building")</f>
        <v>Building</v>
      </c>
      <c r="D643" s="2" t="str">
        <f ca="1">IFERROR(__xludf.DUMMYFUNCTION("""COMPUTED_VALUE"""),"Dubai&gt;International City&gt;Persia Cluster&gt;N-04")</f>
        <v>Dubai&gt;International City&gt;Persia Cluster&gt;N-04</v>
      </c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6.5" x14ac:dyDescent="0.35">
      <c r="A644" s="2" t="str">
        <f ca="1">IFERROR(__xludf.DUMMYFUNCTION("""COMPUTED_VALUE"""),"Dubai")</f>
        <v>Dubai</v>
      </c>
      <c r="B644" s="2" t="str">
        <f ca="1">IFERROR(__xludf.DUMMYFUNCTION("""COMPUTED_VALUE"""),"EMR-10")</f>
        <v>EMR-10</v>
      </c>
      <c r="C644" s="2" t="str">
        <f ca="1">IFERROR(__xludf.DUMMYFUNCTION("""COMPUTED_VALUE"""),"Building")</f>
        <v>Building</v>
      </c>
      <c r="D644" s="2" t="str">
        <f ca="1">IFERROR(__xludf.DUMMYFUNCTION("""COMPUTED_VALUE"""),"Dubai&gt;International City&gt;Emirates Cluster&gt;EMR-10")</f>
        <v>Dubai&gt;International City&gt;Emirates Cluster&gt;EMR-10</v>
      </c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6.5" x14ac:dyDescent="0.35">
      <c r="A645" s="2" t="str">
        <f ca="1">IFERROR(__xludf.DUMMYFUNCTION("""COMPUTED_VALUE"""),"Dubai")</f>
        <v>Dubai</v>
      </c>
      <c r="B645" s="2" t="str">
        <f ca="1">IFERROR(__xludf.DUMMYFUNCTION("""COMPUTED_VALUE"""),"X-15")</f>
        <v>X-15</v>
      </c>
      <c r="C645" s="2" t="str">
        <f ca="1">IFERROR(__xludf.DUMMYFUNCTION("""COMPUTED_VALUE"""),"Building")</f>
        <v>Building</v>
      </c>
      <c r="D645" s="2" t="str">
        <f ca="1">IFERROR(__xludf.DUMMYFUNCTION("""COMPUTED_VALUE"""),"Dubai&gt;International City&gt;England Cluster&gt;X-15")</f>
        <v>Dubai&gt;International City&gt;England Cluster&gt;X-15</v>
      </c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6.5" x14ac:dyDescent="0.35">
      <c r="A646" s="2" t="str">
        <f ca="1">IFERROR(__xludf.DUMMYFUNCTION("""COMPUTED_VALUE"""),"Dubai")</f>
        <v>Dubai</v>
      </c>
      <c r="B646" s="2" t="str">
        <f ca="1">IFERROR(__xludf.DUMMYFUNCTION("""COMPUTED_VALUE"""),"Y-21")</f>
        <v>Y-21</v>
      </c>
      <c r="C646" s="2" t="str">
        <f ca="1">IFERROR(__xludf.DUMMYFUNCTION("""COMPUTED_VALUE"""),"Building")</f>
        <v>Building</v>
      </c>
      <c r="D646" s="2" t="str">
        <f ca="1">IFERROR(__xludf.DUMMYFUNCTION("""COMPUTED_VALUE"""),"Dubai&gt;International City&gt;England Cluster&gt;Y-21")</f>
        <v>Dubai&gt;International City&gt;England Cluster&gt;Y-21</v>
      </c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6.5" x14ac:dyDescent="0.35">
      <c r="A647" s="2" t="str">
        <f ca="1">IFERROR(__xludf.DUMMYFUNCTION("""COMPUTED_VALUE"""),"Dubai")</f>
        <v>Dubai</v>
      </c>
      <c r="B647" s="2" t="str">
        <f ca="1">IFERROR(__xludf.DUMMYFUNCTION("""COMPUTED_VALUE"""),"Ginco Building")</f>
        <v>Ginco Building</v>
      </c>
      <c r="C647" s="2" t="str">
        <f ca="1">IFERROR(__xludf.DUMMYFUNCTION("""COMPUTED_VALUE"""),"Building")</f>
        <v>Building</v>
      </c>
      <c r="D647" s="2" t="str">
        <f ca="1">IFERROR(__xludf.DUMMYFUNCTION("""COMPUTED_VALUE"""),"Dubai&gt;International City&gt;International City Phase 2 (Warsan 4)&gt;Ginco Building")</f>
        <v>Dubai&gt;International City&gt;International City Phase 2 (Warsan 4)&gt;Ginco Building</v>
      </c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6.5" x14ac:dyDescent="0.35">
      <c r="A648" s="2" t="str">
        <f ca="1">IFERROR(__xludf.DUMMYFUNCTION("""COMPUTED_VALUE"""),"Dubai")</f>
        <v>Dubai</v>
      </c>
      <c r="B648" s="2" t="str">
        <f ca="1">IFERROR(__xludf.DUMMYFUNCTION("""COMPUTED_VALUE"""),"Al Basha 9")</f>
        <v>Al Basha 9</v>
      </c>
      <c r="C648" s="2" t="str">
        <f ca="1">IFERROR(__xludf.DUMMYFUNCTION("""COMPUTED_VALUE"""),"Building")</f>
        <v>Building</v>
      </c>
      <c r="D648" s="2" t="str">
        <f ca="1">IFERROR(__xludf.DUMMYFUNCTION("""COMPUTED_VALUE"""),"Dubai&gt;International City&gt;International City Phase 2 (Warsan 4)&gt;Al Basha 9")</f>
        <v>Dubai&gt;International City&gt;International City Phase 2 (Warsan 4)&gt;Al Basha 9</v>
      </c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6.5" x14ac:dyDescent="0.35">
      <c r="A649" s="2" t="str">
        <f ca="1">IFERROR(__xludf.DUMMYFUNCTION("""COMPUTED_VALUE"""),"Dubai")</f>
        <v>Dubai</v>
      </c>
      <c r="B649" s="2" t="str">
        <f ca="1">IFERROR(__xludf.DUMMYFUNCTION("""COMPUTED_VALUE"""),"Al Warsan Building")</f>
        <v>Al Warsan Building</v>
      </c>
      <c r="C649" s="2" t="str">
        <f ca="1">IFERROR(__xludf.DUMMYFUNCTION("""COMPUTED_VALUE"""),"Building")</f>
        <v>Building</v>
      </c>
      <c r="D649" s="2" t="str">
        <f ca="1">IFERROR(__xludf.DUMMYFUNCTION("""COMPUTED_VALUE"""),"Dubai&gt;International City&gt;International City Phase 2 (Warsan 4)&gt;Al Warsan Building")</f>
        <v>Dubai&gt;International City&gt;International City Phase 2 (Warsan 4)&gt;Al Warsan Building</v>
      </c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6.5" x14ac:dyDescent="0.35">
      <c r="A650" s="2" t="str">
        <f ca="1">IFERROR(__xludf.DUMMYFUNCTION("""COMPUTED_VALUE"""),"Dubai")</f>
        <v>Dubai</v>
      </c>
      <c r="B650" s="2" t="str">
        <f ca="1">IFERROR(__xludf.DUMMYFUNCTION("""COMPUTED_VALUE"""),"Constance")</f>
        <v>Constance</v>
      </c>
      <c r="C650" s="2" t="str">
        <f ca="1">IFERROR(__xludf.DUMMYFUNCTION("""COMPUTED_VALUE"""),"Building")</f>
        <v>Building</v>
      </c>
      <c r="D650" s="2" t="str">
        <f ca="1">IFERROR(__xludf.DUMMYFUNCTION("""COMPUTED_VALUE"""),"Dubai&gt;International City&gt;International City Phase 2 (Warsan 4)&gt;Constance")</f>
        <v>Dubai&gt;International City&gt;International City Phase 2 (Warsan 4)&gt;Constance</v>
      </c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6.5" x14ac:dyDescent="0.35">
      <c r="A651" s="2" t="str">
        <f ca="1">IFERROR(__xludf.DUMMYFUNCTION("""COMPUTED_VALUE"""),"Dubai")</f>
        <v>Dubai</v>
      </c>
      <c r="B651" s="2" t="str">
        <f ca="1">IFERROR(__xludf.DUMMYFUNCTION("""COMPUTED_VALUE"""),"HE One Building")</f>
        <v>HE One Building</v>
      </c>
      <c r="C651" s="2" t="str">
        <f ca="1">IFERROR(__xludf.DUMMYFUNCTION("""COMPUTED_VALUE"""),"Building")</f>
        <v>Building</v>
      </c>
      <c r="D651" s="2" t="str">
        <f ca="1">IFERROR(__xludf.DUMMYFUNCTION("""COMPUTED_VALUE"""),"Dubai&gt;International City&gt;International City Phase 2 (Warsan 4)&gt;HE One Building")</f>
        <v>Dubai&gt;International City&gt;International City Phase 2 (Warsan 4)&gt;HE One Building</v>
      </c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6.5" x14ac:dyDescent="0.35">
      <c r="A652" s="2" t="str">
        <f ca="1">IFERROR(__xludf.DUMMYFUNCTION("""COMPUTED_VALUE"""),"Dubai")</f>
        <v>Dubai</v>
      </c>
      <c r="B652" s="2" t="str">
        <f ca="1">IFERROR(__xludf.DUMMYFUNCTION("""COMPUTED_VALUE"""),"K-14")</f>
        <v>K-14</v>
      </c>
      <c r="C652" s="2" t="str">
        <f ca="1">IFERROR(__xludf.DUMMYFUNCTION("""COMPUTED_VALUE"""),"Building")</f>
        <v>Building</v>
      </c>
      <c r="D652" s="2" t="str">
        <f ca="1">IFERROR(__xludf.DUMMYFUNCTION("""COMPUTED_VALUE"""),"Dubai&gt;International City&gt;Greece Cluster&gt;K-14")</f>
        <v>Dubai&gt;International City&gt;Greece Cluster&gt;K-14</v>
      </c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6.5" x14ac:dyDescent="0.35">
      <c r="A653" s="2" t="str">
        <f ca="1">IFERROR(__xludf.DUMMYFUNCTION("""COMPUTED_VALUE"""),"Dubai")</f>
        <v>Dubai</v>
      </c>
      <c r="B653" s="2" t="str">
        <f ca="1">IFERROR(__xludf.DUMMYFUNCTION("""COMPUTED_VALUE"""),"P-27")</f>
        <v>P-27</v>
      </c>
      <c r="C653" s="2" t="str">
        <f ca="1">IFERROR(__xludf.DUMMYFUNCTION("""COMPUTED_VALUE"""),"Building")</f>
        <v>Building</v>
      </c>
      <c r="D653" s="2" t="str">
        <f ca="1">IFERROR(__xludf.DUMMYFUNCTION("""COMPUTED_VALUE"""),"Dubai&gt;International City&gt;France Cluster&gt;P-27")</f>
        <v>Dubai&gt;International City&gt;France Cluster&gt;P-27</v>
      </c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6.5" x14ac:dyDescent="0.35">
      <c r="A654" s="2" t="str">
        <f ca="1">IFERROR(__xludf.DUMMYFUNCTION("""COMPUTED_VALUE"""),"Dubai")</f>
        <v>Dubai</v>
      </c>
      <c r="B654" s="2" t="str">
        <f ca="1">IFERROR(__xludf.DUMMYFUNCTION("""COMPUTED_VALUE"""),"Q-06")</f>
        <v>Q-06</v>
      </c>
      <c r="C654" s="2" t="str">
        <f ca="1">IFERROR(__xludf.DUMMYFUNCTION("""COMPUTED_VALUE"""),"Building")</f>
        <v>Building</v>
      </c>
      <c r="D654" s="2" t="str">
        <f ca="1">IFERROR(__xludf.DUMMYFUNCTION("""COMPUTED_VALUE"""),"Dubai&gt;International City&gt;France Cluster&gt;Q-06")</f>
        <v>Dubai&gt;International City&gt;France Cluster&gt;Q-06</v>
      </c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6.5" x14ac:dyDescent="0.35">
      <c r="A655" s="2" t="str">
        <f ca="1">IFERROR(__xludf.DUMMYFUNCTION("""COMPUTED_VALUE"""),"Dubai")</f>
        <v>Dubai</v>
      </c>
      <c r="B655" s="2" t="str">
        <f ca="1">IFERROR(__xludf.DUMMYFUNCTION("""COMPUTED_VALUE"""),"CBD-C05")</f>
        <v>CBD-C05</v>
      </c>
      <c r="C655" s="2" t="str">
        <f ca="1">IFERROR(__xludf.DUMMYFUNCTION("""COMPUTED_VALUE"""),"Building")</f>
        <v>Building</v>
      </c>
      <c r="D655" s="2" t="str">
        <f ca="1">IFERROR(__xludf.DUMMYFUNCTION("""COMPUTED_VALUE"""),"Dubai&gt;International City&gt;Central Business District&gt;CBD-C05")</f>
        <v>Dubai&gt;International City&gt;Central Business District&gt;CBD-C05</v>
      </c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6.5" x14ac:dyDescent="0.35">
      <c r="A656" s="2" t="str">
        <f ca="1">IFERROR(__xludf.DUMMYFUNCTION("""COMPUTED_VALUE"""),"Dubai")</f>
        <v>Dubai</v>
      </c>
      <c r="B656" s="2" t="str">
        <f ca="1">IFERROR(__xludf.DUMMYFUNCTION("""COMPUTED_VALUE"""),"Rise by Blanco Thornton")</f>
        <v>Rise by Blanco Thornton</v>
      </c>
      <c r="C656" s="2" t="str">
        <f ca="1">IFERROR(__xludf.DUMMYFUNCTION("""COMPUTED_VALUE"""),"Building")</f>
        <v>Building</v>
      </c>
      <c r="D656" s="2" t="str">
        <f ca="1">IFERROR(__xludf.DUMMYFUNCTION("""COMPUTED_VALUE"""),"Dubai&gt;International City&gt;Rise by Blanco Thornton")</f>
        <v>Dubai&gt;International City&gt;Rise by Blanco Thornton</v>
      </c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6.5" x14ac:dyDescent="0.35">
      <c r="A657" s="2" t="str">
        <f ca="1">IFERROR(__xludf.DUMMYFUNCTION("""COMPUTED_VALUE"""),"Dubai")</f>
        <v>Dubai</v>
      </c>
      <c r="B657" s="2" t="str">
        <f ca="1">IFERROR(__xludf.DUMMYFUNCTION("""COMPUTED_VALUE"""),"Marina Mansions")</f>
        <v>Marina Mansions</v>
      </c>
      <c r="C657" s="2" t="str">
        <f ca="1">IFERROR(__xludf.DUMMYFUNCTION("""COMPUTED_VALUE"""),"Building")</f>
        <v>Building</v>
      </c>
      <c r="D657" s="2" t="str">
        <f ca="1">IFERROR(__xludf.DUMMYFUNCTION("""COMPUTED_VALUE"""),"Dubai&gt;Dubai Marina&gt;Marina Mansions")</f>
        <v>Dubai&gt;Dubai Marina&gt;Marina Mansions</v>
      </c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6.5" x14ac:dyDescent="0.35">
      <c r="A658" s="2" t="str">
        <f ca="1">IFERROR(__xludf.DUMMYFUNCTION("""COMPUTED_VALUE"""),"Dubai")</f>
        <v>Dubai</v>
      </c>
      <c r="B658" s="2" t="str">
        <f ca="1">IFERROR(__xludf.DUMMYFUNCTION("""COMPUTED_VALUE"""),"Bay Central East")</f>
        <v>Bay Central East</v>
      </c>
      <c r="C658" s="2" t="str">
        <f ca="1">IFERROR(__xludf.DUMMYFUNCTION("""COMPUTED_VALUE"""),"Building")</f>
        <v>Building</v>
      </c>
      <c r="D658" s="2" t="str">
        <f ca="1">IFERROR(__xludf.DUMMYFUNCTION("""COMPUTED_VALUE"""),"Dubai&gt;Dubai Marina&gt;Bay Central&gt;Bay Central East")</f>
        <v>Dubai&gt;Dubai Marina&gt;Bay Central&gt;Bay Central East</v>
      </c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6.5" x14ac:dyDescent="0.35">
      <c r="A659" s="2" t="str">
        <f ca="1">IFERROR(__xludf.DUMMYFUNCTION("""COMPUTED_VALUE"""),"Dubai")</f>
        <v>Dubai</v>
      </c>
      <c r="B659" s="2" t="str">
        <f ca="1">IFERROR(__xludf.DUMMYFUNCTION("""COMPUTED_VALUE"""),"Al Habtoor Business Tower")</f>
        <v>Al Habtoor Business Tower</v>
      </c>
      <c r="C659" s="2" t="str">
        <f ca="1">IFERROR(__xludf.DUMMYFUNCTION("""COMPUTED_VALUE"""),"Building")</f>
        <v>Building</v>
      </c>
      <c r="D659" s="2" t="str">
        <f ca="1">IFERROR(__xludf.DUMMYFUNCTION("""COMPUTED_VALUE"""),"Dubai&gt;Dubai Marina&gt;Al Habtoor Business Tower")</f>
        <v>Dubai&gt;Dubai Marina&gt;Al Habtoor Business Tower</v>
      </c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6.5" x14ac:dyDescent="0.35">
      <c r="A660" s="2" t="str">
        <f ca="1">IFERROR(__xludf.DUMMYFUNCTION("""COMPUTED_VALUE"""),"Dubai")</f>
        <v>Dubai</v>
      </c>
      <c r="B660" s="2" t="str">
        <f ca="1">IFERROR(__xludf.DUMMYFUNCTION("""COMPUTED_VALUE"""),"Marina Promenade")</f>
        <v>Marina Promenade</v>
      </c>
      <c r="C660" s="2" t="str">
        <f ca="1">IFERROR(__xludf.DUMMYFUNCTION("""COMPUTED_VALUE"""),"Neighbourhood")</f>
        <v>Neighbourhood</v>
      </c>
      <c r="D660" s="2" t="str">
        <f ca="1">IFERROR(__xludf.DUMMYFUNCTION("""COMPUTED_VALUE"""),"Dubai&gt;Dubai Marina&gt;Marina Promenade")</f>
        <v>Dubai&gt;Dubai Marina&gt;Marina Promenade</v>
      </c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6.5" x14ac:dyDescent="0.35">
      <c r="A661" s="2" t="str">
        <f ca="1">IFERROR(__xludf.DUMMYFUNCTION("""COMPUTED_VALUE"""),"Dubai")</f>
        <v>Dubai</v>
      </c>
      <c r="B661" s="2" t="str">
        <f ca="1">IFERROR(__xludf.DUMMYFUNCTION("""COMPUTED_VALUE"""),"Emirates Crown")</f>
        <v>Emirates Crown</v>
      </c>
      <c r="C661" s="2" t="str">
        <f ca="1">IFERROR(__xludf.DUMMYFUNCTION("""COMPUTED_VALUE"""),"Building")</f>
        <v>Building</v>
      </c>
      <c r="D661" s="2" t="str">
        <f ca="1">IFERROR(__xludf.DUMMYFUNCTION("""COMPUTED_VALUE"""),"Dubai&gt;Dubai Marina&gt;Emirates Crown")</f>
        <v>Dubai&gt;Dubai Marina&gt;Emirates Crown</v>
      </c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6.5" x14ac:dyDescent="0.35">
      <c r="A662" s="2" t="str">
        <f ca="1">IFERROR(__xludf.DUMMYFUNCTION("""COMPUTED_VALUE"""),"Dubai")</f>
        <v>Dubai</v>
      </c>
      <c r="B662" s="2" t="str">
        <f ca="1">IFERROR(__xludf.DUMMYFUNCTION("""COMPUTED_VALUE"""),"The Jewel Tower A")</f>
        <v>The Jewel Tower A</v>
      </c>
      <c r="C662" s="2" t="str">
        <f ca="1">IFERROR(__xludf.DUMMYFUNCTION("""COMPUTED_VALUE"""),"Building")</f>
        <v>Building</v>
      </c>
      <c r="D662" s="2" t="str">
        <f ca="1">IFERROR(__xludf.DUMMYFUNCTION("""COMPUTED_VALUE"""),"Dubai&gt;Dubai Marina&gt;The Jewels&gt;The Jewel Tower A")</f>
        <v>Dubai&gt;Dubai Marina&gt;The Jewels&gt;The Jewel Tower A</v>
      </c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6.5" x14ac:dyDescent="0.35">
      <c r="A663" s="2" t="str">
        <f ca="1">IFERROR(__xludf.DUMMYFUNCTION("""COMPUTED_VALUE"""),"Dubai")</f>
        <v>Dubai</v>
      </c>
      <c r="B663" s="2" t="str">
        <f ca="1">IFERROR(__xludf.DUMMYFUNCTION("""COMPUTED_VALUE"""),"The Point")</f>
        <v>The Point</v>
      </c>
      <c r="C663" s="2" t="str">
        <f ca="1">IFERROR(__xludf.DUMMYFUNCTION("""COMPUTED_VALUE"""),"Building")</f>
        <v>Building</v>
      </c>
      <c r="D663" s="2" t="str">
        <f ca="1">IFERROR(__xludf.DUMMYFUNCTION("""COMPUTED_VALUE"""),"Dubai&gt;Dubai Marina&gt;The Point")</f>
        <v>Dubai&gt;Dubai Marina&gt;The Point</v>
      </c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6.5" x14ac:dyDescent="0.35">
      <c r="A664" s="2" t="str">
        <f ca="1">IFERROR(__xludf.DUMMYFUNCTION("""COMPUTED_VALUE"""),"Dubai")</f>
        <v>Dubai</v>
      </c>
      <c r="B664" s="2" t="str">
        <f ca="1">IFERROR(__xludf.DUMMYFUNCTION("""COMPUTED_VALUE"""),"Zahra Breeze Apartments")</f>
        <v>Zahra Breeze Apartments</v>
      </c>
      <c r="C664" s="2" t="str">
        <f ca="1">IFERROR(__xludf.DUMMYFUNCTION("""COMPUTED_VALUE"""),"Cluster")</f>
        <v>Cluster</v>
      </c>
      <c r="D664" s="2" t="str">
        <f ca="1">IFERROR(__xludf.DUMMYFUNCTION("""COMPUTED_VALUE"""),"Dubai&gt;Town Square&gt;Zahra Breeze Apartments")</f>
        <v>Dubai&gt;Town Square&gt;Zahra Breeze Apartments</v>
      </c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6.5" x14ac:dyDescent="0.35">
      <c r="A665" s="2" t="str">
        <f ca="1">IFERROR(__xludf.DUMMYFUNCTION("""COMPUTED_VALUE"""),"Dubai")</f>
        <v>Dubai</v>
      </c>
      <c r="B665" s="2" t="str">
        <f ca="1">IFERROR(__xludf.DUMMYFUNCTION("""COMPUTED_VALUE"""),"Zahra Apartments 2A")</f>
        <v>Zahra Apartments 2A</v>
      </c>
      <c r="C665" s="2" t="str">
        <f ca="1">IFERROR(__xludf.DUMMYFUNCTION("""COMPUTED_VALUE"""),"Building")</f>
        <v>Building</v>
      </c>
      <c r="D665" s="2" t="str">
        <f ca="1">IFERROR(__xludf.DUMMYFUNCTION("""COMPUTED_VALUE"""),"Dubai&gt;Town Square&gt;Zahra Apartments&gt;Zahra Apartments 2A")</f>
        <v>Dubai&gt;Town Square&gt;Zahra Apartments&gt;Zahra Apartments 2A</v>
      </c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6.5" x14ac:dyDescent="0.35">
      <c r="A666" s="2" t="str">
        <f ca="1">IFERROR(__xludf.DUMMYFUNCTION("""COMPUTED_VALUE"""),"Dubai")</f>
        <v>Dubai</v>
      </c>
      <c r="B666" s="2" t="str">
        <f ca="1">IFERROR(__xludf.DUMMYFUNCTION("""COMPUTED_VALUE"""),"Evelyn on the Park")</f>
        <v>Evelyn on the Park</v>
      </c>
      <c r="C666" s="2" t="str">
        <f ca="1">IFERROR(__xludf.DUMMYFUNCTION("""COMPUTED_VALUE"""),"Building")</f>
        <v>Building</v>
      </c>
      <c r="D666" s="2" t="str">
        <f ca="1">IFERROR(__xludf.DUMMYFUNCTION("""COMPUTED_VALUE"""),"Dubai&gt;Town Square&gt;Evelyn on the Park")</f>
        <v>Dubai&gt;Town Square&gt;Evelyn on the Park</v>
      </c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6.5" x14ac:dyDescent="0.35">
      <c r="A667" s="2" t="str">
        <f ca="1">IFERROR(__xludf.DUMMYFUNCTION("""COMPUTED_VALUE"""),"Dubai")</f>
        <v>Dubai</v>
      </c>
      <c r="B667" s="2" t="str">
        <f ca="1">IFERROR(__xludf.DUMMYFUNCTION("""COMPUTED_VALUE"""),"Rakayez DB1")</f>
        <v>Rakayez DB1</v>
      </c>
      <c r="C667" s="2" t="str">
        <f ca="1">IFERROR(__xludf.DUMMYFUNCTION("""COMPUTED_VALUE"""),"Building")</f>
        <v>Building</v>
      </c>
      <c r="D667" s="2" t="str">
        <f ca="1">IFERROR(__xludf.DUMMYFUNCTION("""COMPUTED_VALUE"""),"Dubai&gt;Al Furjan&gt;Rakayez DB1")</f>
        <v>Dubai&gt;Al Furjan&gt;Rakayez DB1</v>
      </c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6.5" x14ac:dyDescent="0.35">
      <c r="A668" s="2" t="str">
        <f ca="1">IFERROR(__xludf.DUMMYFUNCTION("""COMPUTED_VALUE"""),"Dubai")</f>
        <v>Dubai</v>
      </c>
      <c r="B668" s="2" t="str">
        <f ca="1">IFERROR(__xludf.DUMMYFUNCTION("""COMPUTED_VALUE"""),"Azizi Plaza")</f>
        <v>Azizi Plaza</v>
      </c>
      <c r="C668" s="2" t="str">
        <f ca="1">IFERROR(__xludf.DUMMYFUNCTION("""COMPUTED_VALUE"""),"Building")</f>
        <v>Building</v>
      </c>
      <c r="D668" s="2" t="str">
        <f ca="1">IFERROR(__xludf.DUMMYFUNCTION("""COMPUTED_VALUE"""),"Dubai&gt;Al Furjan&gt;Azizi Plaza")</f>
        <v>Dubai&gt;Al Furjan&gt;Azizi Plaza</v>
      </c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6.5" x14ac:dyDescent="0.35">
      <c r="A669" s="2" t="str">
        <f ca="1">IFERROR(__xludf.DUMMYFUNCTION("""COMPUTED_VALUE"""),"Dubai")</f>
        <v>Dubai</v>
      </c>
      <c r="B669" s="2" t="str">
        <f ca="1">IFERROR(__xludf.DUMMYFUNCTION("""COMPUTED_VALUE"""),"Equiti Residence")</f>
        <v>Equiti Residence</v>
      </c>
      <c r="C669" s="2" t="str">
        <f ca="1">IFERROR(__xludf.DUMMYFUNCTION("""COMPUTED_VALUE"""),"Building")</f>
        <v>Building</v>
      </c>
      <c r="D669" s="2" t="str">
        <f ca="1">IFERROR(__xludf.DUMMYFUNCTION("""COMPUTED_VALUE"""),"Dubai&gt;Al Furjan&gt;Equiti Residence")</f>
        <v>Dubai&gt;Al Furjan&gt;Equiti Residence</v>
      </c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6.5" x14ac:dyDescent="0.35">
      <c r="A670" s="2" t="str">
        <f ca="1">IFERROR(__xludf.DUMMYFUNCTION("""COMPUTED_VALUE"""),"Dubai")</f>
        <v>Dubai</v>
      </c>
      <c r="B670" s="2" t="str">
        <f ca="1">IFERROR(__xludf.DUMMYFUNCTION("""COMPUTED_VALUE"""),"Azizi Jewel")</f>
        <v>Azizi Jewel</v>
      </c>
      <c r="C670" s="2" t="str">
        <f ca="1">IFERROR(__xludf.DUMMYFUNCTION("""COMPUTED_VALUE"""),"Building")</f>
        <v>Building</v>
      </c>
      <c r="D670" s="2" t="str">
        <f ca="1">IFERROR(__xludf.DUMMYFUNCTION("""COMPUTED_VALUE"""),"Dubai&gt;Al Furjan&gt;Azizi Jewel")</f>
        <v>Dubai&gt;Al Furjan&gt;Azizi Jewel</v>
      </c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6.5" x14ac:dyDescent="0.35">
      <c r="A671" s="2" t="str">
        <f ca="1">IFERROR(__xludf.DUMMYFUNCTION("""COMPUTED_VALUE"""),"Dubai")</f>
        <v>Dubai</v>
      </c>
      <c r="B671" s="2" t="str">
        <f ca="1">IFERROR(__xludf.DUMMYFUNCTION("""COMPUTED_VALUE"""),"Manam Pearl")</f>
        <v>Manam Pearl</v>
      </c>
      <c r="C671" s="2" t="str">
        <f ca="1">IFERROR(__xludf.DUMMYFUNCTION("""COMPUTED_VALUE"""),"Building")</f>
        <v>Building</v>
      </c>
      <c r="D671" s="2" t="str">
        <f ca="1">IFERROR(__xludf.DUMMYFUNCTION("""COMPUTED_VALUE"""),"Dubai&gt;Al Furjan&gt;Manam Pearl")</f>
        <v>Dubai&gt;Al Furjan&gt;Manam Pearl</v>
      </c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6.5" x14ac:dyDescent="0.35">
      <c r="A672" s="2" t="str">
        <f ca="1">IFERROR(__xludf.DUMMYFUNCTION("""COMPUTED_VALUE"""),"Dubai")</f>
        <v>Dubai</v>
      </c>
      <c r="B672" s="2" t="str">
        <f ca="1">IFERROR(__xludf.DUMMYFUNCTION("""COMPUTED_VALUE"""),"Azizi Riviera 38")</f>
        <v>Azizi Riviera 38</v>
      </c>
      <c r="C672" s="2" t="str">
        <f ca="1">IFERROR(__xludf.DUMMYFUNCTION("""COMPUTED_VALUE"""),"Building")</f>
        <v>Building</v>
      </c>
      <c r="D672" s="2" t="str">
        <f ca="1">IFERROR(__xludf.DUMMYFUNCTION("""COMPUTED_VALUE"""),"Dubai&gt;Meydan City&gt;Meydan One&gt;Azizi Riviera&gt;Azizi Riviera 38")</f>
        <v>Dubai&gt;Meydan City&gt;Meydan One&gt;Azizi Riviera&gt;Azizi Riviera 38</v>
      </c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6.5" x14ac:dyDescent="0.35">
      <c r="A673" s="2" t="str">
        <f ca="1">IFERROR(__xludf.DUMMYFUNCTION("""COMPUTED_VALUE"""),"Dubai")</f>
        <v>Dubai</v>
      </c>
      <c r="B673" s="2" t="str">
        <f ca="1">IFERROR(__xludf.DUMMYFUNCTION("""COMPUTED_VALUE"""),"Riviera Beachfront Tower B")</f>
        <v>Riviera Beachfront Tower B</v>
      </c>
      <c r="C673" s="2" t="str">
        <f ca="1">IFERROR(__xludf.DUMMYFUNCTION("""COMPUTED_VALUE"""),"Building")</f>
        <v>Building</v>
      </c>
      <c r="D673" s="2" t="str">
        <f ca="1">IFERROR(__xludf.DUMMYFUNCTION("""COMPUTED_VALUE"""),"Dubai&gt;Meydan City&gt;Meydan One&gt;Azizi Riviera&gt;Riviera Beachfront&gt;Riviera Beachfront Tower B")</f>
        <v>Dubai&gt;Meydan City&gt;Meydan One&gt;Azizi Riviera&gt;Riviera Beachfront&gt;Riviera Beachfront Tower B</v>
      </c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6.5" x14ac:dyDescent="0.35">
      <c r="A674" s="2" t="str">
        <f ca="1">IFERROR(__xludf.DUMMYFUNCTION("""COMPUTED_VALUE"""),"Dubai")</f>
        <v>Dubai</v>
      </c>
      <c r="B674" s="2" t="str">
        <f ca="1">IFERROR(__xludf.DUMMYFUNCTION("""COMPUTED_VALUE"""),"Azizi Riviera 55")</f>
        <v>Azizi Riviera 55</v>
      </c>
      <c r="C674" s="2" t="str">
        <f ca="1">IFERROR(__xludf.DUMMYFUNCTION("""COMPUTED_VALUE"""),"Building")</f>
        <v>Building</v>
      </c>
      <c r="D674" s="2" t="str">
        <f ca="1">IFERROR(__xludf.DUMMYFUNCTION("""COMPUTED_VALUE"""),"Dubai&gt;Meydan City&gt;Meydan One&gt;Azizi Riviera&gt;Azizi Riviera 55")</f>
        <v>Dubai&gt;Meydan City&gt;Meydan One&gt;Azizi Riviera&gt;Azizi Riviera 55</v>
      </c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6.5" x14ac:dyDescent="0.35">
      <c r="A675" s="2" t="str">
        <f ca="1">IFERROR(__xludf.DUMMYFUNCTION("""COMPUTED_VALUE"""),"Dubai")</f>
        <v>Dubai</v>
      </c>
      <c r="B675" s="2" t="str">
        <f ca="1">IFERROR(__xludf.DUMMYFUNCTION("""COMPUTED_VALUE"""),"Polo Residence B5")</f>
        <v>Polo Residence B5</v>
      </c>
      <c r="C675" s="2" t="str">
        <f ca="1">IFERROR(__xludf.DUMMYFUNCTION("""COMPUTED_VALUE"""),"Building")</f>
        <v>Building</v>
      </c>
      <c r="D675" s="2" t="str">
        <f ca="1">IFERROR(__xludf.DUMMYFUNCTION("""COMPUTED_VALUE"""),"Dubai&gt;Meydan City&gt;Meydan Avenue&gt;Polo Residence&gt;Polo Residence B5")</f>
        <v>Dubai&gt;Meydan City&gt;Meydan Avenue&gt;Polo Residence&gt;Polo Residence B5</v>
      </c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6.5" x14ac:dyDescent="0.35">
      <c r="A676" s="2" t="str">
        <f ca="1">IFERROR(__xludf.DUMMYFUNCTION("""COMPUTED_VALUE"""),"Dubai")</f>
        <v>Dubai</v>
      </c>
      <c r="B676" s="2" t="str">
        <f ca="1">IFERROR(__xludf.DUMMYFUNCTION("""COMPUTED_VALUE"""),"Alphabeta M77 Building")</f>
        <v>Alphabeta M77 Building</v>
      </c>
      <c r="C676" s="2" t="str">
        <f ca="1">IFERROR(__xludf.DUMMYFUNCTION("""COMPUTED_VALUE"""),"Building")</f>
        <v>Building</v>
      </c>
      <c r="D676" s="2" t="str">
        <f ca="1">IFERROR(__xludf.DUMMYFUNCTION("""COMPUTED_VALUE"""),"Dubai&gt;Meydan City&gt;Meydan Avenue&gt;Alphabeta M77 Building")</f>
        <v>Dubai&gt;Meydan City&gt;Meydan Avenue&gt;Alphabeta M77 Building</v>
      </c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6.5" x14ac:dyDescent="0.35">
      <c r="A677" s="2" t="str">
        <f ca="1">IFERROR(__xludf.DUMMYFUNCTION("""COMPUTED_VALUE"""),"Dubai")</f>
        <v>Dubai</v>
      </c>
      <c r="B677" s="2" t="str">
        <f ca="1">IFERROR(__xludf.DUMMYFUNCTION("""COMPUTED_VALUE"""),"Al Ghaf 4")</f>
        <v>Al Ghaf 4</v>
      </c>
      <c r="C677" s="2" t="str">
        <f ca="1">IFERROR(__xludf.DUMMYFUNCTION("""COMPUTED_VALUE"""),"Building")</f>
        <v>Building</v>
      </c>
      <c r="D677" s="2" t="str">
        <f ca="1">IFERROR(__xludf.DUMMYFUNCTION("""COMPUTED_VALUE"""),"Dubai&gt;The Greens&gt;Al Ghaf&gt;Al Ghaf 4")</f>
        <v>Dubai&gt;The Greens&gt;Al Ghaf&gt;Al Ghaf 4</v>
      </c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6.5" x14ac:dyDescent="0.35">
      <c r="A678" s="2" t="str">
        <f ca="1">IFERROR(__xludf.DUMMYFUNCTION("""COMPUTED_VALUE"""),"Dubai")</f>
        <v>Dubai</v>
      </c>
      <c r="B678" s="2" t="str">
        <f ca="1">IFERROR(__xludf.DUMMYFUNCTION("""COMPUTED_VALUE"""),"Al Dhafrah 4")</f>
        <v>Al Dhafrah 4</v>
      </c>
      <c r="C678" s="2" t="str">
        <f ca="1">IFERROR(__xludf.DUMMYFUNCTION("""COMPUTED_VALUE"""),"Building")</f>
        <v>Building</v>
      </c>
      <c r="D678" s="2" t="str">
        <f ca="1">IFERROR(__xludf.DUMMYFUNCTION("""COMPUTED_VALUE"""),"Dubai&gt;The Greens&gt;Al Dhafrah&gt;Al Dhafrah 4")</f>
        <v>Dubai&gt;The Greens&gt;Al Dhafrah&gt;Al Dhafrah 4</v>
      </c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6.5" x14ac:dyDescent="0.35">
      <c r="A679" s="2" t="str">
        <f ca="1">IFERROR(__xludf.DUMMYFUNCTION("""COMPUTED_VALUE"""),"Dubai")</f>
        <v>Dubai</v>
      </c>
      <c r="B679" s="2" t="str">
        <f ca="1">IFERROR(__xludf.DUMMYFUNCTION("""COMPUTED_VALUE"""),"SOL Golf Views A")</f>
        <v>SOL Golf Views A</v>
      </c>
      <c r="C679" s="2" t="str">
        <f ca="1">IFERROR(__xludf.DUMMYFUNCTION("""COMPUTED_VALUE"""),"Building")</f>
        <v>Building</v>
      </c>
      <c r="D679" s="2" t="str">
        <f ca="1">IFERROR(__xludf.DUMMYFUNCTION("""COMPUTED_VALUE"""),"Dubai&gt;Dubai Production City (IMPZ)&gt;SOL Golf Views&gt;SOL Golf Views A")</f>
        <v>Dubai&gt;Dubai Production City (IMPZ)&gt;SOL Golf Views&gt;SOL Golf Views A</v>
      </c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6.5" x14ac:dyDescent="0.35">
      <c r="A680" s="2" t="str">
        <f ca="1">IFERROR(__xludf.DUMMYFUNCTION("""COMPUTED_VALUE"""),"Dubai")</f>
        <v>Dubai</v>
      </c>
      <c r="B680" s="2" t="str">
        <f ca="1">IFERROR(__xludf.DUMMYFUNCTION("""COMPUTED_VALUE"""),"Mesk 3")</f>
        <v>Mesk 3</v>
      </c>
      <c r="C680" s="2" t="str">
        <f ca="1">IFERROR(__xludf.DUMMYFUNCTION("""COMPUTED_VALUE"""),"Building")</f>
        <v>Building</v>
      </c>
      <c r="D680" s="2" t="str">
        <f ca="1">IFERROR(__xludf.DUMMYFUNCTION("""COMPUTED_VALUE"""),"Dubai&gt;Dubai Production City (IMPZ)&gt;Midtown&gt;Mesk&gt;Mesk 3")</f>
        <v>Dubai&gt;Dubai Production City (IMPZ)&gt;Midtown&gt;Mesk&gt;Mesk 3</v>
      </c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6.5" x14ac:dyDescent="0.35">
      <c r="A681" s="2" t="str">
        <f ca="1">IFERROR(__xludf.DUMMYFUNCTION("""COMPUTED_VALUE"""),"Dubai")</f>
        <v>Dubai</v>
      </c>
      <c r="B681" s="2" t="str">
        <f ca="1">IFERROR(__xludf.DUMMYFUNCTION("""COMPUTED_VALUE"""),"Sun Point Dubai")</f>
        <v>Sun Point Dubai</v>
      </c>
      <c r="C681" s="2" t="str">
        <f ca="1">IFERROR(__xludf.DUMMYFUNCTION("""COMPUTED_VALUE"""),"Cluster")</f>
        <v>Cluster</v>
      </c>
      <c r="D681" s="2" t="str">
        <f ca="1">IFERROR(__xludf.DUMMYFUNCTION("""COMPUTED_VALUE"""),"Dubai&gt;Dubai Production City (IMPZ)&gt;Sun Point Dubai")</f>
        <v>Dubai&gt;Dubai Production City (IMPZ)&gt;Sun Point Dubai</v>
      </c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6.5" x14ac:dyDescent="0.35">
      <c r="A682" s="2" t="str">
        <f ca="1">IFERROR(__xludf.DUMMYFUNCTION("""COMPUTED_VALUE"""),"Dubai")</f>
        <v>Dubai</v>
      </c>
      <c r="B682" s="2" t="str">
        <f ca="1">IFERROR(__xludf.DUMMYFUNCTION("""COMPUTED_VALUE"""),"Samana Resorts Tower B")</f>
        <v>Samana Resorts Tower B</v>
      </c>
      <c r="C682" s="2" t="str">
        <f ca="1">IFERROR(__xludf.DUMMYFUNCTION("""COMPUTED_VALUE"""),"Building")</f>
        <v>Building</v>
      </c>
      <c r="D682" s="2" t="str">
        <f ca="1">IFERROR(__xludf.DUMMYFUNCTION("""COMPUTED_VALUE"""),"Dubai&gt;Dubai Production City (IMPZ)&gt;Samana Resorts&gt;Samana Resorts Tower B")</f>
        <v>Dubai&gt;Dubai Production City (IMPZ)&gt;Samana Resorts&gt;Samana Resorts Tower B</v>
      </c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6.5" x14ac:dyDescent="0.35">
      <c r="A683" s="2" t="str">
        <f ca="1">IFERROR(__xludf.DUMMYFUNCTION("""COMPUTED_VALUE"""),"Dubai")</f>
        <v>Dubai</v>
      </c>
      <c r="B683" s="2" t="str">
        <f ca="1">IFERROR(__xludf.DUMMYFUNCTION("""COMPUTED_VALUE"""),"Al Haseen Residences 2")</f>
        <v>Al Haseen Residences 2</v>
      </c>
      <c r="C683" s="2" t="str">
        <f ca="1">IFERROR(__xludf.DUMMYFUNCTION("""COMPUTED_VALUE"""),"Building")</f>
        <v>Building</v>
      </c>
      <c r="D683" s="2" t="str">
        <f ca="1">IFERROR(__xludf.DUMMYFUNCTION("""COMPUTED_VALUE"""),"Dubai&gt;Dubai Industrial City&gt;Al Haseen Residences 2")</f>
        <v>Dubai&gt;Dubai Industrial City&gt;Al Haseen Residences 2</v>
      </c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6.5" x14ac:dyDescent="0.35">
      <c r="A684" s="2" t="str">
        <f ca="1">IFERROR(__xludf.DUMMYFUNCTION("""COMPUTED_VALUE"""),"Dubai")</f>
        <v>Dubai</v>
      </c>
      <c r="B684" s="2" t="str">
        <f ca="1">IFERROR(__xludf.DUMMYFUNCTION("""COMPUTED_VALUE"""),"Horizon International School, Dubai")</f>
        <v>Horizon International School, Dubai</v>
      </c>
      <c r="C684" s="2" t="str">
        <f ca="1">IFERROR(__xludf.DUMMYFUNCTION("""COMPUTED_VALUE"""),"School")</f>
        <v>School</v>
      </c>
      <c r="D684" s="2" t="str">
        <f ca="1">IFERROR(__xludf.DUMMYFUNCTION("""COMPUTED_VALUE"""),"Dubai&gt;Umm Al Sheif&gt;Horizon International School, Dubai")</f>
        <v>Dubai&gt;Umm Al Sheif&gt;Horizon International School, Dubai</v>
      </c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6.5" x14ac:dyDescent="0.35">
      <c r="A685" s="2" t="str">
        <f ca="1">IFERROR(__xludf.DUMMYFUNCTION("""COMPUTED_VALUE"""),"Dubai")</f>
        <v>Dubai</v>
      </c>
      <c r="B685" s="2" t="str">
        <f ca="1">IFERROR(__xludf.DUMMYFUNCTION("""COMPUTED_VALUE"""),"Amara")</f>
        <v>Amara</v>
      </c>
      <c r="C685" s="2" t="str">
        <f ca="1">IFERROR(__xludf.DUMMYFUNCTION("""COMPUTED_VALUE"""),"Neighbourhood")</f>
        <v>Neighbourhood</v>
      </c>
      <c r="D685" s="2" t="str">
        <f ca="1">IFERROR(__xludf.DUMMYFUNCTION("""COMPUTED_VALUE"""),"Dubai&gt;Tilal Al Ghaf&gt;Amara")</f>
        <v>Dubai&gt;Tilal Al Ghaf&gt;Amara</v>
      </c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6.5" x14ac:dyDescent="0.35">
      <c r="A686" s="2" t="str">
        <f ca="1">IFERROR(__xludf.DUMMYFUNCTION("""COMPUTED_VALUE"""),"Dubai")</f>
        <v>Dubai</v>
      </c>
      <c r="B686" s="2" t="str">
        <f ca="1">IFERROR(__xludf.DUMMYFUNCTION("""COMPUTED_VALUE"""),"Bay Grove Residences Building 6")</f>
        <v>Bay Grove Residences Building 6</v>
      </c>
      <c r="C686" s="2" t="str">
        <f ca="1">IFERROR(__xludf.DUMMYFUNCTION("""COMPUTED_VALUE"""),"Building")</f>
        <v>Building</v>
      </c>
      <c r="D686" s="2" t="str">
        <f ca="1">IFERROR(__xludf.DUMMYFUNCTION("""COMPUTED_VALUE"""),"Dubai&gt;Dubai Islands&gt;Bay Grove Residences&gt;Bay Grove Residences Building 6")</f>
        <v>Dubai&gt;Dubai Islands&gt;Bay Grove Residences&gt;Bay Grove Residences Building 6</v>
      </c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6.5" x14ac:dyDescent="0.35">
      <c r="A687" s="2" t="str">
        <f ca="1">IFERROR(__xludf.DUMMYFUNCTION("""COMPUTED_VALUE"""),"Dubai")</f>
        <v>Dubai</v>
      </c>
      <c r="B687" s="2" t="str">
        <f ca="1">IFERROR(__xludf.DUMMYFUNCTION("""COMPUTED_VALUE"""),"Sunset Bay 2 by Imtiaz")</f>
        <v>Sunset Bay 2 by Imtiaz</v>
      </c>
      <c r="C687" s="2" t="str">
        <f ca="1">IFERROR(__xludf.DUMMYFUNCTION("""COMPUTED_VALUE"""),"Building")</f>
        <v>Building</v>
      </c>
      <c r="D687" s="2" t="str">
        <f ca="1">IFERROR(__xludf.DUMMYFUNCTION("""COMPUTED_VALUE"""),"Dubai&gt;Dubai Islands&gt;Sunset Bay 2 by Imtiaz")</f>
        <v>Dubai&gt;Dubai Islands&gt;Sunset Bay 2 by Imtiaz</v>
      </c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6.5" x14ac:dyDescent="0.35">
      <c r="A688" s="2" t="str">
        <f ca="1">IFERROR(__xludf.DUMMYFUNCTION("""COMPUTED_VALUE"""),"Dubai")</f>
        <v>Dubai</v>
      </c>
      <c r="B688" s="2" t="str">
        <f ca="1">IFERROR(__xludf.DUMMYFUNCTION("""COMPUTED_VALUE"""),"Bay Grove Residences D")</f>
        <v>Bay Grove Residences D</v>
      </c>
      <c r="C688" s="2" t="str">
        <f ca="1">IFERROR(__xludf.DUMMYFUNCTION("""COMPUTED_VALUE"""),"Cluster")</f>
        <v>Cluster</v>
      </c>
      <c r="D688" s="2" t="str">
        <f ca="1">IFERROR(__xludf.DUMMYFUNCTION("""COMPUTED_VALUE"""),"Dubai&gt;Dubai Islands&gt;Bay Grove Residences D")</f>
        <v>Dubai&gt;Dubai Islands&gt;Bay Grove Residences D</v>
      </c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6.5" x14ac:dyDescent="0.35">
      <c r="A689" s="2" t="str">
        <f ca="1">IFERROR(__xludf.DUMMYFUNCTION("""COMPUTED_VALUE"""),"Dubai")</f>
        <v>Dubai</v>
      </c>
      <c r="B689" s="2" t="str">
        <f ca="1">IFERROR(__xludf.DUMMYFUNCTION("""COMPUTED_VALUE"""),"Ellington Sands I Tower A")</f>
        <v>Ellington Sands I Tower A</v>
      </c>
      <c r="C689" s="2" t="str">
        <f ca="1">IFERROR(__xludf.DUMMYFUNCTION("""COMPUTED_VALUE"""),"Building")</f>
        <v>Building</v>
      </c>
      <c r="D689" s="2" t="str">
        <f ca="1">IFERROR(__xludf.DUMMYFUNCTION("""COMPUTED_VALUE"""),"Dubai&gt;Dubai Islands&gt;Ellington Sands I&gt;Ellington Sands I Tower A")</f>
        <v>Dubai&gt;Dubai Islands&gt;Ellington Sands I&gt;Ellington Sands I Tower A</v>
      </c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6.5" x14ac:dyDescent="0.35">
      <c r="A690" s="2" t="str">
        <f ca="1">IFERROR(__xludf.DUMMYFUNCTION("""COMPUTED_VALUE"""),"Dubai")</f>
        <v>Dubai</v>
      </c>
      <c r="B690" s="2" t="str">
        <f ca="1">IFERROR(__xludf.DUMMYFUNCTION("""COMPUTED_VALUE"""),"Al Habtoor Polo Resort and Club - The Residences")</f>
        <v>Al Habtoor Polo Resort and Club - The Residences</v>
      </c>
      <c r="C690" s="2" t="str">
        <f ca="1">IFERROR(__xludf.DUMMYFUNCTION("""COMPUTED_VALUE"""),"Neighbourhood")</f>
        <v>Neighbourhood</v>
      </c>
      <c r="D690" s="2" t="str">
        <f ca="1">IFERROR(__xludf.DUMMYFUNCTION("""COMPUTED_VALUE"""),"Dubai&gt;Dubailand&gt;Al Habtoor Polo Resort and Club - The Residences")</f>
        <v>Dubai&gt;Dubailand&gt;Al Habtoor Polo Resort and Club - The Residences</v>
      </c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6.5" x14ac:dyDescent="0.35">
      <c r="A691" s="2" t="str">
        <f ca="1">IFERROR(__xludf.DUMMYFUNCTION("""COMPUTED_VALUE"""),"Dubai")</f>
        <v>Dubai</v>
      </c>
      <c r="B691" s="2" t="str">
        <f ca="1">IFERROR(__xludf.DUMMYFUNCTION("""COMPUTED_VALUE"""),"La Violeta")</f>
        <v>La Violeta</v>
      </c>
      <c r="C691" s="2" t="str">
        <f ca="1">IFERROR(__xludf.DUMMYFUNCTION("""COMPUTED_VALUE"""),"Neighbourhood")</f>
        <v>Neighbourhood</v>
      </c>
      <c r="D691" s="2" t="str">
        <f ca="1">IFERROR(__xludf.DUMMYFUNCTION("""COMPUTED_VALUE"""),"Dubai&gt;Dubailand&gt;Villanova&gt;La Violeta")</f>
        <v>Dubai&gt;Dubailand&gt;Villanova&gt;La Violeta</v>
      </c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6.5" x14ac:dyDescent="0.35">
      <c r="A692" s="2" t="str">
        <f ca="1">IFERROR(__xludf.DUMMYFUNCTION("""COMPUTED_VALUE"""),"Dubai")</f>
        <v>Dubai</v>
      </c>
      <c r="B692" s="2" t="str">
        <f ca="1">IFERROR(__xludf.DUMMYFUNCTION("""COMPUTED_VALUE"""),"Dalma")</f>
        <v>Dalma</v>
      </c>
      <c r="C692" s="2" t="str">
        <f ca="1">IFERROR(__xludf.DUMMYFUNCTION("""COMPUTED_VALUE"""),"Neighbourhood")</f>
        <v>Neighbourhood</v>
      </c>
      <c r="D692" s="2" t="str">
        <f ca="1">IFERROR(__xludf.DUMMYFUNCTION("""COMPUTED_VALUE"""),"Dubai&gt;Dubailand&gt;The Wilds&gt;Dalma")</f>
        <v>Dubai&gt;Dubailand&gt;The Wilds&gt;Dalma</v>
      </c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6.5" x14ac:dyDescent="0.35">
      <c r="A693" s="2" t="str">
        <f ca="1">IFERROR(__xludf.DUMMYFUNCTION("""COMPUTED_VALUE"""),"Dubai")</f>
        <v>Dubai</v>
      </c>
      <c r="B693" s="2" t="str">
        <f ca="1">IFERROR(__xludf.DUMMYFUNCTION("""COMPUTED_VALUE"""),"Aladdin Tower")</f>
        <v>Aladdin Tower</v>
      </c>
      <c r="C693" s="2" t="str">
        <f ca="1">IFERROR(__xludf.DUMMYFUNCTION("""COMPUTED_VALUE"""),"Building")</f>
        <v>Building</v>
      </c>
      <c r="D693" s="2" t="str">
        <f ca="1">IFERROR(__xludf.DUMMYFUNCTION("""COMPUTED_VALUE"""),"Dubai&gt;Living Legends&gt;Aladdin Tower")</f>
        <v>Dubai&gt;Living Legends&gt;Aladdin Tower</v>
      </c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6.5" x14ac:dyDescent="0.35">
      <c r="A694" s="2" t="str">
        <f ca="1">IFERROR(__xludf.DUMMYFUNCTION("""COMPUTED_VALUE"""),"Dubai")</f>
        <v>Dubai</v>
      </c>
      <c r="B694" s="2" t="str">
        <f ca="1">IFERROR(__xludf.DUMMYFUNCTION("""COMPUTED_VALUE"""),"Downtown Views II Tower 3")</f>
        <v>Downtown Views II Tower 3</v>
      </c>
      <c r="C694" s="2" t="str">
        <f ca="1">IFERROR(__xludf.DUMMYFUNCTION("""COMPUTED_VALUE"""),"Building")</f>
        <v>Building</v>
      </c>
      <c r="D694" s="2" t="str">
        <f ca="1">IFERROR(__xludf.DUMMYFUNCTION("""COMPUTED_VALUE"""),"Dubai&gt;Za'abeel&gt;Za'abeel 2&gt;Downtown Views II&gt;Downtown Views II Tower 3")</f>
        <v>Dubai&gt;Za'abeel&gt;Za'abeel 2&gt;Downtown Views II&gt;Downtown Views II Tower 3</v>
      </c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6.5" x14ac:dyDescent="0.35">
      <c r="A695" s="2" t="str">
        <f ca="1">IFERROR(__xludf.DUMMYFUNCTION("""COMPUTED_VALUE"""),"Dubai")</f>
        <v>Dubai</v>
      </c>
      <c r="B695" s="2" t="str">
        <f ca="1">IFERROR(__xludf.DUMMYFUNCTION("""COMPUTED_VALUE"""),"Samari Residences 16")</f>
        <v>Samari Residences 16</v>
      </c>
      <c r="C695" s="2" t="str">
        <f ca="1">IFERROR(__xludf.DUMMYFUNCTION("""COMPUTED_VALUE"""),"Building")</f>
        <v>Building</v>
      </c>
      <c r="D695" s="2" t="str">
        <f ca="1">IFERROR(__xludf.DUMMYFUNCTION("""COMPUTED_VALUE"""),"Dubai&gt;Ras Al Khor&gt;Ras Al Khor Industrial&gt;Ras Al Khor Industrial 3&gt;Samari Residences&gt;Samari Residences 16")</f>
        <v>Dubai&gt;Ras Al Khor&gt;Ras Al Khor Industrial&gt;Ras Al Khor Industrial 3&gt;Samari Residences&gt;Samari Residences 16</v>
      </c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6.5" x14ac:dyDescent="0.35">
      <c r="A696" s="2" t="str">
        <f ca="1">IFERROR(__xludf.DUMMYFUNCTION("""COMPUTED_VALUE"""),"Dubai")</f>
        <v>Dubai</v>
      </c>
      <c r="B696" s="2" t="str">
        <f ca="1">IFERROR(__xludf.DUMMYFUNCTION("""COMPUTED_VALUE"""),"The Galleries 4")</f>
        <v>The Galleries 4</v>
      </c>
      <c r="C696" s="2" t="str">
        <f ca="1">IFERROR(__xludf.DUMMYFUNCTION("""COMPUTED_VALUE"""),"Building")</f>
        <v>Building</v>
      </c>
      <c r="D696" s="2" t="str">
        <f ca="1">IFERROR(__xludf.DUMMYFUNCTION("""COMPUTED_VALUE"""),"Dubai&gt;Jebel Ali&gt;Downtown Jebel Ali&gt;The Galleries&gt;The Galleries 4")</f>
        <v>Dubai&gt;Jebel Ali&gt;Downtown Jebel Ali&gt;The Galleries&gt;The Galleries 4</v>
      </c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6.5" x14ac:dyDescent="0.35">
      <c r="A697" s="2" t="str">
        <f ca="1">IFERROR(__xludf.DUMMYFUNCTION("""COMPUTED_VALUE"""),"Dubai")</f>
        <v>Dubai</v>
      </c>
      <c r="B697" s="2" t="str">
        <f ca="1">IFERROR(__xludf.DUMMYFUNCTION("""COMPUTED_VALUE"""),"Jebel Ali 3")</f>
        <v>Jebel Ali 3</v>
      </c>
      <c r="C697" s="2" t="str">
        <f ca="1">IFERROR(__xludf.DUMMYFUNCTION("""COMPUTED_VALUE"""),"Neighbourhood")</f>
        <v>Neighbourhood</v>
      </c>
      <c r="D697" s="2" t="str">
        <f ca="1">IFERROR(__xludf.DUMMYFUNCTION("""COMPUTED_VALUE"""),"Dubai&gt;Jebel Ali&gt;Jebel Ali 3")</f>
        <v>Dubai&gt;Jebel Ali&gt;Jebel Ali 3</v>
      </c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6.5" x14ac:dyDescent="0.35">
      <c r="A698" s="2" t="str">
        <f ca="1">IFERROR(__xludf.DUMMYFUNCTION("""COMPUTED_VALUE"""),"Dubai")</f>
        <v>Dubai</v>
      </c>
      <c r="B698" s="2" t="str">
        <f ca="1">IFERROR(__xludf.DUMMYFUNCTION("""COMPUTED_VALUE"""),"Nad Al Hamar Avenues")</f>
        <v>Nad Al Hamar Avenues</v>
      </c>
      <c r="C698" s="2" t="str">
        <f ca="1">IFERROR(__xludf.DUMMYFUNCTION("""COMPUTED_VALUE"""),"Building")</f>
        <v>Building</v>
      </c>
      <c r="D698" s="2" t="str">
        <f ca="1">IFERROR(__xludf.DUMMYFUNCTION("""COMPUTED_VALUE"""),"Dubai&gt;Nad Al Hamar&gt;Nad Al Hamar Avenues")</f>
        <v>Dubai&gt;Nad Al Hamar&gt;Nad Al Hamar Avenues</v>
      </c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6.5" x14ac:dyDescent="0.35">
      <c r="A699" s="2" t="str">
        <f ca="1">IFERROR(__xludf.DUMMYFUNCTION("""COMPUTED_VALUE"""),"Dubai")</f>
        <v>Dubai</v>
      </c>
      <c r="B699" s="2" t="str">
        <f ca="1">IFERROR(__xludf.DUMMYFUNCTION("""COMPUTED_VALUE"""),"Al Barsha")</f>
        <v>Al Barsha</v>
      </c>
      <c r="C699" s="2" t="str">
        <f ca="1">IFERROR(__xludf.DUMMYFUNCTION("""COMPUTED_VALUE"""),"Neighbourhood")</f>
        <v>Neighbourhood</v>
      </c>
      <c r="D699" s="2" t="str">
        <f ca="1">IFERROR(__xludf.DUMMYFUNCTION("""COMPUTED_VALUE"""),"Dubai&gt;Al Barsha")</f>
        <v>Dubai&gt;Al Barsha</v>
      </c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6.5" x14ac:dyDescent="0.35">
      <c r="A700" s="2" t="str">
        <f ca="1">IFERROR(__xludf.DUMMYFUNCTION("""COMPUTED_VALUE"""),"Dubai")</f>
        <v>Dubai</v>
      </c>
      <c r="B700" s="2" t="str">
        <f ca="1">IFERROR(__xludf.DUMMYFUNCTION("""COMPUTED_VALUE"""),"Tower A")</f>
        <v>Tower A</v>
      </c>
      <c r="C700" s="2" t="str">
        <f ca="1">IFERROR(__xludf.DUMMYFUNCTION("""COMPUTED_VALUE"""),"Building")</f>
        <v>Building</v>
      </c>
      <c r="D700" s="2" t="str">
        <f ca="1">IFERROR(__xludf.DUMMYFUNCTION("""COMPUTED_VALUE"""),"Dubai&gt;Al Barsha&gt;Al Barsha 1&gt;API Trio Towers&gt;Tower A")</f>
        <v>Dubai&gt;Al Barsha&gt;Al Barsha 1&gt;API Trio Towers&gt;Tower A</v>
      </c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6.5" x14ac:dyDescent="0.35">
      <c r="A701" s="2" t="str">
        <f ca="1">IFERROR(__xludf.DUMMYFUNCTION("""COMPUTED_VALUE"""),"Dubai")</f>
        <v>Dubai</v>
      </c>
      <c r="B701" s="2" t="str">
        <f ca="1">IFERROR(__xludf.DUMMYFUNCTION("""COMPUTED_VALUE"""),"Manazil Al Barsha 03")</f>
        <v>Manazil Al Barsha 03</v>
      </c>
      <c r="C701" s="2" t="str">
        <f ca="1">IFERROR(__xludf.DUMMYFUNCTION("""COMPUTED_VALUE"""),"Building")</f>
        <v>Building</v>
      </c>
      <c r="D701" s="2" t="str">
        <f ca="1">IFERROR(__xludf.DUMMYFUNCTION("""COMPUTED_VALUE"""),"Dubai&gt;Al Barsha&gt;Al Barsha 1&gt;Manazil Al Barsha 03")</f>
        <v>Dubai&gt;Al Barsha&gt;Al Barsha 1&gt;Manazil Al Barsha 03</v>
      </c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6.5" x14ac:dyDescent="0.35">
      <c r="A702" s="2" t="str">
        <f ca="1">IFERROR(__xludf.DUMMYFUNCTION("""COMPUTED_VALUE"""),"Dubai")</f>
        <v>Dubai</v>
      </c>
      <c r="B702" s="2" t="str">
        <f ca="1">IFERROR(__xludf.DUMMYFUNCTION("""COMPUTED_VALUE"""),"Al Jaber 4 Building")</f>
        <v>Al Jaber 4 Building</v>
      </c>
      <c r="C702" s="2" t="str">
        <f ca="1">IFERROR(__xludf.DUMMYFUNCTION("""COMPUTED_VALUE"""),"Building")</f>
        <v>Building</v>
      </c>
      <c r="D702" s="2" t="str">
        <f ca="1">IFERROR(__xludf.DUMMYFUNCTION("""COMPUTED_VALUE"""),"Dubai&gt;Al Barsha&gt;Al Barsha 1&gt;Al Jaber 4 Building")</f>
        <v>Dubai&gt;Al Barsha&gt;Al Barsha 1&gt;Al Jaber 4 Building</v>
      </c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6.5" x14ac:dyDescent="0.35">
      <c r="A703" s="2" t="str">
        <f ca="1">IFERROR(__xludf.DUMMYFUNCTION("""COMPUTED_VALUE"""),"Dubai")</f>
        <v>Dubai</v>
      </c>
      <c r="B703" s="2" t="str">
        <f ca="1">IFERROR(__xludf.DUMMYFUNCTION("""COMPUTED_VALUE"""),"Darwish Building (Al Jaber Building)")</f>
        <v>Darwish Building (Al Jaber Building)</v>
      </c>
      <c r="C703" s="2" t="str">
        <f ca="1">IFERROR(__xludf.DUMMYFUNCTION("""COMPUTED_VALUE"""),"Building")</f>
        <v>Building</v>
      </c>
      <c r="D703" s="2" t="str">
        <f ca="1">IFERROR(__xludf.DUMMYFUNCTION("""COMPUTED_VALUE"""),"Dubai&gt;Al Barsha&gt;Al Barsha 1&gt;Darwish Building (Al Jaber Building)")</f>
        <v>Dubai&gt;Al Barsha&gt;Al Barsha 1&gt;Darwish Building (Al Jaber Building)</v>
      </c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6.5" x14ac:dyDescent="0.35">
      <c r="A704" s="2" t="str">
        <f ca="1">IFERROR(__xludf.DUMMYFUNCTION("""COMPUTED_VALUE"""),"Dubai")</f>
        <v>Dubai</v>
      </c>
      <c r="B704" s="2" t="str">
        <f ca="1">IFERROR(__xludf.DUMMYFUNCTION("""COMPUTED_VALUE"""),"Ghantoot Building")</f>
        <v>Ghantoot Building</v>
      </c>
      <c r="C704" s="2" t="str">
        <f ca="1">IFERROR(__xludf.DUMMYFUNCTION("""COMPUTED_VALUE"""),"Building")</f>
        <v>Building</v>
      </c>
      <c r="D704" s="2" t="str">
        <f ca="1">IFERROR(__xludf.DUMMYFUNCTION("""COMPUTED_VALUE"""),"Dubai&gt;Al Barsha&gt;Al Barsha 1&gt;Ghantoot Building")</f>
        <v>Dubai&gt;Al Barsha&gt;Al Barsha 1&gt;Ghantoot Building</v>
      </c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6.5" x14ac:dyDescent="0.35">
      <c r="A705" s="2" t="str">
        <f ca="1">IFERROR(__xludf.DUMMYFUNCTION("""COMPUTED_VALUE"""),"Dubai")</f>
        <v>Dubai</v>
      </c>
      <c r="B705" s="2" t="str">
        <f ca="1">IFERROR(__xludf.DUMMYFUNCTION("""COMPUTED_VALUE"""),"Solaire one")</f>
        <v>Solaire one</v>
      </c>
      <c r="C705" s="2" t="str">
        <f ca="1">IFERROR(__xludf.DUMMYFUNCTION("""COMPUTED_VALUE"""),"Building")</f>
        <v>Building</v>
      </c>
      <c r="D705" s="2" t="str">
        <f ca="1">IFERROR(__xludf.DUMMYFUNCTION("""COMPUTED_VALUE"""),"Dubai&gt;Al Barsha&gt;Al Barsha 1&gt;Solaire one")</f>
        <v>Dubai&gt;Al Barsha&gt;Al Barsha 1&gt;Solaire one</v>
      </c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6.5" x14ac:dyDescent="0.35">
      <c r="A706" s="2" t="str">
        <f ca="1">IFERROR(__xludf.DUMMYFUNCTION("""COMPUTED_VALUE"""),"Dubai")</f>
        <v>Dubai</v>
      </c>
      <c r="B706" s="2" t="str">
        <f ca="1">IFERROR(__xludf.DUMMYFUNCTION("""COMPUTED_VALUE"""),"Al Barsha Business Point")</f>
        <v>Al Barsha Business Point</v>
      </c>
      <c r="C706" s="2" t="str">
        <f ca="1">IFERROR(__xludf.DUMMYFUNCTION("""COMPUTED_VALUE"""),"Building")</f>
        <v>Building</v>
      </c>
      <c r="D706" s="2" t="str">
        <f ca="1">IFERROR(__xludf.DUMMYFUNCTION("""COMPUTED_VALUE"""),"Dubai&gt;Al Barsha&gt;Al Barsha 1&gt;Al Barsha Business Point")</f>
        <v>Dubai&gt;Al Barsha&gt;Al Barsha 1&gt;Al Barsha Business Point</v>
      </c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6.5" x14ac:dyDescent="0.35">
      <c r="A707" s="2" t="str">
        <f ca="1">IFERROR(__xludf.DUMMYFUNCTION("""COMPUTED_VALUE"""),"Dubai")</f>
        <v>Dubai</v>
      </c>
      <c r="B707" s="2" t="str">
        <f ca="1">IFERROR(__xludf.DUMMYFUNCTION("""COMPUTED_VALUE"""),"Matar Saif Lahej Al Hajri Building")</f>
        <v>Matar Saif Lahej Al Hajri Building</v>
      </c>
      <c r="C707" s="2" t="str">
        <f ca="1">IFERROR(__xludf.DUMMYFUNCTION("""COMPUTED_VALUE"""),"Building")</f>
        <v>Building</v>
      </c>
      <c r="D707" s="2" t="str">
        <f ca="1">IFERROR(__xludf.DUMMYFUNCTION("""COMPUTED_VALUE"""),"Dubai&gt;Al Barsha&gt;Al Barsha 1&gt;Matar Saif Lahej Al Hajri Building")</f>
        <v>Dubai&gt;Al Barsha&gt;Al Barsha 1&gt;Matar Saif Lahej Al Hajri Building</v>
      </c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6.5" x14ac:dyDescent="0.35">
      <c r="A708" s="2" t="str">
        <f ca="1">IFERROR(__xludf.DUMMYFUNCTION("""COMPUTED_VALUE"""),"Dubai")</f>
        <v>Dubai</v>
      </c>
      <c r="B708" s="2" t="str">
        <f ca="1">IFERROR(__xludf.DUMMYFUNCTION("""COMPUTED_VALUE"""),"Al Barsha First 2 Building")</f>
        <v>Al Barsha First 2 Building</v>
      </c>
      <c r="C708" s="2" t="str">
        <f ca="1">IFERROR(__xludf.DUMMYFUNCTION("""COMPUTED_VALUE"""),"Building")</f>
        <v>Building</v>
      </c>
      <c r="D708" s="2" t="str">
        <f ca="1">IFERROR(__xludf.DUMMYFUNCTION("""COMPUTED_VALUE"""),"Dubai&gt;Al Barsha&gt;Al Barsha 1&gt;Al Barsha First 2 Building")</f>
        <v>Dubai&gt;Al Barsha&gt;Al Barsha 1&gt;Al Barsha First 2 Building</v>
      </c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6.5" x14ac:dyDescent="0.35">
      <c r="A709" s="2" t="str">
        <f ca="1">IFERROR(__xludf.DUMMYFUNCTION("""COMPUTED_VALUE"""),"Dubai")</f>
        <v>Dubai</v>
      </c>
      <c r="B709" s="2" t="str">
        <f ca="1">IFERROR(__xludf.DUMMYFUNCTION("""COMPUTED_VALUE"""),"Downtown Dubai")</f>
        <v>Downtown Dubai</v>
      </c>
      <c r="C709" s="2" t="str">
        <f ca="1">IFERROR(__xludf.DUMMYFUNCTION("""COMPUTED_VALUE"""),"Neighbourhood")</f>
        <v>Neighbourhood</v>
      </c>
      <c r="D709" s="2" t="str">
        <f ca="1">IFERROR(__xludf.DUMMYFUNCTION("""COMPUTED_VALUE"""),"Dubai&gt;Downtown Dubai")</f>
        <v>Dubai&gt;Downtown Dubai</v>
      </c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6.5" x14ac:dyDescent="0.35">
      <c r="A710" s="2" t="str">
        <f ca="1">IFERROR(__xludf.DUMMYFUNCTION("""COMPUTED_VALUE"""),"Dubai")</f>
        <v>Dubai</v>
      </c>
      <c r="B710" s="2" t="str">
        <f ca="1">IFERROR(__xludf.DUMMYFUNCTION("""COMPUTED_VALUE"""),"DT1 Tower")</f>
        <v>DT1 Tower</v>
      </c>
      <c r="C710" s="2" t="str">
        <f ca="1">IFERROR(__xludf.DUMMYFUNCTION("""COMPUTED_VALUE"""),"Building")</f>
        <v>Building</v>
      </c>
      <c r="D710" s="2" t="str">
        <f ca="1">IFERROR(__xludf.DUMMYFUNCTION("""COMPUTED_VALUE"""),"Dubai&gt;Downtown Dubai&gt;DT1 Tower")</f>
        <v>Dubai&gt;Downtown Dubai&gt;DT1 Tower</v>
      </c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6.5" x14ac:dyDescent="0.35">
      <c r="A711" s="2" t="str">
        <f ca="1">IFERROR(__xludf.DUMMYFUNCTION("""COMPUTED_VALUE"""),"Dubai")</f>
        <v>Dubai</v>
      </c>
      <c r="B711" s="2" t="str">
        <f ca="1">IFERROR(__xludf.DUMMYFUNCTION("""COMPUTED_VALUE"""),"The Lofts East")</f>
        <v>The Lofts East</v>
      </c>
      <c r="C711" s="2" t="str">
        <f ca="1">IFERROR(__xludf.DUMMYFUNCTION("""COMPUTED_VALUE"""),"Building")</f>
        <v>Building</v>
      </c>
      <c r="D711" s="2" t="str">
        <f ca="1">IFERROR(__xludf.DUMMYFUNCTION("""COMPUTED_VALUE"""),"Dubai&gt;Downtown Dubai&gt;The Lofts&gt;The Lofts East")</f>
        <v>Dubai&gt;Downtown Dubai&gt;The Lofts&gt;The Lofts East</v>
      </c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6.5" x14ac:dyDescent="0.35">
      <c r="A712" s="2" t="str">
        <f ca="1">IFERROR(__xludf.DUMMYFUNCTION("""COMPUTED_VALUE"""),"Dubai")</f>
        <v>Dubai</v>
      </c>
      <c r="B712" s="2" t="str">
        <f ca="1">IFERROR(__xludf.DUMMYFUNCTION("""COMPUTED_VALUE"""),"Opera Grand")</f>
        <v>Opera Grand</v>
      </c>
      <c r="C712" s="2" t="str">
        <f ca="1">IFERROR(__xludf.DUMMYFUNCTION("""COMPUTED_VALUE"""),"Building")</f>
        <v>Building</v>
      </c>
      <c r="D712" s="2" t="str">
        <f ca="1">IFERROR(__xludf.DUMMYFUNCTION("""COMPUTED_VALUE"""),"Dubai&gt;Downtown Dubai&gt;Opera Grand")</f>
        <v>Dubai&gt;Downtown Dubai&gt;Opera Grand</v>
      </c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6.5" x14ac:dyDescent="0.35">
      <c r="A713" s="2" t="str">
        <f ca="1">IFERROR(__xludf.DUMMYFUNCTION("""COMPUTED_VALUE"""),"Dubai")</f>
        <v>Dubai</v>
      </c>
      <c r="B713" s="2" t="str">
        <f ca="1">IFERROR(__xludf.DUMMYFUNCTION("""COMPUTED_VALUE"""),"Kamoon 4")</f>
        <v>Kamoon 4</v>
      </c>
      <c r="C713" s="2" t="str">
        <f ca="1">IFERROR(__xludf.DUMMYFUNCTION("""COMPUTED_VALUE"""),"Building")</f>
        <v>Building</v>
      </c>
      <c r="D713" s="2" t="str">
        <f ca="1">IFERROR(__xludf.DUMMYFUNCTION("""COMPUTED_VALUE"""),"Dubai&gt;Downtown Dubai&gt;Old Town&gt;Kamoon&gt;Kamoon 4")</f>
        <v>Dubai&gt;Downtown Dubai&gt;Old Town&gt;Kamoon&gt;Kamoon 4</v>
      </c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6.5" x14ac:dyDescent="0.35">
      <c r="A714" s="2" t="str">
        <f ca="1">IFERROR(__xludf.DUMMYFUNCTION("""COMPUTED_VALUE"""),"Dubai")</f>
        <v>Dubai</v>
      </c>
      <c r="B714" s="2" t="str">
        <f ca="1">IFERROR(__xludf.DUMMYFUNCTION("""COMPUTED_VALUE"""),"The Palace Downtown Dubai")</f>
        <v>The Palace Downtown Dubai</v>
      </c>
      <c r="C714" s="2" t="str">
        <f ca="1">IFERROR(__xludf.DUMMYFUNCTION("""COMPUTED_VALUE"""),"Building")</f>
        <v>Building</v>
      </c>
      <c r="D714" s="2" t="str">
        <f ca="1">IFERROR(__xludf.DUMMYFUNCTION("""COMPUTED_VALUE"""),"Dubai&gt;Downtown Dubai&gt;The Palace Downtown Dubai")</f>
        <v>Dubai&gt;Downtown Dubai&gt;The Palace Downtown Dubai</v>
      </c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6.5" x14ac:dyDescent="0.35">
      <c r="A715" s="2" t="str">
        <f ca="1">IFERROR(__xludf.DUMMYFUNCTION("""COMPUTED_VALUE"""),"Dubai")</f>
        <v>Dubai</v>
      </c>
      <c r="B715" s="2" t="str">
        <f ca="1">IFERROR(__xludf.DUMMYFUNCTION("""COMPUTED_VALUE"""),"Fairmont Residences Solara Tower")</f>
        <v>Fairmont Residences Solara Tower</v>
      </c>
      <c r="C715" s="2" t="str">
        <f ca="1">IFERROR(__xludf.DUMMYFUNCTION("""COMPUTED_VALUE"""),"Building")</f>
        <v>Building</v>
      </c>
      <c r="D715" s="2" t="str">
        <f ca="1">IFERROR(__xludf.DUMMYFUNCTION("""COMPUTED_VALUE"""),"Dubai&gt;Downtown Dubai&gt;Fairmont Residences Solara Tower")</f>
        <v>Dubai&gt;Downtown Dubai&gt;Fairmont Residences Solara Tower</v>
      </c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6.5" x14ac:dyDescent="0.35">
      <c r="A716" s="2" t="str">
        <f ca="1">IFERROR(__xludf.DUMMYFUNCTION("""COMPUTED_VALUE"""),"Dubai")</f>
        <v>Dubai</v>
      </c>
      <c r="B716" s="2" t="str">
        <f ca="1">IFERROR(__xludf.DUMMYFUNCTION("""COMPUTED_VALUE"""),"Al Yarmouk")</f>
        <v>Al Yarmouk</v>
      </c>
      <c r="C716" s="2" t="str">
        <f ca="1">IFERROR(__xludf.DUMMYFUNCTION("""COMPUTED_VALUE"""),"Building")</f>
        <v>Building</v>
      </c>
      <c r="D716" s="2" t="str">
        <f ca="1">IFERROR(__xludf.DUMMYFUNCTION("""COMPUTED_VALUE"""),"Dubai&gt;Liwan&gt;Queue Point&gt;Al Yarmouk")</f>
        <v>Dubai&gt;Liwan&gt;Queue Point&gt;Al Yarmouk</v>
      </c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6.5" x14ac:dyDescent="0.35">
      <c r="A717" s="2" t="str">
        <f ca="1">IFERROR(__xludf.DUMMYFUNCTION("""COMPUTED_VALUE"""),"Dubai")</f>
        <v>Dubai</v>
      </c>
      <c r="B717" s="2" t="str">
        <f ca="1">IFERROR(__xludf.DUMMYFUNCTION("""COMPUTED_VALUE"""),"National Bonds Jewels")</f>
        <v>National Bonds Jewels</v>
      </c>
      <c r="C717" s="2" t="str">
        <f ca="1">IFERROR(__xludf.DUMMYFUNCTION("""COMPUTED_VALUE"""),"Building")</f>
        <v>Building</v>
      </c>
      <c r="D717" s="2" t="str">
        <f ca="1">IFERROR(__xludf.DUMMYFUNCTION("""COMPUTED_VALUE"""),"Dubai&gt;Liwan&gt;Queue Point&gt;National Bonds Jewels")</f>
        <v>Dubai&gt;Liwan&gt;Queue Point&gt;National Bonds Jewels</v>
      </c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6.5" x14ac:dyDescent="0.35">
      <c r="A718" s="2" t="str">
        <f ca="1">IFERROR(__xludf.DUMMYFUNCTION("""COMPUTED_VALUE"""),"Dubai")</f>
        <v>Dubai</v>
      </c>
      <c r="B718" s="2" t="str">
        <f ca="1">IFERROR(__xludf.DUMMYFUNCTION("""COMPUTED_VALUE"""),"Al Khawaneej")</f>
        <v>Al Khawaneej</v>
      </c>
      <c r="C718" s="2" t="str">
        <f ca="1">IFERROR(__xludf.DUMMYFUNCTION("""COMPUTED_VALUE"""),"Neighbourhood")</f>
        <v>Neighbourhood</v>
      </c>
      <c r="D718" s="2" t="str">
        <f ca="1">IFERROR(__xludf.DUMMYFUNCTION("""COMPUTED_VALUE"""),"Dubai&gt;Al Khawaneej")</f>
        <v>Dubai&gt;Al Khawaneej</v>
      </c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6.5" x14ac:dyDescent="0.35">
      <c r="A719" s="2" t="str">
        <f ca="1">IFERROR(__xludf.DUMMYFUNCTION("""COMPUTED_VALUE"""),"Dubai")</f>
        <v>Dubai</v>
      </c>
      <c r="B719" s="2" t="str">
        <f ca="1">IFERROR(__xludf.DUMMYFUNCTION("""COMPUTED_VALUE"""),"Index Tower")</f>
        <v>Index Tower</v>
      </c>
      <c r="C719" s="2" t="str">
        <f ca="1">IFERROR(__xludf.DUMMYFUNCTION("""COMPUTED_VALUE"""),"Building")</f>
        <v>Building</v>
      </c>
      <c r="D719" s="2" t="str">
        <f ca="1">IFERROR(__xludf.DUMMYFUNCTION("""COMPUTED_VALUE"""),"Dubai&gt;DIFC&gt;Index Tower")</f>
        <v>Dubai&gt;DIFC&gt;Index Tower</v>
      </c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6.5" x14ac:dyDescent="0.35">
      <c r="A720" s="2" t="str">
        <f ca="1">IFERROR(__xludf.DUMMYFUNCTION("""COMPUTED_VALUE"""),"Dubai")</f>
        <v>Dubai</v>
      </c>
      <c r="B720" s="2" t="str">
        <f ca="1">IFERROR(__xludf.DUMMYFUNCTION("""COMPUTED_VALUE"""),"DIFC Living")</f>
        <v>DIFC Living</v>
      </c>
      <c r="C720" s="2" t="str">
        <f ca="1">IFERROR(__xludf.DUMMYFUNCTION("""COMPUTED_VALUE"""),"Building")</f>
        <v>Building</v>
      </c>
      <c r="D720" s="2" t="str">
        <f ca="1">IFERROR(__xludf.DUMMYFUNCTION("""COMPUTED_VALUE"""),"Dubai&gt;DIFC&gt;DIFC Living")</f>
        <v>Dubai&gt;DIFC&gt;DIFC Living</v>
      </c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6.5" x14ac:dyDescent="0.35">
      <c r="A721" s="2" t="str">
        <f ca="1">IFERROR(__xludf.DUMMYFUNCTION("""COMPUTED_VALUE"""),"Dubai")</f>
        <v>Dubai</v>
      </c>
      <c r="B721" s="2" t="str">
        <f ca="1">IFERROR(__xludf.DUMMYFUNCTION("""COMPUTED_VALUE"""),"Al Warqaa 5")</f>
        <v>Al Warqaa 5</v>
      </c>
      <c r="C721" s="2" t="str">
        <f ca="1">IFERROR(__xludf.DUMMYFUNCTION("""COMPUTED_VALUE"""),"Neighbourhood")</f>
        <v>Neighbourhood</v>
      </c>
      <c r="D721" s="2" t="str">
        <f ca="1">IFERROR(__xludf.DUMMYFUNCTION("""COMPUTED_VALUE"""),"Dubai&gt;Al Warqaa&gt;Al Warqaa 5")</f>
        <v>Dubai&gt;Al Warqaa&gt;Al Warqaa 5</v>
      </c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6.5" x14ac:dyDescent="0.35">
      <c r="A722" s="2" t="str">
        <f ca="1">IFERROR(__xludf.DUMMYFUNCTION("""COMPUTED_VALUE"""),"Dubai")</f>
        <v>Dubai</v>
      </c>
      <c r="B722" s="2" t="str">
        <f ca="1">IFERROR(__xludf.DUMMYFUNCTION("""COMPUTED_VALUE"""),"Al Marri Residences")</f>
        <v>Al Marri Residences</v>
      </c>
      <c r="C722" s="2" t="str">
        <f ca="1">IFERROR(__xludf.DUMMYFUNCTION("""COMPUTED_VALUE"""),"Building")</f>
        <v>Building</v>
      </c>
      <c r="D722" s="2" t="str">
        <f ca="1">IFERROR(__xludf.DUMMYFUNCTION("""COMPUTED_VALUE"""),"Dubai&gt;Al Warqaa&gt;Al Warqaa 1&gt;Al Marri Residences")</f>
        <v>Dubai&gt;Al Warqaa&gt;Al Warqaa 1&gt;Al Marri Residences</v>
      </c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6.5" x14ac:dyDescent="0.35">
      <c r="A723" s="2" t="str">
        <f ca="1">IFERROR(__xludf.DUMMYFUNCTION("""COMPUTED_VALUE"""),"Dubai")</f>
        <v>Dubai</v>
      </c>
      <c r="B723" s="2" t="str">
        <f ca="1">IFERROR(__xludf.DUMMYFUNCTION("""COMPUTED_VALUE"""),"Solaire 11")</f>
        <v>Solaire 11</v>
      </c>
      <c r="C723" s="2" t="str">
        <f ca="1">IFERROR(__xludf.DUMMYFUNCTION("""COMPUTED_VALUE"""),"Building")</f>
        <v>Building</v>
      </c>
      <c r="D723" s="2" t="str">
        <f ca="1">IFERROR(__xludf.DUMMYFUNCTION("""COMPUTED_VALUE"""),"Dubai&gt;Al Warqaa&gt;Al Warqaa 1&gt;Solaire 11")</f>
        <v>Dubai&gt;Al Warqaa&gt;Al Warqaa 1&gt;Solaire 11</v>
      </c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6.5" x14ac:dyDescent="0.35">
      <c r="A724" s="2" t="str">
        <f ca="1">IFERROR(__xludf.DUMMYFUNCTION("""COMPUTED_VALUE"""),"Dubai")</f>
        <v>Dubai</v>
      </c>
      <c r="B724" s="2" t="str">
        <f ca="1">IFERROR(__xludf.DUMMYFUNCTION("""COMPUTED_VALUE"""),"Gargash Building")</f>
        <v>Gargash Building</v>
      </c>
      <c r="C724" s="2" t="str">
        <f ca="1">IFERROR(__xludf.DUMMYFUNCTION("""COMPUTED_VALUE"""),"Building")</f>
        <v>Building</v>
      </c>
      <c r="D724" s="2" t="str">
        <f ca="1">IFERROR(__xludf.DUMMYFUNCTION("""COMPUTED_VALUE"""),"Dubai&gt;Al Warqaa&gt;Al Warqaa 1&gt;Gargash Building")</f>
        <v>Dubai&gt;Al Warqaa&gt;Al Warqaa 1&gt;Gargash Building</v>
      </c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6.5" x14ac:dyDescent="0.35">
      <c r="A725" s="2" t="str">
        <f ca="1">IFERROR(__xludf.DUMMYFUNCTION("""COMPUTED_VALUE"""),"Dubai")</f>
        <v>Dubai</v>
      </c>
      <c r="B725" s="2" t="str">
        <f ca="1">IFERROR(__xludf.DUMMYFUNCTION("""COMPUTED_VALUE"""),"Fancy Rose")</f>
        <v>Fancy Rose</v>
      </c>
      <c r="C725" s="2" t="str">
        <f ca="1">IFERROR(__xludf.DUMMYFUNCTION("""COMPUTED_VALUE"""),"Cluster")</f>
        <v>Cluster</v>
      </c>
      <c r="D725" s="2" t="str">
        <f ca="1">IFERROR(__xludf.DUMMYFUNCTION("""COMPUTED_VALUE"""),"Dubai&gt;Jumeirah Lake Towers (JLT)&gt;Fancy Rose")</f>
        <v>Dubai&gt;Jumeirah Lake Towers (JLT)&gt;Fancy Rose</v>
      </c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6.5" x14ac:dyDescent="0.35">
      <c r="A726" s="2" t="str">
        <f ca="1">IFERROR(__xludf.DUMMYFUNCTION("""COMPUTED_VALUE"""),"Dubai")</f>
        <v>Dubai</v>
      </c>
      <c r="B726" s="2" t="str">
        <f ca="1">IFERROR(__xludf.DUMMYFUNCTION("""COMPUTED_VALUE"""),"JLT Cluster F")</f>
        <v>JLT Cluster F</v>
      </c>
      <c r="C726" s="2" t="str">
        <f ca="1">IFERROR(__xludf.DUMMYFUNCTION("""COMPUTED_VALUE"""),"Cluster")</f>
        <v>Cluster</v>
      </c>
      <c r="D726" s="2" t="str">
        <f ca="1">IFERROR(__xludf.DUMMYFUNCTION("""COMPUTED_VALUE"""),"Dubai&gt;Jumeirah Lake Towers (JLT)&gt;JLT Cluster F")</f>
        <v>Dubai&gt;Jumeirah Lake Towers (JLT)&gt;JLT Cluster F</v>
      </c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6.5" x14ac:dyDescent="0.35">
      <c r="A727" s="2" t="str">
        <f ca="1">IFERROR(__xludf.DUMMYFUNCTION("""COMPUTED_VALUE"""),"Dubai")</f>
        <v>Dubai</v>
      </c>
      <c r="B727" s="2" t="str">
        <f ca="1">IFERROR(__xludf.DUMMYFUNCTION("""COMPUTED_VALUE"""),"JLT Cluster N")</f>
        <v>JLT Cluster N</v>
      </c>
      <c r="C727" s="2" t="str">
        <f ca="1">IFERROR(__xludf.DUMMYFUNCTION("""COMPUTED_VALUE"""),"Cluster")</f>
        <v>Cluster</v>
      </c>
      <c r="D727" s="2" t="str">
        <f ca="1">IFERROR(__xludf.DUMMYFUNCTION("""COMPUTED_VALUE"""),"Dubai&gt;Jumeirah Lake Towers (JLT)&gt;JLT Cluster N")</f>
        <v>Dubai&gt;Jumeirah Lake Towers (JLT)&gt;JLT Cluster N</v>
      </c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6.5" x14ac:dyDescent="0.35">
      <c r="A728" s="2" t="str">
        <f ca="1">IFERROR(__xludf.DUMMYFUNCTION("""COMPUTED_VALUE"""),"Dubai")</f>
        <v>Dubai</v>
      </c>
      <c r="B728" s="2" t="str">
        <f ca="1">IFERROR(__xludf.DUMMYFUNCTION("""COMPUTED_VALUE"""),"Al Seef Tower 3")</f>
        <v>Al Seef Tower 3</v>
      </c>
      <c r="C728" s="2" t="str">
        <f ca="1">IFERROR(__xludf.DUMMYFUNCTION("""COMPUTED_VALUE"""),"Building")</f>
        <v>Building</v>
      </c>
      <c r="D728" s="2" t="str">
        <f ca="1">IFERROR(__xludf.DUMMYFUNCTION("""COMPUTED_VALUE"""),"Dubai&gt;Jumeirah Lake Towers (JLT)&gt;JLT Cluster U&gt;Al Seef Tower 3")</f>
        <v>Dubai&gt;Jumeirah Lake Towers (JLT)&gt;JLT Cluster U&gt;Al Seef Tower 3</v>
      </c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6.5" x14ac:dyDescent="0.35">
      <c r="A729" s="2" t="str">
        <f ca="1">IFERROR(__xludf.DUMMYFUNCTION("""COMPUTED_VALUE"""),"Dubai")</f>
        <v>Dubai</v>
      </c>
      <c r="B729" s="2" t="str">
        <f ca="1">IFERROR(__xludf.DUMMYFUNCTION("""COMPUTED_VALUE"""),"Wind Towers")</f>
        <v>Wind Towers</v>
      </c>
      <c r="C729" s="2" t="str">
        <f ca="1">IFERROR(__xludf.DUMMYFUNCTION("""COMPUTED_VALUE"""),"Cluster")</f>
        <v>Cluster</v>
      </c>
      <c r="D729" s="2" t="str">
        <f ca="1">IFERROR(__xludf.DUMMYFUNCTION("""COMPUTED_VALUE"""),"Dubai&gt;Jumeirah Lake Towers (JLT)&gt;Wind Towers")</f>
        <v>Dubai&gt;Jumeirah Lake Towers (JLT)&gt;Wind Towers</v>
      </c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6.5" x14ac:dyDescent="0.35">
      <c r="A730" s="2" t="str">
        <f ca="1">IFERROR(__xludf.DUMMYFUNCTION("""COMPUTED_VALUE"""),"Dubai")</f>
        <v>Dubai</v>
      </c>
      <c r="B730" s="2" t="str">
        <f ca="1">IFERROR(__xludf.DUMMYFUNCTION("""COMPUTED_VALUE"""),"Mudon Al Ranim 7")</f>
        <v>Mudon Al Ranim 7</v>
      </c>
      <c r="C730" s="2" t="str">
        <f ca="1">IFERROR(__xludf.DUMMYFUNCTION("""COMPUTED_VALUE"""),"Neighbourhood")</f>
        <v>Neighbourhood</v>
      </c>
      <c r="D730" s="2" t="str">
        <f ca="1">IFERROR(__xludf.DUMMYFUNCTION("""COMPUTED_VALUE"""),"Dubai&gt;Mudon&gt;Mudon Al Ranim&gt;Mudon Al Ranim 7")</f>
        <v>Dubai&gt;Mudon&gt;Mudon Al Ranim&gt;Mudon Al Ranim 7</v>
      </c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6.5" x14ac:dyDescent="0.35">
      <c r="A731" s="2" t="str">
        <f ca="1">IFERROR(__xludf.DUMMYFUNCTION("""COMPUTED_VALUE"""),"Dubai")</f>
        <v>Dubai</v>
      </c>
      <c r="B731" s="2" t="str">
        <f ca="1">IFERROR(__xludf.DUMMYFUNCTION("""COMPUTED_VALUE"""),"Al Fattan Downtown Tower 3")</f>
        <v>Al Fattan Downtown Tower 3</v>
      </c>
      <c r="C731" s="2" t="str">
        <f ca="1">IFERROR(__xludf.DUMMYFUNCTION("""COMPUTED_VALUE"""),"Building")</f>
        <v>Building</v>
      </c>
      <c r="D731" s="2" t="str">
        <f ca="1">IFERROR(__xludf.DUMMYFUNCTION("""COMPUTED_VALUE"""),"Dubai&gt;Al Satwa&gt;Al Fattan Downtown Towers&gt;Al Fattan Downtown Tower 3")</f>
        <v>Dubai&gt;Al Satwa&gt;Al Fattan Downtown Towers&gt;Al Fattan Downtown Tower 3</v>
      </c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6.5" x14ac:dyDescent="0.35">
      <c r="A732" s="2" t="str">
        <f ca="1">IFERROR(__xludf.DUMMYFUNCTION("""COMPUTED_VALUE"""),"Dubai")</f>
        <v>Dubai</v>
      </c>
      <c r="B732" s="2" t="str">
        <f ca="1">IFERROR(__xludf.DUMMYFUNCTION("""COMPUTED_VALUE"""),"Hyde Walk Residence")</f>
        <v>Hyde Walk Residence</v>
      </c>
      <c r="C732" s="2" t="str">
        <f ca="1">IFERROR(__xludf.DUMMYFUNCTION("""COMPUTED_VALUE"""),"Building")</f>
        <v>Building</v>
      </c>
      <c r="D732" s="2" t="str">
        <f ca="1">IFERROR(__xludf.DUMMYFUNCTION("""COMPUTED_VALUE"""),"Dubai&gt;Al Satwa&gt;Jumeirah Garden City&gt;Hyde Walk Residence")</f>
        <v>Dubai&gt;Al Satwa&gt;Jumeirah Garden City&gt;Hyde Walk Residence</v>
      </c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6.5" x14ac:dyDescent="0.35">
      <c r="A733" s="2" t="str">
        <f ca="1">IFERROR(__xludf.DUMMYFUNCTION("""COMPUTED_VALUE"""),"Dubai")</f>
        <v>Dubai</v>
      </c>
      <c r="B733" s="2" t="str">
        <f ca="1">IFERROR(__xludf.DUMMYFUNCTION("""COMPUTED_VALUE"""),"Bait Al Khair Building")</f>
        <v>Bait Al Khair Building</v>
      </c>
      <c r="C733" s="2" t="str">
        <f ca="1">IFERROR(__xludf.DUMMYFUNCTION("""COMPUTED_VALUE"""),"Building")</f>
        <v>Building</v>
      </c>
      <c r="D733" s="2" t="str">
        <f ca="1">IFERROR(__xludf.DUMMYFUNCTION("""COMPUTED_VALUE"""),"Dubai&gt;Al Satwa&gt;Jumeirah Garden City&gt;Bait Al Khair Building")</f>
        <v>Dubai&gt;Al Satwa&gt;Jumeirah Garden City&gt;Bait Al Khair Building</v>
      </c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6.5" x14ac:dyDescent="0.35">
      <c r="A734" s="2" t="str">
        <f ca="1">IFERROR(__xludf.DUMMYFUNCTION("""COMPUTED_VALUE"""),"Dubai")</f>
        <v>Dubai</v>
      </c>
      <c r="B734" s="2" t="str">
        <f ca="1">IFERROR(__xludf.DUMMYFUNCTION("""COMPUTED_VALUE"""),"Al Khair 3 Building")</f>
        <v>Al Khair 3 Building</v>
      </c>
      <c r="C734" s="2" t="str">
        <f ca="1">IFERROR(__xludf.DUMMYFUNCTION("""COMPUTED_VALUE"""),"Building")</f>
        <v>Building</v>
      </c>
      <c r="D734" s="2" t="str">
        <f ca="1">IFERROR(__xludf.DUMMYFUNCTION("""COMPUTED_VALUE"""),"Dubai&gt;Al Satwa&gt;Jumeirah Garden City&gt;Al Khair 3 Building")</f>
        <v>Dubai&gt;Al Satwa&gt;Jumeirah Garden City&gt;Al Khair 3 Building</v>
      </c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6.5" x14ac:dyDescent="0.35">
      <c r="A735" s="2" t="str">
        <f ca="1">IFERROR(__xludf.DUMMYFUNCTION("""COMPUTED_VALUE"""),"Dubai")</f>
        <v>Dubai</v>
      </c>
      <c r="B735" s="2" t="str">
        <f ca="1">IFERROR(__xludf.DUMMYFUNCTION("""COMPUTED_VALUE"""),"Al Mizhar 2")</f>
        <v>Al Mizhar 2</v>
      </c>
      <c r="C735" s="2" t="str">
        <f ca="1">IFERROR(__xludf.DUMMYFUNCTION("""COMPUTED_VALUE"""),"Neighbourhood")</f>
        <v>Neighbourhood</v>
      </c>
      <c r="D735" s="2" t="str">
        <f ca="1">IFERROR(__xludf.DUMMYFUNCTION("""COMPUTED_VALUE"""),"Dubai&gt;Al Mizhar&gt;Al Mizhar 2")</f>
        <v>Dubai&gt;Al Mizhar&gt;Al Mizhar 2</v>
      </c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6.5" x14ac:dyDescent="0.35">
      <c r="A736" s="2" t="str">
        <f ca="1">IFERROR(__xludf.DUMMYFUNCTION("""COMPUTED_VALUE"""),"Dubai")</f>
        <v>Dubai</v>
      </c>
      <c r="B736" s="2" t="str">
        <f ca="1">IFERROR(__xludf.DUMMYFUNCTION("""COMPUTED_VALUE"""),"Building 120")</f>
        <v>Building 120</v>
      </c>
      <c r="C736" s="2" t="str">
        <f ca="1">IFERROR(__xludf.DUMMYFUNCTION("""COMPUTED_VALUE"""),"Building")</f>
        <v>Building</v>
      </c>
      <c r="D736" s="2" t="str">
        <f ca="1">IFERROR(__xludf.DUMMYFUNCTION("""COMPUTED_VALUE"""),"Dubai&gt;Discovery Gardens&gt;Contemporary&gt;Building 120")</f>
        <v>Dubai&gt;Discovery Gardens&gt;Contemporary&gt;Building 120</v>
      </c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6.5" x14ac:dyDescent="0.35">
      <c r="A737" s="2" t="str">
        <f ca="1">IFERROR(__xludf.DUMMYFUNCTION("""COMPUTED_VALUE"""),"Dubai")</f>
        <v>Dubai</v>
      </c>
      <c r="B737" s="2" t="str">
        <f ca="1">IFERROR(__xludf.DUMMYFUNCTION("""COMPUTED_VALUE"""),"Building 244")</f>
        <v>Building 244</v>
      </c>
      <c r="C737" s="2" t="str">
        <f ca="1">IFERROR(__xludf.DUMMYFUNCTION("""COMPUTED_VALUE"""),"Building")</f>
        <v>Building</v>
      </c>
      <c r="D737" s="2" t="str">
        <f ca="1">IFERROR(__xludf.DUMMYFUNCTION("""COMPUTED_VALUE"""),"Dubai&gt;Discovery Gardens&gt;Mesoamerican&gt;Building 244")</f>
        <v>Dubai&gt;Discovery Gardens&gt;Mesoamerican&gt;Building 244</v>
      </c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6.5" x14ac:dyDescent="0.35">
      <c r="A738" s="2" t="str">
        <f ca="1">IFERROR(__xludf.DUMMYFUNCTION("""COMPUTED_VALUE"""),"Dubai")</f>
        <v>Dubai</v>
      </c>
      <c r="B738" s="2" t="str">
        <f ca="1">IFERROR(__xludf.DUMMYFUNCTION("""COMPUTED_VALUE"""),"Building 226")</f>
        <v>Building 226</v>
      </c>
      <c r="C738" s="2" t="str">
        <f ca="1">IFERROR(__xludf.DUMMYFUNCTION("""COMPUTED_VALUE"""),"Building")</f>
        <v>Building</v>
      </c>
      <c r="D738" s="2" t="str">
        <f ca="1">IFERROR(__xludf.DUMMYFUNCTION("""COMPUTED_VALUE"""),"Dubai&gt;Discovery Gardens&gt;Mogul&gt;Building 226")</f>
        <v>Dubai&gt;Discovery Gardens&gt;Mogul&gt;Building 226</v>
      </c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6.5" x14ac:dyDescent="0.35">
      <c r="A739" s="2" t="str">
        <f ca="1">IFERROR(__xludf.DUMMYFUNCTION("""COMPUTED_VALUE"""),"Dubai")</f>
        <v>Dubai</v>
      </c>
      <c r="B739" s="2" t="str">
        <f ca="1">IFERROR(__xludf.DUMMYFUNCTION("""COMPUTED_VALUE"""),"Building 5")</f>
        <v>Building 5</v>
      </c>
      <c r="C739" s="2" t="str">
        <f ca="1">IFERROR(__xludf.DUMMYFUNCTION("""COMPUTED_VALUE"""),"Building")</f>
        <v>Building</v>
      </c>
      <c r="D739" s="2" t="str">
        <f ca="1">IFERROR(__xludf.DUMMYFUNCTION("""COMPUTED_VALUE"""),"Dubai&gt;Discovery Gardens&gt;Zen Cluster&gt;Building 5")</f>
        <v>Dubai&gt;Discovery Gardens&gt;Zen Cluster&gt;Building 5</v>
      </c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6.5" x14ac:dyDescent="0.35">
      <c r="A740" s="2" t="str">
        <f ca="1">IFERROR(__xludf.DUMMYFUNCTION("""COMPUTED_VALUE"""),"Dubai")</f>
        <v>Dubai</v>
      </c>
      <c r="B740" s="2" t="str">
        <f ca="1">IFERROR(__xludf.DUMMYFUNCTION("""COMPUTED_VALUE"""),"Building 86")</f>
        <v>Building 86</v>
      </c>
      <c r="C740" s="2" t="str">
        <f ca="1">IFERROR(__xludf.DUMMYFUNCTION("""COMPUTED_VALUE"""),"Building")</f>
        <v>Building</v>
      </c>
      <c r="D740" s="2" t="str">
        <f ca="1">IFERROR(__xludf.DUMMYFUNCTION("""COMPUTED_VALUE"""),"Dubai&gt;Discovery Gardens&gt;Mediterranean&gt;Building 86")</f>
        <v>Dubai&gt;Discovery Gardens&gt;Mediterranean&gt;Building 86</v>
      </c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6.5" x14ac:dyDescent="0.35">
      <c r="A741" s="2" t="str">
        <f ca="1">IFERROR(__xludf.DUMMYFUNCTION("""COMPUTED_VALUE"""),"Dubai")</f>
        <v>Dubai</v>
      </c>
      <c r="B741" s="2" t="str">
        <f ca="1">IFERROR(__xludf.DUMMYFUNCTION("""COMPUTED_VALUE"""),"Building 48")</f>
        <v>Building 48</v>
      </c>
      <c r="C741" s="2" t="str">
        <f ca="1">IFERROR(__xludf.DUMMYFUNCTION("""COMPUTED_VALUE"""),"Building")</f>
        <v>Building</v>
      </c>
      <c r="D741" s="2" t="str">
        <f ca="1">IFERROR(__xludf.DUMMYFUNCTION("""COMPUTED_VALUE"""),"Dubai&gt;Discovery Gardens&gt;Mediterranean&gt;Building 48")</f>
        <v>Dubai&gt;Discovery Gardens&gt;Mediterranean&gt;Building 48</v>
      </c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6.5" x14ac:dyDescent="0.35">
      <c r="A742" s="2" t="str">
        <f ca="1">IFERROR(__xludf.DUMMYFUNCTION("""COMPUTED_VALUE"""),"Dubai")</f>
        <v>Dubai</v>
      </c>
      <c r="B742" s="2" t="str">
        <f ca="1">IFERROR(__xludf.DUMMYFUNCTION("""COMPUTED_VALUE"""),"Building 99")</f>
        <v>Building 99</v>
      </c>
      <c r="C742" s="2" t="str">
        <f ca="1">IFERROR(__xludf.DUMMYFUNCTION("""COMPUTED_VALUE"""),"Building")</f>
        <v>Building</v>
      </c>
      <c r="D742" s="2" t="str">
        <f ca="1">IFERROR(__xludf.DUMMYFUNCTION("""COMPUTED_VALUE"""),"Dubai&gt;Discovery Gardens&gt;Mediterranean&gt;Building 99")</f>
        <v>Dubai&gt;Discovery Gardens&gt;Mediterranean&gt;Building 99</v>
      </c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6.5" x14ac:dyDescent="0.35">
      <c r="A743" s="2" t="str">
        <f ca="1">IFERROR(__xludf.DUMMYFUNCTION("""COMPUTED_VALUE"""),"Dubai")</f>
        <v>Dubai</v>
      </c>
      <c r="B743" s="2" t="str">
        <f ca="1">IFERROR(__xludf.DUMMYFUNCTION("""COMPUTED_VALUE"""),"Al Basri")</f>
        <v>Al Basri</v>
      </c>
      <c r="C743" s="2" t="str">
        <f ca="1">IFERROR(__xludf.DUMMYFUNCTION("""COMPUTED_VALUE"""),"Building")</f>
        <v>Building</v>
      </c>
      <c r="D743" s="2" t="str">
        <f ca="1">IFERROR(__xludf.DUMMYFUNCTION("""COMPUTED_VALUE"""),"Dubai&gt;Palm Jumeirah&gt;Shoreline Apartments&gt;Al Basri")</f>
        <v>Dubai&gt;Palm Jumeirah&gt;Shoreline Apartments&gt;Al Basri</v>
      </c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6.5" x14ac:dyDescent="0.35">
      <c r="A744" s="2" t="str">
        <f ca="1">IFERROR(__xludf.DUMMYFUNCTION("""COMPUTED_VALUE"""),"Dubai")</f>
        <v>Dubai</v>
      </c>
      <c r="B744" s="2" t="str">
        <f ca="1">IFERROR(__xludf.DUMMYFUNCTION("""COMPUTED_VALUE"""),"Sapphire")</f>
        <v>Sapphire</v>
      </c>
      <c r="C744" s="2" t="str">
        <f ca="1">IFERROR(__xludf.DUMMYFUNCTION("""COMPUTED_VALUE"""),"Building")</f>
        <v>Building</v>
      </c>
      <c r="D744" s="2" t="str">
        <f ca="1">IFERROR(__xludf.DUMMYFUNCTION("""COMPUTED_VALUE"""),"Dubai&gt;Palm Jumeirah&gt;Tiara Residences&gt;Sapphire")</f>
        <v>Dubai&gt;Palm Jumeirah&gt;Tiara Residences&gt;Sapphire</v>
      </c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6.5" x14ac:dyDescent="0.35">
      <c r="A745" s="2" t="str">
        <f ca="1">IFERROR(__xludf.DUMMYFUNCTION("""COMPUTED_VALUE"""),"Dubai")</f>
        <v>Dubai</v>
      </c>
      <c r="B745" s="2" t="str">
        <f ca="1">IFERROR(__xludf.DUMMYFUNCTION("""COMPUTED_VALUE"""),"Golden Mile 5")</f>
        <v>Golden Mile 5</v>
      </c>
      <c r="C745" s="2" t="str">
        <f ca="1">IFERROR(__xludf.DUMMYFUNCTION("""COMPUTED_VALUE"""),"Building")</f>
        <v>Building</v>
      </c>
      <c r="D745" s="2" t="str">
        <f ca="1">IFERROR(__xludf.DUMMYFUNCTION("""COMPUTED_VALUE"""),"Dubai&gt;Palm Jumeirah&gt;Golden Mile&gt;Golden Mile 5")</f>
        <v>Dubai&gt;Palm Jumeirah&gt;Golden Mile&gt;Golden Mile 5</v>
      </c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6.5" x14ac:dyDescent="0.35">
      <c r="A746" s="2" t="str">
        <f ca="1">IFERROR(__xludf.DUMMYFUNCTION("""COMPUTED_VALUE"""),"Dubai")</f>
        <v>Dubai</v>
      </c>
      <c r="B746" s="2" t="str">
        <f ca="1">IFERROR(__xludf.DUMMYFUNCTION("""COMPUTED_VALUE"""),"Sofitel Dubai The Palm")</f>
        <v>Sofitel Dubai The Palm</v>
      </c>
      <c r="C746" s="2" t="str">
        <f ca="1">IFERROR(__xludf.DUMMYFUNCTION("""COMPUTED_VALUE"""),"Building")</f>
        <v>Building</v>
      </c>
      <c r="D746" s="2" t="str">
        <f ca="1">IFERROR(__xludf.DUMMYFUNCTION("""COMPUTED_VALUE"""),"Dubai&gt;Palm Jumeirah&gt;The Crescent&gt;Sofitel Dubai The Palm")</f>
        <v>Dubai&gt;Palm Jumeirah&gt;The Crescent&gt;Sofitel Dubai The Palm</v>
      </c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6.5" x14ac:dyDescent="0.35">
      <c r="A747" s="2" t="str">
        <f ca="1">IFERROR(__xludf.DUMMYFUNCTION("""COMPUTED_VALUE"""),"Dubai")</f>
        <v>Dubai</v>
      </c>
      <c r="B747" s="2" t="str">
        <f ca="1">IFERROR(__xludf.DUMMYFUNCTION("""COMPUTED_VALUE"""),"Garden Homes Frond H")</f>
        <v>Garden Homes Frond H</v>
      </c>
      <c r="C747" s="2" t="str">
        <f ca="1">IFERROR(__xludf.DUMMYFUNCTION("""COMPUTED_VALUE"""),"Neighbourhood")</f>
        <v>Neighbourhood</v>
      </c>
      <c r="D747" s="2" t="str">
        <f ca="1">IFERROR(__xludf.DUMMYFUNCTION("""COMPUTED_VALUE"""),"Dubai&gt;Palm Jumeirah&gt;Garden Homes Palm Jumeirah&gt;Garden Homes Frond H")</f>
        <v>Dubai&gt;Palm Jumeirah&gt;Garden Homes Palm Jumeirah&gt;Garden Homes Frond H</v>
      </c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6.5" x14ac:dyDescent="0.35">
      <c r="A748" s="2" t="str">
        <f ca="1">IFERROR(__xludf.DUMMYFUNCTION("""COMPUTED_VALUE"""),"Dubai")</f>
        <v>Dubai</v>
      </c>
      <c r="B748" s="2" t="str">
        <f ca="1">IFERROR(__xludf.DUMMYFUNCTION("""COMPUTED_VALUE"""),"Serenia Residences North Wing")</f>
        <v>Serenia Residences North Wing</v>
      </c>
      <c r="C748" s="2" t="str">
        <f ca="1">IFERROR(__xludf.DUMMYFUNCTION("""COMPUTED_VALUE"""),"Building")</f>
        <v>Building</v>
      </c>
      <c r="D748" s="2" t="str">
        <f ca="1">IFERROR(__xludf.DUMMYFUNCTION("""COMPUTED_VALUE"""),"Dubai&gt;Palm Jumeirah&gt;Serenia Residences The Palm&gt;Serenia Residences North Wing")</f>
        <v>Dubai&gt;Palm Jumeirah&gt;Serenia Residences The Palm&gt;Serenia Residences North Wing</v>
      </c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6.5" x14ac:dyDescent="0.35">
      <c r="A749" s="2" t="str">
        <f ca="1">IFERROR(__xludf.DUMMYFUNCTION("""COMPUTED_VALUE"""),"Dubai")</f>
        <v>Dubai</v>
      </c>
      <c r="B749" s="2" t="str">
        <f ca="1">IFERROR(__xludf.DUMMYFUNCTION("""COMPUTED_VALUE"""),"Eome")</f>
        <v>Eome</v>
      </c>
      <c r="C749" s="2" t="str">
        <f ca="1">IFERROR(__xludf.DUMMYFUNCTION("""COMPUTED_VALUE"""),"Neighbourhood")</f>
        <v>Neighbourhood</v>
      </c>
      <c r="D749" s="2" t="str">
        <f ca="1">IFERROR(__xludf.DUMMYFUNCTION("""COMPUTED_VALUE"""),"Dubai&gt;Palm Jumeirah&gt;Eome")</f>
        <v>Dubai&gt;Palm Jumeirah&gt;Eome</v>
      </c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6.5" x14ac:dyDescent="0.35">
      <c r="A750" s="2" t="str">
        <f ca="1">IFERROR(__xludf.DUMMYFUNCTION("""COMPUTED_VALUE"""),"Dubai")</f>
        <v>Dubai</v>
      </c>
      <c r="B750" s="2" t="str">
        <f ca="1">IFERROR(__xludf.DUMMYFUNCTION("""COMPUTED_VALUE"""),"Swiss International Scientific School, Dubai")</f>
        <v>Swiss International Scientific School, Dubai</v>
      </c>
      <c r="C750" s="2" t="str">
        <f ca="1">IFERROR(__xludf.DUMMYFUNCTION("""COMPUTED_VALUE"""),"School")</f>
        <v>School</v>
      </c>
      <c r="D750" s="2" t="str">
        <f ca="1">IFERROR(__xludf.DUMMYFUNCTION("""COMPUTED_VALUE"""),"Dubai&gt;Al Jaddaf&gt;Dubai Healthcare City Phase 2&gt;Swiss International Scientific School, Dubai")</f>
        <v>Dubai&gt;Al Jaddaf&gt;Dubai Healthcare City Phase 2&gt;Swiss International Scientific School, Dubai</v>
      </c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6.5" x14ac:dyDescent="0.35">
      <c r="A751" s="2" t="str">
        <f ca="1">IFERROR(__xludf.DUMMYFUNCTION("""COMPUTED_VALUE"""),"Dubai")</f>
        <v>Dubai</v>
      </c>
      <c r="B751" s="2" t="str">
        <f ca="1">IFERROR(__xludf.DUMMYFUNCTION("""COMPUTED_VALUE"""),"Al Kharbash Residence B")</f>
        <v>Al Kharbash Residence B</v>
      </c>
      <c r="C751" s="2" t="str">
        <f ca="1">IFERROR(__xludf.DUMMYFUNCTION("""COMPUTED_VALUE"""),"Building")</f>
        <v>Building</v>
      </c>
      <c r="D751" s="2" t="str">
        <f ca="1">IFERROR(__xludf.DUMMYFUNCTION("""COMPUTED_VALUE"""),"Dubai&gt;Al Jaddaf&gt;Al Kharbash Residence&gt;Al Kharbash Residence B")</f>
        <v>Dubai&gt;Al Jaddaf&gt;Al Kharbash Residence&gt;Al Kharbash Residence B</v>
      </c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6.5" x14ac:dyDescent="0.35">
      <c r="A752" s="2" t="str">
        <f ca="1">IFERROR(__xludf.DUMMYFUNCTION("""COMPUTED_VALUE"""),"Dubai")</f>
        <v>Dubai</v>
      </c>
      <c r="B752" s="2" t="str">
        <f ca="1">IFERROR(__xludf.DUMMYFUNCTION("""COMPUTED_VALUE"""),"Amalfi Building")</f>
        <v>Amalfi Building</v>
      </c>
      <c r="C752" s="2" t="str">
        <f ca="1">IFERROR(__xludf.DUMMYFUNCTION("""COMPUTED_VALUE"""),"Building")</f>
        <v>Building</v>
      </c>
      <c r="D752" s="2" t="str">
        <f ca="1">IFERROR(__xludf.DUMMYFUNCTION("""COMPUTED_VALUE"""),"Dubai&gt;Al Jaddaf&gt;Amalfi Building")</f>
        <v>Dubai&gt;Al Jaddaf&gt;Amalfi Building</v>
      </c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6.5" x14ac:dyDescent="0.35">
      <c r="A753" s="2" t="str">
        <f ca="1">IFERROR(__xludf.DUMMYFUNCTION("""COMPUTED_VALUE"""),"Dubai")</f>
        <v>Dubai</v>
      </c>
      <c r="B753" s="2" t="str">
        <f ca="1">IFERROR(__xludf.DUMMYFUNCTION("""COMPUTED_VALUE"""),"The Coral Collection")</f>
        <v>The Coral Collection</v>
      </c>
      <c r="C753" s="2" t="str">
        <f ca="1">IFERROR(__xludf.DUMMYFUNCTION("""COMPUTED_VALUE"""),"Neighbourhood")</f>
        <v>Neighbourhood</v>
      </c>
      <c r="D753" s="2" t="str">
        <f ca="1">IFERROR(__xludf.DUMMYFUNCTION("""COMPUTED_VALUE"""),"Dubai&gt;Palm Jebel Ali&gt;Frond O&gt;The Coral Collection")</f>
        <v>Dubai&gt;Palm Jebel Ali&gt;Frond O&gt;The Coral Collection</v>
      </c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6.5" x14ac:dyDescent="0.35">
      <c r="A754" s="2" t="str">
        <f ca="1">IFERROR(__xludf.DUMMYFUNCTION("""COMPUTED_VALUE"""),"Dubai")</f>
        <v>Dubai</v>
      </c>
      <c r="B754" s="2" t="str">
        <f ca="1">IFERROR(__xludf.DUMMYFUNCTION("""COMPUTED_VALUE"""),"Marriott Residences Tower 1")</f>
        <v>Marriott Residences Tower 1</v>
      </c>
      <c r="C754" s="2" t="str">
        <f ca="1">IFERROR(__xludf.DUMMYFUNCTION("""COMPUTED_VALUE"""),"Building")</f>
        <v>Building</v>
      </c>
      <c r="D754" s="2" t="str">
        <f ca="1">IFERROR(__xludf.DUMMYFUNCTION("""COMPUTED_VALUE"""),"Dubai&gt;Dubai Science Park&gt;Marriott Residences Al Barsha South&gt;Marriott Residences Tower 1")</f>
        <v>Dubai&gt;Dubai Science Park&gt;Marriott Residences Al Barsha South&gt;Marriott Residences Tower 1</v>
      </c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6.5" x14ac:dyDescent="0.35">
      <c r="A755" s="2" t="str">
        <f ca="1">IFERROR(__xludf.DUMMYFUNCTION("""COMPUTED_VALUE"""),"Dubai")</f>
        <v>Dubai</v>
      </c>
      <c r="B755" s="2" t="str">
        <f ca="1">IFERROR(__xludf.DUMMYFUNCTION("""COMPUTED_VALUE"""),"Dragon Mart")</f>
        <v>Dragon Mart</v>
      </c>
      <c r="C755" s="2" t="str">
        <f ca="1">IFERROR(__xludf.DUMMYFUNCTION("""COMPUTED_VALUE"""),"Building")</f>
        <v>Building</v>
      </c>
      <c r="D755" s="2" t="str">
        <f ca="1">IFERROR(__xludf.DUMMYFUNCTION("""COMPUTED_VALUE"""),"Dubai&gt;Dragon City&gt;Dragon Mart")</f>
        <v>Dubai&gt;Dragon City&gt;Dragon Mart</v>
      </c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6.5" x14ac:dyDescent="0.35">
      <c r="A756" s="2" t="str">
        <f ca="1">IFERROR(__xludf.DUMMYFUNCTION("""COMPUTED_VALUE"""),"Dubai")</f>
        <v>Dubai</v>
      </c>
      <c r="B756" s="2" t="str">
        <f ca="1">IFERROR(__xludf.DUMMYFUNCTION("""COMPUTED_VALUE"""),"Hillside Residences 1 Building B")</f>
        <v>Hillside Residences 1 Building B</v>
      </c>
      <c r="C756" s="2" t="str">
        <f ca="1">IFERROR(__xludf.DUMMYFUNCTION("""COMPUTED_VALUE"""),"Building")</f>
        <v>Building</v>
      </c>
      <c r="D756" s="2" t="str">
        <f ca="1">IFERROR(__xludf.DUMMYFUNCTION("""COMPUTED_VALUE"""),"Dubai&gt;Wasl Gate&gt;Hillside Residences&gt;Hillside Residences 1&gt;Hillside Residences 1 Building B")</f>
        <v>Dubai&gt;Wasl Gate&gt;Hillside Residences&gt;Hillside Residences 1&gt;Hillside Residences 1 Building B</v>
      </c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6.5" x14ac:dyDescent="0.35">
      <c r="A757" s="2" t="str">
        <f ca="1">IFERROR(__xludf.DUMMYFUNCTION("""COMPUTED_VALUE"""),"Dubai")</f>
        <v>Dubai</v>
      </c>
      <c r="B757" s="2" t="str">
        <f ca="1">IFERROR(__xludf.DUMMYFUNCTION("""COMPUTED_VALUE"""),"Rashid School for Boys")</f>
        <v>Rashid School for Boys</v>
      </c>
      <c r="C757" s="2" t="str">
        <f ca="1">IFERROR(__xludf.DUMMYFUNCTION("""COMPUTED_VALUE"""),"School")</f>
        <v>School</v>
      </c>
      <c r="D757" s="2" t="str">
        <f ca="1">IFERROR(__xludf.DUMMYFUNCTION("""COMPUTED_VALUE"""),"Dubai&gt;Nad Al Sheba&gt;Nad Al Sheba 1&gt;Rashid School for Boys")</f>
        <v>Dubai&gt;Nad Al Sheba&gt;Nad Al Sheba 1&gt;Rashid School for Boys</v>
      </c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6.5" x14ac:dyDescent="0.35">
      <c r="A758" s="2" t="str">
        <f ca="1">IFERROR(__xludf.DUMMYFUNCTION("""COMPUTED_VALUE"""),"Dubai")</f>
        <v>Dubai</v>
      </c>
      <c r="B758" s="2" t="str">
        <f ca="1">IFERROR(__xludf.DUMMYFUNCTION("""COMPUTED_VALUE"""),"International School of Creative Science, Nad Al Sheba")</f>
        <v>International School of Creative Science, Nad Al Sheba</v>
      </c>
      <c r="C758" s="2" t="str">
        <f ca="1">IFERROR(__xludf.DUMMYFUNCTION("""COMPUTED_VALUE"""),"School")</f>
        <v>School</v>
      </c>
      <c r="D758" s="2" t="str">
        <f ca="1">IFERROR(__xludf.DUMMYFUNCTION("""COMPUTED_VALUE"""),"Dubai&gt;Nad Al Sheba&gt;Nad Al Sheba 3&gt;International School of Creative Science, Nad Al Sheba")</f>
        <v>Dubai&gt;Nad Al Sheba&gt;Nad Al Sheba 3&gt;International School of Creative Science, Nad Al Sheba</v>
      </c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6.5" x14ac:dyDescent="0.35">
      <c r="A759" s="2" t="str">
        <f ca="1">IFERROR(__xludf.DUMMYFUNCTION("""COMPUTED_VALUE"""),"Dubai")</f>
        <v>Dubai</v>
      </c>
      <c r="B759" s="2" t="str">
        <f ca="1">IFERROR(__xludf.DUMMYFUNCTION("""COMPUTED_VALUE"""),"DIC 1")</f>
        <v>DIC 1</v>
      </c>
      <c r="C759" s="2" t="str">
        <f ca="1">IFERROR(__xludf.DUMMYFUNCTION("""COMPUTED_VALUE"""),"Building")</f>
        <v>Building</v>
      </c>
      <c r="D759" s="2" t="str">
        <f ca="1">IFERROR(__xludf.DUMMYFUNCTION("""COMPUTED_VALUE"""),"Dubai&gt;Dubai Internet City&gt;DIC&gt;DIC 1")</f>
        <v>Dubai&gt;Dubai Internet City&gt;DIC&gt;DIC 1</v>
      </c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6.5" x14ac:dyDescent="0.35">
      <c r="A760" s="2" t="str">
        <f ca="1">IFERROR(__xludf.DUMMYFUNCTION("""COMPUTED_VALUE"""),"Dubai")</f>
        <v>Dubai</v>
      </c>
      <c r="B760" s="2" t="str">
        <f ca="1">IFERROR(__xludf.DUMMYFUNCTION("""COMPUTED_VALUE"""),"Caya")</f>
        <v>Caya</v>
      </c>
      <c r="C760" s="2" t="str">
        <f ca="1">IFERROR(__xludf.DUMMYFUNCTION("""COMPUTED_VALUE"""),"Neighbourhood")</f>
        <v>Neighbourhood</v>
      </c>
      <c r="D760" s="2" t="str">
        <f ca="1">IFERROR(__xludf.DUMMYFUNCTION("""COMPUTED_VALUE"""),"Dubai&gt;Arabian Ranches 3&gt;Caya")</f>
        <v>Dubai&gt;Arabian Ranches 3&gt;Caya</v>
      </c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6.5" x14ac:dyDescent="0.35">
      <c r="A761" s="2" t="str">
        <f ca="1">IFERROR(__xludf.DUMMYFUNCTION("""COMPUTED_VALUE"""),"Dubai")</f>
        <v>Dubai</v>
      </c>
      <c r="B761" s="2" t="str">
        <f ca="1">IFERROR(__xludf.DUMMYFUNCTION("""COMPUTED_VALUE"""),"Seascape Building 2")</f>
        <v>Seascape Building 2</v>
      </c>
      <c r="C761" s="2" t="str">
        <f ca="1">IFERROR(__xludf.DUMMYFUNCTION("""COMPUTED_VALUE"""),"Building")</f>
        <v>Building</v>
      </c>
      <c r="D761" s="2" t="str">
        <f ca="1">IFERROR(__xludf.DUMMYFUNCTION("""COMPUTED_VALUE"""),"Dubai&gt;Mina Rashid&gt;Seascape&gt;Seascape Building 2")</f>
        <v>Dubai&gt;Mina Rashid&gt;Seascape&gt;Seascape Building 2</v>
      </c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6.5" x14ac:dyDescent="0.35">
      <c r="A762" s="2" t="str">
        <f ca="1">IFERROR(__xludf.DUMMYFUNCTION("""COMPUTED_VALUE"""),"Dubai")</f>
        <v>Dubai</v>
      </c>
      <c r="B762" s="2" t="str">
        <f ca="1">IFERROR(__xludf.DUMMYFUNCTION("""COMPUTED_VALUE"""),"Sera 2 Tower A")</f>
        <v>Sera 2 Tower A</v>
      </c>
      <c r="C762" s="2" t="str">
        <f ca="1">IFERROR(__xludf.DUMMYFUNCTION("""COMPUTED_VALUE"""),"Building")</f>
        <v>Building</v>
      </c>
      <c r="D762" s="2" t="str">
        <f ca="1">IFERROR(__xludf.DUMMYFUNCTION("""COMPUTED_VALUE"""),"Dubai&gt;Mina Rashid&gt;Sera 2&gt;Sera 2 Tower A")</f>
        <v>Dubai&gt;Mina Rashid&gt;Sera 2&gt;Sera 2 Tower A</v>
      </c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6.5" x14ac:dyDescent="0.35">
      <c r="A763" s="2" t="str">
        <f ca="1">IFERROR(__xludf.DUMMYFUNCTION("""COMPUTED_VALUE"""),"Dubai")</f>
        <v>Dubai</v>
      </c>
      <c r="B763" s="2" t="str">
        <f ca="1">IFERROR(__xludf.DUMMYFUNCTION("""COMPUTED_VALUE"""),"Nima")</f>
        <v>Nima</v>
      </c>
      <c r="C763" s="2" t="str">
        <f ca="1">IFERROR(__xludf.DUMMYFUNCTION("""COMPUTED_VALUE"""),"Neighbourhood")</f>
        <v>Neighbourhood</v>
      </c>
      <c r="D763" s="2" t="str">
        <f ca="1">IFERROR(__xludf.DUMMYFUNCTION("""COMPUTED_VALUE"""),"Dubai&gt;The Valley by Emaar&gt;Nima")</f>
        <v>Dubai&gt;The Valley by Emaar&gt;Nima</v>
      </c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6.5" x14ac:dyDescent="0.35">
      <c r="A764" s="2" t="str">
        <f ca="1">IFERROR(__xludf.DUMMYFUNCTION("""COMPUTED_VALUE"""),"Dubai")</f>
        <v>Dubai</v>
      </c>
      <c r="B764" s="2" t="str">
        <f ca="1">IFERROR(__xludf.DUMMYFUNCTION("""COMPUTED_VALUE"""),"Al Reem 3")</f>
        <v>Al Reem 3</v>
      </c>
      <c r="C764" s="2" t="str">
        <f ca="1">IFERROR(__xludf.DUMMYFUNCTION("""COMPUTED_VALUE"""),"Neighbourhood")</f>
        <v>Neighbourhood</v>
      </c>
      <c r="D764" s="2" t="str">
        <f ca="1">IFERROR(__xludf.DUMMYFUNCTION("""COMPUTED_VALUE"""),"Dubai&gt;Arabian Ranches&gt;Al Reem&gt;Al Reem 3")</f>
        <v>Dubai&gt;Arabian Ranches&gt;Al Reem&gt;Al Reem 3</v>
      </c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6.5" x14ac:dyDescent="0.35">
      <c r="A765" s="2" t="str">
        <f ca="1">IFERROR(__xludf.DUMMYFUNCTION("""COMPUTED_VALUE"""),"Dubai")</f>
        <v>Dubai</v>
      </c>
      <c r="B765" s="2" t="str">
        <f ca="1">IFERROR(__xludf.DUMMYFUNCTION("""COMPUTED_VALUE"""),"The Gardens Apartments 2")</f>
        <v>The Gardens Apartments 2</v>
      </c>
      <c r="C765" s="2" t="str">
        <f ca="1">IFERROR(__xludf.DUMMYFUNCTION("""COMPUTED_VALUE"""),"Building")</f>
        <v>Building</v>
      </c>
      <c r="D765" s="2" t="str">
        <f ca="1">IFERROR(__xludf.DUMMYFUNCTION("""COMPUTED_VALUE"""),"Dubai&gt;The Gardens&gt;The Gardens Apartments&gt;The Gardens Apartments 2")</f>
        <v>Dubai&gt;The Gardens&gt;The Gardens Apartments&gt;The Gardens Apartments 2</v>
      </c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6.5" x14ac:dyDescent="0.35">
      <c r="A766" s="2" t="str">
        <f ca="1">IFERROR(__xludf.DUMMYFUNCTION("""COMPUTED_VALUE"""),"Dubai")</f>
        <v>Dubai</v>
      </c>
      <c r="B766" s="2" t="str">
        <f ca="1">IFERROR(__xludf.DUMMYFUNCTION("""COMPUTED_VALUE"""),"The Gardens Building 66")</f>
        <v>The Gardens Building 66</v>
      </c>
      <c r="C766" s="2" t="str">
        <f ca="1">IFERROR(__xludf.DUMMYFUNCTION("""COMPUTED_VALUE"""),"Building")</f>
        <v>Building</v>
      </c>
      <c r="D766" s="2" t="str">
        <f ca="1">IFERROR(__xludf.DUMMYFUNCTION("""COMPUTED_VALUE"""),"Dubai&gt;The Gardens&gt;The Gardens Building 66")</f>
        <v>Dubai&gt;The Gardens&gt;The Gardens Building 66</v>
      </c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6.5" x14ac:dyDescent="0.35">
      <c r="A767" s="2" t="str">
        <f ca="1">IFERROR(__xludf.DUMMYFUNCTION("""COMPUTED_VALUE"""),"Dubai")</f>
        <v>Dubai</v>
      </c>
      <c r="B767" s="2" t="str">
        <f ca="1">IFERROR(__xludf.DUMMYFUNCTION("""COMPUTED_VALUE"""),"The Gardens Building 72")</f>
        <v>The Gardens Building 72</v>
      </c>
      <c r="C767" s="2" t="str">
        <f ca="1">IFERROR(__xludf.DUMMYFUNCTION("""COMPUTED_VALUE"""),"Building")</f>
        <v>Building</v>
      </c>
      <c r="D767" s="2" t="str">
        <f ca="1">IFERROR(__xludf.DUMMYFUNCTION("""COMPUTED_VALUE"""),"Dubai&gt;The Gardens&gt;The Gardens Building 72")</f>
        <v>Dubai&gt;The Gardens&gt;The Gardens Building 72</v>
      </c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6.5" x14ac:dyDescent="0.35">
      <c r="A768" s="2" t="str">
        <f ca="1">IFERROR(__xludf.DUMMYFUNCTION("""COMPUTED_VALUE"""),"Dubai")</f>
        <v>Dubai</v>
      </c>
      <c r="B768" s="2" t="str">
        <f ca="1">IFERROR(__xludf.DUMMYFUNCTION("""COMPUTED_VALUE"""),"The Gardens Building 19")</f>
        <v>The Gardens Building 19</v>
      </c>
      <c r="C768" s="2" t="str">
        <f ca="1">IFERROR(__xludf.DUMMYFUNCTION("""COMPUTED_VALUE"""),"Building")</f>
        <v>Building</v>
      </c>
      <c r="D768" s="2" t="str">
        <f ca="1">IFERROR(__xludf.DUMMYFUNCTION("""COMPUTED_VALUE"""),"Dubai&gt;The Gardens&gt;The Gardens Building 19")</f>
        <v>Dubai&gt;The Gardens&gt;The Gardens Building 19</v>
      </c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6.5" x14ac:dyDescent="0.35">
      <c r="A769" s="2" t="str">
        <f ca="1">IFERROR(__xludf.DUMMYFUNCTION("""COMPUTED_VALUE"""),"Dubai")</f>
        <v>Dubai</v>
      </c>
      <c r="B769" s="2" t="str">
        <f ca="1">IFERROR(__xludf.DUMMYFUNCTION("""COMPUTED_VALUE"""),"The Gardens Building 62")</f>
        <v>The Gardens Building 62</v>
      </c>
      <c r="C769" s="2" t="str">
        <f ca="1">IFERROR(__xludf.DUMMYFUNCTION("""COMPUTED_VALUE"""),"Building")</f>
        <v>Building</v>
      </c>
      <c r="D769" s="2" t="str">
        <f ca="1">IFERROR(__xludf.DUMMYFUNCTION("""COMPUTED_VALUE"""),"Dubai&gt;The Gardens&gt;The Gardens Building 62")</f>
        <v>Dubai&gt;The Gardens&gt;The Gardens Building 62</v>
      </c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6.5" x14ac:dyDescent="0.35">
      <c r="A770" s="2" t="str">
        <f ca="1">IFERROR(__xludf.DUMMYFUNCTION("""COMPUTED_VALUE"""),"Dubai")</f>
        <v>Dubai</v>
      </c>
      <c r="B770" s="2" t="str">
        <f ca="1">IFERROR(__xludf.DUMMYFUNCTION("""COMPUTED_VALUE"""),"Al Khalafi Buildings")</f>
        <v>Al Khalafi Buildings</v>
      </c>
      <c r="C770" s="2" t="str">
        <f ca="1">IFERROR(__xludf.DUMMYFUNCTION("""COMPUTED_VALUE"""),"Cluster")</f>
        <v>Cluster</v>
      </c>
      <c r="D770" s="2" t="str">
        <f ca="1">IFERROR(__xludf.DUMMYFUNCTION("""COMPUTED_VALUE"""),"Dubai&gt;Al Mamzar&gt;Al Khalafi Buildings")</f>
        <v>Dubai&gt;Al Mamzar&gt;Al Khalafi Buildings</v>
      </c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6.5" x14ac:dyDescent="0.35">
      <c r="A771" s="2" t="str">
        <f ca="1">IFERROR(__xludf.DUMMYFUNCTION("""COMPUTED_VALUE"""),"Dubai")</f>
        <v>Dubai</v>
      </c>
      <c r="B771" s="2" t="str">
        <f ca="1">IFERROR(__xludf.DUMMYFUNCTION("""COMPUTED_VALUE"""),"One Za'abeel Tower")</f>
        <v>One Za'abeel Tower</v>
      </c>
      <c r="C771" s="2" t="str">
        <f ca="1">IFERROR(__xludf.DUMMYFUNCTION("""COMPUTED_VALUE"""),"Building")</f>
        <v>Building</v>
      </c>
      <c r="D771" s="2" t="str">
        <f ca="1">IFERROR(__xludf.DUMMYFUNCTION("""COMPUTED_VALUE"""),"Dubai&gt;Za'abeel&gt;Za'abeel 1&gt;One Za'abeel&gt;One Za'abeel Tower")</f>
        <v>Dubai&gt;Za'abeel&gt;Za'abeel 1&gt;One Za'abeel&gt;One Za'abeel Tower</v>
      </c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6.5" x14ac:dyDescent="0.35">
      <c r="A772" s="2" t="str">
        <f ca="1">IFERROR(__xludf.DUMMYFUNCTION("""COMPUTED_VALUE"""),"Dubai")</f>
        <v>Dubai</v>
      </c>
      <c r="B772" s="2" t="str">
        <f ca="1">IFERROR(__xludf.DUMMYFUNCTION("""COMPUTED_VALUE"""),"Ras Al Khor Industrial 1")</f>
        <v>Ras Al Khor Industrial 1</v>
      </c>
      <c r="C772" s="2" t="str">
        <f ca="1">IFERROR(__xludf.DUMMYFUNCTION("""COMPUTED_VALUE"""),"Neighbourhood")</f>
        <v>Neighbourhood</v>
      </c>
      <c r="D772" s="2" t="str">
        <f ca="1">IFERROR(__xludf.DUMMYFUNCTION("""COMPUTED_VALUE"""),"Dubai&gt;Ras Al Khor&gt;Ras Al Khor Industrial&gt;Ras Al Khor Industrial 1")</f>
        <v>Dubai&gt;Ras Al Khor&gt;Ras Al Khor Industrial&gt;Ras Al Khor Industrial 1</v>
      </c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6.5" x14ac:dyDescent="0.35">
      <c r="A773" s="2" t="str">
        <f ca="1">IFERROR(__xludf.DUMMYFUNCTION("""COMPUTED_VALUE"""),"Dubai")</f>
        <v>Dubai</v>
      </c>
      <c r="B773" s="2" t="str">
        <f ca="1">IFERROR(__xludf.DUMMYFUNCTION("""COMPUTED_VALUE"""),"Jebel Ali Freezone One")</f>
        <v>Jebel Ali Freezone One</v>
      </c>
      <c r="C773" s="2" t="str">
        <f ca="1">IFERROR(__xludf.DUMMYFUNCTION("""COMPUTED_VALUE"""),"Neighbourhood")</f>
        <v>Neighbourhood</v>
      </c>
      <c r="D773" s="2" t="str">
        <f ca="1">IFERROR(__xludf.DUMMYFUNCTION("""COMPUTED_VALUE"""),"Dubai&gt;Jebel Ali&gt;Jebel Ali Freezone&gt;Jebel Ali Freezone One")</f>
        <v>Dubai&gt;Jebel Ali&gt;Jebel Ali Freezone&gt;Jebel Ali Freezone One</v>
      </c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6.5" x14ac:dyDescent="0.35">
      <c r="A774" s="2" t="str">
        <f ca="1">IFERROR(__xludf.DUMMYFUNCTION("""COMPUTED_VALUE"""),"Dubai")</f>
        <v>Dubai</v>
      </c>
      <c r="B774" s="2" t="str">
        <f ca="1">IFERROR(__xludf.DUMMYFUNCTION("""COMPUTED_VALUE"""),"Azizi Lina")</f>
        <v>Azizi Lina</v>
      </c>
      <c r="C774" s="2" t="str">
        <f ca="1">IFERROR(__xludf.DUMMYFUNCTION("""COMPUTED_VALUE"""),"Building")</f>
        <v>Building</v>
      </c>
      <c r="D774" s="2" t="str">
        <f ca="1">IFERROR(__xludf.DUMMYFUNCTION("""COMPUTED_VALUE"""),"Dubai&gt;Jebel Ali&gt;Downtown Jebel Ali&gt;Azizi Lina")</f>
        <v>Dubai&gt;Jebel Ali&gt;Downtown Jebel Ali&gt;Azizi Lina</v>
      </c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6.5" x14ac:dyDescent="0.35">
      <c r="A775" s="2" t="str">
        <f ca="1">IFERROR(__xludf.DUMMYFUNCTION("""COMPUTED_VALUE"""),"Dubai")</f>
        <v>Dubai</v>
      </c>
      <c r="B775" s="2" t="str">
        <f ca="1">IFERROR(__xludf.DUMMYFUNCTION("""COMPUTED_VALUE"""),"The Eden")</f>
        <v>The Eden</v>
      </c>
      <c r="C775" s="2" t="str">
        <f ca="1">IFERROR(__xludf.DUMMYFUNCTION("""COMPUTED_VALUE"""),"Building")</f>
        <v>Building</v>
      </c>
      <c r="D775" s="2" t="str">
        <f ca="1">IFERROR(__xludf.DUMMYFUNCTION("""COMPUTED_VALUE"""),"Dubai&gt;Jebel Ali&gt;Sobha Central&gt;The Eden")</f>
        <v>Dubai&gt;Jebel Ali&gt;Sobha Central&gt;The Eden</v>
      </c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6.5" x14ac:dyDescent="0.35">
      <c r="A776" s="2" t="str">
        <f ca="1">IFERROR(__xludf.DUMMYFUNCTION("""COMPUTED_VALUE"""),"Dubai")</f>
        <v>Dubai</v>
      </c>
      <c r="B776" s="2" t="str">
        <f ca="1">IFERROR(__xludf.DUMMYFUNCTION("""COMPUTED_VALUE"""),"Mai 5")</f>
        <v>Mai 5</v>
      </c>
      <c r="C776" s="2" t="str">
        <f ca="1">IFERROR(__xludf.DUMMYFUNCTION("""COMPUTED_VALUE"""),"Building")</f>
        <v>Building</v>
      </c>
      <c r="D776" s="2" t="str">
        <f ca="1">IFERROR(__xludf.DUMMYFUNCTION("""COMPUTED_VALUE"""),"Dubai&gt;Nad Al Hamar&gt;Mai 5")</f>
        <v>Dubai&gt;Nad Al Hamar&gt;Mai 5</v>
      </c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6.5" x14ac:dyDescent="0.35">
      <c r="A777" s="2" t="str">
        <f ca="1">IFERROR(__xludf.DUMMYFUNCTION("""COMPUTED_VALUE"""),"Dubai")</f>
        <v>Dubai</v>
      </c>
      <c r="B777" s="2" t="str">
        <f ca="1">IFERROR(__xludf.DUMMYFUNCTION("""COMPUTED_VALUE"""),"Opera Villas")</f>
        <v>Opera Villas</v>
      </c>
      <c r="C777" s="2" t="str">
        <f ca="1">IFERROR(__xludf.DUMMYFUNCTION("""COMPUTED_VALUE"""),"Neighbourhood")</f>
        <v>Neighbourhood</v>
      </c>
      <c r="D777" s="2" t="str">
        <f ca="1">IFERROR(__xludf.DUMMYFUNCTION("""COMPUTED_VALUE"""),"Dubai&gt;Al Barsha&gt;Al Barsha 1&gt;Opera Villas")</f>
        <v>Dubai&gt;Al Barsha&gt;Al Barsha 1&gt;Opera Villas</v>
      </c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6.5" x14ac:dyDescent="0.35">
      <c r="A778" s="2" t="str">
        <f ca="1">IFERROR(__xludf.DUMMYFUNCTION("""COMPUTED_VALUE"""),"Dubai")</f>
        <v>Dubai</v>
      </c>
      <c r="B778" s="2" t="str">
        <f ca="1">IFERROR(__xludf.DUMMYFUNCTION("""COMPUTED_VALUE"""),"Al Waleed BA-4")</f>
        <v>Al Waleed BA-4</v>
      </c>
      <c r="C778" s="2" t="str">
        <f ca="1">IFERROR(__xludf.DUMMYFUNCTION("""COMPUTED_VALUE"""),"Building")</f>
        <v>Building</v>
      </c>
      <c r="D778" s="2" t="str">
        <f ca="1">IFERROR(__xludf.DUMMYFUNCTION("""COMPUTED_VALUE"""),"Dubai&gt;Al Barsha&gt;Al Barsha 1&gt;Al Waleed BA-4")</f>
        <v>Dubai&gt;Al Barsha&gt;Al Barsha 1&gt;Al Waleed BA-4</v>
      </c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6.5" x14ac:dyDescent="0.35">
      <c r="A779" s="2" t="str">
        <f ca="1">IFERROR(__xludf.DUMMYFUNCTION("""COMPUTED_VALUE"""),"Dubai")</f>
        <v>Dubai</v>
      </c>
      <c r="B779" s="2" t="str">
        <f ca="1">IFERROR(__xludf.DUMMYFUNCTION("""COMPUTED_VALUE"""),"Metro Building")</f>
        <v>Metro Building</v>
      </c>
      <c r="C779" s="2" t="str">
        <f ca="1">IFERROR(__xludf.DUMMYFUNCTION("""COMPUTED_VALUE"""),"Building")</f>
        <v>Building</v>
      </c>
      <c r="D779" s="2" t="str">
        <f ca="1">IFERROR(__xludf.DUMMYFUNCTION("""COMPUTED_VALUE"""),"Dubai&gt;Al Barsha&gt;Al Barsha 1&gt;Metro Building")</f>
        <v>Dubai&gt;Al Barsha&gt;Al Barsha 1&gt;Metro Building</v>
      </c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6.5" x14ac:dyDescent="0.35">
      <c r="A780" s="2" t="str">
        <f ca="1">IFERROR(__xludf.DUMMYFUNCTION("""COMPUTED_VALUE"""),"Dubai")</f>
        <v>Dubai</v>
      </c>
      <c r="B780" s="2" t="str">
        <f ca="1">IFERROR(__xludf.DUMMYFUNCTION("""COMPUTED_VALUE"""),"Al Sayegh Building")</f>
        <v>Al Sayegh Building</v>
      </c>
      <c r="C780" s="2" t="str">
        <f ca="1">IFERROR(__xludf.DUMMYFUNCTION("""COMPUTED_VALUE"""),"Building")</f>
        <v>Building</v>
      </c>
      <c r="D780" s="2" t="str">
        <f ca="1">IFERROR(__xludf.DUMMYFUNCTION("""COMPUTED_VALUE"""),"Dubai&gt;Al Barsha&gt;Al Barsha 1&gt;Al Sayegh Building")</f>
        <v>Dubai&gt;Al Barsha&gt;Al Barsha 1&gt;Al Sayegh Building</v>
      </c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6.5" x14ac:dyDescent="0.35">
      <c r="A781" s="2" t="str">
        <f ca="1">IFERROR(__xludf.DUMMYFUNCTION("""COMPUTED_VALUE"""),"Dubai")</f>
        <v>Dubai</v>
      </c>
      <c r="B781" s="2" t="str">
        <f ca="1">IFERROR(__xludf.DUMMYFUNCTION("""COMPUTED_VALUE"""),"Micallef Apartment")</f>
        <v>Micallef Apartment</v>
      </c>
      <c r="C781" s="2" t="str">
        <f ca="1">IFERROR(__xludf.DUMMYFUNCTION("""COMPUTED_VALUE"""),"Building")</f>
        <v>Building</v>
      </c>
      <c r="D781" s="2" t="str">
        <f ca="1">IFERROR(__xludf.DUMMYFUNCTION("""COMPUTED_VALUE"""),"Dubai&gt;Al Barsha&gt;Al Barsha 1&gt;Micallef Apartment")</f>
        <v>Dubai&gt;Al Barsha&gt;Al Barsha 1&gt;Micallef Apartment</v>
      </c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6.5" x14ac:dyDescent="0.35">
      <c r="A782" s="2" t="str">
        <f ca="1">IFERROR(__xludf.DUMMYFUNCTION("""COMPUTED_VALUE"""),"Dubai")</f>
        <v>Dubai</v>
      </c>
      <c r="B782" s="2" t="str">
        <f ca="1">IFERROR(__xludf.DUMMYFUNCTION("""COMPUTED_VALUE"""),"Double Tree by Hilton")</f>
        <v>Double Tree by Hilton</v>
      </c>
      <c r="C782" s="2" t="str">
        <f ca="1">IFERROR(__xludf.DUMMYFUNCTION("""COMPUTED_VALUE"""),"Building")</f>
        <v>Building</v>
      </c>
      <c r="D782" s="2" t="str">
        <f ca="1">IFERROR(__xludf.DUMMYFUNCTION("""COMPUTED_VALUE"""),"Dubai&gt;Al Barsha&gt;Al Barsha 1&gt;Double Tree by Hilton")</f>
        <v>Dubai&gt;Al Barsha&gt;Al Barsha 1&gt;Double Tree by Hilton</v>
      </c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6.5" x14ac:dyDescent="0.35">
      <c r="A783" s="2" t="str">
        <f ca="1">IFERROR(__xludf.DUMMYFUNCTION("""COMPUTED_VALUE"""),"Dubai")</f>
        <v>Dubai</v>
      </c>
      <c r="B783" s="2" t="str">
        <f ca="1">IFERROR(__xludf.DUMMYFUNCTION("""COMPUTED_VALUE"""),"Al Suhool Building")</f>
        <v>Al Suhool Building</v>
      </c>
      <c r="C783" s="2" t="str">
        <f ca="1">IFERROR(__xludf.DUMMYFUNCTION("""COMPUTED_VALUE"""),"Building")</f>
        <v>Building</v>
      </c>
      <c r="D783" s="2" t="str">
        <f ca="1">IFERROR(__xludf.DUMMYFUNCTION("""COMPUTED_VALUE"""),"Dubai&gt;Al Barsha&gt;Al Barsha 1&gt;Al Suhool Building")</f>
        <v>Dubai&gt;Al Barsha&gt;Al Barsha 1&gt;Al Suhool Building</v>
      </c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6.5" x14ac:dyDescent="0.35">
      <c r="A784" s="2" t="str">
        <f ca="1">IFERROR(__xludf.DUMMYFUNCTION("""COMPUTED_VALUE"""),"Dubai")</f>
        <v>Dubai</v>
      </c>
      <c r="B784" s="2" t="str">
        <f ca="1">IFERROR(__xludf.DUMMYFUNCTION("""COMPUTED_VALUE"""),"Grey Square Building")</f>
        <v>Grey Square Building</v>
      </c>
      <c r="C784" s="2" t="str">
        <f ca="1">IFERROR(__xludf.DUMMYFUNCTION("""COMPUTED_VALUE"""),"Building")</f>
        <v>Building</v>
      </c>
      <c r="D784" s="2" t="str">
        <f ca="1">IFERROR(__xludf.DUMMYFUNCTION("""COMPUTED_VALUE"""),"Dubai&gt;Al Barsha&gt;Al Barsha 1&gt;Grey Square Building")</f>
        <v>Dubai&gt;Al Barsha&gt;Al Barsha 1&gt;Grey Square Building</v>
      </c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6.5" x14ac:dyDescent="0.35">
      <c r="A785" s="2" t="str">
        <f ca="1">IFERROR(__xludf.DUMMYFUNCTION("""COMPUTED_VALUE"""),"Dubai")</f>
        <v>Dubai</v>
      </c>
      <c r="B785" s="2" t="str">
        <f ca="1">IFERROR(__xludf.DUMMYFUNCTION("""COMPUTED_VALUE"""),"Manazil Al Barsha Villas 08")</f>
        <v>Manazil Al Barsha Villas 08</v>
      </c>
      <c r="C785" s="2" t="str">
        <f ca="1">IFERROR(__xludf.DUMMYFUNCTION("""COMPUTED_VALUE"""),"Neighbourhood")</f>
        <v>Neighbourhood</v>
      </c>
      <c r="D785" s="2" t="str">
        <f ca="1">IFERROR(__xludf.DUMMYFUNCTION("""COMPUTED_VALUE"""),"Dubai&gt;Al Barsha&gt;Al Barsha 1&gt;Manazil Al Barsha Villas 08")</f>
        <v>Dubai&gt;Al Barsha&gt;Al Barsha 1&gt;Manazil Al Barsha Villas 08</v>
      </c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6.5" x14ac:dyDescent="0.35">
      <c r="A786" s="2" t="str">
        <f ca="1">IFERROR(__xludf.DUMMYFUNCTION("""COMPUTED_VALUE"""),"Dubai")</f>
        <v>Dubai</v>
      </c>
      <c r="B786" s="2" t="str">
        <f ca="1">IFERROR(__xludf.DUMMYFUNCTION("""COMPUTED_VALUE"""),"Al Barsha 3")</f>
        <v>Al Barsha 3</v>
      </c>
      <c r="C786" s="2" t="str">
        <f ca="1">IFERROR(__xludf.DUMMYFUNCTION("""COMPUTED_VALUE"""),"Neighbourhood")</f>
        <v>Neighbourhood</v>
      </c>
      <c r="D786" s="2" t="str">
        <f ca="1">IFERROR(__xludf.DUMMYFUNCTION("""COMPUTED_VALUE"""),"Dubai&gt;Al Barsha&gt;Al Barsha 3")</f>
        <v>Dubai&gt;Al Barsha&gt;Al Barsha 3</v>
      </c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6.5" x14ac:dyDescent="0.35">
      <c r="A787" s="2" t="str">
        <f ca="1">IFERROR(__xludf.DUMMYFUNCTION("""COMPUTED_VALUE"""),"Dubai")</f>
        <v>Dubai</v>
      </c>
      <c r="B787" s="2" t="str">
        <f ca="1">IFERROR(__xludf.DUMMYFUNCTION("""COMPUTED_VALUE"""),"Address Dubai Mall")</f>
        <v>Address Dubai Mall</v>
      </c>
      <c r="C787" s="2" t="str">
        <f ca="1">IFERROR(__xludf.DUMMYFUNCTION("""COMPUTED_VALUE"""),"Cluster")</f>
        <v>Cluster</v>
      </c>
      <c r="D787" s="2" t="str">
        <f ca="1">IFERROR(__xludf.DUMMYFUNCTION("""COMPUTED_VALUE"""),"Dubai&gt;Downtown Dubai&gt;Address Dubai Mall")</f>
        <v>Dubai&gt;Downtown Dubai&gt;Address Dubai Mall</v>
      </c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6.5" x14ac:dyDescent="0.35">
      <c r="A788" s="2" t="str">
        <f ca="1">IFERROR(__xludf.DUMMYFUNCTION("""COMPUTED_VALUE"""),"Dubai")</f>
        <v>Dubai</v>
      </c>
      <c r="B788" s="2" t="str">
        <f ca="1">IFERROR(__xludf.DUMMYFUNCTION("""COMPUTED_VALUE"""),"118 Downtown")</f>
        <v>118 Downtown</v>
      </c>
      <c r="C788" s="2" t="str">
        <f ca="1">IFERROR(__xludf.DUMMYFUNCTION("""COMPUTED_VALUE"""),"Building")</f>
        <v>Building</v>
      </c>
      <c r="D788" s="2" t="str">
        <f ca="1">IFERROR(__xludf.DUMMYFUNCTION("""COMPUTED_VALUE"""),"Dubai&gt;Downtown Dubai&gt;Mohammad Bin Rashid Boulevard&gt;118 Downtown")</f>
        <v>Dubai&gt;Downtown Dubai&gt;Mohammad Bin Rashid Boulevard&gt;118 Downtown</v>
      </c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6.5" x14ac:dyDescent="0.35">
      <c r="A789" s="2" t="str">
        <f ca="1">IFERROR(__xludf.DUMMYFUNCTION("""COMPUTED_VALUE"""),"Dubai")</f>
        <v>Dubai</v>
      </c>
      <c r="B789" s="2" t="str">
        <f ca="1">IFERROR(__xludf.DUMMYFUNCTION("""COMPUTED_VALUE"""),"Act One")</f>
        <v>Act One</v>
      </c>
      <c r="C789" s="2" t="str">
        <f ca="1">IFERROR(__xludf.DUMMYFUNCTION("""COMPUTED_VALUE"""),"Building")</f>
        <v>Building</v>
      </c>
      <c r="D789" s="2" t="str">
        <f ca="1">IFERROR(__xludf.DUMMYFUNCTION("""COMPUTED_VALUE"""),"Dubai&gt;Downtown Dubai&gt;Opera District&gt;Act One | Act Two Towers&gt;Act One")</f>
        <v>Dubai&gt;Downtown Dubai&gt;Opera District&gt;Act One | Act Two Towers&gt;Act One</v>
      </c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6.5" x14ac:dyDescent="0.35">
      <c r="A790" s="2" t="str">
        <f ca="1">IFERROR(__xludf.DUMMYFUNCTION("""COMPUTED_VALUE"""),"Dubai")</f>
        <v>Dubai</v>
      </c>
      <c r="B790" s="2" t="str">
        <f ca="1">IFERROR(__xludf.DUMMYFUNCTION("""COMPUTED_VALUE"""),"Standpoint Tower 2")</f>
        <v>Standpoint Tower 2</v>
      </c>
      <c r="C790" s="2" t="str">
        <f ca="1">IFERROR(__xludf.DUMMYFUNCTION("""COMPUTED_VALUE"""),"Building")</f>
        <v>Building</v>
      </c>
      <c r="D790" s="2" t="str">
        <f ca="1">IFERROR(__xludf.DUMMYFUNCTION("""COMPUTED_VALUE"""),"Dubai&gt;Downtown Dubai&gt;Standpoint Towers&gt;Standpoint Tower 2")</f>
        <v>Dubai&gt;Downtown Dubai&gt;Standpoint Towers&gt;Standpoint Tower 2</v>
      </c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6.5" x14ac:dyDescent="0.35">
      <c r="A791" s="2" t="str">
        <f ca="1">IFERROR(__xludf.DUMMYFUNCTION("""COMPUTED_VALUE"""),"Dubai")</f>
        <v>Dubai</v>
      </c>
      <c r="B791" s="2" t="str">
        <f ca="1">IFERROR(__xludf.DUMMYFUNCTION("""COMPUTED_VALUE"""),"Yansoon 4")</f>
        <v>Yansoon 4</v>
      </c>
      <c r="C791" s="2" t="str">
        <f ca="1">IFERROR(__xludf.DUMMYFUNCTION("""COMPUTED_VALUE"""),"Building")</f>
        <v>Building</v>
      </c>
      <c r="D791" s="2" t="str">
        <f ca="1">IFERROR(__xludf.DUMMYFUNCTION("""COMPUTED_VALUE"""),"Dubai&gt;Downtown Dubai&gt;Old Town&gt;Yansoon&gt;Yansoon 4")</f>
        <v>Dubai&gt;Downtown Dubai&gt;Old Town&gt;Yansoon&gt;Yansoon 4</v>
      </c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6.5" x14ac:dyDescent="0.35">
      <c r="A792" s="2" t="str">
        <f ca="1">IFERROR(__xludf.DUMMYFUNCTION("""COMPUTED_VALUE"""),"Dubai")</f>
        <v>Dubai</v>
      </c>
      <c r="B792" s="2" t="str">
        <f ca="1">IFERROR(__xludf.DUMMYFUNCTION("""COMPUTED_VALUE"""),"St. Regis The Residences")</f>
        <v>St. Regis The Residences</v>
      </c>
      <c r="C792" s="2" t="str">
        <f ca="1">IFERROR(__xludf.DUMMYFUNCTION("""COMPUTED_VALUE"""),"Cluster")</f>
        <v>Cluster</v>
      </c>
      <c r="D792" s="2" t="str">
        <f ca="1">IFERROR(__xludf.DUMMYFUNCTION("""COMPUTED_VALUE"""),"Dubai&gt;Downtown Dubai&gt;St. Regis The Residences")</f>
        <v>Dubai&gt;Downtown Dubai&gt;St. Regis The Residences</v>
      </c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6.5" x14ac:dyDescent="0.35">
      <c r="A793" s="2" t="str">
        <f ca="1">IFERROR(__xludf.DUMMYFUNCTION("""COMPUTED_VALUE"""),"Dubai")</f>
        <v>Dubai</v>
      </c>
      <c r="B793" s="2" t="str">
        <f ca="1">IFERROR(__xludf.DUMMYFUNCTION("""COMPUTED_VALUE"""),"Burj Views B")</f>
        <v>Burj Views B</v>
      </c>
      <c r="C793" s="2" t="str">
        <f ca="1">IFERROR(__xludf.DUMMYFUNCTION("""COMPUTED_VALUE"""),"Building")</f>
        <v>Building</v>
      </c>
      <c r="D793" s="2" t="str">
        <f ca="1">IFERROR(__xludf.DUMMYFUNCTION("""COMPUTED_VALUE"""),"Dubai&gt;Downtown Dubai&gt;Burj Views&gt;Burj Views B")</f>
        <v>Dubai&gt;Downtown Dubai&gt;Burj Views&gt;Burj Views B</v>
      </c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6.5" x14ac:dyDescent="0.35">
      <c r="A794" s="2" t="str">
        <f ca="1">IFERROR(__xludf.DUMMYFUNCTION("""COMPUTED_VALUE"""),"Dubai")</f>
        <v>Dubai</v>
      </c>
      <c r="B794" s="2" t="str">
        <f ca="1">IFERROR(__xludf.DUMMYFUNCTION("""COMPUTED_VALUE"""),"Mazaya 31")</f>
        <v>Mazaya 31</v>
      </c>
      <c r="C794" s="2" t="str">
        <f ca="1">IFERROR(__xludf.DUMMYFUNCTION("""COMPUTED_VALUE"""),"Building")</f>
        <v>Building</v>
      </c>
      <c r="D794" s="2" t="str">
        <f ca="1">IFERROR(__xludf.DUMMYFUNCTION("""COMPUTED_VALUE"""),"Dubai&gt;Liwan&gt;Queue Point&gt;Mazaya 31")</f>
        <v>Dubai&gt;Liwan&gt;Queue Point&gt;Mazaya 31</v>
      </c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6.5" x14ac:dyDescent="0.35">
      <c r="A795" s="2" t="str">
        <f ca="1">IFERROR(__xludf.DUMMYFUNCTION("""COMPUTED_VALUE"""),"Dubai")</f>
        <v>Dubai</v>
      </c>
      <c r="B795" s="2" t="str">
        <f ca="1">IFERROR(__xludf.DUMMYFUNCTION("""COMPUTED_VALUE"""),"Al Manal View")</f>
        <v>Al Manal View</v>
      </c>
      <c r="C795" s="2" t="str">
        <f ca="1">IFERROR(__xludf.DUMMYFUNCTION("""COMPUTED_VALUE"""),"Building")</f>
        <v>Building</v>
      </c>
      <c r="D795" s="2" t="str">
        <f ca="1">IFERROR(__xludf.DUMMYFUNCTION("""COMPUTED_VALUE"""),"Dubai&gt;Liwan&gt;Al Manal View")</f>
        <v>Dubai&gt;Liwan&gt;Al Manal View</v>
      </c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6.5" x14ac:dyDescent="0.35">
      <c r="A796" s="2" t="str">
        <f ca="1">IFERROR(__xludf.DUMMYFUNCTION("""COMPUTED_VALUE"""),"Dubai")</f>
        <v>Dubai</v>
      </c>
      <c r="B796" s="2" t="str">
        <f ca="1">IFERROR(__xludf.DUMMYFUNCTION("""COMPUTED_VALUE"""),"Al Maskan 2")</f>
        <v>Al Maskan 2</v>
      </c>
      <c r="C796" s="2" t="str">
        <f ca="1">IFERROR(__xludf.DUMMYFUNCTION("""COMPUTED_VALUE"""),"Building")</f>
        <v>Building</v>
      </c>
      <c r="D796" s="2" t="str">
        <f ca="1">IFERROR(__xludf.DUMMYFUNCTION("""COMPUTED_VALUE"""),"Dubai&gt;Al Jafiliya&gt;Al Maskan 2")</f>
        <v>Dubai&gt;Al Jafiliya&gt;Al Maskan 2</v>
      </c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6.5" x14ac:dyDescent="0.35">
      <c r="A797" s="2" t="str">
        <f ca="1">IFERROR(__xludf.DUMMYFUNCTION("""COMPUTED_VALUE"""),"Dubai")</f>
        <v>Dubai</v>
      </c>
      <c r="B797" s="2" t="str">
        <f ca="1">IFERROR(__xludf.DUMMYFUNCTION("""COMPUTED_VALUE"""),"The Gate Village 2")</f>
        <v>The Gate Village 2</v>
      </c>
      <c r="C797" s="2" t="str">
        <f ca="1">IFERROR(__xludf.DUMMYFUNCTION("""COMPUTED_VALUE"""),"Building")</f>
        <v>Building</v>
      </c>
      <c r="D797" s="2" t="str">
        <f ca="1">IFERROR(__xludf.DUMMYFUNCTION("""COMPUTED_VALUE"""),"Dubai&gt;DIFC&gt;The Gate Village&gt;The Gate Village 2")</f>
        <v>Dubai&gt;DIFC&gt;The Gate Village&gt;The Gate Village 2</v>
      </c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6.5" x14ac:dyDescent="0.35">
      <c r="A798" s="2" t="str">
        <f ca="1">IFERROR(__xludf.DUMMYFUNCTION("""COMPUTED_VALUE"""),"Dubai")</f>
        <v>Dubai</v>
      </c>
      <c r="B798" s="2" t="str">
        <f ca="1">IFERROR(__xludf.DUMMYFUNCTION("""COMPUTED_VALUE"""),"Deira Private School")</f>
        <v>Deira Private School</v>
      </c>
      <c r="C798" s="2" t="str">
        <f ca="1">IFERROR(__xludf.DUMMYFUNCTION("""COMPUTED_VALUE"""),"School")</f>
        <v>School</v>
      </c>
      <c r="D798" s="2" t="str">
        <f ca="1">IFERROR(__xludf.DUMMYFUNCTION("""COMPUTED_VALUE"""),"Dubai&gt;Al Twar&gt;Al Twar 3&gt;Deira Private School")</f>
        <v>Dubai&gt;Al Twar&gt;Al Twar 3&gt;Deira Private School</v>
      </c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6.5" x14ac:dyDescent="0.35">
      <c r="A799" s="2" t="str">
        <f ca="1">IFERROR(__xludf.DUMMYFUNCTION("""COMPUTED_VALUE"""),"Dubai")</f>
        <v>Dubai</v>
      </c>
      <c r="B799" s="2" t="str">
        <f ca="1">IFERROR(__xludf.DUMMYFUNCTION("""COMPUTED_VALUE"""),"Al Warqa Western Residence")</f>
        <v>Al Warqa Western Residence</v>
      </c>
      <c r="C799" s="2" t="str">
        <f ca="1">IFERROR(__xludf.DUMMYFUNCTION("""COMPUTED_VALUE"""),"Building")</f>
        <v>Building</v>
      </c>
      <c r="D799" s="2" t="str">
        <f ca="1">IFERROR(__xludf.DUMMYFUNCTION("""COMPUTED_VALUE"""),"Dubai&gt;Al Warqaa&gt;Al Warqaa 1&gt;Al Warqa Western Residence")</f>
        <v>Dubai&gt;Al Warqaa&gt;Al Warqaa 1&gt;Al Warqa Western Residence</v>
      </c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6.5" x14ac:dyDescent="0.35">
      <c r="A800" s="2" t="str">
        <f ca="1">IFERROR(__xludf.DUMMYFUNCTION("""COMPUTED_VALUE"""),"Dubai")</f>
        <v>Dubai</v>
      </c>
      <c r="B800" s="2" t="str">
        <f ca="1">IFERROR(__xludf.DUMMYFUNCTION("""COMPUTED_VALUE"""),"Mubarak Hamad Al Aqili Building")</f>
        <v>Mubarak Hamad Al Aqili Building</v>
      </c>
      <c r="C800" s="2" t="str">
        <f ca="1">IFERROR(__xludf.DUMMYFUNCTION("""COMPUTED_VALUE"""),"Building")</f>
        <v>Building</v>
      </c>
      <c r="D800" s="2" t="str">
        <f ca="1">IFERROR(__xludf.DUMMYFUNCTION("""COMPUTED_VALUE"""),"Dubai&gt;Al Warqaa&gt;Al Warqaa 1&gt;Mubarak Hamad Al Aqili Building")</f>
        <v>Dubai&gt;Al Warqaa&gt;Al Warqaa 1&gt;Mubarak Hamad Al Aqili Building</v>
      </c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6.5" x14ac:dyDescent="0.35">
      <c r="A801" s="2" t="str">
        <f ca="1">IFERROR(__xludf.DUMMYFUNCTION("""COMPUTED_VALUE"""),"Dubai")</f>
        <v>Dubai</v>
      </c>
      <c r="B801" s="2" t="str">
        <f ca="1">IFERROR(__xludf.DUMMYFUNCTION("""COMPUTED_VALUE"""),"Dawood Mohammad Khaild Ahmad Mohammad Building 1")</f>
        <v>Dawood Mohammad Khaild Ahmad Mohammad Building 1</v>
      </c>
      <c r="C801" s="2" t="str">
        <f ca="1">IFERROR(__xludf.DUMMYFUNCTION("""COMPUTED_VALUE"""),"Building")</f>
        <v>Building</v>
      </c>
      <c r="D801" s="2" t="str">
        <f ca="1">IFERROR(__xludf.DUMMYFUNCTION("""COMPUTED_VALUE"""),"Dubai&gt;Al Warqaa&gt;Al Warqaa 1&gt;Dawood Mohammad Khaild Ahmad Mohammad Building 1")</f>
        <v>Dubai&gt;Al Warqaa&gt;Al Warqaa 1&gt;Dawood Mohammad Khaild Ahmad Mohammad Building 1</v>
      </c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6.5" x14ac:dyDescent="0.35">
      <c r="A802" s="2" t="str">
        <f ca="1">IFERROR(__xludf.DUMMYFUNCTION("""COMPUTED_VALUE"""),"Dubai")</f>
        <v>Dubai</v>
      </c>
      <c r="B802" s="2" t="str">
        <f ca="1">IFERROR(__xludf.DUMMYFUNCTION("""COMPUTED_VALUE"""),"Nehayan Hamad Salem Balrakad Alameri Building")</f>
        <v>Nehayan Hamad Salem Balrakad Alameri Building</v>
      </c>
      <c r="C802" s="2" t="str">
        <f ca="1">IFERROR(__xludf.DUMMYFUNCTION("""COMPUTED_VALUE"""),"Building")</f>
        <v>Building</v>
      </c>
      <c r="D802" s="2" t="str">
        <f ca="1">IFERROR(__xludf.DUMMYFUNCTION("""COMPUTED_VALUE"""),"Dubai&gt;Al Warqaa&gt;Al Warqaa 1&gt;Nehayan Hamad Salem Balrakad Alameri Building")</f>
        <v>Dubai&gt;Al Warqaa&gt;Al Warqaa 1&gt;Nehayan Hamad Salem Balrakad Alameri Building</v>
      </c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6.5" x14ac:dyDescent="0.35">
      <c r="A803" s="2" t="str">
        <f ca="1">IFERROR(__xludf.DUMMYFUNCTION("""COMPUTED_VALUE"""),"Dubai")</f>
        <v>Dubai</v>
      </c>
      <c r="B803" s="2" t="str">
        <f ca="1">IFERROR(__xludf.DUMMYFUNCTION("""COMPUTED_VALUE"""),"Laguna Movenpick Tower")</f>
        <v>Laguna Movenpick Tower</v>
      </c>
      <c r="C803" s="2" t="str">
        <f ca="1">IFERROR(__xludf.DUMMYFUNCTION("""COMPUTED_VALUE"""),"Building")</f>
        <v>Building</v>
      </c>
      <c r="D803" s="2" t="str">
        <f ca="1">IFERROR(__xludf.DUMMYFUNCTION("""COMPUTED_VALUE"""),"Dubai&gt;Jumeirah Lake Towers (JLT)&gt;JLT Cluster A&gt;Laguna Movenpick Tower")</f>
        <v>Dubai&gt;Jumeirah Lake Towers (JLT)&gt;JLT Cluster A&gt;Laguna Movenpick Tower</v>
      </c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6.5" x14ac:dyDescent="0.35">
      <c r="A804" s="2" t="str">
        <f ca="1">IFERROR(__xludf.DUMMYFUNCTION("""COMPUTED_VALUE"""),"Dubai")</f>
        <v>Dubai</v>
      </c>
      <c r="B804" s="2" t="str">
        <f ca="1">IFERROR(__xludf.DUMMYFUNCTION("""COMPUTED_VALUE"""),"Jumeirah Business Centre 8")</f>
        <v>Jumeirah Business Centre 8</v>
      </c>
      <c r="C804" s="2" t="str">
        <f ca="1">IFERROR(__xludf.DUMMYFUNCTION("""COMPUTED_VALUE"""),"Building")</f>
        <v>Building</v>
      </c>
      <c r="D804" s="2" t="str">
        <f ca="1">IFERROR(__xludf.DUMMYFUNCTION("""COMPUTED_VALUE"""),"Dubai&gt;Jumeirah Lake Towers (JLT)&gt;JLT Cluster H&gt;Jumeirah Business Centre 8")</f>
        <v>Dubai&gt;Jumeirah Lake Towers (JLT)&gt;JLT Cluster H&gt;Jumeirah Business Centre 8</v>
      </c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6.5" x14ac:dyDescent="0.35">
      <c r="A805" s="2" t="str">
        <f ca="1">IFERROR(__xludf.DUMMYFUNCTION("""COMPUTED_VALUE"""),"Dubai")</f>
        <v>Dubai</v>
      </c>
      <c r="B805" s="2" t="str">
        <f ca="1">IFERROR(__xludf.DUMMYFUNCTION("""COMPUTED_VALUE"""),"Armada Towers")</f>
        <v>Armada Towers</v>
      </c>
      <c r="C805" s="2" t="str">
        <f ca="1">IFERROR(__xludf.DUMMYFUNCTION("""COMPUTED_VALUE"""),"Cluster")</f>
        <v>Cluster</v>
      </c>
      <c r="D805" s="2" t="str">
        <f ca="1">IFERROR(__xludf.DUMMYFUNCTION("""COMPUTED_VALUE"""),"Dubai&gt;Jumeirah Lake Towers (JLT)&gt;JLT Cluster P&gt;Armada Towers")</f>
        <v>Dubai&gt;Jumeirah Lake Towers (JLT)&gt;JLT Cluster P&gt;Armada Towers</v>
      </c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6.5" x14ac:dyDescent="0.35">
      <c r="A806" s="2" t="str">
        <f ca="1">IFERROR(__xludf.DUMMYFUNCTION("""COMPUTED_VALUE"""),"Dubai")</f>
        <v>Dubai</v>
      </c>
      <c r="B806" s="2" t="str">
        <f ca="1">IFERROR(__xludf.DUMMYFUNCTION("""COMPUTED_VALUE"""),"Liwa Heights")</f>
        <v>Liwa Heights</v>
      </c>
      <c r="C806" s="2" t="str">
        <f ca="1">IFERROR(__xludf.DUMMYFUNCTION("""COMPUTED_VALUE"""),"Building")</f>
        <v>Building</v>
      </c>
      <c r="D806" s="2" t="str">
        <f ca="1">IFERROR(__xludf.DUMMYFUNCTION("""COMPUTED_VALUE"""),"Dubai&gt;Jumeirah Lake Towers (JLT)&gt;JLT Cluster W&gt;Liwa Heights")</f>
        <v>Dubai&gt;Jumeirah Lake Towers (JLT)&gt;JLT Cluster W&gt;Liwa Heights</v>
      </c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6.5" x14ac:dyDescent="0.35">
      <c r="A807" s="2" t="str">
        <f ca="1">IFERROR(__xludf.DUMMYFUNCTION("""COMPUTED_VALUE"""),"Dubai")</f>
        <v>Dubai</v>
      </c>
      <c r="B807" s="2" t="str">
        <f ca="1">IFERROR(__xludf.DUMMYFUNCTION("""COMPUTED_VALUE"""),"Marriott Residences JLT")</f>
        <v>Marriott Residences JLT</v>
      </c>
      <c r="C807" s="2" t="str">
        <f ca="1">IFERROR(__xludf.DUMMYFUNCTION("""COMPUTED_VALUE"""),"Building")</f>
        <v>Building</v>
      </c>
      <c r="D807" s="2" t="str">
        <f ca="1">IFERROR(__xludf.DUMMYFUNCTION("""COMPUTED_VALUE"""),"Dubai&gt;Jumeirah Lake Towers (JLT)&gt;Marriott Residences JLT")</f>
        <v>Dubai&gt;Jumeirah Lake Towers (JLT)&gt;Marriott Residences JLT</v>
      </c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6.5" x14ac:dyDescent="0.35">
      <c r="A808" s="2" t="str">
        <f ca="1">IFERROR(__xludf.DUMMYFUNCTION("""COMPUTED_VALUE"""),"Dubai")</f>
        <v>Dubai</v>
      </c>
      <c r="B808" s="2" t="str">
        <f ca="1">IFERROR(__xludf.DUMMYFUNCTION("""COMPUTED_VALUE"""),"Palma")</f>
        <v>Palma</v>
      </c>
      <c r="C808" s="2" t="str">
        <f ca="1">IFERROR(__xludf.DUMMYFUNCTION("""COMPUTED_VALUE"""),"Neighbourhood")</f>
        <v>Neighbourhood</v>
      </c>
      <c r="D808" s="2" t="str">
        <f ca="1">IFERROR(__xludf.DUMMYFUNCTION("""COMPUTED_VALUE"""),"Dubai&gt;Arabian Ranches 2&gt;Palma")</f>
        <v>Dubai&gt;Arabian Ranches 2&gt;Palma</v>
      </c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6.5" x14ac:dyDescent="0.35">
      <c r="A809" s="2" t="str">
        <f ca="1">IFERROR(__xludf.DUMMYFUNCTION("""COMPUTED_VALUE"""),"Dubai")</f>
        <v>Dubai</v>
      </c>
      <c r="B809" s="2" t="str">
        <f ca="1">IFERROR(__xludf.DUMMYFUNCTION("""COMPUTED_VALUE"""),"La Cascade")</f>
        <v>La Cascade</v>
      </c>
      <c r="C809" s="2" t="str">
        <f ca="1">IFERROR(__xludf.DUMMYFUNCTION("""COMPUTED_VALUE"""),"Building")</f>
        <v>Building</v>
      </c>
      <c r="D809" s="2" t="str">
        <f ca="1">IFERROR(__xludf.DUMMYFUNCTION("""COMPUTED_VALUE"""),"Dubai&gt;Al Satwa&gt;Jumeirah Garden City&gt;La Cascade")</f>
        <v>Dubai&gt;Al Satwa&gt;Jumeirah Garden City&gt;La Cascade</v>
      </c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6.5" x14ac:dyDescent="0.35">
      <c r="A810" s="2" t="str">
        <f ca="1">IFERROR(__xludf.DUMMYFUNCTION("""COMPUTED_VALUE"""),"Dubai")</f>
        <v>Dubai</v>
      </c>
      <c r="B810" s="2" t="str">
        <f ca="1">IFERROR(__xludf.DUMMYFUNCTION("""COMPUTED_VALUE"""),"171 Garden Heights")</f>
        <v>171 Garden Heights</v>
      </c>
      <c r="C810" s="2" t="str">
        <f ca="1">IFERROR(__xludf.DUMMYFUNCTION("""COMPUTED_VALUE"""),"Building")</f>
        <v>Building</v>
      </c>
      <c r="D810" s="2" t="str">
        <f ca="1">IFERROR(__xludf.DUMMYFUNCTION("""COMPUTED_VALUE"""),"Dubai&gt;Al Satwa&gt;Jumeirah Garden City&gt;171 Garden Heights")</f>
        <v>Dubai&gt;Al Satwa&gt;Jumeirah Garden City&gt;171 Garden Heights</v>
      </c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6.5" x14ac:dyDescent="0.35">
      <c r="A811" s="2" t="str">
        <f ca="1">IFERROR(__xludf.DUMMYFUNCTION("""COMPUTED_VALUE"""),"Dubai")</f>
        <v>Dubai</v>
      </c>
      <c r="B811" s="2" t="str">
        <f ca="1">IFERROR(__xludf.DUMMYFUNCTION("""COMPUTED_VALUE"""),"Karimian 2 Building")</f>
        <v>Karimian 2 Building</v>
      </c>
      <c r="C811" s="2" t="str">
        <f ca="1">IFERROR(__xludf.DUMMYFUNCTION("""COMPUTED_VALUE"""),"Building")</f>
        <v>Building</v>
      </c>
      <c r="D811" s="2" t="str">
        <f ca="1">IFERROR(__xludf.DUMMYFUNCTION("""COMPUTED_VALUE"""),"Dubai&gt;Al Satwa&gt;Jumeirah Garden City&gt;Karimian 2 Building")</f>
        <v>Dubai&gt;Al Satwa&gt;Jumeirah Garden City&gt;Karimian 2 Building</v>
      </c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6.5" x14ac:dyDescent="0.35">
      <c r="A812" s="2" t="str">
        <f ca="1">IFERROR(__xludf.DUMMYFUNCTION("""COMPUTED_VALUE"""),"Dubai")</f>
        <v>Dubai</v>
      </c>
      <c r="B812" s="2" t="str">
        <f ca="1">IFERROR(__xludf.DUMMYFUNCTION("""COMPUTED_VALUE"""),"Courtyard by Marriott World Trade Center")</f>
        <v>Courtyard by Marriott World Trade Center</v>
      </c>
      <c r="C812" s="2" t="str">
        <f ca="1">IFERROR(__xludf.DUMMYFUNCTION("""COMPUTED_VALUE"""),"Building")</f>
        <v>Building</v>
      </c>
      <c r="D812" s="2" t="str">
        <f ca="1">IFERROR(__xludf.DUMMYFUNCTION("""COMPUTED_VALUE"""),"Dubai&gt;Al Satwa&gt;Courtyard by Marriott World Trade Center")</f>
        <v>Dubai&gt;Al Satwa&gt;Courtyard by Marriott World Trade Center</v>
      </c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6.5" x14ac:dyDescent="0.35">
      <c r="A813" s="2" t="str">
        <f ca="1">IFERROR(__xludf.DUMMYFUNCTION("""COMPUTED_VALUE"""),"Dubai")</f>
        <v>Dubai</v>
      </c>
      <c r="B813" s="2" t="str">
        <f ca="1">IFERROR(__xludf.DUMMYFUNCTION("""COMPUTED_VALUE"""),"Cluster 5")</f>
        <v>Cluster 5</v>
      </c>
      <c r="C813" s="2" t="str">
        <f ca="1">IFERROR(__xludf.DUMMYFUNCTION("""COMPUTED_VALUE"""),"Neighbourhood")</f>
        <v>Neighbourhood</v>
      </c>
      <c r="D813" s="2" t="str">
        <f ca="1">IFERROR(__xludf.DUMMYFUNCTION("""COMPUTED_VALUE"""),"Dubai&gt;The Sustainable City&gt;Cluster 5")</f>
        <v>Dubai&gt;The Sustainable City&gt;Cluster 5</v>
      </c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6.5" x14ac:dyDescent="0.35">
      <c r="A814" s="2" t="str">
        <f ca="1">IFERROR(__xludf.DUMMYFUNCTION("""COMPUTED_VALUE"""),"Dubai")</f>
        <v>Dubai</v>
      </c>
      <c r="B814" s="2" t="str">
        <f ca="1">IFERROR(__xludf.DUMMYFUNCTION("""COMPUTED_VALUE"""),"Building 132")</f>
        <v>Building 132</v>
      </c>
      <c r="C814" s="2" t="str">
        <f ca="1">IFERROR(__xludf.DUMMYFUNCTION("""COMPUTED_VALUE"""),"Building")</f>
        <v>Building</v>
      </c>
      <c r="D814" s="2" t="str">
        <f ca="1">IFERROR(__xludf.DUMMYFUNCTION("""COMPUTED_VALUE"""),"Dubai&gt;Discovery Gardens&gt;Contemporary&gt;Building 132")</f>
        <v>Dubai&gt;Discovery Gardens&gt;Contemporary&gt;Building 132</v>
      </c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6.5" x14ac:dyDescent="0.35">
      <c r="A815" s="2" t="str">
        <f ca="1">IFERROR(__xludf.DUMMYFUNCTION("""COMPUTED_VALUE"""),"Dubai")</f>
        <v>Dubai</v>
      </c>
      <c r="B815" s="2" t="str">
        <f ca="1">IFERROR(__xludf.DUMMYFUNCTION("""COMPUTED_VALUE"""),"Building 260")</f>
        <v>Building 260</v>
      </c>
      <c r="C815" s="2" t="str">
        <f ca="1">IFERROR(__xludf.DUMMYFUNCTION("""COMPUTED_VALUE"""),"Building")</f>
        <v>Building</v>
      </c>
      <c r="D815" s="2" t="str">
        <f ca="1">IFERROR(__xludf.DUMMYFUNCTION("""COMPUTED_VALUE"""),"Dubai&gt;Discovery Gardens&gt;Mesoamerican&gt;Building 260")</f>
        <v>Dubai&gt;Discovery Gardens&gt;Mesoamerican&gt;Building 260</v>
      </c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6.5" x14ac:dyDescent="0.35">
      <c r="A816" s="2" t="str">
        <f ca="1">IFERROR(__xludf.DUMMYFUNCTION("""COMPUTED_VALUE"""),"Dubai")</f>
        <v>Dubai</v>
      </c>
      <c r="B816" s="2" t="str">
        <f ca="1">IFERROR(__xludf.DUMMYFUNCTION("""COMPUTED_VALUE"""),"Building 219")</f>
        <v>Building 219</v>
      </c>
      <c r="C816" s="2" t="str">
        <f ca="1">IFERROR(__xludf.DUMMYFUNCTION("""COMPUTED_VALUE"""),"Building")</f>
        <v>Building</v>
      </c>
      <c r="D816" s="2" t="str">
        <f ca="1">IFERROR(__xludf.DUMMYFUNCTION("""COMPUTED_VALUE"""),"Dubai&gt;Discovery Gardens&gt;Mogul&gt;Building 219")</f>
        <v>Dubai&gt;Discovery Gardens&gt;Mogul&gt;Building 219</v>
      </c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6.5" x14ac:dyDescent="0.35">
      <c r="A817" s="2" t="str">
        <f ca="1">IFERROR(__xludf.DUMMYFUNCTION("""COMPUTED_VALUE"""),"Dubai")</f>
        <v>Dubai</v>
      </c>
      <c r="B817" s="2" t="str">
        <f ca="1">IFERROR(__xludf.DUMMYFUNCTION("""COMPUTED_VALUE"""),"Building 21")</f>
        <v>Building 21</v>
      </c>
      <c r="C817" s="2" t="str">
        <f ca="1">IFERROR(__xludf.DUMMYFUNCTION("""COMPUTED_VALUE"""),"Building")</f>
        <v>Building</v>
      </c>
      <c r="D817" s="2" t="str">
        <f ca="1">IFERROR(__xludf.DUMMYFUNCTION("""COMPUTED_VALUE"""),"Dubai&gt;Discovery Gardens&gt;Zen Cluster&gt;Building 21")</f>
        <v>Dubai&gt;Discovery Gardens&gt;Zen Cluster&gt;Building 21</v>
      </c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6.5" x14ac:dyDescent="0.35">
      <c r="A818" s="2" t="str">
        <f ca="1">IFERROR(__xludf.DUMMYFUNCTION("""COMPUTED_VALUE"""),"Dubai")</f>
        <v>Dubai</v>
      </c>
      <c r="B818" s="2" t="str">
        <f ca="1">IFERROR(__xludf.DUMMYFUNCTION("""COMPUTED_VALUE"""),"Building 60")</f>
        <v>Building 60</v>
      </c>
      <c r="C818" s="2" t="str">
        <f ca="1">IFERROR(__xludf.DUMMYFUNCTION("""COMPUTED_VALUE"""),"Building")</f>
        <v>Building</v>
      </c>
      <c r="D818" s="2" t="str">
        <f ca="1">IFERROR(__xludf.DUMMYFUNCTION("""COMPUTED_VALUE"""),"Dubai&gt;Discovery Gardens&gt;Mediterranean&gt;Building 60")</f>
        <v>Dubai&gt;Discovery Gardens&gt;Mediterranean&gt;Building 60</v>
      </c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6.5" x14ac:dyDescent="0.35">
      <c r="A819" s="2" t="str">
        <f ca="1">IFERROR(__xludf.DUMMYFUNCTION("""COMPUTED_VALUE"""),"Dubai")</f>
        <v>Dubai</v>
      </c>
      <c r="B819" s="2" t="str">
        <f ca="1">IFERROR(__xludf.DUMMYFUNCTION("""COMPUTED_VALUE"""),"Building 66")</f>
        <v>Building 66</v>
      </c>
      <c r="C819" s="2" t="str">
        <f ca="1">IFERROR(__xludf.DUMMYFUNCTION("""COMPUTED_VALUE"""),"Building")</f>
        <v>Building</v>
      </c>
      <c r="D819" s="2" t="str">
        <f ca="1">IFERROR(__xludf.DUMMYFUNCTION("""COMPUTED_VALUE"""),"Dubai&gt;Discovery Gardens&gt;Mediterranean&gt;Building 66")</f>
        <v>Dubai&gt;Discovery Gardens&gt;Mediterranean&gt;Building 66</v>
      </c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6.5" x14ac:dyDescent="0.35">
      <c r="A820" s="2" t="str">
        <f ca="1">IFERROR(__xludf.DUMMYFUNCTION("""COMPUTED_VALUE"""),"Dubai")</f>
        <v>Dubai</v>
      </c>
      <c r="B820" s="2" t="str">
        <f ca="1">IFERROR(__xludf.DUMMYFUNCTION("""COMPUTED_VALUE"""),"Floarea Vista")</f>
        <v>Floarea Vista</v>
      </c>
      <c r="C820" s="2" t="str">
        <f ca="1">IFERROR(__xludf.DUMMYFUNCTION("""COMPUTED_VALUE"""),"Building")</f>
        <v>Building</v>
      </c>
      <c r="D820" s="2" t="str">
        <f ca="1">IFERROR(__xludf.DUMMYFUNCTION("""COMPUTED_VALUE"""),"Dubai&gt;Discovery Gardens&gt;Floarea Vista")</f>
        <v>Dubai&gt;Discovery Gardens&gt;Floarea Vista</v>
      </c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6.5" x14ac:dyDescent="0.35">
      <c r="A821" s="2" t="str">
        <f ca="1">IFERROR(__xludf.DUMMYFUNCTION("""COMPUTED_VALUE"""),"Dubai")</f>
        <v>Dubai</v>
      </c>
      <c r="B821" s="2" t="str">
        <f ca="1">IFERROR(__xludf.DUMMYFUNCTION("""COMPUTED_VALUE"""),"Al Habool")</f>
        <v>Al Habool</v>
      </c>
      <c r="C821" s="2" t="str">
        <f ca="1">IFERROR(__xludf.DUMMYFUNCTION("""COMPUTED_VALUE"""),"Building")</f>
        <v>Building</v>
      </c>
      <c r="D821" s="2" t="str">
        <f ca="1">IFERROR(__xludf.DUMMYFUNCTION("""COMPUTED_VALUE"""),"Dubai&gt;Palm Jumeirah&gt;Shoreline Apartments&gt;Al Habool")</f>
        <v>Dubai&gt;Palm Jumeirah&gt;Shoreline Apartments&gt;Al Habool</v>
      </c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6.5" x14ac:dyDescent="0.35">
      <c r="A822" s="2" t="str">
        <f ca="1">IFERROR(__xludf.DUMMYFUNCTION("""COMPUTED_VALUE"""),"Dubai")</f>
        <v>Dubai</v>
      </c>
      <c r="B822" s="2" t="str">
        <f ca="1">IFERROR(__xludf.DUMMYFUNCTION("""COMPUTED_VALUE"""),"Signature Villas Frond C")</f>
        <v>Signature Villas Frond C</v>
      </c>
      <c r="C822" s="2" t="str">
        <f ca="1">IFERROR(__xludf.DUMMYFUNCTION("""COMPUTED_VALUE"""),"Neighbourhood")</f>
        <v>Neighbourhood</v>
      </c>
      <c r="D822" s="2" t="str">
        <f ca="1">IFERROR(__xludf.DUMMYFUNCTION("""COMPUTED_VALUE"""),"Dubai&gt;Palm Jumeirah&gt;Signature Villas Palm Jumeirah&gt;Signature Villas Frond C")</f>
        <v>Dubai&gt;Palm Jumeirah&gt;Signature Villas Palm Jumeirah&gt;Signature Villas Frond C</v>
      </c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6.5" x14ac:dyDescent="0.35">
      <c r="A823" s="2" t="str">
        <f ca="1">IFERROR(__xludf.DUMMYFUNCTION("""COMPUTED_VALUE"""),"Dubai")</f>
        <v>Dubai</v>
      </c>
      <c r="B823" s="2" t="str">
        <f ca="1">IFERROR(__xludf.DUMMYFUNCTION("""COMPUTED_VALUE"""),"The Fairmont Palm Residence South")</f>
        <v>The Fairmont Palm Residence South</v>
      </c>
      <c r="C823" s="2" t="str">
        <f ca="1">IFERROR(__xludf.DUMMYFUNCTION("""COMPUTED_VALUE"""),"Building")</f>
        <v>Building</v>
      </c>
      <c r="D823" s="2" t="str">
        <f ca="1">IFERROR(__xludf.DUMMYFUNCTION("""COMPUTED_VALUE"""),"Dubai&gt;Palm Jumeirah&gt;The Fairmont Palm Residences&gt;The Fairmont Palm Residence South")</f>
        <v>Dubai&gt;Palm Jumeirah&gt;The Fairmont Palm Residences&gt;The Fairmont Palm Residence South</v>
      </c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6.5" x14ac:dyDescent="0.35">
      <c r="A824" s="2" t="str">
        <f ca="1">IFERROR(__xludf.DUMMYFUNCTION("""COMPUTED_VALUE"""),"Dubai")</f>
        <v>Dubai</v>
      </c>
      <c r="B824" s="2" t="str">
        <f ca="1">IFERROR(__xludf.DUMMYFUNCTION("""COMPUTED_VALUE"""),"The Alba Residences by Omniyat Building 2")</f>
        <v>The Alba Residences by Omniyat Building 2</v>
      </c>
      <c r="C824" s="2" t="str">
        <f ca="1">IFERROR(__xludf.DUMMYFUNCTION("""COMPUTED_VALUE"""),"Building")</f>
        <v>Building</v>
      </c>
      <c r="D824" s="2" t="str">
        <f ca="1">IFERROR(__xludf.DUMMYFUNCTION("""COMPUTED_VALUE"""),"Dubai&gt;Palm Jumeirah&gt;The Crescent&gt;The Alba Residences by Omniyat&gt;The Alba Residences by Omniyat Building 2")</f>
        <v>Dubai&gt;Palm Jumeirah&gt;The Crescent&gt;The Alba Residences by Omniyat&gt;The Alba Residences by Omniyat Building 2</v>
      </c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6.5" x14ac:dyDescent="0.35">
      <c r="A825" s="2" t="str">
        <f ca="1">IFERROR(__xludf.DUMMYFUNCTION("""COMPUTED_VALUE"""),"Dubai")</f>
        <v>Dubai</v>
      </c>
      <c r="B825" s="2" t="str">
        <f ca="1">IFERROR(__xludf.DUMMYFUNCTION("""COMPUTED_VALUE"""),"Seabird Residence")</f>
        <v>Seabird Residence</v>
      </c>
      <c r="C825" s="2" t="str">
        <f ca="1">IFERROR(__xludf.DUMMYFUNCTION("""COMPUTED_VALUE"""),"Building")</f>
        <v>Building</v>
      </c>
      <c r="D825" s="2" t="str">
        <f ca="1">IFERROR(__xludf.DUMMYFUNCTION("""COMPUTED_VALUE"""),"Dubai&gt;Palm Jumeirah&gt;Seabird Residence")</f>
        <v>Dubai&gt;Palm Jumeirah&gt;Seabird Residence</v>
      </c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6.5" x14ac:dyDescent="0.35">
      <c r="A826" s="2" t="str">
        <f ca="1">IFERROR(__xludf.DUMMYFUNCTION("""COMPUTED_VALUE"""),"Dubai")</f>
        <v>Dubai</v>
      </c>
      <c r="B826" s="2" t="str">
        <f ca="1">IFERROR(__xludf.DUMMYFUNCTION("""COMPUTED_VALUE"""),"Oceana Caribbean")</f>
        <v>Oceana Caribbean</v>
      </c>
      <c r="C826" s="2" t="str">
        <f ca="1">IFERROR(__xludf.DUMMYFUNCTION("""COMPUTED_VALUE"""),"Building")</f>
        <v>Building</v>
      </c>
      <c r="D826" s="2" t="str">
        <f ca="1">IFERROR(__xludf.DUMMYFUNCTION("""COMPUTED_VALUE"""),"Dubai&gt;Palm Jumeirah&gt;Oceana&gt;Oceana Caribbean")</f>
        <v>Dubai&gt;Palm Jumeirah&gt;Oceana&gt;Oceana Caribbean</v>
      </c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6.5" x14ac:dyDescent="0.35">
      <c r="A827" s="2" t="str">
        <f ca="1">IFERROR(__xludf.DUMMYFUNCTION("""COMPUTED_VALUE"""),"Dubai")</f>
        <v>Dubai</v>
      </c>
      <c r="B827" s="2" t="str">
        <f ca="1">IFERROR(__xludf.DUMMYFUNCTION("""COMPUTED_VALUE"""),"Al Waleed Gardens")</f>
        <v>Al Waleed Gardens</v>
      </c>
      <c r="C827" s="2" t="str">
        <f ca="1">IFERROR(__xludf.DUMMYFUNCTION("""COMPUTED_VALUE"""),"Building")</f>
        <v>Building</v>
      </c>
      <c r="D827" s="2" t="str">
        <f ca="1">IFERROR(__xludf.DUMMYFUNCTION("""COMPUTED_VALUE"""),"Dubai&gt;Al Jaddaf&gt;Al Waleed Gardens")</f>
        <v>Dubai&gt;Al Jaddaf&gt;Al Waleed Gardens</v>
      </c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6.5" x14ac:dyDescent="0.35">
      <c r="A828" s="2" t="str">
        <f ca="1">IFERROR(__xludf.DUMMYFUNCTION("""COMPUTED_VALUE"""),"Dubai")</f>
        <v>Dubai</v>
      </c>
      <c r="B828" s="2" t="str">
        <f ca="1">IFERROR(__xludf.DUMMYFUNCTION("""COMPUTED_VALUE"""),"Sheikh Ahmed Square Tower A")</f>
        <v>Sheikh Ahmed Square Tower A</v>
      </c>
      <c r="C828" s="2" t="str">
        <f ca="1">IFERROR(__xludf.DUMMYFUNCTION("""COMPUTED_VALUE"""),"Building")</f>
        <v>Building</v>
      </c>
      <c r="D828" s="2" t="str">
        <f ca="1">IFERROR(__xludf.DUMMYFUNCTION("""COMPUTED_VALUE"""),"Dubai&gt;Al Jaddaf&gt;Dubai Healthcare City Phase 2&gt;Sheikh Ahmed Square&gt;Sheikh Ahmed Square Tower A")</f>
        <v>Dubai&gt;Al Jaddaf&gt;Dubai Healthcare City Phase 2&gt;Sheikh Ahmed Square&gt;Sheikh Ahmed Square Tower A</v>
      </c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6.5" x14ac:dyDescent="0.35">
      <c r="A829" s="2" t="str">
        <f ca="1">IFERROR(__xludf.DUMMYFUNCTION("""COMPUTED_VALUE"""),"Dubai")</f>
        <v>Dubai</v>
      </c>
      <c r="B829" s="2" t="str">
        <f ca="1">IFERROR(__xludf.DUMMYFUNCTION("""COMPUTED_VALUE"""),"Spinnaker Residence")</f>
        <v>Spinnaker Residence</v>
      </c>
      <c r="C829" s="2" t="str">
        <f ca="1">IFERROR(__xludf.DUMMYFUNCTION("""COMPUTED_VALUE"""),"Building")</f>
        <v>Building</v>
      </c>
      <c r="D829" s="2" t="str">
        <f ca="1">IFERROR(__xludf.DUMMYFUNCTION("""COMPUTED_VALUE"""),"Dubai&gt;Al Jaddaf&gt;Spinnaker Residence")</f>
        <v>Dubai&gt;Al Jaddaf&gt;Spinnaker Residence</v>
      </c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6.5" x14ac:dyDescent="0.35">
      <c r="A830" s="2" t="str">
        <f ca="1">IFERROR(__xludf.DUMMYFUNCTION("""COMPUTED_VALUE"""),"Dubai")</f>
        <v>Dubai</v>
      </c>
      <c r="B830" s="2" t="str">
        <f ca="1">IFERROR(__xludf.DUMMYFUNCTION("""COMPUTED_VALUE"""),"Haven Heights")</f>
        <v>Haven Heights</v>
      </c>
      <c r="C830" s="2" t="str">
        <f ca="1">IFERROR(__xludf.DUMMYFUNCTION("""COMPUTED_VALUE"""),"Building")</f>
        <v>Building</v>
      </c>
      <c r="D830" s="2" t="str">
        <f ca="1">IFERROR(__xludf.DUMMYFUNCTION("""COMPUTED_VALUE"""),"Dubai&gt;Al Jaddaf&gt;Haven Heights")</f>
        <v>Dubai&gt;Al Jaddaf&gt;Haven Heights</v>
      </c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6.5" x14ac:dyDescent="0.35">
      <c r="A831" s="2" t="str">
        <f ca="1">IFERROR(__xludf.DUMMYFUNCTION("""COMPUTED_VALUE"""),"Dubai")</f>
        <v>Dubai</v>
      </c>
      <c r="B831" s="2" t="str">
        <f ca="1">IFERROR(__xludf.DUMMYFUNCTION("""COMPUTED_VALUE"""),"Frond K")</f>
        <v>Frond K</v>
      </c>
      <c r="C831" s="2" t="str">
        <f ca="1">IFERROR(__xludf.DUMMYFUNCTION("""COMPUTED_VALUE"""),"Neighbourhood")</f>
        <v>Neighbourhood</v>
      </c>
      <c r="D831" s="2" t="str">
        <f ca="1">IFERROR(__xludf.DUMMYFUNCTION("""COMPUTED_VALUE"""),"Dubai&gt;Palm Jebel Ali&gt;Frond K")</f>
        <v>Dubai&gt;Palm Jebel Ali&gt;Frond K</v>
      </c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6.5" x14ac:dyDescent="0.35">
      <c r="A832" s="2" t="str">
        <f ca="1">IFERROR(__xludf.DUMMYFUNCTION("""COMPUTED_VALUE"""),"Dubai")</f>
        <v>Dubai</v>
      </c>
      <c r="B832" s="2" t="str">
        <f ca="1">IFERROR(__xludf.DUMMYFUNCTION("""COMPUTED_VALUE"""),"The S Hotel Al Barsha")</f>
        <v>The S Hotel Al Barsha</v>
      </c>
      <c r="C832" s="2" t="str">
        <f ca="1">IFERROR(__xludf.DUMMYFUNCTION("""COMPUTED_VALUE"""),"Building")</f>
        <v>Building</v>
      </c>
      <c r="D832" s="2" t="str">
        <f ca="1">IFERROR(__xludf.DUMMYFUNCTION("""COMPUTED_VALUE"""),"Dubai&gt;Dubai Science Park&gt;The S Hotel Al Barsha")</f>
        <v>Dubai&gt;Dubai Science Park&gt;The S Hotel Al Barsha</v>
      </c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6.5" x14ac:dyDescent="0.35">
      <c r="A833" s="2" t="str">
        <f ca="1">IFERROR(__xludf.DUMMYFUNCTION("""COMPUTED_VALUE"""),"Dubai")</f>
        <v>Dubai</v>
      </c>
      <c r="B833" s="2" t="str">
        <f ca="1">IFERROR(__xludf.DUMMYFUNCTION("""COMPUTED_VALUE"""),"The Springs 6")</f>
        <v>The Springs 6</v>
      </c>
      <c r="C833" s="2" t="str">
        <f ca="1">IFERROR(__xludf.DUMMYFUNCTION("""COMPUTED_VALUE"""),"Neighbourhood")</f>
        <v>Neighbourhood</v>
      </c>
      <c r="D833" s="2" t="str">
        <f ca="1">IFERROR(__xludf.DUMMYFUNCTION("""COMPUTED_VALUE"""),"Dubai&gt;The Springs&gt;The Springs 6")</f>
        <v>Dubai&gt;The Springs&gt;The Springs 6</v>
      </c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6.5" x14ac:dyDescent="0.35">
      <c r="A834" s="2" t="str">
        <f ca="1">IFERROR(__xludf.DUMMYFUNCTION("""COMPUTED_VALUE"""),"Dubai")</f>
        <v>Dubai</v>
      </c>
      <c r="B834" s="2" t="str">
        <f ca="1">IFERROR(__xludf.DUMMYFUNCTION("""COMPUTED_VALUE"""),"Hillside Residences 3 Building A")</f>
        <v>Hillside Residences 3 Building A</v>
      </c>
      <c r="C834" s="2" t="str">
        <f ca="1">IFERROR(__xludf.DUMMYFUNCTION("""COMPUTED_VALUE"""),"Building")</f>
        <v>Building</v>
      </c>
      <c r="D834" s="2" t="str">
        <f ca="1">IFERROR(__xludf.DUMMYFUNCTION("""COMPUTED_VALUE"""),"Dubai&gt;Wasl Gate&gt;Hillside Residences&gt;Hillside Residences 3&gt;Hillside Residences 3 Building A")</f>
        <v>Dubai&gt;Wasl Gate&gt;Hillside Residences&gt;Hillside Residences 3&gt;Hillside Residences 3 Building A</v>
      </c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6.5" x14ac:dyDescent="0.35">
      <c r="A835" s="2" t="str">
        <f ca="1">IFERROR(__xludf.DUMMYFUNCTION("""COMPUTED_VALUE"""),"Dubai")</f>
        <v>Dubai</v>
      </c>
      <c r="B835" s="2" t="str">
        <f ca="1">IFERROR(__xludf.DUMMYFUNCTION("""COMPUTED_VALUE"""),"Ethan Residences")</f>
        <v>Ethan Residences</v>
      </c>
      <c r="C835" s="2" t="str">
        <f ca="1">IFERROR(__xludf.DUMMYFUNCTION("""COMPUTED_VALUE"""),"Building")</f>
        <v>Building</v>
      </c>
      <c r="D835" s="2" t="str">
        <f ca="1">IFERROR(__xludf.DUMMYFUNCTION("""COMPUTED_VALUE"""),"Dubai&gt;Nad Al Sheba&gt;Nad Al Sheba 1&gt;Nad Al Sheba Gardens&gt;Nad Al Sheba Gardens 1&gt;Ethan Residences")</f>
        <v>Dubai&gt;Nad Al Sheba&gt;Nad Al Sheba 1&gt;Nad Al Sheba Gardens&gt;Nad Al Sheba Gardens 1&gt;Ethan Residences</v>
      </c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6.5" x14ac:dyDescent="0.35">
      <c r="A836" s="2" t="str">
        <f ca="1">IFERROR(__xludf.DUMMYFUNCTION("""COMPUTED_VALUE"""),"Dubai")</f>
        <v>Dubai</v>
      </c>
      <c r="B836" s="2" t="str">
        <f ca="1">IFERROR(__xludf.DUMMYFUNCTION("""COMPUTED_VALUE"""),"Dubai Jewel Tower")</f>
        <v>Dubai Jewel Tower</v>
      </c>
      <c r="C836" s="2" t="str">
        <f ca="1">IFERROR(__xludf.DUMMYFUNCTION("""COMPUTED_VALUE"""),"Building")</f>
        <v>Building</v>
      </c>
      <c r="D836" s="2" t="str">
        <f ca="1">IFERROR(__xludf.DUMMYFUNCTION("""COMPUTED_VALUE"""),"Dubai&gt;Dubai Internet City&gt;Dubai Jewel Tower")</f>
        <v>Dubai&gt;Dubai Internet City&gt;Dubai Jewel Tower</v>
      </c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6.5" x14ac:dyDescent="0.35">
      <c r="A837" s="2" t="str">
        <f ca="1">IFERROR(__xludf.DUMMYFUNCTION("""COMPUTED_VALUE"""),"Dubai")</f>
        <v>Dubai</v>
      </c>
      <c r="B837" s="2" t="str">
        <f ca="1">IFERROR(__xludf.DUMMYFUNCTION("""COMPUTED_VALUE"""),"DIC 4")</f>
        <v>DIC 4</v>
      </c>
      <c r="C837" s="2" t="str">
        <f ca="1">IFERROR(__xludf.DUMMYFUNCTION("""COMPUTED_VALUE"""),"Building")</f>
        <v>Building</v>
      </c>
      <c r="D837" s="2" t="str">
        <f ca="1">IFERROR(__xludf.DUMMYFUNCTION("""COMPUTED_VALUE"""),"Dubai&gt;Dubai Internet City&gt;DIC&gt;DIC 4")</f>
        <v>Dubai&gt;Dubai Internet City&gt;DIC&gt;DIC 4</v>
      </c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6.5" x14ac:dyDescent="0.35">
      <c r="A838" s="2" t="str">
        <f ca="1">IFERROR(__xludf.DUMMYFUNCTION("""COMPUTED_VALUE"""),"Dubai")</f>
        <v>Dubai</v>
      </c>
      <c r="B838" s="2" t="str">
        <f ca="1">IFERROR(__xludf.DUMMYFUNCTION("""COMPUTED_VALUE"""),"June")</f>
        <v>June</v>
      </c>
      <c r="C838" s="2" t="str">
        <f ca="1">IFERROR(__xludf.DUMMYFUNCTION("""COMPUTED_VALUE"""),"Neighbourhood")</f>
        <v>Neighbourhood</v>
      </c>
      <c r="D838" s="2" t="str">
        <f ca="1">IFERROR(__xludf.DUMMYFUNCTION("""COMPUTED_VALUE"""),"Dubai&gt;Arabian Ranches 3&gt;June")</f>
        <v>Dubai&gt;Arabian Ranches 3&gt;June</v>
      </c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6.5" x14ac:dyDescent="0.35">
      <c r="A839" s="2" t="str">
        <f ca="1">IFERROR(__xludf.DUMMYFUNCTION("""COMPUTED_VALUE"""),"Dubai")</f>
        <v>Dubai</v>
      </c>
      <c r="B839" s="2" t="str">
        <f ca="1">IFERROR(__xludf.DUMMYFUNCTION("""COMPUTED_VALUE"""),"Bayline")</f>
        <v>Bayline</v>
      </c>
      <c r="C839" s="2" t="str">
        <f ca="1">IFERROR(__xludf.DUMMYFUNCTION("""COMPUTED_VALUE"""),"Building")</f>
        <v>Building</v>
      </c>
      <c r="D839" s="2" t="str">
        <f ca="1">IFERROR(__xludf.DUMMYFUNCTION("""COMPUTED_VALUE"""),"Dubai&gt;Mina Rashid&gt;Bayline")</f>
        <v>Dubai&gt;Mina Rashid&gt;Bayline</v>
      </c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6.5" x14ac:dyDescent="0.35">
      <c r="A840" s="2" t="str">
        <f ca="1">IFERROR(__xludf.DUMMYFUNCTION("""COMPUTED_VALUE"""),"Dubai")</f>
        <v>Dubai</v>
      </c>
      <c r="B840" s="2" t="str">
        <f ca="1">IFERROR(__xludf.DUMMYFUNCTION("""COMPUTED_VALUE"""),"Signature Villas (Emirates Hills)")</f>
        <v>Signature Villas (Emirates Hills)</v>
      </c>
      <c r="C840" s="2" t="str">
        <f ca="1">IFERROR(__xludf.DUMMYFUNCTION("""COMPUTED_VALUE"""),"Neighbourhood")</f>
        <v>Neighbourhood</v>
      </c>
      <c r="D840" s="2" t="str">
        <f ca="1">IFERROR(__xludf.DUMMYFUNCTION("""COMPUTED_VALUE"""),"Dubai&gt;Emirates Hills&gt;Signature Villas (Emirates Hills)")</f>
        <v>Dubai&gt;Emirates Hills&gt;Signature Villas (Emirates Hills)</v>
      </c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6.5" x14ac:dyDescent="0.35">
      <c r="A841" s="2" t="str">
        <f ca="1">IFERROR(__xludf.DUMMYFUNCTION("""COMPUTED_VALUE"""),"Dubai")</f>
        <v>Dubai</v>
      </c>
      <c r="B841" s="2" t="str">
        <f ca="1">IFERROR(__xludf.DUMMYFUNCTION("""COMPUTED_VALUE"""),"Farm Grove")</f>
        <v>Farm Grove</v>
      </c>
      <c r="C841" s="2" t="str">
        <f ca="1">IFERROR(__xludf.DUMMYFUNCTION("""COMPUTED_VALUE"""),"Neighbourhood")</f>
        <v>Neighbourhood</v>
      </c>
      <c r="D841" s="2" t="str">
        <f ca="1">IFERROR(__xludf.DUMMYFUNCTION("""COMPUTED_VALUE"""),"Dubai&gt;The Valley by Emaar&gt;Farm Grove")</f>
        <v>Dubai&gt;The Valley by Emaar&gt;Farm Grove</v>
      </c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6.5" x14ac:dyDescent="0.35">
      <c r="A842" s="2" t="str">
        <f ca="1">IFERROR(__xludf.DUMMYFUNCTION("""COMPUTED_VALUE"""),"Dubai")</f>
        <v>Dubai</v>
      </c>
      <c r="B842" s="2" t="str">
        <f ca="1">IFERROR(__xludf.DUMMYFUNCTION("""COMPUTED_VALUE"""),"La Avenida 2")</f>
        <v>La Avenida 2</v>
      </c>
      <c r="C842" s="2" t="str">
        <f ca="1">IFERROR(__xludf.DUMMYFUNCTION("""COMPUTED_VALUE"""),"Neighbourhood")</f>
        <v>Neighbourhood</v>
      </c>
      <c r="D842" s="2" t="str">
        <f ca="1">IFERROR(__xludf.DUMMYFUNCTION("""COMPUTED_VALUE"""),"Dubai&gt;Arabian Ranches&gt;La Avenida&gt;La Avenida 2")</f>
        <v>Dubai&gt;Arabian Ranches&gt;La Avenida&gt;La Avenida 2</v>
      </c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6.5" x14ac:dyDescent="0.35">
      <c r="A843" s="2" t="str">
        <f ca="1">IFERROR(__xludf.DUMMYFUNCTION("""COMPUTED_VALUE"""),"Dubai")</f>
        <v>Dubai</v>
      </c>
      <c r="B843" s="2" t="str">
        <f ca="1">IFERROR(__xludf.DUMMYFUNCTION("""COMPUTED_VALUE"""),"The Gardens Building 125")</f>
        <v>The Gardens Building 125</v>
      </c>
      <c r="C843" s="2" t="str">
        <f ca="1">IFERROR(__xludf.DUMMYFUNCTION("""COMPUTED_VALUE"""),"Building")</f>
        <v>Building</v>
      </c>
      <c r="D843" s="2" t="str">
        <f ca="1">IFERROR(__xludf.DUMMYFUNCTION("""COMPUTED_VALUE"""),"Dubai&gt;The Gardens&gt;The Gardens Building 125")</f>
        <v>Dubai&gt;The Gardens&gt;The Gardens Building 125</v>
      </c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6.5" x14ac:dyDescent="0.35">
      <c r="A844" s="2" t="str">
        <f ca="1">IFERROR(__xludf.DUMMYFUNCTION("""COMPUTED_VALUE"""),"Dubai")</f>
        <v>Dubai</v>
      </c>
      <c r="B844" s="2" t="str">
        <f ca="1">IFERROR(__xludf.DUMMYFUNCTION("""COMPUTED_VALUE"""),"The Gardens Building 74")</f>
        <v>The Gardens Building 74</v>
      </c>
      <c r="C844" s="2" t="str">
        <f ca="1">IFERROR(__xludf.DUMMYFUNCTION("""COMPUTED_VALUE"""),"Building")</f>
        <v>Building</v>
      </c>
      <c r="D844" s="2" t="str">
        <f ca="1">IFERROR(__xludf.DUMMYFUNCTION("""COMPUTED_VALUE"""),"Dubai&gt;The Gardens&gt;The Gardens Building 74")</f>
        <v>Dubai&gt;The Gardens&gt;The Gardens Building 74</v>
      </c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6.5" x14ac:dyDescent="0.35">
      <c r="A845" s="2" t="str">
        <f ca="1">IFERROR(__xludf.DUMMYFUNCTION("""COMPUTED_VALUE"""),"Dubai")</f>
        <v>Dubai</v>
      </c>
      <c r="B845" s="2" t="str">
        <f ca="1">IFERROR(__xludf.DUMMYFUNCTION("""COMPUTED_VALUE"""),"The Gardens Building 118")</f>
        <v>The Gardens Building 118</v>
      </c>
      <c r="C845" s="2" t="str">
        <f ca="1">IFERROR(__xludf.DUMMYFUNCTION("""COMPUTED_VALUE"""),"Building")</f>
        <v>Building</v>
      </c>
      <c r="D845" s="2" t="str">
        <f ca="1">IFERROR(__xludf.DUMMYFUNCTION("""COMPUTED_VALUE"""),"Dubai&gt;The Gardens&gt;The Gardens Building 118")</f>
        <v>Dubai&gt;The Gardens&gt;The Gardens Building 118</v>
      </c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6.5" x14ac:dyDescent="0.35">
      <c r="A846" s="2" t="str">
        <f ca="1">IFERROR(__xludf.DUMMYFUNCTION("""COMPUTED_VALUE"""),"Dubai")</f>
        <v>Dubai</v>
      </c>
      <c r="B846" s="2" t="str">
        <f ca="1">IFERROR(__xludf.DUMMYFUNCTION("""COMPUTED_VALUE"""),"Bluewaters Bay Building 2")</f>
        <v>Bluewaters Bay Building 2</v>
      </c>
      <c r="C846" s="2" t="str">
        <f ca="1">IFERROR(__xludf.DUMMYFUNCTION("""COMPUTED_VALUE"""),"Building")</f>
        <v>Building</v>
      </c>
      <c r="D846" s="2" t="str">
        <f ca="1">IFERROR(__xludf.DUMMYFUNCTION("""COMPUTED_VALUE"""),"Dubai&gt;Bluewaters Island&gt;Bluewaters Bay&gt;Bluewaters Bay Building 2")</f>
        <v>Dubai&gt;Bluewaters Island&gt;Bluewaters Bay&gt;Bluewaters Bay Building 2</v>
      </c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6.5" x14ac:dyDescent="0.35">
      <c r="A847" s="2" t="str">
        <f ca="1">IFERROR(__xludf.DUMMYFUNCTION("""COMPUTED_VALUE"""),"Dubai")</f>
        <v>Dubai</v>
      </c>
      <c r="B847" s="2" t="str">
        <f ca="1">IFERROR(__xludf.DUMMYFUNCTION("""COMPUTED_VALUE"""),"Rafraf Building")</f>
        <v>Rafraf Building</v>
      </c>
      <c r="C847" s="2" t="str">
        <f ca="1">IFERROR(__xludf.DUMMYFUNCTION("""COMPUTED_VALUE"""),"Building")</f>
        <v>Building</v>
      </c>
      <c r="D847" s="2" t="str">
        <f ca="1">IFERROR(__xludf.DUMMYFUNCTION("""COMPUTED_VALUE"""),"Dubai&gt;Muhaisnah&gt;Muhaisnah 4&gt;Rafraf Building")</f>
        <v>Dubai&gt;Muhaisnah&gt;Muhaisnah 4&gt;Rafraf Building</v>
      </c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6.5" x14ac:dyDescent="0.35">
      <c r="A848" s="2" t="str">
        <f ca="1">IFERROR(__xludf.DUMMYFUNCTION("""COMPUTED_VALUE"""),"Dubai")</f>
        <v>Dubai</v>
      </c>
      <c r="B848" s="2" t="str">
        <f ca="1">IFERROR(__xludf.DUMMYFUNCTION("""COMPUTED_VALUE"""),"Qamar 6")</f>
        <v>Qamar 6</v>
      </c>
      <c r="C848" s="2" t="str">
        <f ca="1">IFERROR(__xludf.DUMMYFUNCTION("""COMPUTED_VALUE"""),"Building")</f>
        <v>Building</v>
      </c>
      <c r="D848" s="2" t="str">
        <f ca="1">IFERROR(__xludf.DUMMYFUNCTION("""COMPUTED_VALUE"""),"Dubai&gt;Muhaisnah&gt;Muhaisnah 1&gt;Madinat Badr&gt;Qamar 6")</f>
        <v>Dubai&gt;Muhaisnah&gt;Muhaisnah 1&gt;Madinat Badr&gt;Qamar 6</v>
      </c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6.5" x14ac:dyDescent="0.35">
      <c r="A849" s="2" t="str">
        <f ca="1">IFERROR(__xludf.DUMMYFUNCTION("""COMPUTED_VALUE"""),"Dubai")</f>
        <v>Dubai</v>
      </c>
      <c r="B849" s="2" t="str">
        <f ca="1">IFERROR(__xludf.DUMMYFUNCTION("""COMPUTED_VALUE"""),"Matloob Building")</f>
        <v>Matloob Building</v>
      </c>
      <c r="C849" s="2" t="str">
        <f ca="1">IFERROR(__xludf.DUMMYFUNCTION("""COMPUTED_VALUE"""),"Building")</f>
        <v>Building</v>
      </c>
      <c r="D849" s="2" t="str">
        <f ca="1">IFERROR(__xludf.DUMMYFUNCTION("""COMPUTED_VALUE"""),"Dubai&gt;Sheikh Zayed Road&gt;Matloob Building")</f>
        <v>Dubai&gt;Sheikh Zayed Road&gt;Matloob Building</v>
      </c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6.5" x14ac:dyDescent="0.35">
      <c r="A850" s="2" t="str">
        <f ca="1">IFERROR(__xludf.DUMMYFUNCTION("""COMPUTED_VALUE"""),"Dubai")</f>
        <v>Dubai</v>
      </c>
      <c r="B850" s="2" t="str">
        <f ca="1">IFERROR(__xludf.DUMMYFUNCTION("""COMPUTED_VALUE"""),"Al Kawakeb A")</f>
        <v>Al Kawakeb A</v>
      </c>
      <c r="C850" s="2" t="str">
        <f ca="1">IFERROR(__xludf.DUMMYFUNCTION("""COMPUTED_VALUE"""),"Building")</f>
        <v>Building</v>
      </c>
      <c r="D850" s="2" t="str">
        <f ca="1">IFERROR(__xludf.DUMMYFUNCTION("""COMPUTED_VALUE"""),"Dubai&gt;Sheikh Zayed Road&gt;Al Kawakeb&gt;Al Kawakeb A")</f>
        <v>Dubai&gt;Sheikh Zayed Road&gt;Al Kawakeb&gt;Al Kawakeb A</v>
      </c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6.5" x14ac:dyDescent="0.35">
      <c r="A851" s="2" t="str">
        <f ca="1">IFERROR(__xludf.DUMMYFUNCTION("""COMPUTED_VALUE"""),"Dubai")</f>
        <v>Dubai</v>
      </c>
      <c r="B851" s="2" t="str">
        <f ca="1">IFERROR(__xludf.DUMMYFUNCTION("""COMPUTED_VALUE"""),"Sheikh Rashid Building")</f>
        <v>Sheikh Rashid Building</v>
      </c>
      <c r="C851" s="2" t="str">
        <f ca="1">IFERROR(__xludf.DUMMYFUNCTION("""COMPUTED_VALUE"""),"Building")</f>
        <v>Building</v>
      </c>
      <c r="D851" s="2" t="str">
        <f ca="1">IFERROR(__xludf.DUMMYFUNCTION("""COMPUTED_VALUE"""),"Dubai&gt;Sheikh Zayed Road&gt;Sheikh Rashid Building")</f>
        <v>Dubai&gt;Sheikh Zayed Road&gt;Sheikh Rashid Building</v>
      </c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6.5" x14ac:dyDescent="0.35">
      <c r="A852" s="2" t="str">
        <f ca="1">IFERROR(__xludf.DUMMYFUNCTION("""COMPUTED_VALUE"""),"Dubai")</f>
        <v>Dubai</v>
      </c>
      <c r="B852" s="2" t="str">
        <f ca="1">IFERROR(__xludf.DUMMYFUNCTION("""COMPUTED_VALUE"""),"Al Thuraya Building")</f>
        <v>Al Thuraya Building</v>
      </c>
      <c r="C852" s="2" t="str">
        <f ca="1">IFERROR(__xludf.DUMMYFUNCTION("""COMPUTED_VALUE"""),"Building")</f>
        <v>Building</v>
      </c>
      <c r="D852" s="2" t="str">
        <f ca="1">IFERROR(__xludf.DUMMYFUNCTION("""COMPUTED_VALUE"""),"Dubai&gt;Sheikh Zayed Road&gt;Al Thuraya Building")</f>
        <v>Dubai&gt;Sheikh Zayed Road&gt;Al Thuraya Building</v>
      </c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6.5" x14ac:dyDescent="0.35">
      <c r="A853" s="2" t="str">
        <f ca="1">IFERROR(__xludf.DUMMYFUNCTION("""COMPUTED_VALUE"""),"Dubai")</f>
        <v>Dubai</v>
      </c>
      <c r="B853" s="2" t="str">
        <f ca="1">IFERROR(__xludf.DUMMYFUNCTION("""COMPUTED_VALUE"""),"Montana Building")</f>
        <v>Montana Building</v>
      </c>
      <c r="C853" s="2" t="str">
        <f ca="1">IFERROR(__xludf.DUMMYFUNCTION("""COMPUTED_VALUE"""),"Building")</f>
        <v>Building</v>
      </c>
      <c r="D853" s="2" t="str">
        <f ca="1">IFERROR(__xludf.DUMMYFUNCTION("""COMPUTED_VALUE"""),"Dubai&gt;Al Karama&gt;Montana Building")</f>
        <v>Dubai&gt;Al Karama&gt;Montana Building</v>
      </c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6.5" x14ac:dyDescent="0.35">
      <c r="A854" s="2" t="str">
        <f ca="1">IFERROR(__xludf.DUMMYFUNCTION("""COMPUTED_VALUE"""),"Dubai")</f>
        <v>Dubai</v>
      </c>
      <c r="B854" s="2" t="str">
        <f ca="1">IFERROR(__xludf.DUMMYFUNCTION("""COMPUTED_VALUE"""),"Building 22")</f>
        <v>Building 22</v>
      </c>
      <c r="C854" s="2" t="str">
        <f ca="1">IFERROR(__xludf.DUMMYFUNCTION("""COMPUTED_VALUE"""),"Building")</f>
        <v>Building</v>
      </c>
      <c r="D854" s="2" t="str">
        <f ca="1">IFERROR(__xludf.DUMMYFUNCTION("""COMPUTED_VALUE"""),"Dubai&gt;Al Karama&gt;Karam Pioneer Buildings&gt;Building 22")</f>
        <v>Dubai&gt;Al Karama&gt;Karam Pioneer Buildings&gt;Building 22</v>
      </c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6.5" x14ac:dyDescent="0.35">
      <c r="A855" s="2" t="str">
        <f ca="1">IFERROR(__xludf.DUMMYFUNCTION("""COMPUTED_VALUE"""),"Dubai")</f>
        <v>Dubai</v>
      </c>
      <c r="B855" s="2" t="str">
        <f ca="1">IFERROR(__xludf.DUMMYFUNCTION("""COMPUTED_VALUE"""),"Al Balorah Building")</f>
        <v>Al Balorah Building</v>
      </c>
      <c r="C855" s="2" t="str">
        <f ca="1">IFERROR(__xludf.DUMMYFUNCTION("""COMPUTED_VALUE"""),"Building")</f>
        <v>Building</v>
      </c>
      <c r="D855" s="2" t="str">
        <f ca="1">IFERROR(__xludf.DUMMYFUNCTION("""COMPUTED_VALUE"""),"Dubai&gt;Al Karama&gt;Al Balorah Building")</f>
        <v>Dubai&gt;Al Karama&gt;Al Balorah Building</v>
      </c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6.5" x14ac:dyDescent="0.35">
      <c r="A856" s="2" t="str">
        <f ca="1">IFERROR(__xludf.DUMMYFUNCTION("""COMPUTED_VALUE"""),"Dubai")</f>
        <v>Dubai</v>
      </c>
      <c r="B856" s="2" t="str">
        <f ca="1">IFERROR(__xludf.DUMMYFUNCTION("""COMPUTED_VALUE"""),"Al Kifaf Commercial Building")</f>
        <v>Al Kifaf Commercial Building</v>
      </c>
      <c r="C856" s="2" t="str">
        <f ca="1">IFERROR(__xludf.DUMMYFUNCTION("""COMPUTED_VALUE"""),"Building")</f>
        <v>Building</v>
      </c>
      <c r="D856" s="2" t="str">
        <f ca="1">IFERROR(__xludf.DUMMYFUNCTION("""COMPUTED_VALUE"""),"Dubai&gt;Al Karama&gt;Al Kifaf Commercial Building")</f>
        <v>Dubai&gt;Al Karama&gt;Al Kifaf Commercial Building</v>
      </c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6.5" x14ac:dyDescent="0.35">
      <c r="A857" s="2" t="str">
        <f ca="1">IFERROR(__xludf.DUMMYFUNCTION("""COMPUTED_VALUE"""),"Dubai")</f>
        <v>Dubai</v>
      </c>
      <c r="B857" s="2" t="str">
        <f ca="1">IFERROR(__xludf.DUMMYFUNCTION("""COMPUTED_VALUE"""),"Al Qaizi Residence")</f>
        <v>Al Qaizi Residence</v>
      </c>
      <c r="C857" s="2" t="str">
        <f ca="1">IFERROR(__xludf.DUMMYFUNCTION("""COMPUTED_VALUE"""),"Building")</f>
        <v>Building</v>
      </c>
      <c r="D857" s="2" t="str">
        <f ca="1">IFERROR(__xludf.DUMMYFUNCTION("""COMPUTED_VALUE"""),"Dubai&gt;Al Karama&gt;Al Qaizi Residence")</f>
        <v>Dubai&gt;Al Karama&gt;Al Qaizi Residence</v>
      </c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6.5" x14ac:dyDescent="0.35">
      <c r="A858" s="2" t="str">
        <f ca="1">IFERROR(__xludf.DUMMYFUNCTION("""COMPUTED_VALUE"""),"Dubai")</f>
        <v>Dubai</v>
      </c>
      <c r="B858" s="2" t="str">
        <f ca="1">IFERROR(__xludf.DUMMYFUNCTION("""COMPUTED_VALUE"""),"Hamsah O")</f>
        <v>Hamsah O</v>
      </c>
      <c r="C858" s="2" t="str">
        <f ca="1">IFERROR(__xludf.DUMMYFUNCTION("""COMPUTED_VALUE"""),"Building")</f>
        <v>Building</v>
      </c>
      <c r="D858" s="2" t="str">
        <f ca="1">IFERROR(__xludf.DUMMYFUNCTION("""COMPUTED_VALUE"""),"Dubai&gt;Al Karama&gt;Hamsah O")</f>
        <v>Dubai&gt;Al Karama&gt;Hamsah O</v>
      </c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6.5" x14ac:dyDescent="0.35">
      <c r="A859" s="2" t="str">
        <f ca="1">IFERROR(__xludf.DUMMYFUNCTION("""COMPUTED_VALUE"""),"Dubai")</f>
        <v>Dubai</v>
      </c>
      <c r="B859" s="2" t="str">
        <f ca="1">IFERROR(__xludf.DUMMYFUNCTION("""COMPUTED_VALUE"""),"Offices Land Building Block 2")</f>
        <v>Offices Land Building Block 2</v>
      </c>
      <c r="C859" s="2" t="str">
        <f ca="1">IFERROR(__xludf.DUMMYFUNCTION("""COMPUTED_VALUE"""),"Building")</f>
        <v>Building</v>
      </c>
      <c r="D859" s="2" t="str">
        <f ca="1">IFERROR(__xludf.DUMMYFUNCTION("""COMPUTED_VALUE"""),"Dubai&gt;Al Karama&gt;Offices Land Building&gt;Offices Land Building Block 2")</f>
        <v>Dubai&gt;Al Karama&gt;Offices Land Building&gt;Offices Land Building Block 2</v>
      </c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6.5" x14ac:dyDescent="0.35">
      <c r="A860" s="2" t="str">
        <f ca="1">IFERROR(__xludf.DUMMYFUNCTION("""COMPUTED_VALUE"""),"Dubai")</f>
        <v>Dubai</v>
      </c>
      <c r="B860" s="2" t="str">
        <f ca="1">IFERROR(__xludf.DUMMYFUNCTION("""COMPUTED_VALUE"""),"Fortune Karama")</f>
        <v>Fortune Karama</v>
      </c>
      <c r="C860" s="2" t="str">
        <f ca="1">IFERROR(__xludf.DUMMYFUNCTION("""COMPUTED_VALUE"""),"Building")</f>
        <v>Building</v>
      </c>
      <c r="D860" s="2" t="str">
        <f ca="1">IFERROR(__xludf.DUMMYFUNCTION("""COMPUTED_VALUE"""),"Dubai&gt;Al Karama&gt;Fortune Karama")</f>
        <v>Dubai&gt;Al Karama&gt;Fortune Karama</v>
      </c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6.5" x14ac:dyDescent="0.35">
      <c r="A861" s="2" t="str">
        <f ca="1">IFERROR(__xludf.DUMMYFUNCTION("""COMPUTED_VALUE"""),"Dubai")</f>
        <v>Dubai</v>
      </c>
      <c r="B861" s="2" t="str">
        <f ca="1">IFERROR(__xludf.DUMMYFUNCTION("""COMPUTED_VALUE"""),"Banaras Plaza")</f>
        <v>Banaras Plaza</v>
      </c>
      <c r="C861" s="2" t="str">
        <f ca="1">IFERROR(__xludf.DUMMYFUNCTION("""COMPUTED_VALUE"""),"Building")</f>
        <v>Building</v>
      </c>
      <c r="D861" s="2" t="str">
        <f ca="1">IFERROR(__xludf.DUMMYFUNCTION("""COMPUTED_VALUE"""),"Dubai&gt;Al Karama&gt;Banaras Plaza")</f>
        <v>Dubai&gt;Al Karama&gt;Banaras Plaza</v>
      </c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6.5" x14ac:dyDescent="0.35">
      <c r="A862" s="2" t="str">
        <f ca="1">IFERROR(__xludf.DUMMYFUNCTION("""COMPUTED_VALUE"""),"Dubai")</f>
        <v>Dubai</v>
      </c>
      <c r="B862" s="2" t="str">
        <f ca="1">IFERROR(__xludf.DUMMYFUNCTION("""COMPUTED_VALUE"""),"Noor Al Karama Building")</f>
        <v>Noor Al Karama Building</v>
      </c>
      <c r="C862" s="2" t="str">
        <f ca="1">IFERROR(__xludf.DUMMYFUNCTION("""COMPUTED_VALUE"""),"Building")</f>
        <v>Building</v>
      </c>
      <c r="D862" s="2" t="str">
        <f ca="1">IFERROR(__xludf.DUMMYFUNCTION("""COMPUTED_VALUE"""),"Dubai&gt;Al Karama&gt;Noor Al Karama Building")</f>
        <v>Dubai&gt;Al Karama&gt;Noor Al Karama Building</v>
      </c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6.5" x14ac:dyDescent="0.35">
      <c r="A863" s="2" t="str">
        <f ca="1">IFERROR(__xludf.DUMMYFUNCTION("""COMPUTED_VALUE"""),"Dubai")</f>
        <v>Dubai</v>
      </c>
      <c r="B863" s="2" t="str">
        <f ca="1">IFERROR(__xludf.DUMMYFUNCTION("""COMPUTED_VALUE"""),"Al Wasl Building R340")</f>
        <v>Al Wasl Building R340</v>
      </c>
      <c r="C863" s="2" t="str">
        <f ca="1">IFERROR(__xludf.DUMMYFUNCTION("""COMPUTED_VALUE"""),"Building")</f>
        <v>Building</v>
      </c>
      <c r="D863" s="2" t="str">
        <f ca="1">IFERROR(__xludf.DUMMYFUNCTION("""COMPUTED_VALUE"""),"Dubai&gt;Al Karama&gt;Al Wasl Building R340")</f>
        <v>Dubai&gt;Al Karama&gt;Al Wasl Building R340</v>
      </c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6.5" x14ac:dyDescent="0.35">
      <c r="A864" s="2" t="str">
        <f ca="1">IFERROR(__xludf.DUMMYFUNCTION("""COMPUTED_VALUE"""),"Dubai")</f>
        <v>Dubai</v>
      </c>
      <c r="B864" s="2" t="str">
        <f ca="1">IFERROR(__xludf.DUMMYFUNCTION("""COMPUTED_VALUE"""),"40 Manayef Al Karama Building")</f>
        <v>40 Manayef Al Karama Building</v>
      </c>
      <c r="C864" s="2" t="str">
        <f ca="1">IFERROR(__xludf.DUMMYFUNCTION("""COMPUTED_VALUE"""),"Building")</f>
        <v>Building</v>
      </c>
      <c r="D864" s="2" t="str">
        <f ca="1">IFERROR(__xludf.DUMMYFUNCTION("""COMPUTED_VALUE"""),"Dubai&gt;Al Karama&gt;40 Manayef Al Karama Building")</f>
        <v>Dubai&gt;Al Karama&gt;40 Manayef Al Karama Building</v>
      </c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6.5" x14ac:dyDescent="0.35">
      <c r="A865" s="2" t="str">
        <f ca="1">IFERROR(__xludf.DUMMYFUNCTION("""COMPUTED_VALUE"""),"Dubai")</f>
        <v>Dubai</v>
      </c>
      <c r="B865" s="2" t="str">
        <f ca="1">IFERROR(__xludf.DUMMYFUNCTION("""COMPUTED_VALUE"""),"Art Bay West")</f>
        <v>Art Bay West</v>
      </c>
      <c r="C865" s="2" t="str">
        <f ca="1">IFERROR(__xludf.DUMMYFUNCTION("""COMPUTED_VALUE"""),"Building")</f>
        <v>Building</v>
      </c>
      <c r="D865" s="2" t="str">
        <f ca="1">IFERROR(__xludf.DUMMYFUNCTION("""COMPUTED_VALUE"""),"Dubai&gt;Culture Village (Jaddaf Waterfront)&gt;Art Bay&gt;Art Bay West")</f>
        <v>Dubai&gt;Culture Village (Jaddaf Waterfront)&gt;Art Bay&gt;Art Bay West</v>
      </c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6.5" x14ac:dyDescent="0.35">
      <c r="A866" s="2" t="str">
        <f ca="1">IFERROR(__xludf.DUMMYFUNCTION("""COMPUTED_VALUE"""),"Dubai")</f>
        <v>Dubai</v>
      </c>
      <c r="B866" s="2" t="str">
        <f ca="1">IFERROR(__xludf.DUMMYFUNCTION("""COMPUTED_VALUE"""),"Palm Springs Villas")</f>
        <v>Palm Springs Villas</v>
      </c>
      <c r="C866" s="2" t="str">
        <f ca="1">IFERROR(__xludf.DUMMYFUNCTION("""COMPUTED_VALUE"""),"Neighbourhood")</f>
        <v>Neighbourhood</v>
      </c>
      <c r="D866" s="2" t="str">
        <f ca="1">IFERROR(__xludf.DUMMYFUNCTION("""COMPUTED_VALUE"""),"Dubai&gt;Umm Suqeim&gt;Umm Suqeim 3&gt;Palm Springs Villas")</f>
        <v>Dubai&gt;Umm Suqeim&gt;Umm Suqeim 3&gt;Palm Springs Villas</v>
      </c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6.5" x14ac:dyDescent="0.35">
      <c r="A867" s="2" t="str">
        <f ca="1">IFERROR(__xludf.DUMMYFUNCTION("""COMPUTED_VALUE"""),"Dubai")</f>
        <v>Dubai</v>
      </c>
      <c r="B867" s="2" t="str">
        <f ca="1">IFERROR(__xludf.DUMMYFUNCTION("""COMPUTED_VALUE"""),"Jomana 5")</f>
        <v>Jomana 5</v>
      </c>
      <c r="C867" s="2" t="str">
        <f ca="1">IFERROR(__xludf.DUMMYFUNCTION("""COMPUTED_VALUE"""),"Building")</f>
        <v>Building</v>
      </c>
      <c r="D867" s="2" t="str">
        <f ca="1">IFERROR(__xludf.DUMMYFUNCTION("""COMPUTED_VALUE"""),"Dubai&gt;Umm Suqeim&gt;Madinat Jumeirah Living&gt;Jomana&gt;Jomana 5")</f>
        <v>Dubai&gt;Umm Suqeim&gt;Madinat Jumeirah Living&gt;Jomana&gt;Jomana 5</v>
      </c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6.5" x14ac:dyDescent="0.35">
      <c r="A868" s="2" t="str">
        <f ca="1">IFERROR(__xludf.DUMMYFUNCTION("""COMPUTED_VALUE"""),"Dubai")</f>
        <v>Dubai</v>
      </c>
      <c r="B868" s="2" t="str">
        <f ca="1">IFERROR(__xludf.DUMMYFUNCTION("""COMPUTED_VALUE"""),"Abdul Jalil Grove One Villas")</f>
        <v>Abdul Jalil Grove One Villas</v>
      </c>
      <c r="C868" s="2" t="str">
        <f ca="1">IFERROR(__xludf.DUMMYFUNCTION("""COMPUTED_VALUE"""),"Neighbourhood")</f>
        <v>Neighbourhood</v>
      </c>
      <c r="D868" s="2" t="str">
        <f ca="1">IFERROR(__xludf.DUMMYFUNCTION("""COMPUTED_VALUE"""),"Dubai&gt;Umm Suqeim&gt;Umm Suqeim 1&gt;Abdul Jalil Grove One Villas")</f>
        <v>Dubai&gt;Umm Suqeim&gt;Umm Suqeim 1&gt;Abdul Jalil Grove One Villas</v>
      </c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6.5" x14ac:dyDescent="0.35">
      <c r="A869" s="2" t="str">
        <f ca="1">IFERROR(__xludf.DUMMYFUNCTION("""COMPUTED_VALUE"""),"Dubai")</f>
        <v>Dubai</v>
      </c>
      <c r="B869" s="2" t="str">
        <f ca="1">IFERROR(__xludf.DUMMYFUNCTION("""COMPUTED_VALUE"""),"Azizi Milan Heights Tower E")</f>
        <v>Azizi Milan Heights Tower E</v>
      </c>
      <c r="C869" s="2" t="str">
        <f ca="1">IFERROR(__xludf.DUMMYFUNCTION("""COMPUTED_VALUE"""),"Building")</f>
        <v>Building</v>
      </c>
      <c r="D869" s="2" t="str">
        <f ca="1">IFERROR(__xludf.DUMMYFUNCTION("""COMPUTED_VALUE"""),"Dubai&gt;City of Arabia&gt;Azizi Milan&gt;Azizi Milan Heights&gt;Azizi Milan Heights Tower E")</f>
        <v>Dubai&gt;City of Arabia&gt;Azizi Milan&gt;Azizi Milan Heights&gt;Azizi Milan Heights Tower E</v>
      </c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6.5" x14ac:dyDescent="0.35">
      <c r="A870" s="2" t="str">
        <f ca="1">IFERROR(__xludf.DUMMYFUNCTION("""COMPUTED_VALUE"""),"Dubai")</f>
        <v>Dubai</v>
      </c>
      <c r="B870" s="2" t="str">
        <f ca="1">IFERROR(__xludf.DUMMYFUNCTION("""COMPUTED_VALUE"""),"Al Yasi Building")</f>
        <v>Al Yasi Building</v>
      </c>
      <c r="C870" s="2" t="str">
        <f ca="1">IFERROR(__xludf.DUMMYFUNCTION("""COMPUTED_VALUE"""),"Building")</f>
        <v>Building</v>
      </c>
      <c r="D870" s="2" t="str">
        <f ca="1">IFERROR(__xludf.DUMMYFUNCTION("""COMPUTED_VALUE"""),"Dubai&gt;Al Badaa&gt;Al Yasi Building")</f>
        <v>Dubai&gt;Al Badaa&gt;Al Yasi Building</v>
      </c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6.5" x14ac:dyDescent="0.35">
      <c r="A871" s="2" t="str">
        <f ca="1">IFERROR(__xludf.DUMMYFUNCTION("""COMPUTED_VALUE"""),"Dubai")</f>
        <v>Dubai</v>
      </c>
      <c r="B871" s="2" t="str">
        <f ca="1">IFERROR(__xludf.DUMMYFUNCTION("""COMPUTED_VALUE"""),"Shama Residences")</f>
        <v>Shama Residences</v>
      </c>
      <c r="C871" s="2" t="str">
        <f ca="1">IFERROR(__xludf.DUMMYFUNCTION("""COMPUTED_VALUE"""),"Building")</f>
        <v>Building</v>
      </c>
      <c r="D871" s="2" t="str">
        <f ca="1">IFERROR(__xludf.DUMMYFUNCTION("""COMPUTED_VALUE"""),"Dubai&gt;Al Badaa&gt;Shama Residences")</f>
        <v>Dubai&gt;Al Badaa&gt;Shama Residences</v>
      </c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6.5" x14ac:dyDescent="0.35">
      <c r="A872" s="2" t="str">
        <f ca="1">IFERROR(__xludf.DUMMYFUNCTION("""COMPUTED_VALUE"""),"Dubai")</f>
        <v>Dubai</v>
      </c>
      <c r="B872" s="2" t="str">
        <f ca="1">IFERROR(__xludf.DUMMYFUNCTION("""COMPUTED_VALUE"""),"Madinat Al Arab")</f>
        <v>Madinat Al Arab</v>
      </c>
      <c r="C872" s="2" t="str">
        <f ca="1">IFERROR(__xludf.DUMMYFUNCTION("""COMPUTED_VALUE"""),"Neighbourhood")</f>
        <v>Neighbourhood</v>
      </c>
      <c r="D872" s="2" t="str">
        <f ca="1">IFERROR(__xludf.DUMMYFUNCTION("""COMPUTED_VALUE"""),"Dubai&gt;Dubai Waterfront&gt;Madinat Al Arab")</f>
        <v>Dubai&gt;Dubai Waterfront&gt;Madinat Al Arab</v>
      </c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6.5" x14ac:dyDescent="0.35">
      <c r="A873" s="2" t="str">
        <f ca="1">IFERROR(__xludf.DUMMYFUNCTION("""COMPUTED_VALUE"""),"Dubai")</f>
        <v>Dubai</v>
      </c>
      <c r="B873" s="2" t="str">
        <f ca="1">IFERROR(__xludf.DUMMYFUNCTION("""COMPUTED_VALUE"""),"Al Fareej Courtyard")</f>
        <v>Al Fareej Courtyard</v>
      </c>
      <c r="C873" s="2" t="str">
        <f ca="1">IFERROR(__xludf.DUMMYFUNCTION("""COMPUTED_VALUE"""),"Cluster")</f>
        <v>Cluster</v>
      </c>
      <c r="D873" s="2" t="str">
        <f ca="1">IFERROR(__xludf.DUMMYFUNCTION("""COMPUTED_VALUE"""),"Dubai&gt;Al Rashidiya&gt;Al Fareej Courtyard")</f>
        <v>Dubai&gt;Al Rashidiya&gt;Al Fareej Courtyard</v>
      </c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6.5" x14ac:dyDescent="0.35">
      <c r="A874" s="2" t="str">
        <f ca="1">IFERROR(__xludf.DUMMYFUNCTION("""COMPUTED_VALUE"""),"Dubai")</f>
        <v>Dubai</v>
      </c>
      <c r="B874" s="2" t="str">
        <f ca="1">IFERROR(__xludf.DUMMYFUNCTION("""COMPUTED_VALUE"""),"The Edit Tower B")</f>
        <v>The Edit Tower B</v>
      </c>
      <c r="C874" s="2" t="str">
        <f ca="1">IFERROR(__xludf.DUMMYFUNCTION("""COMPUTED_VALUE"""),"Building")</f>
        <v>Building</v>
      </c>
      <c r="D874" s="2" t="str">
        <f ca="1">IFERROR(__xludf.DUMMYFUNCTION("""COMPUTED_VALUE"""),"Dubai&gt;Dubai Design District&gt;The Edit at D3&gt;The Edit Tower B")</f>
        <v>Dubai&gt;Dubai Design District&gt;The Edit at D3&gt;The Edit Tower B</v>
      </c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6.5" x14ac:dyDescent="0.35">
      <c r="A875" s="2" t="str">
        <f ca="1">IFERROR(__xludf.DUMMYFUNCTION("""COMPUTED_VALUE"""),"Dubai")</f>
        <v>Dubai</v>
      </c>
      <c r="B875" s="2" t="str">
        <f ca="1">IFERROR(__xludf.DUMMYFUNCTION("""COMPUTED_VALUE"""),"Al Wasl H1 PR 399")</f>
        <v>Al Wasl H1 PR 399</v>
      </c>
      <c r="C875" s="2" t="str">
        <f ca="1">IFERROR(__xludf.DUMMYFUNCTION("""COMPUTED_VALUE"""),"Building")</f>
        <v>Building</v>
      </c>
      <c r="D875" s="2" t="str">
        <f ca="1">IFERROR(__xludf.DUMMYFUNCTION("""COMPUTED_VALUE"""),"Dubai&gt;Al Hudaiba&gt;Al Wasl H1 PR 399")</f>
        <v>Dubai&gt;Al Hudaiba&gt;Al Wasl H1 PR 399</v>
      </c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6.5" x14ac:dyDescent="0.35">
      <c r="A876" s="2" t="str">
        <f ca="1">IFERROR(__xludf.DUMMYFUNCTION("""COMPUTED_VALUE"""),"Dubai")</f>
        <v>Dubai</v>
      </c>
      <c r="B876" s="2" t="str">
        <f ca="1">IFERROR(__xludf.DUMMYFUNCTION("""COMPUTED_VALUE"""),"The Village Mall")</f>
        <v>The Village Mall</v>
      </c>
      <c r="C876" s="2" t="str">
        <f ca="1">IFERROR(__xludf.DUMMYFUNCTION("""COMPUTED_VALUE"""),"Building")</f>
        <v>Building</v>
      </c>
      <c r="D876" s="2" t="str">
        <f ca="1">IFERROR(__xludf.DUMMYFUNCTION("""COMPUTED_VALUE"""),"Dubai&gt;Jumeirah&gt;Jumeirah 1&gt;The Village Mall")</f>
        <v>Dubai&gt;Jumeirah&gt;Jumeirah 1&gt;The Village Mall</v>
      </c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6.5" x14ac:dyDescent="0.35">
      <c r="A877" s="2" t="str">
        <f ca="1">IFERROR(__xludf.DUMMYFUNCTION("""COMPUTED_VALUE"""),"Dubai")</f>
        <v>Dubai</v>
      </c>
      <c r="B877" s="2" t="str">
        <f ca="1">IFERROR(__xludf.DUMMYFUNCTION("""COMPUTED_VALUE"""),"Jumeirah 2")</f>
        <v>Jumeirah 2</v>
      </c>
      <c r="C877" s="2" t="str">
        <f ca="1">IFERROR(__xludf.DUMMYFUNCTION("""COMPUTED_VALUE"""),"Neighbourhood")</f>
        <v>Neighbourhood</v>
      </c>
      <c r="D877" s="2" t="str">
        <f ca="1">IFERROR(__xludf.DUMMYFUNCTION("""COMPUTED_VALUE"""),"Dubai&gt;Jumeirah&gt;Jumeirah 2")</f>
        <v>Dubai&gt;Jumeirah&gt;Jumeirah 2</v>
      </c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6.5" x14ac:dyDescent="0.35">
      <c r="A878" s="2" t="str">
        <f ca="1">IFERROR(__xludf.DUMMYFUNCTION("""COMPUTED_VALUE"""),"Dubai")</f>
        <v>Dubai</v>
      </c>
      <c r="B878" s="2" t="str">
        <f ca="1">IFERROR(__xludf.DUMMYFUNCTION("""COMPUTED_VALUE"""),"La Cote")</f>
        <v>La Cote</v>
      </c>
      <c r="C878" s="2" t="str">
        <f ca="1">IFERROR(__xludf.DUMMYFUNCTION("""COMPUTED_VALUE"""),"Neighbourhood")</f>
        <v>Neighbourhood</v>
      </c>
      <c r="D878" s="2" t="str">
        <f ca="1">IFERROR(__xludf.DUMMYFUNCTION("""COMPUTED_VALUE"""),"Dubai&gt;Jumeirah&gt;La Mer&gt;Port de La Mer&gt;La Cote")</f>
        <v>Dubai&gt;Jumeirah&gt;La Mer&gt;Port de La Mer&gt;La Cote</v>
      </c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6.5" x14ac:dyDescent="0.35">
      <c r="A879" s="2" t="str">
        <f ca="1">IFERROR(__xludf.DUMMYFUNCTION("""COMPUTED_VALUE"""),"Dubai")</f>
        <v>Dubai</v>
      </c>
      <c r="B879" s="2" t="str">
        <f ca="1">IFERROR(__xludf.DUMMYFUNCTION("""COMPUTED_VALUE"""),"Solaya 5")</f>
        <v>Solaya 5</v>
      </c>
      <c r="C879" s="2" t="str">
        <f ca="1">IFERROR(__xludf.DUMMYFUNCTION("""COMPUTED_VALUE"""),"Building")</f>
        <v>Building</v>
      </c>
      <c r="D879" s="2" t="str">
        <f ca="1">IFERROR(__xludf.DUMMYFUNCTION("""COMPUTED_VALUE"""),"Dubai&gt;Jumeirah&gt;La Mer&gt;Solaya&gt;Solaya 5")</f>
        <v>Dubai&gt;Jumeirah&gt;La Mer&gt;Solaya&gt;Solaya 5</v>
      </c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6.5" x14ac:dyDescent="0.35">
      <c r="A880" s="2" t="str">
        <f ca="1">IFERROR(__xludf.DUMMYFUNCTION("""COMPUTED_VALUE"""),"Dubai")</f>
        <v>Dubai</v>
      </c>
      <c r="B880" s="2" t="str">
        <f ca="1">IFERROR(__xludf.DUMMYFUNCTION("""COMPUTED_VALUE"""),"Blossom Nursery Creek Harbour")</f>
        <v>Blossom Nursery Creek Harbour</v>
      </c>
      <c r="C880" s="2" t="str">
        <f ca="1">IFERROR(__xludf.DUMMYFUNCTION("""COMPUTED_VALUE"""),"Nursery")</f>
        <v>Nursery</v>
      </c>
      <c r="D880" s="2" t="str">
        <f ca="1">IFERROR(__xludf.DUMMYFUNCTION("""COMPUTED_VALUE"""),"Dubai&gt;Dubai Creek Harbour&gt;Creek Gate&gt;Blossom Nursery Creek Harbour")</f>
        <v>Dubai&gt;Dubai Creek Harbour&gt;Creek Gate&gt;Blossom Nursery Creek Harbour</v>
      </c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6.5" x14ac:dyDescent="0.35">
      <c r="A881" s="2" t="str">
        <f ca="1">IFERROR(__xludf.DUMMYFUNCTION("""COMPUTED_VALUE"""),"Dubai")</f>
        <v>Dubai</v>
      </c>
      <c r="B881" s="2" t="str">
        <f ca="1">IFERROR(__xludf.DUMMYFUNCTION("""COMPUTED_VALUE"""),"Grove Building 1")</f>
        <v>Grove Building 1</v>
      </c>
      <c r="C881" s="2" t="str">
        <f ca="1">IFERROR(__xludf.DUMMYFUNCTION("""COMPUTED_VALUE"""),"Building")</f>
        <v>Building</v>
      </c>
      <c r="D881" s="2" t="str">
        <f ca="1">IFERROR(__xludf.DUMMYFUNCTION("""COMPUTED_VALUE"""),"Dubai&gt;Dubai Creek Harbour&gt;Grove at Creek Beach&gt;Grove Building 1")</f>
        <v>Dubai&gt;Dubai Creek Harbour&gt;Grove at Creek Beach&gt;Grove Building 1</v>
      </c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6.5" x14ac:dyDescent="0.35">
      <c r="A882" s="2" t="str">
        <f ca="1">IFERROR(__xludf.DUMMYFUNCTION("""COMPUTED_VALUE"""),"Dubai")</f>
        <v>Dubai</v>
      </c>
      <c r="B882" s="2" t="str">
        <f ca="1">IFERROR(__xludf.DUMMYFUNCTION("""COMPUTED_VALUE"""),"The Cove II Building 10")</f>
        <v>The Cove II Building 10</v>
      </c>
      <c r="C882" s="2" t="str">
        <f ca="1">IFERROR(__xludf.DUMMYFUNCTION("""COMPUTED_VALUE"""),"Building")</f>
        <v>Building</v>
      </c>
      <c r="D882" s="2" t="str">
        <f ca="1">IFERROR(__xludf.DUMMYFUNCTION("""COMPUTED_VALUE"""),"Dubai&gt;Dubai Creek Harbour&gt;The Cove II&gt;The Cove II Building 10")</f>
        <v>Dubai&gt;Dubai Creek Harbour&gt;The Cove II&gt;The Cove II Building 10</v>
      </c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6.5" x14ac:dyDescent="0.35">
      <c r="A883" s="2" t="str">
        <f ca="1">IFERROR(__xludf.DUMMYFUNCTION("""COMPUTED_VALUE"""),"Dubai")</f>
        <v>Dubai</v>
      </c>
      <c r="B883" s="2" t="str">
        <f ca="1">IFERROR(__xludf.DUMMYFUNCTION("""COMPUTED_VALUE"""),"Moor at Creek Beach")</f>
        <v>Moor at Creek Beach</v>
      </c>
      <c r="C883" s="2" t="str">
        <f ca="1">IFERROR(__xludf.DUMMYFUNCTION("""COMPUTED_VALUE"""),"Cluster")</f>
        <v>Cluster</v>
      </c>
      <c r="D883" s="2" t="str">
        <f ca="1">IFERROR(__xludf.DUMMYFUNCTION("""COMPUTED_VALUE"""),"Dubai&gt;Dubai Creek Harbour&gt;Moor at Creek Beach")</f>
        <v>Dubai&gt;Dubai Creek Harbour&gt;Moor at Creek Beach</v>
      </c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6.5" x14ac:dyDescent="0.35">
      <c r="A884" s="2" t="str">
        <f ca="1">IFERROR(__xludf.DUMMYFUNCTION("""COMPUTED_VALUE"""),"Dubai")</f>
        <v>Dubai</v>
      </c>
      <c r="B884" s="2" t="str">
        <f ca="1">IFERROR(__xludf.DUMMYFUNCTION("""COMPUTED_VALUE"""),"The One Tower")</f>
        <v>The One Tower</v>
      </c>
      <c r="C884" s="2" t="str">
        <f ca="1">IFERROR(__xludf.DUMMYFUNCTION("""COMPUTED_VALUE"""),"Building")</f>
        <v>Building</v>
      </c>
      <c r="D884" s="2" t="str">
        <f ca="1">IFERROR(__xludf.DUMMYFUNCTION("""COMPUTED_VALUE"""),"Dubai&gt;Barsha Heights (Tecom)&gt;The One Tower")</f>
        <v>Dubai&gt;Barsha Heights (Tecom)&gt;The One Tower</v>
      </c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6.5" x14ac:dyDescent="0.35">
      <c r="A885" s="2" t="str">
        <f ca="1">IFERROR(__xludf.DUMMYFUNCTION("""COMPUTED_VALUE"""),"Dubai")</f>
        <v>Dubai</v>
      </c>
      <c r="B885" s="2" t="str">
        <f ca="1">IFERROR(__xludf.DUMMYFUNCTION("""COMPUTED_VALUE"""),"Silicon Plaza")</f>
        <v>Silicon Plaza</v>
      </c>
      <c r="C885" s="2" t="str">
        <f ca="1">IFERROR(__xludf.DUMMYFUNCTION("""COMPUTED_VALUE"""),"Building")</f>
        <v>Building</v>
      </c>
      <c r="D885" s="2" t="str">
        <f ca="1">IFERROR(__xludf.DUMMYFUNCTION("""COMPUTED_VALUE"""),"Dubai&gt;Barsha Heights (Tecom)&gt;Silicon Plaza")</f>
        <v>Dubai&gt;Barsha Heights (Tecom)&gt;Silicon Plaza</v>
      </c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6.5" x14ac:dyDescent="0.35">
      <c r="A886" s="2" t="str">
        <f ca="1">IFERROR(__xludf.DUMMYFUNCTION("""COMPUTED_VALUE"""),"Dubai")</f>
        <v>Dubai</v>
      </c>
      <c r="B886" s="2" t="str">
        <f ca="1">IFERROR(__xludf.DUMMYFUNCTION("""COMPUTED_VALUE"""),"Ramee Rose Hotel")</f>
        <v>Ramee Rose Hotel</v>
      </c>
      <c r="C886" s="2" t="str">
        <f ca="1">IFERROR(__xludf.DUMMYFUNCTION("""COMPUTED_VALUE"""),"Building")</f>
        <v>Building</v>
      </c>
      <c r="D886" s="2" t="str">
        <f ca="1">IFERROR(__xludf.DUMMYFUNCTION("""COMPUTED_VALUE"""),"Dubai&gt;Barsha Heights (Tecom)&gt;Ramee Rose Hotel")</f>
        <v>Dubai&gt;Barsha Heights (Tecom)&gt;Ramee Rose Hotel</v>
      </c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6.5" x14ac:dyDescent="0.35">
      <c r="A887" s="2" t="str">
        <f ca="1">IFERROR(__xludf.DUMMYFUNCTION("""COMPUTED_VALUE"""),"Dubai")</f>
        <v>Dubai</v>
      </c>
      <c r="B887" s="2" t="str">
        <f ca="1">IFERROR(__xludf.DUMMYFUNCTION("""COMPUTED_VALUE"""),"Premier Inn Barsha Heights")</f>
        <v>Premier Inn Barsha Heights</v>
      </c>
      <c r="C887" s="2" t="str">
        <f ca="1">IFERROR(__xludf.DUMMYFUNCTION("""COMPUTED_VALUE"""),"Building")</f>
        <v>Building</v>
      </c>
      <c r="D887" s="2" t="str">
        <f ca="1">IFERROR(__xludf.DUMMYFUNCTION("""COMPUTED_VALUE"""),"Dubai&gt;Barsha Heights (Tecom)&gt;Premier Inn Barsha Heights")</f>
        <v>Dubai&gt;Barsha Heights (Tecom)&gt;Premier Inn Barsha Heights</v>
      </c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6.5" x14ac:dyDescent="0.35">
      <c r="A888" s="2" t="str">
        <f ca="1">IFERROR(__xludf.DUMMYFUNCTION("""COMPUTED_VALUE"""),"Dubai")</f>
        <v>Dubai</v>
      </c>
      <c r="B888" s="2" t="str">
        <f ca="1">IFERROR(__xludf.DUMMYFUNCTION("""COMPUTED_VALUE"""),"Terraced Apartment 1A")</f>
        <v>Terraced Apartment 1A</v>
      </c>
      <c r="C888" s="2" t="str">
        <f ca="1">IFERROR(__xludf.DUMMYFUNCTION("""COMPUTED_VALUE"""),"Building")</f>
        <v>Building</v>
      </c>
      <c r="D888" s="2" t="str">
        <f ca="1">IFERROR(__xludf.DUMMYFUNCTION("""COMPUTED_VALUE"""),"Dubai&gt;Motor City&gt;Green Community (Motor City)&gt;Terraced Apartments&gt;Terraced Apartment 1A")</f>
        <v>Dubai&gt;Motor City&gt;Green Community (Motor City)&gt;Terraced Apartments&gt;Terraced Apartment 1A</v>
      </c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6.5" x14ac:dyDescent="0.35">
      <c r="A889" s="2" t="str">
        <f ca="1">IFERROR(__xludf.DUMMYFUNCTION("""COMPUTED_VALUE"""),"Dubai")</f>
        <v>Dubai</v>
      </c>
      <c r="B889" s="2" t="str">
        <f ca="1">IFERROR(__xludf.DUMMYFUNCTION("""COMPUTED_VALUE"""),"Norton Court 2")</f>
        <v>Norton Court 2</v>
      </c>
      <c r="C889" s="2" t="str">
        <f ca="1">IFERROR(__xludf.DUMMYFUNCTION("""COMPUTED_VALUE"""),"Building")</f>
        <v>Building</v>
      </c>
      <c r="D889" s="2" t="str">
        <f ca="1">IFERROR(__xludf.DUMMYFUNCTION("""COMPUTED_VALUE"""),"Dubai&gt;Motor City&gt;Uptown Motor City&gt;Norton Court&gt;Norton Court 2")</f>
        <v>Dubai&gt;Motor City&gt;Uptown Motor City&gt;Norton Court&gt;Norton Court 2</v>
      </c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6.5" x14ac:dyDescent="0.35">
      <c r="A890" s="2" t="str">
        <f ca="1">IFERROR(__xludf.DUMMYFUNCTION("""COMPUTED_VALUE"""),"Dubai")</f>
        <v>Dubai</v>
      </c>
      <c r="B890" s="2" t="str">
        <f ca="1">IFERROR(__xludf.DUMMYFUNCTION("""COMPUTED_VALUE"""),"Fox Hill 8")</f>
        <v>Fox Hill 8</v>
      </c>
      <c r="C890" s="2" t="str">
        <f ca="1">IFERROR(__xludf.DUMMYFUNCTION("""COMPUTED_VALUE"""),"Building")</f>
        <v>Building</v>
      </c>
      <c r="D890" s="2" t="str">
        <f ca="1">IFERROR(__xludf.DUMMYFUNCTION("""COMPUTED_VALUE"""),"Dubai&gt;Motor City&gt;Uptown Motor City&gt;Fox Hill&gt;Fox Hill 8")</f>
        <v>Dubai&gt;Motor City&gt;Uptown Motor City&gt;Fox Hill&gt;Fox Hill 8</v>
      </c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6.5" x14ac:dyDescent="0.35">
      <c r="A891" s="2" t="str">
        <f ca="1">IFERROR(__xludf.DUMMYFUNCTION("""COMPUTED_VALUE"""),"Dubai")</f>
        <v>Dubai</v>
      </c>
      <c r="B891" s="2" t="str">
        <f ca="1">IFERROR(__xludf.DUMMYFUNCTION("""COMPUTED_VALUE"""),"Sobha Orbis")</f>
        <v>Sobha Orbis</v>
      </c>
      <c r="C891" s="2" t="str">
        <f ca="1">IFERROR(__xludf.DUMMYFUNCTION("""COMPUTED_VALUE"""),"Cluster")</f>
        <v>Cluster</v>
      </c>
      <c r="D891" s="2" t="str">
        <f ca="1">IFERROR(__xludf.DUMMYFUNCTION("""COMPUTED_VALUE"""),"Dubai&gt;Motor City&gt;Sobha Orbis")</f>
        <v>Dubai&gt;Motor City&gt;Sobha Orbis</v>
      </c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6.5" x14ac:dyDescent="0.35">
      <c r="A892" s="2" t="str">
        <f ca="1">IFERROR(__xludf.DUMMYFUNCTION("""COMPUTED_VALUE"""),"Dubai")</f>
        <v>Dubai</v>
      </c>
      <c r="B892" s="2" t="str">
        <f ca="1">IFERROR(__xludf.DUMMYFUNCTION("""COMPUTED_VALUE"""),"Binghatti Sky Terraces")</f>
        <v>Binghatti Sky Terraces</v>
      </c>
      <c r="C892" s="2" t="str">
        <f ca="1">IFERROR(__xludf.DUMMYFUNCTION("""COMPUTED_VALUE"""),"Building")</f>
        <v>Building</v>
      </c>
      <c r="D892" s="2" t="str">
        <f ca="1">IFERROR(__xludf.DUMMYFUNCTION("""COMPUTED_VALUE"""),"Dubai&gt;Motor City&gt;Binghatti Sky Terraces")</f>
        <v>Dubai&gt;Motor City&gt;Binghatti Sky Terraces</v>
      </c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6.5" x14ac:dyDescent="0.35">
      <c r="A893" s="2" t="str">
        <f ca="1">IFERROR(__xludf.DUMMYFUNCTION("""COMPUTED_VALUE"""),"Dubai")</f>
        <v>Dubai</v>
      </c>
      <c r="B893" s="2" t="str">
        <f ca="1">IFERROR(__xludf.DUMMYFUNCTION("""COMPUTED_VALUE"""),"Shahrukhz by Danube")</f>
        <v>Shahrukhz by Danube</v>
      </c>
      <c r="C893" s="2" t="str">
        <f ca="1">IFERROR(__xludf.DUMMYFUNCTION("""COMPUTED_VALUE"""),"Building")</f>
        <v>Building</v>
      </c>
      <c r="D893" s="2" t="str">
        <f ca="1">IFERROR(__xludf.DUMMYFUNCTION("""COMPUTED_VALUE"""),"Dubai&gt;Al Sufouh&gt;Al Sufouh 1&gt;Shahrukhz by Danube")</f>
        <v>Dubai&gt;Al Sufouh&gt;Al Sufouh 1&gt;Shahrukhz by Danube</v>
      </c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6.5" x14ac:dyDescent="0.35">
      <c r="A894" s="2" t="str">
        <f ca="1">IFERROR(__xludf.DUMMYFUNCTION("""COMPUTED_VALUE"""),"Dubai")</f>
        <v>Dubai</v>
      </c>
      <c r="B894" s="2" t="str">
        <f ca="1">IFERROR(__xludf.DUMMYFUNCTION("""COMPUTED_VALUE"""),"Nakheel Villas")</f>
        <v>Nakheel Villas</v>
      </c>
      <c r="C894" s="2" t="str">
        <f ca="1">IFERROR(__xludf.DUMMYFUNCTION("""COMPUTED_VALUE"""),"Neighbourhood")</f>
        <v>Neighbourhood</v>
      </c>
      <c r="D894" s="2" t="str">
        <f ca="1">IFERROR(__xludf.DUMMYFUNCTION("""COMPUTED_VALUE"""),"Dubai&gt;Al Sufouh&gt;Al Sufouh 2&gt;Nakheel Villas")</f>
        <v>Dubai&gt;Al Sufouh&gt;Al Sufouh 2&gt;Nakheel Villas</v>
      </c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6.5" x14ac:dyDescent="0.35">
      <c r="A895" s="2" t="str">
        <f ca="1">IFERROR(__xludf.DUMMYFUNCTION("""COMPUTED_VALUE"""),"Dubai")</f>
        <v>Dubai</v>
      </c>
      <c r="B895" s="2" t="str">
        <f ca="1">IFERROR(__xludf.DUMMYFUNCTION("""COMPUTED_VALUE"""),"Al Badia Villas")</f>
        <v>Al Badia Villas</v>
      </c>
      <c r="C895" s="2" t="str">
        <f ca="1">IFERROR(__xludf.DUMMYFUNCTION("""COMPUTED_VALUE"""),"Neighbourhood")</f>
        <v>Neighbourhood</v>
      </c>
      <c r="D895" s="2" t="str">
        <f ca="1">IFERROR(__xludf.DUMMYFUNCTION("""COMPUTED_VALUE"""),"Dubai&gt;Dubai Festival City&gt;Al Badia Villas")</f>
        <v>Dubai&gt;Dubai Festival City&gt;Al Badia Villas</v>
      </c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6.5" x14ac:dyDescent="0.35">
      <c r="A896" s="2" t="str">
        <f ca="1">IFERROR(__xludf.DUMMYFUNCTION("""COMPUTED_VALUE"""),"Dubai")</f>
        <v>Dubai</v>
      </c>
      <c r="B896" s="2" t="str">
        <f ca="1">IFERROR(__xludf.DUMMYFUNCTION("""COMPUTED_VALUE"""),"Golf Promenade 2B")</f>
        <v>Golf Promenade 2B</v>
      </c>
      <c r="C896" s="2" t="str">
        <f ca="1">IFERROR(__xludf.DUMMYFUNCTION("""COMPUTED_VALUE"""),"Building")</f>
        <v>Building</v>
      </c>
      <c r="D896" s="2" t="str">
        <f ca="1">IFERROR(__xludf.DUMMYFUNCTION("""COMPUTED_VALUE"""),"Dubai&gt;DAMAC Hills&gt;Golf Town&gt;Golf Promenade&gt;Golf Promenade 2&gt;Golf Promenade 2B")</f>
        <v>Dubai&gt;DAMAC Hills&gt;Golf Town&gt;Golf Promenade&gt;Golf Promenade 2&gt;Golf Promenade 2B</v>
      </c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6.5" x14ac:dyDescent="0.35">
      <c r="A897" s="2" t="str">
        <f ca="1">IFERROR(__xludf.DUMMYFUNCTION("""COMPUTED_VALUE"""),"Dubai")</f>
        <v>Dubai</v>
      </c>
      <c r="B897" s="2" t="str">
        <f ca="1">IFERROR(__xludf.DUMMYFUNCTION("""COMPUTED_VALUE"""),"Richmond")</f>
        <v>Richmond</v>
      </c>
      <c r="C897" s="2" t="str">
        <f ca="1">IFERROR(__xludf.DUMMYFUNCTION("""COMPUTED_VALUE"""),"Neighbourhood")</f>
        <v>Neighbourhood</v>
      </c>
      <c r="D897" s="2" t="str">
        <f ca="1">IFERROR(__xludf.DUMMYFUNCTION("""COMPUTED_VALUE"""),"Dubai&gt;DAMAC Hills&gt;The Park Villas&gt;Richmond")</f>
        <v>Dubai&gt;DAMAC Hills&gt;The Park Villas&gt;Richmond</v>
      </c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6.5" x14ac:dyDescent="0.35">
      <c r="A898" s="2" t="str">
        <f ca="1">IFERROR(__xludf.DUMMYFUNCTION("""COMPUTED_VALUE"""),"Dubai")</f>
        <v>Dubai</v>
      </c>
      <c r="B898" s="2" t="str">
        <f ca="1">IFERROR(__xludf.DUMMYFUNCTION("""COMPUTED_VALUE"""),"Loreto 1A")</f>
        <v>Loreto 1A</v>
      </c>
      <c r="C898" s="2" t="str">
        <f ca="1">IFERROR(__xludf.DUMMYFUNCTION("""COMPUTED_VALUE"""),"Building")</f>
        <v>Building</v>
      </c>
      <c r="D898" s="2" t="str">
        <f ca="1">IFERROR(__xludf.DUMMYFUNCTION("""COMPUTED_VALUE"""),"Dubai&gt;DAMAC Hills&gt;Loreto&gt;Loreto A&gt;Loreto 1A")</f>
        <v>Dubai&gt;DAMAC Hills&gt;Loreto&gt;Loreto A&gt;Loreto 1A</v>
      </c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6.5" x14ac:dyDescent="0.35">
      <c r="A899" s="2" t="str">
        <f ca="1">IFERROR(__xludf.DUMMYFUNCTION("""COMPUTED_VALUE"""),"Dubai")</f>
        <v>Dubai</v>
      </c>
      <c r="B899" s="2" t="str">
        <f ca="1">IFERROR(__xludf.DUMMYFUNCTION("""COMPUTED_VALUE"""),"Wasl Port Views 3")</f>
        <v>Wasl Port Views 3</v>
      </c>
      <c r="C899" s="2" t="str">
        <f ca="1">IFERROR(__xludf.DUMMYFUNCTION("""COMPUTED_VALUE"""),"Building")</f>
        <v>Building</v>
      </c>
      <c r="D899" s="2" t="str">
        <f ca="1">IFERROR(__xludf.DUMMYFUNCTION("""COMPUTED_VALUE"""),"Dubai&gt;Al Mina&gt;Wasl Port Views&gt;Wasl Port Views 3")</f>
        <v>Dubai&gt;Al Mina&gt;Wasl Port Views&gt;Wasl Port Views 3</v>
      </c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6.5" x14ac:dyDescent="0.35">
      <c r="A900" s="2" t="str">
        <f ca="1">IFERROR(__xludf.DUMMYFUNCTION("""COMPUTED_VALUE"""),"Dubai")</f>
        <v>Dubai</v>
      </c>
      <c r="B900" s="2" t="str">
        <f ca="1">IFERROR(__xludf.DUMMYFUNCTION("""COMPUTED_VALUE"""),"Al Fardha Building")</f>
        <v>Al Fardha Building</v>
      </c>
      <c r="C900" s="2" t="str">
        <f ca="1">IFERROR(__xludf.DUMMYFUNCTION("""COMPUTED_VALUE"""),"Building")</f>
        <v>Building</v>
      </c>
      <c r="D900" s="2" t="str">
        <f ca="1">IFERROR(__xludf.DUMMYFUNCTION("""COMPUTED_VALUE"""),"Dubai&gt;Al Mina&gt;Al Fardha Building")</f>
        <v>Dubai&gt;Al Mina&gt;Al Fardha Building</v>
      </c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6.5" x14ac:dyDescent="0.35">
      <c r="A901" s="2" t="str">
        <f ca="1">IFERROR(__xludf.DUMMYFUNCTION("""COMPUTED_VALUE"""),"Dubai")</f>
        <v>Dubai</v>
      </c>
      <c r="B901" s="2" t="str">
        <f ca="1">IFERROR(__xludf.DUMMYFUNCTION("""COMPUTED_VALUE"""),"The Forest District")</f>
        <v>The Forest District</v>
      </c>
      <c r="C901" s="2" t="str">
        <f ca="1">IFERROR(__xludf.DUMMYFUNCTION("""COMPUTED_VALUE"""),"Building")</f>
        <v>Building</v>
      </c>
      <c r="D901" s="2" t="str">
        <f ca="1">IFERROR(__xludf.DUMMYFUNCTION("""COMPUTED_VALUE"""),"Dubai&gt;Dubai Maritime City&gt;The Forest District")</f>
        <v>Dubai&gt;Dubai Maritime City&gt;The Forest District</v>
      </c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6.5" x14ac:dyDescent="0.35">
      <c r="A902" s="2" t="str">
        <f ca="1">IFERROR(__xludf.DUMMYFUNCTION("""COMPUTED_VALUE"""),"Dubai")</f>
        <v>Dubai</v>
      </c>
      <c r="B902" s="2" t="str">
        <f ca="1">IFERROR(__xludf.DUMMYFUNCTION("""COMPUTED_VALUE"""),"Golf Heights")</f>
        <v>Golf Heights</v>
      </c>
      <c r="C902" s="2" t="str">
        <f ca="1">IFERROR(__xludf.DUMMYFUNCTION("""COMPUTED_VALUE"""),"Building")</f>
        <v>Building</v>
      </c>
      <c r="D902" s="2" t="str">
        <f ca="1">IFERROR(__xludf.DUMMYFUNCTION("""COMPUTED_VALUE"""),"Dubai&gt;The Views&gt;Golf Heights")</f>
        <v>Dubai&gt;The Views&gt;Golf Heights</v>
      </c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6.5" x14ac:dyDescent="0.35">
      <c r="A903" s="2" t="str">
        <f ca="1">IFERROR(__xludf.DUMMYFUNCTION("""COMPUTED_VALUE"""),"Dubai")</f>
        <v>Dubai</v>
      </c>
      <c r="B903" s="2" t="str">
        <f ca="1">IFERROR(__xludf.DUMMYFUNCTION("""COMPUTED_VALUE"""),"KML Business Centre")</f>
        <v>KML Business Centre</v>
      </c>
      <c r="C903" s="2" t="str">
        <f ca="1">IFERROR(__xludf.DUMMYFUNCTION("""COMPUTED_VALUE"""),"Building")</f>
        <v>Building</v>
      </c>
      <c r="D903" s="2" t="str">
        <f ca="1">IFERROR(__xludf.DUMMYFUNCTION("""COMPUTED_VALUE"""),"Dubai&gt;Al Quoz&gt;Al Quoz 1&gt;KML Business Centre")</f>
        <v>Dubai&gt;Al Quoz&gt;Al Quoz 1&gt;KML Business Centre</v>
      </c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6.5" x14ac:dyDescent="0.35">
      <c r="A904" s="2" t="str">
        <f ca="1">IFERROR(__xludf.DUMMYFUNCTION("""COMPUTED_VALUE"""),"Dubai")</f>
        <v>Dubai</v>
      </c>
      <c r="B904" s="2" t="str">
        <f ca="1">IFERROR(__xludf.DUMMYFUNCTION("""COMPUTED_VALUE"""),"Bin Dasmal Building")</f>
        <v>Bin Dasmal Building</v>
      </c>
      <c r="C904" s="2" t="str">
        <f ca="1">IFERROR(__xludf.DUMMYFUNCTION("""COMPUTED_VALUE"""),"Building")</f>
        <v>Building</v>
      </c>
      <c r="D904" s="2" t="str">
        <f ca="1">IFERROR(__xludf.DUMMYFUNCTION("""COMPUTED_VALUE"""),"Dubai&gt;Al Quoz&gt;Al Quoz Industrial Area&gt;Al Quoz Industrial Area 1&gt;Bin Dasmal Building")</f>
        <v>Dubai&gt;Al Quoz&gt;Al Quoz Industrial Area&gt;Al Quoz Industrial Area 1&gt;Bin Dasmal Building</v>
      </c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6.5" x14ac:dyDescent="0.35">
      <c r="A905" s="2" t="str">
        <f ca="1">IFERROR(__xludf.DUMMYFUNCTION("""COMPUTED_VALUE"""),"Dubai")</f>
        <v>Dubai</v>
      </c>
      <c r="B905" s="2" t="str">
        <f ca="1">IFERROR(__xludf.DUMMYFUNCTION("""COMPUTED_VALUE"""),"Al Khail Heights Building 7B")</f>
        <v>Al Khail Heights Building 7B</v>
      </c>
      <c r="C905" s="2" t="str">
        <f ca="1">IFERROR(__xludf.DUMMYFUNCTION("""COMPUTED_VALUE"""),"Building")</f>
        <v>Building</v>
      </c>
      <c r="D905" s="2" t="str">
        <f ca="1">IFERROR(__xludf.DUMMYFUNCTION("""COMPUTED_VALUE"""),"Dubai&gt;Al Quoz&gt;Al Quoz 4&gt;Al Khail Heights&gt;Al Khail Heights Building 7B")</f>
        <v>Dubai&gt;Al Quoz&gt;Al Quoz 4&gt;Al Khail Heights&gt;Al Khail Heights Building 7B</v>
      </c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6.5" x14ac:dyDescent="0.35">
      <c r="A906" s="2" t="str">
        <f ca="1">IFERROR(__xludf.DUMMYFUNCTION("""COMPUTED_VALUE"""),"Dubai")</f>
        <v>Dubai</v>
      </c>
      <c r="B906" s="2" t="str">
        <f ca="1">IFERROR(__xludf.DUMMYFUNCTION("""COMPUTED_VALUE"""),"La Vista Residence 6")</f>
        <v>La Vista Residence 6</v>
      </c>
      <c r="C906" s="2" t="str">
        <f ca="1">IFERROR(__xludf.DUMMYFUNCTION("""COMPUTED_VALUE"""),"Building")</f>
        <v>Building</v>
      </c>
      <c r="D906" s="2" t="str">
        <f ca="1">IFERROR(__xludf.DUMMYFUNCTION("""COMPUTED_VALUE"""),"Dubai&gt;Dubai Silicon Oasis (DSO)&gt;La Vista Residence&gt;La Vista Residence 6")</f>
        <v>Dubai&gt;Dubai Silicon Oasis (DSO)&gt;La Vista Residence&gt;La Vista Residence 6</v>
      </c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6.5" x14ac:dyDescent="0.35">
      <c r="A907" s="2" t="str">
        <f ca="1">IFERROR(__xludf.DUMMYFUNCTION("""COMPUTED_VALUE"""),"Dubai")</f>
        <v>Dubai</v>
      </c>
      <c r="B907" s="2" t="str">
        <f ca="1">IFERROR(__xludf.DUMMYFUNCTION("""COMPUTED_VALUE"""),"Al Waleed Oasis 3")</f>
        <v>Al Waleed Oasis 3</v>
      </c>
      <c r="C907" s="2" t="str">
        <f ca="1">IFERROR(__xludf.DUMMYFUNCTION("""COMPUTED_VALUE"""),"Building")</f>
        <v>Building</v>
      </c>
      <c r="D907" s="2" t="str">
        <f ca="1">IFERROR(__xludf.DUMMYFUNCTION("""COMPUTED_VALUE"""),"Dubai&gt;Dubai Silicon Oasis (DSO)&gt;Al Waleed Oasis 3")</f>
        <v>Dubai&gt;Dubai Silicon Oasis (DSO)&gt;Al Waleed Oasis 3</v>
      </c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6.5" x14ac:dyDescent="0.35">
      <c r="A908" s="2" t="str">
        <f ca="1">IFERROR(__xludf.DUMMYFUNCTION("""COMPUTED_VALUE"""),"Dubai")</f>
        <v>Dubai</v>
      </c>
      <c r="B908" s="2" t="str">
        <f ca="1">IFERROR(__xludf.DUMMYFUNCTION("""COMPUTED_VALUE"""),"Platinum Residence 1")</f>
        <v>Platinum Residence 1</v>
      </c>
      <c r="C908" s="2" t="str">
        <f ca="1">IFERROR(__xludf.DUMMYFUNCTION("""COMPUTED_VALUE"""),"Building")</f>
        <v>Building</v>
      </c>
      <c r="D908" s="2" t="str">
        <f ca="1">IFERROR(__xludf.DUMMYFUNCTION("""COMPUTED_VALUE"""),"Dubai&gt;Dubai Silicon Oasis (DSO)&gt;Platinum Residence 1")</f>
        <v>Dubai&gt;Dubai Silicon Oasis (DSO)&gt;Platinum Residence 1</v>
      </c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6.5" x14ac:dyDescent="0.35">
      <c r="A909" s="2" t="str">
        <f ca="1">IFERROR(__xludf.DUMMYFUNCTION("""COMPUTED_VALUE"""),"Dubai")</f>
        <v>Dubai</v>
      </c>
      <c r="B909" s="2" t="str">
        <f ca="1">IFERROR(__xludf.DUMMYFUNCTION("""COMPUTED_VALUE"""),"Liwa Residence")</f>
        <v>Liwa Residence</v>
      </c>
      <c r="C909" s="2" t="str">
        <f ca="1">IFERROR(__xludf.DUMMYFUNCTION("""COMPUTED_VALUE"""),"Building")</f>
        <v>Building</v>
      </c>
      <c r="D909" s="2" t="str">
        <f ca="1">IFERROR(__xludf.DUMMYFUNCTION("""COMPUTED_VALUE"""),"Dubai&gt;Dubai Silicon Oasis (DSO)&gt;Liwa Residence")</f>
        <v>Dubai&gt;Dubai Silicon Oasis (DSO)&gt;Liwa Residence</v>
      </c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6.5" x14ac:dyDescent="0.35">
      <c r="A910" s="2" t="str">
        <f ca="1">IFERROR(__xludf.DUMMYFUNCTION("""COMPUTED_VALUE"""),"Dubai")</f>
        <v>Dubai</v>
      </c>
      <c r="B910" s="2" t="str">
        <f ca="1">IFERROR(__xludf.DUMMYFUNCTION("""COMPUTED_VALUE"""),"Faraidooni Building")</f>
        <v>Faraidooni Building</v>
      </c>
      <c r="C910" s="2" t="str">
        <f ca="1">IFERROR(__xludf.DUMMYFUNCTION("""COMPUTED_VALUE"""),"Building")</f>
        <v>Building</v>
      </c>
      <c r="D910" s="2" t="str">
        <f ca="1">IFERROR(__xludf.DUMMYFUNCTION("""COMPUTED_VALUE"""),"Dubai&gt;Dubai Silicon Oasis (DSO)&gt;Faraidooni Building")</f>
        <v>Dubai&gt;Dubai Silicon Oasis (DSO)&gt;Faraidooni Building</v>
      </c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6.5" x14ac:dyDescent="0.35">
      <c r="A911" s="2" t="str">
        <f ca="1">IFERROR(__xludf.DUMMYFUNCTION("""COMPUTED_VALUE"""),"Dubai")</f>
        <v>Dubai</v>
      </c>
      <c r="B911" s="2" t="str">
        <f ca="1">IFERROR(__xludf.DUMMYFUNCTION("""COMPUTED_VALUE"""),"DSO Emirates Tower 3")</f>
        <v>DSO Emirates Tower 3</v>
      </c>
      <c r="C911" s="2" t="str">
        <f ca="1">IFERROR(__xludf.DUMMYFUNCTION("""COMPUTED_VALUE"""),"Building")</f>
        <v>Building</v>
      </c>
      <c r="D911" s="2" t="str">
        <f ca="1">IFERROR(__xludf.DUMMYFUNCTION("""COMPUTED_VALUE"""),"Dubai&gt;Dubai Silicon Oasis (DSO)&gt;DSO Emirates Towers&gt;DSO Emirates Tower 3")</f>
        <v>Dubai&gt;Dubai Silicon Oasis (DSO)&gt;DSO Emirates Towers&gt;DSO Emirates Tower 3</v>
      </c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6.5" x14ac:dyDescent="0.35">
      <c r="A912" s="2" t="str">
        <f ca="1">IFERROR(__xludf.DUMMYFUNCTION("""COMPUTED_VALUE"""),"Dubai")</f>
        <v>Dubai</v>
      </c>
      <c r="B912" s="2" t="str">
        <f ca="1">IFERROR(__xludf.DUMMYFUNCTION("""COMPUTED_VALUE"""),"Ayat Oasis")</f>
        <v>Ayat Oasis</v>
      </c>
      <c r="C912" s="2" t="str">
        <f ca="1">IFERROR(__xludf.DUMMYFUNCTION("""COMPUTED_VALUE"""),"Building")</f>
        <v>Building</v>
      </c>
      <c r="D912" s="2" t="str">
        <f ca="1">IFERROR(__xludf.DUMMYFUNCTION("""COMPUTED_VALUE"""),"Dubai&gt;Dubai Silicon Oasis (DSO)&gt;Ayat Oasis")</f>
        <v>Dubai&gt;Dubai Silicon Oasis (DSO)&gt;Ayat Oasis</v>
      </c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6.5" x14ac:dyDescent="0.35">
      <c r="A913" s="2" t="str">
        <f ca="1">IFERROR(__xludf.DUMMYFUNCTION("""COMPUTED_VALUE"""),"Dubai")</f>
        <v>Dubai</v>
      </c>
      <c r="B913" s="2" t="str">
        <f ca="1">IFERROR(__xludf.DUMMYFUNCTION("""COMPUTED_VALUE"""),"Desert Leaf 4")</f>
        <v>Desert Leaf 4</v>
      </c>
      <c r="C913" s="2" t="str">
        <f ca="1">IFERROR(__xludf.DUMMYFUNCTION("""COMPUTED_VALUE"""),"Neighbourhood")</f>
        <v>Neighbourhood</v>
      </c>
      <c r="D913" s="2" t="str">
        <f ca="1">IFERROR(__xludf.DUMMYFUNCTION("""COMPUTED_VALUE"""),"Dubai&gt;Al Barari&gt;The Residences&gt;Desert Leaf&gt;Desert Leaf 4")</f>
        <v>Dubai&gt;Al Barari&gt;The Residences&gt;Desert Leaf&gt;Desert Leaf 4</v>
      </c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6.5" x14ac:dyDescent="0.35">
      <c r="A914" s="2" t="str">
        <f ca="1">IFERROR(__xludf.DUMMYFUNCTION("""COMPUTED_VALUE"""),"Dubai")</f>
        <v>Dubai</v>
      </c>
      <c r="B914" s="2" t="str">
        <f ca="1">IFERROR(__xludf.DUMMYFUNCTION("""COMPUTED_VALUE"""),"MAG 980")</f>
        <v>MAG 980</v>
      </c>
      <c r="C914" s="2" t="str">
        <f ca="1">IFERROR(__xludf.DUMMYFUNCTION("""COMPUTED_VALUE"""),"Building")</f>
        <v>Building</v>
      </c>
      <c r="D914" s="2" t="str">
        <f ca="1">IFERROR(__xludf.DUMMYFUNCTION("""COMPUTED_VALUE"""),"Dubai&gt;Mohammed Bin Rashid City&gt;District 7&gt;MAG City&gt;MAG 980")</f>
        <v>Dubai&gt;Mohammed Bin Rashid City&gt;District 7&gt;MAG City&gt;MAG 980</v>
      </c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6.5" x14ac:dyDescent="0.35">
      <c r="A915" s="2" t="str">
        <f ca="1">IFERROR(__xludf.DUMMYFUNCTION("""COMPUTED_VALUE"""),"Dubai")</f>
        <v>Dubai</v>
      </c>
      <c r="B915" s="2" t="str">
        <f ca="1">IFERROR(__xludf.DUMMYFUNCTION("""COMPUTED_VALUE"""),"Nineteen Riviera Lagoon")</f>
        <v>Nineteen Riviera Lagoon</v>
      </c>
      <c r="C915" s="2" t="str">
        <f ca="1">IFERROR(__xludf.DUMMYFUNCTION("""COMPUTED_VALUE"""),"Neighbourhood")</f>
        <v>Neighbourhood</v>
      </c>
      <c r="D915" s="2" t="str">
        <f ca="1">IFERROR(__xludf.DUMMYFUNCTION("""COMPUTED_VALUE"""),"Dubai&gt;Mohammed Bin Rashid City&gt;District 11&gt;Nineteen Riviera Lagoon")</f>
        <v>Dubai&gt;Mohammed Bin Rashid City&gt;District 11&gt;Nineteen Riviera Lagoon</v>
      </c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6.5" x14ac:dyDescent="0.35">
      <c r="A916" s="2" t="str">
        <f ca="1">IFERROR(__xludf.DUMMYFUNCTION("""COMPUTED_VALUE"""),"Dubai")</f>
        <v>Dubai</v>
      </c>
      <c r="B916" s="2" t="str">
        <f ca="1">IFERROR(__xludf.DUMMYFUNCTION("""COMPUTED_VALUE"""),"Residences 6")</f>
        <v>Residences 6</v>
      </c>
      <c r="C916" s="2" t="str">
        <f ca="1">IFERROR(__xludf.DUMMYFUNCTION("""COMPUTED_VALUE"""),"Building")</f>
        <v>Building</v>
      </c>
      <c r="D916" s="2" t="str">
        <f ca="1">IFERROR(__xludf.DUMMYFUNCTION("""COMPUTED_VALUE"""),"Dubai&gt;Mohammed Bin Rashid City&gt;District One&gt;The Residences at District One&gt;Residences 6")</f>
        <v>Dubai&gt;Mohammed Bin Rashid City&gt;District One&gt;The Residences at District One&gt;Residences 6</v>
      </c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6.5" x14ac:dyDescent="0.35">
      <c r="A917" s="2" t="str">
        <f ca="1">IFERROR(__xludf.DUMMYFUNCTION("""COMPUTED_VALUE"""),"Dubai")</f>
        <v>Dubai</v>
      </c>
      <c r="B917" s="2" t="str">
        <f ca="1">IFERROR(__xludf.DUMMYFUNCTION("""COMPUTED_VALUE"""),"Alba Apartments")</f>
        <v>Alba Apartments</v>
      </c>
      <c r="C917" s="2" t="str">
        <f ca="1">IFERROR(__xludf.DUMMYFUNCTION("""COMPUTED_VALUE"""),"Building")</f>
        <v>Building</v>
      </c>
      <c r="D917" s="2" t="str">
        <f ca="1">IFERROR(__xludf.DUMMYFUNCTION("""COMPUTED_VALUE"""),"Dubai&gt;Dubai South&gt;Alba Apartments")</f>
        <v>Dubai&gt;Dubai South&gt;Alba Apartments</v>
      </c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6.5" x14ac:dyDescent="0.35">
      <c r="A918" s="2" t="str">
        <f ca="1">IFERROR(__xludf.DUMMYFUNCTION("""COMPUTED_VALUE"""),"Dubai")</f>
        <v>Dubai</v>
      </c>
      <c r="B918" s="2" t="str">
        <f ca="1">IFERROR(__xludf.DUMMYFUNCTION("""COMPUTED_VALUE"""),"The Pulse Residence Plaza B8")</f>
        <v>The Pulse Residence Plaza B8</v>
      </c>
      <c r="C918" s="2" t="str">
        <f ca="1">IFERROR(__xludf.DUMMYFUNCTION("""COMPUTED_VALUE"""),"Building")</f>
        <v>Building</v>
      </c>
      <c r="D918" s="2" t="str">
        <f ca="1">IFERROR(__xludf.DUMMYFUNCTION("""COMPUTED_VALUE"""),"Dubai&gt;Dubai South&gt;Residential District&gt;The Pulse&gt;The Pulse Residence Plaza&gt;The Pulse Residence Plaza B8")</f>
        <v>Dubai&gt;Dubai South&gt;Residential District&gt;The Pulse&gt;The Pulse Residence Plaza&gt;The Pulse Residence Plaza B8</v>
      </c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6.5" x14ac:dyDescent="0.35">
      <c r="A919" s="2" t="str">
        <f ca="1">IFERROR(__xludf.DUMMYFUNCTION("""COMPUTED_VALUE"""),"Dubai")</f>
        <v>Dubai</v>
      </c>
      <c r="B919" s="2" t="str">
        <f ca="1">IFERROR(__xludf.DUMMYFUNCTION("""COMPUTED_VALUE"""),"AG 31")</f>
        <v>AG 31</v>
      </c>
      <c r="C919" s="2" t="str">
        <f ca="1">IFERROR(__xludf.DUMMYFUNCTION("""COMPUTED_VALUE"""),"Building")</f>
        <v>Building</v>
      </c>
      <c r="D919" s="2" t="str">
        <f ca="1">IFERROR(__xludf.DUMMYFUNCTION("""COMPUTED_VALUE"""),"Dubai&gt;Dubai South&gt;Residential District&gt;AG 31")</f>
        <v>Dubai&gt;Dubai South&gt;Residential District&gt;AG 31</v>
      </c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6.5" x14ac:dyDescent="0.35">
      <c r="A920" s="2" t="str">
        <f ca="1">IFERROR(__xludf.DUMMYFUNCTION("""COMPUTED_VALUE"""),"Dubai")</f>
        <v>Dubai</v>
      </c>
      <c r="B920" s="2" t="str">
        <f ca="1">IFERROR(__xludf.DUMMYFUNCTION("""COMPUTED_VALUE"""),"Bling Avenue 1")</f>
        <v>Bling Avenue 1</v>
      </c>
      <c r="C920" s="2" t="str">
        <f ca="1">IFERROR(__xludf.DUMMYFUNCTION("""COMPUTED_VALUE"""),"Building")</f>
        <v>Building</v>
      </c>
      <c r="D920" s="2" t="str">
        <f ca="1">IFERROR(__xludf.DUMMYFUNCTION("""COMPUTED_VALUE"""),"Dubai&gt;Dubai South&gt;Residential District&gt;Bling Avenue 1")</f>
        <v>Dubai&gt;Dubai South&gt;Residential District&gt;Bling Avenue 1</v>
      </c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6.5" x14ac:dyDescent="0.35">
      <c r="A921" s="2" t="str">
        <f ca="1">IFERROR(__xludf.DUMMYFUNCTION("""COMPUTED_VALUE"""),"Dubai")</f>
        <v>Dubai</v>
      </c>
      <c r="B921" s="2" t="str">
        <f ca="1">IFERROR(__xludf.DUMMYFUNCTION("""COMPUTED_VALUE"""),"Crown Palace")</f>
        <v>Crown Palace</v>
      </c>
      <c r="C921" s="2" t="str">
        <f ca="1">IFERROR(__xludf.DUMMYFUNCTION("""COMPUTED_VALUE"""),"Building")</f>
        <v>Building</v>
      </c>
      <c r="D921" s="2" t="str">
        <f ca="1">IFERROR(__xludf.DUMMYFUNCTION("""COMPUTED_VALUE"""),"Dubai&gt;Dubai South&gt;Residential District&gt;Crown Palace")</f>
        <v>Dubai&gt;Dubai South&gt;Residential District&gt;Crown Palace</v>
      </c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6.5" x14ac:dyDescent="0.35">
      <c r="A922" s="2" t="str">
        <f ca="1">IFERROR(__xludf.DUMMYFUNCTION("""COMPUTED_VALUE"""),"Dubai")</f>
        <v>Dubai</v>
      </c>
      <c r="B922" s="2" t="str">
        <f ca="1">IFERROR(__xludf.DUMMYFUNCTION("""COMPUTED_VALUE"""),"The Gardens Building 32")</f>
        <v>The Gardens Building 32</v>
      </c>
      <c r="C922" s="2" t="str">
        <f ca="1">IFERROR(__xludf.DUMMYFUNCTION("""COMPUTED_VALUE"""),"Building")</f>
        <v>Building</v>
      </c>
      <c r="D922" s="2" t="str">
        <f ca="1">IFERROR(__xludf.DUMMYFUNCTION("""COMPUTED_VALUE"""),"Dubai&gt;The Gardens&gt;The Gardens Building 32")</f>
        <v>Dubai&gt;The Gardens&gt;The Gardens Building 32</v>
      </c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6.5" x14ac:dyDescent="0.35">
      <c r="A923" s="2" t="str">
        <f ca="1">IFERROR(__xludf.DUMMYFUNCTION("""COMPUTED_VALUE"""),"Dubai")</f>
        <v>Dubai</v>
      </c>
      <c r="B923" s="2" t="str">
        <f ca="1">IFERROR(__xludf.DUMMYFUNCTION("""COMPUTED_VALUE"""),"Mahdi Ali Hassan Redha Building")</f>
        <v>Mahdi Ali Hassan Redha Building</v>
      </c>
      <c r="C923" s="2" t="str">
        <f ca="1">IFERROR(__xludf.DUMMYFUNCTION("""COMPUTED_VALUE"""),"Building")</f>
        <v>Building</v>
      </c>
      <c r="D923" s="2" t="str">
        <f ca="1">IFERROR(__xludf.DUMMYFUNCTION("""COMPUTED_VALUE"""),"Dubai&gt;Al Mamzar&gt;Mahdi Ali Hassan Redha Building")</f>
        <v>Dubai&gt;Al Mamzar&gt;Mahdi Ali Hassan Redha Building</v>
      </c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6.5" x14ac:dyDescent="0.35">
      <c r="A924" s="2" t="str">
        <f ca="1">IFERROR(__xludf.DUMMYFUNCTION("""COMPUTED_VALUE"""),"Dubai")</f>
        <v>Dubai</v>
      </c>
      <c r="B924" s="2" t="str">
        <f ca="1">IFERROR(__xludf.DUMMYFUNCTION("""COMPUTED_VALUE"""),"Movenpick Hotel Apartments")</f>
        <v>Movenpick Hotel Apartments</v>
      </c>
      <c r="C924" s="2" t="str">
        <f ca="1">IFERROR(__xludf.DUMMYFUNCTION("""COMPUTED_VALUE"""),"Building")</f>
        <v>Building</v>
      </c>
      <c r="D924" s="2" t="str">
        <f ca="1">IFERROR(__xludf.DUMMYFUNCTION("""COMPUTED_VALUE"""),"Dubai&gt;Al Mamzar&gt;Movenpick Hotel Apartments")</f>
        <v>Dubai&gt;Al Mamzar&gt;Movenpick Hotel Apartments</v>
      </c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6.5" x14ac:dyDescent="0.35">
      <c r="A925" s="2" t="str">
        <f ca="1">IFERROR(__xludf.DUMMYFUNCTION("""COMPUTED_VALUE"""),"Dubai")</f>
        <v>Dubai</v>
      </c>
      <c r="B925" s="2" t="str">
        <f ca="1">IFERROR(__xludf.DUMMYFUNCTION("""COMPUTED_VALUE"""),"Philadelphia Private School")</f>
        <v>Philadelphia Private School</v>
      </c>
      <c r="C925" s="2" t="str">
        <f ca="1">IFERROR(__xludf.DUMMYFUNCTION("""COMPUTED_VALUE"""),"School")</f>
        <v>School</v>
      </c>
      <c r="D925" s="2" t="str">
        <f ca="1">IFERROR(__xludf.DUMMYFUNCTION("""COMPUTED_VALUE"""),"Dubai&gt;Muhaisnah&gt;Muhaisnah 4&gt;Philadelphia Private School")</f>
        <v>Dubai&gt;Muhaisnah&gt;Muhaisnah 4&gt;Philadelphia Private School</v>
      </c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6.5" x14ac:dyDescent="0.35">
      <c r="A926" s="2" t="str">
        <f ca="1">IFERROR(__xludf.DUMMYFUNCTION("""COMPUTED_VALUE"""),"Dubai")</f>
        <v>Dubai</v>
      </c>
      <c r="B926" s="2" t="str">
        <f ca="1">IFERROR(__xludf.DUMMYFUNCTION("""COMPUTED_VALUE"""),"Wasl Building R446 Block C")</f>
        <v>Wasl Building R446 Block C</v>
      </c>
      <c r="C926" s="2" t="str">
        <f ca="1">IFERROR(__xludf.DUMMYFUNCTION("""COMPUTED_VALUE"""),"Building")</f>
        <v>Building</v>
      </c>
      <c r="D926" s="2" t="str">
        <f ca="1">IFERROR(__xludf.DUMMYFUNCTION("""COMPUTED_VALUE"""),"Dubai&gt;Muhaisnah&gt;Muhaisnah 4&gt;Wasl Building R446&gt;Wasl Building R446 Block C")</f>
        <v>Dubai&gt;Muhaisnah&gt;Muhaisnah 4&gt;Wasl Building R446&gt;Wasl Building R446 Block C</v>
      </c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6.5" x14ac:dyDescent="0.35">
      <c r="A927" s="2" t="str">
        <f ca="1">IFERROR(__xludf.DUMMYFUNCTION("""COMPUTED_VALUE"""),"Dubai")</f>
        <v>Dubai</v>
      </c>
      <c r="B927" s="2" t="str">
        <f ca="1">IFERROR(__xludf.DUMMYFUNCTION("""COMPUTED_VALUE"""),"Ramool New Building 2")</f>
        <v>Ramool New Building 2</v>
      </c>
      <c r="C927" s="2" t="str">
        <f ca="1">IFERROR(__xludf.DUMMYFUNCTION("""COMPUTED_VALUE"""),"Building")</f>
        <v>Building</v>
      </c>
      <c r="D927" s="2" t="str">
        <f ca="1">IFERROR(__xludf.DUMMYFUNCTION("""COMPUTED_VALUE"""),"Dubai&gt;Umm Ramool&gt;Ramool New Building 2")</f>
        <v>Dubai&gt;Umm Ramool&gt;Ramool New Building 2</v>
      </c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6.5" x14ac:dyDescent="0.35">
      <c r="A928" s="2" t="str">
        <f ca="1">IFERROR(__xludf.DUMMYFUNCTION("""COMPUTED_VALUE"""),"Dubai")</f>
        <v>Dubai</v>
      </c>
      <c r="B928" s="2" t="str">
        <f ca="1">IFERROR(__xludf.DUMMYFUNCTION("""COMPUTED_VALUE"""),"Al Maidoor Building")</f>
        <v>Al Maidoor Building</v>
      </c>
      <c r="C928" s="2" t="str">
        <f ca="1">IFERROR(__xludf.DUMMYFUNCTION("""COMPUTED_VALUE"""),"Building")</f>
        <v>Building</v>
      </c>
      <c r="D928" s="2" t="str">
        <f ca="1">IFERROR(__xludf.DUMMYFUNCTION("""COMPUTED_VALUE"""),"Dubai&gt;Sheikh Zayed Road&gt;Al Maidoor Building")</f>
        <v>Dubai&gt;Sheikh Zayed Road&gt;Al Maidoor Building</v>
      </c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6.5" x14ac:dyDescent="0.35">
      <c r="A929" s="2" t="str">
        <f ca="1">IFERROR(__xludf.DUMMYFUNCTION("""COMPUTED_VALUE"""),"Dubai")</f>
        <v>Dubai</v>
      </c>
      <c r="B929" s="2" t="str">
        <f ca="1">IFERROR(__xludf.DUMMYFUNCTION("""COMPUTED_VALUE"""),"Aspin Commercial Tower")</f>
        <v>Aspin Commercial Tower</v>
      </c>
      <c r="C929" s="2" t="str">
        <f ca="1">IFERROR(__xludf.DUMMYFUNCTION("""COMPUTED_VALUE"""),"Building")</f>
        <v>Building</v>
      </c>
      <c r="D929" s="2" t="str">
        <f ca="1">IFERROR(__xludf.DUMMYFUNCTION("""COMPUTED_VALUE"""),"Dubai&gt;Sheikh Zayed Road&gt;Aspin Commercial Tower")</f>
        <v>Dubai&gt;Sheikh Zayed Road&gt;Aspin Commercial Tower</v>
      </c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6.5" x14ac:dyDescent="0.35">
      <c r="A930" s="2" t="str">
        <f ca="1">IFERROR(__xludf.DUMMYFUNCTION("""COMPUTED_VALUE"""),"Dubai")</f>
        <v>Dubai</v>
      </c>
      <c r="B930" s="2" t="str">
        <f ca="1">IFERROR(__xludf.DUMMYFUNCTION("""COMPUTED_VALUE"""),"Samaya Building")</f>
        <v>Samaya Building</v>
      </c>
      <c r="C930" s="2" t="str">
        <f ca="1">IFERROR(__xludf.DUMMYFUNCTION("""COMPUTED_VALUE"""),"Building")</f>
        <v>Building</v>
      </c>
      <c r="D930" s="2" t="str">
        <f ca="1">IFERROR(__xludf.DUMMYFUNCTION("""COMPUTED_VALUE"""),"Dubai&gt;Sheikh Zayed Road&gt;Samaya Building")</f>
        <v>Dubai&gt;Sheikh Zayed Road&gt;Samaya Building</v>
      </c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6.5" x14ac:dyDescent="0.35">
      <c r="A931" s="2" t="str">
        <f ca="1">IFERROR(__xludf.DUMMYFUNCTION("""COMPUTED_VALUE"""),"Dubai")</f>
        <v>Dubai</v>
      </c>
      <c r="B931" s="2" t="str">
        <f ca="1">IFERROR(__xludf.DUMMYFUNCTION("""COMPUTED_VALUE"""),"Trump Tower")</f>
        <v>Trump Tower</v>
      </c>
      <c r="C931" s="2" t="str">
        <f ca="1">IFERROR(__xludf.DUMMYFUNCTION("""COMPUTED_VALUE"""),"Building")</f>
        <v>Building</v>
      </c>
      <c r="D931" s="2" t="str">
        <f ca="1">IFERROR(__xludf.DUMMYFUNCTION("""COMPUTED_VALUE"""),"Dubai&gt;Sheikh Zayed Road&gt;Trump Tower")</f>
        <v>Dubai&gt;Sheikh Zayed Road&gt;Trump Tower</v>
      </c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6.5" x14ac:dyDescent="0.35">
      <c r="A932" s="2" t="str">
        <f ca="1">IFERROR(__xludf.DUMMYFUNCTION("""COMPUTED_VALUE"""),"Dubai")</f>
        <v>Dubai</v>
      </c>
      <c r="B932" s="2" t="str">
        <f ca="1">IFERROR(__xludf.DUMMYFUNCTION("""COMPUTED_VALUE"""),"Building 1")</f>
        <v>Building 1</v>
      </c>
      <c r="C932" s="2" t="str">
        <f ca="1">IFERROR(__xludf.DUMMYFUNCTION("""COMPUTED_VALUE"""),"Building")</f>
        <v>Building</v>
      </c>
      <c r="D932" s="2" t="str">
        <f ca="1">IFERROR(__xludf.DUMMYFUNCTION("""COMPUTED_VALUE"""),"Dubai&gt;Al Karama&gt;Karam Pioneer Buildings&gt;Building 1")</f>
        <v>Dubai&gt;Al Karama&gt;Karam Pioneer Buildings&gt;Building 1</v>
      </c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6.5" x14ac:dyDescent="0.35">
      <c r="A933" s="2" t="str">
        <f ca="1">IFERROR(__xludf.DUMMYFUNCTION("""COMPUTED_VALUE"""),"Dubai")</f>
        <v>Dubai</v>
      </c>
      <c r="B933" s="2" t="str">
        <f ca="1">IFERROR(__xludf.DUMMYFUNCTION("""COMPUTED_VALUE"""),"Building 33")</f>
        <v>Building 33</v>
      </c>
      <c r="C933" s="2" t="str">
        <f ca="1">IFERROR(__xludf.DUMMYFUNCTION("""COMPUTED_VALUE"""),"Building")</f>
        <v>Building</v>
      </c>
      <c r="D933" s="2" t="str">
        <f ca="1">IFERROR(__xludf.DUMMYFUNCTION("""COMPUTED_VALUE"""),"Dubai&gt;Al Karama&gt;Karam Pioneer Buildings&gt;Building 33")</f>
        <v>Dubai&gt;Al Karama&gt;Karam Pioneer Buildings&gt;Building 33</v>
      </c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6.5" x14ac:dyDescent="0.35">
      <c r="A934" s="2" t="str">
        <f ca="1">IFERROR(__xludf.DUMMYFUNCTION("""COMPUTED_VALUE"""),"Dubai")</f>
        <v>Dubai</v>
      </c>
      <c r="B934" s="2" t="str">
        <f ca="1">IFERROR(__xludf.DUMMYFUNCTION("""COMPUTED_VALUE"""),"Al Wasl Hub")</f>
        <v>Al Wasl Hub</v>
      </c>
      <c r="C934" s="2" t="str">
        <f ca="1">IFERROR(__xludf.DUMMYFUNCTION("""COMPUTED_VALUE"""),"Cluster")</f>
        <v>Cluster</v>
      </c>
      <c r="D934" s="2" t="str">
        <f ca="1">IFERROR(__xludf.DUMMYFUNCTION("""COMPUTED_VALUE"""),"Dubai&gt;Al Karama&gt;Al Wasl Hub")</f>
        <v>Dubai&gt;Al Karama&gt;Al Wasl Hub</v>
      </c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6.5" x14ac:dyDescent="0.35">
      <c r="A935" s="2" t="str">
        <f ca="1">IFERROR(__xludf.DUMMYFUNCTION("""COMPUTED_VALUE"""),"Dubai")</f>
        <v>Dubai</v>
      </c>
      <c r="B935" s="2" t="str">
        <f ca="1">IFERROR(__xludf.DUMMYFUNCTION("""COMPUTED_VALUE"""),"Jumma Al Majid 1 Building")</f>
        <v>Jumma Al Majid 1 Building</v>
      </c>
      <c r="C935" s="2" t="str">
        <f ca="1">IFERROR(__xludf.DUMMYFUNCTION("""COMPUTED_VALUE"""),"Building")</f>
        <v>Building</v>
      </c>
      <c r="D935" s="2" t="str">
        <f ca="1">IFERROR(__xludf.DUMMYFUNCTION("""COMPUTED_VALUE"""),"Dubai&gt;Al Karama&gt;Jumma Al Majid 1 Building")</f>
        <v>Dubai&gt;Al Karama&gt;Jumma Al Majid 1 Building</v>
      </c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6.5" x14ac:dyDescent="0.35">
      <c r="A936" s="2" t="str">
        <f ca="1">IFERROR(__xludf.DUMMYFUNCTION("""COMPUTED_VALUE"""),"Dubai")</f>
        <v>Dubai</v>
      </c>
      <c r="B936" s="2" t="str">
        <f ca="1">IFERROR(__xludf.DUMMYFUNCTION("""COMPUTED_VALUE"""),"Al Mabrooka C")</f>
        <v>Al Mabrooka C</v>
      </c>
      <c r="C936" s="2" t="str">
        <f ca="1">IFERROR(__xludf.DUMMYFUNCTION("""COMPUTED_VALUE"""),"Building")</f>
        <v>Building</v>
      </c>
      <c r="D936" s="2" t="str">
        <f ca="1">IFERROR(__xludf.DUMMYFUNCTION("""COMPUTED_VALUE"""),"Dubai&gt;Al Karama&gt;Al Mabrooka 1&gt;Al Mabrooka C")</f>
        <v>Dubai&gt;Al Karama&gt;Al Mabrooka 1&gt;Al Mabrooka C</v>
      </c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6.5" x14ac:dyDescent="0.35">
      <c r="A937" s="2" t="str">
        <f ca="1">IFERROR(__xludf.DUMMYFUNCTION("""COMPUTED_VALUE"""),"Dubai")</f>
        <v>Dubai</v>
      </c>
      <c r="B937" s="2" t="str">
        <f ca="1">IFERROR(__xludf.DUMMYFUNCTION("""COMPUTED_VALUE"""),"Al Muhairi Building 3")</f>
        <v>Al Muhairi Building 3</v>
      </c>
      <c r="C937" s="2" t="str">
        <f ca="1">IFERROR(__xludf.DUMMYFUNCTION("""COMPUTED_VALUE"""),"Building")</f>
        <v>Building</v>
      </c>
      <c r="D937" s="2" t="str">
        <f ca="1">IFERROR(__xludf.DUMMYFUNCTION("""COMPUTED_VALUE"""),"Dubai&gt;Al Karama&gt;Al Muhairi Building 3")</f>
        <v>Dubai&gt;Al Karama&gt;Al Muhairi Building 3</v>
      </c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6.5" x14ac:dyDescent="0.35">
      <c r="A938" s="2" t="str">
        <f ca="1">IFERROR(__xludf.DUMMYFUNCTION("""COMPUTED_VALUE"""),"Dubai")</f>
        <v>Dubai</v>
      </c>
      <c r="B938" s="2" t="str">
        <f ca="1">IFERROR(__xludf.DUMMYFUNCTION("""COMPUTED_VALUE"""),"A-10 Al Demani Building")</f>
        <v>A-10 Al Demani Building</v>
      </c>
      <c r="C938" s="2" t="str">
        <f ca="1">IFERROR(__xludf.DUMMYFUNCTION("""COMPUTED_VALUE"""),"Building")</f>
        <v>Building</v>
      </c>
      <c r="D938" s="2" t="str">
        <f ca="1">IFERROR(__xludf.DUMMYFUNCTION("""COMPUTED_VALUE"""),"Dubai&gt;Al Karama&gt;A-10 Al Demani Building")</f>
        <v>Dubai&gt;Al Karama&gt;A-10 Al Demani Building</v>
      </c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6.5" x14ac:dyDescent="0.35">
      <c r="A939" s="2" t="str">
        <f ca="1">IFERROR(__xludf.DUMMYFUNCTION("""COMPUTED_VALUE"""),"Dubai")</f>
        <v>Dubai</v>
      </c>
      <c r="B939" s="2" t="str">
        <f ca="1">IFERROR(__xludf.DUMMYFUNCTION("""COMPUTED_VALUE"""),"Al Fahad Block C")</f>
        <v>Al Fahad Block C</v>
      </c>
      <c r="C939" s="2" t="str">
        <f ca="1">IFERROR(__xludf.DUMMYFUNCTION("""COMPUTED_VALUE"""),"Building")</f>
        <v>Building</v>
      </c>
      <c r="D939" s="2" t="str">
        <f ca="1">IFERROR(__xludf.DUMMYFUNCTION("""COMPUTED_VALUE"""),"Dubai&gt;Al Karama&gt;Al Fahad Blocks&gt;Al Fahad Block C")</f>
        <v>Dubai&gt;Al Karama&gt;Al Fahad Blocks&gt;Al Fahad Block C</v>
      </c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6.5" x14ac:dyDescent="0.35">
      <c r="A940" s="2" t="str">
        <f ca="1">IFERROR(__xludf.DUMMYFUNCTION("""COMPUTED_VALUE"""),"Dubai")</f>
        <v>Dubai</v>
      </c>
      <c r="B940" s="2" t="str">
        <f ca="1">IFERROR(__xludf.DUMMYFUNCTION("""COMPUTED_VALUE"""),"Melrose Place")</f>
        <v>Melrose Place</v>
      </c>
      <c r="C940" s="2" t="str">
        <f ca="1">IFERROR(__xludf.DUMMYFUNCTION("""COMPUTED_VALUE"""),"Building")</f>
        <v>Building</v>
      </c>
      <c r="D940" s="2" t="str">
        <f ca="1">IFERROR(__xludf.DUMMYFUNCTION("""COMPUTED_VALUE"""),"Dubai&gt;Al Karama&gt;Melrose Place")</f>
        <v>Dubai&gt;Al Karama&gt;Melrose Place</v>
      </c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6.5" x14ac:dyDescent="0.35">
      <c r="A941" s="2" t="str">
        <f ca="1">IFERROR(__xludf.DUMMYFUNCTION("""COMPUTED_VALUE"""),"Dubai")</f>
        <v>Dubai</v>
      </c>
      <c r="B941" s="2" t="str">
        <f ca="1">IFERROR(__xludf.DUMMYFUNCTION("""COMPUTED_VALUE"""),"Al Karama Apartments Building 2")</f>
        <v>Al Karama Apartments Building 2</v>
      </c>
      <c r="C941" s="2" t="str">
        <f ca="1">IFERROR(__xludf.DUMMYFUNCTION("""COMPUTED_VALUE"""),"Building")</f>
        <v>Building</v>
      </c>
      <c r="D941" s="2" t="str">
        <f ca="1">IFERROR(__xludf.DUMMYFUNCTION("""COMPUTED_VALUE"""),"Dubai&gt;Al Karama&gt;Al Karama Apartments Building 2")</f>
        <v>Dubai&gt;Al Karama&gt;Al Karama Apartments Building 2</v>
      </c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6.5" x14ac:dyDescent="0.35">
      <c r="A942" s="2" t="str">
        <f ca="1">IFERROR(__xludf.DUMMYFUNCTION("""COMPUTED_VALUE"""),"Dubai")</f>
        <v>Dubai</v>
      </c>
      <c r="B942" s="2" t="str">
        <f ca="1">IFERROR(__xludf.DUMMYFUNCTION("""COMPUTED_VALUE"""),"Al Wasl Building R384")</f>
        <v>Al Wasl Building R384</v>
      </c>
      <c r="C942" s="2" t="str">
        <f ca="1">IFERROR(__xludf.DUMMYFUNCTION("""COMPUTED_VALUE"""),"Building")</f>
        <v>Building</v>
      </c>
      <c r="D942" s="2" t="str">
        <f ca="1">IFERROR(__xludf.DUMMYFUNCTION("""COMPUTED_VALUE"""),"Dubai&gt;Al Karama&gt;Al Wasl Building R384")</f>
        <v>Dubai&gt;Al Karama&gt;Al Wasl Building R384</v>
      </c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6.5" x14ac:dyDescent="0.35">
      <c r="A943" s="2" t="str">
        <f ca="1">IFERROR(__xludf.DUMMYFUNCTION("""COMPUTED_VALUE"""),"Dubai")</f>
        <v>Dubai</v>
      </c>
      <c r="B943" s="2" t="str">
        <f ca="1">IFERROR(__xludf.DUMMYFUNCTION("""COMPUTED_VALUE"""),"Tower 2")</f>
        <v>Tower 2</v>
      </c>
      <c r="C943" s="2" t="str">
        <f ca="1">IFERROR(__xludf.DUMMYFUNCTION("""COMPUTED_VALUE"""),"Building")</f>
        <v>Building</v>
      </c>
      <c r="D943" s="2" t="str">
        <f ca="1">IFERROR(__xludf.DUMMYFUNCTION("""COMPUTED_VALUE"""),"Dubai&gt;Culture Village (Jaddaf Waterfront)&gt;Dubai Wharf&gt;Tower 2")</f>
        <v>Dubai&gt;Culture Village (Jaddaf Waterfront)&gt;Dubai Wharf&gt;Tower 2</v>
      </c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6.5" x14ac:dyDescent="0.35">
      <c r="A944" s="2" t="str">
        <f ca="1">IFERROR(__xludf.DUMMYFUNCTION("""COMPUTED_VALUE"""),"Dubai")</f>
        <v>Dubai</v>
      </c>
      <c r="B944" s="2" t="str">
        <f ca="1">IFERROR(__xludf.DUMMYFUNCTION("""COMPUTED_VALUE"""),"Falcon City of Wonders")</f>
        <v>Falcon City of Wonders</v>
      </c>
      <c r="C944" s="2" t="str">
        <f ca="1">IFERROR(__xludf.DUMMYFUNCTION("""COMPUTED_VALUE"""),"Neighbourhood")</f>
        <v>Neighbourhood</v>
      </c>
      <c r="D944" s="2" t="str">
        <f ca="1">IFERROR(__xludf.DUMMYFUNCTION("""COMPUTED_VALUE"""),"Dubai&gt;Falcon City of Wonders")</f>
        <v>Dubai&gt;Falcon City of Wonders</v>
      </c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6.5" x14ac:dyDescent="0.35">
      <c r="A945" s="2" t="str">
        <f ca="1">IFERROR(__xludf.DUMMYFUNCTION("""COMPUTED_VALUE"""),"Dubai")</f>
        <v>Dubai</v>
      </c>
      <c r="B945" s="2" t="str">
        <f ca="1">IFERROR(__xludf.DUMMYFUNCTION("""COMPUTED_VALUE"""),"Asayel Building 2")</f>
        <v>Asayel Building 2</v>
      </c>
      <c r="C945" s="2" t="str">
        <f ca="1">IFERROR(__xludf.DUMMYFUNCTION("""COMPUTED_VALUE"""),"Building")</f>
        <v>Building</v>
      </c>
      <c r="D945" s="2" t="str">
        <f ca="1">IFERROR(__xludf.DUMMYFUNCTION("""COMPUTED_VALUE"""),"Dubai&gt;Umm Suqeim&gt;Madinat Jumeirah Living&gt;Asayel&gt;Asayel Building 2")</f>
        <v>Dubai&gt;Umm Suqeim&gt;Madinat Jumeirah Living&gt;Asayel&gt;Asayel Building 2</v>
      </c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6.5" x14ac:dyDescent="0.35">
      <c r="A946" s="2" t="str">
        <f ca="1">IFERROR(__xludf.DUMMYFUNCTION("""COMPUTED_VALUE"""),"Dubai")</f>
        <v>Dubai</v>
      </c>
      <c r="B946" s="2" t="str">
        <f ca="1">IFERROR(__xludf.DUMMYFUNCTION("""COMPUTED_VALUE"""),"Riwa 3")</f>
        <v>Riwa 3</v>
      </c>
      <c r="C946" s="2" t="str">
        <f ca="1">IFERROR(__xludf.DUMMYFUNCTION("""COMPUTED_VALUE"""),"Building")</f>
        <v>Building</v>
      </c>
      <c r="D946" s="2" t="str">
        <f ca="1">IFERROR(__xludf.DUMMYFUNCTION("""COMPUTED_VALUE"""),"Dubai&gt;Umm Suqeim&gt;Madinat Jumeirah Living&gt;Riwa&gt;Riwa 3")</f>
        <v>Dubai&gt;Umm Suqeim&gt;Madinat Jumeirah Living&gt;Riwa&gt;Riwa 3</v>
      </c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6.5" x14ac:dyDescent="0.35">
      <c r="A947" s="2" t="str">
        <f ca="1">IFERROR(__xludf.DUMMYFUNCTION("""COMPUTED_VALUE"""),"Dubai")</f>
        <v>Dubai</v>
      </c>
      <c r="B947" s="2" t="str">
        <f ca="1">IFERROR(__xludf.DUMMYFUNCTION("""COMPUTED_VALUE"""),"Wadi Tower")</f>
        <v>Wadi Tower</v>
      </c>
      <c r="C947" s="2" t="str">
        <f ca="1">IFERROR(__xludf.DUMMYFUNCTION("""COMPUTED_VALUE"""),"Building")</f>
        <v>Building</v>
      </c>
      <c r="D947" s="2" t="str">
        <f ca="1">IFERROR(__xludf.DUMMYFUNCTION("""COMPUTED_VALUE"""),"Dubai&gt;City of Arabia&gt;Wadi Tower")</f>
        <v>Dubai&gt;City of Arabia&gt;Wadi Tower</v>
      </c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6.5" x14ac:dyDescent="0.35">
      <c r="A948" s="2" t="str">
        <f ca="1">IFERROR(__xludf.DUMMYFUNCTION("""COMPUTED_VALUE"""),"Dubai")</f>
        <v>Dubai</v>
      </c>
      <c r="B948" s="2" t="str">
        <f ca="1">IFERROR(__xludf.DUMMYFUNCTION("""COMPUTED_VALUE"""),"Mira Building")</f>
        <v>Mira Building</v>
      </c>
      <c r="C948" s="2" t="str">
        <f ca="1">IFERROR(__xludf.DUMMYFUNCTION("""COMPUTED_VALUE"""),"Building")</f>
        <v>Building</v>
      </c>
      <c r="D948" s="2" t="str">
        <f ca="1">IFERROR(__xludf.DUMMYFUNCTION("""COMPUTED_VALUE"""),"Dubai&gt;Al Badaa&gt;Mira Building")</f>
        <v>Dubai&gt;Al Badaa&gt;Mira Building</v>
      </c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6.5" x14ac:dyDescent="0.35">
      <c r="A949" s="2" t="str">
        <f ca="1">IFERROR(__xludf.DUMMYFUNCTION("""COMPUTED_VALUE"""),"Dubai")</f>
        <v>Dubai</v>
      </c>
      <c r="B949" s="2" t="str">
        <f ca="1">IFERROR(__xludf.DUMMYFUNCTION("""COMPUTED_VALUE"""),"Abdul Aziz Ahmed Al Tayer Building")</f>
        <v>Abdul Aziz Ahmed Al Tayer Building</v>
      </c>
      <c r="C949" s="2" t="str">
        <f ca="1">IFERROR(__xludf.DUMMYFUNCTION("""COMPUTED_VALUE"""),"Building")</f>
        <v>Building</v>
      </c>
      <c r="D949" s="2" t="str">
        <f ca="1">IFERROR(__xludf.DUMMYFUNCTION("""COMPUTED_VALUE"""),"Dubai&gt;Al Badaa&gt;Abdul Aziz Ahmed Al Tayer Building")</f>
        <v>Dubai&gt;Al Badaa&gt;Abdul Aziz Ahmed Al Tayer Building</v>
      </c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6.5" x14ac:dyDescent="0.35">
      <c r="A950" s="2" t="str">
        <f ca="1">IFERROR(__xludf.DUMMYFUNCTION("""COMPUTED_VALUE"""),"Dubai")</f>
        <v>Dubai</v>
      </c>
      <c r="B950" s="2" t="str">
        <f ca="1">IFERROR(__xludf.DUMMYFUNCTION("""COMPUTED_VALUE"""),"Indigo Central 7")</f>
        <v>Indigo Central 7</v>
      </c>
      <c r="C950" s="2" t="str">
        <f ca="1">IFERROR(__xludf.DUMMYFUNCTION("""COMPUTED_VALUE"""),"Building")</f>
        <v>Building</v>
      </c>
      <c r="D950" s="2" t="str">
        <f ca="1">IFERROR(__xludf.DUMMYFUNCTION("""COMPUTED_VALUE"""),"Dubai&gt;Al Manara&gt;Indigo Central 7")</f>
        <v>Dubai&gt;Al Manara&gt;Indigo Central 7</v>
      </c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6.5" x14ac:dyDescent="0.35">
      <c r="A951" s="2" t="str">
        <f ca="1">IFERROR(__xludf.DUMMYFUNCTION("""COMPUTED_VALUE"""),"Dubai")</f>
        <v>Dubai</v>
      </c>
      <c r="B951" s="2" t="str">
        <f ca="1">IFERROR(__xludf.DUMMYFUNCTION("""COMPUTED_VALUE"""),"Shiba Towers Block B")</f>
        <v>Shiba Towers Block B</v>
      </c>
      <c r="C951" s="2" t="str">
        <f ca="1">IFERROR(__xludf.DUMMYFUNCTION("""COMPUTED_VALUE"""),"Building")</f>
        <v>Building</v>
      </c>
      <c r="D951" s="2" t="str">
        <f ca="1">IFERROR(__xludf.DUMMYFUNCTION("""COMPUTED_VALUE"""),"Dubai&gt;Academic City&gt;Al Shiba Complex&gt;Shiba Towers Block B")</f>
        <v>Dubai&gt;Academic City&gt;Al Shiba Complex&gt;Shiba Towers Block B</v>
      </c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6.5" x14ac:dyDescent="0.35">
      <c r="A952" s="2" t="str">
        <f ca="1">IFERROR(__xludf.DUMMYFUNCTION("""COMPUTED_VALUE"""),"Dubai")</f>
        <v>Dubai</v>
      </c>
      <c r="B952" s="2" t="str">
        <f ca="1">IFERROR(__xludf.DUMMYFUNCTION("""COMPUTED_VALUE"""),"Building 6")</f>
        <v>Building 6</v>
      </c>
      <c r="C952" s="2" t="str">
        <f ca="1">IFERROR(__xludf.DUMMYFUNCTION("""COMPUTED_VALUE"""),"Building")</f>
        <v>Building</v>
      </c>
      <c r="D952" s="2" t="str">
        <f ca="1">IFERROR(__xludf.DUMMYFUNCTION("""COMPUTED_VALUE"""),"Dubai&gt;Dubai Design District&gt;Building 6")</f>
        <v>Dubai&gt;Dubai Design District&gt;Building 6</v>
      </c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6.5" x14ac:dyDescent="0.35">
      <c r="A953" s="2" t="str">
        <f ca="1">IFERROR(__xludf.DUMMYFUNCTION("""COMPUTED_VALUE"""),"Dubai")</f>
        <v>Dubai</v>
      </c>
      <c r="B953" s="2" t="str">
        <f ca="1">IFERROR(__xludf.DUMMYFUNCTION("""COMPUTED_VALUE"""),"Al Hudaiba Building")</f>
        <v>Al Hudaiba Building</v>
      </c>
      <c r="C953" s="2" t="str">
        <f ca="1">IFERROR(__xludf.DUMMYFUNCTION("""COMPUTED_VALUE"""),"Building")</f>
        <v>Building</v>
      </c>
      <c r="D953" s="2" t="str">
        <f ca="1">IFERROR(__xludf.DUMMYFUNCTION("""COMPUTED_VALUE"""),"Dubai&gt;Al Hudaiba&gt;Al Hudaiba Building")</f>
        <v>Dubai&gt;Al Hudaiba&gt;Al Hudaiba Building</v>
      </c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6.5" x14ac:dyDescent="0.35">
      <c r="A954" s="2" t="str">
        <f ca="1">IFERROR(__xludf.DUMMYFUNCTION("""COMPUTED_VALUE"""),"Dubai")</f>
        <v>Dubai</v>
      </c>
      <c r="B954" s="2" t="str">
        <f ca="1">IFERROR(__xludf.DUMMYFUNCTION("""COMPUTED_VALUE"""),"Jumeira Baccalaureate School")</f>
        <v>Jumeira Baccalaureate School</v>
      </c>
      <c r="C954" s="2" t="str">
        <f ca="1">IFERROR(__xludf.DUMMYFUNCTION("""COMPUTED_VALUE"""),"School")</f>
        <v>School</v>
      </c>
      <c r="D954" s="2" t="str">
        <f ca="1">IFERROR(__xludf.DUMMYFUNCTION("""COMPUTED_VALUE"""),"Dubai&gt;Jumeirah&gt;Jumeirah 1&gt;Jumeira Baccalaureate School")</f>
        <v>Dubai&gt;Jumeirah&gt;Jumeirah 1&gt;Jumeira Baccalaureate School</v>
      </c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6.5" x14ac:dyDescent="0.35">
      <c r="A955" s="2" t="str">
        <f ca="1">IFERROR(__xludf.DUMMYFUNCTION("""COMPUTED_VALUE"""),"Dubai")</f>
        <v>Dubai</v>
      </c>
      <c r="B955" s="2" t="str">
        <f ca="1">IFERROR(__xludf.DUMMYFUNCTION("""COMPUTED_VALUE"""),"Kid’s Island Nursery")</f>
        <v>Kid’s Island Nursery</v>
      </c>
      <c r="C955" s="2" t="str">
        <f ca="1">IFERROR(__xludf.DUMMYFUNCTION("""COMPUTED_VALUE"""),"Nursery")</f>
        <v>Nursery</v>
      </c>
      <c r="D955" s="2" t="str">
        <f ca="1">IFERROR(__xludf.DUMMYFUNCTION("""COMPUTED_VALUE"""),"Dubai&gt;Jumeirah&gt;Jumeirah 3&gt;Kid’s Island Nursery")</f>
        <v>Dubai&gt;Jumeirah&gt;Jumeirah 3&gt;Kid’s Island Nursery</v>
      </c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6.5" x14ac:dyDescent="0.35">
      <c r="A956" s="2" t="str">
        <f ca="1">IFERROR(__xludf.DUMMYFUNCTION("""COMPUTED_VALUE"""),"Dubai")</f>
        <v>Dubai</v>
      </c>
      <c r="B956" s="2" t="str">
        <f ca="1">IFERROR(__xludf.DUMMYFUNCTION("""COMPUTED_VALUE"""),"Sea Mirror Residences")</f>
        <v>Sea Mirror Residences</v>
      </c>
      <c r="C956" s="2" t="str">
        <f ca="1">IFERROR(__xludf.DUMMYFUNCTION("""COMPUTED_VALUE"""),"Building")</f>
        <v>Building</v>
      </c>
      <c r="D956" s="2" t="str">
        <f ca="1">IFERROR(__xludf.DUMMYFUNCTION("""COMPUTED_VALUE"""),"Dubai&gt;Jumeirah&gt;Jumeirah 2&gt;Sea Mirror Residences")</f>
        <v>Dubai&gt;Jumeirah&gt;Jumeirah 2&gt;Sea Mirror Residences</v>
      </c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6.5" x14ac:dyDescent="0.35">
      <c r="A957" s="2" t="str">
        <f ca="1">IFERROR(__xludf.DUMMYFUNCTION("""COMPUTED_VALUE"""),"Dubai")</f>
        <v>Dubai</v>
      </c>
      <c r="B957" s="2" t="str">
        <f ca="1">IFERROR(__xludf.DUMMYFUNCTION("""COMPUTED_VALUE"""),"La Sirene Tower 4")</f>
        <v>La Sirene Tower 4</v>
      </c>
      <c r="C957" s="2" t="str">
        <f ca="1">IFERROR(__xludf.DUMMYFUNCTION("""COMPUTED_VALUE"""),"Building")</f>
        <v>Building</v>
      </c>
      <c r="D957" s="2" t="str">
        <f ca="1">IFERROR(__xludf.DUMMYFUNCTION("""COMPUTED_VALUE"""),"Dubai&gt;Jumeirah&gt;La Mer&gt;Port de La Mer&gt;La Sirene&gt;La Sirene 2")</f>
        <v>Dubai&gt;Jumeirah&gt;La Mer&gt;Port de La Mer&gt;La Sirene&gt;La Sirene 2</v>
      </c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6.5" x14ac:dyDescent="0.35">
      <c r="A958" s="2" t="str">
        <f ca="1">IFERROR(__xludf.DUMMYFUNCTION("""COMPUTED_VALUE"""),"Dubai")</f>
        <v>Dubai</v>
      </c>
      <c r="B958" s="2" t="str">
        <f ca="1">IFERROR(__xludf.DUMMYFUNCTION("""COMPUTED_VALUE"""),"Address Harbour Point")</f>
        <v>Address Harbour Point</v>
      </c>
      <c r="C958" s="2" t="str">
        <f ca="1">IFERROR(__xludf.DUMMYFUNCTION("""COMPUTED_VALUE"""),"Cluster")</f>
        <v>Cluster</v>
      </c>
      <c r="D958" s="2" t="str">
        <f ca="1">IFERROR(__xludf.DUMMYFUNCTION("""COMPUTED_VALUE"""),"Dubai&gt;Dubai Creek Harbour&gt;Address Harbour Point")</f>
        <v>Dubai&gt;Dubai Creek Harbour&gt;Address Harbour Point</v>
      </c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6.5" x14ac:dyDescent="0.35">
      <c r="A959" s="2" t="str">
        <f ca="1">IFERROR(__xludf.DUMMYFUNCTION("""COMPUTED_VALUE"""),"Dubai")</f>
        <v>Dubai</v>
      </c>
      <c r="B959" s="2" t="str">
        <f ca="1">IFERROR(__xludf.DUMMYFUNCTION("""COMPUTED_VALUE"""),"Palace Residences")</f>
        <v>Palace Residences</v>
      </c>
      <c r="C959" s="2" t="str">
        <f ca="1">IFERROR(__xludf.DUMMYFUNCTION("""COMPUTED_VALUE"""),"Building")</f>
        <v>Building</v>
      </c>
      <c r="D959" s="2" t="str">
        <f ca="1">IFERROR(__xludf.DUMMYFUNCTION("""COMPUTED_VALUE"""),"Dubai&gt;Dubai Creek Harbour&gt;Palace Residences")</f>
        <v>Dubai&gt;Dubai Creek Harbour&gt;Palace Residences</v>
      </c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6.5" x14ac:dyDescent="0.35">
      <c r="A960" s="2" t="str">
        <f ca="1">IFERROR(__xludf.DUMMYFUNCTION("""COMPUTED_VALUE"""),"Dubai")</f>
        <v>Dubai</v>
      </c>
      <c r="B960" s="2" t="str">
        <f ca="1">IFERROR(__xludf.DUMMYFUNCTION("""COMPUTED_VALUE"""),"Lotus 2")</f>
        <v>Lotus 2</v>
      </c>
      <c r="C960" s="2" t="str">
        <f ca="1">IFERROR(__xludf.DUMMYFUNCTION("""COMPUTED_VALUE"""),"Building")</f>
        <v>Building</v>
      </c>
      <c r="D960" s="2" t="str">
        <f ca="1">IFERROR(__xludf.DUMMYFUNCTION("""COMPUTED_VALUE"""),"Dubai&gt;Dubai Creek Harbour&gt;Lotus at Creek Beach&gt;Lotus 2")</f>
        <v>Dubai&gt;Dubai Creek Harbour&gt;Lotus at Creek Beach&gt;Lotus 2</v>
      </c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6.5" x14ac:dyDescent="0.35">
      <c r="A961" s="2" t="str">
        <f ca="1">IFERROR(__xludf.DUMMYFUNCTION("""COMPUTED_VALUE"""),"Dubai")</f>
        <v>Dubai</v>
      </c>
      <c r="B961" s="2" t="str">
        <f ca="1">IFERROR(__xludf.DUMMYFUNCTION("""COMPUTED_VALUE"""),"Cedar at Creek Beach Building 4")</f>
        <v>Cedar at Creek Beach Building 4</v>
      </c>
      <c r="C961" s="2" t="str">
        <f ca="1">IFERROR(__xludf.DUMMYFUNCTION("""COMPUTED_VALUE"""),"Building")</f>
        <v>Building</v>
      </c>
      <c r="D961" s="2" t="str">
        <f ca="1">IFERROR(__xludf.DUMMYFUNCTION("""COMPUTED_VALUE"""),"Dubai&gt;Dubai Creek Harbour&gt;Cedar at Creek Beach&gt;Cedar at Creek Beach Building 4")</f>
        <v>Dubai&gt;Dubai Creek Harbour&gt;Cedar at Creek Beach&gt;Cedar at Creek Beach Building 4</v>
      </c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6.5" x14ac:dyDescent="0.35">
      <c r="A962" s="2" t="str">
        <f ca="1">IFERROR(__xludf.DUMMYFUNCTION("""COMPUTED_VALUE"""),"Dubai")</f>
        <v>Dubai</v>
      </c>
      <c r="B962" s="2" t="str">
        <f ca="1">IFERROR(__xludf.DUMMYFUNCTION("""COMPUTED_VALUE"""),"Altan")</f>
        <v>Altan</v>
      </c>
      <c r="C962" s="2" t="str">
        <f ca="1">IFERROR(__xludf.DUMMYFUNCTION("""COMPUTED_VALUE"""),"Building")</f>
        <v>Building</v>
      </c>
      <c r="D962" s="2" t="str">
        <f ca="1">IFERROR(__xludf.DUMMYFUNCTION("""COMPUTED_VALUE"""),"Dubai&gt;Dubai Creek Harbour&gt;Altan")</f>
        <v>Dubai&gt;Dubai Creek Harbour&gt;Altan</v>
      </c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6.5" x14ac:dyDescent="0.35">
      <c r="A963" s="2" t="str">
        <f ca="1">IFERROR(__xludf.DUMMYFUNCTION("""COMPUTED_VALUE"""),"Dubai")</f>
        <v>Dubai</v>
      </c>
      <c r="B963" s="2" t="str">
        <f ca="1">IFERROR(__xludf.DUMMYFUNCTION("""COMPUTED_VALUE"""),"Smart Heights")</f>
        <v>Smart Heights</v>
      </c>
      <c r="C963" s="2" t="str">
        <f ca="1">IFERROR(__xludf.DUMMYFUNCTION("""COMPUTED_VALUE"""),"Building")</f>
        <v>Building</v>
      </c>
      <c r="D963" s="2" t="str">
        <f ca="1">IFERROR(__xludf.DUMMYFUNCTION("""COMPUTED_VALUE"""),"Dubai&gt;Barsha Heights (Tecom)&gt;Smart Heights")</f>
        <v>Dubai&gt;Barsha Heights (Tecom)&gt;Smart Heights</v>
      </c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6.5" x14ac:dyDescent="0.35">
      <c r="A964" s="2" t="str">
        <f ca="1">IFERROR(__xludf.DUMMYFUNCTION("""COMPUTED_VALUE"""),"Dubai")</f>
        <v>Dubai</v>
      </c>
      <c r="B964" s="2" t="str">
        <f ca="1">IFERROR(__xludf.DUMMYFUNCTION("""COMPUTED_VALUE"""),"Al Shaiba Tower")</f>
        <v>Al Shaiba Tower</v>
      </c>
      <c r="C964" s="2" t="str">
        <f ca="1">IFERROR(__xludf.DUMMYFUNCTION("""COMPUTED_VALUE"""),"Cluster")</f>
        <v>Cluster</v>
      </c>
      <c r="D964" s="2" t="str">
        <f ca="1">IFERROR(__xludf.DUMMYFUNCTION("""COMPUTED_VALUE"""),"Dubai&gt;Barsha Heights (Tecom)&gt;Al Shaiba Tower")</f>
        <v>Dubai&gt;Barsha Heights (Tecom)&gt;Al Shaiba Tower</v>
      </c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6.5" x14ac:dyDescent="0.35">
      <c r="A965" s="2" t="str">
        <f ca="1">IFERROR(__xludf.DUMMYFUNCTION("""COMPUTED_VALUE"""),"Dubai")</f>
        <v>Dubai</v>
      </c>
      <c r="B965" s="2" t="str">
        <f ca="1">IFERROR(__xludf.DUMMYFUNCTION("""COMPUTED_VALUE"""),"Media Rotana Hotel")</f>
        <v>Media Rotana Hotel</v>
      </c>
      <c r="C965" s="2" t="str">
        <f ca="1">IFERROR(__xludf.DUMMYFUNCTION("""COMPUTED_VALUE"""),"Building")</f>
        <v>Building</v>
      </c>
      <c r="D965" s="2" t="str">
        <f ca="1">IFERROR(__xludf.DUMMYFUNCTION("""COMPUTED_VALUE"""),"Dubai&gt;Barsha Heights (Tecom)&gt;Media Rotana Hotel")</f>
        <v>Dubai&gt;Barsha Heights (Tecom)&gt;Media Rotana Hotel</v>
      </c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6.5" x14ac:dyDescent="0.35">
      <c r="A966" s="2" t="str">
        <f ca="1">IFERROR(__xludf.DUMMYFUNCTION("""COMPUTED_VALUE"""),"Dubai")</f>
        <v>Dubai</v>
      </c>
      <c r="B966" s="2" t="str">
        <f ca="1">IFERROR(__xludf.DUMMYFUNCTION("""COMPUTED_VALUE"""),"Tower B1")</f>
        <v>Tower B1</v>
      </c>
      <c r="C966" s="2" t="str">
        <f ca="1">IFERROR(__xludf.DUMMYFUNCTION("""COMPUTED_VALUE"""),"Building")</f>
        <v>Building</v>
      </c>
      <c r="D966" s="2" t="str">
        <f ca="1">IFERROR(__xludf.DUMMYFUNCTION("""COMPUTED_VALUE"""),"Dubai&gt;The Hills&gt;Vida Hotel&gt;Tower B1")</f>
        <v>Dubai&gt;The Hills&gt;Vida Hotel&gt;Tower B1</v>
      </c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6.5" x14ac:dyDescent="0.35">
      <c r="A967" s="2" t="str">
        <f ca="1">IFERROR(__xludf.DUMMYFUNCTION("""COMPUTED_VALUE"""),"Dubai")</f>
        <v>Dubai</v>
      </c>
      <c r="B967" s="2" t="str">
        <f ca="1">IFERROR(__xludf.DUMMYFUNCTION("""COMPUTED_VALUE"""),"Terraced Apartment 3D")</f>
        <v>Terraced Apartment 3D</v>
      </c>
      <c r="C967" s="2" t="str">
        <f ca="1">IFERROR(__xludf.DUMMYFUNCTION("""COMPUTED_VALUE"""),"Building")</f>
        <v>Building</v>
      </c>
      <c r="D967" s="2" t="str">
        <f ca="1">IFERROR(__xludf.DUMMYFUNCTION("""COMPUTED_VALUE"""),"Dubai&gt;Motor City&gt;Green Community (Motor City)&gt;Terraced Apartments&gt;Terraced Apartment 3D")</f>
        <v>Dubai&gt;Motor City&gt;Green Community (Motor City)&gt;Terraced Apartments&gt;Terraced Apartment 3D</v>
      </c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6.5" x14ac:dyDescent="0.35">
      <c r="A968" s="2" t="str">
        <f ca="1">IFERROR(__xludf.DUMMYFUNCTION("""COMPUTED_VALUE"""),"Dubai")</f>
        <v>Dubai</v>
      </c>
      <c r="B968" s="2" t="str">
        <f ca="1">IFERROR(__xludf.DUMMYFUNCTION("""COMPUTED_VALUE"""),"Sherlock Circus 1")</f>
        <v>Sherlock Circus 1</v>
      </c>
      <c r="C968" s="2" t="str">
        <f ca="1">IFERROR(__xludf.DUMMYFUNCTION("""COMPUTED_VALUE"""),"Building")</f>
        <v>Building</v>
      </c>
      <c r="D968" s="2" t="str">
        <f ca="1">IFERROR(__xludf.DUMMYFUNCTION("""COMPUTED_VALUE"""),"Dubai&gt;Motor City&gt;Uptown Motor City&gt;Sherlock Circus&gt;Sherlock Circus 1")</f>
        <v>Dubai&gt;Motor City&gt;Uptown Motor City&gt;Sherlock Circus&gt;Sherlock Circus 1</v>
      </c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6.5" x14ac:dyDescent="0.35">
      <c r="A969" s="2" t="str">
        <f ca="1">IFERROR(__xludf.DUMMYFUNCTION("""COMPUTED_VALUE"""),"Dubai")</f>
        <v>Dubai</v>
      </c>
      <c r="B969" s="2" t="str">
        <f ca="1">IFERROR(__xludf.DUMMYFUNCTION("""COMPUTED_VALUE"""),"Sherlock House")</f>
        <v>Sherlock House</v>
      </c>
      <c r="C969" s="2" t="str">
        <f ca="1">IFERROR(__xludf.DUMMYFUNCTION("""COMPUTED_VALUE"""),"Cluster")</f>
        <v>Cluster</v>
      </c>
      <c r="D969" s="2" t="str">
        <f ca="1">IFERROR(__xludf.DUMMYFUNCTION("""COMPUTED_VALUE"""),"Dubai&gt;Motor City&gt;Uptown Motor City&gt;Sherlock House")</f>
        <v>Dubai&gt;Motor City&gt;Uptown Motor City&gt;Sherlock House</v>
      </c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6.5" x14ac:dyDescent="0.35">
      <c r="A970" s="2" t="str">
        <f ca="1">IFERROR(__xludf.DUMMYFUNCTION("""COMPUTED_VALUE"""),"Dubai")</f>
        <v>Dubai</v>
      </c>
      <c r="B970" s="2" t="str">
        <f ca="1">IFERROR(__xludf.DUMMYFUNCTION("""COMPUTED_VALUE"""),"Takaya Tower C")</f>
        <v>Takaya Tower C</v>
      </c>
      <c r="C970" s="2" t="str">
        <f ca="1">IFERROR(__xludf.DUMMYFUNCTION("""COMPUTED_VALUE"""),"Building")</f>
        <v>Building</v>
      </c>
      <c r="D970" s="2" t="str">
        <f ca="1">IFERROR(__xludf.DUMMYFUNCTION("""COMPUTED_VALUE"""),"Dubai&gt;Motor City&gt;Takaya&gt;Takaya Tower C")</f>
        <v>Dubai&gt;Motor City&gt;Takaya&gt;Takaya Tower C</v>
      </c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6.5" x14ac:dyDescent="0.35">
      <c r="A971" s="2" t="str">
        <f ca="1">IFERROR(__xludf.DUMMYFUNCTION("""COMPUTED_VALUE"""),"Dubai")</f>
        <v>Dubai</v>
      </c>
      <c r="B971" s="2" t="str">
        <f ca="1">IFERROR(__xludf.DUMMYFUNCTION("""COMPUTED_VALUE"""),"Palma Spring Village")</f>
        <v>Palma Spring Village</v>
      </c>
      <c r="C971" s="2" t="str">
        <f ca="1">IFERROR(__xludf.DUMMYFUNCTION("""COMPUTED_VALUE"""),"Neighbourhood")</f>
        <v>Neighbourhood</v>
      </c>
      <c r="D971" s="2" t="str">
        <f ca="1">IFERROR(__xludf.DUMMYFUNCTION("""COMPUTED_VALUE"""),"Dubai&gt;Al Sufouh&gt;Al Sufouh 1&gt;Palma Spring Village")</f>
        <v>Dubai&gt;Al Sufouh&gt;Al Sufouh 1&gt;Palma Spring Village</v>
      </c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6.5" x14ac:dyDescent="0.35">
      <c r="A972" s="2" t="str">
        <f ca="1">IFERROR(__xludf.DUMMYFUNCTION("""COMPUTED_VALUE"""),"Dubai")</f>
        <v>Dubai</v>
      </c>
      <c r="B972" s="2" t="str">
        <f ca="1">IFERROR(__xludf.DUMMYFUNCTION("""COMPUTED_VALUE"""),"Boutique Office 12")</f>
        <v>Boutique Office 12</v>
      </c>
      <c r="C972" s="2" t="str">
        <f ca="1">IFERROR(__xludf.DUMMYFUNCTION("""COMPUTED_VALUE"""),"Building")</f>
        <v>Building</v>
      </c>
      <c r="D972" s="2" t="str">
        <f ca="1">IFERROR(__xludf.DUMMYFUNCTION("""COMPUTED_VALUE"""),"Dubai&gt;Al Sufouh&gt;Al Sufouh 2&gt;Boutique Offices&gt;Boutique Office 12")</f>
        <v>Dubai&gt;Al Sufouh&gt;Al Sufouh 2&gt;Boutique Offices&gt;Boutique Office 12</v>
      </c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6.5" x14ac:dyDescent="0.35">
      <c r="A973" s="2" t="str">
        <f ca="1">IFERROR(__xludf.DUMMYFUNCTION("""COMPUTED_VALUE"""),"Dubai")</f>
        <v>Dubai</v>
      </c>
      <c r="B973" s="2" t="str">
        <f ca="1">IFERROR(__xludf.DUMMYFUNCTION("""COMPUTED_VALUE"""),"Marsa Plaza North")</f>
        <v>Marsa Plaza North</v>
      </c>
      <c r="C973" s="2" t="str">
        <f ca="1">IFERROR(__xludf.DUMMYFUNCTION("""COMPUTED_VALUE"""),"Building")</f>
        <v>Building</v>
      </c>
      <c r="D973" s="2" t="str">
        <f ca="1">IFERROR(__xludf.DUMMYFUNCTION("""COMPUTED_VALUE"""),"Dubai&gt;Dubai Festival City&gt;Marsa Plaza&gt;Marsa Plaza North")</f>
        <v>Dubai&gt;Dubai Festival City&gt;Marsa Plaza&gt;Marsa Plaza North</v>
      </c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6.5" x14ac:dyDescent="0.35">
      <c r="A974" s="2" t="str">
        <f ca="1">IFERROR(__xludf.DUMMYFUNCTION("""COMPUTED_VALUE"""),"Dubai")</f>
        <v>Dubai</v>
      </c>
      <c r="B974" s="2" t="str">
        <f ca="1">IFERROR(__xludf.DUMMYFUNCTION("""COMPUTED_VALUE"""),"Blossom Nursery Damac Hills")</f>
        <v>Blossom Nursery Damac Hills</v>
      </c>
      <c r="C974" s="2" t="str">
        <f ca="1">IFERROR(__xludf.DUMMYFUNCTION("""COMPUTED_VALUE"""),"Nursery")</f>
        <v>Nursery</v>
      </c>
      <c r="D974" s="2" t="str">
        <f ca="1">IFERROR(__xludf.DUMMYFUNCTION("""COMPUTED_VALUE"""),"Dubai&gt;DAMAC Hills&gt;Blossom Nursery Damac Hills")</f>
        <v>Dubai&gt;DAMAC Hills&gt;Blossom Nursery Damac Hills</v>
      </c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6.5" x14ac:dyDescent="0.35">
      <c r="A975" s="2" t="str">
        <f ca="1">IFERROR(__xludf.DUMMYFUNCTION("""COMPUTED_VALUE"""),"Dubai")</f>
        <v>Dubai</v>
      </c>
      <c r="B975" s="2" t="str">
        <f ca="1">IFERROR(__xludf.DUMMYFUNCTION("""COMPUTED_VALUE"""),"Golf Promenade 1A")</f>
        <v>Golf Promenade 1A</v>
      </c>
      <c r="C975" s="2" t="str">
        <f ca="1">IFERROR(__xludf.DUMMYFUNCTION("""COMPUTED_VALUE"""),"Building")</f>
        <v>Building</v>
      </c>
      <c r="D975" s="2" t="str">
        <f ca="1">IFERROR(__xludf.DUMMYFUNCTION("""COMPUTED_VALUE"""),"Dubai&gt;DAMAC Hills&gt;Golf Town&gt;Golf Promenade&gt;Golf Promenade 1&gt;Golf Promenade 1A")</f>
        <v>Dubai&gt;DAMAC Hills&gt;Golf Town&gt;Golf Promenade&gt;Golf Promenade 1&gt;Golf Promenade 1A</v>
      </c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6.5" x14ac:dyDescent="0.35">
      <c r="A976" s="2" t="str">
        <f ca="1">IFERROR(__xludf.DUMMYFUNCTION("""COMPUTED_VALUE"""),"Dubai")</f>
        <v>Dubai</v>
      </c>
      <c r="B976" s="2" t="str">
        <f ca="1">IFERROR(__xludf.DUMMYFUNCTION("""COMPUTED_VALUE"""),"Golf Vita")</f>
        <v>Golf Vita</v>
      </c>
      <c r="C976" s="2" t="str">
        <f ca="1">IFERROR(__xludf.DUMMYFUNCTION("""COMPUTED_VALUE"""),"Cluster")</f>
        <v>Cluster</v>
      </c>
      <c r="D976" s="2" t="str">
        <f ca="1">IFERROR(__xludf.DUMMYFUNCTION("""COMPUTED_VALUE"""),"Dubai&gt;DAMAC Hills&gt;Golf Vita")</f>
        <v>Dubai&gt;DAMAC Hills&gt;Golf Vita</v>
      </c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6.5" x14ac:dyDescent="0.35">
      <c r="A977" s="2" t="str">
        <f ca="1">IFERROR(__xludf.DUMMYFUNCTION("""COMPUTED_VALUE"""),"Dubai")</f>
        <v>Dubai</v>
      </c>
      <c r="B977" s="2" t="str">
        <f ca="1">IFERROR(__xludf.DUMMYFUNCTION("""COMPUTED_VALUE"""),"Golf Greens 2 Tower A")</f>
        <v>Golf Greens 2 Tower A</v>
      </c>
      <c r="C977" s="2" t="str">
        <f ca="1">IFERROR(__xludf.DUMMYFUNCTION("""COMPUTED_VALUE"""),"Building")</f>
        <v>Building</v>
      </c>
      <c r="D977" s="2" t="str">
        <f ca="1">IFERROR(__xludf.DUMMYFUNCTION("""COMPUTED_VALUE"""),"Dubai&gt;DAMAC Hills&gt;Golf Greens 2&gt;Golf Greens 2 Tower A")</f>
        <v>Dubai&gt;DAMAC Hills&gt;Golf Greens 2&gt;Golf Greens 2 Tower A</v>
      </c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6.5" x14ac:dyDescent="0.35">
      <c r="A978" s="2" t="str">
        <f ca="1">IFERROR(__xludf.DUMMYFUNCTION("""COMPUTED_VALUE"""),"Dubai")</f>
        <v>Dubai</v>
      </c>
      <c r="B978" s="2" t="str">
        <f ca="1">IFERROR(__xludf.DUMMYFUNCTION("""COMPUTED_VALUE"""),"Block C")</f>
        <v>Block C</v>
      </c>
      <c r="C978" s="2" t="str">
        <f ca="1">IFERROR(__xludf.DUMMYFUNCTION("""COMPUTED_VALUE"""),"Building")</f>
        <v>Building</v>
      </c>
      <c r="D978" s="2" t="str">
        <f ca="1">IFERROR(__xludf.DUMMYFUNCTION("""COMPUTED_VALUE"""),"Dubai&gt;Al Mina&gt;Al Hudaiba Awards Building&gt;Block C")</f>
        <v>Dubai&gt;Al Mina&gt;Al Hudaiba Awards Building&gt;Block C</v>
      </c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6.5" x14ac:dyDescent="0.35">
      <c r="A979" s="2" t="str">
        <f ca="1">IFERROR(__xludf.DUMMYFUNCTION("""COMPUTED_VALUE"""),"Dubai")</f>
        <v>Dubai</v>
      </c>
      <c r="B979" s="2" t="str">
        <f ca="1">IFERROR(__xludf.DUMMYFUNCTION("""COMPUTED_VALUE"""),"Nautica One")</f>
        <v>Nautica One</v>
      </c>
      <c r="C979" s="2" t="str">
        <f ca="1">IFERROR(__xludf.DUMMYFUNCTION("""COMPUTED_VALUE"""),"Building")</f>
        <v>Building</v>
      </c>
      <c r="D979" s="2" t="str">
        <f ca="1">IFERROR(__xludf.DUMMYFUNCTION("""COMPUTED_VALUE"""),"Dubai&gt;Dubai Maritime City&gt;Nautica One")</f>
        <v>Dubai&gt;Dubai Maritime City&gt;Nautica One</v>
      </c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6.5" x14ac:dyDescent="0.35">
      <c r="A980" s="2" t="str">
        <f ca="1">IFERROR(__xludf.DUMMYFUNCTION("""COMPUTED_VALUE"""),"Dubai")</f>
        <v>Dubai</v>
      </c>
      <c r="B980" s="2" t="str">
        <f ca="1">IFERROR(__xludf.DUMMYFUNCTION("""COMPUTED_VALUE"""),"The Views")</f>
        <v>The Views</v>
      </c>
      <c r="C980" s="2" t="str">
        <f ca="1">IFERROR(__xludf.DUMMYFUNCTION("""COMPUTED_VALUE"""),"Neighbourhood")</f>
        <v>Neighbourhood</v>
      </c>
      <c r="D980" s="2" t="str">
        <f ca="1">IFERROR(__xludf.DUMMYFUNCTION("""COMPUTED_VALUE"""),"Dubai&gt;The Views")</f>
        <v>Dubai&gt;The Views</v>
      </c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6.5" x14ac:dyDescent="0.35">
      <c r="A981" s="2" t="str">
        <f ca="1">IFERROR(__xludf.DUMMYFUNCTION("""COMPUTED_VALUE"""),"Dubai")</f>
        <v>Dubai</v>
      </c>
      <c r="B981" s="2" t="str">
        <f ca="1">IFERROR(__xludf.DUMMYFUNCTION("""COMPUTED_VALUE"""),"The Fairways West")</f>
        <v>The Fairways West</v>
      </c>
      <c r="C981" s="2" t="str">
        <f ca="1">IFERROR(__xludf.DUMMYFUNCTION("""COMPUTED_VALUE"""),"Building")</f>
        <v>Building</v>
      </c>
      <c r="D981" s="2" t="str">
        <f ca="1">IFERROR(__xludf.DUMMYFUNCTION("""COMPUTED_VALUE"""),"Dubai&gt;The Views&gt;The Fairways&gt;The Fairways West")</f>
        <v>Dubai&gt;The Views&gt;The Fairways&gt;The Fairways West</v>
      </c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6.5" x14ac:dyDescent="0.35">
      <c r="A982" s="2" t="str">
        <f ca="1">IFERROR(__xludf.DUMMYFUNCTION("""COMPUTED_VALUE"""),"Dubai")</f>
        <v>Dubai</v>
      </c>
      <c r="B982" s="2" t="str">
        <f ca="1">IFERROR(__xludf.DUMMYFUNCTION("""COMPUTED_VALUE"""),"Al Quoz Industrial Area 3")</f>
        <v>Al Quoz Industrial Area 3</v>
      </c>
      <c r="C982" s="2" t="str">
        <f ca="1">IFERROR(__xludf.DUMMYFUNCTION("""COMPUTED_VALUE"""),"Neighbourhood")</f>
        <v>Neighbourhood</v>
      </c>
      <c r="D982" s="2" t="str">
        <f ca="1">IFERROR(__xludf.DUMMYFUNCTION("""COMPUTED_VALUE"""),"Dubai&gt;Al Quoz&gt;Al Quoz Industrial Area&gt;Al Quoz Industrial Area 3")</f>
        <v>Dubai&gt;Al Quoz&gt;Al Quoz Industrial Area&gt;Al Quoz Industrial Area 3</v>
      </c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6.5" x14ac:dyDescent="0.35">
      <c r="A983" s="2" t="str">
        <f ca="1">IFERROR(__xludf.DUMMYFUNCTION("""COMPUTED_VALUE"""),"Dubai")</f>
        <v>Dubai</v>
      </c>
      <c r="B983" s="2" t="str">
        <f ca="1">IFERROR(__xludf.DUMMYFUNCTION("""COMPUTED_VALUE"""),"Credence High School")</f>
        <v>Credence High School</v>
      </c>
      <c r="C983" s="2" t="str">
        <f ca="1">IFERROR(__xludf.DUMMYFUNCTION("""COMPUTED_VALUE"""),"School")</f>
        <v>School</v>
      </c>
      <c r="D983" s="2" t="str">
        <f ca="1">IFERROR(__xludf.DUMMYFUNCTION("""COMPUTED_VALUE"""),"Dubai&gt;Al Quoz&gt;Al Quoz 4&gt;Credence High School")</f>
        <v>Dubai&gt;Al Quoz&gt;Al Quoz 4&gt;Credence High School</v>
      </c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6.5" x14ac:dyDescent="0.35">
      <c r="A984" s="2" t="str">
        <f ca="1">IFERROR(__xludf.DUMMYFUNCTION("""COMPUTED_VALUE"""),"Dubai")</f>
        <v>Dubai</v>
      </c>
      <c r="B984" s="2" t="str">
        <f ca="1">IFERROR(__xludf.DUMMYFUNCTION("""COMPUTED_VALUE"""),"GEMS Wellington Academy, DSO")</f>
        <v>GEMS Wellington Academy, DSO</v>
      </c>
      <c r="C984" s="2" t="str">
        <f ca="1">IFERROR(__xludf.DUMMYFUNCTION("""COMPUTED_VALUE"""),"School")</f>
        <v>School</v>
      </c>
      <c r="D984" s="2" t="str">
        <f ca="1">IFERROR(__xludf.DUMMYFUNCTION("""COMPUTED_VALUE"""),"Dubai&gt;Dubai Silicon Oasis (DSO)&gt;GEMS Wellington Academy, DSO")</f>
        <v>Dubai&gt;Dubai Silicon Oasis (DSO)&gt;GEMS Wellington Academy, DSO</v>
      </c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6.5" x14ac:dyDescent="0.35">
      <c r="A985" s="2" t="str">
        <f ca="1">IFERROR(__xludf.DUMMYFUNCTION("""COMPUTED_VALUE"""),"Dubai")</f>
        <v>Dubai</v>
      </c>
      <c r="B985" s="2" t="str">
        <f ca="1">IFERROR(__xludf.DUMMYFUNCTION("""COMPUTED_VALUE"""),"Binghatti Residence")</f>
        <v>Binghatti Residence</v>
      </c>
      <c r="C985" s="2" t="str">
        <f ca="1">IFERROR(__xludf.DUMMYFUNCTION("""COMPUTED_VALUE"""),"Building")</f>
        <v>Building</v>
      </c>
      <c r="D985" s="2" t="str">
        <f ca="1">IFERROR(__xludf.DUMMYFUNCTION("""COMPUTED_VALUE"""),"Dubai&gt;Dubai Silicon Oasis (DSO)&gt;Binghatti Residence")</f>
        <v>Dubai&gt;Dubai Silicon Oasis (DSO)&gt;Binghatti Residence</v>
      </c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6.5" x14ac:dyDescent="0.35">
      <c r="A986" s="2" t="str">
        <f ca="1">IFERROR(__xludf.DUMMYFUNCTION("""COMPUTED_VALUE"""),"Dubai")</f>
        <v>Dubai</v>
      </c>
      <c r="B986" s="2" t="str">
        <f ca="1">IFERROR(__xludf.DUMMYFUNCTION("""COMPUTED_VALUE"""),"Al Waleed Oasis")</f>
        <v>Al Waleed Oasis</v>
      </c>
      <c r="C986" s="2" t="str">
        <f ca="1">IFERROR(__xludf.DUMMYFUNCTION("""COMPUTED_VALUE"""),"Building")</f>
        <v>Building</v>
      </c>
      <c r="D986" s="2" t="str">
        <f ca="1">IFERROR(__xludf.DUMMYFUNCTION("""COMPUTED_VALUE"""),"Dubai&gt;Dubai Silicon Oasis (DSO)&gt;Al Waleed Oasis")</f>
        <v>Dubai&gt;Dubai Silicon Oasis (DSO)&gt;Al Waleed Oasis</v>
      </c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6.5" x14ac:dyDescent="0.35">
      <c r="A987" s="2" t="str">
        <f ca="1">IFERROR(__xludf.DUMMYFUNCTION("""COMPUTED_VALUE"""),"Dubai")</f>
        <v>Dubai</v>
      </c>
      <c r="B987" s="2" t="str">
        <f ca="1">IFERROR(__xludf.DUMMYFUNCTION("""COMPUTED_VALUE"""),"City Oasis 1")</f>
        <v>City Oasis 1</v>
      </c>
      <c r="C987" s="2" t="str">
        <f ca="1">IFERROR(__xludf.DUMMYFUNCTION("""COMPUTED_VALUE"""),"Building")</f>
        <v>Building</v>
      </c>
      <c r="D987" s="2" t="str">
        <f ca="1">IFERROR(__xludf.DUMMYFUNCTION("""COMPUTED_VALUE"""),"Dubai&gt;Dubai Silicon Oasis (DSO)&gt;City Oasis&gt;City Oasis 1")</f>
        <v>Dubai&gt;Dubai Silicon Oasis (DSO)&gt;City Oasis&gt;City Oasis 1</v>
      </c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6.5" x14ac:dyDescent="0.35">
      <c r="A988" s="2" t="str">
        <f ca="1">IFERROR(__xludf.DUMMYFUNCTION("""COMPUTED_VALUE"""),"Dubai")</f>
        <v>Dubai</v>
      </c>
      <c r="B988" s="2" t="str">
        <f ca="1">IFERROR(__xludf.DUMMYFUNCTION("""COMPUTED_VALUE"""),"Coral Residence")</f>
        <v>Coral Residence</v>
      </c>
      <c r="C988" s="2" t="str">
        <f ca="1">IFERROR(__xludf.DUMMYFUNCTION("""COMPUTED_VALUE"""),"Building")</f>
        <v>Building</v>
      </c>
      <c r="D988" s="2" t="str">
        <f ca="1">IFERROR(__xludf.DUMMYFUNCTION("""COMPUTED_VALUE"""),"Dubai&gt;Dubai Silicon Oasis (DSO)&gt;Coral Residence")</f>
        <v>Dubai&gt;Dubai Silicon Oasis (DSO)&gt;Coral Residence</v>
      </c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6.5" x14ac:dyDescent="0.35">
      <c r="A989" s="2" t="str">
        <f ca="1">IFERROR(__xludf.DUMMYFUNCTION("""COMPUTED_VALUE"""),"Dubai")</f>
        <v>Dubai</v>
      </c>
      <c r="B989" s="2" t="str">
        <f ca="1">IFERROR(__xludf.DUMMYFUNCTION("""COMPUTED_VALUE"""),"Axis 7 (Sheikh Nasser Building)")</f>
        <v>Axis 7 (Sheikh Nasser Building)</v>
      </c>
      <c r="C989" s="2" t="str">
        <f ca="1">IFERROR(__xludf.DUMMYFUNCTION("""COMPUTED_VALUE"""),"Building")</f>
        <v>Building</v>
      </c>
      <c r="D989" s="2" t="str">
        <f ca="1">IFERROR(__xludf.DUMMYFUNCTION("""COMPUTED_VALUE"""),"Dubai&gt;Dubai Silicon Oasis (DSO)&gt;Axis Residences&gt;Axis 7 (Sheikh Nasser Building)")</f>
        <v>Dubai&gt;Dubai Silicon Oasis (DSO)&gt;Axis Residences&gt;Axis 7 (Sheikh Nasser Building)</v>
      </c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6.5" x14ac:dyDescent="0.35">
      <c r="A990" s="2" t="str">
        <f ca="1">IFERROR(__xludf.DUMMYFUNCTION("""COMPUTED_VALUE"""),"Dubai")</f>
        <v>Dubai</v>
      </c>
      <c r="B990" s="2" t="str">
        <f ca="1">IFERROR(__xludf.DUMMYFUNCTION("""COMPUTED_VALUE"""),"Al Basha 3")</f>
        <v>Al Basha 3</v>
      </c>
      <c r="C990" s="2" t="str">
        <f ca="1">IFERROR(__xludf.DUMMYFUNCTION("""COMPUTED_VALUE"""),"Building")</f>
        <v>Building</v>
      </c>
      <c r="D990" s="2" t="str">
        <f ca="1">IFERROR(__xludf.DUMMYFUNCTION("""COMPUTED_VALUE"""),"Dubai&gt;Dubai Silicon Oasis (DSO)&gt;Al Basha 3")</f>
        <v>Dubai&gt;Dubai Silicon Oasis (DSO)&gt;Al Basha 3</v>
      </c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6.5" x14ac:dyDescent="0.35">
      <c r="A991" s="2" t="str">
        <f ca="1">IFERROR(__xludf.DUMMYFUNCTION("""COMPUTED_VALUE"""),"Dubai")</f>
        <v>Dubai</v>
      </c>
      <c r="B991" s="2" t="str">
        <f ca="1">IFERROR(__xludf.DUMMYFUNCTION("""COMPUTED_VALUE"""),"Ashjar E2")</f>
        <v>Ashjar E2</v>
      </c>
      <c r="C991" s="2" t="str">
        <f ca="1">IFERROR(__xludf.DUMMYFUNCTION("""COMPUTED_VALUE"""),"Building")</f>
        <v>Building</v>
      </c>
      <c r="D991" s="2" t="str">
        <f ca="1">IFERROR(__xludf.DUMMYFUNCTION("""COMPUTED_VALUE"""),"Dubai&gt;Al Barari&gt;Ashjar&gt;Ashjar E2")</f>
        <v>Dubai&gt;Al Barari&gt;Ashjar&gt;Ashjar E2</v>
      </c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6.5" x14ac:dyDescent="0.35">
      <c r="A992" s="2" t="str">
        <f ca="1">IFERROR(__xludf.DUMMYFUNCTION("""COMPUTED_VALUE"""),"Dubai")</f>
        <v>Dubai</v>
      </c>
      <c r="B992" s="2" t="str">
        <f ca="1">IFERROR(__xludf.DUMMYFUNCTION("""COMPUTED_VALUE"""),"Jasmine Leaf 3")</f>
        <v>Jasmine Leaf 3</v>
      </c>
      <c r="C992" s="2" t="str">
        <f ca="1">IFERROR(__xludf.DUMMYFUNCTION("""COMPUTED_VALUE"""),"Neighbourhood")</f>
        <v>Neighbourhood</v>
      </c>
      <c r="D992" s="2" t="str">
        <f ca="1">IFERROR(__xludf.DUMMYFUNCTION("""COMPUTED_VALUE"""),"Dubai&gt;Al Barari&gt;The Residences&gt;Jasmine Leaf&gt;Jasmine Leaf 3")</f>
        <v>Dubai&gt;Al Barari&gt;The Residences&gt;Jasmine Leaf&gt;Jasmine Leaf 3</v>
      </c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6.5" x14ac:dyDescent="0.35">
      <c r="A993" s="2" t="str">
        <f ca="1">IFERROR(__xludf.DUMMYFUNCTION("""COMPUTED_VALUE"""),"Dubai")</f>
        <v>Dubai</v>
      </c>
      <c r="B993" s="2" t="str">
        <f ca="1">IFERROR(__xludf.DUMMYFUNCTION("""COMPUTED_VALUE"""),"Cassia at the Fields")</f>
        <v>Cassia at the Fields</v>
      </c>
      <c r="C993" s="2" t="str">
        <f ca="1">IFERROR(__xludf.DUMMYFUNCTION("""COMPUTED_VALUE"""),"Neighbourhood")</f>
        <v>Neighbourhood</v>
      </c>
      <c r="D993" s="2" t="str">
        <f ca="1">IFERROR(__xludf.DUMMYFUNCTION("""COMPUTED_VALUE"""),"Dubai&gt;Mohammed Bin Rashid City&gt;District 11&gt;The Fields&gt;Cassia at the Fields")</f>
        <v>Dubai&gt;Mohammed Bin Rashid City&gt;District 11&gt;The Fields&gt;Cassia at the Fields</v>
      </c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6.5" x14ac:dyDescent="0.35">
      <c r="A994" s="2" t="str">
        <f ca="1">IFERROR(__xludf.DUMMYFUNCTION("""COMPUTED_VALUE"""),"Dubai")</f>
        <v>Dubai</v>
      </c>
      <c r="B994" s="2" t="str">
        <f ca="1">IFERROR(__xludf.DUMMYFUNCTION("""COMPUTED_VALUE"""),"White Opals 2")</f>
        <v>White Opals 2</v>
      </c>
      <c r="C994" s="2" t="str">
        <f ca="1">IFERROR(__xludf.DUMMYFUNCTION("""COMPUTED_VALUE"""),"Building")</f>
        <v>Building</v>
      </c>
      <c r="D994" s="2" t="str">
        <f ca="1">IFERROR(__xludf.DUMMYFUNCTION("""COMPUTED_VALUE"""),"Dubai&gt;Mohammed Bin Rashid City&gt;District 11&gt;White Opals 2")</f>
        <v>Dubai&gt;Mohammed Bin Rashid City&gt;District 11&gt;White Opals 2</v>
      </c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6.5" x14ac:dyDescent="0.35">
      <c r="A995" s="2" t="str">
        <f ca="1">IFERROR(__xludf.DUMMYFUNCTION("""COMPUTED_VALUE"""),"Dubai")</f>
        <v>Dubai</v>
      </c>
      <c r="B995" s="2" t="str">
        <f ca="1">IFERROR(__xludf.DUMMYFUNCTION("""COMPUTED_VALUE"""),"Residences 27")</f>
        <v>Residences 27</v>
      </c>
      <c r="C995" s="2" t="str">
        <f ca="1">IFERROR(__xludf.DUMMYFUNCTION("""COMPUTED_VALUE"""),"Building")</f>
        <v>Building</v>
      </c>
      <c r="D995" s="2" t="str">
        <f ca="1">IFERROR(__xludf.DUMMYFUNCTION("""COMPUTED_VALUE"""),"Dubai&gt;Mohammed Bin Rashid City&gt;District One&gt;The Residences at District One&gt;Residences 27")</f>
        <v>Dubai&gt;Mohammed Bin Rashid City&gt;District One&gt;The Residences at District One&gt;Residences 27</v>
      </c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6.5" x14ac:dyDescent="0.35">
      <c r="A996" s="2" t="str">
        <f ca="1">IFERROR(__xludf.DUMMYFUNCTION("""COMPUTED_VALUE"""),"Dubai")</f>
        <v>Dubai</v>
      </c>
      <c r="B996" s="2" t="str">
        <f ca="1">IFERROR(__xludf.DUMMYFUNCTION("""COMPUTED_VALUE"""),"C2")</f>
        <v>C2</v>
      </c>
      <c r="C996" s="2" t="str">
        <f ca="1">IFERROR(__xludf.DUMMYFUNCTION("""COMPUTED_VALUE"""),"Building")</f>
        <v>Building</v>
      </c>
      <c r="D996" s="2" t="str">
        <f ca="1">IFERROR(__xludf.DUMMYFUNCTION("""COMPUTED_VALUE"""),"Dubai&gt;Dubai South&gt;Residential District&gt;The Pulse&gt;Boulevard Apartments&gt;C2")</f>
        <v>Dubai&gt;Dubai South&gt;Residential District&gt;The Pulse&gt;Boulevard Apartments&gt;C2</v>
      </c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6.5" x14ac:dyDescent="0.35">
      <c r="A997" s="2" t="str">
        <f ca="1">IFERROR(__xludf.DUMMYFUNCTION("""COMPUTED_VALUE"""),"Dubai")</f>
        <v>Dubai</v>
      </c>
      <c r="B997" s="2" t="str">
        <f ca="1">IFERROR(__xludf.DUMMYFUNCTION("""COMPUTED_VALUE"""),"MAG 530")</f>
        <v>MAG 530</v>
      </c>
      <c r="C997" s="2" t="str">
        <f ca="1">IFERROR(__xludf.DUMMYFUNCTION("""COMPUTED_VALUE"""),"Building")</f>
        <v>Building</v>
      </c>
      <c r="D997" s="2" t="str">
        <f ca="1">IFERROR(__xludf.DUMMYFUNCTION("""COMPUTED_VALUE"""),"Dubai&gt;Dubai South&gt;Residential District&gt;MAG 5 Boulevard&gt;MAG 530")</f>
        <v>Dubai&gt;Dubai South&gt;Residential District&gt;MAG 5 Boulevard&gt;MAG 530</v>
      </c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6.5" x14ac:dyDescent="0.35">
      <c r="A998" s="2" t="str">
        <f ca="1">IFERROR(__xludf.DUMMYFUNCTION("""COMPUTED_VALUE"""),"Dubai")</f>
        <v>Dubai</v>
      </c>
      <c r="B998" s="2" t="str">
        <f ca="1">IFERROR(__xludf.DUMMYFUNCTION("""COMPUTED_VALUE"""),"Trafford Residence")</f>
        <v>Trafford Residence</v>
      </c>
      <c r="C998" s="2" t="str">
        <f ca="1">IFERROR(__xludf.DUMMYFUNCTION("""COMPUTED_VALUE"""),"Building")</f>
        <v>Building</v>
      </c>
      <c r="D998" s="2" t="str">
        <f ca="1">IFERROR(__xludf.DUMMYFUNCTION("""COMPUTED_VALUE"""),"Dubai&gt;Dubai South&gt;Residential District&gt;Trafford Residence")</f>
        <v>Dubai&gt;Dubai South&gt;Residential District&gt;Trafford Residence</v>
      </c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6.5" x14ac:dyDescent="0.35">
      <c r="A999" s="2" t="str">
        <f ca="1">IFERROR(__xludf.DUMMYFUNCTION("""COMPUTED_VALUE"""),"Dubai")</f>
        <v>Dubai</v>
      </c>
      <c r="B999" s="2" t="str">
        <f ca="1">IFERROR(__xludf.DUMMYFUNCTION("""COMPUTED_VALUE"""),"RR Residence")</f>
        <v>RR Residence</v>
      </c>
      <c r="C999" s="2" t="str">
        <f ca="1">IFERROR(__xludf.DUMMYFUNCTION("""COMPUTED_VALUE"""),"Building")</f>
        <v>Building</v>
      </c>
      <c r="D999" s="2" t="str">
        <f ca="1">IFERROR(__xludf.DUMMYFUNCTION("""COMPUTED_VALUE"""),"Dubai&gt;Dubai South&gt;Residential District&gt;RR Residence")</f>
        <v>Dubai&gt;Dubai South&gt;Residential District&gt;RR Residence</v>
      </c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6.5" x14ac:dyDescent="0.35">
      <c r="A1000" s="2" t="str">
        <f ca="1">IFERROR(__xludf.DUMMYFUNCTION("""COMPUTED_VALUE"""),"Dubai")</f>
        <v>Dubai</v>
      </c>
      <c r="B1000" s="2" t="str">
        <f ca="1">IFERROR(__xludf.DUMMYFUNCTION("""COMPUTED_VALUE"""),"Golf Links")</f>
        <v>Golf Links</v>
      </c>
      <c r="C1000" s="2" t="str">
        <f ca="1">IFERROR(__xludf.DUMMYFUNCTION("""COMPUTED_VALUE"""),"Neighbourhood")</f>
        <v>Neighbourhood</v>
      </c>
      <c r="D1000" s="2" t="str">
        <f ca="1">IFERROR(__xludf.DUMMYFUNCTION("""COMPUTED_VALUE"""),"Dubai&gt;Dubai South&gt;Emaar South&gt;Golf Links")</f>
        <v>Dubai&gt;Dubai South&gt;Emaar South&gt;Golf Links</v>
      </c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6.5" x14ac:dyDescent="0.35">
      <c r="A1001" s="2" t="str">
        <f ca="1">IFERROR(__xludf.DUMMYFUNCTION("""COMPUTED_VALUE"""),"Dubai")</f>
        <v>Dubai</v>
      </c>
      <c r="B1001" s="2" t="str">
        <f ca="1">IFERROR(__xludf.DUMMYFUNCTION("""COMPUTED_VALUE"""),"Golf Meadows")</f>
        <v>Golf Meadows</v>
      </c>
      <c r="C1001" s="2" t="str">
        <f ca="1">IFERROR(__xludf.DUMMYFUNCTION("""COMPUTED_VALUE"""),"Neighbourhood")</f>
        <v>Neighbourhood</v>
      </c>
      <c r="D1001" s="2" t="str">
        <f ca="1">IFERROR(__xludf.DUMMYFUNCTION("""COMPUTED_VALUE"""),"Dubai&gt;Dubai South&gt;Emaar South&gt;Golf Meadows")</f>
        <v>Dubai&gt;Dubai South&gt;Emaar South&gt;Golf Meadows</v>
      </c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6.5" x14ac:dyDescent="0.35">
      <c r="A1002" s="2" t="str">
        <f ca="1">IFERROR(__xludf.DUMMYFUNCTION("""COMPUTED_VALUE"""),"Dubai")</f>
        <v>Dubai</v>
      </c>
      <c r="B1002" s="2" t="str">
        <f ca="1">IFERROR(__xludf.DUMMYFUNCTION("""COMPUTED_VALUE"""),"Aloft Dubai South")</f>
        <v>Aloft Dubai South</v>
      </c>
      <c r="C1002" s="2" t="str">
        <f ca="1">IFERROR(__xludf.DUMMYFUNCTION("""COMPUTED_VALUE"""),"Building")</f>
        <v>Building</v>
      </c>
      <c r="D1002" s="2" t="str">
        <f ca="1">IFERROR(__xludf.DUMMYFUNCTION("""COMPUTED_VALUE"""),"Dubai&gt;Dubai South&gt;Aloft Dubai South")</f>
        <v>Dubai&gt;Dubai South&gt;Aloft Dubai South</v>
      </c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6.5" x14ac:dyDescent="0.35">
      <c r="A1003" s="2" t="str">
        <f ca="1">IFERROR(__xludf.DUMMYFUNCTION("""COMPUTED_VALUE"""),"Dubai")</f>
        <v>Dubai</v>
      </c>
      <c r="B1003" s="2" t="str">
        <f ca="1">IFERROR(__xludf.DUMMYFUNCTION("""COMPUTED_VALUE"""),"Azizi Venice 14")</f>
        <v>Azizi Venice 14</v>
      </c>
      <c r="C1003" s="2" t="str">
        <f ca="1">IFERROR(__xludf.DUMMYFUNCTION("""COMPUTED_VALUE"""),"Cluster")</f>
        <v>Cluster</v>
      </c>
      <c r="D1003" s="2" t="str">
        <f ca="1">IFERROR(__xludf.DUMMYFUNCTION("""COMPUTED_VALUE"""),"Dubai&gt;Dubai South&gt;Azizi Venice&gt;Azizi Venice 14")</f>
        <v>Dubai&gt;Dubai South&gt;Azizi Venice&gt;Azizi Venice 14</v>
      </c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6.5" x14ac:dyDescent="0.35">
      <c r="A1004" s="2" t="str">
        <f ca="1">IFERROR(__xludf.DUMMYFUNCTION("""COMPUTED_VALUE"""),"Dubai")</f>
        <v>Dubai</v>
      </c>
      <c r="B1004" s="2" t="str">
        <f ca="1">IFERROR(__xludf.DUMMYFUNCTION("""COMPUTED_VALUE"""),"Hayat")</f>
        <v>Hayat</v>
      </c>
      <c r="C1004" s="2" t="str">
        <f ca="1">IFERROR(__xludf.DUMMYFUNCTION("""COMPUTED_VALUE"""),"Neighbourhood")</f>
        <v>Neighbourhood</v>
      </c>
      <c r="D1004" s="2" t="str">
        <f ca="1">IFERROR(__xludf.DUMMYFUNCTION("""COMPUTED_VALUE"""),"Dubai&gt;Dubai South&gt;Hayat")</f>
        <v>Dubai&gt;Dubai South&gt;Hayat</v>
      </c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6.5" x14ac:dyDescent="0.35">
      <c r="A1005" s="2" t="str">
        <f ca="1">IFERROR(__xludf.DUMMYFUNCTION("""COMPUTED_VALUE"""),"Dubai")</f>
        <v>Dubai</v>
      </c>
      <c r="B1005" s="2" t="str">
        <f ca="1">IFERROR(__xludf.DUMMYFUNCTION("""COMPUTED_VALUE"""),"Moosawi Building")</f>
        <v>Moosawi Building</v>
      </c>
      <c r="C1005" s="2" t="str">
        <f ca="1">IFERROR(__xludf.DUMMYFUNCTION("""COMPUTED_VALUE"""),"Building")</f>
        <v>Building</v>
      </c>
      <c r="D1005" s="2" t="str">
        <f ca="1">IFERROR(__xludf.DUMMYFUNCTION("""COMPUTED_VALUE"""),"Dubai&gt;Bur Dubai&gt;Oud Metha&gt;Moosawi Building")</f>
        <v>Dubai&gt;Bur Dubai&gt;Oud Metha&gt;Moosawi Building</v>
      </c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6.5" x14ac:dyDescent="0.35">
      <c r="A1006" s="2" t="str">
        <f ca="1">IFERROR(__xludf.DUMMYFUNCTION("""COMPUTED_VALUE"""),"Dubai")</f>
        <v>Dubai</v>
      </c>
      <c r="B1006" s="2" t="str">
        <f ca="1">IFERROR(__xludf.DUMMYFUNCTION("""COMPUTED_VALUE"""),"Al Nasr Plaza Residences")</f>
        <v>Al Nasr Plaza Residences</v>
      </c>
      <c r="C1006" s="2" t="str">
        <f ca="1">IFERROR(__xludf.DUMMYFUNCTION("""COMPUTED_VALUE"""),"Building")</f>
        <v>Building</v>
      </c>
      <c r="D1006" s="2" t="str">
        <f ca="1">IFERROR(__xludf.DUMMYFUNCTION("""COMPUTED_VALUE"""),"Dubai&gt;Bur Dubai&gt;Oud Metha&gt;Al Nasr Plaza Residences")</f>
        <v>Dubai&gt;Bur Dubai&gt;Oud Metha&gt;Al Nasr Plaza Residences</v>
      </c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6.5" x14ac:dyDescent="0.35">
      <c r="A1007" s="2" t="str">
        <f ca="1">IFERROR(__xludf.DUMMYFUNCTION("""COMPUTED_VALUE"""),"Dubai")</f>
        <v>Dubai</v>
      </c>
      <c r="B1007" s="2" t="str">
        <f ca="1">IFERROR(__xludf.DUMMYFUNCTION("""COMPUTED_VALUE"""),"Rabab Layla Building")</f>
        <v>Rabab Layla Building</v>
      </c>
      <c r="C1007" s="2" t="str">
        <f ca="1">IFERROR(__xludf.DUMMYFUNCTION("""COMPUTED_VALUE"""),"Building")</f>
        <v>Building</v>
      </c>
      <c r="D1007" s="2" t="str">
        <f ca="1">IFERROR(__xludf.DUMMYFUNCTION("""COMPUTED_VALUE"""),"Dubai&gt;Bur Dubai&gt;Al Raffa&gt;Rabab Layla Building")</f>
        <v>Dubai&gt;Bur Dubai&gt;Al Raffa&gt;Rabab Layla Building</v>
      </c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6.5" x14ac:dyDescent="0.35">
      <c r="A1008" s="2" t="str">
        <f ca="1">IFERROR(__xludf.DUMMYFUNCTION("""COMPUTED_VALUE"""),"Dubai")</f>
        <v>Dubai</v>
      </c>
      <c r="B1008" s="2" t="str">
        <f ca="1">IFERROR(__xludf.DUMMYFUNCTION("""COMPUTED_VALUE"""),"Al Rawda Residence")</f>
        <v>Al Rawda Residence</v>
      </c>
      <c r="C1008" s="2" t="str">
        <f ca="1">IFERROR(__xludf.DUMMYFUNCTION("""COMPUTED_VALUE"""),"Building")</f>
        <v>Building</v>
      </c>
      <c r="D1008" s="2" t="str">
        <f ca="1">IFERROR(__xludf.DUMMYFUNCTION("""COMPUTED_VALUE"""),"Dubai&gt;Bur Dubai&gt;Al Raffa&gt;Al Rawda Residence")</f>
        <v>Dubai&gt;Bur Dubai&gt;Al Raffa&gt;Al Rawda Residence</v>
      </c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6.5" x14ac:dyDescent="0.35">
      <c r="A1009" s="2" t="str">
        <f ca="1">IFERROR(__xludf.DUMMYFUNCTION("""COMPUTED_VALUE"""),"Dubai")</f>
        <v>Dubai</v>
      </c>
      <c r="B1009" s="2" t="str">
        <f ca="1">IFERROR(__xludf.DUMMYFUNCTION("""COMPUTED_VALUE"""),"Golden Sands 4")</f>
        <v>Golden Sands 4</v>
      </c>
      <c r="C1009" s="2" t="str">
        <f ca="1">IFERROR(__xludf.DUMMYFUNCTION("""COMPUTED_VALUE"""),"Building")</f>
        <v>Building</v>
      </c>
      <c r="D1009" s="2" t="str">
        <f ca="1">IFERROR(__xludf.DUMMYFUNCTION("""COMPUTED_VALUE"""),"Dubai&gt;Bur Dubai&gt;Al Mankhool&gt;Golden Sands 4")</f>
        <v>Dubai&gt;Bur Dubai&gt;Al Mankhool&gt;Golden Sands 4</v>
      </c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spans="1:26" ht="16.5" x14ac:dyDescent="0.35">
      <c r="A1010" s="2" t="str">
        <f ca="1">IFERROR(__xludf.DUMMYFUNCTION("""COMPUTED_VALUE"""),"Dubai")</f>
        <v>Dubai</v>
      </c>
      <c r="B1010" s="2" t="str">
        <f ca="1">IFERROR(__xludf.DUMMYFUNCTION("""COMPUTED_VALUE"""),"Al Tawhidi Building")</f>
        <v>Al Tawhidi Building</v>
      </c>
      <c r="C1010" s="2" t="str">
        <f ca="1">IFERROR(__xludf.DUMMYFUNCTION("""COMPUTED_VALUE"""),"Building")</f>
        <v>Building</v>
      </c>
      <c r="D1010" s="2" t="str">
        <f ca="1">IFERROR(__xludf.DUMMYFUNCTION("""COMPUTED_VALUE"""),"Dubai&gt;Bur Dubai&gt;Al Mankhool&gt;Al Tawhidi Building")</f>
        <v>Dubai&gt;Bur Dubai&gt;Al Mankhool&gt;Al Tawhidi Building</v>
      </c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  <row r="1011" spans="1:26" ht="16.5" x14ac:dyDescent="0.35">
      <c r="A1011" s="2" t="str">
        <f ca="1">IFERROR(__xludf.DUMMYFUNCTION("""COMPUTED_VALUE"""),"Dubai")</f>
        <v>Dubai</v>
      </c>
      <c r="B1011" s="2" t="str">
        <f ca="1">IFERROR(__xludf.DUMMYFUNCTION("""COMPUTED_VALUE"""),"Delta Building")</f>
        <v>Delta Building</v>
      </c>
      <c r="C1011" s="2" t="str">
        <f ca="1">IFERROR(__xludf.DUMMYFUNCTION("""COMPUTED_VALUE"""),"Building")</f>
        <v>Building</v>
      </c>
      <c r="D1011" s="2" t="str">
        <f ca="1">IFERROR(__xludf.DUMMYFUNCTION("""COMPUTED_VALUE"""),"Dubai&gt;Bur Dubai&gt;Al Mankhool&gt;Delta Building")</f>
        <v>Dubai&gt;Bur Dubai&gt;Al Mankhool&gt;Delta Building</v>
      </c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</row>
    <row r="1012" spans="1:26" ht="16.5" x14ac:dyDescent="0.35">
      <c r="A1012" s="2" t="str">
        <f ca="1">IFERROR(__xludf.DUMMYFUNCTION("""COMPUTED_VALUE"""),"Dubai")</f>
        <v>Dubai</v>
      </c>
      <c r="B1012" s="2" t="str">
        <f ca="1">IFERROR(__xludf.DUMMYFUNCTION("""COMPUTED_VALUE"""),"Park Views Residences A")</f>
        <v>Park Views Residences A</v>
      </c>
      <c r="C1012" s="2" t="str">
        <f ca="1">IFERROR(__xludf.DUMMYFUNCTION("""COMPUTED_VALUE"""),"Building")</f>
        <v>Building</v>
      </c>
      <c r="D1012" s="2" t="str">
        <f ca="1">IFERROR(__xludf.DUMMYFUNCTION("""COMPUTED_VALUE"""),"Dubai&gt;Bur Dubai&gt;Al Kifaf&gt;Park Views Residences&gt;Park Views Residences A")</f>
        <v>Dubai&gt;Bur Dubai&gt;Al Kifaf&gt;Park Views Residences&gt;Park Views Residences A</v>
      </c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</row>
    <row r="1013" spans="1:26" ht="16.5" x14ac:dyDescent="0.35">
      <c r="A1013" s="2" t="str">
        <f ca="1">IFERROR(__xludf.DUMMYFUNCTION("""COMPUTED_VALUE"""),"Dubai")</f>
        <v>Dubai</v>
      </c>
      <c r="B1013" s="2" t="str">
        <f ca="1">IFERROR(__xludf.DUMMYFUNCTION("""COMPUTED_VALUE"""),"Diplomat Building")</f>
        <v>Diplomat Building</v>
      </c>
      <c r="C1013" s="2" t="str">
        <f ca="1">IFERROR(__xludf.DUMMYFUNCTION("""COMPUTED_VALUE"""),"Building")</f>
        <v>Building</v>
      </c>
      <c r="D1013" s="2" t="str">
        <f ca="1">IFERROR(__xludf.DUMMYFUNCTION("""COMPUTED_VALUE"""),"Dubai&gt;Bur Dubai&gt;Umm Hurair&gt;Umm Hurair 1&gt;Diplomat Building")</f>
        <v>Dubai&gt;Bur Dubai&gt;Umm Hurair&gt;Umm Hurair 1&gt;Diplomat Building</v>
      </c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</row>
    <row r="1014" spans="1:26" ht="16.5" x14ac:dyDescent="0.35">
      <c r="A1014" s="2" t="str">
        <f ca="1">IFERROR(__xludf.DUMMYFUNCTION("""COMPUTED_VALUE"""),"Dubai")</f>
        <v>Dubai</v>
      </c>
      <c r="B1014" s="2" t="str">
        <f ca="1">IFERROR(__xludf.DUMMYFUNCTION("""COMPUTED_VALUE"""),"Dar Al Hai Building")</f>
        <v>Dar Al Hai Building</v>
      </c>
      <c r="C1014" s="2" t="str">
        <f ca="1">IFERROR(__xludf.DUMMYFUNCTION("""COMPUTED_VALUE"""),"Building")</f>
        <v>Building</v>
      </c>
      <c r="D1014" s="2" t="str">
        <f ca="1">IFERROR(__xludf.DUMMYFUNCTION("""COMPUTED_VALUE"""),"Dubai&gt;Bur Dubai&gt;Al Souk Al Kabeer (Al Fahidi)&gt;Dar Al Hai Building")</f>
        <v>Dubai&gt;Bur Dubai&gt;Al Souk Al Kabeer (Al Fahidi)&gt;Dar Al Hai Building</v>
      </c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</row>
    <row r="1015" spans="1:26" ht="16.5" x14ac:dyDescent="0.35">
      <c r="A1015" s="2" t="str">
        <f ca="1">IFERROR(__xludf.DUMMYFUNCTION("""COMPUTED_VALUE"""),"Dubai")</f>
        <v>Dubai</v>
      </c>
      <c r="B1015" s="2" t="str">
        <f ca="1">IFERROR(__xludf.DUMMYFUNCTION("""COMPUTED_VALUE"""),"Fahidi Heights")</f>
        <v>Fahidi Heights</v>
      </c>
      <c r="C1015" s="2" t="str">
        <f ca="1">IFERROR(__xludf.DUMMYFUNCTION("""COMPUTED_VALUE"""),"Building")</f>
        <v>Building</v>
      </c>
      <c r="D1015" s="2" t="str">
        <f ca="1">IFERROR(__xludf.DUMMYFUNCTION("""COMPUTED_VALUE"""),"Dubai&gt;Bur Dubai&gt;Al Hamriya&gt;Fahidi Heights")</f>
        <v>Dubai&gt;Bur Dubai&gt;Al Hamriya&gt;Fahidi Heights</v>
      </c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</row>
    <row r="1016" spans="1:26" ht="16.5" x14ac:dyDescent="0.35">
      <c r="A1016" s="2" t="str">
        <f ca="1">IFERROR(__xludf.DUMMYFUNCTION("""COMPUTED_VALUE"""),"Dubai")</f>
        <v>Dubai</v>
      </c>
      <c r="B1016" s="2" t="str">
        <f ca="1">IFERROR(__xludf.DUMMYFUNCTION("""COMPUTED_VALUE"""),"Oud Metha Offices")</f>
        <v>Oud Metha Offices</v>
      </c>
      <c r="C1016" s="2" t="str">
        <f ca="1">IFERROR(__xludf.DUMMYFUNCTION("""COMPUTED_VALUE"""),"Building")</f>
        <v>Building</v>
      </c>
      <c r="D1016" s="2" t="str">
        <f ca="1">IFERROR(__xludf.DUMMYFUNCTION("""COMPUTED_VALUE"""),"Dubai&gt;Bur Dubai&gt;Dubai Healthcare City&gt;Oud Metha Offices")</f>
        <v>Dubai&gt;Bur Dubai&gt;Dubai Healthcare City&gt;Oud Metha Offices</v>
      </c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</row>
    <row r="1017" spans="1:26" ht="16.5" x14ac:dyDescent="0.35">
      <c r="A1017" s="2" t="str">
        <f ca="1">IFERROR(__xludf.DUMMYFUNCTION("""COMPUTED_VALUE"""),"Dubai")</f>
        <v>Dubai</v>
      </c>
      <c r="B1017" s="2" t="str">
        <f ca="1">IFERROR(__xludf.DUMMYFUNCTION("""COMPUTED_VALUE"""),"Whispering Pines")</f>
        <v>Whispering Pines</v>
      </c>
      <c r="C1017" s="2" t="str">
        <f ca="1">IFERROR(__xludf.DUMMYFUNCTION("""COMPUTED_VALUE"""),"Neighbourhood")</f>
        <v>Neighbourhood</v>
      </c>
      <c r="D1017" s="2" t="str">
        <f ca="1">IFERROR(__xludf.DUMMYFUNCTION("""COMPUTED_VALUE"""),"Dubai&gt;Jumeirah Golf Estates&gt;Whispering Pines")</f>
        <v>Dubai&gt;Jumeirah Golf Estates&gt;Whispering Pines</v>
      </c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</row>
    <row r="1018" spans="1:26" ht="16.5" x14ac:dyDescent="0.35">
      <c r="A1018" s="2" t="str">
        <f ca="1">IFERROR(__xludf.DUMMYFUNCTION("""COMPUTED_VALUE"""),"Dubai")</f>
        <v>Dubai</v>
      </c>
      <c r="B1018" s="2" t="str">
        <f ca="1">IFERROR(__xludf.DUMMYFUNCTION("""COMPUTED_VALUE"""),"Sunrise Bay")</f>
        <v>Sunrise Bay</v>
      </c>
      <c r="C1018" s="2" t="str">
        <f ca="1">IFERROR(__xludf.DUMMYFUNCTION("""COMPUTED_VALUE"""),"Cluster")</f>
        <v>Cluster</v>
      </c>
      <c r="D1018" s="2" t="str">
        <f ca="1">IFERROR(__xludf.DUMMYFUNCTION("""COMPUTED_VALUE"""),"Dubai&gt;Dubai Harbour&gt;Emaar Beachfront&gt;Sunrise Bay")</f>
        <v>Dubai&gt;Dubai Harbour&gt;Emaar Beachfront&gt;Sunrise Bay</v>
      </c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</row>
    <row r="1019" spans="1:26" ht="16.5" x14ac:dyDescent="0.35">
      <c r="A1019" s="2" t="str">
        <f ca="1">IFERROR(__xludf.DUMMYFUNCTION("""COMPUTED_VALUE"""),"Dubai")</f>
        <v>Dubai</v>
      </c>
      <c r="B1019" s="2" t="str">
        <f ca="1">IFERROR(__xludf.DUMMYFUNCTION("""COMPUTED_VALUE"""),"DAMAC Hills 2 (Akoya by DAMAC)")</f>
        <v>DAMAC Hills 2 (Akoya by DAMAC)</v>
      </c>
      <c r="C1019" s="2" t="str">
        <f ca="1">IFERROR(__xludf.DUMMYFUNCTION("""COMPUTED_VALUE"""),"Neighbourhood")</f>
        <v>Neighbourhood</v>
      </c>
      <c r="D1019" s="2" t="str">
        <f ca="1">IFERROR(__xludf.DUMMYFUNCTION("""COMPUTED_VALUE"""),"Dubai&gt;DAMAC Hills 2 (Akoya by DAMAC)")</f>
        <v>Dubai&gt;DAMAC Hills 2 (Akoya by DAMAC)</v>
      </c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</row>
    <row r="1020" spans="1:26" ht="16.5" x14ac:dyDescent="0.35">
      <c r="A1020" s="2" t="str">
        <f ca="1">IFERROR(__xludf.DUMMYFUNCTION("""COMPUTED_VALUE"""),"Dubai")</f>
        <v>Dubai</v>
      </c>
      <c r="B1020" s="2" t="str">
        <f ca="1">IFERROR(__xludf.DUMMYFUNCTION("""COMPUTED_VALUE"""),"Coursetia")</f>
        <v>Coursetia</v>
      </c>
      <c r="C1020" s="2" t="str">
        <f ca="1">IFERROR(__xludf.DUMMYFUNCTION("""COMPUTED_VALUE"""),"Neighbourhood")</f>
        <v>Neighbourhood</v>
      </c>
      <c r="D1020" s="2" t="str">
        <f ca="1">IFERROR(__xludf.DUMMYFUNCTION("""COMPUTED_VALUE"""),"Dubai&gt;DAMAC Hills 2 (Akoya by DAMAC)&gt;Coursetia")</f>
        <v>Dubai&gt;DAMAC Hills 2 (Akoya by DAMAC)&gt;Coursetia</v>
      </c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</row>
    <row r="1021" spans="1:26" ht="16.5" x14ac:dyDescent="0.35">
      <c r="A1021" s="2" t="str">
        <f ca="1">IFERROR(__xludf.DUMMYFUNCTION("""COMPUTED_VALUE"""),"Dubai")</f>
        <v>Dubai</v>
      </c>
      <c r="B1021" s="2" t="str">
        <f ca="1">IFERROR(__xludf.DUMMYFUNCTION("""COMPUTED_VALUE"""),"I-13")</f>
        <v>I-13</v>
      </c>
      <c r="C1021" s="2" t="str">
        <f ca="1">IFERROR(__xludf.DUMMYFUNCTION("""COMPUTED_VALUE"""),"Building")</f>
        <v>Building</v>
      </c>
      <c r="D1021" s="2" t="str">
        <f ca="1">IFERROR(__xludf.DUMMYFUNCTION("""COMPUTED_VALUE"""),"Dubai&gt;International City&gt;Morocco Cluster&gt;I-13")</f>
        <v>Dubai&gt;International City&gt;Morocco Cluster&gt;I-13</v>
      </c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</row>
    <row r="1022" spans="1:26" ht="16.5" x14ac:dyDescent="0.35">
      <c r="A1022" s="2" t="str">
        <f ca="1">IFERROR(__xludf.DUMMYFUNCTION("""COMPUTED_VALUE"""),"Dubai")</f>
        <v>Dubai</v>
      </c>
      <c r="B1022" s="2" t="str">
        <f ca="1">IFERROR(__xludf.DUMMYFUNCTION("""COMPUTED_VALUE"""),"Souk Warsan Block B")</f>
        <v>Souk Warsan Block B</v>
      </c>
      <c r="C1022" s="2" t="str">
        <f ca="1">IFERROR(__xludf.DUMMYFUNCTION("""COMPUTED_VALUE"""),"Building")</f>
        <v>Building</v>
      </c>
      <c r="D1022" s="2" t="str">
        <f ca="1">IFERROR(__xludf.DUMMYFUNCTION("""COMPUTED_VALUE"""),"Dubai&gt;International City&gt;Warsan Village&gt;Souk Warsan&gt;Souk Warsan Block B")</f>
        <v>Dubai&gt;International City&gt;Warsan Village&gt;Souk Warsan&gt;Souk Warsan Block B</v>
      </c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</row>
    <row r="1023" spans="1:26" ht="16.5" x14ac:dyDescent="0.35">
      <c r="A1023" s="2" t="str">
        <f ca="1">IFERROR(__xludf.DUMMYFUNCTION("""COMPUTED_VALUE"""),"Dubai")</f>
        <v>Dubai</v>
      </c>
      <c r="B1023" s="2" t="str">
        <f ca="1">IFERROR(__xludf.DUMMYFUNCTION("""COMPUTED_VALUE"""),"A-10")</f>
        <v>A-10</v>
      </c>
      <c r="C1023" s="2" t="str">
        <f ca="1">IFERROR(__xludf.DUMMYFUNCTION("""COMPUTED_VALUE"""),"Building")</f>
        <v>Building</v>
      </c>
      <c r="D1023" s="2" t="str">
        <f ca="1">IFERROR(__xludf.DUMMYFUNCTION("""COMPUTED_VALUE"""),"Dubai&gt;International City&gt;China Cluster&gt;A-10")</f>
        <v>Dubai&gt;International City&gt;China Cluster&gt;A-10</v>
      </c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</row>
    <row r="1024" spans="1:26" ht="16.5" x14ac:dyDescent="0.35">
      <c r="A1024" s="2" t="str">
        <f ca="1">IFERROR(__xludf.DUMMYFUNCTION("""COMPUTED_VALUE"""),"Dubai")</f>
        <v>Dubai</v>
      </c>
      <c r="B1024" s="2" t="str">
        <f ca="1">IFERROR(__xludf.DUMMYFUNCTION("""COMPUTED_VALUE"""),"D-01")</f>
        <v>D-01</v>
      </c>
      <c r="C1024" s="2" t="str">
        <f ca="1">IFERROR(__xludf.DUMMYFUNCTION("""COMPUTED_VALUE"""),"Building")</f>
        <v>Building</v>
      </c>
      <c r="D1024" s="2" t="str">
        <f ca="1">IFERROR(__xludf.DUMMYFUNCTION("""COMPUTED_VALUE"""),"Dubai&gt;International City&gt;China Cluster&gt;D-01")</f>
        <v>Dubai&gt;International City&gt;China Cluster&gt;D-01</v>
      </c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</row>
    <row r="1025" spans="1:26" ht="16.5" x14ac:dyDescent="0.35">
      <c r="A1025" s="2" t="str">
        <f ca="1">IFERROR(__xludf.DUMMYFUNCTION("""COMPUTED_VALUE"""),"Dubai")</f>
        <v>Dubai</v>
      </c>
      <c r="B1025" s="2" t="str">
        <f ca="1">IFERROR(__xludf.DUMMYFUNCTION("""COMPUTED_VALUE"""),"Long Xing Residence")</f>
        <v>Long Xing Residence</v>
      </c>
      <c r="C1025" s="2" t="str">
        <f ca="1">IFERROR(__xludf.DUMMYFUNCTION("""COMPUTED_VALUE"""),"Building")</f>
        <v>Building</v>
      </c>
      <c r="D1025" s="2" t="str">
        <f ca="1">IFERROR(__xludf.DUMMYFUNCTION("""COMPUTED_VALUE"""),"Dubai&gt;International City&gt;China Cluster&gt;Long Xing Residence")</f>
        <v>Dubai&gt;International City&gt;China Cluster&gt;Long Xing Residence</v>
      </c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</row>
    <row r="1026" spans="1:26" ht="16.5" x14ac:dyDescent="0.35">
      <c r="A1026" s="2" t="str">
        <f ca="1">IFERROR(__xludf.DUMMYFUNCTION("""COMPUTED_VALUE"""),"Dubai")</f>
        <v>Dubai</v>
      </c>
      <c r="B1026" s="2" t="str">
        <f ca="1">IFERROR(__xludf.DUMMYFUNCTION("""COMPUTED_VALUE"""),"S-07")</f>
        <v>S-07</v>
      </c>
      <c r="C1026" s="2" t="str">
        <f ca="1">IFERROR(__xludf.DUMMYFUNCTION("""COMPUTED_VALUE"""),"Building")</f>
        <v>Building</v>
      </c>
      <c r="D1026" s="2" t="str">
        <f ca="1">IFERROR(__xludf.DUMMYFUNCTION("""COMPUTED_VALUE"""),"Dubai&gt;International City&gt;Spain Cluster&gt;S-07")</f>
        <v>Dubai&gt;International City&gt;Spain Cluster&gt;S-07</v>
      </c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</row>
    <row r="1027" spans="1:26" ht="16.5" x14ac:dyDescent="0.35">
      <c r="A1027" s="2" t="str">
        <f ca="1">IFERROR(__xludf.DUMMYFUNCTION("""COMPUTED_VALUE"""),"Dubai")</f>
        <v>Dubai</v>
      </c>
      <c r="B1027" s="2" t="str">
        <f ca="1">IFERROR(__xludf.DUMMYFUNCTION("""COMPUTED_VALUE"""),"U-20")</f>
        <v>U-20</v>
      </c>
      <c r="C1027" s="2" t="str">
        <f ca="1">IFERROR(__xludf.DUMMYFUNCTION("""COMPUTED_VALUE"""),"Building")</f>
        <v>Building</v>
      </c>
      <c r="D1027" s="2" t="str">
        <f ca="1">IFERROR(__xludf.DUMMYFUNCTION("""COMPUTED_VALUE"""),"Dubai&gt;International City&gt;Italy Cluster&gt;U-20")</f>
        <v>Dubai&gt;International City&gt;Italy Cluster&gt;U-20</v>
      </c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</row>
    <row r="1028" spans="1:26" ht="16.5" x14ac:dyDescent="0.35">
      <c r="A1028" s="2" t="str">
        <f ca="1">IFERROR(__xludf.DUMMYFUNCTION("""COMPUTED_VALUE"""),"Dubai")</f>
        <v>Dubai</v>
      </c>
      <c r="B1028" s="2" t="str">
        <f ca="1">IFERROR(__xludf.DUMMYFUNCTION("""COMPUTED_VALUE"""),"W-02")</f>
        <v>W-02</v>
      </c>
      <c r="C1028" s="2" t="str">
        <f ca="1">IFERROR(__xludf.DUMMYFUNCTION("""COMPUTED_VALUE"""),"Building")</f>
        <v>Building</v>
      </c>
      <c r="D1028" s="2" t="str">
        <f ca="1">IFERROR(__xludf.DUMMYFUNCTION("""COMPUTED_VALUE"""),"Dubai&gt;International City&gt;Russia Cluster&gt;W-02")</f>
        <v>Dubai&gt;International City&gt;Russia Cluster&gt;W-02</v>
      </c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</row>
    <row r="1029" spans="1:26" ht="16.5" x14ac:dyDescent="0.35">
      <c r="A1029" s="2" t="str">
        <f ca="1">IFERROR(__xludf.DUMMYFUNCTION("""COMPUTED_VALUE"""),"Dubai")</f>
        <v>Dubai</v>
      </c>
      <c r="B1029" s="2" t="str">
        <f ca="1">IFERROR(__xludf.DUMMYFUNCTION("""COMPUTED_VALUE"""),"M-05")</f>
        <v>M-05</v>
      </c>
      <c r="C1029" s="2" t="str">
        <f ca="1">IFERROR(__xludf.DUMMYFUNCTION("""COMPUTED_VALUE"""),"Building")</f>
        <v>Building</v>
      </c>
      <c r="D1029" s="2" t="str">
        <f ca="1">IFERROR(__xludf.DUMMYFUNCTION("""COMPUTED_VALUE"""),"Dubai&gt;International City&gt;Persia Cluster&gt;M-05")</f>
        <v>Dubai&gt;International City&gt;Persia Cluster&gt;M-05</v>
      </c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</row>
    <row r="1030" spans="1:26" ht="16.5" x14ac:dyDescent="0.35">
      <c r="A1030" s="2" t="str">
        <f ca="1">IFERROR(__xludf.DUMMYFUNCTION("""COMPUTED_VALUE"""),"Dubai")</f>
        <v>Dubai</v>
      </c>
      <c r="B1030" s="2" t="str">
        <f ca="1">IFERROR(__xludf.DUMMYFUNCTION("""COMPUTED_VALUE"""),"EMR-04")</f>
        <v>EMR-04</v>
      </c>
      <c r="C1030" s="2" t="str">
        <f ca="1">IFERROR(__xludf.DUMMYFUNCTION("""COMPUTED_VALUE"""),"Building")</f>
        <v>Building</v>
      </c>
      <c r="D1030" s="2" t="str">
        <f ca="1">IFERROR(__xludf.DUMMYFUNCTION("""COMPUTED_VALUE"""),"Dubai&gt;International City&gt;Emirates Cluster&gt;EMR-04")</f>
        <v>Dubai&gt;International City&gt;Emirates Cluster&gt;EMR-04</v>
      </c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</row>
    <row r="1031" spans="1:26" ht="16.5" x14ac:dyDescent="0.35">
      <c r="A1031" s="2" t="str">
        <f ca="1">IFERROR(__xludf.DUMMYFUNCTION("""COMPUTED_VALUE"""),"Dubai")</f>
        <v>Dubai</v>
      </c>
      <c r="B1031" s="2" t="str">
        <f ca="1">IFERROR(__xludf.DUMMYFUNCTION("""COMPUTED_VALUE"""),"X-24")</f>
        <v>X-24</v>
      </c>
      <c r="C1031" s="2" t="str">
        <f ca="1">IFERROR(__xludf.DUMMYFUNCTION("""COMPUTED_VALUE"""),"Building")</f>
        <v>Building</v>
      </c>
      <c r="D1031" s="2" t="str">
        <f ca="1">IFERROR(__xludf.DUMMYFUNCTION("""COMPUTED_VALUE"""),"Dubai&gt;International City&gt;England Cluster&gt;X-24")</f>
        <v>Dubai&gt;International City&gt;England Cluster&gt;X-24</v>
      </c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</row>
    <row r="1032" spans="1:26" ht="16.5" x14ac:dyDescent="0.35">
      <c r="A1032" s="2" t="str">
        <f ca="1">IFERROR(__xludf.DUMMYFUNCTION("""COMPUTED_VALUE"""),"Dubai")</f>
        <v>Dubai</v>
      </c>
      <c r="B1032" s="2" t="str">
        <f ca="1">IFERROR(__xludf.DUMMYFUNCTION("""COMPUTED_VALUE"""),"Z-04")</f>
        <v>Z-04</v>
      </c>
      <c r="C1032" s="2" t="str">
        <f ca="1">IFERROR(__xludf.DUMMYFUNCTION("""COMPUTED_VALUE"""),"Building")</f>
        <v>Building</v>
      </c>
      <c r="D1032" s="2" t="str">
        <f ca="1">IFERROR(__xludf.DUMMYFUNCTION("""COMPUTED_VALUE"""),"Dubai&gt;International City&gt;England Cluster&gt;Z-04")</f>
        <v>Dubai&gt;International City&gt;England Cluster&gt;Z-04</v>
      </c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</row>
    <row r="1033" spans="1:26" ht="16.5" x14ac:dyDescent="0.35">
      <c r="A1033" s="2" t="str">
        <f ca="1">IFERROR(__xludf.DUMMYFUNCTION("""COMPUTED_VALUE"""),"Dubai")</f>
        <v>Dubai</v>
      </c>
      <c r="B1033" s="2" t="str">
        <f ca="1">IFERROR(__xludf.DUMMYFUNCTION("""COMPUTED_VALUE"""),"Lootah Residence")</f>
        <v>Lootah Residence</v>
      </c>
      <c r="C1033" s="2" t="str">
        <f ca="1">IFERROR(__xludf.DUMMYFUNCTION("""COMPUTED_VALUE"""),"Building")</f>
        <v>Building</v>
      </c>
      <c r="D1033" s="2" t="str">
        <f ca="1">IFERROR(__xludf.DUMMYFUNCTION("""COMPUTED_VALUE"""),"Dubai&gt;International City&gt;International City Phase 2 (Warsan 4)&gt;Lootah Residence")</f>
        <v>Dubai&gt;International City&gt;International City Phase 2 (Warsan 4)&gt;Lootah Residence</v>
      </c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</row>
    <row r="1034" spans="1:26" ht="16.5" x14ac:dyDescent="0.35">
      <c r="A1034" s="2" t="str">
        <f ca="1">IFERROR(__xludf.DUMMYFUNCTION("""COMPUTED_VALUE"""),"Dubai")</f>
        <v>Dubai</v>
      </c>
      <c r="B1034" s="2" t="str">
        <f ca="1">IFERROR(__xludf.DUMMYFUNCTION("""COMPUTED_VALUE"""),"Benaa G10 Building")</f>
        <v>Benaa G10 Building</v>
      </c>
      <c r="C1034" s="2" t="str">
        <f ca="1">IFERROR(__xludf.DUMMYFUNCTION("""COMPUTED_VALUE"""),"Building")</f>
        <v>Building</v>
      </c>
      <c r="D1034" s="2" t="str">
        <f ca="1">IFERROR(__xludf.DUMMYFUNCTION("""COMPUTED_VALUE"""),"Dubai&gt;International City&gt;International City Phase 2 (Warsan 4)&gt;Benaa G10 Building")</f>
        <v>Dubai&gt;International City&gt;International City Phase 2 (Warsan 4)&gt;Benaa G10 Building</v>
      </c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</row>
    <row r="1035" spans="1:26" ht="16.5" x14ac:dyDescent="0.35">
      <c r="A1035" s="2" t="str">
        <f ca="1">IFERROR(__xludf.DUMMYFUNCTION("""COMPUTED_VALUE"""),"Dubai")</f>
        <v>Dubai</v>
      </c>
      <c r="B1035" s="2" t="str">
        <f ca="1">IFERROR(__xludf.DUMMYFUNCTION("""COMPUTED_VALUE"""),"Grey Pearl Residence")</f>
        <v>Grey Pearl Residence</v>
      </c>
      <c r="C1035" s="2" t="str">
        <f ca="1">IFERROR(__xludf.DUMMYFUNCTION("""COMPUTED_VALUE"""),"Building")</f>
        <v>Building</v>
      </c>
      <c r="D1035" s="2" t="str">
        <f ca="1">IFERROR(__xludf.DUMMYFUNCTION("""COMPUTED_VALUE"""),"Dubai&gt;International City&gt;International City Phase 2 (Warsan 4)&gt;Grey Pearl Residence")</f>
        <v>Dubai&gt;International City&gt;International City Phase 2 (Warsan 4)&gt;Grey Pearl Residence</v>
      </c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</row>
    <row r="1036" spans="1:26" ht="16.5" x14ac:dyDescent="0.35">
      <c r="A1036" s="2" t="str">
        <f ca="1">IFERROR(__xludf.DUMMYFUNCTION("""COMPUTED_VALUE"""),"Dubai")</f>
        <v>Dubai</v>
      </c>
      <c r="B1036" s="2" t="str">
        <f ca="1">IFERROR(__xludf.DUMMYFUNCTION("""COMPUTED_VALUE"""),"Marah Building")</f>
        <v>Marah Building</v>
      </c>
      <c r="C1036" s="2" t="str">
        <f ca="1">IFERROR(__xludf.DUMMYFUNCTION("""COMPUTED_VALUE"""),"Building")</f>
        <v>Building</v>
      </c>
      <c r="D1036" s="2" t="str">
        <f ca="1">IFERROR(__xludf.DUMMYFUNCTION("""COMPUTED_VALUE"""),"Dubai&gt;International City&gt;International City Phase 2 (Warsan 4)&gt;Marah Building")</f>
        <v>Dubai&gt;International City&gt;International City Phase 2 (Warsan 4)&gt;Marah Building</v>
      </c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</row>
    <row r="1037" spans="1:26" ht="16.5" x14ac:dyDescent="0.35">
      <c r="A1037" s="2" t="str">
        <f ca="1">IFERROR(__xludf.DUMMYFUNCTION("""COMPUTED_VALUE"""),"Dubai")</f>
        <v>Dubai</v>
      </c>
      <c r="B1037" s="2" t="str">
        <f ca="1">IFERROR(__xludf.DUMMYFUNCTION("""COMPUTED_VALUE"""),"K-07")</f>
        <v>K-07</v>
      </c>
      <c r="C1037" s="2" t="str">
        <f ca="1">IFERROR(__xludf.DUMMYFUNCTION("""COMPUTED_VALUE"""),"Building")</f>
        <v>Building</v>
      </c>
      <c r="D1037" s="2" t="str">
        <f ca="1">IFERROR(__xludf.DUMMYFUNCTION("""COMPUTED_VALUE"""),"Dubai&gt;International City&gt;Greece Cluster&gt;K-07")</f>
        <v>Dubai&gt;International City&gt;Greece Cluster&gt;K-07</v>
      </c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</row>
    <row r="1038" spans="1:26" ht="16.5" x14ac:dyDescent="0.35">
      <c r="A1038" s="2" t="str">
        <f ca="1">IFERROR(__xludf.DUMMYFUNCTION("""COMPUTED_VALUE"""),"Dubai")</f>
        <v>Dubai</v>
      </c>
      <c r="B1038" s="2" t="str">
        <f ca="1">IFERROR(__xludf.DUMMYFUNCTION("""COMPUTED_VALUE"""),"P-04")</f>
        <v>P-04</v>
      </c>
      <c r="C1038" s="2" t="str">
        <f ca="1">IFERROR(__xludf.DUMMYFUNCTION("""COMPUTED_VALUE"""),"Building")</f>
        <v>Building</v>
      </c>
      <c r="D1038" s="2" t="str">
        <f ca="1">IFERROR(__xludf.DUMMYFUNCTION("""COMPUTED_VALUE"""),"Dubai&gt;International City&gt;France Cluster&gt;P-04")</f>
        <v>Dubai&gt;International City&gt;France Cluster&gt;P-04</v>
      </c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</row>
    <row r="1039" spans="1:26" ht="16.5" x14ac:dyDescent="0.35">
      <c r="A1039" s="2" t="str">
        <f ca="1">IFERROR(__xludf.DUMMYFUNCTION("""COMPUTED_VALUE"""),"Dubai")</f>
        <v>Dubai</v>
      </c>
      <c r="B1039" s="2" t="str">
        <f ca="1">IFERROR(__xludf.DUMMYFUNCTION("""COMPUTED_VALUE"""),"R-08")</f>
        <v>R-08</v>
      </c>
      <c r="C1039" s="2" t="str">
        <f ca="1">IFERROR(__xludf.DUMMYFUNCTION("""COMPUTED_VALUE"""),"Building")</f>
        <v>Building</v>
      </c>
      <c r="D1039" s="2" t="str">
        <f ca="1">IFERROR(__xludf.DUMMYFUNCTION("""COMPUTED_VALUE"""),"Dubai&gt;International City&gt;France Cluster&gt;R-08")</f>
        <v>Dubai&gt;International City&gt;France Cluster&gt;R-08</v>
      </c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</row>
    <row r="1040" spans="1:26" ht="16.5" x14ac:dyDescent="0.35">
      <c r="A1040" s="2" t="str">
        <f ca="1">IFERROR(__xludf.DUMMYFUNCTION("""COMPUTED_VALUE"""),"Dubai")</f>
        <v>Dubai</v>
      </c>
      <c r="B1040" s="2" t="str">
        <f ca="1">IFERROR(__xludf.DUMMYFUNCTION("""COMPUTED_VALUE"""),"HDS Sunstar 2")</f>
        <v>HDS Sunstar 2</v>
      </c>
      <c r="C1040" s="2" t="str">
        <f ca="1">IFERROR(__xludf.DUMMYFUNCTION("""COMPUTED_VALUE"""),"Building")</f>
        <v>Building</v>
      </c>
      <c r="D1040" s="2" t="str">
        <f ca="1">IFERROR(__xludf.DUMMYFUNCTION("""COMPUTED_VALUE"""),"Dubai&gt;International City&gt;Central Business District&gt;HDS Sunstar 2")</f>
        <v>Dubai&gt;International City&gt;Central Business District&gt;HDS Sunstar 2</v>
      </c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</row>
    <row r="1041" spans="1:26" ht="16.5" x14ac:dyDescent="0.35">
      <c r="A1041" s="2" t="str">
        <f ca="1">IFERROR(__xludf.DUMMYFUNCTION("""COMPUTED_VALUE"""),"Dubai")</f>
        <v>Dubai</v>
      </c>
      <c r="B1041" s="2" t="str">
        <f ca="1">IFERROR(__xludf.DUMMYFUNCTION("""COMPUTED_VALUE"""),"CBD-D06")</f>
        <v>CBD-D06</v>
      </c>
      <c r="C1041" s="2" t="str">
        <f ca="1">IFERROR(__xludf.DUMMYFUNCTION("""COMPUTED_VALUE"""),"Building")</f>
        <v>Building</v>
      </c>
      <c r="D1041" s="2" t="str">
        <f ca="1">IFERROR(__xludf.DUMMYFUNCTION("""COMPUTED_VALUE"""),"Dubai&gt;International City&gt;Central Business District&gt;CBD-D06")</f>
        <v>Dubai&gt;International City&gt;Central Business District&gt;CBD-D06</v>
      </c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</row>
    <row r="1042" spans="1:26" ht="16.5" x14ac:dyDescent="0.35">
      <c r="A1042" s="2" t="str">
        <f ca="1">IFERROR(__xludf.DUMMYFUNCTION("""COMPUTED_VALUE"""),"Dubai")</f>
        <v>Dubai</v>
      </c>
      <c r="B1042" s="2" t="str">
        <f ca="1">IFERROR(__xludf.DUMMYFUNCTION("""COMPUTED_VALUE"""),"TAMANI Hotel Marina")</f>
        <v>TAMANI Hotel Marina</v>
      </c>
      <c r="C1042" s="2" t="str">
        <f ca="1">IFERROR(__xludf.DUMMYFUNCTION("""COMPUTED_VALUE"""),"Building")</f>
        <v>Building</v>
      </c>
      <c r="D1042" s="2" t="str">
        <f ca="1">IFERROR(__xludf.DUMMYFUNCTION("""COMPUTED_VALUE"""),"Dubai&gt;Dubai Marina&gt;TAMANI Hotel Marina")</f>
        <v>Dubai&gt;Dubai Marina&gt;TAMANI Hotel Marina</v>
      </c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</row>
    <row r="1043" spans="1:26" ht="16.5" x14ac:dyDescent="0.35">
      <c r="A1043" s="2" t="str">
        <f ca="1">IFERROR(__xludf.DUMMYFUNCTION("""COMPUTED_VALUE"""),"Dubai")</f>
        <v>Dubai</v>
      </c>
      <c r="B1043" s="2" t="str">
        <f ca="1">IFERROR(__xludf.DUMMYFUNCTION("""COMPUTED_VALUE"""),"Rove Dubai Marina")</f>
        <v>Rove Dubai Marina</v>
      </c>
      <c r="C1043" s="2" t="str">
        <f ca="1">IFERROR(__xludf.DUMMYFUNCTION("""COMPUTED_VALUE"""),"Building")</f>
        <v>Building</v>
      </c>
      <c r="D1043" s="2" t="str">
        <f ca="1">IFERROR(__xludf.DUMMYFUNCTION("""COMPUTED_VALUE"""),"Dubai&gt;Dubai Marina&gt;Rove Dubai Marina")</f>
        <v>Dubai&gt;Dubai Marina&gt;Rove Dubai Marina</v>
      </c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</row>
    <row r="1044" spans="1:26" ht="16.5" x14ac:dyDescent="0.35">
      <c r="A1044" s="2" t="str">
        <f ca="1">IFERROR(__xludf.DUMMYFUNCTION("""COMPUTED_VALUE"""),"Dubai")</f>
        <v>Dubai</v>
      </c>
      <c r="B1044" s="2" t="str">
        <f ca="1">IFERROR(__xludf.DUMMYFUNCTION("""COMPUTED_VALUE"""),"Marina Crown")</f>
        <v>Marina Crown</v>
      </c>
      <c r="C1044" s="2" t="str">
        <f ca="1">IFERROR(__xludf.DUMMYFUNCTION("""COMPUTED_VALUE"""),"Building")</f>
        <v>Building</v>
      </c>
      <c r="D1044" s="2" t="str">
        <f ca="1">IFERROR(__xludf.DUMMYFUNCTION("""COMPUTED_VALUE"""),"Dubai&gt;Dubai Marina&gt;Marina Crown")</f>
        <v>Dubai&gt;Dubai Marina&gt;Marina Crown</v>
      </c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</row>
    <row r="1045" spans="1:26" ht="16.5" x14ac:dyDescent="0.35">
      <c r="A1045" s="2" t="str">
        <f ca="1">IFERROR(__xludf.DUMMYFUNCTION("""COMPUTED_VALUE"""),"Dubai")</f>
        <v>Dubai</v>
      </c>
      <c r="B1045" s="2" t="str">
        <f ca="1">IFERROR(__xludf.DUMMYFUNCTION("""COMPUTED_VALUE"""),"Al Yass Tower")</f>
        <v>Al Yass Tower</v>
      </c>
      <c r="C1045" s="2" t="str">
        <f ca="1">IFERROR(__xludf.DUMMYFUNCTION("""COMPUTED_VALUE"""),"Building")</f>
        <v>Building</v>
      </c>
      <c r="D1045" s="2" t="str">
        <f ca="1">IFERROR(__xludf.DUMMYFUNCTION("""COMPUTED_VALUE"""),"Dubai&gt;Dubai Marina&gt;Dubai Marina Towers&gt;Al Yass Tower")</f>
        <v>Dubai&gt;Dubai Marina&gt;Dubai Marina Towers&gt;Al Yass Tower</v>
      </c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</row>
    <row r="1046" spans="1:26" ht="16.5" x14ac:dyDescent="0.35">
      <c r="A1046" s="2" t="str">
        <f ca="1">IFERROR(__xludf.DUMMYFUNCTION("""COMPUTED_VALUE"""),"Dubai")</f>
        <v>Dubai</v>
      </c>
      <c r="B1046" s="2" t="str">
        <f ca="1">IFERROR(__xludf.DUMMYFUNCTION("""COMPUTED_VALUE"""),"Marina Diamond 5")</f>
        <v>Marina Diamond 5</v>
      </c>
      <c r="C1046" s="2" t="str">
        <f ca="1">IFERROR(__xludf.DUMMYFUNCTION("""COMPUTED_VALUE"""),"Building")</f>
        <v>Building</v>
      </c>
      <c r="D1046" s="2" t="str">
        <f ca="1">IFERROR(__xludf.DUMMYFUNCTION("""COMPUTED_VALUE"""),"Dubai&gt;Dubai Marina&gt;Marina Diamonds&gt;Marina Diamond 5")</f>
        <v>Dubai&gt;Dubai Marina&gt;Marina Diamonds&gt;Marina Diamond 5</v>
      </c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</row>
    <row r="1047" spans="1:26" ht="16.5" x14ac:dyDescent="0.35">
      <c r="A1047" s="2" t="str">
        <f ca="1">IFERROR(__xludf.DUMMYFUNCTION("""COMPUTED_VALUE"""),"Dubai")</f>
        <v>Dubai</v>
      </c>
      <c r="B1047" s="2" t="str">
        <f ca="1">IFERROR(__xludf.DUMMYFUNCTION("""COMPUTED_VALUE"""),"Emerald Residence")</f>
        <v>Emerald Residence</v>
      </c>
      <c r="C1047" s="2" t="str">
        <f ca="1">IFERROR(__xludf.DUMMYFUNCTION("""COMPUTED_VALUE"""),"Building")</f>
        <v>Building</v>
      </c>
      <c r="D1047" s="2" t="str">
        <f ca="1">IFERROR(__xludf.DUMMYFUNCTION("""COMPUTED_VALUE"""),"Dubai&gt;Dubai Marina&gt;Emerald Residence")</f>
        <v>Dubai&gt;Dubai Marina&gt;Emerald Residence</v>
      </c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</row>
    <row r="1048" spans="1:26" ht="16.5" x14ac:dyDescent="0.35">
      <c r="A1048" s="2" t="str">
        <f ca="1">IFERROR(__xludf.DUMMYFUNCTION("""COMPUTED_VALUE"""),"Dubai")</f>
        <v>Dubai</v>
      </c>
      <c r="B1048" s="2" t="str">
        <f ca="1">IFERROR(__xludf.DUMMYFUNCTION("""COMPUTED_VALUE"""),"The Waves Tower B")</f>
        <v>The Waves Tower B</v>
      </c>
      <c r="C1048" s="2" t="str">
        <f ca="1">IFERROR(__xludf.DUMMYFUNCTION("""COMPUTED_VALUE"""),"Building")</f>
        <v>Building</v>
      </c>
      <c r="D1048" s="2" t="str">
        <f ca="1">IFERROR(__xludf.DUMMYFUNCTION("""COMPUTED_VALUE"""),"Dubai&gt;Dubai Marina&gt;The Waves&gt;The Waves Tower B")</f>
        <v>Dubai&gt;Dubai Marina&gt;The Waves&gt;The Waves Tower B</v>
      </c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</row>
    <row r="1049" spans="1:26" ht="16.5" x14ac:dyDescent="0.35">
      <c r="A1049" s="2" t="str">
        <f ca="1">IFERROR(__xludf.DUMMYFUNCTION("""COMPUTED_VALUE"""),"Dubai")</f>
        <v>Dubai</v>
      </c>
      <c r="B1049" s="2" t="str">
        <f ca="1">IFERROR(__xludf.DUMMYFUNCTION("""COMPUTED_VALUE"""),"Marina Arcade Tower")</f>
        <v>Marina Arcade Tower</v>
      </c>
      <c r="C1049" s="2" t="str">
        <f ca="1">IFERROR(__xludf.DUMMYFUNCTION("""COMPUTED_VALUE"""),"Building")</f>
        <v>Building</v>
      </c>
      <c r="D1049" s="2" t="str">
        <f ca="1">IFERROR(__xludf.DUMMYFUNCTION("""COMPUTED_VALUE"""),"Dubai&gt;Dubai Marina&gt;Marina Arcade Tower")</f>
        <v>Dubai&gt;Dubai Marina&gt;Marina Arcade Tower</v>
      </c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</row>
    <row r="1050" spans="1:26" ht="16.5" x14ac:dyDescent="0.35">
      <c r="A1050" s="2" t="str">
        <f ca="1">IFERROR(__xludf.DUMMYFUNCTION("""COMPUTED_VALUE"""),"Dubai")</f>
        <v>Dubai</v>
      </c>
      <c r="B1050" s="2" t="str">
        <f ca="1">IFERROR(__xludf.DUMMYFUNCTION("""COMPUTED_VALUE"""),"Rawda Apartments 1")</f>
        <v>Rawda Apartments 1</v>
      </c>
      <c r="C1050" s="2" t="str">
        <f ca="1">IFERROR(__xludf.DUMMYFUNCTION("""COMPUTED_VALUE"""),"Building")</f>
        <v>Building</v>
      </c>
      <c r="D1050" s="2" t="str">
        <f ca="1">IFERROR(__xludf.DUMMYFUNCTION("""COMPUTED_VALUE"""),"Dubai&gt;Town Square&gt;Rawda Apartments&gt;Rawda Apartments 1")</f>
        <v>Dubai&gt;Town Square&gt;Rawda Apartments&gt;Rawda Apartments 1</v>
      </c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</row>
    <row r="1051" spans="1:26" ht="16.5" x14ac:dyDescent="0.35">
      <c r="A1051" s="2" t="str">
        <f ca="1">IFERROR(__xludf.DUMMYFUNCTION("""COMPUTED_VALUE"""),"Dubai")</f>
        <v>Dubai</v>
      </c>
      <c r="B1051" s="2" t="str">
        <f ca="1">IFERROR(__xludf.DUMMYFUNCTION("""COMPUTED_VALUE"""),"Aria")</f>
        <v>Aria</v>
      </c>
      <c r="C1051" s="2" t="str">
        <f ca="1">IFERROR(__xludf.DUMMYFUNCTION("""COMPUTED_VALUE"""),"Building")</f>
        <v>Building</v>
      </c>
      <c r="D1051" s="2" t="str">
        <f ca="1">IFERROR(__xludf.DUMMYFUNCTION("""COMPUTED_VALUE"""),"Dubai&gt;Town Square&gt;Aria")</f>
        <v>Dubai&gt;Town Square&gt;Aria</v>
      </c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</row>
    <row r="1052" spans="1:26" ht="16.5" x14ac:dyDescent="0.35">
      <c r="A1052" s="2" t="str">
        <f ca="1">IFERROR(__xludf.DUMMYFUNCTION("""COMPUTED_VALUE"""),"Dubai")</f>
        <v>Dubai</v>
      </c>
      <c r="B1052" s="2" t="str">
        <f ca="1">IFERROR(__xludf.DUMMYFUNCTION("""COMPUTED_VALUE"""),"Mira Oasis 1")</f>
        <v>Mira Oasis 1</v>
      </c>
      <c r="C1052" s="2" t="str">
        <f ca="1">IFERROR(__xludf.DUMMYFUNCTION("""COMPUTED_VALUE"""),"Neighbourhood")</f>
        <v>Neighbourhood</v>
      </c>
      <c r="D1052" s="2" t="str">
        <f ca="1">IFERROR(__xludf.DUMMYFUNCTION("""COMPUTED_VALUE"""),"Dubai&gt;Reem&gt;Mira Oasis&gt;Mira Oasis 1")</f>
        <v>Dubai&gt;Reem&gt;Mira Oasis&gt;Mira Oasis 1</v>
      </c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</row>
    <row r="1053" spans="1:26" ht="16.5" x14ac:dyDescent="0.35">
      <c r="A1053" s="2" t="str">
        <f ca="1">IFERROR(__xludf.DUMMYFUNCTION("""COMPUTED_VALUE"""),"Dubai")</f>
        <v>Dubai</v>
      </c>
      <c r="B1053" s="2" t="str">
        <f ca="1">IFERROR(__xludf.DUMMYFUNCTION("""COMPUTED_VALUE"""),"Makeen Al Furjan Villas")</f>
        <v>Makeen Al Furjan Villas</v>
      </c>
      <c r="C1053" s="2" t="str">
        <f ca="1">IFERROR(__xludf.DUMMYFUNCTION("""COMPUTED_VALUE"""),"Neighbourhood")</f>
        <v>Neighbourhood</v>
      </c>
      <c r="D1053" s="2" t="str">
        <f ca="1">IFERROR(__xludf.DUMMYFUNCTION("""COMPUTED_VALUE"""),"Dubai&gt;Al Furjan&gt;Al Furjan West&gt;Makeen Al Furjan Villas")</f>
        <v>Dubai&gt;Al Furjan&gt;Al Furjan West&gt;Makeen Al Furjan Villas</v>
      </c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</row>
    <row r="1054" spans="1:26" ht="16.5" x14ac:dyDescent="0.35">
      <c r="A1054" s="2" t="str">
        <f ca="1">IFERROR(__xludf.DUMMYFUNCTION("""COMPUTED_VALUE"""),"Dubai")</f>
        <v>Dubai</v>
      </c>
      <c r="B1054" s="2" t="str">
        <f ca="1">IFERROR(__xludf.DUMMYFUNCTION("""COMPUTED_VALUE"""),"Candace Acacia")</f>
        <v>Candace Acacia</v>
      </c>
      <c r="C1054" s="2" t="str">
        <f ca="1">IFERROR(__xludf.DUMMYFUNCTION("""COMPUTED_VALUE"""),"Building")</f>
        <v>Building</v>
      </c>
      <c r="D1054" s="2" t="str">
        <f ca="1">IFERROR(__xludf.DUMMYFUNCTION("""COMPUTED_VALUE"""),"Dubai&gt;Al Furjan&gt;Candace Acacia")</f>
        <v>Dubai&gt;Al Furjan&gt;Candace Acacia</v>
      </c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</row>
    <row r="1055" spans="1:26" ht="16.5" x14ac:dyDescent="0.35">
      <c r="A1055" s="2" t="str">
        <f ca="1">IFERROR(__xludf.DUMMYFUNCTION("""COMPUTED_VALUE"""),"Dubai")</f>
        <v>Dubai</v>
      </c>
      <c r="B1055" s="2" t="str">
        <f ca="1">IFERROR(__xludf.DUMMYFUNCTION("""COMPUTED_VALUE"""),"Millennium Talia Residences")</f>
        <v>Millennium Talia Residences</v>
      </c>
      <c r="C1055" s="2" t="str">
        <f ca="1">IFERROR(__xludf.DUMMYFUNCTION("""COMPUTED_VALUE"""),"Building")</f>
        <v>Building</v>
      </c>
      <c r="D1055" s="2" t="str">
        <f ca="1">IFERROR(__xludf.DUMMYFUNCTION("""COMPUTED_VALUE"""),"Dubai&gt;Al Furjan&gt;Millennium Talia Residences")</f>
        <v>Dubai&gt;Al Furjan&gt;Millennium Talia Residences</v>
      </c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</row>
    <row r="1056" spans="1:26" ht="16.5" x14ac:dyDescent="0.35">
      <c r="A1056" s="2" t="str">
        <f ca="1">IFERROR(__xludf.DUMMYFUNCTION("""COMPUTED_VALUE"""),"Dubai")</f>
        <v>Dubai</v>
      </c>
      <c r="B1056" s="2" t="str">
        <f ca="1">IFERROR(__xludf.DUMMYFUNCTION("""COMPUTED_VALUE"""),"Avenue Residence 7")</f>
        <v>Avenue Residence 7</v>
      </c>
      <c r="C1056" s="2" t="str">
        <f ca="1">IFERROR(__xludf.DUMMYFUNCTION("""COMPUTED_VALUE"""),"Building")</f>
        <v>Building</v>
      </c>
      <c r="D1056" s="2" t="str">
        <f ca="1">IFERROR(__xludf.DUMMYFUNCTION("""COMPUTED_VALUE"""),"Dubai&gt;Al Furjan&gt;Avenue Residence 7")</f>
        <v>Dubai&gt;Al Furjan&gt;Avenue Residence 7</v>
      </c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</row>
    <row r="1057" spans="1:26" ht="16.5" x14ac:dyDescent="0.35">
      <c r="A1057" s="2" t="str">
        <f ca="1">IFERROR(__xludf.DUMMYFUNCTION("""COMPUTED_VALUE"""),"Dubai")</f>
        <v>Dubai</v>
      </c>
      <c r="B1057" s="2" t="str">
        <f ca="1">IFERROR(__xludf.DUMMYFUNCTION("""COMPUTED_VALUE"""),"Hartland International School")</f>
        <v>Hartland International School</v>
      </c>
      <c r="C1057" s="2" t="str">
        <f ca="1">IFERROR(__xludf.DUMMYFUNCTION("""COMPUTED_VALUE"""),"School")</f>
        <v>School</v>
      </c>
      <c r="D1057" s="2" t="str">
        <f ca="1">IFERROR(__xludf.DUMMYFUNCTION("""COMPUTED_VALUE"""),"Dubai&gt;Meydan City&gt;Hartland International School")</f>
        <v>Dubai&gt;Meydan City&gt;Hartland International School</v>
      </c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</row>
    <row r="1058" spans="1:26" ht="16.5" x14ac:dyDescent="0.35">
      <c r="A1058" s="2" t="str">
        <f ca="1">IFERROR(__xludf.DUMMYFUNCTION("""COMPUTED_VALUE"""),"Dubai")</f>
        <v>Dubai</v>
      </c>
      <c r="B1058" s="2" t="str">
        <f ca="1">IFERROR(__xludf.DUMMYFUNCTION("""COMPUTED_VALUE"""),"Azizi Riviera 25")</f>
        <v>Azizi Riviera 25</v>
      </c>
      <c r="C1058" s="2" t="str">
        <f ca="1">IFERROR(__xludf.DUMMYFUNCTION("""COMPUTED_VALUE"""),"Building")</f>
        <v>Building</v>
      </c>
      <c r="D1058" s="2" t="str">
        <f ca="1">IFERROR(__xludf.DUMMYFUNCTION("""COMPUTED_VALUE"""),"Dubai&gt;Meydan City&gt;Meydan One&gt;Azizi Riviera&gt;Azizi Riviera 25")</f>
        <v>Dubai&gt;Meydan City&gt;Meydan One&gt;Azizi Riviera&gt;Azizi Riviera 25</v>
      </c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</row>
    <row r="1059" spans="1:26" ht="16.5" x14ac:dyDescent="0.35">
      <c r="A1059" s="2" t="str">
        <f ca="1">IFERROR(__xludf.DUMMYFUNCTION("""COMPUTED_VALUE"""),"Dubai")</f>
        <v>Dubai</v>
      </c>
      <c r="B1059" s="2" t="str">
        <f ca="1">IFERROR(__xludf.DUMMYFUNCTION("""COMPUTED_VALUE"""),"Azizi Riviera 19")</f>
        <v>Azizi Riviera 19</v>
      </c>
      <c r="C1059" s="2" t="str">
        <f ca="1">IFERROR(__xludf.DUMMYFUNCTION("""COMPUTED_VALUE"""),"Building")</f>
        <v>Building</v>
      </c>
      <c r="D1059" s="2" t="str">
        <f ca="1">IFERROR(__xludf.DUMMYFUNCTION("""COMPUTED_VALUE"""),"Dubai&gt;Meydan City&gt;Meydan One&gt;Azizi Riviera&gt;Azizi Riviera 19")</f>
        <v>Dubai&gt;Meydan City&gt;Meydan One&gt;Azizi Riviera&gt;Azizi Riviera 19</v>
      </c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</row>
    <row r="1060" spans="1:26" ht="16.5" x14ac:dyDescent="0.35">
      <c r="A1060" s="2" t="str">
        <f ca="1">IFERROR(__xludf.DUMMYFUNCTION("""COMPUTED_VALUE"""),"Dubai")</f>
        <v>Dubai</v>
      </c>
      <c r="B1060" s="2" t="str">
        <f ca="1">IFERROR(__xludf.DUMMYFUNCTION("""COMPUTED_VALUE"""),"Meydan Avenue")</f>
        <v>Meydan Avenue</v>
      </c>
      <c r="C1060" s="2" t="str">
        <f ca="1">IFERROR(__xludf.DUMMYFUNCTION("""COMPUTED_VALUE"""),"Neighbourhood")</f>
        <v>Neighbourhood</v>
      </c>
      <c r="D1060" s="2" t="str">
        <f ca="1">IFERROR(__xludf.DUMMYFUNCTION("""COMPUTED_VALUE"""),"Dubai&gt;Meydan City&gt;Meydan Avenue")</f>
        <v>Dubai&gt;Meydan City&gt;Meydan Avenue</v>
      </c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</row>
    <row r="1061" spans="1:26" ht="16.5" x14ac:dyDescent="0.35">
      <c r="A1061" s="2" t="str">
        <f ca="1">IFERROR(__xludf.DUMMYFUNCTION("""COMPUTED_VALUE"""),"Dubai")</f>
        <v>Dubai</v>
      </c>
      <c r="B1061" s="2" t="str">
        <f ca="1">IFERROR(__xludf.DUMMYFUNCTION("""COMPUTED_VALUE"""),"Polo Residence C9")</f>
        <v>Polo Residence C9</v>
      </c>
      <c r="C1061" s="2" t="str">
        <f ca="1">IFERROR(__xludf.DUMMYFUNCTION("""COMPUTED_VALUE"""),"Building")</f>
        <v>Building</v>
      </c>
      <c r="D1061" s="2" t="str">
        <f ca="1">IFERROR(__xludf.DUMMYFUNCTION("""COMPUTED_VALUE"""),"Dubai&gt;Meydan City&gt;Meydan Avenue&gt;Polo Residence&gt;Polo Residence C9")</f>
        <v>Dubai&gt;Meydan City&gt;Meydan Avenue&gt;Polo Residence&gt;Polo Residence C9</v>
      </c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</row>
    <row r="1062" spans="1:26" ht="16.5" x14ac:dyDescent="0.35">
      <c r="A1062" s="2" t="str">
        <f ca="1">IFERROR(__xludf.DUMMYFUNCTION("""COMPUTED_VALUE"""),"Dubai")</f>
        <v>Dubai</v>
      </c>
      <c r="B1062" s="2" t="str">
        <f ca="1">IFERROR(__xludf.DUMMYFUNCTION("""COMPUTED_VALUE"""),"Woodland Crest")</f>
        <v>Woodland Crest</v>
      </c>
      <c r="C1062" s="2" t="str">
        <f ca="1">IFERROR(__xludf.DUMMYFUNCTION("""COMPUTED_VALUE"""),"Building")</f>
        <v>Building</v>
      </c>
      <c r="D1062" s="2" t="str">
        <f ca="1">IFERROR(__xludf.DUMMYFUNCTION("""COMPUTED_VALUE"""),"Dubai&gt;Meydan City&gt;Meydan Avenue&gt;Woodland Crest")</f>
        <v>Dubai&gt;Meydan City&gt;Meydan Avenue&gt;Woodland Crest</v>
      </c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</row>
    <row r="1063" spans="1:26" ht="16.5" x14ac:dyDescent="0.35">
      <c r="A1063" s="2" t="str">
        <f ca="1">IFERROR(__xludf.DUMMYFUNCTION("""COMPUTED_VALUE"""),"Dubai")</f>
        <v>Dubai</v>
      </c>
      <c r="B1063" s="2" t="str">
        <f ca="1">IFERROR(__xludf.DUMMYFUNCTION("""COMPUTED_VALUE"""),"The Onyx Tower 1")</f>
        <v>The Onyx Tower 1</v>
      </c>
      <c r="C1063" s="2" t="str">
        <f ca="1">IFERROR(__xludf.DUMMYFUNCTION("""COMPUTED_VALUE"""),"Building")</f>
        <v>Building</v>
      </c>
      <c r="D1063" s="2" t="str">
        <f ca="1">IFERROR(__xludf.DUMMYFUNCTION("""COMPUTED_VALUE"""),"Dubai&gt;The Greens&gt;The Onyx&gt;The Onyx Tower 1")</f>
        <v>Dubai&gt;The Greens&gt;The Onyx&gt;The Onyx Tower 1</v>
      </c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</row>
    <row r="1064" spans="1:26" ht="16.5" x14ac:dyDescent="0.35">
      <c r="A1064" s="2" t="str">
        <f ca="1">IFERROR(__xludf.DUMMYFUNCTION("""COMPUTED_VALUE"""),"Dubai")</f>
        <v>Dubai</v>
      </c>
      <c r="B1064" s="2" t="str">
        <f ca="1">IFERROR(__xludf.DUMMYFUNCTION("""COMPUTED_VALUE"""),"Al Arta 2")</f>
        <v>Al Arta 2</v>
      </c>
      <c r="C1064" s="2" t="str">
        <f ca="1">IFERROR(__xludf.DUMMYFUNCTION("""COMPUTED_VALUE"""),"Building")</f>
        <v>Building</v>
      </c>
      <c r="D1064" s="2" t="str">
        <f ca="1">IFERROR(__xludf.DUMMYFUNCTION("""COMPUTED_VALUE"""),"Dubai&gt;The Greens&gt;Al Arta&gt;Al Arta 2")</f>
        <v>Dubai&gt;The Greens&gt;Al Arta&gt;Al Arta 2</v>
      </c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</row>
    <row r="1065" spans="1:26" ht="16.5" x14ac:dyDescent="0.35">
      <c r="A1065" s="2" t="str">
        <f ca="1">IFERROR(__xludf.DUMMYFUNCTION("""COMPUTED_VALUE"""),"Dubai")</f>
        <v>Dubai</v>
      </c>
      <c r="B1065" s="2" t="str">
        <f ca="1">IFERROR(__xludf.DUMMYFUNCTION("""COMPUTED_VALUE"""),"Noor 3")</f>
        <v>Noor 3</v>
      </c>
      <c r="C1065" s="2" t="str">
        <f ca="1">IFERROR(__xludf.DUMMYFUNCTION("""COMPUTED_VALUE"""),"Building")</f>
        <v>Building</v>
      </c>
      <c r="D1065" s="2" t="str">
        <f ca="1">IFERROR(__xludf.DUMMYFUNCTION("""COMPUTED_VALUE"""),"Dubai&gt;Dubai Production City (IMPZ)&gt;Midtown&gt;Noor District&gt;Noor 3")</f>
        <v>Dubai&gt;Dubai Production City (IMPZ)&gt;Midtown&gt;Noor District&gt;Noor 3</v>
      </c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</row>
    <row r="1066" spans="1:26" ht="16.5" x14ac:dyDescent="0.35">
      <c r="A1066" s="2" t="str">
        <f ca="1">IFERROR(__xludf.DUMMYFUNCTION("""COMPUTED_VALUE"""),"Dubai")</f>
        <v>Dubai</v>
      </c>
      <c r="B1066" s="2" t="str">
        <f ca="1">IFERROR(__xludf.DUMMYFUNCTION("""COMPUTED_VALUE"""),"Centrium Tower 1")</f>
        <v>Centrium Tower 1</v>
      </c>
      <c r="C1066" s="2" t="str">
        <f ca="1">IFERROR(__xludf.DUMMYFUNCTION("""COMPUTED_VALUE"""),"Building")</f>
        <v>Building</v>
      </c>
      <c r="D1066" s="2" t="str">
        <f ca="1">IFERROR(__xludf.DUMMYFUNCTION("""COMPUTED_VALUE"""),"Dubai&gt;Dubai Production City (IMPZ)&gt;Centrium Towers&gt;Centrium Tower 1")</f>
        <v>Dubai&gt;Dubai Production City (IMPZ)&gt;Centrium Towers&gt;Centrium Tower 1</v>
      </c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</row>
    <row r="1067" spans="1:26" ht="16.5" x14ac:dyDescent="0.35">
      <c r="A1067" s="2" t="str">
        <f ca="1">IFERROR(__xludf.DUMMYFUNCTION("""COMPUTED_VALUE"""),"Dubai")</f>
        <v>Dubai</v>
      </c>
      <c r="B1067" s="2" t="str">
        <f ca="1">IFERROR(__xludf.DUMMYFUNCTION("""COMPUTED_VALUE"""),"Al Shaiba Tower G26")</f>
        <v>Al Shaiba Tower G26</v>
      </c>
      <c r="C1067" s="2" t="str">
        <f ca="1">IFERROR(__xludf.DUMMYFUNCTION("""COMPUTED_VALUE"""),"Building")</f>
        <v>Building</v>
      </c>
      <c r="D1067" s="2" t="str">
        <f ca="1">IFERROR(__xludf.DUMMYFUNCTION("""COMPUTED_VALUE"""),"Dubai&gt;Dubai Production City (IMPZ)&gt;Al Shaiba Tower G26")</f>
        <v>Dubai&gt;Dubai Production City (IMPZ)&gt;Al Shaiba Tower G26</v>
      </c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</row>
    <row r="1068" spans="1:26" ht="16.5" x14ac:dyDescent="0.35">
      <c r="A1068" s="2" t="str">
        <f ca="1">IFERROR(__xludf.DUMMYFUNCTION("""COMPUTED_VALUE"""),"Dubai")</f>
        <v>Dubai</v>
      </c>
      <c r="B1068" s="2" t="str">
        <f ca="1">IFERROR(__xludf.DUMMYFUNCTION("""COMPUTED_VALUE"""),"Vista")</f>
        <v>Vista</v>
      </c>
      <c r="C1068" s="2" t="str">
        <f ca="1">IFERROR(__xludf.DUMMYFUNCTION("""COMPUTED_VALUE"""),"Building")</f>
        <v>Building</v>
      </c>
      <c r="D1068" s="2" t="str">
        <f ca="1">IFERROR(__xludf.DUMMYFUNCTION("""COMPUTED_VALUE"""),"Dubai&gt;Dubai Production City (IMPZ)&gt;Vista")</f>
        <v>Dubai&gt;Dubai Production City (IMPZ)&gt;Vista</v>
      </c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</row>
    <row r="1069" spans="1:26" ht="16.5" x14ac:dyDescent="0.35">
      <c r="A1069" s="2" t="str">
        <f ca="1">IFERROR(__xludf.DUMMYFUNCTION("""COMPUTED_VALUE"""),"Dubai")</f>
        <v>Dubai</v>
      </c>
      <c r="B1069" s="2" t="str">
        <f ca="1">IFERROR(__xludf.DUMMYFUNCTION("""COMPUTED_VALUE"""),"Building 4")</f>
        <v>Building 4</v>
      </c>
      <c r="C1069" s="2" t="str">
        <f ca="1">IFERROR(__xludf.DUMMYFUNCTION("""COMPUTED_VALUE"""),"Building")</f>
        <v>Building</v>
      </c>
      <c r="D1069" s="2" t="str">
        <f ca="1">IFERROR(__xludf.DUMMYFUNCTION("""COMPUTED_VALUE"""),"Dubai&gt;Dubai Industrial City&gt;International Humanitarian City&gt;Building 4")</f>
        <v>Dubai&gt;Dubai Industrial City&gt;International Humanitarian City&gt;Building 4</v>
      </c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</row>
    <row r="1070" spans="1:26" ht="16.5" x14ac:dyDescent="0.35">
      <c r="A1070" s="2" t="str">
        <f ca="1">IFERROR(__xludf.DUMMYFUNCTION("""COMPUTED_VALUE"""),"Dubai")</f>
        <v>Dubai</v>
      </c>
      <c r="B1070" s="2" t="str">
        <f ca="1">IFERROR(__xludf.DUMMYFUNCTION("""COMPUTED_VALUE"""),"Indigo Sky")</f>
        <v>Indigo Sky</v>
      </c>
      <c r="C1070" s="2" t="str">
        <f ca="1">IFERROR(__xludf.DUMMYFUNCTION("""COMPUTED_VALUE"""),"Building")</f>
        <v>Building</v>
      </c>
      <c r="D1070" s="2" t="str">
        <f ca="1">IFERROR(__xludf.DUMMYFUNCTION("""COMPUTED_VALUE"""),"Dubai&gt;Umm Al Sheif&gt;Indigo Sky")</f>
        <v>Dubai&gt;Umm Al Sheif&gt;Indigo Sky</v>
      </c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</row>
    <row r="1071" spans="1:26" ht="16.5" x14ac:dyDescent="0.35">
      <c r="A1071" s="2" t="str">
        <f ca="1">IFERROR(__xludf.DUMMYFUNCTION("""COMPUTED_VALUE"""),"Dubai")</f>
        <v>Dubai</v>
      </c>
      <c r="B1071" s="2" t="str">
        <f ca="1">IFERROR(__xludf.DUMMYFUNCTION("""COMPUTED_VALUE"""),"Bay Villas")</f>
        <v>Bay Villas</v>
      </c>
      <c r="C1071" s="2" t="str">
        <f ca="1">IFERROR(__xludf.DUMMYFUNCTION("""COMPUTED_VALUE"""),"Neighbourhood")</f>
        <v>Neighbourhood</v>
      </c>
      <c r="D1071" s="2" t="str">
        <f ca="1">IFERROR(__xludf.DUMMYFUNCTION("""COMPUTED_VALUE"""),"Dubai&gt;Dubai Islands&gt;Bay Villas")</f>
        <v>Dubai&gt;Dubai Islands&gt;Bay Villas</v>
      </c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</row>
    <row r="1072" spans="1:26" ht="16.5" x14ac:dyDescent="0.35">
      <c r="A1072" s="2" t="str">
        <f ca="1">IFERROR(__xludf.DUMMYFUNCTION("""COMPUTED_VALUE"""),"Dubai")</f>
        <v>Dubai</v>
      </c>
      <c r="B1072" s="2" t="str">
        <f ca="1">IFERROR(__xludf.DUMMYFUNCTION("""COMPUTED_VALUE"""),"Whitecliffs Residences")</f>
        <v>Whitecliffs Residences</v>
      </c>
      <c r="C1072" s="2" t="str">
        <f ca="1">IFERROR(__xludf.DUMMYFUNCTION("""COMPUTED_VALUE"""),"Building")</f>
        <v>Building</v>
      </c>
      <c r="D1072" s="2" t="str">
        <f ca="1">IFERROR(__xludf.DUMMYFUNCTION("""COMPUTED_VALUE"""),"Dubai&gt;Dubai Islands&gt;Whitecliffs Residences")</f>
        <v>Dubai&gt;Dubai Islands&gt;Whitecliffs Residences</v>
      </c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</row>
    <row r="1073" spans="1:26" ht="16.5" x14ac:dyDescent="0.35">
      <c r="A1073" s="2" t="str">
        <f ca="1">IFERROR(__xludf.DUMMYFUNCTION("""COMPUTED_VALUE"""),"Dubai")</f>
        <v>Dubai</v>
      </c>
      <c r="B1073" s="2" t="str">
        <f ca="1">IFERROR(__xludf.DUMMYFUNCTION("""COMPUTED_VALUE"""),"Isolana Residences")</f>
        <v>Isolana Residences</v>
      </c>
      <c r="C1073" s="2" t="str">
        <f ca="1">IFERROR(__xludf.DUMMYFUNCTION("""COMPUTED_VALUE"""),"Building")</f>
        <v>Building</v>
      </c>
      <c r="D1073" s="2" t="str">
        <f ca="1">IFERROR(__xludf.DUMMYFUNCTION("""COMPUTED_VALUE"""),"Dubai&gt;Dubai Islands&gt;Isolana Residences")</f>
        <v>Dubai&gt;Dubai Islands&gt;Isolana Residences</v>
      </c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</row>
    <row r="1074" spans="1:26" ht="16.5" x14ac:dyDescent="0.35">
      <c r="A1074" s="2" t="str">
        <f ca="1">IFERROR(__xludf.DUMMYFUNCTION("""COMPUTED_VALUE"""),"Dubai")</f>
        <v>Dubai</v>
      </c>
      <c r="B1074" s="2" t="str">
        <f ca="1">IFERROR(__xludf.DUMMYFUNCTION("""COMPUTED_VALUE"""),"Octa Isle Interiors by Missoni")</f>
        <v>Octa Isle Interiors by Missoni</v>
      </c>
      <c r="C1074" s="2" t="str">
        <f ca="1">IFERROR(__xludf.DUMMYFUNCTION("""COMPUTED_VALUE"""),"Building")</f>
        <v>Building</v>
      </c>
      <c r="D1074" s="2" t="str">
        <f ca="1">IFERROR(__xludf.DUMMYFUNCTION("""COMPUTED_VALUE"""),"Dubai&gt;Dubai Islands&gt;Octa Isle Interiors by Missoni")</f>
        <v>Dubai&gt;Dubai Islands&gt;Octa Isle Interiors by Missoni</v>
      </c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</row>
    <row r="1075" spans="1:26" ht="16.5" x14ac:dyDescent="0.35">
      <c r="A1075" s="2" t="str">
        <f ca="1">IFERROR(__xludf.DUMMYFUNCTION("""COMPUTED_VALUE"""),"Dubai")</f>
        <v>Dubai</v>
      </c>
      <c r="B1075" s="2" t="str">
        <f ca="1">IFERROR(__xludf.DUMMYFUNCTION("""COMPUTED_VALUE"""),"Meriden Beach")</f>
        <v>Meriden Beach</v>
      </c>
      <c r="C1075" s="2" t="str">
        <f ca="1">IFERROR(__xludf.DUMMYFUNCTION("""COMPUTED_VALUE"""),"Building")</f>
        <v>Building</v>
      </c>
      <c r="D1075" s="2" t="str">
        <f ca="1">IFERROR(__xludf.DUMMYFUNCTION("""COMPUTED_VALUE"""),"Dubai&gt;Dubai Islands&gt;Meriden Beach")</f>
        <v>Dubai&gt;Dubai Islands&gt;Meriden Beach</v>
      </c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</row>
    <row r="1076" spans="1:26" ht="16.5" x14ac:dyDescent="0.35">
      <c r="A1076" s="2" t="str">
        <f ca="1">IFERROR(__xludf.DUMMYFUNCTION("""COMPUTED_VALUE"""),"Dubai")</f>
        <v>Dubai</v>
      </c>
      <c r="B1076" s="2" t="str">
        <f ca="1">IFERROR(__xludf.DUMMYFUNCTION("""COMPUTED_VALUE"""),"Tower B")</f>
        <v>Tower B</v>
      </c>
      <c r="C1076" s="2" t="str">
        <f ca="1">IFERROR(__xludf.DUMMYFUNCTION("""COMPUTED_VALUE"""),"Building")</f>
        <v>Building</v>
      </c>
      <c r="D1076" s="2" t="str">
        <f ca="1">IFERROR(__xludf.DUMMYFUNCTION("""COMPUTED_VALUE"""),"Dubai&gt;Dubailand&gt;Rukan&gt;Rukan Tower&gt;Tower B")</f>
        <v>Dubai&gt;Dubailand&gt;Rukan&gt;Rukan Tower&gt;Tower B</v>
      </c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</row>
    <row r="1077" spans="1:26" ht="16.5" x14ac:dyDescent="0.35">
      <c r="A1077" s="2" t="str">
        <f ca="1">IFERROR(__xludf.DUMMYFUNCTION("""COMPUTED_VALUE"""),"Dubai")</f>
        <v>Dubai</v>
      </c>
      <c r="B1077" s="2" t="str">
        <f ca="1">IFERROR(__xludf.DUMMYFUNCTION("""COMPUTED_VALUE"""),"Bianca")</f>
        <v>Bianca</v>
      </c>
      <c r="C1077" s="2" t="str">
        <f ca="1">IFERROR(__xludf.DUMMYFUNCTION("""COMPUTED_VALUE"""),"Neighbourhood")</f>
        <v>Neighbourhood</v>
      </c>
      <c r="D1077" s="2" t="str">
        <f ca="1">IFERROR(__xludf.DUMMYFUNCTION("""COMPUTED_VALUE"""),"Dubai&gt;Dubailand&gt;Bianca")</f>
        <v>Dubai&gt;Dubailand&gt;Bianca</v>
      </c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</row>
    <row r="1078" spans="1:26" ht="16.5" x14ac:dyDescent="0.35">
      <c r="A1078" s="2" t="str">
        <f ca="1">IFERROR(__xludf.DUMMYFUNCTION("""COMPUTED_VALUE"""),"Dubai")</f>
        <v>Dubai</v>
      </c>
      <c r="B1078" s="2" t="str">
        <f ca="1">IFERROR(__xludf.DUMMYFUNCTION("""COMPUTED_VALUE"""),"Golf Dale")</f>
        <v>Golf Dale</v>
      </c>
      <c r="C1078" s="2" t="str">
        <f ca="1">IFERROR(__xludf.DUMMYFUNCTION("""COMPUTED_VALUE"""),"Neighbourhood")</f>
        <v>Neighbourhood</v>
      </c>
      <c r="D1078" s="2" t="str">
        <f ca="1">IFERROR(__xludf.DUMMYFUNCTION("""COMPUTED_VALUE"""),"Dubai&gt;Dubai South&gt;Emaar South&gt;Golf Dale")</f>
        <v>Dubai&gt;Dubai South&gt;Emaar South&gt;Golf Dale</v>
      </c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</row>
    <row r="1079" spans="1:26" ht="16.5" x14ac:dyDescent="0.35">
      <c r="A1079" s="2" t="str">
        <f ca="1">IFERROR(__xludf.DUMMYFUNCTION("""COMPUTED_VALUE"""),"Dubai")</f>
        <v>Dubai</v>
      </c>
      <c r="B1079" s="2" t="str">
        <f ca="1">IFERROR(__xludf.DUMMYFUNCTION("""COMPUTED_VALUE"""),"Dubai South Business Park B5")</f>
        <v>Dubai South Business Park B5</v>
      </c>
      <c r="C1079" s="2" t="str">
        <f ca="1">IFERROR(__xludf.DUMMYFUNCTION("""COMPUTED_VALUE"""),"Building")</f>
        <v>Building</v>
      </c>
      <c r="D1079" s="2" t="str">
        <f ca="1">IFERROR(__xludf.DUMMYFUNCTION("""COMPUTED_VALUE"""),"Dubai&gt;Dubai South&gt;Logistics City&gt;The Avenue&gt;Dubai South Business Park B5")</f>
        <v>Dubai&gt;Dubai South&gt;Logistics City&gt;The Avenue&gt;Dubai South Business Park B5</v>
      </c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</row>
    <row r="1080" spans="1:26" ht="16.5" x14ac:dyDescent="0.35">
      <c r="A1080" s="2" t="str">
        <f ca="1">IFERROR(__xludf.DUMMYFUNCTION("""COMPUTED_VALUE"""),"Dubai")</f>
        <v>Dubai</v>
      </c>
      <c r="B1080" s="2" t="str">
        <f ca="1">IFERROR(__xludf.DUMMYFUNCTION("""COMPUTED_VALUE"""),"Azizi Venice 7 Building D")</f>
        <v>Azizi Venice 7 Building D</v>
      </c>
      <c r="C1080" s="2" t="str">
        <f ca="1">IFERROR(__xludf.DUMMYFUNCTION("""COMPUTED_VALUE"""),"Building")</f>
        <v>Building</v>
      </c>
      <c r="D1080" s="2" t="str">
        <f ca="1">IFERROR(__xludf.DUMMYFUNCTION("""COMPUTED_VALUE"""),"Dubai&gt;Dubai South&gt;Azizi Venice&gt;Azizi Venice 7&gt;Azizi Venice 7 Building D")</f>
        <v>Dubai&gt;Dubai South&gt;Azizi Venice&gt;Azizi Venice 7&gt;Azizi Venice 7 Building D</v>
      </c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</row>
    <row r="1081" spans="1:26" ht="16.5" x14ac:dyDescent="0.35">
      <c r="A1081" s="2" t="str">
        <f ca="1">IFERROR(__xludf.DUMMYFUNCTION("""COMPUTED_VALUE"""),"Dubai")</f>
        <v>Dubai</v>
      </c>
      <c r="B1081" s="2" t="str">
        <f ca="1">IFERROR(__xludf.DUMMYFUNCTION("""COMPUTED_VALUE"""),"Avicennia")</f>
        <v>Avicennia</v>
      </c>
      <c r="C1081" s="2" t="str">
        <f ca="1">IFERROR(__xludf.DUMMYFUNCTION("""COMPUTED_VALUE"""),"Building")</f>
        <v>Building</v>
      </c>
      <c r="D1081" s="2" t="str">
        <f ca="1">IFERROR(__xludf.DUMMYFUNCTION("""COMPUTED_VALUE"""),"Dubai&gt;Dubai South&gt;Avicennia")</f>
        <v>Dubai&gt;Dubai South&gt;Avicennia</v>
      </c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</row>
    <row r="1082" spans="1:26" ht="16.5" x14ac:dyDescent="0.35">
      <c r="A1082" s="2" t="str">
        <f ca="1">IFERROR(__xludf.DUMMYFUNCTION("""COMPUTED_VALUE"""),"Dubai")</f>
        <v>Dubai</v>
      </c>
      <c r="B1082" s="2" t="str">
        <f ca="1">IFERROR(__xludf.DUMMYFUNCTION("""COMPUTED_VALUE"""),"Oud Metha")</f>
        <v>Oud Metha</v>
      </c>
      <c r="C1082" s="2" t="str">
        <f ca="1">IFERROR(__xludf.DUMMYFUNCTION("""COMPUTED_VALUE"""),"Neighbourhood")</f>
        <v>Neighbourhood</v>
      </c>
      <c r="D1082" s="2" t="str">
        <f ca="1">IFERROR(__xludf.DUMMYFUNCTION("""COMPUTED_VALUE"""),"Dubai&gt;Bur Dubai&gt;Oud Metha")</f>
        <v>Dubai&gt;Bur Dubai&gt;Oud Metha</v>
      </c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</row>
    <row r="1083" spans="1:26" ht="16.5" x14ac:dyDescent="0.35">
      <c r="A1083" s="2" t="str">
        <f ca="1">IFERROR(__xludf.DUMMYFUNCTION("""COMPUTED_VALUE"""),"Dubai")</f>
        <v>Dubai</v>
      </c>
      <c r="B1083" s="2" t="str">
        <f ca="1">IFERROR(__xludf.DUMMYFUNCTION("""COMPUTED_VALUE"""),"Hessa Home Building")</f>
        <v>Hessa Home Building</v>
      </c>
      <c r="C1083" s="2" t="str">
        <f ca="1">IFERROR(__xludf.DUMMYFUNCTION("""COMPUTED_VALUE"""),"Building")</f>
        <v>Building</v>
      </c>
      <c r="D1083" s="2" t="str">
        <f ca="1">IFERROR(__xludf.DUMMYFUNCTION("""COMPUTED_VALUE"""),"Dubai&gt;Bur Dubai&gt;Oud Metha&gt;Hessa Home Building")</f>
        <v>Dubai&gt;Bur Dubai&gt;Oud Metha&gt;Hessa Home Building</v>
      </c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</row>
    <row r="1084" spans="1:26" ht="16.5" x14ac:dyDescent="0.35">
      <c r="A1084" s="2" t="str">
        <f ca="1">IFERROR(__xludf.DUMMYFUNCTION("""COMPUTED_VALUE"""),"Dubai")</f>
        <v>Dubai</v>
      </c>
      <c r="B1084" s="2" t="str">
        <f ca="1">IFERROR(__xludf.DUMMYFUNCTION("""COMPUTED_VALUE"""),"Building NO 6")</f>
        <v>Building NO 6</v>
      </c>
      <c r="C1084" s="2" t="str">
        <f ca="1">IFERROR(__xludf.DUMMYFUNCTION("""COMPUTED_VALUE"""),"Building")</f>
        <v>Building</v>
      </c>
      <c r="D1084" s="2" t="str">
        <f ca="1">IFERROR(__xludf.DUMMYFUNCTION("""COMPUTED_VALUE"""),"Dubai&gt;Bur Dubai&gt;Oud Metha&gt;Building NO 6")</f>
        <v>Dubai&gt;Bur Dubai&gt;Oud Metha&gt;Building NO 6</v>
      </c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</row>
    <row r="1085" spans="1:26" ht="16.5" x14ac:dyDescent="0.35">
      <c r="A1085" s="2" t="str">
        <f ca="1">IFERROR(__xludf.DUMMYFUNCTION("""COMPUTED_VALUE"""),"Dubai")</f>
        <v>Dubai</v>
      </c>
      <c r="B1085" s="2" t="str">
        <f ca="1">IFERROR(__xludf.DUMMYFUNCTION("""COMPUTED_VALUE"""),"Al Riffa 1 Building")</f>
        <v>Al Riffa 1 Building</v>
      </c>
      <c r="C1085" s="2" t="str">
        <f ca="1">IFERROR(__xludf.DUMMYFUNCTION("""COMPUTED_VALUE"""),"Building")</f>
        <v>Building</v>
      </c>
      <c r="D1085" s="2" t="str">
        <f ca="1">IFERROR(__xludf.DUMMYFUNCTION("""COMPUTED_VALUE"""),"Dubai&gt;Bur Dubai&gt;Al Raffa&gt;Al Riffa 1 Building")</f>
        <v>Dubai&gt;Bur Dubai&gt;Al Raffa&gt;Al Riffa 1 Building</v>
      </c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</row>
    <row r="1086" spans="1:26" ht="16.5" x14ac:dyDescent="0.35">
      <c r="A1086" s="2" t="str">
        <f ca="1">IFERROR(__xludf.DUMMYFUNCTION("""COMPUTED_VALUE"""),"Dubai")</f>
        <v>Dubai</v>
      </c>
      <c r="B1086" s="2" t="str">
        <f ca="1">IFERROR(__xludf.DUMMYFUNCTION("""COMPUTED_VALUE"""),"Cambridgeshire Nursery Al Mankhool")</f>
        <v>Cambridgeshire Nursery Al Mankhool</v>
      </c>
      <c r="C1086" s="2" t="str">
        <f ca="1">IFERROR(__xludf.DUMMYFUNCTION("""COMPUTED_VALUE"""),"Nursery")</f>
        <v>Nursery</v>
      </c>
      <c r="D1086" s="2" t="str">
        <f ca="1">IFERROR(__xludf.DUMMYFUNCTION("""COMPUTED_VALUE"""),"Dubai&gt;Bur Dubai&gt;Al Mankhool&gt;Cambridgeshire Nursery Al Mankhool")</f>
        <v>Dubai&gt;Bur Dubai&gt;Al Mankhool&gt;Cambridgeshire Nursery Al Mankhool</v>
      </c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</row>
    <row r="1087" spans="1:26" ht="16.5" x14ac:dyDescent="0.35">
      <c r="A1087" s="2" t="str">
        <f ca="1">IFERROR(__xludf.DUMMYFUNCTION("""COMPUTED_VALUE"""),"Dubai")</f>
        <v>Dubai</v>
      </c>
      <c r="B1087" s="2" t="str">
        <f ca="1">IFERROR(__xludf.DUMMYFUNCTION("""COMPUTED_VALUE"""),"Residence 1000")</f>
        <v>Residence 1000</v>
      </c>
      <c r="C1087" s="2" t="str">
        <f ca="1">IFERROR(__xludf.DUMMYFUNCTION("""COMPUTED_VALUE"""),"Building")</f>
        <v>Building</v>
      </c>
      <c r="D1087" s="2" t="str">
        <f ca="1">IFERROR(__xludf.DUMMYFUNCTION("""COMPUTED_VALUE"""),"Dubai&gt;Bur Dubai&gt;Al Mankhool&gt;Residence 1000")</f>
        <v>Dubai&gt;Bur Dubai&gt;Al Mankhool&gt;Residence 1000</v>
      </c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</row>
    <row r="1088" spans="1:26" ht="16.5" x14ac:dyDescent="0.35">
      <c r="A1088" s="2" t="str">
        <f ca="1">IFERROR(__xludf.DUMMYFUNCTION("""COMPUTED_VALUE"""),"Dubai")</f>
        <v>Dubai</v>
      </c>
      <c r="B1088" s="2" t="str">
        <f ca="1">IFERROR(__xludf.DUMMYFUNCTION("""COMPUTED_VALUE"""),"Jamal Al Ghurair Building")</f>
        <v>Jamal Al Ghurair Building</v>
      </c>
      <c r="C1088" s="2" t="str">
        <f ca="1">IFERROR(__xludf.DUMMYFUNCTION("""COMPUTED_VALUE"""),"Building")</f>
        <v>Building</v>
      </c>
      <c r="D1088" s="2" t="str">
        <f ca="1">IFERROR(__xludf.DUMMYFUNCTION("""COMPUTED_VALUE"""),"Dubai&gt;Bur Dubai&gt;Al Mankhool&gt;Jamal Al Ghurair Building")</f>
        <v>Dubai&gt;Bur Dubai&gt;Al Mankhool&gt;Jamal Al Ghurair Building</v>
      </c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</row>
    <row r="1089" spans="1:26" ht="16.5" x14ac:dyDescent="0.35">
      <c r="A1089" s="2" t="str">
        <f ca="1">IFERROR(__xludf.DUMMYFUNCTION("""COMPUTED_VALUE"""),"Dubai")</f>
        <v>Dubai</v>
      </c>
      <c r="B1089" s="2" t="str">
        <f ca="1">IFERROR(__xludf.DUMMYFUNCTION("""COMPUTED_VALUE"""),"Al Rais Tower 2")</f>
        <v>Al Rais Tower 2</v>
      </c>
      <c r="C1089" s="2" t="str">
        <f ca="1">IFERROR(__xludf.DUMMYFUNCTION("""COMPUTED_VALUE"""),"Building")</f>
        <v>Building</v>
      </c>
      <c r="D1089" s="2" t="str">
        <f ca="1">IFERROR(__xludf.DUMMYFUNCTION("""COMPUTED_VALUE"""),"Dubai&gt;Bur Dubai&gt;Al Mankhool&gt;Al Rais Tower 2")</f>
        <v>Dubai&gt;Bur Dubai&gt;Al Mankhool&gt;Al Rais Tower 2</v>
      </c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</row>
    <row r="1090" spans="1:26" ht="16.5" x14ac:dyDescent="0.35">
      <c r="A1090" s="2" t="str">
        <f ca="1">IFERROR(__xludf.DUMMYFUNCTION("""COMPUTED_VALUE"""),"Dubai")</f>
        <v>Dubai</v>
      </c>
      <c r="B1090" s="2" t="str">
        <f ca="1">IFERROR(__xludf.DUMMYFUNCTION("""COMPUTED_VALUE"""),"Raffles Dubai")</f>
        <v>Raffles Dubai</v>
      </c>
      <c r="C1090" s="2" t="str">
        <f ca="1">IFERROR(__xludf.DUMMYFUNCTION("""COMPUTED_VALUE"""),"Building")</f>
        <v>Building</v>
      </c>
      <c r="D1090" s="2" t="str">
        <f ca="1">IFERROR(__xludf.DUMMYFUNCTION("""COMPUTED_VALUE"""),"Dubai&gt;Bur Dubai&gt;Umm Hurair&gt;Umm Hurair 2&gt;Raffles Dubai")</f>
        <v>Dubai&gt;Bur Dubai&gt;Umm Hurair&gt;Umm Hurair 2&gt;Raffles Dubai</v>
      </c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</row>
    <row r="1091" spans="1:26" ht="16.5" x14ac:dyDescent="0.35">
      <c r="A1091" s="2" t="str">
        <f ca="1">IFERROR(__xludf.DUMMYFUNCTION("""COMPUTED_VALUE"""),"Dubai")</f>
        <v>Dubai</v>
      </c>
      <c r="B1091" s="2" t="str">
        <f ca="1">IFERROR(__xludf.DUMMYFUNCTION("""COMPUTED_VALUE"""),"IT Center Building")</f>
        <v>IT Center Building</v>
      </c>
      <c r="C1091" s="2" t="str">
        <f ca="1">IFERROR(__xludf.DUMMYFUNCTION("""COMPUTED_VALUE"""),"Building")</f>
        <v>Building</v>
      </c>
      <c r="D1091" s="2" t="str">
        <f ca="1">IFERROR(__xludf.DUMMYFUNCTION("""COMPUTED_VALUE"""),"Dubai&gt;Bur Dubai&gt;Al Souk Al Kabeer (Al Fahidi)&gt;IT Center Building")</f>
        <v>Dubai&gt;Bur Dubai&gt;Al Souk Al Kabeer (Al Fahidi)&gt;IT Center Building</v>
      </c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</row>
    <row r="1092" spans="1:26" ht="16.5" x14ac:dyDescent="0.35">
      <c r="A1092" s="2" t="str">
        <f ca="1">IFERROR(__xludf.DUMMYFUNCTION("""COMPUTED_VALUE"""),"Dubai")</f>
        <v>Dubai</v>
      </c>
      <c r="B1092" s="2" t="str">
        <f ca="1">IFERROR(__xludf.DUMMYFUNCTION("""COMPUTED_VALUE"""),"Residence 0435")</f>
        <v>Residence 0435</v>
      </c>
      <c r="C1092" s="2" t="str">
        <f ca="1">IFERROR(__xludf.DUMMYFUNCTION("""COMPUTED_VALUE"""),"Building")</f>
        <v>Building</v>
      </c>
      <c r="D1092" s="2" t="str">
        <f ca="1">IFERROR(__xludf.DUMMYFUNCTION("""COMPUTED_VALUE"""),"Dubai&gt;Bur Dubai&gt;Al Hamriya&gt;Residence 0435")</f>
        <v>Dubai&gt;Bur Dubai&gt;Al Hamriya&gt;Residence 0435</v>
      </c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</row>
    <row r="1093" spans="1:26" ht="16.5" x14ac:dyDescent="0.35">
      <c r="A1093" s="2" t="str">
        <f ca="1">IFERROR(__xludf.DUMMYFUNCTION("""COMPUTED_VALUE"""),"Dubai")</f>
        <v>Dubai</v>
      </c>
      <c r="B1093" s="2" t="str">
        <f ca="1">IFERROR(__xludf.DUMMYFUNCTION("""COMPUTED_VALUE"""),"Hyatt Regency Creek Heights Residences")</f>
        <v>Hyatt Regency Creek Heights Residences</v>
      </c>
      <c r="C1093" s="2" t="str">
        <f ca="1">IFERROR(__xludf.DUMMYFUNCTION("""COMPUTED_VALUE"""),"Building")</f>
        <v>Building</v>
      </c>
      <c r="D1093" s="2" t="str">
        <f ca="1">IFERROR(__xludf.DUMMYFUNCTION("""COMPUTED_VALUE"""),"Dubai&gt;Bur Dubai&gt;Dubai Healthcare City&gt;Hyatt Regency Creek Heights Residences")</f>
        <v>Dubai&gt;Bur Dubai&gt;Dubai Healthcare City&gt;Hyatt Regency Creek Heights Residences</v>
      </c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</row>
    <row r="1094" spans="1:26" ht="16.5" x14ac:dyDescent="0.35">
      <c r="A1094" s="2" t="str">
        <f ca="1">IFERROR(__xludf.DUMMYFUNCTION("""COMPUTED_VALUE"""),"Dubai")</f>
        <v>Dubai</v>
      </c>
      <c r="B1094" s="2" t="str">
        <f ca="1">IFERROR(__xludf.DUMMYFUNCTION("""COMPUTED_VALUE"""),"Al Andalus Tower E")</f>
        <v>Al Andalus Tower E</v>
      </c>
      <c r="C1094" s="2" t="str">
        <f ca="1">IFERROR(__xludf.DUMMYFUNCTION("""COMPUTED_VALUE"""),"Building")</f>
        <v>Building</v>
      </c>
      <c r="D1094" s="2" t="str">
        <f ca="1">IFERROR(__xludf.DUMMYFUNCTION("""COMPUTED_VALUE"""),"Dubai&gt;Jumeirah Golf Estates&gt;Al Andalus&gt;Al Andalus Tower E")</f>
        <v>Dubai&gt;Jumeirah Golf Estates&gt;Al Andalus&gt;Al Andalus Tower E</v>
      </c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</row>
    <row r="1095" spans="1:26" ht="16.5" x14ac:dyDescent="0.35">
      <c r="A1095" s="2" t="str">
        <f ca="1">IFERROR(__xludf.DUMMYFUNCTION("""COMPUTED_VALUE"""),"Dubai")</f>
        <v>Dubai</v>
      </c>
      <c r="B1095" s="2" t="str">
        <f ca="1">IFERROR(__xludf.DUMMYFUNCTION("""COMPUTED_VALUE"""),"Beach Isle")</f>
        <v>Beach Isle</v>
      </c>
      <c r="C1095" s="2" t="str">
        <f ca="1">IFERROR(__xludf.DUMMYFUNCTION("""COMPUTED_VALUE"""),"Cluster")</f>
        <v>Cluster</v>
      </c>
      <c r="D1095" s="2" t="str">
        <f ca="1">IFERROR(__xludf.DUMMYFUNCTION("""COMPUTED_VALUE"""),"Dubai&gt;Dubai Harbour&gt;Emaar Beachfront&gt;Beach Isle")</f>
        <v>Dubai&gt;Dubai Harbour&gt;Emaar Beachfront&gt;Beach Isle</v>
      </c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</row>
    <row r="1096" spans="1:26" ht="16.5" x14ac:dyDescent="0.35">
      <c r="A1096" s="2" t="str">
        <f ca="1">IFERROR(__xludf.DUMMYFUNCTION("""COMPUTED_VALUE"""),"Dubai")</f>
        <v>Dubai</v>
      </c>
      <c r="B1096" s="2" t="str">
        <f ca="1">IFERROR(__xludf.DUMMYFUNCTION("""COMPUTED_VALUE"""),"Sobha Seahaven Tower B")</f>
        <v>Sobha Seahaven Tower B</v>
      </c>
      <c r="C1096" s="2" t="str">
        <f ca="1">IFERROR(__xludf.DUMMYFUNCTION("""COMPUTED_VALUE"""),"Building")</f>
        <v>Building</v>
      </c>
      <c r="D1096" s="2" t="str">
        <f ca="1">IFERROR(__xludf.DUMMYFUNCTION("""COMPUTED_VALUE"""),"Dubai&gt;Dubai Harbour&gt;Sobha Seahaven&gt;Sobha Seahaven Tower B")</f>
        <v>Dubai&gt;Dubai Harbour&gt;Sobha Seahaven&gt;Sobha Seahaven Tower B</v>
      </c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</row>
    <row r="1097" spans="1:26" ht="16.5" x14ac:dyDescent="0.35">
      <c r="A1097" s="2" t="str">
        <f ca="1">IFERROR(__xludf.DUMMYFUNCTION("""COMPUTED_VALUE"""),"Dubai")</f>
        <v>Dubai</v>
      </c>
      <c r="B1097" s="2" t="str">
        <f ca="1">IFERROR(__xludf.DUMMYFUNCTION("""COMPUTED_VALUE"""),"Centaury")</f>
        <v>Centaury</v>
      </c>
      <c r="C1097" s="2" t="str">
        <f ca="1">IFERROR(__xludf.DUMMYFUNCTION("""COMPUTED_VALUE"""),"Neighbourhood")</f>
        <v>Neighbourhood</v>
      </c>
      <c r="D1097" s="2" t="str">
        <f ca="1">IFERROR(__xludf.DUMMYFUNCTION("""COMPUTED_VALUE"""),"Dubai&gt;DAMAC Hills 2 (Akoya by DAMAC)&gt;Centaury")</f>
        <v>Dubai&gt;DAMAC Hills 2 (Akoya by DAMAC)&gt;Centaury</v>
      </c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</row>
    <row r="1098" spans="1:26" ht="16.5" x14ac:dyDescent="0.35">
      <c r="A1098" s="2" t="str">
        <f ca="1">IFERROR(__xludf.DUMMYFUNCTION("""COMPUTED_VALUE"""),"Dubai")</f>
        <v>Dubai</v>
      </c>
      <c r="B1098" s="2" t="str">
        <f ca="1">IFERROR(__xludf.DUMMYFUNCTION("""COMPUTED_VALUE"""),"Casa Viva")</f>
        <v>Casa Viva</v>
      </c>
      <c r="C1098" s="2" t="str">
        <f ca="1">IFERROR(__xludf.DUMMYFUNCTION("""COMPUTED_VALUE"""),"Neighbourhood")</f>
        <v>Neighbourhood</v>
      </c>
      <c r="D1098" s="2" t="str">
        <f ca="1">IFERROR(__xludf.DUMMYFUNCTION("""COMPUTED_VALUE"""),"Dubai&gt;Serena&gt;Casa Viva")</f>
        <v>Dubai&gt;Serena&gt;Casa Viva</v>
      </c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</row>
    <row r="1099" spans="1:26" ht="16.5" x14ac:dyDescent="0.35">
      <c r="A1099" s="2" t="str">
        <f ca="1">IFERROR(__xludf.DUMMYFUNCTION("""COMPUTED_VALUE"""),"Dubai")</f>
        <v>Dubai</v>
      </c>
      <c r="B1099" s="2" t="str">
        <f ca="1">IFERROR(__xludf.DUMMYFUNCTION("""COMPUTED_VALUE"""),"G-01")</f>
        <v>G-01</v>
      </c>
      <c r="C1099" s="2" t="str">
        <f ca="1">IFERROR(__xludf.DUMMYFUNCTION("""COMPUTED_VALUE"""),"Building")</f>
        <v>Building</v>
      </c>
      <c r="D1099" s="2" t="str">
        <f ca="1">IFERROR(__xludf.DUMMYFUNCTION("""COMPUTED_VALUE"""),"Dubai&gt;International City&gt;Morocco Cluster&gt;G-01")</f>
        <v>Dubai&gt;International City&gt;Morocco Cluster&gt;G-01</v>
      </c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</row>
    <row r="1100" spans="1:26" ht="16.5" x14ac:dyDescent="0.35">
      <c r="A1100" s="2" t="str">
        <f ca="1">IFERROR(__xludf.DUMMYFUNCTION("""COMPUTED_VALUE"""),"Dubai")</f>
        <v>Dubai</v>
      </c>
      <c r="B1100" s="2" t="str">
        <f ca="1">IFERROR(__xludf.DUMMYFUNCTION("""COMPUTED_VALUE"""),"D-06")</f>
        <v>D-06</v>
      </c>
      <c r="C1100" s="2" t="str">
        <f ca="1">IFERROR(__xludf.DUMMYFUNCTION("""COMPUTED_VALUE"""),"Building")</f>
        <v>Building</v>
      </c>
      <c r="D1100" s="2" t="str">
        <f ca="1">IFERROR(__xludf.DUMMYFUNCTION("""COMPUTED_VALUE"""),"Dubai&gt;International City&gt;China Cluster&gt;D-06")</f>
        <v>Dubai&gt;International City&gt;China Cluster&gt;D-06</v>
      </c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</row>
    <row r="1101" spans="1:26" ht="16.5" x14ac:dyDescent="0.35">
      <c r="A1101" s="2" t="str">
        <f ca="1">IFERROR(__xludf.DUMMYFUNCTION("""COMPUTED_VALUE"""),"Dubai")</f>
        <v>Dubai</v>
      </c>
      <c r="B1101" s="2" t="str">
        <f ca="1">IFERROR(__xludf.DUMMYFUNCTION("""COMPUTED_VALUE"""),"C-06")</f>
        <v>C-06</v>
      </c>
      <c r="C1101" s="2" t="str">
        <f ca="1">IFERROR(__xludf.DUMMYFUNCTION("""COMPUTED_VALUE"""),"Building")</f>
        <v>Building</v>
      </c>
      <c r="D1101" s="2" t="str">
        <f ca="1">IFERROR(__xludf.DUMMYFUNCTION("""COMPUTED_VALUE"""),"Dubai&gt;International City&gt;China Cluster&gt;C-06")</f>
        <v>Dubai&gt;International City&gt;China Cluster&gt;C-06</v>
      </c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</row>
    <row r="1102" spans="1:26" ht="16.5" x14ac:dyDescent="0.35">
      <c r="A1102" s="2" t="str">
        <f ca="1">IFERROR(__xludf.DUMMYFUNCTION("""COMPUTED_VALUE"""),"Dubai")</f>
        <v>Dubai</v>
      </c>
      <c r="B1102" s="2" t="str">
        <f ca="1">IFERROR(__xludf.DUMMYFUNCTION("""COMPUTED_VALUE"""),"F-12")</f>
        <v>F-12</v>
      </c>
      <c r="C1102" s="2" t="str">
        <f ca="1">IFERROR(__xludf.DUMMYFUNCTION("""COMPUTED_VALUE"""),"Building")</f>
        <v>Building</v>
      </c>
      <c r="D1102" s="2" t="str">
        <f ca="1">IFERROR(__xludf.DUMMYFUNCTION("""COMPUTED_VALUE"""),"Dubai&gt;International City&gt;China Cluster&gt;F-12")</f>
        <v>Dubai&gt;International City&gt;China Cluster&gt;F-12</v>
      </c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</row>
    <row r="1103" spans="1:26" ht="16.5" x14ac:dyDescent="0.35">
      <c r="A1103" s="2" t="str">
        <f ca="1">IFERROR(__xludf.DUMMYFUNCTION("""COMPUTED_VALUE"""),"Dubai")</f>
        <v>Dubai</v>
      </c>
      <c r="B1103" s="2" t="str">
        <f ca="1">IFERROR(__xludf.DUMMYFUNCTION("""COMPUTED_VALUE"""),"T-04")</f>
        <v>T-04</v>
      </c>
      <c r="C1103" s="2" t="str">
        <f ca="1">IFERROR(__xludf.DUMMYFUNCTION("""COMPUTED_VALUE"""),"Building")</f>
        <v>Building</v>
      </c>
      <c r="D1103" s="2" t="str">
        <f ca="1">IFERROR(__xludf.DUMMYFUNCTION("""COMPUTED_VALUE"""),"Dubai&gt;International City&gt;Spain Cluster&gt;T-04")</f>
        <v>Dubai&gt;International City&gt;Spain Cluster&gt;T-04</v>
      </c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</row>
    <row r="1104" spans="1:26" ht="16.5" x14ac:dyDescent="0.35">
      <c r="A1104" s="2" t="str">
        <f ca="1">IFERROR(__xludf.DUMMYFUNCTION("""COMPUTED_VALUE"""),"Dubai")</f>
        <v>Dubai</v>
      </c>
      <c r="B1104" s="2" t="str">
        <f ca="1">IFERROR(__xludf.DUMMYFUNCTION("""COMPUTED_VALUE"""),"U-09")</f>
        <v>U-09</v>
      </c>
      <c r="C1104" s="2" t="str">
        <f ca="1">IFERROR(__xludf.DUMMYFUNCTION("""COMPUTED_VALUE"""),"Building")</f>
        <v>Building</v>
      </c>
      <c r="D1104" s="2" t="str">
        <f ca="1">IFERROR(__xludf.DUMMYFUNCTION("""COMPUTED_VALUE"""),"Dubai&gt;International City&gt;Italy Cluster&gt;U-09")</f>
        <v>Dubai&gt;International City&gt;Italy Cluster&gt;U-09</v>
      </c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</row>
    <row r="1105" spans="1:26" ht="16.5" x14ac:dyDescent="0.35">
      <c r="A1105" s="2" t="str">
        <f ca="1">IFERROR(__xludf.DUMMYFUNCTION("""COMPUTED_VALUE"""),"Dubai")</f>
        <v>Dubai</v>
      </c>
      <c r="B1105" s="2" t="str">
        <f ca="1">IFERROR(__xludf.DUMMYFUNCTION("""COMPUTED_VALUE"""),"V-13")</f>
        <v>V-13</v>
      </c>
      <c r="C1105" s="2" t="str">
        <f ca="1">IFERROR(__xludf.DUMMYFUNCTION("""COMPUTED_VALUE"""),"Building")</f>
        <v>Building</v>
      </c>
      <c r="D1105" s="2" t="str">
        <f ca="1">IFERROR(__xludf.DUMMYFUNCTION("""COMPUTED_VALUE"""),"Dubai&gt;International City&gt;Russia Cluster&gt;V-13")</f>
        <v>Dubai&gt;International City&gt;Russia Cluster&gt;V-13</v>
      </c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</row>
    <row r="1106" spans="1:26" ht="16.5" x14ac:dyDescent="0.35">
      <c r="A1106" s="2" t="str">
        <f ca="1">IFERROR(__xludf.DUMMYFUNCTION("""COMPUTED_VALUE"""),"Dubai")</f>
        <v>Dubai</v>
      </c>
      <c r="B1106" s="2" t="str">
        <f ca="1">IFERROR(__xludf.DUMMYFUNCTION("""COMPUTED_VALUE"""),"N-10")</f>
        <v>N-10</v>
      </c>
      <c r="C1106" s="2" t="str">
        <f ca="1">IFERROR(__xludf.DUMMYFUNCTION("""COMPUTED_VALUE"""),"Building")</f>
        <v>Building</v>
      </c>
      <c r="D1106" s="2" t="str">
        <f ca="1">IFERROR(__xludf.DUMMYFUNCTION("""COMPUTED_VALUE"""),"Dubai&gt;International City&gt;Persia Cluster&gt;N-10")</f>
        <v>Dubai&gt;International City&gt;Persia Cluster&gt;N-10</v>
      </c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</row>
    <row r="1107" spans="1:26" ht="16.5" x14ac:dyDescent="0.35">
      <c r="A1107" s="2" t="str">
        <f ca="1">IFERROR(__xludf.DUMMYFUNCTION("""COMPUTED_VALUE"""),"Dubai")</f>
        <v>Dubai</v>
      </c>
      <c r="B1107" s="2" t="str">
        <f ca="1">IFERROR(__xludf.DUMMYFUNCTION("""COMPUTED_VALUE"""),"EMR-07")</f>
        <v>EMR-07</v>
      </c>
      <c r="C1107" s="2" t="str">
        <f ca="1">IFERROR(__xludf.DUMMYFUNCTION("""COMPUTED_VALUE"""),"Building")</f>
        <v>Building</v>
      </c>
      <c r="D1107" s="2" t="str">
        <f ca="1">IFERROR(__xludf.DUMMYFUNCTION("""COMPUTED_VALUE"""),"Dubai&gt;International City&gt;Emirates Cluster&gt;EMR-07")</f>
        <v>Dubai&gt;International City&gt;Emirates Cluster&gt;EMR-07</v>
      </c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</row>
    <row r="1108" spans="1:26" ht="16.5" x14ac:dyDescent="0.35">
      <c r="A1108" s="2" t="str">
        <f ca="1">IFERROR(__xludf.DUMMYFUNCTION("""COMPUTED_VALUE"""),"Dubai")</f>
        <v>Dubai</v>
      </c>
      <c r="B1108" s="2" t="str">
        <f ca="1">IFERROR(__xludf.DUMMYFUNCTION("""COMPUTED_VALUE"""),"X-13")</f>
        <v>X-13</v>
      </c>
      <c r="C1108" s="2" t="str">
        <f ca="1">IFERROR(__xludf.DUMMYFUNCTION("""COMPUTED_VALUE"""),"Building")</f>
        <v>Building</v>
      </c>
      <c r="D1108" s="2" t="str">
        <f ca="1">IFERROR(__xludf.DUMMYFUNCTION("""COMPUTED_VALUE"""),"Dubai&gt;International City&gt;England Cluster&gt;X-13")</f>
        <v>Dubai&gt;International City&gt;England Cluster&gt;X-13</v>
      </c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</row>
    <row r="1109" spans="1:26" ht="16.5" x14ac:dyDescent="0.35">
      <c r="A1109" s="2" t="str">
        <f ca="1">IFERROR(__xludf.DUMMYFUNCTION("""COMPUTED_VALUE"""),"Dubai")</f>
        <v>Dubai</v>
      </c>
      <c r="B1109" s="2" t="str">
        <f ca="1">IFERROR(__xludf.DUMMYFUNCTION("""COMPUTED_VALUE"""),"Y-19")</f>
        <v>Y-19</v>
      </c>
      <c r="C1109" s="2" t="str">
        <f ca="1">IFERROR(__xludf.DUMMYFUNCTION("""COMPUTED_VALUE"""),"Building")</f>
        <v>Building</v>
      </c>
      <c r="D1109" s="2" t="str">
        <f ca="1">IFERROR(__xludf.DUMMYFUNCTION("""COMPUTED_VALUE"""),"Dubai&gt;International City&gt;England Cluster&gt;Y-19")</f>
        <v>Dubai&gt;International City&gt;England Cluster&gt;Y-19</v>
      </c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</row>
    <row r="1110" spans="1:26" ht="16.5" x14ac:dyDescent="0.35">
      <c r="A1110" s="2" t="str">
        <f ca="1">IFERROR(__xludf.DUMMYFUNCTION("""COMPUTED_VALUE"""),"Dubai")</f>
        <v>Dubai</v>
      </c>
      <c r="B1110" s="2" t="str">
        <f ca="1">IFERROR(__xludf.DUMMYFUNCTION("""COMPUTED_VALUE"""),"Al Helal Al Zahby 2 Building")</f>
        <v>Al Helal Al Zahby 2 Building</v>
      </c>
      <c r="C1110" s="2" t="str">
        <f ca="1">IFERROR(__xludf.DUMMYFUNCTION("""COMPUTED_VALUE"""),"Building")</f>
        <v>Building</v>
      </c>
      <c r="D1110" s="2" t="str">
        <f ca="1">IFERROR(__xludf.DUMMYFUNCTION("""COMPUTED_VALUE"""),"Dubai&gt;International City&gt;International City Phase 2 (Warsan 4)&gt;Al Helal Al Zahby 2 Building")</f>
        <v>Dubai&gt;International City&gt;International City Phase 2 (Warsan 4)&gt;Al Helal Al Zahby 2 Building</v>
      </c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</row>
    <row r="1111" spans="1:26" ht="16.5" x14ac:dyDescent="0.35">
      <c r="A1111" s="2" t="str">
        <f ca="1">IFERROR(__xludf.DUMMYFUNCTION("""COMPUTED_VALUE"""),"Dubai")</f>
        <v>Dubai</v>
      </c>
      <c r="B1111" s="2" t="str">
        <f ca="1">IFERROR(__xludf.DUMMYFUNCTION("""COMPUTED_VALUE"""),"Al Jawzaa Block B")</f>
        <v>Al Jawzaa Block B</v>
      </c>
      <c r="C1111" s="2" t="str">
        <f ca="1">IFERROR(__xludf.DUMMYFUNCTION("""COMPUTED_VALUE"""),"Building")</f>
        <v>Building</v>
      </c>
      <c r="D1111" s="2" t="str">
        <f ca="1">IFERROR(__xludf.DUMMYFUNCTION("""COMPUTED_VALUE"""),"Dubai&gt;International City&gt;International City Phase 2 (Warsan 4)&gt;Al Jawzaa&gt;Al Jawzaa Block B")</f>
        <v>Dubai&gt;International City&gt;International City Phase 2 (Warsan 4)&gt;Al Jawzaa&gt;Al Jawzaa Block B</v>
      </c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</row>
    <row r="1112" spans="1:26" ht="16.5" x14ac:dyDescent="0.35">
      <c r="A1112" s="2" t="str">
        <f ca="1">IFERROR(__xludf.DUMMYFUNCTION("""COMPUTED_VALUE"""),"Dubai")</f>
        <v>Dubai</v>
      </c>
      <c r="B1112" s="2" t="str">
        <f ca="1">IFERROR(__xludf.DUMMYFUNCTION("""COMPUTED_VALUE"""),"BNH Tower 3")</f>
        <v>BNH Tower 3</v>
      </c>
      <c r="C1112" s="2" t="str">
        <f ca="1">IFERROR(__xludf.DUMMYFUNCTION("""COMPUTED_VALUE"""),"Building")</f>
        <v>Building</v>
      </c>
      <c r="D1112" s="2" t="str">
        <f ca="1">IFERROR(__xludf.DUMMYFUNCTION("""COMPUTED_VALUE"""),"Dubai&gt;International City&gt;International City Phase 2 (Warsan 4)&gt;BNH Tower 3")</f>
        <v>Dubai&gt;International City&gt;International City Phase 2 (Warsan 4)&gt;BNH Tower 3</v>
      </c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</row>
    <row r="1113" spans="1:26" ht="16.5" x14ac:dyDescent="0.35">
      <c r="A1113" s="2" t="str">
        <f ca="1">IFERROR(__xludf.DUMMYFUNCTION("""COMPUTED_VALUE"""),"Dubai")</f>
        <v>Dubai</v>
      </c>
      <c r="B1113" s="2" t="str">
        <f ca="1">IFERROR(__xludf.DUMMYFUNCTION("""COMPUTED_VALUE"""),"The Maiden Residence")</f>
        <v>The Maiden Residence</v>
      </c>
      <c r="C1113" s="2" t="str">
        <f ca="1">IFERROR(__xludf.DUMMYFUNCTION("""COMPUTED_VALUE"""),"Building")</f>
        <v>Building</v>
      </c>
      <c r="D1113" s="2" t="str">
        <f ca="1">IFERROR(__xludf.DUMMYFUNCTION("""COMPUTED_VALUE"""),"Dubai&gt;International City&gt;International City Phase 2 (Warsan 4)&gt;The Maiden Residence")</f>
        <v>Dubai&gt;International City&gt;International City Phase 2 (Warsan 4)&gt;The Maiden Residence</v>
      </c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</row>
    <row r="1114" spans="1:26" ht="16.5" x14ac:dyDescent="0.35">
      <c r="A1114" s="2" t="str">
        <f ca="1">IFERROR(__xludf.DUMMYFUNCTION("""COMPUTED_VALUE"""),"Dubai")</f>
        <v>Dubai</v>
      </c>
      <c r="B1114" s="2" t="str">
        <f ca="1">IFERROR(__xludf.DUMMYFUNCTION("""COMPUTED_VALUE"""),"Siham Building")</f>
        <v>Siham Building</v>
      </c>
      <c r="C1114" s="2" t="str">
        <f ca="1">IFERROR(__xludf.DUMMYFUNCTION("""COMPUTED_VALUE"""),"Building")</f>
        <v>Building</v>
      </c>
      <c r="D1114" s="2" t="str">
        <f ca="1">IFERROR(__xludf.DUMMYFUNCTION("""COMPUTED_VALUE"""),"Dubai&gt;International City&gt;International City Phase 2 (Warsan 4)&gt;Siham Building")</f>
        <v>Dubai&gt;International City&gt;International City Phase 2 (Warsan 4)&gt;Siham Building</v>
      </c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</row>
    <row r="1115" spans="1:26" ht="16.5" x14ac:dyDescent="0.35">
      <c r="A1115" s="2" t="str">
        <f ca="1">IFERROR(__xludf.DUMMYFUNCTION("""COMPUTED_VALUE"""),"Dubai")</f>
        <v>Dubai</v>
      </c>
      <c r="B1115" s="2" t="str">
        <f ca="1">IFERROR(__xludf.DUMMYFUNCTION("""COMPUTED_VALUE"""),"L-14")</f>
        <v>L-14</v>
      </c>
      <c r="C1115" s="2" t="str">
        <f ca="1">IFERROR(__xludf.DUMMYFUNCTION("""COMPUTED_VALUE"""),"Building")</f>
        <v>Building</v>
      </c>
      <c r="D1115" s="2" t="str">
        <f ca="1">IFERROR(__xludf.DUMMYFUNCTION("""COMPUTED_VALUE"""),"Dubai&gt;International City&gt;Greece Cluster&gt;L-14")</f>
        <v>Dubai&gt;International City&gt;Greece Cluster&gt;L-14</v>
      </c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</row>
    <row r="1116" spans="1:26" ht="16.5" x14ac:dyDescent="0.35">
      <c r="A1116" s="2" t="str">
        <f ca="1">IFERROR(__xludf.DUMMYFUNCTION("""COMPUTED_VALUE"""),"Dubai")</f>
        <v>Dubai</v>
      </c>
      <c r="B1116" s="2" t="str">
        <f ca="1">IFERROR(__xludf.DUMMYFUNCTION("""COMPUTED_VALUE"""),"P-24")</f>
        <v>P-24</v>
      </c>
      <c r="C1116" s="2" t="str">
        <f ca="1">IFERROR(__xludf.DUMMYFUNCTION("""COMPUTED_VALUE"""),"Building")</f>
        <v>Building</v>
      </c>
      <c r="D1116" s="2" t="str">
        <f ca="1">IFERROR(__xludf.DUMMYFUNCTION("""COMPUTED_VALUE"""),"Dubai&gt;International City&gt;France Cluster&gt;P-24")</f>
        <v>Dubai&gt;International City&gt;France Cluster&gt;P-24</v>
      </c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</row>
    <row r="1117" spans="1:26" ht="16.5" x14ac:dyDescent="0.35">
      <c r="A1117" s="2" t="str">
        <f ca="1">IFERROR(__xludf.DUMMYFUNCTION("""COMPUTED_VALUE"""),"Dubai")</f>
        <v>Dubai</v>
      </c>
      <c r="B1117" s="2" t="str">
        <f ca="1">IFERROR(__xludf.DUMMYFUNCTION("""COMPUTED_VALUE"""),"Q-08")</f>
        <v>Q-08</v>
      </c>
      <c r="C1117" s="2" t="str">
        <f ca="1">IFERROR(__xludf.DUMMYFUNCTION("""COMPUTED_VALUE"""),"Building")</f>
        <v>Building</v>
      </c>
      <c r="D1117" s="2" t="str">
        <f ca="1">IFERROR(__xludf.DUMMYFUNCTION("""COMPUTED_VALUE"""),"Dubai&gt;International City&gt;France Cluster&gt;Q-08")</f>
        <v>Dubai&gt;International City&gt;France Cluster&gt;Q-08</v>
      </c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</row>
    <row r="1118" spans="1:26" ht="16.5" x14ac:dyDescent="0.35">
      <c r="A1118" s="2" t="str">
        <f ca="1">IFERROR(__xludf.DUMMYFUNCTION("""COMPUTED_VALUE"""),"Dubai")</f>
        <v>Dubai</v>
      </c>
      <c r="B1118" s="2" t="str">
        <f ca="1">IFERROR(__xludf.DUMMYFUNCTION("""COMPUTED_VALUE"""),"HDS Sunstar 1")</f>
        <v>HDS Sunstar 1</v>
      </c>
      <c r="C1118" s="2" t="str">
        <f ca="1">IFERROR(__xludf.DUMMYFUNCTION("""COMPUTED_VALUE"""),"Building")</f>
        <v>Building</v>
      </c>
      <c r="D1118" s="2" t="str">
        <f ca="1">IFERROR(__xludf.DUMMYFUNCTION("""COMPUTED_VALUE"""),"Dubai&gt;International City&gt;Central Business District&gt;HDS Sunstar 1")</f>
        <v>Dubai&gt;International City&gt;Central Business District&gt;HDS Sunstar 1</v>
      </c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</row>
    <row r="1119" spans="1:26" ht="16.5" x14ac:dyDescent="0.35">
      <c r="A1119" s="2" t="str">
        <f ca="1">IFERROR(__xludf.DUMMYFUNCTION("""COMPUTED_VALUE"""),"Dubai")</f>
        <v>Dubai</v>
      </c>
      <c r="B1119" s="2" t="str">
        <f ca="1">IFERROR(__xludf.DUMMYFUNCTION("""COMPUTED_VALUE"""),"Lusin Residences by Ermax Development")</f>
        <v>Lusin Residences by Ermax Development</v>
      </c>
      <c r="C1119" s="2" t="str">
        <f ca="1">IFERROR(__xludf.DUMMYFUNCTION("""COMPUTED_VALUE"""),"Building")</f>
        <v>Building</v>
      </c>
      <c r="D1119" s="2" t="str">
        <f ca="1">IFERROR(__xludf.DUMMYFUNCTION("""COMPUTED_VALUE"""),"Dubai&gt;International City&gt;Lusin Residences by Ermax Development")</f>
        <v>Dubai&gt;International City&gt;Lusin Residences by Ermax Development</v>
      </c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</row>
    <row r="1120" spans="1:26" ht="16.5" x14ac:dyDescent="0.35">
      <c r="A1120" s="2" t="str">
        <f ca="1">IFERROR(__xludf.DUMMYFUNCTION("""COMPUTED_VALUE"""),"Dubai")</f>
        <v>Dubai</v>
      </c>
      <c r="B1120" s="2" t="str">
        <f ca="1">IFERROR(__xludf.DUMMYFUNCTION("""COMPUTED_VALUE"""),"Atlantic Tower 1")</f>
        <v>Atlantic Tower 1</v>
      </c>
      <c r="C1120" s="2" t="str">
        <f ca="1">IFERROR(__xludf.DUMMYFUNCTION("""COMPUTED_VALUE"""),"Building")</f>
        <v>Building</v>
      </c>
      <c r="D1120" s="2" t="str">
        <f ca="1">IFERROR(__xludf.DUMMYFUNCTION("""COMPUTED_VALUE"""),"Dubai&gt;Dubai Marina&gt;The Atlantic&gt;Atlantic Tower 1")</f>
        <v>Dubai&gt;Dubai Marina&gt;The Atlantic&gt;Atlantic Tower 1</v>
      </c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</row>
    <row r="1121" spans="1:26" ht="16.5" x14ac:dyDescent="0.35">
      <c r="A1121" s="2" t="str">
        <f ca="1">IFERROR(__xludf.DUMMYFUNCTION("""COMPUTED_VALUE"""),"Dubai")</f>
        <v>Dubai</v>
      </c>
      <c r="B1121" s="2" t="str">
        <f ca="1">IFERROR(__xludf.DUMMYFUNCTION("""COMPUTED_VALUE"""),"InterContinental Dubai Marina")</f>
        <v>InterContinental Dubai Marina</v>
      </c>
      <c r="C1121" s="2" t="str">
        <f ca="1">IFERROR(__xludf.DUMMYFUNCTION("""COMPUTED_VALUE"""),"Building")</f>
        <v>Building</v>
      </c>
      <c r="D1121" s="2" t="str">
        <f ca="1">IFERROR(__xludf.DUMMYFUNCTION("""COMPUTED_VALUE"""),"Dubai&gt;Dubai Marina&gt;InterContinental Dubai Marina")</f>
        <v>Dubai&gt;Dubai Marina&gt;InterContinental Dubai Marina</v>
      </c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</row>
    <row r="1122" spans="1:26" ht="16.5" x14ac:dyDescent="0.35">
      <c r="A1122" s="2" t="str">
        <f ca="1">IFERROR(__xludf.DUMMYFUNCTION("""COMPUTED_VALUE"""),"Dubai")</f>
        <v>Dubai</v>
      </c>
      <c r="B1122" s="2" t="str">
        <f ca="1">IFERROR(__xludf.DUMMYFUNCTION("""COMPUTED_VALUE"""),"Marina 101")</f>
        <v>Marina 101</v>
      </c>
      <c r="C1122" s="2" t="str">
        <f ca="1">IFERROR(__xludf.DUMMYFUNCTION("""COMPUTED_VALUE"""),"Building")</f>
        <v>Building</v>
      </c>
      <c r="D1122" s="2" t="str">
        <f ca="1">IFERROR(__xludf.DUMMYFUNCTION("""COMPUTED_VALUE"""),"Dubai&gt;Dubai Marina&gt;Marina 101")</f>
        <v>Dubai&gt;Dubai Marina&gt;Marina 101</v>
      </c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</row>
    <row r="1123" spans="1:26" ht="16.5" x14ac:dyDescent="0.35">
      <c r="A1123" s="2" t="str">
        <f ca="1">IFERROR(__xludf.DUMMYFUNCTION("""COMPUTED_VALUE"""),"Dubai")</f>
        <v>Dubai</v>
      </c>
      <c r="B1123" s="2" t="str">
        <f ca="1">IFERROR(__xludf.DUMMYFUNCTION("""COMPUTED_VALUE"""),"DEC Tower 2")</f>
        <v>DEC Tower 2</v>
      </c>
      <c r="C1123" s="2" t="str">
        <f ca="1">IFERROR(__xludf.DUMMYFUNCTION("""COMPUTED_VALUE"""),"Building")</f>
        <v>Building</v>
      </c>
      <c r="D1123" s="2" t="str">
        <f ca="1">IFERROR(__xludf.DUMMYFUNCTION("""COMPUTED_VALUE"""),"Dubai&gt;Dubai Marina&gt;DEC Towers&gt;DEC Tower 2")</f>
        <v>Dubai&gt;Dubai Marina&gt;DEC Towers&gt;DEC Tower 2</v>
      </c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</row>
    <row r="1124" spans="1:26" ht="16.5" x14ac:dyDescent="0.35">
      <c r="A1124" s="2" t="str">
        <f ca="1">IFERROR(__xludf.DUMMYFUNCTION("""COMPUTED_VALUE"""),"Dubai")</f>
        <v>Dubai</v>
      </c>
      <c r="B1124" s="2" t="str">
        <f ca="1">IFERROR(__xludf.DUMMYFUNCTION("""COMPUTED_VALUE"""),"Marina Byblos Hotel")</f>
        <v>Marina Byblos Hotel</v>
      </c>
      <c r="C1124" s="2" t="str">
        <f ca="1">IFERROR(__xludf.DUMMYFUNCTION("""COMPUTED_VALUE"""),"Building")</f>
        <v>Building</v>
      </c>
      <c r="D1124" s="2" t="str">
        <f ca="1">IFERROR(__xludf.DUMMYFUNCTION("""COMPUTED_VALUE"""),"Dubai&gt;Dubai Marina&gt;Marina Byblos Hotel")</f>
        <v>Dubai&gt;Dubai Marina&gt;Marina Byblos Hotel</v>
      </c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</row>
    <row r="1125" spans="1:26" ht="16.5" x14ac:dyDescent="0.35">
      <c r="A1125" s="2" t="str">
        <f ca="1">IFERROR(__xludf.DUMMYFUNCTION("""COMPUTED_VALUE"""),"Dubai")</f>
        <v>Dubai</v>
      </c>
      <c r="B1125" s="2" t="str">
        <f ca="1">IFERROR(__xludf.DUMMYFUNCTION("""COMPUTED_VALUE"""),"Wyndham Dubai Marina TFG")</f>
        <v>Wyndham Dubai Marina TFG</v>
      </c>
      <c r="C1125" s="2" t="str">
        <f ca="1">IFERROR(__xludf.DUMMYFUNCTION("""COMPUTED_VALUE"""),"Building")</f>
        <v>Building</v>
      </c>
      <c r="D1125" s="2" t="str">
        <f ca="1">IFERROR(__xludf.DUMMYFUNCTION("""COMPUTED_VALUE"""),"Dubai&gt;Dubai Marina&gt;Wyndham Dubai Marina TFG")</f>
        <v>Dubai&gt;Dubai Marina&gt;Wyndham Dubai Marina TFG</v>
      </c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</row>
    <row r="1126" spans="1:26" ht="16.5" x14ac:dyDescent="0.35">
      <c r="A1126" s="2" t="str">
        <f ca="1">IFERROR(__xludf.DUMMYFUNCTION("""COMPUTED_VALUE"""),"Dubai")</f>
        <v>Dubai</v>
      </c>
      <c r="B1126" s="2" t="str">
        <f ca="1">IFERROR(__xludf.DUMMYFUNCTION("""COMPUTED_VALUE"""),"Rove Home Dubai Marina")</f>
        <v>Rove Home Dubai Marina</v>
      </c>
      <c r="C1126" s="2" t="str">
        <f ca="1">IFERROR(__xludf.DUMMYFUNCTION("""COMPUTED_VALUE"""),"Building")</f>
        <v>Building</v>
      </c>
      <c r="D1126" s="2" t="str">
        <f ca="1">IFERROR(__xludf.DUMMYFUNCTION("""COMPUTED_VALUE"""),"Dubai&gt;Dubai Marina&gt;Rove Home Dubai Marina")</f>
        <v>Dubai&gt;Dubai Marina&gt;Rove Home Dubai Marina</v>
      </c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</row>
    <row r="1127" spans="1:26" ht="16.5" x14ac:dyDescent="0.35">
      <c r="A1127" s="2" t="str">
        <f ca="1">IFERROR(__xludf.DUMMYFUNCTION("""COMPUTED_VALUE"""),"Dubai")</f>
        <v>Dubai</v>
      </c>
      <c r="B1127" s="2" t="str">
        <f ca="1">IFERROR(__xludf.DUMMYFUNCTION("""COMPUTED_VALUE"""),"Sama Townhouses")</f>
        <v>Sama Townhouses</v>
      </c>
      <c r="C1127" s="2" t="str">
        <f ca="1">IFERROR(__xludf.DUMMYFUNCTION("""COMPUTED_VALUE"""),"Neighbourhood")</f>
        <v>Neighbourhood</v>
      </c>
      <c r="D1127" s="2" t="str">
        <f ca="1">IFERROR(__xludf.DUMMYFUNCTION("""COMPUTED_VALUE"""),"Dubai&gt;Town Square&gt;Sama Townhouses")</f>
        <v>Dubai&gt;Town Square&gt;Sama Townhouses</v>
      </c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</row>
    <row r="1128" spans="1:26" ht="16.5" x14ac:dyDescent="0.35">
      <c r="A1128" s="2" t="str">
        <f ca="1">IFERROR(__xludf.DUMMYFUNCTION("""COMPUTED_VALUE"""),"Dubai")</f>
        <v>Dubai</v>
      </c>
      <c r="B1128" s="2" t="str">
        <f ca="1">IFERROR(__xludf.DUMMYFUNCTION("""COMPUTED_VALUE"""),"Zahra Apartments 1A")</f>
        <v>Zahra Apartments 1A</v>
      </c>
      <c r="C1128" s="2" t="str">
        <f ca="1">IFERROR(__xludf.DUMMYFUNCTION("""COMPUTED_VALUE"""),"Building")</f>
        <v>Building</v>
      </c>
      <c r="D1128" s="2" t="str">
        <f ca="1">IFERROR(__xludf.DUMMYFUNCTION("""COMPUTED_VALUE"""),"Dubai&gt;Town Square&gt;Zahra Apartments&gt;Zahra Apartments 1A")</f>
        <v>Dubai&gt;Town Square&gt;Zahra Apartments&gt;Zahra Apartments 1A</v>
      </c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</row>
    <row r="1129" spans="1:26" ht="16.5" x14ac:dyDescent="0.35">
      <c r="A1129" s="2" t="str">
        <f ca="1">IFERROR(__xludf.DUMMYFUNCTION("""COMPUTED_VALUE"""),"Dubai")</f>
        <v>Dubai</v>
      </c>
      <c r="B1129" s="2" t="str">
        <f ca="1">IFERROR(__xludf.DUMMYFUNCTION("""COMPUTED_VALUE"""),"Fiori")</f>
        <v>Fiori</v>
      </c>
      <c r="C1129" s="2" t="str">
        <f ca="1">IFERROR(__xludf.DUMMYFUNCTION("""COMPUTED_VALUE"""),"Building")</f>
        <v>Building</v>
      </c>
      <c r="D1129" s="2" t="str">
        <f ca="1">IFERROR(__xludf.DUMMYFUNCTION("""COMPUTED_VALUE"""),"Dubai&gt;Town Square&gt;Fiori")</f>
        <v>Dubai&gt;Town Square&gt;Fiori</v>
      </c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</row>
    <row r="1130" spans="1:26" ht="16.5" x14ac:dyDescent="0.35">
      <c r="A1130" s="2" t="str">
        <f ca="1">IFERROR(__xludf.DUMMYFUNCTION("""COMPUTED_VALUE"""),"Dubai")</f>
        <v>Dubai</v>
      </c>
      <c r="B1130" s="2" t="str">
        <f ca="1">IFERROR(__xludf.DUMMYFUNCTION("""COMPUTED_VALUE"""),"Freej Residence")</f>
        <v>Freej Residence</v>
      </c>
      <c r="C1130" s="2" t="str">
        <f ca="1">IFERROR(__xludf.DUMMYFUNCTION("""COMPUTED_VALUE"""),"Building")</f>
        <v>Building</v>
      </c>
      <c r="D1130" s="2" t="str">
        <f ca="1">IFERROR(__xludf.DUMMYFUNCTION("""COMPUTED_VALUE"""),"Dubai&gt;Al Furjan&gt;Freej Residence")</f>
        <v>Dubai&gt;Al Furjan&gt;Freej Residence</v>
      </c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</row>
    <row r="1131" spans="1:26" ht="16.5" x14ac:dyDescent="0.35">
      <c r="A1131" s="2" t="str">
        <f ca="1">IFERROR(__xludf.DUMMYFUNCTION("""COMPUTED_VALUE"""),"Dubai")</f>
        <v>Dubai</v>
      </c>
      <c r="B1131" s="2" t="str">
        <f ca="1">IFERROR(__xludf.DUMMYFUNCTION("""COMPUTED_VALUE"""),"Glamz Residence Tower 2")</f>
        <v>Glamz Residence Tower 2</v>
      </c>
      <c r="C1131" s="2" t="str">
        <f ca="1">IFERROR(__xludf.DUMMYFUNCTION("""COMPUTED_VALUE"""),"Building")</f>
        <v>Building</v>
      </c>
      <c r="D1131" s="2" t="str">
        <f ca="1">IFERROR(__xludf.DUMMYFUNCTION("""COMPUTED_VALUE"""),"Dubai&gt;Al Furjan&gt;Glamz by Danube&gt;Glamz Residence Tower 2")</f>
        <v>Dubai&gt;Al Furjan&gt;Glamz by Danube&gt;Glamz Residence Tower 2</v>
      </c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</row>
    <row r="1132" spans="1:26" ht="16.5" x14ac:dyDescent="0.35">
      <c r="A1132" s="2" t="str">
        <f ca="1">IFERROR(__xludf.DUMMYFUNCTION("""COMPUTED_VALUE"""),"Dubai")</f>
        <v>Dubai</v>
      </c>
      <c r="B1132" s="2" t="str">
        <f ca="1">IFERROR(__xludf.DUMMYFUNCTION("""COMPUTED_VALUE"""),"HE Villas")</f>
        <v>HE Villas</v>
      </c>
      <c r="C1132" s="2" t="str">
        <f ca="1">IFERROR(__xludf.DUMMYFUNCTION("""COMPUTED_VALUE"""),"Neighbourhood")</f>
        <v>Neighbourhood</v>
      </c>
      <c r="D1132" s="2" t="str">
        <f ca="1">IFERROR(__xludf.DUMMYFUNCTION("""COMPUTED_VALUE"""),"Dubai&gt;Al Furjan&gt;HE Villas")</f>
        <v>Dubai&gt;Al Furjan&gt;HE Villas</v>
      </c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</row>
    <row r="1133" spans="1:26" ht="16.5" x14ac:dyDescent="0.35">
      <c r="A1133" s="2" t="str">
        <f ca="1">IFERROR(__xludf.DUMMYFUNCTION("""COMPUTED_VALUE"""),"Dubai")</f>
        <v>Dubai</v>
      </c>
      <c r="B1133" s="2" t="str">
        <f ca="1">IFERROR(__xludf.DUMMYFUNCTION("""COMPUTED_VALUE"""),"Sepco 3 Residence 1")</f>
        <v>Sepco 3 Residence 1</v>
      </c>
      <c r="C1133" s="2" t="str">
        <f ca="1">IFERROR(__xludf.DUMMYFUNCTION("""COMPUTED_VALUE"""),"Building")</f>
        <v>Building</v>
      </c>
      <c r="D1133" s="2" t="str">
        <f ca="1">IFERROR(__xludf.DUMMYFUNCTION("""COMPUTED_VALUE"""),"Dubai&gt;Al Furjan&gt;Sepco 3 Residence 1")</f>
        <v>Dubai&gt;Al Furjan&gt;Sepco 3 Residence 1</v>
      </c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</row>
    <row r="1134" spans="1:26" ht="16.5" x14ac:dyDescent="0.35">
      <c r="A1134" s="2" t="str">
        <f ca="1">IFERROR(__xludf.DUMMYFUNCTION("""COMPUTED_VALUE"""),"Dubai")</f>
        <v>Dubai</v>
      </c>
      <c r="B1134" s="2" t="str">
        <f ca="1">IFERROR(__xludf.DUMMYFUNCTION("""COMPUTED_VALUE"""),"Azizi Amir")</f>
        <v>Azizi Amir</v>
      </c>
      <c r="C1134" s="2" t="str">
        <f ca="1">IFERROR(__xludf.DUMMYFUNCTION("""COMPUTED_VALUE"""),"Building")</f>
        <v>Building</v>
      </c>
      <c r="D1134" s="2" t="str">
        <f ca="1">IFERROR(__xludf.DUMMYFUNCTION("""COMPUTED_VALUE"""),"Dubai&gt;Al Furjan&gt;Azizi Amir")</f>
        <v>Dubai&gt;Al Furjan&gt;Azizi Amir</v>
      </c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</row>
    <row r="1135" spans="1:26" ht="16.5" x14ac:dyDescent="0.35">
      <c r="A1135" s="2" t="str">
        <f ca="1">IFERROR(__xludf.DUMMYFUNCTION("""COMPUTED_VALUE"""),"Dubai")</f>
        <v>Dubai</v>
      </c>
      <c r="B1135" s="2" t="str">
        <f ca="1">IFERROR(__xludf.DUMMYFUNCTION("""COMPUTED_VALUE"""),"Azizi Riviera 37")</f>
        <v>Azizi Riviera 37</v>
      </c>
      <c r="C1135" s="2" t="str">
        <f ca="1">IFERROR(__xludf.DUMMYFUNCTION("""COMPUTED_VALUE"""),"Building")</f>
        <v>Building</v>
      </c>
      <c r="D1135" s="2" t="str">
        <f ca="1">IFERROR(__xludf.DUMMYFUNCTION("""COMPUTED_VALUE"""),"Dubai&gt;Meydan City&gt;Meydan One&gt;Azizi Riviera&gt;Azizi Riviera 37")</f>
        <v>Dubai&gt;Meydan City&gt;Meydan One&gt;Azizi Riviera&gt;Azizi Riviera 37</v>
      </c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</row>
    <row r="1136" spans="1:26" ht="16.5" x14ac:dyDescent="0.35">
      <c r="A1136" s="2" t="str">
        <f ca="1">IFERROR(__xludf.DUMMYFUNCTION("""COMPUTED_VALUE"""),"Dubai")</f>
        <v>Dubai</v>
      </c>
      <c r="B1136" s="2" t="str">
        <f ca="1">IFERROR(__xludf.DUMMYFUNCTION("""COMPUTED_VALUE"""),"Riviera Beachfront")</f>
        <v>Riviera Beachfront</v>
      </c>
      <c r="C1136" s="2" t="str">
        <f ca="1">IFERROR(__xludf.DUMMYFUNCTION("""COMPUTED_VALUE"""),"Cluster")</f>
        <v>Cluster</v>
      </c>
      <c r="D1136" s="2" t="str">
        <f ca="1">IFERROR(__xludf.DUMMYFUNCTION("""COMPUTED_VALUE"""),"Dubai&gt;Meydan City&gt;Meydan One&gt;Azizi Riviera&gt;Riviera Beachfront")</f>
        <v>Dubai&gt;Meydan City&gt;Meydan One&gt;Azizi Riviera&gt;Riviera Beachfront</v>
      </c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</row>
    <row r="1137" spans="1:26" ht="16.5" x14ac:dyDescent="0.35">
      <c r="A1137" s="2" t="str">
        <f ca="1">IFERROR(__xludf.DUMMYFUNCTION("""COMPUTED_VALUE"""),"Dubai")</f>
        <v>Dubai</v>
      </c>
      <c r="B1137" s="2" t="str">
        <f ca="1">IFERROR(__xludf.DUMMYFUNCTION("""COMPUTED_VALUE"""),"Azizi Riviera 50")</f>
        <v>Azizi Riviera 50</v>
      </c>
      <c r="C1137" s="2" t="str">
        <f ca="1">IFERROR(__xludf.DUMMYFUNCTION("""COMPUTED_VALUE"""),"Building")</f>
        <v>Building</v>
      </c>
      <c r="D1137" s="2" t="str">
        <f ca="1">IFERROR(__xludf.DUMMYFUNCTION("""COMPUTED_VALUE"""),"Dubai&gt;Meydan City&gt;Meydan One&gt;Azizi Riviera&gt;Azizi Riviera 50")</f>
        <v>Dubai&gt;Meydan City&gt;Meydan One&gt;Azizi Riviera&gt;Azizi Riviera 50</v>
      </c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</row>
    <row r="1138" spans="1:26" ht="16.5" x14ac:dyDescent="0.35">
      <c r="A1138" s="2" t="str">
        <f ca="1">IFERROR(__xludf.DUMMYFUNCTION("""COMPUTED_VALUE"""),"Dubai")</f>
        <v>Dubai</v>
      </c>
      <c r="B1138" s="2" t="str">
        <f ca="1">IFERROR(__xludf.DUMMYFUNCTION("""COMPUTED_VALUE"""),"Polo Residence B3")</f>
        <v>Polo Residence B3</v>
      </c>
      <c r="C1138" s="2" t="str">
        <f ca="1">IFERROR(__xludf.DUMMYFUNCTION("""COMPUTED_VALUE"""),"Building")</f>
        <v>Building</v>
      </c>
      <c r="D1138" s="2" t="str">
        <f ca="1">IFERROR(__xludf.DUMMYFUNCTION("""COMPUTED_VALUE"""),"Dubai&gt;Meydan City&gt;Meydan Avenue&gt;Polo Residence&gt;Polo Residence B3")</f>
        <v>Dubai&gt;Meydan City&gt;Meydan Avenue&gt;Polo Residence&gt;Polo Residence B3</v>
      </c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</row>
    <row r="1139" spans="1:26" ht="16.5" x14ac:dyDescent="0.35">
      <c r="A1139" s="2" t="str">
        <f ca="1">IFERROR(__xludf.DUMMYFUNCTION("""COMPUTED_VALUE"""),"Dubai")</f>
        <v>Dubai</v>
      </c>
      <c r="B1139" s="2" t="str">
        <f ca="1">IFERROR(__xludf.DUMMYFUNCTION("""COMPUTED_VALUE"""),"DMS Two")</f>
        <v>DMS Two</v>
      </c>
      <c r="C1139" s="2" t="str">
        <f ca="1">IFERROR(__xludf.DUMMYFUNCTION("""COMPUTED_VALUE"""),"Building")</f>
        <v>Building</v>
      </c>
      <c r="D1139" s="2" t="str">
        <f ca="1">IFERROR(__xludf.DUMMYFUNCTION("""COMPUTED_VALUE"""),"Dubai&gt;Meydan City&gt;Meydan Avenue&gt;DMS Two")</f>
        <v>Dubai&gt;Meydan City&gt;Meydan Avenue&gt;DMS Two</v>
      </c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</row>
    <row r="1140" spans="1:26" ht="16.5" x14ac:dyDescent="0.35">
      <c r="A1140" s="2" t="str">
        <f ca="1">IFERROR(__xludf.DUMMYFUNCTION("""COMPUTED_VALUE"""),"Dubai")</f>
        <v>Dubai</v>
      </c>
      <c r="B1140" s="2" t="str">
        <f ca="1">IFERROR(__xludf.DUMMYFUNCTION("""COMPUTED_VALUE"""),"Al Nakheel 1")</f>
        <v>Al Nakheel 1</v>
      </c>
      <c r="C1140" s="2" t="str">
        <f ca="1">IFERROR(__xludf.DUMMYFUNCTION("""COMPUTED_VALUE"""),"Building")</f>
        <v>Building</v>
      </c>
      <c r="D1140" s="2" t="str">
        <f ca="1">IFERROR(__xludf.DUMMYFUNCTION("""COMPUTED_VALUE"""),"Dubai&gt;The Greens&gt;Al Nakheel&gt;Al Nakheel 1")</f>
        <v>Dubai&gt;The Greens&gt;Al Nakheel&gt;Al Nakheel 1</v>
      </c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</row>
    <row r="1141" spans="1:26" ht="16.5" x14ac:dyDescent="0.35">
      <c r="A1141" s="2" t="str">
        <f ca="1">IFERROR(__xludf.DUMMYFUNCTION("""COMPUTED_VALUE"""),"Dubai")</f>
        <v>Dubai</v>
      </c>
      <c r="B1141" s="2" t="str">
        <f ca="1">IFERROR(__xludf.DUMMYFUNCTION("""COMPUTED_VALUE"""),"Al Dhafrah 1")</f>
        <v>Al Dhafrah 1</v>
      </c>
      <c r="C1141" s="2" t="str">
        <f ca="1">IFERROR(__xludf.DUMMYFUNCTION("""COMPUTED_VALUE"""),"Building")</f>
        <v>Building</v>
      </c>
      <c r="D1141" s="2" t="str">
        <f ca="1">IFERROR(__xludf.DUMMYFUNCTION("""COMPUTED_VALUE"""),"Dubai&gt;The Greens&gt;Al Dhafrah&gt;Al Dhafrah 1")</f>
        <v>Dubai&gt;The Greens&gt;Al Dhafrah&gt;Al Dhafrah 1</v>
      </c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</row>
    <row r="1142" spans="1:26" ht="16.5" x14ac:dyDescent="0.35">
      <c r="A1142" s="2" t="str">
        <f ca="1">IFERROR(__xludf.DUMMYFUNCTION("""COMPUTED_VALUE"""),"Dubai")</f>
        <v>Dubai</v>
      </c>
      <c r="B1142" s="2" t="str">
        <f ca="1">IFERROR(__xludf.DUMMYFUNCTION("""COMPUTED_VALUE"""),"Hassani 21")</f>
        <v>Hassani 21</v>
      </c>
      <c r="C1142" s="2" t="str">
        <f ca="1">IFERROR(__xludf.DUMMYFUNCTION("""COMPUTED_VALUE"""),"Building")</f>
        <v>Building</v>
      </c>
      <c r="D1142" s="2" t="str">
        <f ca="1">IFERROR(__xludf.DUMMYFUNCTION("""COMPUTED_VALUE"""),"Dubai&gt;Dubai Production City (IMPZ)&gt;Hassani 21")</f>
        <v>Dubai&gt;Dubai Production City (IMPZ)&gt;Hassani 21</v>
      </c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</row>
    <row r="1143" spans="1:26" ht="16.5" x14ac:dyDescent="0.35">
      <c r="A1143" s="2" t="str">
        <f ca="1">IFERROR(__xludf.DUMMYFUNCTION("""COMPUTED_VALUE"""),"Dubai")</f>
        <v>Dubai</v>
      </c>
      <c r="B1143" s="2" t="str">
        <f ca="1">IFERROR(__xludf.DUMMYFUNCTION("""COMPUTED_VALUE"""),"Mesk 1")</f>
        <v>Mesk 1</v>
      </c>
      <c r="C1143" s="2" t="str">
        <f ca="1">IFERROR(__xludf.DUMMYFUNCTION("""COMPUTED_VALUE"""),"Building")</f>
        <v>Building</v>
      </c>
      <c r="D1143" s="2" t="str">
        <f ca="1">IFERROR(__xludf.DUMMYFUNCTION("""COMPUTED_VALUE"""),"Dubai&gt;Dubai Production City (IMPZ)&gt;Midtown&gt;Mesk&gt;Mesk 1")</f>
        <v>Dubai&gt;Dubai Production City (IMPZ)&gt;Midtown&gt;Mesk&gt;Mesk 1</v>
      </c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</row>
    <row r="1144" spans="1:26" ht="16.5" x14ac:dyDescent="0.35">
      <c r="A1144" s="2" t="str">
        <f ca="1">IFERROR(__xludf.DUMMYFUNCTION("""COMPUTED_VALUE"""),"Dubai")</f>
        <v>Dubai</v>
      </c>
      <c r="B1144" s="2" t="str">
        <f ca="1">IFERROR(__xludf.DUMMYFUNCTION("""COMPUTED_VALUE"""),"Lakeside Tower C")</f>
        <v>Lakeside Tower C</v>
      </c>
      <c r="C1144" s="2" t="str">
        <f ca="1">IFERROR(__xludf.DUMMYFUNCTION("""COMPUTED_VALUE"""),"Building")</f>
        <v>Building</v>
      </c>
      <c r="D1144" s="2" t="str">
        <f ca="1">IFERROR(__xludf.DUMMYFUNCTION("""COMPUTED_VALUE"""),"Dubai&gt;Dubai Production City (IMPZ)&gt;Lakeside&gt;Lakeside Tower C")</f>
        <v>Dubai&gt;Dubai Production City (IMPZ)&gt;Lakeside&gt;Lakeside Tower C</v>
      </c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</row>
    <row r="1145" spans="1:26" ht="16.5" x14ac:dyDescent="0.35">
      <c r="A1145" s="2" t="str">
        <f ca="1">IFERROR(__xludf.DUMMYFUNCTION("""COMPUTED_VALUE"""),"Dubai")</f>
        <v>Dubai</v>
      </c>
      <c r="B1145" s="2" t="str">
        <f ca="1">IFERROR(__xludf.DUMMYFUNCTION("""COMPUTED_VALUE"""),"Samana Resorts")</f>
        <v>Samana Resorts</v>
      </c>
      <c r="C1145" s="2" t="str">
        <f ca="1">IFERROR(__xludf.DUMMYFUNCTION("""COMPUTED_VALUE"""),"Cluster")</f>
        <v>Cluster</v>
      </c>
      <c r="D1145" s="2" t="str">
        <f ca="1">IFERROR(__xludf.DUMMYFUNCTION("""COMPUTED_VALUE"""),"Dubai&gt;Dubai Production City (IMPZ)&gt;Samana Resorts")</f>
        <v>Dubai&gt;Dubai Production City (IMPZ)&gt;Samana Resorts</v>
      </c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</row>
    <row r="1146" spans="1:26" ht="16.5" x14ac:dyDescent="0.35">
      <c r="A1146" s="2" t="str">
        <f ca="1">IFERROR(__xludf.DUMMYFUNCTION("""COMPUTED_VALUE"""),"Dubai")</f>
        <v>Dubai</v>
      </c>
      <c r="B1146" s="2" t="str">
        <f ca="1">IFERROR(__xludf.DUMMYFUNCTION("""COMPUTED_VALUE"""),"The Square")</f>
        <v>The Square</v>
      </c>
      <c r="C1146" s="2" t="str">
        <f ca="1">IFERROR(__xludf.DUMMYFUNCTION("""COMPUTED_VALUE"""),"Building")</f>
        <v>Building</v>
      </c>
      <c r="D1146" s="2" t="str">
        <f ca="1">IFERROR(__xludf.DUMMYFUNCTION("""COMPUTED_VALUE"""),"Dubai&gt;Dubai Industrial City&gt;The Square")</f>
        <v>Dubai&gt;Dubai Industrial City&gt;The Square</v>
      </c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</row>
    <row r="1147" spans="1:26" ht="16.5" x14ac:dyDescent="0.35">
      <c r="A1147" s="2" t="str">
        <f ca="1">IFERROR(__xludf.DUMMYFUNCTION("""COMPUTED_VALUE"""),"Dubai")</f>
        <v>Dubai</v>
      </c>
      <c r="B1147" s="2" t="str">
        <f ca="1">IFERROR(__xludf.DUMMYFUNCTION("""COMPUTED_VALUE"""),"Coventry Residence 3")</f>
        <v>Coventry Residence 3</v>
      </c>
      <c r="C1147" s="2" t="str">
        <f ca="1">IFERROR(__xludf.DUMMYFUNCTION("""COMPUTED_VALUE"""),"Building")</f>
        <v>Building</v>
      </c>
      <c r="D1147" s="2" t="str">
        <f ca="1">IFERROR(__xludf.DUMMYFUNCTION("""COMPUTED_VALUE"""),"Dubai&gt;Dubai Industrial City&gt;Coventry Residence 3")</f>
        <v>Dubai&gt;Dubai Industrial City&gt;Coventry Residence 3</v>
      </c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</row>
    <row r="1148" spans="1:26" ht="16.5" x14ac:dyDescent="0.35">
      <c r="A1148" s="2" t="str">
        <f ca="1">IFERROR(__xludf.DUMMYFUNCTION("""COMPUTED_VALUE"""),"Dubai")</f>
        <v>Dubai</v>
      </c>
      <c r="B1148" s="2" t="str">
        <f ca="1">IFERROR(__xludf.DUMMYFUNCTION("""COMPUTED_VALUE"""),"Serenity Mansions")</f>
        <v>Serenity Mansions</v>
      </c>
      <c r="C1148" s="2" t="str">
        <f ca="1">IFERROR(__xludf.DUMMYFUNCTION("""COMPUTED_VALUE"""),"Neighbourhood")</f>
        <v>Neighbourhood</v>
      </c>
      <c r="D1148" s="2" t="str">
        <f ca="1">IFERROR(__xludf.DUMMYFUNCTION("""COMPUTED_VALUE"""),"Dubai&gt;Tilal Al Ghaf&gt;Serenity Mansions")</f>
        <v>Dubai&gt;Tilal Al Ghaf&gt;Serenity Mansions</v>
      </c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</row>
    <row r="1149" spans="1:26" ht="16.5" x14ac:dyDescent="0.35">
      <c r="A1149" s="2" t="str">
        <f ca="1">IFERROR(__xludf.DUMMYFUNCTION("""COMPUTED_VALUE"""),"Dubai")</f>
        <v>Dubai</v>
      </c>
      <c r="B1149" s="2" t="str">
        <f ca="1">IFERROR(__xludf.DUMMYFUNCTION("""COMPUTED_VALUE"""),"Bay Grove Residences Building 4")</f>
        <v>Bay Grove Residences Building 4</v>
      </c>
      <c r="C1149" s="2" t="str">
        <f ca="1">IFERROR(__xludf.DUMMYFUNCTION("""COMPUTED_VALUE"""),"Building")</f>
        <v>Building</v>
      </c>
      <c r="D1149" s="2" t="str">
        <f ca="1">IFERROR(__xludf.DUMMYFUNCTION("""COMPUTED_VALUE"""),"Dubai&gt;Dubai Islands&gt;Bay Grove Residences&gt;Bay Grove Residences Building 4")</f>
        <v>Dubai&gt;Dubai Islands&gt;Bay Grove Residences&gt;Bay Grove Residences Building 4</v>
      </c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</row>
    <row r="1150" spans="1:26" ht="16.5" x14ac:dyDescent="0.35">
      <c r="A1150" s="2" t="str">
        <f ca="1">IFERROR(__xludf.DUMMYFUNCTION("""COMPUTED_VALUE"""),"Dubai")</f>
        <v>Dubai</v>
      </c>
      <c r="B1150" s="2" t="str">
        <f ca="1">IFERROR(__xludf.DUMMYFUNCTION("""COMPUTED_VALUE"""),"Ayamore Residence")</f>
        <v>Ayamore Residence</v>
      </c>
      <c r="C1150" s="2" t="str">
        <f ca="1">IFERROR(__xludf.DUMMYFUNCTION("""COMPUTED_VALUE"""),"Building")</f>
        <v>Building</v>
      </c>
      <c r="D1150" s="2" t="str">
        <f ca="1">IFERROR(__xludf.DUMMYFUNCTION("""COMPUTED_VALUE"""),"Dubai&gt;Dubai Islands&gt;Ayamore Residence")</f>
        <v>Dubai&gt;Dubai Islands&gt;Ayamore Residence</v>
      </c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</row>
    <row r="1151" spans="1:26" ht="16.5" x14ac:dyDescent="0.35">
      <c r="A1151" s="2" t="str">
        <f ca="1">IFERROR(__xludf.DUMMYFUNCTION("""COMPUTED_VALUE"""),"Dubai")</f>
        <v>Dubai</v>
      </c>
      <c r="B1151" s="2" t="str">
        <f ca="1">IFERROR(__xludf.DUMMYFUNCTION("""COMPUTED_VALUE"""),"Treppan Serenique Residences Tower A")</f>
        <v>Treppan Serenique Residences Tower A</v>
      </c>
      <c r="C1151" s="2" t="str">
        <f ca="1">IFERROR(__xludf.DUMMYFUNCTION("""COMPUTED_VALUE"""),"Building")</f>
        <v>Building</v>
      </c>
      <c r="D1151" s="2" t="str">
        <f ca="1">IFERROR(__xludf.DUMMYFUNCTION("""COMPUTED_VALUE"""),"Dubai&gt;Dubai Islands&gt;Treppan Serenique Residences&gt;Treppan Serenique Residences Tower A")</f>
        <v>Dubai&gt;Dubai Islands&gt;Treppan Serenique Residences&gt;Treppan Serenique Residences Tower A</v>
      </c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</row>
    <row r="1152" spans="1:26" ht="16.5" x14ac:dyDescent="0.35">
      <c r="A1152" s="2" t="str">
        <f ca="1">IFERROR(__xludf.DUMMYFUNCTION("""COMPUTED_VALUE"""),"Dubai")</f>
        <v>Dubai</v>
      </c>
      <c r="B1152" s="2" t="str">
        <f ca="1">IFERROR(__xludf.DUMMYFUNCTION("""COMPUTED_VALUE"""),"Samana Ocean Crest")</f>
        <v>Samana Ocean Crest</v>
      </c>
      <c r="C1152" s="2" t="str">
        <f ca="1">IFERROR(__xludf.DUMMYFUNCTION("""COMPUTED_VALUE"""),"Building")</f>
        <v>Building</v>
      </c>
      <c r="D1152" s="2" t="str">
        <f ca="1">IFERROR(__xludf.DUMMYFUNCTION("""COMPUTED_VALUE"""),"Dubai&gt;Dubai Islands&gt;Samana Ocean Crest")</f>
        <v>Dubai&gt;Dubai Islands&gt;Samana Ocean Crest</v>
      </c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</row>
    <row r="1153" spans="1:26" ht="16.5" x14ac:dyDescent="0.35">
      <c r="A1153" s="2" t="str">
        <f ca="1">IFERROR(__xludf.DUMMYFUNCTION("""COMPUTED_VALUE"""),"Dubai")</f>
        <v>Dubai</v>
      </c>
      <c r="B1153" s="2" t="str">
        <f ca="1">IFERROR(__xludf.DUMMYFUNCTION("""COMPUTED_VALUE"""),"Layan")</f>
        <v>Layan</v>
      </c>
      <c r="C1153" s="2" t="str">
        <f ca="1">IFERROR(__xludf.DUMMYFUNCTION("""COMPUTED_VALUE"""),"Neighbourhood")</f>
        <v>Neighbourhood</v>
      </c>
      <c r="D1153" s="2" t="str">
        <f ca="1">IFERROR(__xludf.DUMMYFUNCTION("""COMPUTED_VALUE"""),"Dubai&gt;Dubailand&gt;Layan")</f>
        <v>Dubai&gt;Dubailand&gt;Layan</v>
      </c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</row>
    <row r="1154" spans="1:26" ht="16.5" x14ac:dyDescent="0.35">
      <c r="A1154" s="2" t="str">
        <f ca="1">IFERROR(__xludf.DUMMYFUNCTION("""COMPUTED_VALUE"""),"Dubai")</f>
        <v>Dubai</v>
      </c>
      <c r="B1154" s="2" t="str">
        <f ca="1">IFERROR(__xludf.DUMMYFUNCTION("""COMPUTED_VALUE"""),"La Rosa 6")</f>
        <v>La Rosa 6</v>
      </c>
      <c r="C1154" s="2" t="str">
        <f ca="1">IFERROR(__xludf.DUMMYFUNCTION("""COMPUTED_VALUE"""),"Neighbourhood")</f>
        <v>Neighbourhood</v>
      </c>
      <c r="D1154" s="2" t="str">
        <f ca="1">IFERROR(__xludf.DUMMYFUNCTION("""COMPUTED_VALUE"""),"Dubai&gt;Dubailand&gt;Villanova&gt;La Rosa&gt;La Rosa 6")</f>
        <v>Dubai&gt;Dubailand&gt;Villanova&gt;La Rosa&gt;La Rosa 6</v>
      </c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</row>
    <row r="1155" spans="1:26" ht="16.5" x14ac:dyDescent="0.35">
      <c r="A1155" s="2" t="str">
        <f ca="1">IFERROR(__xludf.DUMMYFUNCTION("""COMPUTED_VALUE"""),"Dubai")</f>
        <v>Dubai</v>
      </c>
      <c r="B1155" s="2" t="str">
        <f ca="1">IFERROR(__xludf.DUMMYFUNCTION("""COMPUTED_VALUE"""),"Cassia 5")</f>
        <v>Cassia 5</v>
      </c>
      <c r="C1155" s="2" t="str">
        <f ca="1">IFERROR(__xludf.DUMMYFUNCTION("""COMPUTED_VALUE"""),"Neighbourhood")</f>
        <v>Neighbourhood</v>
      </c>
      <c r="D1155" s="2" t="str">
        <f ca="1">IFERROR(__xludf.DUMMYFUNCTION("""COMPUTED_VALUE"""),"Dubai&gt;Dubailand&gt;The Wilds&gt;Cassia 5")</f>
        <v>Dubai&gt;Dubailand&gt;The Wilds&gt;Cassia 5</v>
      </c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</row>
    <row r="1156" spans="1:26" ht="16.5" x14ac:dyDescent="0.35">
      <c r="A1156" s="2" t="str">
        <f ca="1">IFERROR(__xludf.DUMMYFUNCTION("""COMPUTED_VALUE"""),"Dubai")</f>
        <v>Dubai</v>
      </c>
      <c r="B1156" s="2" t="str">
        <f ca="1">IFERROR(__xludf.DUMMYFUNCTION("""COMPUTED_VALUE"""),"Address Residences Zabeel Tower 2")</f>
        <v>Address Residences Zabeel Tower 2</v>
      </c>
      <c r="C1156" s="2" t="str">
        <f ca="1">IFERROR(__xludf.DUMMYFUNCTION("""COMPUTED_VALUE"""),"Building")</f>
        <v>Building</v>
      </c>
      <c r="D1156" s="2" t="str">
        <f ca="1">IFERROR(__xludf.DUMMYFUNCTION("""COMPUTED_VALUE"""),"Dubai&gt;Za'abeel&gt;Za'abeel 1&gt;Address Residences Zabeel&gt;Address Residences Zabeel Tower 2")</f>
        <v>Dubai&gt;Za'abeel&gt;Za'abeel 1&gt;Address Residences Zabeel&gt;Address Residences Zabeel Tower 2</v>
      </c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</row>
    <row r="1157" spans="1:26" ht="16.5" x14ac:dyDescent="0.35">
      <c r="A1157" s="2" t="str">
        <f ca="1">IFERROR(__xludf.DUMMYFUNCTION("""COMPUTED_VALUE"""),"Dubai")</f>
        <v>Dubai</v>
      </c>
      <c r="B1157" s="2" t="str">
        <f ca="1">IFERROR(__xludf.DUMMYFUNCTION("""COMPUTED_VALUE"""),"Ras Al Khor Industrial 3")</f>
        <v>Ras Al Khor Industrial 3</v>
      </c>
      <c r="C1157" s="2" t="str">
        <f ca="1">IFERROR(__xludf.DUMMYFUNCTION("""COMPUTED_VALUE"""),"Neighbourhood")</f>
        <v>Neighbourhood</v>
      </c>
      <c r="D1157" s="2" t="str">
        <f ca="1">IFERROR(__xludf.DUMMYFUNCTION("""COMPUTED_VALUE"""),"Dubai&gt;Ras Al Khor&gt;Ras Al Khor Industrial&gt;Ras Al Khor Industrial 3")</f>
        <v>Dubai&gt;Ras Al Khor&gt;Ras Al Khor Industrial&gt;Ras Al Khor Industrial 3</v>
      </c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</row>
    <row r="1158" spans="1:26" ht="16.5" x14ac:dyDescent="0.35">
      <c r="A1158" s="2" t="str">
        <f ca="1">IFERROR(__xludf.DUMMYFUNCTION("""COMPUTED_VALUE"""),"Dubai")</f>
        <v>Dubai</v>
      </c>
      <c r="B1158" s="2" t="str">
        <f ca="1">IFERROR(__xludf.DUMMYFUNCTION("""COMPUTED_VALUE"""),"Saih Shuaib House")</f>
        <v>Saih Shuaib House</v>
      </c>
      <c r="C1158" s="2" t="str">
        <f ca="1">IFERROR(__xludf.DUMMYFUNCTION("""COMPUTED_VALUE"""),"Building")</f>
        <v>Building</v>
      </c>
      <c r="D1158" s="2" t="str">
        <f ca="1">IFERROR(__xludf.DUMMYFUNCTION("""COMPUTED_VALUE"""),"Dubai&gt;Jebel Ali&gt;Jebel Ali Hills&gt;Saih Shuaib House")</f>
        <v>Dubai&gt;Jebel Ali&gt;Jebel Ali Hills&gt;Saih Shuaib House</v>
      </c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</row>
    <row r="1159" spans="1:26" ht="16.5" x14ac:dyDescent="0.35">
      <c r="A1159" s="2" t="str">
        <f ca="1">IFERROR(__xludf.DUMMYFUNCTION("""COMPUTED_VALUE"""),"Dubai")</f>
        <v>Dubai</v>
      </c>
      <c r="B1159" s="2" t="str">
        <f ca="1">IFERROR(__xludf.DUMMYFUNCTION("""COMPUTED_VALUE"""),"Jebel Ali Industrial Area")</f>
        <v>Jebel Ali Industrial Area</v>
      </c>
      <c r="C1159" s="2" t="str">
        <f ca="1">IFERROR(__xludf.DUMMYFUNCTION("""COMPUTED_VALUE"""),"Neighbourhood")</f>
        <v>Neighbourhood</v>
      </c>
      <c r="D1159" s="2" t="str">
        <f ca="1">IFERROR(__xludf.DUMMYFUNCTION("""COMPUTED_VALUE"""),"Dubai&gt;Jebel Ali&gt;Jebel Ali Industrial Area")</f>
        <v>Dubai&gt;Jebel Ali&gt;Jebel Ali Industrial Area</v>
      </c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</row>
    <row r="1160" spans="1:26" ht="16.5" x14ac:dyDescent="0.35">
      <c r="A1160" s="2" t="str">
        <f ca="1">IFERROR(__xludf.DUMMYFUNCTION("""COMPUTED_VALUE"""),"Dubai")</f>
        <v>Dubai</v>
      </c>
      <c r="B1160" s="2" t="str">
        <f ca="1">IFERROR(__xludf.DUMMYFUNCTION("""COMPUTED_VALUE"""),"Nad Al Hamar")</f>
        <v>Nad Al Hamar</v>
      </c>
      <c r="C1160" s="2" t="str">
        <f ca="1">IFERROR(__xludf.DUMMYFUNCTION("""COMPUTED_VALUE"""),"Neighbourhood")</f>
        <v>Neighbourhood</v>
      </c>
      <c r="D1160" s="2" t="str">
        <f ca="1">IFERROR(__xludf.DUMMYFUNCTION("""COMPUTED_VALUE"""),"Dubai&gt;Nad Al Hamar")</f>
        <v>Dubai&gt;Nad Al Hamar</v>
      </c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</row>
    <row r="1161" spans="1:26" ht="16.5" x14ac:dyDescent="0.35">
      <c r="A1161" s="2" t="str">
        <f ca="1">IFERROR(__xludf.DUMMYFUNCTION("""COMPUTED_VALUE"""),"Dubai")</f>
        <v>Dubai</v>
      </c>
      <c r="B1161" s="2" t="str">
        <f ca="1">IFERROR(__xludf.DUMMYFUNCTION("""COMPUTED_VALUE"""),"Al Telal 20")</f>
        <v>Al Telal 20</v>
      </c>
      <c r="C1161" s="2" t="str">
        <f ca="1">IFERROR(__xludf.DUMMYFUNCTION("""COMPUTED_VALUE"""),"Building")</f>
        <v>Building</v>
      </c>
      <c r="D1161" s="2" t="str">
        <f ca="1">IFERROR(__xludf.DUMMYFUNCTION("""COMPUTED_VALUE"""),"Dubai&gt;Nad Al Hamar&gt;Al Telal 20")</f>
        <v>Dubai&gt;Nad Al Hamar&gt;Al Telal 20</v>
      </c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</row>
    <row r="1162" spans="1:26" ht="16.5" x14ac:dyDescent="0.35">
      <c r="A1162" s="2" t="str">
        <f ca="1">IFERROR(__xludf.DUMMYFUNCTION("""COMPUTED_VALUE"""),"Dubai")</f>
        <v>Dubai</v>
      </c>
      <c r="B1162" s="2" t="str">
        <f ca="1">IFERROR(__xludf.DUMMYFUNCTION("""COMPUTED_VALUE"""),"Code Business Centre")</f>
        <v>Code Business Centre</v>
      </c>
      <c r="C1162" s="2" t="str">
        <f ca="1">IFERROR(__xludf.DUMMYFUNCTION("""COMPUTED_VALUE"""),"Building")</f>
        <v>Building</v>
      </c>
      <c r="D1162" s="2" t="str">
        <f ca="1">IFERROR(__xludf.DUMMYFUNCTION("""COMPUTED_VALUE"""),"Dubai&gt;Al Barsha&gt;Al Barsha 1&gt;Code Business Centre")</f>
        <v>Dubai&gt;Al Barsha&gt;Al Barsha 1&gt;Code Business Centre</v>
      </c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</row>
    <row r="1163" spans="1:26" ht="16.5" x14ac:dyDescent="0.35">
      <c r="A1163" s="2" t="str">
        <f ca="1">IFERROR(__xludf.DUMMYFUNCTION("""COMPUTED_VALUE"""),"Dubai")</f>
        <v>Dubai</v>
      </c>
      <c r="B1163" s="2" t="str">
        <f ca="1">IFERROR(__xludf.DUMMYFUNCTION("""COMPUTED_VALUE"""),"Bayti 20")</f>
        <v>Bayti 20</v>
      </c>
      <c r="C1163" s="2" t="str">
        <f ca="1">IFERROR(__xludf.DUMMYFUNCTION("""COMPUTED_VALUE"""),"Neighbourhood")</f>
        <v>Neighbourhood</v>
      </c>
      <c r="D1163" s="2" t="str">
        <f ca="1">IFERROR(__xludf.DUMMYFUNCTION("""COMPUTED_VALUE"""),"Dubai&gt;Al Barsha&gt;Al Barsha 1&gt;Bayti 20")</f>
        <v>Dubai&gt;Al Barsha&gt;Al Barsha 1&gt;Bayti 20</v>
      </c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</row>
    <row r="1164" spans="1:26" ht="16.5" x14ac:dyDescent="0.35">
      <c r="A1164" s="2" t="str">
        <f ca="1">IFERROR(__xludf.DUMMYFUNCTION("""COMPUTED_VALUE"""),"Dubai")</f>
        <v>Dubai</v>
      </c>
      <c r="B1164" s="2" t="str">
        <f ca="1">IFERROR(__xludf.DUMMYFUNCTION("""COMPUTED_VALUE"""),"Omar Bin Yousef Building")</f>
        <v>Omar Bin Yousef Building</v>
      </c>
      <c r="C1164" s="2" t="str">
        <f ca="1">IFERROR(__xludf.DUMMYFUNCTION("""COMPUTED_VALUE"""),"Building")</f>
        <v>Building</v>
      </c>
      <c r="D1164" s="2" t="str">
        <f ca="1">IFERROR(__xludf.DUMMYFUNCTION("""COMPUTED_VALUE"""),"Dubai&gt;Al Barsha&gt;Al Barsha 1&gt;Omar Bin Yousef Building")</f>
        <v>Dubai&gt;Al Barsha&gt;Al Barsha 1&gt;Omar Bin Yousef Building</v>
      </c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</row>
    <row r="1165" spans="1:26" ht="16.5" x14ac:dyDescent="0.35">
      <c r="A1165" s="2" t="str">
        <f ca="1">IFERROR(__xludf.DUMMYFUNCTION("""COMPUTED_VALUE"""),"Dubai")</f>
        <v>Dubai</v>
      </c>
      <c r="B1165" s="2" t="str">
        <f ca="1">IFERROR(__xludf.DUMMYFUNCTION("""COMPUTED_VALUE"""),"Cosmopolitan Hotel")</f>
        <v>Cosmopolitan Hotel</v>
      </c>
      <c r="C1165" s="2" t="str">
        <f ca="1">IFERROR(__xludf.DUMMYFUNCTION("""COMPUTED_VALUE"""),"Building")</f>
        <v>Building</v>
      </c>
      <c r="D1165" s="2" t="str">
        <f ca="1">IFERROR(__xludf.DUMMYFUNCTION("""COMPUTED_VALUE"""),"Dubai&gt;Al Barsha&gt;Al Barsha 1&gt;Cosmopolitan Hotel")</f>
        <v>Dubai&gt;Al Barsha&gt;Al Barsha 1&gt;Cosmopolitan Hotel</v>
      </c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</row>
    <row r="1166" spans="1:26" ht="16.5" x14ac:dyDescent="0.35">
      <c r="A1166" s="2" t="str">
        <f ca="1">IFERROR(__xludf.DUMMYFUNCTION("""COMPUTED_VALUE"""),"Dubai")</f>
        <v>Dubai</v>
      </c>
      <c r="B1166" s="2" t="str">
        <f ca="1">IFERROR(__xludf.DUMMYFUNCTION("""COMPUTED_VALUE"""),"Marina Suits")</f>
        <v>Marina Suits</v>
      </c>
      <c r="C1166" s="2" t="str">
        <f ca="1">IFERROR(__xludf.DUMMYFUNCTION("""COMPUTED_VALUE"""),"Building")</f>
        <v>Building</v>
      </c>
      <c r="D1166" s="2" t="str">
        <f ca="1">IFERROR(__xludf.DUMMYFUNCTION("""COMPUTED_VALUE"""),"Dubai&gt;Al Barsha&gt;Al Barsha 1&gt;Marina Suits")</f>
        <v>Dubai&gt;Al Barsha&gt;Al Barsha 1&gt;Marina Suits</v>
      </c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</row>
    <row r="1167" spans="1:26" ht="16.5" x14ac:dyDescent="0.35">
      <c r="A1167" s="2" t="str">
        <f ca="1">IFERROR(__xludf.DUMMYFUNCTION("""COMPUTED_VALUE"""),"Dubai")</f>
        <v>Dubai</v>
      </c>
      <c r="B1167" s="2" t="str">
        <f ca="1">IFERROR(__xludf.DUMMYFUNCTION("""COMPUTED_VALUE"""),"Jashnmal")</f>
        <v>Jashnmal</v>
      </c>
      <c r="C1167" s="2" t="str">
        <f ca="1">IFERROR(__xludf.DUMMYFUNCTION("""COMPUTED_VALUE"""),"Building")</f>
        <v>Building</v>
      </c>
      <c r="D1167" s="2" t="str">
        <f ca="1">IFERROR(__xludf.DUMMYFUNCTION("""COMPUTED_VALUE"""),"Dubai&gt;Al Barsha&gt;Al Barsha 1&gt;Jashnmal")</f>
        <v>Dubai&gt;Al Barsha&gt;Al Barsha 1&gt;Jashnmal</v>
      </c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</row>
    <row r="1168" spans="1:26" ht="16.5" x14ac:dyDescent="0.35">
      <c r="A1168" s="2" t="str">
        <f ca="1">IFERROR(__xludf.DUMMYFUNCTION("""COMPUTED_VALUE"""),"Dubai")</f>
        <v>Dubai</v>
      </c>
      <c r="B1168" s="2" t="str">
        <f ca="1">IFERROR(__xludf.DUMMYFUNCTION("""COMPUTED_VALUE"""),"Al Rabwah 2 Building")</f>
        <v>Al Rabwah 2 Building</v>
      </c>
      <c r="C1168" s="2" t="str">
        <f ca="1">IFERROR(__xludf.DUMMYFUNCTION("""COMPUTED_VALUE"""),"Building")</f>
        <v>Building</v>
      </c>
      <c r="D1168" s="2" t="str">
        <f ca="1">IFERROR(__xludf.DUMMYFUNCTION("""COMPUTED_VALUE"""),"Dubai&gt;Al Barsha&gt;Al Barsha 1&gt;Al Rabwah 2 Building")</f>
        <v>Dubai&gt;Al Barsha&gt;Al Barsha 1&gt;Al Rabwah 2 Building</v>
      </c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</row>
    <row r="1169" spans="1:26" ht="16.5" x14ac:dyDescent="0.35">
      <c r="A1169" s="2" t="str">
        <f ca="1">IFERROR(__xludf.DUMMYFUNCTION("""COMPUTED_VALUE"""),"Dubai")</f>
        <v>Dubai</v>
      </c>
      <c r="B1169" s="2" t="str">
        <f ca="1">IFERROR(__xludf.DUMMYFUNCTION("""COMPUTED_VALUE"""),"Manazil Al Barsha First 02")</f>
        <v>Manazil Al Barsha First 02</v>
      </c>
      <c r="C1169" s="2" t="str">
        <f ca="1">IFERROR(__xludf.DUMMYFUNCTION("""COMPUTED_VALUE"""),"Building")</f>
        <v>Building</v>
      </c>
      <c r="D1169" s="2" t="str">
        <f ca="1">IFERROR(__xludf.DUMMYFUNCTION("""COMPUTED_VALUE"""),"Dubai&gt;Al Barsha&gt;Al Barsha 1&gt;Manazil Al Barsha First 02")</f>
        <v>Dubai&gt;Al Barsha&gt;Al Barsha 1&gt;Manazil Al Barsha First 02</v>
      </c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</row>
    <row r="1170" spans="1:26" ht="16.5" x14ac:dyDescent="0.35">
      <c r="A1170" s="2" t="str">
        <f ca="1">IFERROR(__xludf.DUMMYFUNCTION("""COMPUTED_VALUE"""),"Dubai")</f>
        <v>Dubai</v>
      </c>
      <c r="B1170" s="2" t="str">
        <f ca="1">IFERROR(__xludf.DUMMYFUNCTION("""COMPUTED_VALUE"""),"Ascana 1")</f>
        <v>Ascana 1</v>
      </c>
      <c r="C1170" s="2" t="str">
        <f ca="1">IFERROR(__xludf.DUMMYFUNCTION("""COMPUTED_VALUE"""),"Building")</f>
        <v>Building</v>
      </c>
      <c r="D1170" s="2" t="str">
        <f ca="1">IFERROR(__xludf.DUMMYFUNCTION("""COMPUTED_VALUE"""),"Dubai&gt;Al Barsha&gt;Al Barsha 1&gt;Ascana 1")</f>
        <v>Dubai&gt;Al Barsha&gt;Al Barsha 1&gt;Ascana 1</v>
      </c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</row>
    <row r="1171" spans="1:26" ht="16.5" x14ac:dyDescent="0.35">
      <c r="A1171" s="2" t="str">
        <f ca="1">IFERROR(__xludf.DUMMYFUNCTION("""COMPUTED_VALUE"""),"Dubai")</f>
        <v>Dubai</v>
      </c>
      <c r="B1171" s="2" t="str">
        <f ca="1">IFERROR(__xludf.DUMMYFUNCTION("""COMPUTED_VALUE"""),"Ladybird Nursery Al Barsha")</f>
        <v>Ladybird Nursery Al Barsha</v>
      </c>
      <c r="C1171" s="2" t="str">
        <f ca="1">IFERROR(__xludf.DUMMYFUNCTION("""COMPUTED_VALUE"""),"Nursery")</f>
        <v>Nursery</v>
      </c>
      <c r="D1171" s="2" t="str">
        <f ca="1">IFERROR(__xludf.DUMMYFUNCTION("""COMPUTED_VALUE"""),"Dubai&gt;Al Barsha&gt;Al Barsha 3&gt;Ladybird Nursery Al Barsha")</f>
        <v>Dubai&gt;Al Barsha&gt;Al Barsha 3&gt;Ladybird Nursery Al Barsha</v>
      </c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</row>
    <row r="1172" spans="1:26" ht="16.5" x14ac:dyDescent="0.35">
      <c r="A1172" s="2" t="str">
        <f ca="1">IFERROR(__xludf.DUMMYFUNCTION("""COMPUTED_VALUE"""),"Dubai")</f>
        <v>Dubai</v>
      </c>
      <c r="B1172" s="2" t="str">
        <f ca="1">IFERROR(__xludf.DUMMYFUNCTION("""COMPUTED_VALUE"""),"The Address Fountain Views 3")</f>
        <v>The Address Fountain Views 3</v>
      </c>
      <c r="C1172" s="2" t="str">
        <f ca="1">IFERROR(__xludf.DUMMYFUNCTION("""COMPUTED_VALUE"""),"Building")</f>
        <v>Building</v>
      </c>
      <c r="D1172" s="2" t="str">
        <f ca="1">IFERROR(__xludf.DUMMYFUNCTION("""COMPUTED_VALUE"""),"Dubai&gt;Downtown Dubai&gt;Address Dubai Mall&gt;The Address Fountain Views 3")</f>
        <v>Dubai&gt;Downtown Dubai&gt;Address Dubai Mall&gt;The Address Fountain Views 3</v>
      </c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</row>
    <row r="1173" spans="1:26" ht="16.5" x14ac:dyDescent="0.35">
      <c r="A1173" s="2" t="str">
        <f ca="1">IFERROR(__xludf.DUMMYFUNCTION("""COMPUTED_VALUE"""),"Dubai")</f>
        <v>Dubai</v>
      </c>
      <c r="B1173" s="2" t="str">
        <f ca="1">IFERROR(__xludf.DUMMYFUNCTION("""COMPUTED_VALUE"""),"HSBC Tower")</f>
        <v>HSBC Tower</v>
      </c>
      <c r="C1173" s="2" t="str">
        <f ca="1">IFERROR(__xludf.DUMMYFUNCTION("""COMPUTED_VALUE"""),"Building")</f>
        <v>Building</v>
      </c>
      <c r="D1173" s="2" t="str">
        <f ca="1">IFERROR(__xludf.DUMMYFUNCTION("""COMPUTED_VALUE"""),"Dubai&gt;Downtown Dubai&gt;HSBC Tower")</f>
        <v>Dubai&gt;Downtown Dubai&gt;HSBC Tower</v>
      </c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</row>
    <row r="1174" spans="1:26" ht="16.5" x14ac:dyDescent="0.35">
      <c r="A1174" s="2" t="str">
        <f ca="1">IFERROR(__xludf.DUMMYFUNCTION("""COMPUTED_VALUE"""),"Dubai")</f>
        <v>Dubai</v>
      </c>
      <c r="B1174" s="2" t="str">
        <f ca="1">IFERROR(__xludf.DUMMYFUNCTION("""COMPUTED_VALUE"""),"Mada Residences")</f>
        <v>Mada Residences</v>
      </c>
      <c r="C1174" s="2" t="str">
        <f ca="1">IFERROR(__xludf.DUMMYFUNCTION("""COMPUTED_VALUE"""),"Building")</f>
        <v>Building</v>
      </c>
      <c r="D1174" s="2" t="str">
        <f ca="1">IFERROR(__xludf.DUMMYFUNCTION("""COMPUTED_VALUE"""),"Dubai&gt;Downtown Dubai&gt;Mada Residences")</f>
        <v>Dubai&gt;Downtown Dubai&gt;Mada Residences</v>
      </c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</row>
    <row r="1175" spans="1:26" ht="16.5" x14ac:dyDescent="0.35">
      <c r="A1175" s="2" t="str">
        <f ca="1">IFERROR(__xludf.DUMMYFUNCTION("""COMPUTED_VALUE"""),"Dubai")</f>
        <v>Dubai</v>
      </c>
      <c r="B1175" s="2" t="str">
        <f ca="1">IFERROR(__xludf.DUMMYFUNCTION("""COMPUTED_VALUE"""),"South Ridge 2")</f>
        <v>South Ridge 2</v>
      </c>
      <c r="C1175" s="2" t="str">
        <f ca="1">IFERROR(__xludf.DUMMYFUNCTION("""COMPUTED_VALUE"""),"Building")</f>
        <v>Building</v>
      </c>
      <c r="D1175" s="2" t="str">
        <f ca="1">IFERROR(__xludf.DUMMYFUNCTION("""COMPUTED_VALUE"""),"Dubai&gt;Downtown Dubai&gt;South Ridge&gt;South Ridge 2")</f>
        <v>Dubai&gt;Downtown Dubai&gt;South Ridge&gt;South Ridge 2</v>
      </c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</row>
    <row r="1176" spans="1:26" ht="16.5" x14ac:dyDescent="0.35">
      <c r="A1176" s="2" t="str">
        <f ca="1">IFERROR(__xludf.DUMMYFUNCTION("""COMPUTED_VALUE"""),"Dubai")</f>
        <v>Dubai</v>
      </c>
      <c r="B1176" s="2" t="str">
        <f ca="1">IFERROR(__xludf.DUMMYFUNCTION("""COMPUTED_VALUE"""),"Yansoon 7")</f>
        <v>Yansoon 7</v>
      </c>
      <c r="C1176" s="2" t="str">
        <f ca="1">IFERROR(__xludf.DUMMYFUNCTION("""COMPUTED_VALUE"""),"Building")</f>
        <v>Building</v>
      </c>
      <c r="D1176" s="2" t="str">
        <f ca="1">IFERROR(__xludf.DUMMYFUNCTION("""COMPUTED_VALUE"""),"Dubai&gt;Downtown Dubai&gt;Old Town&gt;Yansoon&gt;Yansoon 7")</f>
        <v>Dubai&gt;Downtown Dubai&gt;Old Town&gt;Yansoon&gt;Yansoon 7</v>
      </c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</row>
    <row r="1177" spans="1:26" ht="16.5" x14ac:dyDescent="0.35">
      <c r="A1177" s="2" t="str">
        <f ca="1">IFERROR(__xludf.DUMMYFUNCTION("""COMPUTED_VALUE"""),"Dubai")</f>
        <v>Dubai</v>
      </c>
      <c r="B1177" s="2" t="str">
        <f ca="1">IFERROR(__xludf.DUMMYFUNCTION("""COMPUTED_VALUE"""),"City Center Residences")</f>
        <v>City Center Residences</v>
      </c>
      <c r="C1177" s="2" t="str">
        <f ca="1">IFERROR(__xludf.DUMMYFUNCTION("""COMPUTED_VALUE"""),"Building")</f>
        <v>Building</v>
      </c>
      <c r="D1177" s="2" t="str">
        <f ca="1">IFERROR(__xludf.DUMMYFUNCTION("""COMPUTED_VALUE"""),"Dubai&gt;Downtown Dubai&gt;City Center Residences")</f>
        <v>Dubai&gt;Downtown Dubai&gt;City Center Residences</v>
      </c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</row>
    <row r="1178" spans="1:26" ht="16.5" x14ac:dyDescent="0.35">
      <c r="A1178" s="2" t="str">
        <f ca="1">IFERROR(__xludf.DUMMYFUNCTION("""COMPUTED_VALUE"""),"Dubai")</f>
        <v>Dubai</v>
      </c>
      <c r="B1178" s="2" t="str">
        <f ca="1">IFERROR(__xludf.DUMMYFUNCTION("""COMPUTED_VALUE"""),"Boulevard Plaza Tower 1")</f>
        <v>Boulevard Plaza Tower 1</v>
      </c>
      <c r="C1178" s="2" t="str">
        <f ca="1">IFERROR(__xludf.DUMMYFUNCTION("""COMPUTED_VALUE"""),"Building")</f>
        <v>Building</v>
      </c>
      <c r="D1178" s="2" t="str">
        <f ca="1">IFERROR(__xludf.DUMMYFUNCTION("""COMPUTED_VALUE"""),"Dubai&gt;Downtown Dubai&gt;Boulevard Plaza Tower&gt;Boulevard Plaza Tower 1")</f>
        <v>Dubai&gt;Downtown Dubai&gt;Boulevard Plaza Tower&gt;Boulevard Plaza Tower 1</v>
      </c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</row>
    <row r="1179" spans="1:26" ht="16.5" x14ac:dyDescent="0.35">
      <c r="A1179" s="2" t="str">
        <f ca="1">IFERROR(__xludf.DUMMYFUNCTION("""COMPUTED_VALUE"""),"Dubai")</f>
        <v>Dubai</v>
      </c>
      <c r="B1179" s="2" t="str">
        <f ca="1">IFERROR(__xludf.DUMMYFUNCTION("""COMPUTED_VALUE"""),"Mazaya 7")</f>
        <v>Mazaya 7</v>
      </c>
      <c r="C1179" s="2" t="str">
        <f ca="1">IFERROR(__xludf.DUMMYFUNCTION("""COMPUTED_VALUE"""),"Building")</f>
        <v>Building</v>
      </c>
      <c r="D1179" s="2" t="str">
        <f ca="1">IFERROR(__xludf.DUMMYFUNCTION("""COMPUTED_VALUE"""),"Dubai&gt;Liwan&gt;Queue Point&gt;Mazaya 7")</f>
        <v>Dubai&gt;Liwan&gt;Queue Point&gt;Mazaya 7</v>
      </c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</row>
    <row r="1180" spans="1:26" ht="16.5" x14ac:dyDescent="0.35">
      <c r="A1180" s="2" t="str">
        <f ca="1">IFERROR(__xludf.DUMMYFUNCTION("""COMPUTED_VALUE"""),"Dubai")</f>
        <v>Dubai</v>
      </c>
      <c r="B1180" s="2" t="str">
        <f ca="1">IFERROR(__xludf.DUMMYFUNCTION("""COMPUTED_VALUE"""),"Liwan Pearl")</f>
        <v>Liwan Pearl</v>
      </c>
      <c r="C1180" s="2" t="str">
        <f ca="1">IFERROR(__xludf.DUMMYFUNCTION("""COMPUTED_VALUE"""),"Building")</f>
        <v>Building</v>
      </c>
      <c r="D1180" s="2" t="str">
        <f ca="1">IFERROR(__xludf.DUMMYFUNCTION("""COMPUTED_VALUE"""),"Dubai&gt;Liwan&gt;Liwan Pearl")</f>
        <v>Dubai&gt;Liwan&gt;Liwan Pearl</v>
      </c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</row>
    <row r="1181" spans="1:26" ht="16.5" x14ac:dyDescent="0.35">
      <c r="A1181" s="2" t="str">
        <f ca="1">IFERROR(__xludf.DUMMYFUNCTION("""COMPUTED_VALUE"""),"Dubai")</f>
        <v>Dubai</v>
      </c>
      <c r="B1181" s="2" t="str">
        <f ca="1">IFERROR(__xludf.DUMMYFUNCTION("""COMPUTED_VALUE"""),"Al Shamsi Building")</f>
        <v>Al Shamsi Building</v>
      </c>
      <c r="C1181" s="2" t="str">
        <f ca="1">IFERROR(__xludf.DUMMYFUNCTION("""COMPUTED_VALUE"""),"Building")</f>
        <v>Building</v>
      </c>
      <c r="D1181" s="2" t="str">
        <f ca="1">IFERROR(__xludf.DUMMYFUNCTION("""COMPUTED_VALUE"""),"Dubai&gt;Al Jafiliya&gt;Al Shamsi Building")</f>
        <v>Dubai&gt;Al Jafiliya&gt;Al Shamsi Building</v>
      </c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</row>
    <row r="1182" spans="1:26" ht="16.5" x14ac:dyDescent="0.35">
      <c r="A1182" s="2" t="str">
        <f ca="1">IFERROR(__xludf.DUMMYFUNCTION("""COMPUTED_VALUE"""),"Dubai")</f>
        <v>Dubai</v>
      </c>
      <c r="B1182" s="2" t="str">
        <f ca="1">IFERROR(__xludf.DUMMYFUNCTION("""COMPUTED_VALUE"""),"The Gate Village 5")</f>
        <v>The Gate Village 5</v>
      </c>
      <c r="C1182" s="2" t="str">
        <f ca="1">IFERROR(__xludf.DUMMYFUNCTION("""COMPUTED_VALUE"""),"Building")</f>
        <v>Building</v>
      </c>
      <c r="D1182" s="2" t="str">
        <f ca="1">IFERROR(__xludf.DUMMYFUNCTION("""COMPUTED_VALUE"""),"Dubai&gt;DIFC&gt;The Gate Village&gt;The Gate Village 5")</f>
        <v>Dubai&gt;DIFC&gt;The Gate Village&gt;The Gate Village 5</v>
      </c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</row>
    <row r="1183" spans="1:26" ht="16.5" x14ac:dyDescent="0.35">
      <c r="A1183" s="2" t="str">
        <f ca="1">IFERROR(__xludf.DUMMYFUNCTION("""COMPUTED_VALUE"""),"Dubai")</f>
        <v>Dubai</v>
      </c>
      <c r="B1183" s="2" t="str">
        <f ca="1">IFERROR(__xludf.DUMMYFUNCTION("""COMPUTED_VALUE"""),"New World Private School (NWPS)")</f>
        <v>New World Private School (NWPS)</v>
      </c>
      <c r="C1183" s="2" t="str">
        <f ca="1">IFERROR(__xludf.DUMMYFUNCTION("""COMPUTED_VALUE"""),"School")</f>
        <v>School</v>
      </c>
      <c r="D1183" s="2" t="str">
        <f ca="1">IFERROR(__xludf.DUMMYFUNCTION("""COMPUTED_VALUE"""),"Dubai&gt;Al Twar&gt;Al Twar 1&gt;New World Private School (NWPS)")</f>
        <v>Dubai&gt;Al Twar&gt;Al Twar 1&gt;New World Private School (NWPS)</v>
      </c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</row>
    <row r="1184" spans="1:26" ht="16.5" x14ac:dyDescent="0.35">
      <c r="A1184" s="2" t="str">
        <f ca="1">IFERROR(__xludf.DUMMYFUNCTION("""COMPUTED_VALUE"""),"Dubai")</f>
        <v>Dubai</v>
      </c>
      <c r="B1184" s="2" t="str">
        <f ca="1">IFERROR(__xludf.DUMMYFUNCTION("""COMPUTED_VALUE"""),"Asma Residence")</f>
        <v>Asma Residence</v>
      </c>
      <c r="C1184" s="2" t="str">
        <f ca="1">IFERROR(__xludf.DUMMYFUNCTION("""COMPUTED_VALUE"""),"Building")</f>
        <v>Building</v>
      </c>
      <c r="D1184" s="2" t="str">
        <f ca="1">IFERROR(__xludf.DUMMYFUNCTION("""COMPUTED_VALUE"""),"Dubai&gt;Al Warqaa&gt;Al Warqaa 1&gt;Asma Residence")</f>
        <v>Dubai&gt;Al Warqaa&gt;Al Warqaa 1&gt;Asma Residence</v>
      </c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</row>
    <row r="1185" spans="1:26" ht="16.5" x14ac:dyDescent="0.35">
      <c r="A1185" s="2" t="str">
        <f ca="1">IFERROR(__xludf.DUMMYFUNCTION("""COMPUTED_VALUE"""),"Dubai")</f>
        <v>Dubai</v>
      </c>
      <c r="B1185" s="2" t="str">
        <f ca="1">IFERROR(__xludf.DUMMYFUNCTION("""COMPUTED_VALUE"""),"Al Waleed WQ-02")</f>
        <v>Al Waleed WQ-02</v>
      </c>
      <c r="C1185" s="2" t="str">
        <f ca="1">IFERROR(__xludf.DUMMYFUNCTION("""COMPUTED_VALUE"""),"Building")</f>
        <v>Building</v>
      </c>
      <c r="D1185" s="2" t="str">
        <f ca="1">IFERROR(__xludf.DUMMYFUNCTION("""COMPUTED_VALUE"""),"Dubai&gt;Al Warqaa&gt;Al Warqaa 1&gt;Al Waleed WQ-02")</f>
        <v>Dubai&gt;Al Warqaa&gt;Al Warqaa 1&gt;Al Waleed WQ-02</v>
      </c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</row>
    <row r="1186" spans="1:26" ht="16.5" x14ac:dyDescent="0.35">
      <c r="A1186" s="2" t="str">
        <f ca="1">IFERROR(__xludf.DUMMYFUNCTION("""COMPUTED_VALUE"""),"Dubai")</f>
        <v>Dubai</v>
      </c>
      <c r="B1186" s="2" t="str">
        <f ca="1">IFERROR(__xludf.DUMMYFUNCTION("""COMPUTED_VALUE"""),"Arosa Building")</f>
        <v>Arosa Building</v>
      </c>
      <c r="C1186" s="2" t="str">
        <f ca="1">IFERROR(__xludf.DUMMYFUNCTION("""COMPUTED_VALUE"""),"Building")</f>
        <v>Building</v>
      </c>
      <c r="D1186" s="2" t="str">
        <f ca="1">IFERROR(__xludf.DUMMYFUNCTION("""COMPUTED_VALUE"""),"Dubai&gt;Al Warqaa&gt;Al Warqaa 1&gt;Arosa Building")</f>
        <v>Dubai&gt;Al Warqaa&gt;Al Warqaa 1&gt;Arosa Building</v>
      </c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</row>
    <row r="1187" spans="1:26" ht="16.5" x14ac:dyDescent="0.35">
      <c r="A1187" s="2" t="str">
        <f ca="1">IFERROR(__xludf.DUMMYFUNCTION("""COMPUTED_VALUE"""),"Dubai")</f>
        <v>Dubai</v>
      </c>
      <c r="B1187" s="2" t="str">
        <f ca="1">IFERROR(__xludf.DUMMYFUNCTION("""COMPUTED_VALUE"""),"Baiti 2 Building")</f>
        <v>Baiti 2 Building</v>
      </c>
      <c r="C1187" s="2" t="str">
        <f ca="1">IFERROR(__xludf.DUMMYFUNCTION("""COMPUTED_VALUE"""),"Building")</f>
        <v>Building</v>
      </c>
      <c r="D1187" s="2" t="str">
        <f ca="1">IFERROR(__xludf.DUMMYFUNCTION("""COMPUTED_VALUE"""),"Dubai&gt;Al Warqaa&gt;Al Warqaa 1&gt;Baiti 2 Building")</f>
        <v>Dubai&gt;Al Warqaa&gt;Al Warqaa 1&gt;Baiti 2 Building</v>
      </c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</row>
    <row r="1188" spans="1:26" ht="16.5" x14ac:dyDescent="0.35">
      <c r="A1188" s="2" t="str">
        <f ca="1">IFERROR(__xludf.DUMMYFUNCTION("""COMPUTED_VALUE"""),"Dubai")</f>
        <v>Dubai</v>
      </c>
      <c r="B1188" s="2" t="str">
        <f ca="1">IFERROR(__xludf.DUMMYFUNCTION("""COMPUTED_VALUE"""),"Laguna Tower")</f>
        <v>Laguna Tower</v>
      </c>
      <c r="C1188" s="2" t="str">
        <f ca="1">IFERROR(__xludf.DUMMYFUNCTION("""COMPUTED_VALUE"""),"Building")</f>
        <v>Building</v>
      </c>
      <c r="D1188" s="2" t="str">
        <f ca="1">IFERROR(__xludf.DUMMYFUNCTION("""COMPUTED_VALUE"""),"Dubai&gt;Jumeirah Lake Towers (JLT)&gt;JLT Cluster A&gt;Laguna Tower")</f>
        <v>Dubai&gt;Jumeirah Lake Towers (JLT)&gt;JLT Cluster A&gt;Laguna Tower</v>
      </c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</row>
    <row r="1189" spans="1:26" ht="16.5" x14ac:dyDescent="0.35">
      <c r="A1189" s="2" t="str">
        <f ca="1">IFERROR(__xludf.DUMMYFUNCTION("""COMPUTED_VALUE"""),"Dubai")</f>
        <v>Dubai</v>
      </c>
      <c r="B1189" s="2" t="str">
        <f ca="1">IFERROR(__xludf.DUMMYFUNCTION("""COMPUTED_VALUE"""),"Silver Tower (Ag Tower)")</f>
        <v>Silver Tower (Ag Tower)</v>
      </c>
      <c r="C1189" s="2" t="str">
        <f ca="1">IFERROR(__xludf.DUMMYFUNCTION("""COMPUTED_VALUE"""),"Building")</f>
        <v>Building</v>
      </c>
      <c r="D1189" s="2" t="str">
        <f ca="1">IFERROR(__xludf.DUMMYFUNCTION("""COMPUTED_VALUE"""),"Dubai&gt;Jumeirah Lake Towers (JLT)&gt;JLT Cluster I&gt;Silver Tower (Ag Tower)")</f>
        <v>Dubai&gt;Jumeirah Lake Towers (JLT)&gt;JLT Cluster I&gt;Silver Tower (Ag Tower)</v>
      </c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</row>
    <row r="1190" spans="1:26" ht="16.5" x14ac:dyDescent="0.35">
      <c r="A1190" s="2" t="str">
        <f ca="1">IFERROR(__xludf.DUMMYFUNCTION("""COMPUTED_VALUE"""),"Dubai")</f>
        <v>Dubai</v>
      </c>
      <c r="B1190" s="2" t="str">
        <f ca="1">IFERROR(__xludf.DUMMYFUNCTION("""COMPUTED_VALUE"""),"Armada Tower 1")</f>
        <v>Armada Tower 1</v>
      </c>
      <c r="C1190" s="2" t="str">
        <f ca="1">IFERROR(__xludf.DUMMYFUNCTION("""COMPUTED_VALUE"""),"Building")</f>
        <v>Building</v>
      </c>
      <c r="D1190" s="2" t="str">
        <f ca="1">IFERROR(__xludf.DUMMYFUNCTION("""COMPUTED_VALUE"""),"Dubai&gt;Jumeirah Lake Towers (JLT)&gt;JLT Cluster P&gt;Armada Towers&gt;Armada Tower 1")</f>
        <v>Dubai&gt;Jumeirah Lake Towers (JLT)&gt;JLT Cluster P&gt;Armada Towers&gt;Armada Tower 1</v>
      </c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</row>
    <row r="1191" spans="1:26" ht="16.5" x14ac:dyDescent="0.35">
      <c r="A1191" s="2" t="str">
        <f ca="1">IFERROR(__xludf.DUMMYFUNCTION("""COMPUTED_VALUE"""),"Dubai")</f>
        <v>Dubai</v>
      </c>
      <c r="B1191" s="2" t="str">
        <f ca="1">IFERROR(__xludf.DUMMYFUNCTION("""COMPUTED_VALUE"""),"Jumeirah Bay X3")</f>
        <v>Jumeirah Bay X3</v>
      </c>
      <c r="C1191" s="2" t="str">
        <f ca="1">IFERROR(__xludf.DUMMYFUNCTION("""COMPUTED_VALUE"""),"Building")</f>
        <v>Building</v>
      </c>
      <c r="D1191" s="2" t="str">
        <f ca="1">IFERROR(__xludf.DUMMYFUNCTION("""COMPUTED_VALUE"""),"Dubai&gt;Jumeirah Lake Towers (JLT)&gt;JLT Cluster X (Jumeirah Bay Towers)&gt;Jumeirah Bay X3")</f>
        <v>Dubai&gt;Jumeirah Lake Towers (JLT)&gt;JLT Cluster X (Jumeirah Bay Towers)&gt;Jumeirah Bay X3</v>
      </c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</row>
    <row r="1192" spans="1:26" ht="16.5" x14ac:dyDescent="0.35">
      <c r="A1192" s="2" t="str">
        <f ca="1">IFERROR(__xludf.DUMMYFUNCTION("""COMPUTED_VALUE"""),"Dubai")</f>
        <v>Dubai</v>
      </c>
      <c r="B1192" s="2" t="str">
        <f ca="1">IFERROR(__xludf.DUMMYFUNCTION("""COMPUTED_VALUE"""),"Icon Tower")</f>
        <v>Icon Tower</v>
      </c>
      <c r="C1192" s="2" t="str">
        <f ca="1">IFERROR(__xludf.DUMMYFUNCTION("""COMPUTED_VALUE"""),"Cluster")</f>
        <v>Cluster</v>
      </c>
      <c r="D1192" s="2" t="str">
        <f ca="1">IFERROR(__xludf.DUMMYFUNCTION("""COMPUTED_VALUE"""),"Dubai&gt;Jumeirah Lake Towers (JLT)&gt;Icon Tower")</f>
        <v>Dubai&gt;Jumeirah Lake Towers (JLT)&gt;Icon Tower</v>
      </c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</row>
    <row r="1193" spans="1:26" ht="16.5" x14ac:dyDescent="0.35">
      <c r="A1193" s="2" t="str">
        <f ca="1">IFERROR(__xludf.DUMMYFUNCTION("""COMPUTED_VALUE"""),"Dubai")</f>
        <v>Dubai</v>
      </c>
      <c r="B1193" s="2" t="str">
        <f ca="1">IFERROR(__xludf.DUMMYFUNCTION("""COMPUTED_VALUE"""),"Casa")</f>
        <v>Casa</v>
      </c>
      <c r="C1193" s="2" t="str">
        <f ca="1">IFERROR(__xludf.DUMMYFUNCTION("""COMPUTED_VALUE"""),"Neighbourhood")</f>
        <v>Neighbourhood</v>
      </c>
      <c r="D1193" s="2" t="str">
        <f ca="1">IFERROR(__xludf.DUMMYFUNCTION("""COMPUTED_VALUE"""),"Dubai&gt;Arabian Ranches 2&gt;Casa")</f>
        <v>Dubai&gt;Arabian Ranches 2&gt;Casa</v>
      </c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</row>
    <row r="1194" spans="1:26" ht="16.5" x14ac:dyDescent="0.35">
      <c r="A1194" s="2" t="str">
        <f ca="1">IFERROR(__xludf.DUMMYFUNCTION("""COMPUTED_VALUE"""),"Dubai")</f>
        <v>Dubai</v>
      </c>
      <c r="B1194" s="2" t="str">
        <f ca="1">IFERROR(__xludf.DUMMYFUNCTION("""COMPUTED_VALUE"""),"Dhana 2A")</f>
        <v>Dhana 2A</v>
      </c>
      <c r="C1194" s="2" t="str">
        <f ca="1">IFERROR(__xludf.DUMMYFUNCTION("""COMPUTED_VALUE"""),"Building")</f>
        <v>Building</v>
      </c>
      <c r="D1194" s="2" t="str">
        <f ca="1">IFERROR(__xludf.DUMMYFUNCTION("""COMPUTED_VALUE"""),"Dubai&gt;Al Satwa&gt;Jumeirah Garden City&gt;Dhana 2A")</f>
        <v>Dubai&gt;Al Satwa&gt;Jumeirah Garden City&gt;Dhana 2A</v>
      </c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</row>
    <row r="1195" spans="1:26" ht="16.5" x14ac:dyDescent="0.35">
      <c r="A1195" s="2" t="str">
        <f ca="1">IFERROR(__xludf.DUMMYFUNCTION("""COMPUTED_VALUE"""),"Dubai")</f>
        <v>Dubai</v>
      </c>
      <c r="B1195" s="2" t="str">
        <f ca="1">IFERROR(__xludf.DUMMYFUNCTION("""COMPUTED_VALUE"""),"Coral by Vision")</f>
        <v>Coral by Vision</v>
      </c>
      <c r="C1195" s="2" t="str">
        <f ca="1">IFERROR(__xludf.DUMMYFUNCTION("""COMPUTED_VALUE"""),"Building")</f>
        <v>Building</v>
      </c>
      <c r="D1195" s="2" t="str">
        <f ca="1">IFERROR(__xludf.DUMMYFUNCTION("""COMPUTED_VALUE"""),"Dubai&gt;Al Satwa&gt;Jumeirah Garden City&gt;Coral by Vision")</f>
        <v>Dubai&gt;Al Satwa&gt;Jumeirah Garden City&gt;Coral by Vision</v>
      </c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</row>
    <row r="1196" spans="1:26" ht="16.5" x14ac:dyDescent="0.35">
      <c r="A1196" s="2" t="str">
        <f ca="1">IFERROR(__xludf.DUMMYFUNCTION("""COMPUTED_VALUE"""),"Dubai")</f>
        <v>Dubai</v>
      </c>
      <c r="B1196" s="2" t="str">
        <f ca="1">IFERROR(__xludf.DUMMYFUNCTION("""COMPUTED_VALUE"""),"Chelsea Gardens")</f>
        <v>Chelsea Gardens</v>
      </c>
      <c r="C1196" s="2" t="str">
        <f ca="1">IFERROR(__xludf.DUMMYFUNCTION("""COMPUTED_VALUE"""),"Building")</f>
        <v>Building</v>
      </c>
      <c r="D1196" s="2" t="str">
        <f ca="1">IFERROR(__xludf.DUMMYFUNCTION("""COMPUTED_VALUE"""),"Dubai&gt;Al Satwa&gt;Jumeirah Garden City&gt;Chelsea Gardens")</f>
        <v>Dubai&gt;Al Satwa&gt;Jumeirah Garden City&gt;Chelsea Gardens</v>
      </c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</row>
    <row r="1197" spans="1:26" ht="16.5" x14ac:dyDescent="0.35">
      <c r="A1197" s="2" t="str">
        <f ca="1">IFERROR(__xludf.DUMMYFUNCTION("""COMPUTED_VALUE"""),"Dubai")</f>
        <v>Dubai</v>
      </c>
      <c r="B1197" s="2" t="str">
        <f ca="1">IFERROR(__xludf.DUMMYFUNCTION("""COMPUTED_VALUE"""),"Al Ameri Building")</f>
        <v>Al Ameri Building</v>
      </c>
      <c r="C1197" s="2" t="str">
        <f ca="1">IFERROR(__xludf.DUMMYFUNCTION("""COMPUTED_VALUE"""),"Building")</f>
        <v>Building</v>
      </c>
      <c r="D1197" s="2" t="str">
        <f ca="1">IFERROR(__xludf.DUMMYFUNCTION("""COMPUTED_VALUE"""),"Dubai&gt;Al Satwa&gt;Al Ameri Building")</f>
        <v>Dubai&gt;Al Satwa&gt;Al Ameri Building</v>
      </c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</row>
    <row r="1198" spans="1:26" ht="16.5" x14ac:dyDescent="0.35">
      <c r="A1198" s="2" t="str">
        <f ca="1">IFERROR(__xludf.DUMMYFUNCTION("""COMPUTED_VALUE"""),"Dubai")</f>
        <v>Dubai</v>
      </c>
      <c r="B1198" s="2" t="str">
        <f ca="1">IFERROR(__xludf.DUMMYFUNCTION("""COMPUTED_VALUE"""),"Discovery Gardens")</f>
        <v>Discovery Gardens</v>
      </c>
      <c r="C1198" s="2" t="str">
        <f ca="1">IFERROR(__xludf.DUMMYFUNCTION("""COMPUTED_VALUE"""),"Neighbourhood")</f>
        <v>Neighbourhood</v>
      </c>
      <c r="D1198" s="2" t="str">
        <f ca="1">IFERROR(__xludf.DUMMYFUNCTION("""COMPUTED_VALUE"""),"Dubai&gt;Discovery Gardens")</f>
        <v>Dubai&gt;Discovery Gardens</v>
      </c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</row>
    <row r="1199" spans="1:26" ht="16.5" x14ac:dyDescent="0.35">
      <c r="A1199" s="2" t="str">
        <f ca="1">IFERROR(__xludf.DUMMYFUNCTION("""COMPUTED_VALUE"""),"Dubai")</f>
        <v>Dubai</v>
      </c>
      <c r="B1199" s="2" t="str">
        <f ca="1">IFERROR(__xludf.DUMMYFUNCTION("""COMPUTED_VALUE"""),"Building 171")</f>
        <v>Building 171</v>
      </c>
      <c r="C1199" s="2" t="str">
        <f ca="1">IFERROR(__xludf.DUMMYFUNCTION("""COMPUTED_VALUE"""),"Building")</f>
        <v>Building</v>
      </c>
      <c r="D1199" s="2" t="str">
        <f ca="1">IFERROR(__xludf.DUMMYFUNCTION("""COMPUTED_VALUE"""),"Dubai&gt;Discovery Gardens&gt;Contemporary&gt;Building 171")</f>
        <v>Dubai&gt;Discovery Gardens&gt;Contemporary&gt;Building 171</v>
      </c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</row>
    <row r="1200" spans="1:26" ht="16.5" x14ac:dyDescent="0.35">
      <c r="A1200" s="2" t="str">
        <f ca="1">IFERROR(__xludf.DUMMYFUNCTION("""COMPUTED_VALUE"""),"Dubai")</f>
        <v>Dubai</v>
      </c>
      <c r="B1200" s="2" t="str">
        <f ca="1">IFERROR(__xludf.DUMMYFUNCTION("""COMPUTED_VALUE"""),"Building 188")</f>
        <v>Building 188</v>
      </c>
      <c r="C1200" s="2" t="str">
        <f ca="1">IFERROR(__xludf.DUMMYFUNCTION("""COMPUTED_VALUE"""),"Building")</f>
        <v>Building</v>
      </c>
      <c r="D1200" s="2" t="str">
        <f ca="1">IFERROR(__xludf.DUMMYFUNCTION("""COMPUTED_VALUE"""),"Dubai&gt;Discovery Gardens&gt;Mogul&gt;Building 188")</f>
        <v>Dubai&gt;Discovery Gardens&gt;Mogul&gt;Building 188</v>
      </c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</row>
    <row r="1201" spans="1:26" ht="16.5" x14ac:dyDescent="0.35">
      <c r="A1201" s="2" t="str">
        <f ca="1">IFERROR(__xludf.DUMMYFUNCTION("""COMPUTED_VALUE"""),"Dubai")</f>
        <v>Dubai</v>
      </c>
      <c r="B1201" s="2" t="str">
        <f ca="1">IFERROR(__xludf.DUMMYFUNCTION("""COMPUTED_VALUE"""),"Building 229")</f>
        <v>Building 229</v>
      </c>
      <c r="C1201" s="2" t="str">
        <f ca="1">IFERROR(__xludf.DUMMYFUNCTION("""COMPUTED_VALUE"""),"Building")</f>
        <v>Building</v>
      </c>
      <c r="D1201" s="2" t="str">
        <f ca="1">IFERROR(__xludf.DUMMYFUNCTION("""COMPUTED_VALUE"""),"Dubai&gt;Discovery Gardens&gt;Mogul&gt;Building 229")</f>
        <v>Dubai&gt;Discovery Gardens&gt;Mogul&gt;Building 229</v>
      </c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</row>
    <row r="1202" spans="1:26" ht="16.5" x14ac:dyDescent="0.35">
      <c r="A1202" s="2" t="str">
        <f ca="1">IFERROR(__xludf.DUMMYFUNCTION("""COMPUTED_VALUE"""),"Dubai")</f>
        <v>Dubai</v>
      </c>
      <c r="B1202" s="2" t="str">
        <f ca="1">IFERROR(__xludf.DUMMYFUNCTION("""COMPUTED_VALUE"""),"Building 24")</f>
        <v>Building 24</v>
      </c>
      <c r="C1202" s="2" t="str">
        <f ca="1">IFERROR(__xludf.DUMMYFUNCTION("""COMPUTED_VALUE"""),"Building")</f>
        <v>Building</v>
      </c>
      <c r="D1202" s="2" t="str">
        <f ca="1">IFERROR(__xludf.DUMMYFUNCTION("""COMPUTED_VALUE"""),"Dubai&gt;Discovery Gardens&gt;Zen Cluster&gt;Building 24")</f>
        <v>Dubai&gt;Discovery Gardens&gt;Zen Cluster&gt;Building 24</v>
      </c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</row>
    <row r="1203" spans="1:26" ht="16.5" x14ac:dyDescent="0.35">
      <c r="A1203" s="2" t="str">
        <f ca="1">IFERROR(__xludf.DUMMYFUNCTION("""COMPUTED_VALUE"""),"Dubai")</f>
        <v>Dubai</v>
      </c>
      <c r="B1203" s="2" t="str">
        <f ca="1">IFERROR(__xludf.DUMMYFUNCTION("""COMPUTED_VALUE"""),"Building 105")</f>
        <v>Building 105</v>
      </c>
      <c r="C1203" s="2" t="str">
        <f ca="1">IFERROR(__xludf.DUMMYFUNCTION("""COMPUTED_VALUE"""),"Building")</f>
        <v>Building</v>
      </c>
      <c r="D1203" s="2" t="str">
        <f ca="1">IFERROR(__xludf.DUMMYFUNCTION("""COMPUTED_VALUE"""),"Dubai&gt;Discovery Gardens&gt;Mediterranean&gt;Building 105")</f>
        <v>Dubai&gt;Discovery Gardens&gt;Mediterranean&gt;Building 105</v>
      </c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</row>
    <row r="1204" spans="1:26" ht="16.5" x14ac:dyDescent="0.35">
      <c r="A1204" s="2" t="str">
        <f ca="1">IFERROR(__xludf.DUMMYFUNCTION("""COMPUTED_VALUE"""),"Dubai")</f>
        <v>Dubai</v>
      </c>
      <c r="B1204" s="2" t="str">
        <f ca="1">IFERROR(__xludf.DUMMYFUNCTION("""COMPUTED_VALUE"""),"Building 72")</f>
        <v>Building 72</v>
      </c>
      <c r="C1204" s="2" t="str">
        <f ca="1">IFERROR(__xludf.DUMMYFUNCTION("""COMPUTED_VALUE"""),"Building")</f>
        <v>Building</v>
      </c>
      <c r="D1204" s="2" t="str">
        <f ca="1">IFERROR(__xludf.DUMMYFUNCTION("""COMPUTED_VALUE"""),"Dubai&gt;Discovery Gardens&gt;Mediterranean&gt;Building 72")</f>
        <v>Dubai&gt;Discovery Gardens&gt;Mediterranean&gt;Building 72</v>
      </c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</row>
    <row r="1205" spans="1:26" ht="16.5" x14ac:dyDescent="0.35">
      <c r="A1205" s="2" t="str">
        <f ca="1">IFERROR(__xludf.DUMMYFUNCTION("""COMPUTED_VALUE"""),"Dubai")</f>
        <v>Dubai</v>
      </c>
      <c r="B1205" s="2" t="str">
        <f ca="1">IFERROR(__xludf.DUMMYFUNCTION("""COMPUTED_VALUE"""),"Trussardi Residences 2 Tower 1")</f>
        <v>Trussardi Residences 2 Tower 1</v>
      </c>
      <c r="C1205" s="2" t="str">
        <f ca="1">IFERROR(__xludf.DUMMYFUNCTION("""COMPUTED_VALUE"""),"Building")</f>
        <v>Building</v>
      </c>
      <c r="D1205" s="2" t="str">
        <f ca="1">IFERROR(__xludf.DUMMYFUNCTION("""COMPUTED_VALUE"""),"Dubai&gt;Discovery Gardens&gt;Trussardi Residences 2&gt;Trussardi Residences 2 Tower 1")</f>
        <v>Dubai&gt;Discovery Gardens&gt;Trussardi Residences 2&gt;Trussardi Residences 2 Tower 1</v>
      </c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</row>
    <row r="1206" spans="1:26" ht="16.5" x14ac:dyDescent="0.35">
      <c r="A1206" s="2" t="str">
        <f ca="1">IFERROR(__xludf.DUMMYFUNCTION("""COMPUTED_VALUE"""),"Dubai")</f>
        <v>Dubai</v>
      </c>
      <c r="B1206" s="2" t="str">
        <f ca="1">IFERROR(__xludf.DUMMYFUNCTION("""COMPUTED_VALUE"""),"Al Tamr")</f>
        <v>Al Tamr</v>
      </c>
      <c r="C1206" s="2" t="str">
        <f ca="1">IFERROR(__xludf.DUMMYFUNCTION("""COMPUTED_VALUE"""),"Building")</f>
        <v>Building</v>
      </c>
      <c r="D1206" s="2" t="str">
        <f ca="1">IFERROR(__xludf.DUMMYFUNCTION("""COMPUTED_VALUE"""),"Dubai&gt;Palm Jumeirah&gt;Shoreline Apartments&gt;Al Tamr")</f>
        <v>Dubai&gt;Palm Jumeirah&gt;Shoreline Apartments&gt;Al Tamr</v>
      </c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</row>
    <row r="1207" spans="1:26" ht="16.5" x14ac:dyDescent="0.35">
      <c r="A1207" s="2" t="str">
        <f ca="1">IFERROR(__xludf.DUMMYFUNCTION("""COMPUTED_VALUE"""),"Dubai")</f>
        <v>Dubai</v>
      </c>
      <c r="B1207" s="2" t="str">
        <f ca="1">IFERROR(__xludf.DUMMYFUNCTION("""COMPUTED_VALUE"""),"Signature Villas Frond P")</f>
        <v>Signature Villas Frond P</v>
      </c>
      <c r="C1207" s="2" t="str">
        <f ca="1">IFERROR(__xludf.DUMMYFUNCTION("""COMPUTED_VALUE"""),"Neighbourhood")</f>
        <v>Neighbourhood</v>
      </c>
      <c r="D1207" s="2" t="str">
        <f ca="1">IFERROR(__xludf.DUMMYFUNCTION("""COMPUTED_VALUE"""),"Dubai&gt;Palm Jumeirah&gt;Signature Villas Palm Jumeirah&gt;Signature Villas Frond P")</f>
        <v>Dubai&gt;Palm Jumeirah&gt;Signature Villas Palm Jumeirah&gt;Signature Villas Frond P</v>
      </c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</row>
    <row r="1208" spans="1:26" ht="16.5" x14ac:dyDescent="0.35">
      <c r="A1208" s="2" t="str">
        <f ca="1">IFERROR(__xludf.DUMMYFUNCTION("""COMPUTED_VALUE"""),"Dubai")</f>
        <v>Dubai</v>
      </c>
      <c r="B1208" s="2" t="str">
        <f ca="1">IFERROR(__xludf.DUMMYFUNCTION("""COMPUTED_VALUE"""),"Marina Residences")</f>
        <v>Marina Residences</v>
      </c>
      <c r="C1208" s="2" t="str">
        <f ca="1">IFERROR(__xludf.DUMMYFUNCTION("""COMPUTED_VALUE"""),"Cluster")</f>
        <v>Cluster</v>
      </c>
      <c r="D1208" s="2" t="str">
        <f ca="1">IFERROR(__xludf.DUMMYFUNCTION("""COMPUTED_VALUE"""),"Dubai&gt;Palm Jumeirah&gt;Marina Residences")</f>
        <v>Dubai&gt;Palm Jumeirah&gt;Marina Residences</v>
      </c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</row>
    <row r="1209" spans="1:26" ht="16.5" x14ac:dyDescent="0.35">
      <c r="A1209" s="2" t="str">
        <f ca="1">IFERROR(__xludf.DUMMYFUNCTION("""COMPUTED_VALUE"""),"Dubai")</f>
        <v>Dubai</v>
      </c>
      <c r="B1209" s="2" t="str">
        <f ca="1">IFERROR(__xludf.DUMMYFUNCTION("""COMPUTED_VALUE"""),"Passo by Beyond Tower A")</f>
        <v>Passo by Beyond Tower A</v>
      </c>
      <c r="C1209" s="2" t="str">
        <f ca="1">IFERROR(__xludf.DUMMYFUNCTION("""COMPUTED_VALUE"""),"Building")</f>
        <v>Building</v>
      </c>
      <c r="D1209" s="2" t="str">
        <f ca="1">IFERROR(__xludf.DUMMYFUNCTION("""COMPUTED_VALUE"""),"Dubai&gt;Palm Jumeirah&gt;The Crescent&gt;Passo by Beyond&gt;Passo by Beyond Tower A")</f>
        <v>Dubai&gt;Palm Jumeirah&gt;The Crescent&gt;Passo by Beyond&gt;Passo by Beyond Tower A</v>
      </c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</row>
    <row r="1210" spans="1:26" ht="16.5" x14ac:dyDescent="0.35">
      <c r="A1210" s="2" t="str">
        <f ca="1">IFERROR(__xludf.DUMMYFUNCTION("""COMPUTED_VALUE"""),"Dubai")</f>
        <v>Dubai</v>
      </c>
      <c r="B1210" s="2" t="str">
        <f ca="1">IFERROR(__xludf.DUMMYFUNCTION("""COMPUTED_VALUE"""),"Ava")</f>
        <v>Ava</v>
      </c>
      <c r="C1210" s="2" t="str">
        <f ca="1">IFERROR(__xludf.DUMMYFUNCTION("""COMPUTED_VALUE"""),"Building")</f>
        <v>Building</v>
      </c>
      <c r="D1210" s="2" t="str">
        <f ca="1">IFERROR(__xludf.DUMMYFUNCTION("""COMPUTED_VALUE"""),"Dubai&gt;Palm Jumeirah&gt;Ava")</f>
        <v>Dubai&gt;Palm Jumeirah&gt;Ava</v>
      </c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</row>
    <row r="1211" spans="1:26" ht="16.5" x14ac:dyDescent="0.35">
      <c r="A1211" s="2" t="str">
        <f ca="1">IFERROR(__xludf.DUMMYFUNCTION("""COMPUTED_VALUE"""),"Dubai")</f>
        <v>Dubai</v>
      </c>
      <c r="B1211" s="2" t="str">
        <f ca="1">IFERROR(__xludf.DUMMYFUNCTION("""COMPUTED_VALUE"""),"New Golden Mile 3 (Cheval Maison)")</f>
        <v>New Golden Mile 3 (Cheval Maison)</v>
      </c>
      <c r="C1211" s="2" t="str">
        <f ca="1">IFERROR(__xludf.DUMMYFUNCTION("""COMPUTED_VALUE"""),"Building")</f>
        <v>Building</v>
      </c>
      <c r="D1211" s="2" t="str">
        <f ca="1">IFERROR(__xludf.DUMMYFUNCTION("""COMPUTED_VALUE"""),"Dubai&gt;Palm Jumeirah&gt;New Golden Mile 3 (Cheval Maison)")</f>
        <v>Dubai&gt;Palm Jumeirah&gt;New Golden Mile 3 (Cheval Maison)</v>
      </c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</row>
    <row r="1212" spans="1:26" ht="16.5" x14ac:dyDescent="0.35">
      <c r="A1212" s="2" t="str">
        <f ca="1">IFERROR(__xludf.DUMMYFUNCTION("""COMPUTED_VALUE"""),"Dubai")</f>
        <v>Dubai</v>
      </c>
      <c r="B1212" s="2" t="str">
        <f ca="1">IFERROR(__xludf.DUMMYFUNCTION("""COMPUTED_VALUE"""),"Ayedh Tower")</f>
        <v>Ayedh Tower</v>
      </c>
      <c r="C1212" s="2" t="str">
        <f ca="1">IFERROR(__xludf.DUMMYFUNCTION("""COMPUTED_VALUE"""),"Building")</f>
        <v>Building</v>
      </c>
      <c r="D1212" s="2" t="str">
        <f ca="1">IFERROR(__xludf.DUMMYFUNCTION("""COMPUTED_VALUE"""),"Dubai&gt;Al Jaddaf&gt;Ayedh Tower")</f>
        <v>Dubai&gt;Al Jaddaf&gt;Ayedh Tower</v>
      </c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</row>
    <row r="1213" spans="1:26" ht="16.5" x14ac:dyDescent="0.35">
      <c r="A1213" s="2" t="str">
        <f ca="1">IFERROR(__xludf.DUMMYFUNCTION("""COMPUTED_VALUE"""),"Dubai")</f>
        <v>Dubai</v>
      </c>
      <c r="B1213" s="2" t="str">
        <f ca="1">IFERROR(__xludf.DUMMYFUNCTION("""COMPUTED_VALUE"""),"Binghatti Starlight")</f>
        <v>Binghatti Starlight</v>
      </c>
      <c r="C1213" s="2" t="str">
        <f ca="1">IFERROR(__xludf.DUMMYFUNCTION("""COMPUTED_VALUE"""),"Building")</f>
        <v>Building</v>
      </c>
      <c r="D1213" s="2" t="str">
        <f ca="1">IFERROR(__xludf.DUMMYFUNCTION("""COMPUTED_VALUE"""),"Dubai&gt;Al Jaddaf&gt;Dubai Healthcare City Phase 2&gt;Binghatti Starlight")</f>
        <v>Dubai&gt;Al Jaddaf&gt;Dubai Healthcare City Phase 2&gt;Binghatti Starlight</v>
      </c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</row>
    <row r="1214" spans="1:26" ht="16.5" x14ac:dyDescent="0.35">
      <c r="A1214" s="2" t="str">
        <f ca="1">IFERROR(__xludf.DUMMYFUNCTION("""COMPUTED_VALUE"""),"Dubai")</f>
        <v>Dubai</v>
      </c>
      <c r="B1214" s="2" t="str">
        <f ca="1">IFERROR(__xludf.DUMMYFUNCTION("""COMPUTED_VALUE"""),"Jadaf Building")</f>
        <v>Jadaf Building</v>
      </c>
      <c r="C1214" s="2" t="str">
        <f ca="1">IFERROR(__xludf.DUMMYFUNCTION("""COMPUTED_VALUE"""),"Building")</f>
        <v>Building</v>
      </c>
      <c r="D1214" s="2" t="str">
        <f ca="1">IFERROR(__xludf.DUMMYFUNCTION("""COMPUTED_VALUE"""),"Dubai&gt;Al Jaddaf&gt;Jadaf Building")</f>
        <v>Dubai&gt;Al Jaddaf&gt;Jadaf Building</v>
      </c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</row>
    <row r="1215" spans="1:26" ht="16.5" x14ac:dyDescent="0.35">
      <c r="A1215" s="2" t="str">
        <f ca="1">IFERROR(__xludf.DUMMYFUNCTION("""COMPUTED_VALUE"""),"Dubai")</f>
        <v>Dubai</v>
      </c>
      <c r="B1215" s="2" t="str">
        <f ca="1">IFERROR(__xludf.DUMMYFUNCTION("""COMPUTED_VALUE"""),"Al Marzooqi Tower")</f>
        <v>Al Marzooqi Tower</v>
      </c>
      <c r="C1215" s="2" t="str">
        <f ca="1">IFERROR(__xludf.DUMMYFUNCTION("""COMPUTED_VALUE"""),"Building")</f>
        <v>Building</v>
      </c>
      <c r="D1215" s="2" t="str">
        <f ca="1">IFERROR(__xludf.DUMMYFUNCTION("""COMPUTED_VALUE"""),"Dubai&gt;Al Jaddaf&gt;Al Marzooqi Tower")</f>
        <v>Dubai&gt;Al Jaddaf&gt;Al Marzooqi Tower</v>
      </c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</row>
    <row r="1216" spans="1:26" ht="16.5" x14ac:dyDescent="0.35">
      <c r="A1216" s="2" t="str">
        <f ca="1">IFERROR(__xludf.DUMMYFUNCTION("""COMPUTED_VALUE"""),"Dubai")</f>
        <v>Dubai</v>
      </c>
      <c r="B1216" s="2" t="str">
        <f ca="1">IFERROR(__xludf.DUMMYFUNCTION("""COMPUTED_VALUE"""),"Frond H")</f>
        <v>Frond H</v>
      </c>
      <c r="C1216" s="2" t="str">
        <f ca="1">IFERROR(__xludf.DUMMYFUNCTION("""COMPUTED_VALUE"""),"Neighbourhood")</f>
        <v>Neighbourhood</v>
      </c>
      <c r="D1216" s="2" t="str">
        <f ca="1">IFERROR(__xludf.DUMMYFUNCTION("""COMPUTED_VALUE"""),"Dubai&gt;Palm Jebel Ali&gt;Frond H")</f>
        <v>Dubai&gt;Palm Jebel Ali&gt;Frond H</v>
      </c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</row>
    <row r="1217" spans="1:26" ht="16.5" x14ac:dyDescent="0.35">
      <c r="A1217" s="2" t="str">
        <f ca="1">IFERROR(__xludf.DUMMYFUNCTION("""COMPUTED_VALUE"""),"Dubai")</f>
        <v>Dubai</v>
      </c>
      <c r="B1217" s="2" t="str">
        <f ca="1">IFERROR(__xludf.DUMMYFUNCTION("""COMPUTED_VALUE"""),"Himalaya BTS Building")</f>
        <v>Himalaya BTS Building</v>
      </c>
      <c r="C1217" s="2" t="str">
        <f ca="1">IFERROR(__xludf.DUMMYFUNCTION("""COMPUTED_VALUE"""),"Building")</f>
        <v>Building</v>
      </c>
      <c r="D1217" s="2" t="str">
        <f ca="1">IFERROR(__xludf.DUMMYFUNCTION("""COMPUTED_VALUE"""),"Dubai&gt;Dubai Science Park&gt;Himalaya BTS Building")</f>
        <v>Dubai&gt;Dubai Science Park&gt;Himalaya BTS Building</v>
      </c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</row>
    <row r="1218" spans="1:26" ht="16.5" x14ac:dyDescent="0.35">
      <c r="A1218" s="2" t="str">
        <f ca="1">IFERROR(__xludf.DUMMYFUNCTION("""COMPUTED_VALUE"""),"Dubai")</f>
        <v>Dubai</v>
      </c>
      <c r="B1218" s="2" t="str">
        <f ca="1">IFERROR(__xludf.DUMMYFUNCTION("""COMPUTED_VALUE"""),"The Springs 9")</f>
        <v>The Springs 9</v>
      </c>
      <c r="C1218" s="2" t="str">
        <f ca="1">IFERROR(__xludf.DUMMYFUNCTION("""COMPUTED_VALUE"""),"Neighbourhood")</f>
        <v>Neighbourhood</v>
      </c>
      <c r="D1218" s="2" t="str">
        <f ca="1">IFERROR(__xludf.DUMMYFUNCTION("""COMPUTED_VALUE"""),"Dubai&gt;The Springs&gt;The Springs 9")</f>
        <v>Dubai&gt;The Springs&gt;The Springs 9</v>
      </c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</row>
    <row r="1219" spans="1:26" ht="16.5" x14ac:dyDescent="0.35">
      <c r="A1219" s="2" t="str">
        <f ca="1">IFERROR(__xludf.DUMMYFUNCTION("""COMPUTED_VALUE"""),"Dubai")</f>
        <v>Dubai</v>
      </c>
      <c r="B1219" s="2" t="str">
        <f ca="1">IFERROR(__xludf.DUMMYFUNCTION("""COMPUTED_VALUE"""),"Hillside Residences 3 Building D")</f>
        <v>Hillside Residences 3 Building D</v>
      </c>
      <c r="C1219" s="2" t="str">
        <f ca="1">IFERROR(__xludf.DUMMYFUNCTION("""COMPUTED_VALUE"""),"Building")</f>
        <v>Building</v>
      </c>
      <c r="D1219" s="2" t="str">
        <f ca="1">IFERROR(__xludf.DUMMYFUNCTION("""COMPUTED_VALUE"""),"Dubai&gt;Wasl Gate&gt;Hillside Residences&gt;Hillside Residences 3&gt;Hillside Residences 3 Building D")</f>
        <v>Dubai&gt;Wasl Gate&gt;Hillside Residences&gt;Hillside Residences 3&gt;Hillside Residences 3 Building D</v>
      </c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</row>
    <row r="1220" spans="1:26" ht="16.5" x14ac:dyDescent="0.35">
      <c r="A1220" s="2" t="str">
        <f ca="1">IFERROR(__xludf.DUMMYFUNCTION("""COMPUTED_VALUE"""),"Dubai")</f>
        <v>Dubai</v>
      </c>
      <c r="B1220" s="2" t="str">
        <f ca="1">IFERROR(__xludf.DUMMYFUNCTION("""COMPUTED_VALUE"""),"Nad Al Sheba Gardens 2")</f>
        <v>Nad Al Sheba Gardens 2</v>
      </c>
      <c r="C1220" s="2" t="str">
        <f ca="1">IFERROR(__xludf.DUMMYFUNCTION("""COMPUTED_VALUE"""),"Neighbourhood")</f>
        <v>Neighbourhood</v>
      </c>
      <c r="D1220" s="2" t="str">
        <f ca="1">IFERROR(__xludf.DUMMYFUNCTION("""COMPUTED_VALUE"""),"Dubai&gt;Nad Al Sheba&gt;Nad Al Sheba 1&gt;Nad Al Sheba Gardens&gt;Nad Al Sheba Gardens 2")</f>
        <v>Dubai&gt;Nad Al Sheba&gt;Nad Al Sheba 1&gt;Nad Al Sheba Gardens&gt;Nad Al Sheba Gardens 2</v>
      </c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</row>
    <row r="1221" spans="1:26" ht="16.5" x14ac:dyDescent="0.35">
      <c r="A1221" s="2" t="str">
        <f ca="1">IFERROR(__xludf.DUMMYFUNCTION("""COMPUTED_VALUE"""),"Dubai")</f>
        <v>Dubai</v>
      </c>
      <c r="B1221" s="2" t="str">
        <f ca="1">IFERROR(__xludf.DUMMYFUNCTION("""COMPUTED_VALUE"""),"Office Park Block E")</f>
        <v>Office Park Block E</v>
      </c>
      <c r="C1221" s="2" t="str">
        <f ca="1">IFERROR(__xludf.DUMMYFUNCTION("""COMPUTED_VALUE"""),"Building")</f>
        <v>Building</v>
      </c>
      <c r="D1221" s="2" t="str">
        <f ca="1">IFERROR(__xludf.DUMMYFUNCTION("""COMPUTED_VALUE"""),"Dubai&gt;Dubai Internet City&gt;Office Park&gt;Office Park Block E")</f>
        <v>Dubai&gt;Dubai Internet City&gt;Office Park&gt;Office Park Block E</v>
      </c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</row>
    <row r="1222" spans="1:26" ht="16.5" x14ac:dyDescent="0.35">
      <c r="A1222" s="2" t="str">
        <f ca="1">IFERROR(__xludf.DUMMYFUNCTION("""COMPUTED_VALUE"""),"Dubai")</f>
        <v>Dubai</v>
      </c>
      <c r="B1222" s="2" t="str">
        <f ca="1">IFERROR(__xludf.DUMMYFUNCTION("""COMPUTED_VALUE"""),"DIC 7")</f>
        <v>DIC 7</v>
      </c>
      <c r="C1222" s="2" t="str">
        <f ca="1">IFERROR(__xludf.DUMMYFUNCTION("""COMPUTED_VALUE"""),"Building")</f>
        <v>Building</v>
      </c>
      <c r="D1222" s="2" t="str">
        <f ca="1">IFERROR(__xludf.DUMMYFUNCTION("""COMPUTED_VALUE"""),"Dubai&gt;Dubai Internet City&gt;DIC&gt;DIC 7")</f>
        <v>Dubai&gt;Dubai Internet City&gt;DIC&gt;DIC 7</v>
      </c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</row>
    <row r="1223" spans="1:26" ht="16.5" x14ac:dyDescent="0.35">
      <c r="A1223" s="2" t="str">
        <f ca="1">IFERROR(__xludf.DUMMYFUNCTION("""COMPUTED_VALUE"""),"Dubai")</f>
        <v>Dubai</v>
      </c>
      <c r="B1223" s="2" t="str">
        <f ca="1">IFERROR(__xludf.DUMMYFUNCTION("""COMPUTED_VALUE"""),"Al Lisaili")</f>
        <v>Al Lisaili</v>
      </c>
      <c r="C1223" s="2" t="str">
        <f ca="1">IFERROR(__xludf.DUMMYFUNCTION("""COMPUTED_VALUE"""),"Neighbourhood")</f>
        <v>Neighbourhood</v>
      </c>
      <c r="D1223" s="2" t="str">
        <f ca="1">IFERROR(__xludf.DUMMYFUNCTION("""COMPUTED_VALUE"""),"Dubai&gt;Al Lisaili")</f>
        <v>Dubai&gt;Al Lisaili</v>
      </c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</row>
    <row r="1224" spans="1:26" ht="16.5" x14ac:dyDescent="0.35">
      <c r="A1224" s="2" t="str">
        <f ca="1">IFERROR(__xludf.DUMMYFUNCTION("""COMPUTED_VALUE"""),"Dubai")</f>
        <v>Dubai</v>
      </c>
      <c r="B1224" s="2" t="str">
        <f ca="1">IFERROR(__xludf.DUMMYFUNCTION("""COMPUTED_VALUE"""),"Ocean Star Building 2")</f>
        <v>Ocean Star Building 2</v>
      </c>
      <c r="C1224" s="2" t="str">
        <f ca="1">IFERROR(__xludf.DUMMYFUNCTION("""COMPUTED_VALUE"""),"Building")</f>
        <v>Building</v>
      </c>
      <c r="D1224" s="2" t="str">
        <f ca="1">IFERROR(__xludf.DUMMYFUNCTION("""COMPUTED_VALUE"""),"Dubai&gt;Mina Rashid&gt;Ocean Star&gt;Ocean Star Building 2")</f>
        <v>Dubai&gt;Mina Rashid&gt;Ocean Star&gt;Ocean Star Building 2</v>
      </c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</row>
    <row r="1225" spans="1:26" ht="16.5" x14ac:dyDescent="0.35">
      <c r="A1225" s="2" t="str">
        <f ca="1">IFERROR(__xludf.DUMMYFUNCTION("""COMPUTED_VALUE"""),"Dubai")</f>
        <v>Dubai</v>
      </c>
      <c r="B1225" s="2" t="str">
        <f ca="1">IFERROR(__xludf.DUMMYFUNCTION("""COMPUTED_VALUE"""),"Montgomerie Maisonettes")</f>
        <v>Montgomerie Maisonettes</v>
      </c>
      <c r="C1225" s="2" t="str">
        <f ca="1">IFERROR(__xludf.DUMMYFUNCTION("""COMPUTED_VALUE"""),"Neighbourhood")</f>
        <v>Neighbourhood</v>
      </c>
      <c r="D1225" s="2" t="str">
        <f ca="1">IFERROR(__xludf.DUMMYFUNCTION("""COMPUTED_VALUE"""),"Dubai&gt;Emirates Hills&gt;Montgomerie Maisonettes")</f>
        <v>Dubai&gt;Emirates Hills&gt;Montgomerie Maisonettes</v>
      </c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</row>
    <row r="1226" spans="1:26" ht="16.5" x14ac:dyDescent="0.35">
      <c r="A1226" s="2" t="str">
        <f ca="1">IFERROR(__xludf.DUMMYFUNCTION("""COMPUTED_VALUE"""),"Dubai")</f>
        <v>Dubai</v>
      </c>
      <c r="B1226" s="2" t="str">
        <f ca="1">IFERROR(__xludf.DUMMYFUNCTION("""COMPUTED_VALUE"""),"Elva")</f>
        <v>Elva</v>
      </c>
      <c r="C1226" s="2" t="str">
        <f ca="1">IFERROR(__xludf.DUMMYFUNCTION("""COMPUTED_VALUE"""),"Neighbourhood")</f>
        <v>Neighbourhood</v>
      </c>
      <c r="D1226" s="2" t="str">
        <f ca="1">IFERROR(__xludf.DUMMYFUNCTION("""COMPUTED_VALUE"""),"Dubai&gt;The Valley by Emaar&gt;Elva")</f>
        <v>Dubai&gt;The Valley by Emaar&gt;Elva</v>
      </c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</row>
    <row r="1227" spans="1:26" ht="16.5" x14ac:dyDescent="0.35">
      <c r="A1227" s="2" t="str">
        <f ca="1">IFERROR(__xludf.DUMMYFUNCTION("""COMPUTED_VALUE"""),"Dubai")</f>
        <v>Dubai</v>
      </c>
      <c r="B1227" s="2" t="str">
        <f ca="1">IFERROR(__xludf.DUMMYFUNCTION("""COMPUTED_VALUE"""),"Alma")</f>
        <v>Alma</v>
      </c>
      <c r="C1227" s="2" t="str">
        <f ca="1">IFERROR(__xludf.DUMMYFUNCTION("""COMPUTED_VALUE"""),"Neighbourhood")</f>
        <v>Neighbourhood</v>
      </c>
      <c r="D1227" s="2" t="str">
        <f ca="1">IFERROR(__xludf.DUMMYFUNCTION("""COMPUTED_VALUE"""),"Dubai&gt;Arabian Ranches&gt;Alma")</f>
        <v>Dubai&gt;Arabian Ranches&gt;Alma</v>
      </c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</row>
    <row r="1228" spans="1:26" ht="16.5" x14ac:dyDescent="0.35">
      <c r="A1228" s="2" t="str">
        <f ca="1">IFERROR(__xludf.DUMMYFUNCTION("""COMPUTED_VALUE"""),"Dubai")</f>
        <v>Dubai</v>
      </c>
      <c r="B1228" s="2" t="str">
        <f ca="1">IFERROR(__xludf.DUMMYFUNCTION("""COMPUTED_VALUE"""),"The Gardens Building 91")</f>
        <v>The Gardens Building 91</v>
      </c>
      <c r="C1228" s="2" t="str">
        <f ca="1">IFERROR(__xludf.DUMMYFUNCTION("""COMPUTED_VALUE"""),"Building")</f>
        <v>Building</v>
      </c>
      <c r="D1228" s="2" t="str">
        <f ca="1">IFERROR(__xludf.DUMMYFUNCTION("""COMPUTED_VALUE"""),"Dubai&gt;The Gardens&gt;The Gardens Building 91")</f>
        <v>Dubai&gt;The Gardens&gt;The Gardens Building 91</v>
      </c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</row>
    <row r="1229" spans="1:26" ht="16.5" x14ac:dyDescent="0.35">
      <c r="A1229" s="2" t="str">
        <f ca="1">IFERROR(__xludf.DUMMYFUNCTION("""COMPUTED_VALUE"""),"Dubai")</f>
        <v>Dubai</v>
      </c>
      <c r="B1229" s="2" t="str">
        <f ca="1">IFERROR(__xludf.DUMMYFUNCTION("""COMPUTED_VALUE"""),"The Gardens Building 70")</f>
        <v>The Gardens Building 70</v>
      </c>
      <c r="C1229" s="2" t="str">
        <f ca="1">IFERROR(__xludf.DUMMYFUNCTION("""COMPUTED_VALUE"""),"Building")</f>
        <v>Building</v>
      </c>
      <c r="D1229" s="2" t="str">
        <f ca="1">IFERROR(__xludf.DUMMYFUNCTION("""COMPUTED_VALUE"""),"Dubai&gt;The Gardens&gt;The Gardens Building 70")</f>
        <v>Dubai&gt;The Gardens&gt;The Gardens Building 70</v>
      </c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</row>
    <row r="1230" spans="1:26" ht="16.5" x14ac:dyDescent="0.35">
      <c r="A1230" s="2" t="str">
        <f ca="1">IFERROR(__xludf.DUMMYFUNCTION("""COMPUTED_VALUE"""),"Dubai")</f>
        <v>Dubai</v>
      </c>
      <c r="B1230" s="2" t="str">
        <f ca="1">IFERROR(__xludf.DUMMYFUNCTION("""COMPUTED_VALUE"""),"The Gardens Building 112")</f>
        <v>The Gardens Building 112</v>
      </c>
      <c r="C1230" s="2" t="str">
        <f ca="1">IFERROR(__xludf.DUMMYFUNCTION("""COMPUTED_VALUE"""),"Building")</f>
        <v>Building</v>
      </c>
      <c r="D1230" s="2" t="str">
        <f ca="1">IFERROR(__xludf.DUMMYFUNCTION("""COMPUTED_VALUE"""),"Dubai&gt;The Gardens&gt;The Gardens Building 112")</f>
        <v>Dubai&gt;The Gardens&gt;The Gardens Building 112</v>
      </c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</row>
    <row r="1231" spans="1:26" ht="16.5" x14ac:dyDescent="0.35">
      <c r="A1231" s="2" t="str">
        <f ca="1">IFERROR(__xludf.DUMMYFUNCTION("""COMPUTED_VALUE"""),"Dubai")</f>
        <v>Dubai</v>
      </c>
      <c r="B1231" s="2" t="str">
        <f ca="1">IFERROR(__xludf.DUMMYFUNCTION("""COMPUTED_VALUE"""),"The Gardens Building 35")</f>
        <v>The Gardens Building 35</v>
      </c>
      <c r="C1231" s="2" t="str">
        <f ca="1">IFERROR(__xludf.DUMMYFUNCTION("""COMPUTED_VALUE"""),"Building")</f>
        <v>Building</v>
      </c>
      <c r="D1231" s="2" t="str">
        <f ca="1">IFERROR(__xludf.DUMMYFUNCTION("""COMPUTED_VALUE"""),"Dubai&gt;The Gardens&gt;The Gardens Building 35")</f>
        <v>Dubai&gt;The Gardens&gt;The Gardens Building 35</v>
      </c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</row>
    <row r="1232" spans="1:26" ht="16.5" x14ac:dyDescent="0.35">
      <c r="A1232" s="2" t="str">
        <f ca="1">IFERROR(__xludf.DUMMYFUNCTION("""COMPUTED_VALUE"""),"Dubai")</f>
        <v>Dubai</v>
      </c>
      <c r="B1232" s="2" t="str">
        <f ca="1">IFERROR(__xludf.DUMMYFUNCTION("""COMPUTED_VALUE"""),"Soul Avenue")</f>
        <v>Soul Avenue</v>
      </c>
      <c r="C1232" s="2" t="str">
        <f ca="1">IFERROR(__xludf.DUMMYFUNCTION("""COMPUTED_VALUE"""),"Building")</f>
        <v>Building</v>
      </c>
      <c r="D1232" s="2" t="str">
        <f ca="1">IFERROR(__xludf.DUMMYFUNCTION("""COMPUTED_VALUE"""),"Dubai&gt;Al Mamzar&gt;Soul Avenue")</f>
        <v>Dubai&gt;Al Mamzar&gt;Soul Avenue</v>
      </c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</row>
    <row r="1233" spans="1:26" ht="16.5" x14ac:dyDescent="0.35">
      <c r="A1233" s="2" t="str">
        <f ca="1">IFERROR(__xludf.DUMMYFUNCTION("""COMPUTED_VALUE"""),"Dubai")</f>
        <v>Dubai</v>
      </c>
      <c r="B1233" s="2" t="str">
        <f ca="1">IFERROR(__xludf.DUMMYFUNCTION("""COMPUTED_VALUE"""),"Al Neem Block A")</f>
        <v>Al Neem Block A</v>
      </c>
      <c r="C1233" s="2" t="str">
        <f ca="1">IFERROR(__xludf.DUMMYFUNCTION("""COMPUTED_VALUE"""),"Building")</f>
        <v>Building</v>
      </c>
      <c r="D1233" s="2" t="str">
        <f ca="1">IFERROR(__xludf.DUMMYFUNCTION("""COMPUTED_VALUE"""),"Dubai&gt;Al Mamzar&gt;Al Neem Block A")</f>
        <v>Dubai&gt;Al Mamzar&gt;Al Neem Block A</v>
      </c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</row>
    <row r="1234" spans="1:26" ht="16.5" x14ac:dyDescent="0.35">
      <c r="A1234" s="2" t="str">
        <f ca="1">IFERROR(__xludf.DUMMYFUNCTION("""COMPUTED_VALUE"""),"Dubai")</f>
        <v>Dubai</v>
      </c>
      <c r="B1234" s="2" t="str">
        <f ca="1">IFERROR(__xludf.DUMMYFUNCTION("""COMPUTED_VALUE"""),"Address Residences Zabeel")</f>
        <v>Address Residences Zabeel</v>
      </c>
      <c r="C1234" s="2" t="str">
        <f ca="1">IFERROR(__xludf.DUMMYFUNCTION("""COMPUTED_VALUE"""),"Cluster")</f>
        <v>Cluster</v>
      </c>
      <c r="D1234" s="2" t="str">
        <f ca="1">IFERROR(__xludf.DUMMYFUNCTION("""COMPUTED_VALUE"""),"Dubai&gt;Za'abeel&gt;Za'abeel 1&gt;Address Residences Zabeel")</f>
        <v>Dubai&gt;Za'abeel&gt;Za'abeel 1&gt;Address Residences Zabeel</v>
      </c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</row>
    <row r="1235" spans="1:26" ht="16.5" x14ac:dyDescent="0.35">
      <c r="A1235" s="2" t="str">
        <f ca="1">IFERROR(__xludf.DUMMYFUNCTION("""COMPUTED_VALUE"""),"Dubai")</f>
        <v>Dubai</v>
      </c>
      <c r="B1235" s="2" t="str">
        <f ca="1">IFERROR(__xludf.DUMMYFUNCTION("""COMPUTED_VALUE"""),"Amaal 8")</f>
        <v>Amaal 8</v>
      </c>
      <c r="C1235" s="2" t="str">
        <f ca="1">IFERROR(__xludf.DUMMYFUNCTION("""COMPUTED_VALUE"""),"Building")</f>
        <v>Building</v>
      </c>
      <c r="D1235" s="2" t="str">
        <f ca="1">IFERROR(__xludf.DUMMYFUNCTION("""COMPUTED_VALUE"""),"Dubai&gt;Ras Al Khor&gt;Ras Al Khor Industrial&gt;Ras Al Khor Industrial 1&gt;Amaal 8")</f>
        <v>Dubai&gt;Ras Al Khor&gt;Ras Al Khor Industrial&gt;Ras Al Khor Industrial 1&gt;Amaal 8</v>
      </c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</row>
    <row r="1236" spans="1:26" ht="16.5" x14ac:dyDescent="0.35">
      <c r="A1236" s="2" t="str">
        <f ca="1">IFERROR(__xludf.DUMMYFUNCTION("""COMPUTED_VALUE"""),"Dubai")</f>
        <v>Dubai</v>
      </c>
      <c r="B1236" s="2" t="str">
        <f ca="1">IFERROR(__xludf.DUMMYFUNCTION("""COMPUTED_VALUE"""),"Jebel Ali Freezone South")</f>
        <v>Jebel Ali Freezone South</v>
      </c>
      <c r="C1236" s="2" t="str">
        <f ca="1">IFERROR(__xludf.DUMMYFUNCTION("""COMPUTED_VALUE"""),"Neighbourhood")</f>
        <v>Neighbourhood</v>
      </c>
      <c r="D1236" s="2" t="str">
        <f ca="1">IFERROR(__xludf.DUMMYFUNCTION("""COMPUTED_VALUE"""),"Dubai&gt;Jebel Ali&gt;Jebel Ali Freezone&gt;Jebel Ali Freezone South")</f>
        <v>Dubai&gt;Jebel Ali&gt;Jebel Ali Freezone&gt;Jebel Ali Freezone South</v>
      </c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</row>
    <row r="1237" spans="1:26" ht="16.5" x14ac:dyDescent="0.35">
      <c r="A1237" s="2" t="str">
        <f ca="1">IFERROR(__xludf.DUMMYFUNCTION("""COMPUTED_VALUE"""),"Dubai")</f>
        <v>Dubai</v>
      </c>
      <c r="B1237" s="2" t="str">
        <f ca="1">IFERROR(__xludf.DUMMYFUNCTION("""COMPUTED_VALUE"""),"Azizi Noura")</f>
        <v>Azizi Noura</v>
      </c>
      <c r="C1237" s="2" t="str">
        <f ca="1">IFERROR(__xludf.DUMMYFUNCTION("""COMPUTED_VALUE"""),"Building")</f>
        <v>Building</v>
      </c>
      <c r="D1237" s="2" t="str">
        <f ca="1">IFERROR(__xludf.DUMMYFUNCTION("""COMPUTED_VALUE"""),"Dubai&gt;Jebel Ali&gt;Downtown Jebel Ali&gt;Azizi Noura")</f>
        <v>Dubai&gt;Jebel Ali&gt;Downtown Jebel Ali&gt;Azizi Noura</v>
      </c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</row>
    <row r="1238" spans="1:26" ht="16.5" x14ac:dyDescent="0.35">
      <c r="A1238" s="2" t="str">
        <f ca="1">IFERROR(__xludf.DUMMYFUNCTION("""COMPUTED_VALUE"""),"Dubai")</f>
        <v>Dubai</v>
      </c>
      <c r="B1238" s="2" t="str">
        <f ca="1">IFERROR(__xludf.DUMMYFUNCTION("""COMPUTED_VALUE"""),"The Serene at Sobha Central")</f>
        <v>The Serene at Sobha Central</v>
      </c>
      <c r="C1238" s="2" t="str">
        <f ca="1">IFERROR(__xludf.DUMMYFUNCTION("""COMPUTED_VALUE"""),"Building")</f>
        <v>Building</v>
      </c>
      <c r="D1238" s="2" t="str">
        <f ca="1">IFERROR(__xludf.DUMMYFUNCTION("""COMPUTED_VALUE"""),"Dubai&gt;Jebel Ali&gt;Sobha Central&gt;The Serene at Sobha Central")</f>
        <v>Dubai&gt;Jebel Ali&gt;Sobha Central&gt;The Serene at Sobha Central</v>
      </c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</row>
    <row r="1239" spans="1:26" ht="16.5" x14ac:dyDescent="0.35">
      <c r="A1239" s="2" t="str">
        <f ca="1">IFERROR(__xludf.DUMMYFUNCTION("""COMPUTED_VALUE"""),"Dubai")</f>
        <v>Dubai</v>
      </c>
      <c r="B1239" s="2" t="str">
        <f ca="1">IFERROR(__xludf.DUMMYFUNCTION("""COMPUTED_VALUE"""),"Al Nad Building")</f>
        <v>Al Nad Building</v>
      </c>
      <c r="C1239" s="2" t="str">
        <f ca="1">IFERROR(__xludf.DUMMYFUNCTION("""COMPUTED_VALUE"""),"Building")</f>
        <v>Building</v>
      </c>
      <c r="D1239" s="2" t="str">
        <f ca="1">IFERROR(__xludf.DUMMYFUNCTION("""COMPUTED_VALUE"""),"Dubai&gt;Nad Al Hamar&gt;Al Nad Building")</f>
        <v>Dubai&gt;Nad Al Hamar&gt;Al Nad Building</v>
      </c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</row>
    <row r="1240" spans="1:26" ht="16.5" x14ac:dyDescent="0.35">
      <c r="A1240" s="2" t="str">
        <f ca="1">IFERROR(__xludf.DUMMYFUNCTION("""COMPUTED_VALUE"""),"Dubai")</f>
        <v>Dubai</v>
      </c>
      <c r="B1240" s="2" t="str">
        <f ca="1">IFERROR(__xludf.DUMMYFUNCTION("""COMPUTED_VALUE"""),"Rasis Business Centre")</f>
        <v>Rasis Business Centre</v>
      </c>
      <c r="C1240" s="2" t="str">
        <f ca="1">IFERROR(__xludf.DUMMYFUNCTION("""COMPUTED_VALUE"""),"Building")</f>
        <v>Building</v>
      </c>
      <c r="D1240" s="2" t="str">
        <f ca="1">IFERROR(__xludf.DUMMYFUNCTION("""COMPUTED_VALUE"""),"Dubai&gt;Al Barsha&gt;Al Barsha 1&gt;Rasis Business Centre")</f>
        <v>Dubai&gt;Al Barsha&gt;Al Barsha 1&gt;Rasis Business Centre</v>
      </c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</row>
    <row r="1241" spans="1:26" ht="16.5" x14ac:dyDescent="0.35">
      <c r="A1241" s="2" t="str">
        <f ca="1">IFERROR(__xludf.DUMMYFUNCTION("""COMPUTED_VALUE"""),"Dubai")</f>
        <v>Dubai</v>
      </c>
      <c r="B1241" s="2" t="str">
        <f ca="1">IFERROR(__xludf.DUMMYFUNCTION("""COMPUTED_VALUE"""),"Al Waleed BA-5")</f>
        <v>Al Waleed BA-5</v>
      </c>
      <c r="C1241" s="2" t="str">
        <f ca="1">IFERROR(__xludf.DUMMYFUNCTION("""COMPUTED_VALUE"""),"Building")</f>
        <v>Building</v>
      </c>
      <c r="D1241" s="2" t="str">
        <f ca="1">IFERROR(__xludf.DUMMYFUNCTION("""COMPUTED_VALUE"""),"Dubai&gt;Al Barsha&gt;Al Barsha 1&gt;Al Waleed BA-5")</f>
        <v>Dubai&gt;Al Barsha&gt;Al Barsha 1&gt;Al Waleed BA-5</v>
      </c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</row>
    <row r="1242" spans="1:26" ht="16.5" x14ac:dyDescent="0.35">
      <c r="A1242" s="2" t="str">
        <f ca="1">IFERROR(__xludf.DUMMYFUNCTION("""COMPUTED_VALUE"""),"Dubai")</f>
        <v>Dubai</v>
      </c>
      <c r="B1242" s="2" t="str">
        <f ca="1">IFERROR(__xludf.DUMMYFUNCTION("""COMPUTED_VALUE"""),"Al Barsha Gardens Villas")</f>
        <v>Al Barsha Gardens Villas</v>
      </c>
      <c r="C1242" s="2" t="str">
        <f ca="1">IFERROR(__xludf.DUMMYFUNCTION("""COMPUTED_VALUE"""),"Neighbourhood")</f>
        <v>Neighbourhood</v>
      </c>
      <c r="D1242" s="2" t="str">
        <f ca="1">IFERROR(__xludf.DUMMYFUNCTION("""COMPUTED_VALUE"""),"Dubai&gt;Al Barsha&gt;Al Barsha 1&gt;Al Barsha Gardens Villas")</f>
        <v>Dubai&gt;Al Barsha&gt;Al Barsha 1&gt;Al Barsha Gardens Villas</v>
      </c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</row>
    <row r="1243" spans="1:26" ht="16.5" x14ac:dyDescent="0.35">
      <c r="A1243" s="2" t="str">
        <f ca="1">IFERROR(__xludf.DUMMYFUNCTION("""COMPUTED_VALUE"""),"Dubai")</f>
        <v>Dubai</v>
      </c>
      <c r="B1243" s="2" t="str">
        <f ca="1">IFERROR(__xludf.DUMMYFUNCTION("""COMPUTED_VALUE"""),"Grand Excelsior Hotel")</f>
        <v>Grand Excelsior Hotel</v>
      </c>
      <c r="C1243" s="2" t="str">
        <f ca="1">IFERROR(__xludf.DUMMYFUNCTION("""COMPUTED_VALUE"""),"Building")</f>
        <v>Building</v>
      </c>
      <c r="D1243" s="2" t="str">
        <f ca="1">IFERROR(__xludf.DUMMYFUNCTION("""COMPUTED_VALUE"""),"Dubai&gt;Al Barsha&gt;Al Barsha 1&gt;Grand Excelsior Hotel")</f>
        <v>Dubai&gt;Al Barsha&gt;Al Barsha 1&gt;Grand Excelsior Hotel</v>
      </c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</row>
    <row r="1244" spans="1:26" ht="16.5" x14ac:dyDescent="0.35">
      <c r="A1244" s="2" t="str">
        <f ca="1">IFERROR(__xludf.DUMMYFUNCTION("""COMPUTED_VALUE"""),"Dubai")</f>
        <v>Dubai</v>
      </c>
      <c r="B1244" s="2" t="str">
        <f ca="1">IFERROR(__xludf.DUMMYFUNCTION("""COMPUTED_VALUE"""),"Shaibani Building")</f>
        <v>Shaibani Building</v>
      </c>
      <c r="C1244" s="2" t="str">
        <f ca="1">IFERROR(__xludf.DUMMYFUNCTION("""COMPUTED_VALUE"""),"Building")</f>
        <v>Building</v>
      </c>
      <c r="D1244" s="2" t="str">
        <f ca="1">IFERROR(__xludf.DUMMYFUNCTION("""COMPUTED_VALUE"""),"Dubai&gt;Al Barsha&gt;Al Barsha 1&gt;Shaibani Building")</f>
        <v>Dubai&gt;Al Barsha&gt;Al Barsha 1&gt;Shaibani Building</v>
      </c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</row>
    <row r="1245" spans="1:26" ht="16.5" x14ac:dyDescent="0.35">
      <c r="A1245" s="2" t="str">
        <f ca="1">IFERROR(__xludf.DUMMYFUNCTION("""COMPUTED_VALUE"""),"Dubai")</f>
        <v>Dubai</v>
      </c>
      <c r="B1245" s="2" t="str">
        <f ca="1">IFERROR(__xludf.DUMMYFUNCTION("""COMPUTED_VALUE"""),"Hassanicor")</f>
        <v>Hassanicor</v>
      </c>
      <c r="C1245" s="2" t="str">
        <f ca="1">IFERROR(__xludf.DUMMYFUNCTION("""COMPUTED_VALUE"""),"Building")</f>
        <v>Building</v>
      </c>
      <c r="D1245" s="2" t="str">
        <f ca="1">IFERROR(__xludf.DUMMYFUNCTION("""COMPUTED_VALUE"""),"Dubai&gt;Al Barsha&gt;Al Barsha 1&gt;Hassanicor")</f>
        <v>Dubai&gt;Al Barsha&gt;Al Barsha 1&gt;Hassanicor</v>
      </c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</row>
    <row r="1246" spans="1:26" ht="16.5" x14ac:dyDescent="0.35">
      <c r="A1246" s="2" t="str">
        <f ca="1">IFERROR(__xludf.DUMMYFUNCTION("""COMPUTED_VALUE"""),"Dubai")</f>
        <v>Dubai</v>
      </c>
      <c r="B1246" s="2" t="str">
        <f ca="1">IFERROR(__xludf.DUMMYFUNCTION("""COMPUTED_VALUE"""),"Al Saya Building B")</f>
        <v>Al Saya Building B</v>
      </c>
      <c r="C1246" s="2" t="str">
        <f ca="1">IFERROR(__xludf.DUMMYFUNCTION("""COMPUTED_VALUE"""),"Building")</f>
        <v>Building</v>
      </c>
      <c r="D1246" s="2" t="str">
        <f ca="1">IFERROR(__xludf.DUMMYFUNCTION("""COMPUTED_VALUE"""),"Dubai&gt;Al Barsha&gt;Al Barsha 1&gt;Al Saya Building B")</f>
        <v>Dubai&gt;Al Barsha&gt;Al Barsha 1&gt;Al Saya Building B</v>
      </c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</row>
    <row r="1247" spans="1:26" ht="16.5" x14ac:dyDescent="0.35">
      <c r="A1247" s="2" t="str">
        <f ca="1">IFERROR(__xludf.DUMMYFUNCTION("""COMPUTED_VALUE"""),"Dubai")</f>
        <v>Dubai</v>
      </c>
      <c r="B1247" s="2" t="str">
        <f ca="1">IFERROR(__xludf.DUMMYFUNCTION("""COMPUTED_VALUE"""),"Concord 4")</f>
        <v>Concord 4</v>
      </c>
      <c r="C1247" s="2" t="str">
        <f ca="1">IFERROR(__xludf.DUMMYFUNCTION("""COMPUTED_VALUE"""),"Building")</f>
        <v>Building</v>
      </c>
      <c r="D1247" s="2" t="str">
        <f ca="1">IFERROR(__xludf.DUMMYFUNCTION("""COMPUTED_VALUE"""),"Dubai&gt;Al Barsha&gt;Al Barsha 1&gt;Concord 4")</f>
        <v>Dubai&gt;Al Barsha&gt;Al Barsha 1&gt;Concord 4</v>
      </c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</row>
    <row r="1248" spans="1:26" ht="16.5" x14ac:dyDescent="0.35">
      <c r="A1248" s="2" t="str">
        <f ca="1">IFERROR(__xludf.DUMMYFUNCTION("""COMPUTED_VALUE"""),"Dubai")</f>
        <v>Dubai</v>
      </c>
      <c r="B1248" s="2" t="str">
        <f ca="1">IFERROR(__xludf.DUMMYFUNCTION("""COMPUTED_VALUE"""),"Al Telal 14 Building")</f>
        <v>Al Telal 14 Building</v>
      </c>
      <c r="C1248" s="2" t="str">
        <f ca="1">IFERROR(__xludf.DUMMYFUNCTION("""COMPUTED_VALUE"""),"Building")</f>
        <v>Building</v>
      </c>
      <c r="D1248" s="2" t="str">
        <f ca="1">IFERROR(__xludf.DUMMYFUNCTION("""COMPUTED_VALUE"""),"Dubai&gt;Al Barsha&gt;Al Barsha 1&gt;Al Telal 14 Building")</f>
        <v>Dubai&gt;Al Barsha&gt;Al Barsha 1&gt;Al Telal 14 Building</v>
      </c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</row>
    <row r="1249" spans="1:26" ht="16.5" x14ac:dyDescent="0.35">
      <c r="A1249" s="2" t="str">
        <f ca="1">IFERROR(__xludf.DUMMYFUNCTION("""COMPUTED_VALUE"""),"Dubai")</f>
        <v>Dubai</v>
      </c>
      <c r="B1249" s="2" t="str">
        <f ca="1">IFERROR(__xludf.DUMMYFUNCTION("""COMPUTED_VALUE"""),"Next Generation School")</f>
        <v>Next Generation School</v>
      </c>
      <c r="C1249" s="2" t="str">
        <f ca="1">IFERROR(__xludf.DUMMYFUNCTION("""COMPUTED_VALUE"""),"School")</f>
        <v>School</v>
      </c>
      <c r="D1249" s="2" t="str">
        <f ca="1">IFERROR(__xludf.DUMMYFUNCTION("""COMPUTED_VALUE"""),"Dubai&gt;Al Barsha&gt;Al Barsha 3&gt;Next Generation School")</f>
        <v>Dubai&gt;Al Barsha&gt;Al Barsha 3&gt;Next Generation School</v>
      </c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</row>
    <row r="1250" spans="1:26" ht="16.5" x14ac:dyDescent="0.35">
      <c r="A1250" s="2" t="str">
        <f ca="1">IFERROR(__xludf.DUMMYFUNCTION("""COMPUTED_VALUE"""),"Dubai")</f>
        <v>Dubai</v>
      </c>
      <c r="B1250" s="2" t="str">
        <f ca="1">IFERROR(__xludf.DUMMYFUNCTION("""COMPUTED_VALUE"""),"The Address Fountain Views 2")</f>
        <v>The Address Fountain Views 2</v>
      </c>
      <c r="C1250" s="2" t="str">
        <f ca="1">IFERROR(__xludf.DUMMYFUNCTION("""COMPUTED_VALUE"""),"Building")</f>
        <v>Building</v>
      </c>
      <c r="D1250" s="2" t="str">
        <f ca="1">IFERROR(__xludf.DUMMYFUNCTION("""COMPUTED_VALUE"""),"Dubai&gt;Downtown Dubai&gt;Address Dubai Mall&gt;The Address Fountain Views 2")</f>
        <v>Dubai&gt;Downtown Dubai&gt;Address Dubai Mall&gt;The Address Fountain Views 2</v>
      </c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</row>
    <row r="1251" spans="1:26" ht="16.5" x14ac:dyDescent="0.35">
      <c r="A1251" s="2" t="str">
        <f ca="1">IFERROR(__xludf.DUMMYFUNCTION("""COMPUTED_VALUE"""),"Dubai")</f>
        <v>Dubai</v>
      </c>
      <c r="B1251" s="2" t="str">
        <f ca="1">IFERROR(__xludf.DUMMYFUNCTION("""COMPUTED_VALUE"""),"8 Boulevard Walk")</f>
        <v>8 Boulevard Walk</v>
      </c>
      <c r="C1251" s="2" t="str">
        <f ca="1">IFERROR(__xludf.DUMMYFUNCTION("""COMPUTED_VALUE"""),"Building")</f>
        <v>Building</v>
      </c>
      <c r="D1251" s="2" t="str">
        <f ca="1">IFERROR(__xludf.DUMMYFUNCTION("""COMPUTED_VALUE"""),"Dubai&gt;Downtown Dubai&gt;Mohammad Bin Rashid Boulevard&gt;8 Boulevard Walk")</f>
        <v>Dubai&gt;Downtown Dubai&gt;Mohammad Bin Rashid Boulevard&gt;8 Boulevard Walk</v>
      </c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</row>
    <row r="1252" spans="1:26" ht="16.5" x14ac:dyDescent="0.35">
      <c r="A1252" s="2" t="str">
        <f ca="1">IFERROR(__xludf.DUMMYFUNCTION("""COMPUTED_VALUE"""),"Dubai")</f>
        <v>Dubai</v>
      </c>
      <c r="B1252" s="2" t="str">
        <f ca="1">IFERROR(__xludf.DUMMYFUNCTION("""COMPUTED_VALUE"""),"Act Two")</f>
        <v>Act Two</v>
      </c>
      <c r="C1252" s="2" t="str">
        <f ca="1">IFERROR(__xludf.DUMMYFUNCTION("""COMPUTED_VALUE"""),"Building")</f>
        <v>Building</v>
      </c>
      <c r="D1252" s="2" t="str">
        <f ca="1">IFERROR(__xludf.DUMMYFUNCTION("""COMPUTED_VALUE"""),"Dubai&gt;Downtown Dubai&gt;Opera District&gt;Act One | Act Two Towers&gt;Act Two")</f>
        <v>Dubai&gt;Downtown Dubai&gt;Opera District&gt;Act One | Act Two Towers&gt;Act Two</v>
      </c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</row>
    <row r="1253" spans="1:26" ht="16.5" x14ac:dyDescent="0.35">
      <c r="A1253" s="2" t="str">
        <f ca="1">IFERROR(__xludf.DUMMYFUNCTION("""COMPUTED_VALUE"""),"Dubai")</f>
        <v>Dubai</v>
      </c>
      <c r="B1253" s="2" t="str">
        <f ca="1">IFERROR(__xludf.DUMMYFUNCTION("""COMPUTED_VALUE"""),"South Ridge")</f>
        <v>South Ridge</v>
      </c>
      <c r="C1253" s="2" t="str">
        <f ca="1">IFERROR(__xludf.DUMMYFUNCTION("""COMPUTED_VALUE"""),"Neighbourhood")</f>
        <v>Neighbourhood</v>
      </c>
      <c r="D1253" s="2" t="str">
        <f ca="1">IFERROR(__xludf.DUMMYFUNCTION("""COMPUTED_VALUE"""),"Dubai&gt;Downtown Dubai&gt;South Ridge")</f>
        <v>Dubai&gt;Downtown Dubai&gt;South Ridge</v>
      </c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</row>
    <row r="1254" spans="1:26" ht="16.5" x14ac:dyDescent="0.35">
      <c r="A1254" s="2" t="str">
        <f ca="1">IFERROR(__xludf.DUMMYFUNCTION("""COMPUTED_VALUE"""),"Dubai")</f>
        <v>Dubai</v>
      </c>
      <c r="B1254" s="2" t="str">
        <f ca="1">IFERROR(__xludf.DUMMYFUNCTION("""COMPUTED_VALUE"""),"Yansoon 2 ")</f>
        <v xml:space="preserve">Yansoon 2 </v>
      </c>
      <c r="C1254" s="2" t="str">
        <f ca="1">IFERROR(__xludf.DUMMYFUNCTION("""COMPUTED_VALUE"""),"Building")</f>
        <v>Building</v>
      </c>
      <c r="D1254" s="2" t="str">
        <f ca="1">IFERROR(__xludf.DUMMYFUNCTION("""COMPUTED_VALUE"""),"Dubai&gt;Downtown Dubai&gt;Old Town&gt;Yansoon&gt;Yansoon 2 ")</f>
        <v xml:space="preserve">Dubai&gt;Downtown Dubai&gt;Old Town&gt;Yansoon&gt;Yansoon 2 </v>
      </c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</row>
    <row r="1255" spans="1:26" ht="16.5" x14ac:dyDescent="0.35">
      <c r="A1255" s="2" t="str">
        <f ca="1">IFERROR(__xludf.DUMMYFUNCTION("""COMPUTED_VALUE"""),"Dubai")</f>
        <v>Dubai</v>
      </c>
      <c r="B1255" s="2" t="str">
        <f ca="1">IFERROR(__xludf.DUMMYFUNCTION("""COMPUTED_VALUE"""),"St. Regis The Residences Tower 1")</f>
        <v>St. Regis The Residences Tower 1</v>
      </c>
      <c r="C1255" s="2" t="str">
        <f ca="1">IFERROR(__xludf.DUMMYFUNCTION("""COMPUTED_VALUE"""),"Building")</f>
        <v>Building</v>
      </c>
      <c r="D1255" s="2" t="str">
        <f ca="1">IFERROR(__xludf.DUMMYFUNCTION("""COMPUTED_VALUE"""),"Dubai&gt;Downtown Dubai&gt;St. Regis The Residences&gt;St. Regis The Residences Tower 1")</f>
        <v>Dubai&gt;Downtown Dubai&gt;St. Regis The Residences&gt;St. Regis The Residences Tower 1</v>
      </c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</row>
    <row r="1256" spans="1:26" ht="16.5" x14ac:dyDescent="0.35">
      <c r="A1256" s="2" t="str">
        <f ca="1">IFERROR(__xludf.DUMMYFUNCTION("""COMPUTED_VALUE"""),"Dubai")</f>
        <v>Dubai</v>
      </c>
      <c r="B1256" s="2" t="str">
        <f ca="1">IFERROR(__xludf.DUMMYFUNCTION("""COMPUTED_VALUE"""),"Boulevard Plaza Tower")</f>
        <v>Boulevard Plaza Tower</v>
      </c>
      <c r="C1256" s="2" t="str">
        <f ca="1">IFERROR(__xludf.DUMMYFUNCTION("""COMPUTED_VALUE"""),"Cluster")</f>
        <v>Cluster</v>
      </c>
      <c r="D1256" s="2" t="str">
        <f ca="1">IFERROR(__xludf.DUMMYFUNCTION("""COMPUTED_VALUE"""),"Dubai&gt;Downtown Dubai&gt;Boulevard Plaza Tower")</f>
        <v>Dubai&gt;Downtown Dubai&gt;Boulevard Plaza Tower</v>
      </c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</row>
    <row r="1257" spans="1:26" ht="16.5" x14ac:dyDescent="0.35">
      <c r="A1257" s="2" t="str">
        <f ca="1">IFERROR(__xludf.DUMMYFUNCTION("""COMPUTED_VALUE"""),"Dubai")</f>
        <v>Dubai</v>
      </c>
      <c r="B1257" s="2" t="str">
        <f ca="1">IFERROR(__xludf.DUMMYFUNCTION("""COMPUTED_VALUE"""),"Mazaya 10B")</f>
        <v>Mazaya 10B</v>
      </c>
      <c r="C1257" s="2" t="str">
        <f ca="1">IFERROR(__xludf.DUMMYFUNCTION("""COMPUTED_VALUE"""),"Building")</f>
        <v>Building</v>
      </c>
      <c r="D1257" s="2" t="str">
        <f ca="1">IFERROR(__xludf.DUMMYFUNCTION("""COMPUTED_VALUE"""),"Dubai&gt;Liwan&gt;Queue Point&gt;Mazaya 10B")</f>
        <v>Dubai&gt;Liwan&gt;Queue Point&gt;Mazaya 10B</v>
      </c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</row>
    <row r="1258" spans="1:26" ht="16.5" x14ac:dyDescent="0.35">
      <c r="A1258" s="2" t="str">
        <f ca="1">IFERROR(__xludf.DUMMYFUNCTION("""COMPUTED_VALUE"""),"Dubai")</f>
        <v>Dubai</v>
      </c>
      <c r="B1258" s="2" t="str">
        <f ca="1">IFERROR(__xludf.DUMMYFUNCTION("""COMPUTED_VALUE"""),"Paari Samar Building")</f>
        <v>Paari Samar Building</v>
      </c>
      <c r="C1258" s="2" t="str">
        <f ca="1">IFERROR(__xludf.DUMMYFUNCTION("""COMPUTED_VALUE"""),"Building")</f>
        <v>Building</v>
      </c>
      <c r="D1258" s="2" t="str">
        <f ca="1">IFERROR(__xludf.DUMMYFUNCTION("""COMPUTED_VALUE"""),"Dubai&gt;Liwan&gt;Paari Samar Building")</f>
        <v>Dubai&gt;Liwan&gt;Paari Samar Building</v>
      </c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</row>
    <row r="1259" spans="1:26" ht="16.5" x14ac:dyDescent="0.35">
      <c r="A1259" s="2" t="str">
        <f ca="1">IFERROR(__xludf.DUMMYFUNCTION("""COMPUTED_VALUE"""),"Dubai")</f>
        <v>Dubai</v>
      </c>
      <c r="B1259" s="2" t="str">
        <f ca="1">IFERROR(__xludf.DUMMYFUNCTION("""COMPUTED_VALUE"""),"Wilson Building")</f>
        <v>Wilson Building</v>
      </c>
      <c r="C1259" s="2" t="str">
        <f ca="1">IFERROR(__xludf.DUMMYFUNCTION("""COMPUTED_VALUE"""),"Building")</f>
        <v>Building</v>
      </c>
      <c r="D1259" s="2" t="str">
        <f ca="1">IFERROR(__xludf.DUMMYFUNCTION("""COMPUTED_VALUE"""),"Dubai&gt;Al Jafiliya&gt;Wilson Building")</f>
        <v>Dubai&gt;Al Jafiliya&gt;Wilson Building</v>
      </c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</row>
    <row r="1260" spans="1:26" ht="16.5" x14ac:dyDescent="0.35">
      <c r="A1260" s="2" t="str">
        <f ca="1">IFERROR(__xludf.DUMMYFUNCTION("""COMPUTED_VALUE"""),"Dubai")</f>
        <v>Dubai</v>
      </c>
      <c r="B1260" s="2" t="str">
        <f ca="1">IFERROR(__xludf.DUMMYFUNCTION("""COMPUTED_VALUE"""),"The Gate Village 3")</f>
        <v>The Gate Village 3</v>
      </c>
      <c r="C1260" s="2" t="str">
        <f ca="1">IFERROR(__xludf.DUMMYFUNCTION("""COMPUTED_VALUE"""),"Building")</f>
        <v>Building</v>
      </c>
      <c r="D1260" s="2" t="str">
        <f ca="1">IFERROR(__xludf.DUMMYFUNCTION("""COMPUTED_VALUE"""),"Dubai&gt;DIFC&gt;The Gate Village&gt;The Gate Village 3")</f>
        <v>Dubai&gt;DIFC&gt;The Gate Village&gt;The Gate Village 3</v>
      </c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</row>
    <row r="1261" spans="1:26" ht="16.5" x14ac:dyDescent="0.35">
      <c r="A1261" s="2" t="str">
        <f ca="1">IFERROR(__xludf.DUMMYFUNCTION("""COMPUTED_VALUE"""),"Dubai")</f>
        <v>Dubai</v>
      </c>
      <c r="B1261" s="2" t="str">
        <f ca="1">IFERROR(__xludf.DUMMYFUNCTION("""COMPUTED_VALUE"""),"Chubby Cheeks DePS Twar")</f>
        <v>Chubby Cheeks DePS Twar</v>
      </c>
      <c r="C1261" s="2" t="str">
        <f ca="1">IFERROR(__xludf.DUMMYFUNCTION("""COMPUTED_VALUE"""),"Nursery")</f>
        <v>Nursery</v>
      </c>
      <c r="D1261" s="2" t="str">
        <f ca="1">IFERROR(__xludf.DUMMYFUNCTION("""COMPUTED_VALUE"""),"Dubai&gt;Al Twar&gt;Al Twar 3&gt;Chubby Cheeks DePS Twar")</f>
        <v>Dubai&gt;Al Twar&gt;Al Twar 3&gt;Chubby Cheeks DePS Twar</v>
      </c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</row>
    <row r="1262" spans="1:26" ht="16.5" x14ac:dyDescent="0.35">
      <c r="A1262" s="2" t="str">
        <f ca="1">IFERROR(__xludf.DUMMYFUNCTION("""COMPUTED_VALUE"""),"Dubai")</f>
        <v>Dubai</v>
      </c>
      <c r="B1262" s="2" t="str">
        <f ca="1">IFERROR(__xludf.DUMMYFUNCTION("""COMPUTED_VALUE"""),"Makeen Residence Al Warqaa")</f>
        <v>Makeen Residence Al Warqaa</v>
      </c>
      <c r="C1262" s="2" t="str">
        <f ca="1">IFERROR(__xludf.DUMMYFUNCTION("""COMPUTED_VALUE"""),"Building")</f>
        <v>Building</v>
      </c>
      <c r="D1262" s="2" t="str">
        <f ca="1">IFERROR(__xludf.DUMMYFUNCTION("""COMPUTED_VALUE"""),"Dubai&gt;Al Warqaa&gt;Al Warqaa 1&gt;Makeen Residence Al Warqaa")</f>
        <v>Dubai&gt;Al Warqaa&gt;Al Warqaa 1&gt;Makeen Residence Al Warqaa</v>
      </c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</row>
    <row r="1263" spans="1:26" ht="16.5" x14ac:dyDescent="0.35">
      <c r="A1263" s="2" t="str">
        <f ca="1">IFERROR(__xludf.DUMMYFUNCTION("""COMPUTED_VALUE"""),"Dubai")</f>
        <v>Dubai</v>
      </c>
      <c r="B1263" s="2" t="str">
        <f ca="1">IFERROR(__xludf.DUMMYFUNCTION("""COMPUTED_VALUE"""),"Awqaf building")</f>
        <v>Awqaf building</v>
      </c>
      <c r="C1263" s="2" t="str">
        <f ca="1">IFERROR(__xludf.DUMMYFUNCTION("""COMPUTED_VALUE"""),"Building")</f>
        <v>Building</v>
      </c>
      <c r="D1263" s="2" t="str">
        <f ca="1">IFERROR(__xludf.DUMMYFUNCTION("""COMPUTED_VALUE"""),"Dubai&gt;Al Warqaa&gt;Al Warqaa 1&gt;Awqaf building")</f>
        <v>Dubai&gt;Al Warqaa&gt;Al Warqaa 1&gt;Awqaf building</v>
      </c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</row>
    <row r="1264" spans="1:26" ht="16.5" x14ac:dyDescent="0.35">
      <c r="A1264" s="2" t="str">
        <f ca="1">IFERROR(__xludf.DUMMYFUNCTION("""COMPUTED_VALUE"""),"Dubai")</f>
        <v>Dubai</v>
      </c>
      <c r="B1264" s="2" t="str">
        <f ca="1">IFERROR(__xludf.DUMMYFUNCTION("""COMPUTED_VALUE"""),"Sami Yaqoot Ali Suwaid Al Reyami Building")</f>
        <v>Sami Yaqoot Ali Suwaid Al Reyami Building</v>
      </c>
      <c r="C1264" s="2" t="str">
        <f ca="1">IFERROR(__xludf.DUMMYFUNCTION("""COMPUTED_VALUE"""),"Building")</f>
        <v>Building</v>
      </c>
      <c r="D1264" s="2" t="str">
        <f ca="1">IFERROR(__xludf.DUMMYFUNCTION("""COMPUTED_VALUE"""),"Dubai&gt;Al Warqaa&gt;Al Warqaa 1&gt;Sami Yaqoot Ali Suwaid Al Reyami Building")</f>
        <v>Dubai&gt;Al Warqaa&gt;Al Warqaa 1&gt;Sami Yaqoot Ali Suwaid Al Reyami Building</v>
      </c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</row>
    <row r="1265" spans="1:26" ht="16.5" x14ac:dyDescent="0.35">
      <c r="A1265" s="2" t="str">
        <f ca="1">IFERROR(__xludf.DUMMYFUNCTION("""COMPUTED_VALUE"""),"Dubai")</f>
        <v>Dubai</v>
      </c>
      <c r="B1265" s="2" t="str">
        <f ca="1">IFERROR(__xludf.DUMMYFUNCTION("""COMPUTED_VALUE"""),"TKM Residence")</f>
        <v>TKM Residence</v>
      </c>
      <c r="C1265" s="2" t="str">
        <f ca="1">IFERROR(__xludf.DUMMYFUNCTION("""COMPUTED_VALUE"""),"Building")</f>
        <v>Building</v>
      </c>
      <c r="D1265" s="2" t="str">
        <f ca="1">IFERROR(__xludf.DUMMYFUNCTION("""COMPUTED_VALUE"""),"Dubai&gt;Al Warqaa&gt;Al Warqaa 1&gt;TKM Residence")</f>
        <v>Dubai&gt;Al Warqaa&gt;Al Warqaa 1&gt;TKM Residence</v>
      </c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</row>
    <row r="1266" spans="1:26" ht="16.5" x14ac:dyDescent="0.35">
      <c r="A1266" s="2" t="str">
        <f ca="1">IFERROR(__xludf.DUMMYFUNCTION("""COMPUTED_VALUE"""),"Dubai")</f>
        <v>Dubai</v>
      </c>
      <c r="B1266" s="2" t="str">
        <f ca="1">IFERROR(__xludf.DUMMYFUNCTION("""COMPUTED_VALUE"""),"Lakeside Residence")</f>
        <v>Lakeside Residence</v>
      </c>
      <c r="C1266" s="2" t="str">
        <f ca="1">IFERROR(__xludf.DUMMYFUNCTION("""COMPUTED_VALUE"""),"Building")</f>
        <v>Building</v>
      </c>
      <c r="D1266" s="2" t="str">
        <f ca="1">IFERROR(__xludf.DUMMYFUNCTION("""COMPUTED_VALUE"""),"Dubai&gt;Jumeirah Lake Towers (JLT)&gt;JLT Cluster A&gt;Lakeside Residence")</f>
        <v>Dubai&gt;Jumeirah Lake Towers (JLT)&gt;JLT Cluster A&gt;Lakeside Residence</v>
      </c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</row>
    <row r="1267" spans="1:26" ht="16.5" x14ac:dyDescent="0.35">
      <c r="A1267" s="2" t="str">
        <f ca="1">IFERROR(__xludf.DUMMYFUNCTION("""COMPUTED_VALUE"""),"Dubai")</f>
        <v>Dubai</v>
      </c>
      <c r="B1267" s="2" t="str">
        <f ca="1">IFERROR(__xludf.DUMMYFUNCTION("""COMPUTED_VALUE"""),"JLT Cluster I")</f>
        <v>JLT Cluster I</v>
      </c>
      <c r="C1267" s="2" t="str">
        <f ca="1">IFERROR(__xludf.DUMMYFUNCTION("""COMPUTED_VALUE"""),"Cluster")</f>
        <v>Cluster</v>
      </c>
      <c r="D1267" s="2" t="str">
        <f ca="1">IFERROR(__xludf.DUMMYFUNCTION("""COMPUTED_VALUE"""),"Dubai&gt;Jumeirah Lake Towers (JLT)&gt;JLT Cluster I")</f>
        <v>Dubai&gt;Jumeirah Lake Towers (JLT)&gt;JLT Cluster I</v>
      </c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</row>
    <row r="1268" spans="1:26" ht="16.5" x14ac:dyDescent="0.35">
      <c r="A1268" s="2" t="str">
        <f ca="1">IFERROR(__xludf.DUMMYFUNCTION("""COMPUTED_VALUE"""),"Dubai")</f>
        <v>Dubai</v>
      </c>
      <c r="B1268" s="2" t="str">
        <f ca="1">IFERROR(__xludf.DUMMYFUNCTION("""COMPUTED_VALUE"""),"Armada Tower 2")</f>
        <v>Armada Tower 2</v>
      </c>
      <c r="C1268" s="2" t="str">
        <f ca="1">IFERROR(__xludf.DUMMYFUNCTION("""COMPUTED_VALUE"""),"Building")</f>
        <v>Building</v>
      </c>
      <c r="D1268" s="2" t="str">
        <f ca="1">IFERROR(__xludf.DUMMYFUNCTION("""COMPUTED_VALUE"""),"Dubai&gt;Jumeirah Lake Towers (JLT)&gt;JLT Cluster P&gt;Armada Towers&gt;Armada Tower 2")</f>
        <v>Dubai&gt;Jumeirah Lake Towers (JLT)&gt;JLT Cluster P&gt;Armada Towers&gt;Armada Tower 2</v>
      </c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</row>
    <row r="1269" spans="1:26" ht="16.5" x14ac:dyDescent="0.35">
      <c r="A1269" s="2" t="str">
        <f ca="1">IFERROR(__xludf.DUMMYFUNCTION("""COMPUTED_VALUE"""),"Dubai")</f>
        <v>Dubai</v>
      </c>
      <c r="B1269" s="2" t="str">
        <f ca="1">IFERROR(__xludf.DUMMYFUNCTION("""COMPUTED_VALUE"""),"JLT Cluster X (Jumeirah Bay Towers)")</f>
        <v>JLT Cluster X (Jumeirah Bay Towers)</v>
      </c>
      <c r="C1269" s="2" t="str">
        <f ca="1">IFERROR(__xludf.DUMMYFUNCTION("""COMPUTED_VALUE"""),"Cluster")</f>
        <v>Cluster</v>
      </c>
      <c r="D1269" s="2" t="str">
        <f ca="1">IFERROR(__xludf.DUMMYFUNCTION("""COMPUTED_VALUE"""),"Dubai&gt;Jumeirah Lake Towers (JLT)&gt;JLT Cluster X (Jumeirah Bay Towers)")</f>
        <v>Dubai&gt;Jumeirah Lake Towers (JLT)&gt;JLT Cluster X (Jumeirah Bay Towers)</v>
      </c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</row>
    <row r="1270" spans="1:26" ht="16.5" x14ac:dyDescent="0.35">
      <c r="A1270" s="2" t="str">
        <f ca="1">IFERROR(__xludf.DUMMYFUNCTION("""COMPUTED_VALUE"""),"Dubai")</f>
        <v>Dubai</v>
      </c>
      <c r="B1270" s="2" t="str">
        <f ca="1">IFERROR(__xludf.DUMMYFUNCTION("""COMPUTED_VALUE"""),"W Residences")</f>
        <v>W Residences</v>
      </c>
      <c r="C1270" s="2" t="str">
        <f ca="1">IFERROR(__xludf.DUMMYFUNCTION("""COMPUTED_VALUE"""),"Building")</f>
        <v>Building</v>
      </c>
      <c r="D1270" s="2" t="str">
        <f ca="1">IFERROR(__xludf.DUMMYFUNCTION("""COMPUTED_VALUE"""),"Dubai&gt;Jumeirah Lake Towers (JLT)&gt;W Residences")</f>
        <v>Dubai&gt;Jumeirah Lake Towers (JLT)&gt;W Residences</v>
      </c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</row>
    <row r="1271" spans="1:26" ht="16.5" x14ac:dyDescent="0.35">
      <c r="A1271" s="2" t="str">
        <f ca="1">IFERROR(__xludf.DUMMYFUNCTION("""COMPUTED_VALUE"""),"Dubai")</f>
        <v>Dubai</v>
      </c>
      <c r="B1271" s="2" t="str">
        <f ca="1">IFERROR(__xludf.DUMMYFUNCTION("""COMPUTED_VALUE"""),"Reem")</f>
        <v>Reem</v>
      </c>
      <c r="C1271" s="2" t="str">
        <f ca="1">IFERROR(__xludf.DUMMYFUNCTION("""COMPUTED_VALUE"""),"Neighbourhood")</f>
        <v>Neighbourhood</v>
      </c>
      <c r="D1271" s="2" t="str">
        <f ca="1">IFERROR(__xludf.DUMMYFUNCTION("""COMPUTED_VALUE"""),"Dubai&gt;Arabian Ranches 2&gt;Reem")</f>
        <v>Dubai&gt;Arabian Ranches 2&gt;Reem</v>
      </c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</row>
    <row r="1272" spans="1:26" ht="16.5" x14ac:dyDescent="0.35">
      <c r="A1272" s="2" t="str">
        <f ca="1">IFERROR(__xludf.DUMMYFUNCTION("""COMPUTED_VALUE"""),"Dubai")</f>
        <v>Dubai</v>
      </c>
      <c r="B1272" s="2" t="str">
        <f ca="1">IFERROR(__xludf.DUMMYFUNCTION("""COMPUTED_VALUE"""),"Adaire 2")</f>
        <v>Adaire 2</v>
      </c>
      <c r="C1272" s="2" t="str">
        <f ca="1">IFERROR(__xludf.DUMMYFUNCTION("""COMPUTED_VALUE"""),"Building")</f>
        <v>Building</v>
      </c>
      <c r="D1272" s="2" t="str">
        <f ca="1">IFERROR(__xludf.DUMMYFUNCTION("""COMPUTED_VALUE"""),"Dubai&gt;Al Satwa&gt;Jumeirah Garden City&gt;Adaire 2")</f>
        <v>Dubai&gt;Al Satwa&gt;Jumeirah Garden City&gt;Adaire 2</v>
      </c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</row>
    <row r="1273" spans="1:26" ht="16.5" x14ac:dyDescent="0.35">
      <c r="A1273" s="2" t="str">
        <f ca="1">IFERROR(__xludf.DUMMYFUNCTION("""COMPUTED_VALUE"""),"Dubai")</f>
        <v>Dubai</v>
      </c>
      <c r="B1273" s="2" t="str">
        <f ca="1">IFERROR(__xludf.DUMMYFUNCTION("""COMPUTED_VALUE"""),"161 Jumeirah Lane")</f>
        <v>161 Jumeirah Lane</v>
      </c>
      <c r="C1273" s="2" t="str">
        <f ca="1">IFERROR(__xludf.DUMMYFUNCTION("""COMPUTED_VALUE"""),"Building")</f>
        <v>Building</v>
      </c>
      <c r="D1273" s="2" t="str">
        <f ca="1">IFERROR(__xludf.DUMMYFUNCTION("""COMPUTED_VALUE"""),"Dubai&gt;Al Satwa&gt;Jumeirah Garden City&gt;161 Jumeirah Lane")</f>
        <v>Dubai&gt;Al Satwa&gt;Jumeirah Garden City&gt;161 Jumeirah Lane</v>
      </c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</row>
    <row r="1274" spans="1:26" ht="16.5" x14ac:dyDescent="0.35">
      <c r="A1274" s="2" t="str">
        <f ca="1">IFERROR(__xludf.DUMMYFUNCTION("""COMPUTED_VALUE"""),"Dubai")</f>
        <v>Dubai</v>
      </c>
      <c r="B1274" s="2" t="str">
        <f ca="1">IFERROR(__xludf.DUMMYFUNCTION("""COMPUTED_VALUE"""),"Dubai Insurance Building")</f>
        <v>Dubai Insurance Building</v>
      </c>
      <c r="C1274" s="2" t="str">
        <f ca="1">IFERROR(__xludf.DUMMYFUNCTION("""COMPUTED_VALUE"""),"Building")</f>
        <v>Building</v>
      </c>
      <c r="D1274" s="2" t="str">
        <f ca="1">IFERROR(__xludf.DUMMYFUNCTION("""COMPUTED_VALUE"""),"Dubai&gt;Al Satwa&gt;Jumeirah Garden City&gt;Dubai Insurance Building")</f>
        <v>Dubai&gt;Al Satwa&gt;Jumeirah Garden City&gt;Dubai Insurance Building</v>
      </c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</row>
    <row r="1275" spans="1:26" ht="16.5" x14ac:dyDescent="0.35">
      <c r="A1275" s="2" t="str">
        <f ca="1">IFERROR(__xludf.DUMMYFUNCTION("""COMPUTED_VALUE"""),"Dubai")</f>
        <v>Dubai</v>
      </c>
      <c r="B1275" s="2" t="str">
        <f ca="1">IFERROR(__xludf.DUMMYFUNCTION("""COMPUTED_VALUE"""),"South Heights")</f>
        <v>South Heights</v>
      </c>
      <c r="C1275" s="2" t="str">
        <f ca="1">IFERROR(__xludf.DUMMYFUNCTION("""COMPUTED_VALUE"""),"Building")</f>
        <v>Building</v>
      </c>
      <c r="D1275" s="2" t="str">
        <f ca="1">IFERROR(__xludf.DUMMYFUNCTION("""COMPUTED_VALUE"""),"Dubai&gt;Al Satwa&gt;South Heights")</f>
        <v>Dubai&gt;Al Satwa&gt;South Heights</v>
      </c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</row>
    <row r="1276" spans="1:26" ht="16.5" x14ac:dyDescent="0.35">
      <c r="A1276" s="2" t="str">
        <f ca="1">IFERROR(__xludf.DUMMYFUNCTION("""COMPUTED_VALUE"""),"Dubai")</f>
        <v>Dubai</v>
      </c>
      <c r="B1276" s="2" t="str">
        <f ca="1">IFERROR(__xludf.DUMMYFUNCTION("""COMPUTED_VALUE"""),"Building B")</f>
        <v>Building B</v>
      </c>
      <c r="C1276" s="2" t="str">
        <f ca="1">IFERROR(__xludf.DUMMYFUNCTION("""COMPUTED_VALUE"""),"Building")</f>
        <v>Building</v>
      </c>
      <c r="D1276" s="2" t="str">
        <f ca="1">IFERROR(__xludf.DUMMYFUNCTION("""COMPUTED_VALUE"""),"Dubai&gt;The Sustainable City&gt;Building B")</f>
        <v>Dubai&gt;The Sustainable City&gt;Building B</v>
      </c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</row>
    <row r="1277" spans="1:26" ht="16.5" x14ac:dyDescent="0.35">
      <c r="A1277" s="2" t="str">
        <f ca="1">IFERROR(__xludf.DUMMYFUNCTION("""COMPUTED_VALUE"""),"Dubai")</f>
        <v>Dubai</v>
      </c>
      <c r="B1277" s="2" t="str">
        <f ca="1">IFERROR(__xludf.DUMMYFUNCTION("""COMPUTED_VALUE"""),"Building 166")</f>
        <v>Building 166</v>
      </c>
      <c r="C1277" s="2" t="str">
        <f ca="1">IFERROR(__xludf.DUMMYFUNCTION("""COMPUTED_VALUE"""),"Building")</f>
        <v>Building</v>
      </c>
      <c r="D1277" s="2" t="str">
        <f ca="1">IFERROR(__xludf.DUMMYFUNCTION("""COMPUTED_VALUE"""),"Dubai&gt;Discovery Gardens&gt;Contemporary&gt;Building 166")</f>
        <v>Dubai&gt;Discovery Gardens&gt;Contemporary&gt;Building 166</v>
      </c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</row>
    <row r="1278" spans="1:26" ht="16.5" x14ac:dyDescent="0.35">
      <c r="A1278" s="2" t="str">
        <f ca="1">IFERROR(__xludf.DUMMYFUNCTION("""COMPUTED_VALUE"""),"Dubai")</f>
        <v>Dubai</v>
      </c>
      <c r="B1278" s="2" t="str">
        <f ca="1">IFERROR(__xludf.DUMMYFUNCTION("""COMPUTED_VALUE"""),"Mogul")</f>
        <v>Mogul</v>
      </c>
      <c r="C1278" s="2" t="str">
        <f ca="1">IFERROR(__xludf.DUMMYFUNCTION("""COMPUTED_VALUE"""),"Neighbourhood")</f>
        <v>Neighbourhood</v>
      </c>
      <c r="D1278" s="2" t="str">
        <f ca="1">IFERROR(__xludf.DUMMYFUNCTION("""COMPUTED_VALUE"""),"Dubai&gt;Discovery Gardens&gt;Mogul")</f>
        <v>Dubai&gt;Discovery Gardens&gt;Mogul</v>
      </c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</row>
    <row r="1279" spans="1:26" ht="16.5" x14ac:dyDescent="0.35">
      <c r="A1279" s="2" t="str">
        <f ca="1">IFERROR(__xludf.DUMMYFUNCTION("""COMPUTED_VALUE"""),"Dubai")</f>
        <v>Dubai</v>
      </c>
      <c r="B1279" s="2" t="str">
        <f ca="1">IFERROR(__xludf.DUMMYFUNCTION("""COMPUTED_VALUE"""),"Building 221")</f>
        <v>Building 221</v>
      </c>
      <c r="C1279" s="2" t="str">
        <f ca="1">IFERROR(__xludf.DUMMYFUNCTION("""COMPUTED_VALUE"""),"Building")</f>
        <v>Building</v>
      </c>
      <c r="D1279" s="2" t="str">
        <f ca="1">IFERROR(__xludf.DUMMYFUNCTION("""COMPUTED_VALUE"""),"Dubai&gt;Discovery Gardens&gt;Mogul&gt;Building 221")</f>
        <v>Dubai&gt;Discovery Gardens&gt;Mogul&gt;Building 221</v>
      </c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</row>
    <row r="1280" spans="1:26" ht="16.5" x14ac:dyDescent="0.35">
      <c r="A1280" s="2" t="str">
        <f ca="1">IFERROR(__xludf.DUMMYFUNCTION("""COMPUTED_VALUE"""),"Dubai")</f>
        <v>Dubai</v>
      </c>
      <c r="B1280" s="2" t="str">
        <f ca="1">IFERROR(__xludf.DUMMYFUNCTION("""COMPUTED_VALUE"""),"Building 22")</f>
        <v>Building 22</v>
      </c>
      <c r="C1280" s="2" t="str">
        <f ca="1">IFERROR(__xludf.DUMMYFUNCTION("""COMPUTED_VALUE"""),"Building")</f>
        <v>Building</v>
      </c>
      <c r="D1280" s="2" t="str">
        <f ca="1">IFERROR(__xludf.DUMMYFUNCTION("""COMPUTED_VALUE"""),"Dubai&gt;Discovery Gardens&gt;Zen Cluster&gt;Building 22")</f>
        <v>Dubai&gt;Discovery Gardens&gt;Zen Cluster&gt;Building 22</v>
      </c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</row>
    <row r="1281" spans="1:26" ht="16.5" x14ac:dyDescent="0.35">
      <c r="A1281" s="2" t="str">
        <f ca="1">IFERROR(__xludf.DUMMYFUNCTION("""COMPUTED_VALUE"""),"Dubai")</f>
        <v>Dubai</v>
      </c>
      <c r="B1281" s="2" t="str">
        <f ca="1">IFERROR(__xludf.DUMMYFUNCTION("""COMPUTED_VALUE"""),"Building 61")</f>
        <v>Building 61</v>
      </c>
      <c r="C1281" s="2" t="str">
        <f ca="1">IFERROR(__xludf.DUMMYFUNCTION("""COMPUTED_VALUE"""),"Building")</f>
        <v>Building</v>
      </c>
      <c r="D1281" s="2" t="str">
        <f ca="1">IFERROR(__xludf.DUMMYFUNCTION("""COMPUTED_VALUE"""),"Dubai&gt;Discovery Gardens&gt;Mediterranean&gt;Building 61")</f>
        <v>Dubai&gt;Discovery Gardens&gt;Mediterranean&gt;Building 61</v>
      </c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</row>
    <row r="1282" spans="1:26" ht="16.5" x14ac:dyDescent="0.35">
      <c r="A1282" s="2" t="str">
        <f ca="1">IFERROR(__xludf.DUMMYFUNCTION("""COMPUTED_VALUE"""),"Dubai")</f>
        <v>Dubai</v>
      </c>
      <c r="B1282" s="2" t="str">
        <f ca="1">IFERROR(__xludf.DUMMYFUNCTION("""COMPUTED_VALUE"""),"Building 68")</f>
        <v>Building 68</v>
      </c>
      <c r="C1282" s="2" t="str">
        <f ca="1">IFERROR(__xludf.DUMMYFUNCTION("""COMPUTED_VALUE"""),"Building")</f>
        <v>Building</v>
      </c>
      <c r="D1282" s="2" t="str">
        <f ca="1">IFERROR(__xludf.DUMMYFUNCTION("""COMPUTED_VALUE"""),"Dubai&gt;Discovery Gardens&gt;Mediterranean&gt;Building 68")</f>
        <v>Dubai&gt;Discovery Gardens&gt;Mediterranean&gt;Building 68</v>
      </c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</row>
    <row r="1283" spans="1:26" ht="16.5" x14ac:dyDescent="0.35">
      <c r="A1283" s="2" t="str">
        <f ca="1">IFERROR(__xludf.DUMMYFUNCTION("""COMPUTED_VALUE"""),"Dubai")</f>
        <v>Dubai</v>
      </c>
      <c r="B1283" s="2" t="str">
        <f ca="1">IFERROR(__xludf.DUMMYFUNCTION("""COMPUTED_VALUE"""),"Havelock Residences")</f>
        <v>Havelock Residences</v>
      </c>
      <c r="C1283" s="2" t="str">
        <f ca="1">IFERROR(__xludf.DUMMYFUNCTION("""COMPUTED_VALUE"""),"Building")</f>
        <v>Building</v>
      </c>
      <c r="D1283" s="2" t="str">
        <f ca="1">IFERROR(__xludf.DUMMYFUNCTION("""COMPUTED_VALUE"""),"Dubai&gt;Discovery Gardens&gt;Havelock Residences")</f>
        <v>Dubai&gt;Discovery Gardens&gt;Havelock Residences</v>
      </c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</row>
    <row r="1284" spans="1:26" ht="16.5" x14ac:dyDescent="0.35">
      <c r="A1284" s="2" t="str">
        <f ca="1">IFERROR(__xludf.DUMMYFUNCTION("""COMPUTED_VALUE"""),"Dubai")</f>
        <v>Dubai</v>
      </c>
      <c r="B1284" s="2" t="str">
        <f ca="1">IFERROR(__xludf.DUMMYFUNCTION("""COMPUTED_VALUE"""),"Abu Keibal")</f>
        <v>Abu Keibal</v>
      </c>
      <c r="C1284" s="2" t="str">
        <f ca="1">IFERROR(__xludf.DUMMYFUNCTION("""COMPUTED_VALUE"""),"Building")</f>
        <v>Building</v>
      </c>
      <c r="D1284" s="2" t="str">
        <f ca="1">IFERROR(__xludf.DUMMYFUNCTION("""COMPUTED_VALUE"""),"Dubai&gt;Palm Jumeirah&gt;Shoreline Apartments&gt;Abu Keibal")</f>
        <v>Dubai&gt;Palm Jumeirah&gt;Shoreline Apartments&gt;Abu Keibal</v>
      </c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</row>
    <row r="1285" spans="1:26" ht="16.5" x14ac:dyDescent="0.35">
      <c r="A1285" s="2" t="str">
        <f ca="1">IFERROR(__xludf.DUMMYFUNCTION("""COMPUTED_VALUE"""),"Dubai")</f>
        <v>Dubai</v>
      </c>
      <c r="B1285" s="2" t="str">
        <f ca="1">IFERROR(__xludf.DUMMYFUNCTION("""COMPUTED_VALUE"""),"Signature Villas Frond D")</f>
        <v>Signature Villas Frond D</v>
      </c>
      <c r="C1285" s="2" t="str">
        <f ca="1">IFERROR(__xludf.DUMMYFUNCTION("""COMPUTED_VALUE"""),"Neighbourhood")</f>
        <v>Neighbourhood</v>
      </c>
      <c r="D1285" s="2" t="str">
        <f ca="1">IFERROR(__xludf.DUMMYFUNCTION("""COMPUTED_VALUE"""),"Dubai&gt;Palm Jumeirah&gt;Signature Villas Palm Jumeirah&gt;Signature Villas Frond D")</f>
        <v>Dubai&gt;Palm Jumeirah&gt;Signature Villas Palm Jumeirah&gt;Signature Villas Frond D</v>
      </c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</row>
    <row r="1286" spans="1:26" ht="16.5" x14ac:dyDescent="0.35">
      <c r="A1286" s="2" t="str">
        <f ca="1">IFERROR(__xludf.DUMMYFUNCTION("""COMPUTED_VALUE"""),"Dubai")</f>
        <v>Dubai</v>
      </c>
      <c r="B1286" s="2" t="str">
        <f ca="1">IFERROR(__xludf.DUMMYFUNCTION("""COMPUTED_VALUE"""),"The Fairmont Palm Hotel &amp; Resort")</f>
        <v>The Fairmont Palm Hotel &amp; Resort</v>
      </c>
      <c r="C1286" s="2" t="str">
        <f ca="1">IFERROR(__xludf.DUMMYFUNCTION("""COMPUTED_VALUE"""),"Building")</f>
        <v>Building</v>
      </c>
      <c r="D1286" s="2" t="str">
        <f ca="1">IFERROR(__xludf.DUMMYFUNCTION("""COMPUTED_VALUE"""),"Dubai&gt;Palm Jumeirah&gt;The Fairmont Palm Residences&gt;The Fairmont Palm Hotel &amp; Resort")</f>
        <v>Dubai&gt;Palm Jumeirah&gt;The Fairmont Palm Residences&gt;The Fairmont Palm Hotel &amp; Resort</v>
      </c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</row>
    <row r="1287" spans="1:26" ht="16.5" x14ac:dyDescent="0.35">
      <c r="A1287" s="2" t="str">
        <f ca="1">IFERROR(__xludf.DUMMYFUNCTION("""COMPUTED_VALUE"""),"Dubai")</f>
        <v>Dubai</v>
      </c>
      <c r="B1287" s="2" t="str">
        <f ca="1">IFERROR(__xludf.DUMMYFUNCTION("""COMPUTED_VALUE"""),"The Alba Residences by Omniyat Building 3")</f>
        <v>The Alba Residences by Omniyat Building 3</v>
      </c>
      <c r="C1287" s="2" t="str">
        <f ca="1">IFERROR(__xludf.DUMMYFUNCTION("""COMPUTED_VALUE"""),"Building")</f>
        <v>Building</v>
      </c>
      <c r="D1287" s="2" t="str">
        <f ca="1">IFERROR(__xludf.DUMMYFUNCTION("""COMPUTED_VALUE"""),"Dubai&gt;Palm Jumeirah&gt;The Crescent&gt;The Alba Residences by Omniyat&gt;The Alba Residences by Omniyat Building 3")</f>
        <v>Dubai&gt;Palm Jumeirah&gt;The Crescent&gt;The Alba Residences by Omniyat&gt;The Alba Residences by Omniyat Building 3</v>
      </c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</row>
    <row r="1288" spans="1:26" ht="16.5" x14ac:dyDescent="0.35">
      <c r="A1288" s="2" t="str">
        <f ca="1">IFERROR(__xludf.DUMMYFUNCTION("""COMPUTED_VALUE"""),"Dubai")</f>
        <v>Dubai</v>
      </c>
      <c r="B1288" s="2" t="str">
        <f ca="1">IFERROR(__xludf.DUMMYFUNCTION("""COMPUTED_VALUE"""),"Six Senses Residences")</f>
        <v>Six Senses Residences</v>
      </c>
      <c r="C1288" s="2" t="str">
        <f ca="1">IFERROR(__xludf.DUMMYFUNCTION("""COMPUTED_VALUE"""),"Neighbourhood")</f>
        <v>Neighbourhood</v>
      </c>
      <c r="D1288" s="2" t="str">
        <f ca="1">IFERROR(__xludf.DUMMYFUNCTION("""COMPUTED_VALUE"""),"Dubai&gt;Palm Jumeirah&gt;Six Senses Residences")</f>
        <v>Dubai&gt;Palm Jumeirah&gt;Six Senses Residences</v>
      </c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</row>
    <row r="1289" spans="1:26" ht="16.5" x14ac:dyDescent="0.35">
      <c r="A1289" s="2" t="str">
        <f ca="1">IFERROR(__xludf.DUMMYFUNCTION("""COMPUTED_VALUE"""),"Dubai")</f>
        <v>Dubai</v>
      </c>
      <c r="B1289" s="2" t="str">
        <f ca="1">IFERROR(__xludf.DUMMYFUNCTION("""COMPUTED_VALUE"""),"Frond J")</f>
        <v>Frond J</v>
      </c>
      <c r="C1289" s="2" t="str">
        <f ca="1">IFERROR(__xludf.DUMMYFUNCTION("""COMPUTED_VALUE"""),"Neighbourhood")</f>
        <v>Neighbourhood</v>
      </c>
      <c r="D1289" s="2" t="str">
        <f ca="1">IFERROR(__xludf.DUMMYFUNCTION("""COMPUTED_VALUE"""),"Dubai&gt;Palm Jumeirah&gt;Frond J")</f>
        <v>Dubai&gt;Palm Jumeirah&gt;Frond J</v>
      </c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</row>
    <row r="1290" spans="1:26" ht="16.5" x14ac:dyDescent="0.35">
      <c r="A1290" s="2" t="str">
        <f ca="1">IFERROR(__xludf.DUMMYFUNCTION("""COMPUTED_VALUE"""),"Dubai")</f>
        <v>Dubai</v>
      </c>
      <c r="B1290" s="2" t="str">
        <f ca="1">IFERROR(__xludf.DUMMYFUNCTION("""COMPUTED_VALUE"""),"Binghatti Avenue")</f>
        <v>Binghatti Avenue</v>
      </c>
      <c r="C1290" s="2" t="str">
        <f ca="1">IFERROR(__xludf.DUMMYFUNCTION("""COMPUTED_VALUE"""),"Building")</f>
        <v>Building</v>
      </c>
      <c r="D1290" s="2" t="str">
        <f ca="1">IFERROR(__xludf.DUMMYFUNCTION("""COMPUTED_VALUE"""),"Dubai&gt;Al Jaddaf&gt;Binghatti Avenue")</f>
        <v>Dubai&gt;Al Jaddaf&gt;Binghatti Avenue</v>
      </c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</row>
    <row r="1291" spans="1:26" ht="16.5" x14ac:dyDescent="0.35">
      <c r="A1291" s="2" t="str">
        <f ca="1">IFERROR(__xludf.DUMMYFUNCTION("""COMPUTED_VALUE"""),"Dubai")</f>
        <v>Dubai</v>
      </c>
      <c r="B1291" s="2" t="str">
        <f ca="1">IFERROR(__xludf.DUMMYFUNCTION("""COMPUTED_VALUE"""),"Sheikh Ahmed Square Tower B")</f>
        <v>Sheikh Ahmed Square Tower B</v>
      </c>
      <c r="C1291" s="2" t="str">
        <f ca="1">IFERROR(__xludf.DUMMYFUNCTION("""COMPUTED_VALUE"""),"Building")</f>
        <v>Building</v>
      </c>
      <c r="D1291" s="2" t="str">
        <f ca="1">IFERROR(__xludf.DUMMYFUNCTION("""COMPUTED_VALUE"""),"Dubai&gt;Al Jaddaf&gt;Dubai Healthcare City Phase 2&gt;Sheikh Ahmed Square&gt;Sheikh Ahmed Square Tower B")</f>
        <v>Dubai&gt;Al Jaddaf&gt;Dubai Healthcare City Phase 2&gt;Sheikh Ahmed Square&gt;Sheikh Ahmed Square Tower B</v>
      </c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</row>
    <row r="1292" spans="1:26" ht="16.5" x14ac:dyDescent="0.35">
      <c r="A1292" s="2" t="str">
        <f ca="1">IFERROR(__xludf.DUMMYFUNCTION("""COMPUTED_VALUE"""),"Dubai")</f>
        <v>Dubai</v>
      </c>
      <c r="B1292" s="2" t="str">
        <f ca="1">IFERROR(__xludf.DUMMYFUNCTION("""COMPUTED_VALUE"""),"Al-Ali Ahmed Building")</f>
        <v>Al-Ali Ahmed Building</v>
      </c>
      <c r="C1292" s="2" t="str">
        <f ca="1">IFERROR(__xludf.DUMMYFUNCTION("""COMPUTED_VALUE"""),"Building")</f>
        <v>Building</v>
      </c>
      <c r="D1292" s="2" t="str">
        <f ca="1">IFERROR(__xludf.DUMMYFUNCTION("""COMPUTED_VALUE"""),"Dubai&gt;Al Jaddaf&gt;Al-Ali Ahmed Building")</f>
        <v>Dubai&gt;Al Jaddaf&gt;Al-Ali Ahmed Building</v>
      </c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</row>
    <row r="1293" spans="1:26" ht="16.5" x14ac:dyDescent="0.35">
      <c r="A1293" s="2" t="str">
        <f ca="1">IFERROR(__xludf.DUMMYFUNCTION("""COMPUTED_VALUE"""),"Dubai")</f>
        <v>Dubai</v>
      </c>
      <c r="B1293" s="2" t="str">
        <f ca="1">IFERROR(__xludf.DUMMYFUNCTION("""COMPUTED_VALUE"""),"Azizi Leily")</f>
        <v>Azizi Leily</v>
      </c>
      <c r="C1293" s="2" t="str">
        <f ca="1">IFERROR(__xludf.DUMMYFUNCTION("""COMPUTED_VALUE"""),"Building")</f>
        <v>Building</v>
      </c>
      <c r="D1293" s="2" t="str">
        <f ca="1">IFERROR(__xludf.DUMMYFUNCTION("""COMPUTED_VALUE"""),"Dubai&gt;Al Jaddaf&gt;Azizi Leily")</f>
        <v>Dubai&gt;Al Jaddaf&gt;Azizi Leily</v>
      </c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</row>
    <row r="1294" spans="1:26" ht="16.5" x14ac:dyDescent="0.35">
      <c r="A1294" s="2" t="str">
        <f ca="1">IFERROR(__xludf.DUMMYFUNCTION("""COMPUTED_VALUE"""),"Dubai")</f>
        <v>Dubai</v>
      </c>
      <c r="B1294" s="2" t="str">
        <f ca="1">IFERROR(__xludf.DUMMYFUNCTION("""COMPUTED_VALUE"""),"Frond J")</f>
        <v>Frond J</v>
      </c>
      <c r="C1294" s="2" t="str">
        <f ca="1">IFERROR(__xludf.DUMMYFUNCTION("""COMPUTED_VALUE"""),"Neighbourhood")</f>
        <v>Neighbourhood</v>
      </c>
      <c r="D1294" s="2" t="str">
        <f ca="1">IFERROR(__xludf.DUMMYFUNCTION("""COMPUTED_VALUE"""),"Dubai&gt;Palm Jebel Ali&gt;Frond J")</f>
        <v>Dubai&gt;Palm Jebel Ali&gt;Frond J</v>
      </c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</row>
    <row r="1295" spans="1:26" ht="16.5" x14ac:dyDescent="0.35">
      <c r="A1295" s="2" t="str">
        <f ca="1">IFERROR(__xludf.DUMMYFUNCTION("""COMPUTED_VALUE"""),"Dubai")</f>
        <v>Dubai</v>
      </c>
      <c r="B1295" s="2" t="str">
        <f ca="1">IFERROR(__xludf.DUMMYFUNCTION("""COMPUTED_VALUE"""),"My City Centre Al Barsha")</f>
        <v>My City Centre Al Barsha</v>
      </c>
      <c r="C1295" s="2" t="str">
        <f ca="1">IFERROR(__xludf.DUMMYFUNCTION("""COMPUTED_VALUE"""),"Building")</f>
        <v>Building</v>
      </c>
      <c r="D1295" s="2" t="str">
        <f ca="1">IFERROR(__xludf.DUMMYFUNCTION("""COMPUTED_VALUE"""),"Dubai&gt;Dubai Science Park&gt;My City Centre Al Barsha")</f>
        <v>Dubai&gt;Dubai Science Park&gt;My City Centre Al Barsha</v>
      </c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</row>
    <row r="1296" spans="1:26" ht="16.5" x14ac:dyDescent="0.35">
      <c r="A1296" s="2" t="str">
        <f ca="1">IFERROR(__xludf.DUMMYFUNCTION("""COMPUTED_VALUE"""),"Dubai")</f>
        <v>Dubai</v>
      </c>
      <c r="B1296" s="2" t="str">
        <f ca="1">IFERROR(__xludf.DUMMYFUNCTION("""COMPUTED_VALUE"""),"The Springs 12")</f>
        <v>The Springs 12</v>
      </c>
      <c r="C1296" s="2" t="str">
        <f ca="1">IFERROR(__xludf.DUMMYFUNCTION("""COMPUTED_VALUE"""),"Neighbourhood")</f>
        <v>Neighbourhood</v>
      </c>
      <c r="D1296" s="2" t="str">
        <f ca="1">IFERROR(__xludf.DUMMYFUNCTION("""COMPUTED_VALUE"""),"Dubai&gt;The Springs&gt;The Springs 12")</f>
        <v>Dubai&gt;The Springs&gt;The Springs 12</v>
      </c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</row>
    <row r="1297" spans="1:26" ht="16.5" x14ac:dyDescent="0.35">
      <c r="A1297" s="2" t="str">
        <f ca="1">IFERROR(__xludf.DUMMYFUNCTION("""COMPUTED_VALUE"""),"Dubai")</f>
        <v>Dubai</v>
      </c>
      <c r="B1297" s="2" t="str">
        <f ca="1">IFERROR(__xludf.DUMMYFUNCTION("""COMPUTED_VALUE"""),"Hillside Residences 3 Building B")</f>
        <v>Hillside Residences 3 Building B</v>
      </c>
      <c r="C1297" s="2" t="str">
        <f ca="1">IFERROR(__xludf.DUMMYFUNCTION("""COMPUTED_VALUE"""),"Building")</f>
        <v>Building</v>
      </c>
      <c r="D1297" s="2" t="str">
        <f ca="1">IFERROR(__xludf.DUMMYFUNCTION("""COMPUTED_VALUE"""),"Dubai&gt;Wasl Gate&gt;Hillside Residences&gt;Hillside Residences 3&gt;Hillside Residences 3 Building B")</f>
        <v>Dubai&gt;Wasl Gate&gt;Hillside Residences&gt;Hillside Residences 3&gt;Hillside Residences 3 Building B</v>
      </c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</row>
    <row r="1298" spans="1:26" ht="16.5" x14ac:dyDescent="0.35">
      <c r="A1298" s="2" t="str">
        <f ca="1">IFERROR(__xludf.DUMMYFUNCTION("""COMPUTED_VALUE"""),"Dubai")</f>
        <v>Dubai</v>
      </c>
      <c r="B1298" s="2" t="str">
        <f ca="1">IFERROR(__xludf.DUMMYFUNCTION("""COMPUTED_VALUE"""),"Valoura Residence")</f>
        <v>Valoura Residence</v>
      </c>
      <c r="C1298" s="2" t="str">
        <f ca="1">IFERROR(__xludf.DUMMYFUNCTION("""COMPUTED_VALUE"""),"Building")</f>
        <v>Building</v>
      </c>
      <c r="D1298" s="2" t="str">
        <f ca="1">IFERROR(__xludf.DUMMYFUNCTION("""COMPUTED_VALUE"""),"Dubai&gt;Nad Al Sheba&gt;Nad Al Sheba 1&gt;Nad Al Sheba Gardens&gt;Nad Al Sheba Gardens 1&gt;Valoura Residence")</f>
        <v>Dubai&gt;Nad Al Sheba&gt;Nad Al Sheba 1&gt;Nad Al Sheba Gardens&gt;Nad Al Sheba Gardens 1&gt;Valoura Residence</v>
      </c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</row>
    <row r="1299" spans="1:26" ht="16.5" x14ac:dyDescent="0.35">
      <c r="A1299" s="2" t="str">
        <f ca="1">IFERROR(__xludf.DUMMYFUNCTION("""COMPUTED_VALUE"""),"Dubai")</f>
        <v>Dubai</v>
      </c>
      <c r="B1299" s="2" t="str">
        <f ca="1">IFERROR(__xludf.DUMMYFUNCTION("""COMPUTED_VALUE"""),"Two Seasons Hotel and Apartments")</f>
        <v>Two Seasons Hotel and Apartments</v>
      </c>
      <c r="C1299" s="2" t="str">
        <f ca="1">IFERROR(__xludf.DUMMYFUNCTION("""COMPUTED_VALUE"""),"Building")</f>
        <v>Building</v>
      </c>
      <c r="D1299" s="2" t="str">
        <f ca="1">IFERROR(__xludf.DUMMYFUNCTION("""COMPUTED_VALUE"""),"Dubai&gt;Dubai Internet City&gt;Two Seasons Hotel and Apartments")</f>
        <v>Dubai&gt;Dubai Internet City&gt;Two Seasons Hotel and Apartments</v>
      </c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</row>
    <row r="1300" spans="1:26" ht="16.5" x14ac:dyDescent="0.35">
      <c r="A1300" s="2" t="str">
        <f ca="1">IFERROR(__xludf.DUMMYFUNCTION("""COMPUTED_VALUE"""),"Dubai")</f>
        <v>Dubai</v>
      </c>
      <c r="B1300" s="2" t="str">
        <f ca="1">IFERROR(__xludf.DUMMYFUNCTION("""COMPUTED_VALUE"""),"DIC 5")</f>
        <v>DIC 5</v>
      </c>
      <c r="C1300" s="2" t="str">
        <f ca="1">IFERROR(__xludf.DUMMYFUNCTION("""COMPUTED_VALUE"""),"Building")</f>
        <v>Building</v>
      </c>
      <c r="D1300" s="2" t="str">
        <f ca="1">IFERROR(__xludf.DUMMYFUNCTION("""COMPUTED_VALUE"""),"Dubai&gt;Dubai Internet City&gt;DIC&gt;DIC 5")</f>
        <v>Dubai&gt;Dubai Internet City&gt;DIC&gt;DIC 5</v>
      </c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</row>
    <row r="1301" spans="1:26" ht="16.5" x14ac:dyDescent="0.35">
      <c r="A1301" s="2" t="str">
        <f ca="1">IFERROR(__xludf.DUMMYFUNCTION("""COMPUTED_VALUE"""),"Dubai")</f>
        <v>Dubai</v>
      </c>
      <c r="B1301" s="2" t="str">
        <f ca="1">IFERROR(__xludf.DUMMYFUNCTION("""COMPUTED_VALUE"""),"Anya 2")</f>
        <v>Anya 2</v>
      </c>
      <c r="C1301" s="2" t="str">
        <f ca="1">IFERROR(__xludf.DUMMYFUNCTION("""COMPUTED_VALUE"""),"Neighbourhood")</f>
        <v>Neighbourhood</v>
      </c>
      <c r="D1301" s="2" t="str">
        <f ca="1">IFERROR(__xludf.DUMMYFUNCTION("""COMPUTED_VALUE"""),"Dubai&gt;Arabian Ranches 3&gt;Anya 2")</f>
        <v>Dubai&gt;Arabian Ranches 3&gt;Anya 2</v>
      </c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</row>
    <row r="1302" spans="1:26" ht="16.5" x14ac:dyDescent="0.35">
      <c r="A1302" s="2" t="str">
        <f ca="1">IFERROR(__xludf.DUMMYFUNCTION("""COMPUTED_VALUE"""),"Dubai")</f>
        <v>Dubai</v>
      </c>
      <c r="B1302" s="2" t="str">
        <f ca="1">IFERROR(__xludf.DUMMYFUNCTION("""COMPUTED_VALUE"""),"Ocean Star")</f>
        <v>Ocean Star</v>
      </c>
      <c r="C1302" s="2" t="str">
        <f ca="1">IFERROR(__xludf.DUMMYFUNCTION("""COMPUTED_VALUE"""),"Cluster")</f>
        <v>Cluster</v>
      </c>
      <c r="D1302" s="2" t="str">
        <f ca="1">IFERROR(__xludf.DUMMYFUNCTION("""COMPUTED_VALUE"""),"Dubai&gt;Mina Rashid&gt;Ocean Star")</f>
        <v>Dubai&gt;Mina Rashid&gt;Ocean Star</v>
      </c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</row>
    <row r="1303" spans="1:26" ht="16.5" x14ac:dyDescent="0.35">
      <c r="A1303" s="2" t="str">
        <f ca="1">IFERROR(__xludf.DUMMYFUNCTION("""COMPUTED_VALUE"""),"Dubai")</f>
        <v>Dubai</v>
      </c>
      <c r="B1303" s="2" t="str">
        <f ca="1">IFERROR(__xludf.DUMMYFUNCTION("""COMPUTED_VALUE"""),"Sector E")</f>
        <v>Sector E</v>
      </c>
      <c r="C1303" s="2" t="str">
        <f ca="1">IFERROR(__xludf.DUMMYFUNCTION("""COMPUTED_VALUE"""),"Neighbourhood")</f>
        <v>Neighbourhood</v>
      </c>
      <c r="D1303" s="2" t="str">
        <f ca="1">IFERROR(__xludf.DUMMYFUNCTION("""COMPUTED_VALUE"""),"Dubai&gt;Emirates Hills&gt;Sector E")</f>
        <v>Dubai&gt;Emirates Hills&gt;Sector E</v>
      </c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</row>
    <row r="1304" spans="1:26" ht="16.5" x14ac:dyDescent="0.35">
      <c r="A1304" s="2" t="str">
        <f ca="1">IFERROR(__xludf.DUMMYFUNCTION("""COMPUTED_VALUE"""),"Dubai")</f>
        <v>Dubai</v>
      </c>
      <c r="B1304" s="2" t="str">
        <f ca="1">IFERROR(__xludf.DUMMYFUNCTION("""COMPUTED_VALUE"""),"Farm Gardens 3")</f>
        <v>Farm Gardens 3</v>
      </c>
      <c r="C1304" s="2" t="str">
        <f ca="1">IFERROR(__xludf.DUMMYFUNCTION("""COMPUTED_VALUE"""),"Neighbourhood")</f>
        <v>Neighbourhood</v>
      </c>
      <c r="D1304" s="2" t="str">
        <f ca="1">IFERROR(__xludf.DUMMYFUNCTION("""COMPUTED_VALUE"""),"Dubai&gt;The Valley by Emaar&gt;Farm Gardens 3")</f>
        <v>Dubai&gt;The Valley by Emaar&gt;Farm Gardens 3</v>
      </c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</row>
    <row r="1305" spans="1:26" ht="16.5" x14ac:dyDescent="0.35">
      <c r="A1305" s="2" t="str">
        <f ca="1">IFERROR(__xludf.DUMMYFUNCTION("""COMPUTED_VALUE"""),"Dubai")</f>
        <v>Dubai</v>
      </c>
      <c r="B1305" s="2" t="str">
        <f ca="1">IFERROR(__xludf.DUMMYFUNCTION("""COMPUTED_VALUE"""),"La Avenida 1")</f>
        <v>La Avenida 1</v>
      </c>
      <c r="C1305" s="2" t="str">
        <f ca="1">IFERROR(__xludf.DUMMYFUNCTION("""COMPUTED_VALUE"""),"Neighbourhood")</f>
        <v>Neighbourhood</v>
      </c>
      <c r="D1305" s="2" t="str">
        <f ca="1">IFERROR(__xludf.DUMMYFUNCTION("""COMPUTED_VALUE"""),"Dubai&gt;Arabian Ranches&gt;La Avenida&gt;La Avenida 1")</f>
        <v>Dubai&gt;Arabian Ranches&gt;La Avenida&gt;La Avenida 1</v>
      </c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</row>
    <row r="1306" spans="1:26" ht="16.5" x14ac:dyDescent="0.35">
      <c r="A1306" s="2" t="str">
        <f ca="1">IFERROR(__xludf.DUMMYFUNCTION("""COMPUTED_VALUE"""),"Dubai")</f>
        <v>Dubai</v>
      </c>
      <c r="B1306" s="2" t="str">
        <f ca="1">IFERROR(__xludf.DUMMYFUNCTION("""COMPUTED_VALUE"""),"The Gardens Building 90")</f>
        <v>The Gardens Building 90</v>
      </c>
      <c r="C1306" s="2" t="str">
        <f ca="1">IFERROR(__xludf.DUMMYFUNCTION("""COMPUTED_VALUE"""),"Building")</f>
        <v>Building</v>
      </c>
      <c r="D1306" s="2" t="str">
        <f ca="1">IFERROR(__xludf.DUMMYFUNCTION("""COMPUTED_VALUE"""),"Dubai&gt;The Gardens&gt;The Gardens Building 90")</f>
        <v>Dubai&gt;The Gardens&gt;The Gardens Building 90</v>
      </c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</row>
    <row r="1307" spans="1:26" ht="16.5" x14ac:dyDescent="0.35">
      <c r="A1307" s="2" t="str">
        <f ca="1">IFERROR(__xludf.DUMMYFUNCTION("""COMPUTED_VALUE"""),"Dubai")</f>
        <v>Dubai</v>
      </c>
      <c r="B1307" s="2" t="str">
        <f ca="1">IFERROR(__xludf.DUMMYFUNCTION("""COMPUTED_VALUE"""),"The Gardens Building 73")</f>
        <v>The Gardens Building 73</v>
      </c>
      <c r="C1307" s="2" t="str">
        <f ca="1">IFERROR(__xludf.DUMMYFUNCTION("""COMPUTED_VALUE"""),"Building")</f>
        <v>Building</v>
      </c>
      <c r="D1307" s="2" t="str">
        <f ca="1">IFERROR(__xludf.DUMMYFUNCTION("""COMPUTED_VALUE"""),"Dubai&gt;The Gardens&gt;The Gardens Building 73")</f>
        <v>Dubai&gt;The Gardens&gt;The Gardens Building 73</v>
      </c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</row>
    <row r="1308" spans="1:26" ht="16.5" x14ac:dyDescent="0.35">
      <c r="A1308" s="2" t="str">
        <f ca="1">IFERROR(__xludf.DUMMYFUNCTION("""COMPUTED_VALUE"""),"Dubai")</f>
        <v>Dubai</v>
      </c>
      <c r="B1308" s="2" t="str">
        <f ca="1">IFERROR(__xludf.DUMMYFUNCTION("""COMPUTED_VALUE"""),"The Gardens Building 113")</f>
        <v>The Gardens Building 113</v>
      </c>
      <c r="C1308" s="2" t="str">
        <f ca="1">IFERROR(__xludf.DUMMYFUNCTION("""COMPUTED_VALUE"""),"Building")</f>
        <v>Building</v>
      </c>
      <c r="D1308" s="2" t="str">
        <f ca="1">IFERROR(__xludf.DUMMYFUNCTION("""COMPUTED_VALUE"""),"Dubai&gt;The Gardens&gt;The Gardens Building 113")</f>
        <v>Dubai&gt;The Gardens&gt;The Gardens Building 113</v>
      </c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</row>
    <row r="1309" spans="1:26" ht="16.5" x14ac:dyDescent="0.35">
      <c r="A1309" s="2" t="str">
        <f ca="1">IFERROR(__xludf.DUMMYFUNCTION("""COMPUTED_VALUE"""),"Dubai")</f>
        <v>Dubai</v>
      </c>
      <c r="B1309" s="2" t="str">
        <f ca="1">IFERROR(__xludf.DUMMYFUNCTION("""COMPUTED_VALUE"""),"The Gardens Building 33")</f>
        <v>The Gardens Building 33</v>
      </c>
      <c r="C1309" s="2" t="str">
        <f ca="1">IFERROR(__xludf.DUMMYFUNCTION("""COMPUTED_VALUE"""),"Building")</f>
        <v>Building</v>
      </c>
      <c r="D1309" s="2" t="str">
        <f ca="1">IFERROR(__xludf.DUMMYFUNCTION("""COMPUTED_VALUE"""),"Dubai&gt;The Gardens&gt;The Gardens Building 33")</f>
        <v>Dubai&gt;The Gardens&gt;The Gardens Building 33</v>
      </c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</row>
    <row r="1310" spans="1:26" ht="16.5" x14ac:dyDescent="0.35">
      <c r="A1310" s="2" t="str">
        <f ca="1">IFERROR(__xludf.DUMMYFUNCTION("""COMPUTED_VALUE"""),"Dubai")</f>
        <v>Dubai</v>
      </c>
      <c r="B1310" s="2" t="str">
        <f ca="1">IFERROR(__xludf.DUMMYFUNCTION("""COMPUTED_VALUE"""),"Al Mandoos Building")</f>
        <v>Al Mandoos Building</v>
      </c>
      <c r="C1310" s="2" t="str">
        <f ca="1">IFERROR(__xludf.DUMMYFUNCTION("""COMPUTED_VALUE"""),"Building")</f>
        <v>Building</v>
      </c>
      <c r="D1310" s="2" t="str">
        <f ca="1">IFERROR(__xludf.DUMMYFUNCTION("""COMPUTED_VALUE"""),"Dubai&gt;Al Mamzar&gt;Al Mandoos Building")</f>
        <v>Dubai&gt;Al Mamzar&gt;Al Mandoos Building</v>
      </c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</row>
    <row r="1311" spans="1:26" ht="16.5" x14ac:dyDescent="0.35">
      <c r="A1311" s="2" t="str">
        <f ca="1">IFERROR(__xludf.DUMMYFUNCTION("""COMPUTED_VALUE"""),"Dubai")</f>
        <v>Dubai</v>
      </c>
      <c r="B1311" s="2" t="str">
        <f ca="1">IFERROR(__xludf.DUMMYFUNCTION("""COMPUTED_VALUE"""),"Concord Tower")</f>
        <v>Concord Tower</v>
      </c>
      <c r="C1311" s="2" t="str">
        <f ca="1">IFERROR(__xludf.DUMMYFUNCTION("""COMPUTED_VALUE"""),"Building")</f>
        <v>Building</v>
      </c>
      <c r="D1311" s="2" t="str">
        <f ca="1">IFERROR(__xludf.DUMMYFUNCTION("""COMPUTED_VALUE"""),"Dubai&gt;Al Mamzar&gt;Concord Tower")</f>
        <v>Dubai&gt;Al Mamzar&gt;Concord Tower</v>
      </c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</row>
    <row r="1312" spans="1:26" ht="16.5" x14ac:dyDescent="0.35">
      <c r="A1312" s="2" t="str">
        <f ca="1">IFERROR(__xludf.DUMMYFUNCTION("""COMPUTED_VALUE"""),"Dubai")</f>
        <v>Dubai</v>
      </c>
      <c r="B1312" s="2" t="str">
        <f ca="1">IFERROR(__xludf.DUMMYFUNCTION("""COMPUTED_VALUE"""),"Russian International School, Dubai")</f>
        <v>Russian International School, Dubai</v>
      </c>
      <c r="C1312" s="2" t="str">
        <f ca="1">IFERROR(__xludf.DUMMYFUNCTION("""COMPUTED_VALUE"""),"School")</f>
        <v>School</v>
      </c>
      <c r="D1312" s="2" t="str">
        <f ca="1">IFERROR(__xludf.DUMMYFUNCTION("""COMPUTED_VALUE"""),"Dubai&gt;Muhaisnah&gt;Muhaisnah 4&gt;Russian International School, Dubai")</f>
        <v>Dubai&gt;Muhaisnah&gt;Muhaisnah 4&gt;Russian International School, Dubai</v>
      </c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</row>
    <row r="1313" spans="1:26" ht="16.5" x14ac:dyDescent="0.35">
      <c r="A1313" s="2" t="str">
        <f ca="1">IFERROR(__xludf.DUMMYFUNCTION("""COMPUTED_VALUE"""),"Dubai")</f>
        <v>Dubai</v>
      </c>
      <c r="B1313" s="2" t="str">
        <f ca="1">IFERROR(__xludf.DUMMYFUNCTION("""COMPUTED_VALUE"""),"Wasl Building R446 Block D")</f>
        <v>Wasl Building R446 Block D</v>
      </c>
      <c r="C1313" s="2" t="str">
        <f ca="1">IFERROR(__xludf.DUMMYFUNCTION("""COMPUTED_VALUE"""),"Building")</f>
        <v>Building</v>
      </c>
      <c r="D1313" s="2" t="str">
        <f ca="1">IFERROR(__xludf.DUMMYFUNCTION("""COMPUTED_VALUE"""),"Dubai&gt;Muhaisnah&gt;Muhaisnah 4&gt;Wasl Building R446&gt;Wasl Building R446 Block D")</f>
        <v>Dubai&gt;Muhaisnah&gt;Muhaisnah 4&gt;Wasl Building R446&gt;Wasl Building R446 Block D</v>
      </c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</row>
    <row r="1314" spans="1:26" ht="16.5" x14ac:dyDescent="0.35">
      <c r="A1314" s="2" t="str">
        <f ca="1">IFERROR(__xludf.DUMMYFUNCTION("""COMPUTED_VALUE"""),"Dubai")</f>
        <v>Dubai</v>
      </c>
      <c r="B1314" s="2" t="str">
        <f ca="1">IFERROR(__xludf.DUMMYFUNCTION("""COMPUTED_VALUE"""),"Bin Shabib Building 1")</f>
        <v>Bin Shabib Building 1</v>
      </c>
      <c r="C1314" s="2" t="str">
        <f ca="1">IFERROR(__xludf.DUMMYFUNCTION("""COMPUTED_VALUE"""),"Building")</f>
        <v>Building</v>
      </c>
      <c r="D1314" s="2" t="str">
        <f ca="1">IFERROR(__xludf.DUMMYFUNCTION("""COMPUTED_VALUE"""),"Dubai&gt;Umm Ramool&gt;Bin Shabib Building 1")</f>
        <v>Dubai&gt;Umm Ramool&gt;Bin Shabib Building 1</v>
      </c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</row>
    <row r="1315" spans="1:26" ht="16.5" x14ac:dyDescent="0.35">
      <c r="A1315" s="2" t="str">
        <f ca="1">IFERROR(__xludf.DUMMYFUNCTION("""COMPUTED_VALUE"""),"Dubai")</f>
        <v>Dubai</v>
      </c>
      <c r="B1315" s="2" t="str">
        <f ca="1">IFERROR(__xludf.DUMMYFUNCTION("""COMPUTED_VALUE"""),"Duja Tower")</f>
        <v>Duja Tower</v>
      </c>
      <c r="C1315" s="2" t="str">
        <f ca="1">IFERROR(__xludf.DUMMYFUNCTION("""COMPUTED_VALUE"""),"Building")</f>
        <v>Building</v>
      </c>
      <c r="D1315" s="2" t="str">
        <f ca="1">IFERROR(__xludf.DUMMYFUNCTION("""COMPUTED_VALUE"""),"Dubai&gt;Sheikh Zayed Road&gt;Duja Tower")</f>
        <v>Dubai&gt;Sheikh Zayed Road&gt;Duja Tower</v>
      </c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</row>
    <row r="1316" spans="1:26" ht="16.5" x14ac:dyDescent="0.35">
      <c r="A1316" s="2" t="str">
        <f ca="1">IFERROR(__xludf.DUMMYFUNCTION("""COMPUTED_VALUE"""),"Dubai")</f>
        <v>Dubai</v>
      </c>
      <c r="B1316" s="2" t="str">
        <f ca="1">IFERROR(__xludf.DUMMYFUNCTION("""COMPUTED_VALUE"""),"Sunday Mega Hotel")</f>
        <v>Sunday Mega Hotel</v>
      </c>
      <c r="C1316" s="2" t="str">
        <f ca="1">IFERROR(__xludf.DUMMYFUNCTION("""COMPUTED_VALUE"""),"Building")</f>
        <v>Building</v>
      </c>
      <c r="D1316" s="2" t="str">
        <f ca="1">IFERROR(__xludf.DUMMYFUNCTION("""COMPUTED_VALUE"""),"Dubai&gt;Sheikh Zayed Road&gt;Sunday Mega Hotel")</f>
        <v>Dubai&gt;Sheikh Zayed Road&gt;Sunday Mega Hotel</v>
      </c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</row>
    <row r="1317" spans="1:26" ht="16.5" x14ac:dyDescent="0.35">
      <c r="A1317" s="2" t="str">
        <f ca="1">IFERROR(__xludf.DUMMYFUNCTION("""COMPUTED_VALUE"""),"Dubai")</f>
        <v>Dubai</v>
      </c>
      <c r="B1317" s="2" t="str">
        <f ca="1">IFERROR(__xludf.DUMMYFUNCTION("""COMPUTED_VALUE"""),"Crown Plaza Commercial Tower")</f>
        <v>Crown Plaza Commercial Tower</v>
      </c>
      <c r="C1317" s="2" t="str">
        <f ca="1">IFERROR(__xludf.DUMMYFUNCTION("""COMPUTED_VALUE"""),"Building")</f>
        <v>Building</v>
      </c>
      <c r="D1317" s="2" t="str">
        <f ca="1">IFERROR(__xludf.DUMMYFUNCTION("""COMPUTED_VALUE"""),"Dubai&gt;Sheikh Zayed Road&gt;Crown Plaza Commercial Tower")</f>
        <v>Dubai&gt;Sheikh Zayed Road&gt;Crown Plaza Commercial Tower</v>
      </c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</row>
    <row r="1318" spans="1:26" ht="16.5" x14ac:dyDescent="0.35">
      <c r="A1318" s="2" t="str">
        <f ca="1">IFERROR(__xludf.DUMMYFUNCTION("""COMPUTED_VALUE"""),"Dubai")</f>
        <v>Dubai</v>
      </c>
      <c r="B1318" s="2" t="str">
        <f ca="1">IFERROR(__xludf.DUMMYFUNCTION("""COMPUTED_VALUE"""),"Jumeirah Residences Emirates Towers")</f>
        <v>Jumeirah Residences Emirates Towers</v>
      </c>
      <c r="C1318" s="2" t="str">
        <f ca="1">IFERROR(__xludf.DUMMYFUNCTION("""COMPUTED_VALUE"""),"Building")</f>
        <v>Building</v>
      </c>
      <c r="D1318" s="2" t="str">
        <f ca="1">IFERROR(__xludf.DUMMYFUNCTION("""COMPUTED_VALUE"""),"Dubai&gt;Sheikh Zayed Road&gt;Jumeirah Residences Emirates Towers")</f>
        <v>Dubai&gt;Sheikh Zayed Road&gt;Jumeirah Residences Emirates Towers</v>
      </c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</row>
    <row r="1319" spans="1:26" ht="16.5" x14ac:dyDescent="0.35">
      <c r="A1319" s="2" t="str">
        <f ca="1">IFERROR(__xludf.DUMMYFUNCTION("""COMPUTED_VALUE"""),"Dubai")</f>
        <v>Dubai</v>
      </c>
      <c r="B1319" s="2" t="str">
        <f ca="1">IFERROR(__xludf.DUMMYFUNCTION("""COMPUTED_VALUE"""),"Building 2")</f>
        <v>Building 2</v>
      </c>
      <c r="C1319" s="2" t="str">
        <f ca="1">IFERROR(__xludf.DUMMYFUNCTION("""COMPUTED_VALUE"""),"Building")</f>
        <v>Building</v>
      </c>
      <c r="D1319" s="2" t="str">
        <f ca="1">IFERROR(__xludf.DUMMYFUNCTION("""COMPUTED_VALUE"""),"Dubai&gt;Al Karama&gt;Karam Pioneer Buildings&gt;Building 2")</f>
        <v>Dubai&gt;Al Karama&gt;Karam Pioneer Buildings&gt;Building 2</v>
      </c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</row>
    <row r="1320" spans="1:26" ht="16.5" x14ac:dyDescent="0.35">
      <c r="A1320" s="2" t="str">
        <f ca="1">IFERROR(__xludf.DUMMYFUNCTION("""COMPUTED_VALUE"""),"Dubai")</f>
        <v>Dubai</v>
      </c>
      <c r="B1320" s="2" t="str">
        <f ca="1">IFERROR(__xludf.DUMMYFUNCTION("""COMPUTED_VALUE"""),"Building 34")</f>
        <v>Building 34</v>
      </c>
      <c r="C1320" s="2" t="str">
        <f ca="1">IFERROR(__xludf.DUMMYFUNCTION("""COMPUTED_VALUE"""),"Building")</f>
        <v>Building</v>
      </c>
      <c r="D1320" s="2" t="str">
        <f ca="1">IFERROR(__xludf.DUMMYFUNCTION("""COMPUTED_VALUE"""),"Dubai&gt;Al Karama&gt;Karam Pioneer Buildings&gt;Building 34")</f>
        <v>Dubai&gt;Al Karama&gt;Karam Pioneer Buildings&gt;Building 34</v>
      </c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</row>
    <row r="1321" spans="1:26" ht="16.5" x14ac:dyDescent="0.35">
      <c r="A1321" s="2" t="str">
        <f ca="1">IFERROR(__xludf.DUMMYFUNCTION("""COMPUTED_VALUE"""),"Dubai")</f>
        <v>Dubai</v>
      </c>
      <c r="B1321" s="2" t="str">
        <f ca="1">IFERROR(__xludf.DUMMYFUNCTION("""COMPUTED_VALUE"""),"Block 1")</f>
        <v>Block 1</v>
      </c>
      <c r="C1321" s="2" t="str">
        <f ca="1">IFERROR(__xludf.DUMMYFUNCTION("""COMPUTED_VALUE"""),"Building")</f>
        <v>Building</v>
      </c>
      <c r="D1321" s="2" t="str">
        <f ca="1">IFERROR(__xludf.DUMMYFUNCTION("""COMPUTED_VALUE"""),"Dubai&gt;Al Karama&gt;Al Wasl Hub&gt;Block 1")</f>
        <v>Dubai&gt;Al Karama&gt;Al Wasl Hub&gt;Block 1</v>
      </c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</row>
    <row r="1322" spans="1:26" ht="16.5" x14ac:dyDescent="0.35">
      <c r="A1322" s="2" t="str">
        <f ca="1">IFERROR(__xludf.DUMMYFUNCTION("""COMPUTED_VALUE"""),"Dubai")</f>
        <v>Dubai</v>
      </c>
      <c r="B1322" s="2" t="str">
        <f ca="1">IFERROR(__xludf.DUMMYFUNCTION("""COMPUTED_VALUE"""),"Juma Al Majid 1")</f>
        <v>Juma Al Majid 1</v>
      </c>
      <c r="C1322" s="2" t="str">
        <f ca="1">IFERROR(__xludf.DUMMYFUNCTION("""COMPUTED_VALUE"""),"Building")</f>
        <v>Building</v>
      </c>
      <c r="D1322" s="2" t="str">
        <f ca="1">IFERROR(__xludf.DUMMYFUNCTION("""COMPUTED_VALUE"""),"Dubai&gt;Al Karama&gt;Juma Al Majid 1")</f>
        <v>Dubai&gt;Al Karama&gt;Juma Al Majid 1</v>
      </c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</row>
    <row r="1323" spans="1:26" ht="16.5" x14ac:dyDescent="0.35">
      <c r="A1323" s="2" t="str">
        <f ca="1">IFERROR(__xludf.DUMMYFUNCTION("""COMPUTED_VALUE"""),"Dubai")</f>
        <v>Dubai</v>
      </c>
      <c r="B1323" s="2" t="str">
        <f ca="1">IFERROR(__xludf.DUMMYFUNCTION("""COMPUTED_VALUE"""),"Al Mabrooka D")</f>
        <v>Al Mabrooka D</v>
      </c>
      <c r="C1323" s="2" t="str">
        <f ca="1">IFERROR(__xludf.DUMMYFUNCTION("""COMPUTED_VALUE"""),"Building")</f>
        <v>Building</v>
      </c>
      <c r="D1323" s="2" t="str">
        <f ca="1">IFERROR(__xludf.DUMMYFUNCTION("""COMPUTED_VALUE"""),"Dubai&gt;Al Karama&gt;Al Mabrooka 1&gt;Al Mabrooka D")</f>
        <v>Dubai&gt;Al Karama&gt;Al Mabrooka 1&gt;Al Mabrooka D</v>
      </c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</row>
    <row r="1324" spans="1:26" ht="16.5" x14ac:dyDescent="0.35">
      <c r="A1324" s="2" t="str">
        <f ca="1">IFERROR(__xludf.DUMMYFUNCTION("""COMPUTED_VALUE"""),"Dubai")</f>
        <v>Dubai</v>
      </c>
      <c r="B1324" s="2" t="str">
        <f ca="1">IFERROR(__xludf.DUMMYFUNCTION("""COMPUTED_VALUE"""),"Ismail Building")</f>
        <v>Ismail Building</v>
      </c>
      <c r="C1324" s="2" t="str">
        <f ca="1">IFERROR(__xludf.DUMMYFUNCTION("""COMPUTED_VALUE"""),"Building")</f>
        <v>Building</v>
      </c>
      <c r="D1324" s="2" t="str">
        <f ca="1">IFERROR(__xludf.DUMMYFUNCTION("""COMPUTED_VALUE"""),"Dubai&gt;Al Karama&gt;Ismail Building")</f>
        <v>Dubai&gt;Al Karama&gt;Ismail Building</v>
      </c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</row>
    <row r="1325" spans="1:26" ht="16.5" x14ac:dyDescent="0.35">
      <c r="A1325" s="2" t="str">
        <f ca="1">IFERROR(__xludf.DUMMYFUNCTION("""COMPUTED_VALUE"""),"Dubai")</f>
        <v>Dubai</v>
      </c>
      <c r="B1325" s="2" t="str">
        <f ca="1">IFERROR(__xludf.DUMMYFUNCTION("""COMPUTED_VALUE"""),"Al Fattan Park View Tower")</f>
        <v>Al Fattan Park View Tower</v>
      </c>
      <c r="C1325" s="2" t="str">
        <f ca="1">IFERROR(__xludf.DUMMYFUNCTION("""COMPUTED_VALUE"""),"Building")</f>
        <v>Building</v>
      </c>
      <c r="D1325" s="2" t="str">
        <f ca="1">IFERROR(__xludf.DUMMYFUNCTION("""COMPUTED_VALUE"""),"Dubai&gt;Al Karama&gt;Al Fattan Park View Tower")</f>
        <v>Dubai&gt;Al Karama&gt;Al Fattan Park View Tower</v>
      </c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</row>
    <row r="1326" spans="1:26" ht="16.5" x14ac:dyDescent="0.35">
      <c r="A1326" s="2" t="str">
        <f ca="1">IFERROR(__xludf.DUMMYFUNCTION("""COMPUTED_VALUE"""),"Dubai")</f>
        <v>Dubai</v>
      </c>
      <c r="B1326" s="2" t="str">
        <f ca="1">IFERROR(__xludf.DUMMYFUNCTION("""COMPUTED_VALUE"""),"Al Fahad Block A")</f>
        <v>Al Fahad Block A</v>
      </c>
      <c r="C1326" s="2" t="str">
        <f ca="1">IFERROR(__xludf.DUMMYFUNCTION("""COMPUTED_VALUE"""),"Building")</f>
        <v>Building</v>
      </c>
      <c r="D1326" s="2" t="str">
        <f ca="1">IFERROR(__xludf.DUMMYFUNCTION("""COMPUTED_VALUE"""),"Dubai&gt;Al Karama&gt;Al Fahad Blocks&gt;Al Fahad Block A")</f>
        <v>Dubai&gt;Al Karama&gt;Al Fahad Blocks&gt;Al Fahad Block A</v>
      </c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</row>
    <row r="1327" spans="1:26" ht="16.5" x14ac:dyDescent="0.35">
      <c r="A1327" s="2" t="str">
        <f ca="1">IFERROR(__xludf.DUMMYFUNCTION("""COMPUTED_VALUE"""),"Dubai")</f>
        <v>Dubai</v>
      </c>
      <c r="B1327" s="2" t="str">
        <f ca="1">IFERROR(__xludf.DUMMYFUNCTION("""COMPUTED_VALUE"""),"Al Rostamani Building")</f>
        <v>Al Rostamani Building</v>
      </c>
      <c r="C1327" s="2" t="str">
        <f ca="1">IFERROR(__xludf.DUMMYFUNCTION("""COMPUTED_VALUE"""),"Building")</f>
        <v>Building</v>
      </c>
      <c r="D1327" s="2" t="str">
        <f ca="1">IFERROR(__xludf.DUMMYFUNCTION("""COMPUTED_VALUE"""),"Dubai&gt;Al Karama&gt;Al Rostamani Building")</f>
        <v>Dubai&gt;Al Karama&gt;Al Rostamani Building</v>
      </c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</row>
    <row r="1328" spans="1:26" ht="16.5" x14ac:dyDescent="0.35">
      <c r="A1328" s="2" t="str">
        <f ca="1">IFERROR(__xludf.DUMMYFUNCTION("""COMPUTED_VALUE"""),"Dubai")</f>
        <v>Dubai</v>
      </c>
      <c r="B1328" s="2" t="str">
        <f ca="1">IFERROR(__xludf.DUMMYFUNCTION("""COMPUTED_VALUE"""),"Wasl R463")</f>
        <v>Wasl R463</v>
      </c>
      <c r="C1328" s="2" t="str">
        <f ca="1">IFERROR(__xludf.DUMMYFUNCTION("""COMPUTED_VALUE"""),"Building")</f>
        <v>Building</v>
      </c>
      <c r="D1328" s="2" t="str">
        <f ca="1">IFERROR(__xludf.DUMMYFUNCTION("""COMPUTED_VALUE"""),"Dubai&gt;Al Karama&gt;Wasl R463")</f>
        <v>Dubai&gt;Al Karama&gt;Wasl R463</v>
      </c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</row>
    <row r="1329" spans="1:26" ht="16.5" x14ac:dyDescent="0.35">
      <c r="A1329" s="2" t="str">
        <f ca="1">IFERROR(__xludf.DUMMYFUNCTION("""COMPUTED_VALUE"""),"Dubai")</f>
        <v>Dubai</v>
      </c>
      <c r="B1329" s="2" t="str">
        <f ca="1">IFERROR(__xludf.DUMMYFUNCTION("""COMPUTED_VALUE"""),"Al Wasl Building R386")</f>
        <v>Al Wasl Building R386</v>
      </c>
      <c r="C1329" s="2" t="str">
        <f ca="1">IFERROR(__xludf.DUMMYFUNCTION("""COMPUTED_VALUE"""),"Building")</f>
        <v>Building</v>
      </c>
      <c r="D1329" s="2" t="str">
        <f ca="1">IFERROR(__xludf.DUMMYFUNCTION("""COMPUTED_VALUE"""),"Dubai&gt;Al Karama&gt;Al Wasl Building R386")</f>
        <v>Dubai&gt;Al Karama&gt;Al Wasl Building R386</v>
      </c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</row>
    <row r="1330" spans="1:26" ht="16.5" x14ac:dyDescent="0.35">
      <c r="A1330" s="2" t="str">
        <f ca="1">IFERROR(__xludf.DUMMYFUNCTION("""COMPUTED_VALUE"""),"Dubai")</f>
        <v>Dubai</v>
      </c>
      <c r="B1330" s="2" t="str">
        <f ca="1">IFERROR(__xludf.DUMMYFUNCTION("""COMPUTED_VALUE"""),"Tower 3")</f>
        <v>Tower 3</v>
      </c>
      <c r="C1330" s="2" t="str">
        <f ca="1">IFERROR(__xludf.DUMMYFUNCTION("""COMPUTED_VALUE"""),"Building")</f>
        <v>Building</v>
      </c>
      <c r="D1330" s="2" t="str">
        <f ca="1">IFERROR(__xludf.DUMMYFUNCTION("""COMPUTED_VALUE"""),"Dubai&gt;Culture Village (Jaddaf Waterfront)&gt;Dubai Wharf&gt;Tower 3")</f>
        <v>Dubai&gt;Culture Village (Jaddaf Waterfront)&gt;Dubai Wharf&gt;Tower 3</v>
      </c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</row>
    <row r="1331" spans="1:26" ht="16.5" x14ac:dyDescent="0.35">
      <c r="A1331" s="2" t="str">
        <f ca="1">IFERROR(__xludf.DUMMYFUNCTION("""COMPUTED_VALUE"""),"Dubai")</f>
        <v>Dubai</v>
      </c>
      <c r="B1331" s="2" t="str">
        <f ca="1">IFERROR(__xludf.DUMMYFUNCTION("""COMPUTED_VALUE"""),"Western Residence South")</f>
        <v>Western Residence South</v>
      </c>
      <c r="C1331" s="2" t="str">
        <f ca="1">IFERROR(__xludf.DUMMYFUNCTION("""COMPUTED_VALUE"""),"Neighbourhood")</f>
        <v>Neighbourhood</v>
      </c>
      <c r="D1331" s="2" t="str">
        <f ca="1">IFERROR(__xludf.DUMMYFUNCTION("""COMPUTED_VALUE"""),"Dubai&gt;Falcon City of Wonders&gt;Western Residence South")</f>
        <v>Dubai&gt;Falcon City of Wonders&gt;Western Residence South</v>
      </c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</row>
    <row r="1332" spans="1:26" ht="16.5" x14ac:dyDescent="0.35">
      <c r="A1332" s="2" t="str">
        <f ca="1">IFERROR(__xludf.DUMMYFUNCTION("""COMPUTED_VALUE"""),"Dubai")</f>
        <v>Dubai</v>
      </c>
      <c r="B1332" s="2" t="str">
        <f ca="1">IFERROR(__xludf.DUMMYFUNCTION("""COMPUTED_VALUE"""),"Asayel Building 3")</f>
        <v>Asayel Building 3</v>
      </c>
      <c r="C1332" s="2" t="str">
        <f ca="1">IFERROR(__xludf.DUMMYFUNCTION("""COMPUTED_VALUE"""),"Building")</f>
        <v>Building</v>
      </c>
      <c r="D1332" s="2" t="str">
        <f ca="1">IFERROR(__xludf.DUMMYFUNCTION("""COMPUTED_VALUE"""),"Dubai&gt;Umm Suqeim&gt;Madinat Jumeirah Living&gt;Asayel&gt;Asayel Building 3")</f>
        <v>Dubai&gt;Umm Suqeim&gt;Madinat Jumeirah Living&gt;Asayel&gt;Asayel Building 3</v>
      </c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</row>
    <row r="1333" spans="1:26" ht="16.5" x14ac:dyDescent="0.35">
      <c r="A1333" s="2" t="str">
        <f ca="1">IFERROR(__xludf.DUMMYFUNCTION("""COMPUTED_VALUE"""),"Dubai")</f>
        <v>Dubai</v>
      </c>
      <c r="B1333" s="2" t="str">
        <f ca="1">IFERROR(__xludf.DUMMYFUNCTION("""COMPUTED_VALUE"""),"Nourelle")</f>
        <v>Nourelle</v>
      </c>
      <c r="C1333" s="2" t="str">
        <f ca="1">IFERROR(__xludf.DUMMYFUNCTION("""COMPUTED_VALUE"""),"Cluster")</f>
        <v>Cluster</v>
      </c>
      <c r="D1333" s="2" t="str">
        <f ca="1">IFERROR(__xludf.DUMMYFUNCTION("""COMPUTED_VALUE"""),"Dubai&gt;Umm Suqeim&gt;Madinat Jumeirah Living&gt;Nourelle")</f>
        <v>Dubai&gt;Umm Suqeim&gt;Madinat Jumeirah Living&gt;Nourelle</v>
      </c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</row>
    <row r="1334" spans="1:26" ht="16.5" x14ac:dyDescent="0.35">
      <c r="A1334" s="2" t="str">
        <f ca="1">IFERROR(__xludf.DUMMYFUNCTION("""COMPUTED_VALUE"""),"Dubai")</f>
        <v>Dubai</v>
      </c>
      <c r="B1334" s="2" t="str">
        <f ca="1">IFERROR(__xludf.DUMMYFUNCTION("""COMPUTED_VALUE"""),"MAG 330")</f>
        <v>MAG 330</v>
      </c>
      <c r="C1334" s="2" t="str">
        <f ca="1">IFERROR(__xludf.DUMMYFUNCTION("""COMPUTED_VALUE"""),"Building")</f>
        <v>Building</v>
      </c>
      <c r="D1334" s="2" t="str">
        <f ca="1">IFERROR(__xludf.DUMMYFUNCTION("""COMPUTED_VALUE"""),"Dubai&gt;City of Arabia&gt;MAG 330")</f>
        <v>Dubai&gt;City of Arabia&gt;MAG 330</v>
      </c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</row>
    <row r="1335" spans="1:26" ht="16.5" x14ac:dyDescent="0.35">
      <c r="A1335" s="2" t="str">
        <f ca="1">IFERROR(__xludf.DUMMYFUNCTION("""COMPUTED_VALUE"""),"Dubai")</f>
        <v>Dubai</v>
      </c>
      <c r="B1335" s="2" t="str">
        <f ca="1">IFERROR(__xludf.DUMMYFUNCTION("""COMPUTED_VALUE"""),"Khansaheb Compound")</f>
        <v>Khansaheb Compound</v>
      </c>
      <c r="C1335" s="2" t="str">
        <f ca="1">IFERROR(__xludf.DUMMYFUNCTION("""COMPUTED_VALUE"""),"Neighbourhood")</f>
        <v>Neighbourhood</v>
      </c>
      <c r="D1335" s="2" t="str">
        <f ca="1">IFERROR(__xludf.DUMMYFUNCTION("""COMPUTED_VALUE"""),"Dubai&gt;Al Badaa&gt;Khansaheb Compound")</f>
        <v>Dubai&gt;Al Badaa&gt;Khansaheb Compound</v>
      </c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</row>
    <row r="1336" spans="1:26" ht="16.5" x14ac:dyDescent="0.35">
      <c r="A1336" s="2" t="str">
        <f ca="1">IFERROR(__xludf.DUMMYFUNCTION("""COMPUTED_VALUE"""),"Dubai")</f>
        <v>Dubai</v>
      </c>
      <c r="B1336" s="2" t="str">
        <f ca="1">IFERROR(__xludf.DUMMYFUNCTION("""COMPUTED_VALUE"""),"Jabar Masoud Building")</f>
        <v>Jabar Masoud Building</v>
      </c>
      <c r="C1336" s="2" t="str">
        <f ca="1">IFERROR(__xludf.DUMMYFUNCTION("""COMPUTED_VALUE"""),"Building")</f>
        <v>Building</v>
      </c>
      <c r="D1336" s="2" t="str">
        <f ca="1">IFERROR(__xludf.DUMMYFUNCTION("""COMPUTED_VALUE"""),"Dubai&gt;Al Badaa&gt;Jabar Masoud Building")</f>
        <v>Dubai&gt;Al Badaa&gt;Jabar Masoud Building</v>
      </c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</row>
    <row r="1337" spans="1:26" ht="16.5" x14ac:dyDescent="0.35">
      <c r="A1337" s="2" t="str">
        <f ca="1">IFERROR(__xludf.DUMMYFUNCTION("""COMPUTED_VALUE"""),"Dubai")</f>
        <v>Dubai</v>
      </c>
      <c r="B1337" s="2" t="str">
        <f ca="1">IFERROR(__xludf.DUMMYFUNCTION("""COMPUTED_VALUE"""),"Emaar by MV Villas")</f>
        <v>Emaar by MV Villas</v>
      </c>
      <c r="C1337" s="2" t="str">
        <f ca="1">IFERROR(__xludf.DUMMYFUNCTION("""COMPUTED_VALUE"""),"Neighbourhood")</f>
        <v>Neighbourhood</v>
      </c>
      <c r="D1337" s="2" t="str">
        <f ca="1">IFERROR(__xludf.DUMMYFUNCTION("""COMPUTED_VALUE"""),"Dubai&gt;Al Manara&gt;Emaar by MV Villas")</f>
        <v>Dubai&gt;Al Manara&gt;Emaar by MV Villas</v>
      </c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</row>
    <row r="1338" spans="1:26" ht="16.5" x14ac:dyDescent="0.35">
      <c r="A1338" s="2" t="str">
        <f ca="1">IFERROR(__xludf.DUMMYFUNCTION("""COMPUTED_VALUE"""),"Dubai")</f>
        <v>Dubai</v>
      </c>
      <c r="B1338" s="2" t="str">
        <f ca="1">IFERROR(__xludf.DUMMYFUNCTION("""COMPUTED_VALUE"""),"Shiba Towers Block C")</f>
        <v>Shiba Towers Block C</v>
      </c>
      <c r="C1338" s="2" t="str">
        <f ca="1">IFERROR(__xludf.DUMMYFUNCTION("""COMPUTED_VALUE"""),"Building")</f>
        <v>Building</v>
      </c>
      <c r="D1338" s="2" t="str">
        <f ca="1">IFERROR(__xludf.DUMMYFUNCTION("""COMPUTED_VALUE"""),"Dubai&gt;Academic City&gt;Al Shiba Complex&gt;Shiba Towers Block C")</f>
        <v>Dubai&gt;Academic City&gt;Al Shiba Complex&gt;Shiba Towers Block C</v>
      </c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</row>
    <row r="1339" spans="1:26" ht="16.5" x14ac:dyDescent="0.35">
      <c r="A1339" s="2" t="str">
        <f ca="1">IFERROR(__xludf.DUMMYFUNCTION("""COMPUTED_VALUE"""),"Dubai")</f>
        <v>Dubai</v>
      </c>
      <c r="B1339" s="2" t="str">
        <f ca="1">IFERROR(__xludf.DUMMYFUNCTION("""COMPUTED_VALUE"""),"Building 7")</f>
        <v>Building 7</v>
      </c>
      <c r="C1339" s="2" t="str">
        <f ca="1">IFERROR(__xludf.DUMMYFUNCTION("""COMPUTED_VALUE"""),"Building")</f>
        <v>Building</v>
      </c>
      <c r="D1339" s="2" t="str">
        <f ca="1">IFERROR(__xludf.DUMMYFUNCTION("""COMPUTED_VALUE"""),"Dubai&gt;Dubai Design District&gt;Building 7")</f>
        <v>Dubai&gt;Dubai Design District&gt;Building 7</v>
      </c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</row>
    <row r="1340" spans="1:26" ht="16.5" x14ac:dyDescent="0.35">
      <c r="A1340" s="2" t="str">
        <f ca="1">IFERROR(__xludf.DUMMYFUNCTION("""COMPUTED_VALUE"""),"Dubai")</f>
        <v>Dubai</v>
      </c>
      <c r="B1340" s="2" t="str">
        <f ca="1">IFERROR(__xludf.DUMMYFUNCTION("""COMPUTED_VALUE"""),"Bin Dhaen Holding Building Hudaiba")</f>
        <v>Bin Dhaen Holding Building Hudaiba</v>
      </c>
      <c r="C1340" s="2" t="str">
        <f ca="1">IFERROR(__xludf.DUMMYFUNCTION("""COMPUTED_VALUE"""),"Building")</f>
        <v>Building</v>
      </c>
      <c r="D1340" s="2" t="str">
        <f ca="1">IFERROR(__xludf.DUMMYFUNCTION("""COMPUTED_VALUE"""),"Dubai&gt;Al Hudaiba&gt;Bin Dhaen Holding Building Hudaiba")</f>
        <v>Dubai&gt;Al Hudaiba&gt;Bin Dhaen Holding Building Hudaiba</v>
      </c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</row>
    <row r="1341" spans="1:26" ht="16.5" x14ac:dyDescent="0.35">
      <c r="A1341" s="2" t="str">
        <f ca="1">IFERROR(__xludf.DUMMYFUNCTION("""COMPUTED_VALUE"""),"Dubai")</f>
        <v>Dubai</v>
      </c>
      <c r="B1341" s="2" t="str">
        <f ca="1">IFERROR(__xludf.DUMMYFUNCTION("""COMPUTED_VALUE"""),"Al Shorouk Private School")</f>
        <v>Al Shorouk Private School</v>
      </c>
      <c r="C1341" s="2" t="str">
        <f ca="1">IFERROR(__xludf.DUMMYFUNCTION("""COMPUTED_VALUE"""),"School")</f>
        <v>School</v>
      </c>
      <c r="D1341" s="2" t="str">
        <f ca="1">IFERROR(__xludf.DUMMYFUNCTION("""COMPUTED_VALUE"""),"Dubai&gt;Jumeirah&gt;Jumeirah 1&gt;Al Shorouk Private School")</f>
        <v>Dubai&gt;Jumeirah&gt;Jumeirah 1&gt;Al Shorouk Private School</v>
      </c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</row>
    <row r="1342" spans="1:26" ht="16.5" x14ac:dyDescent="0.35">
      <c r="A1342" s="2" t="str">
        <f ca="1">IFERROR(__xludf.DUMMYFUNCTION("""COMPUTED_VALUE"""),"Dubai")</f>
        <v>Dubai</v>
      </c>
      <c r="B1342" s="2" t="str">
        <f ca="1">IFERROR(__xludf.DUMMYFUNCTION("""COMPUTED_VALUE"""),"The Little Dreamers Nursery")</f>
        <v>The Little Dreamers Nursery</v>
      </c>
      <c r="C1342" s="2" t="str">
        <f ca="1">IFERROR(__xludf.DUMMYFUNCTION("""COMPUTED_VALUE"""),"Nursery")</f>
        <v>Nursery</v>
      </c>
      <c r="D1342" s="2" t="str">
        <f ca="1">IFERROR(__xludf.DUMMYFUNCTION("""COMPUTED_VALUE"""),"Dubai&gt;Jumeirah&gt;Jumeirah 3&gt;The Little Dreamers Nursery")</f>
        <v>Dubai&gt;Jumeirah&gt;Jumeirah 3&gt;The Little Dreamers Nursery</v>
      </c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</row>
    <row r="1343" spans="1:26" ht="16.5" x14ac:dyDescent="0.35">
      <c r="A1343" s="2" t="str">
        <f ca="1">IFERROR(__xludf.DUMMYFUNCTION("""COMPUTED_VALUE"""),"Dubai")</f>
        <v>Dubai</v>
      </c>
      <c r="B1343" s="2" t="str">
        <f ca="1">IFERROR(__xludf.DUMMYFUNCTION("""COMPUTED_VALUE"""),"Aman Dubai")</f>
        <v>Aman Dubai</v>
      </c>
      <c r="C1343" s="2" t="str">
        <f ca="1">IFERROR(__xludf.DUMMYFUNCTION("""COMPUTED_VALUE"""),"Building")</f>
        <v>Building</v>
      </c>
      <c r="D1343" s="2" t="str">
        <f ca="1">IFERROR(__xludf.DUMMYFUNCTION("""COMPUTED_VALUE"""),"Dubai&gt;Jumeirah&gt;Jumeirah 2&gt;Aman Dubai")</f>
        <v>Dubai&gt;Jumeirah&gt;Jumeirah 2&gt;Aman Dubai</v>
      </c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</row>
    <row r="1344" spans="1:26" ht="16.5" x14ac:dyDescent="0.35">
      <c r="A1344" s="2" t="str">
        <f ca="1">IFERROR(__xludf.DUMMYFUNCTION("""COMPUTED_VALUE"""),"Dubai")</f>
        <v>Dubai</v>
      </c>
      <c r="B1344" s="2" t="str">
        <f ca="1">IFERROR(__xludf.DUMMYFUNCTION("""COMPUTED_VALUE"""),"La Sirene Tower 5")</f>
        <v>La Sirene Tower 5</v>
      </c>
      <c r="C1344" s="2" t="str">
        <f ca="1">IFERROR(__xludf.DUMMYFUNCTION("""COMPUTED_VALUE"""),"Building")</f>
        <v>Building</v>
      </c>
      <c r="D1344" s="2" t="str">
        <f ca="1">IFERROR(__xludf.DUMMYFUNCTION("""COMPUTED_VALUE"""),"Dubai&gt;Jumeirah&gt;La Mer&gt;Port de La Mer&gt;La Sirene&gt;La Sirene 2")</f>
        <v>Dubai&gt;Jumeirah&gt;La Mer&gt;Port de La Mer&gt;La Sirene&gt;La Sirene 2</v>
      </c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</row>
    <row r="1345" spans="1:26" ht="16.5" x14ac:dyDescent="0.35">
      <c r="A1345" s="2" t="str">
        <f ca="1">IFERROR(__xludf.DUMMYFUNCTION("""COMPUTED_VALUE"""),"Dubai")</f>
        <v>Dubai</v>
      </c>
      <c r="B1345" s="2" t="str">
        <f ca="1">IFERROR(__xludf.DUMMYFUNCTION("""COMPUTED_VALUE"""),"Address Harbour Point Tower 1")</f>
        <v>Address Harbour Point Tower 1</v>
      </c>
      <c r="C1345" s="2" t="str">
        <f ca="1">IFERROR(__xludf.DUMMYFUNCTION("""COMPUTED_VALUE"""),"Building")</f>
        <v>Building</v>
      </c>
      <c r="D1345" s="2" t="str">
        <f ca="1">IFERROR(__xludf.DUMMYFUNCTION("""COMPUTED_VALUE"""),"Dubai&gt;Dubai Creek Harbour&gt;Address Harbour Point&gt;Address Harbour Point Tower 1")</f>
        <v>Dubai&gt;Dubai Creek Harbour&gt;Address Harbour Point&gt;Address Harbour Point Tower 1</v>
      </c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</row>
    <row r="1346" spans="1:26" ht="16.5" x14ac:dyDescent="0.35">
      <c r="A1346" s="2" t="str">
        <f ca="1">IFERROR(__xludf.DUMMYFUNCTION("""COMPUTED_VALUE"""),"Dubai")</f>
        <v>Dubai</v>
      </c>
      <c r="B1346" s="2" t="str">
        <f ca="1">IFERROR(__xludf.DUMMYFUNCTION("""COMPUTED_VALUE"""),"Bayshore at Creek Beach")</f>
        <v>Bayshore at Creek Beach</v>
      </c>
      <c r="C1346" s="2" t="str">
        <f ca="1">IFERROR(__xludf.DUMMYFUNCTION("""COMPUTED_VALUE"""),"Cluster")</f>
        <v>Cluster</v>
      </c>
      <c r="D1346" s="2" t="str">
        <f ca="1">IFERROR(__xludf.DUMMYFUNCTION("""COMPUTED_VALUE"""),"Dubai&gt;Dubai Creek Harbour&gt;Bayshore at Creek Beach")</f>
        <v>Dubai&gt;Dubai Creek Harbour&gt;Bayshore at Creek Beach</v>
      </c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</row>
    <row r="1347" spans="1:26" ht="16.5" x14ac:dyDescent="0.35">
      <c r="A1347" s="2" t="str">
        <f ca="1">IFERROR(__xludf.DUMMYFUNCTION("""COMPUTED_VALUE"""),"Dubai")</f>
        <v>Dubai</v>
      </c>
      <c r="B1347" s="2" t="str">
        <f ca="1">IFERROR(__xludf.DUMMYFUNCTION("""COMPUTED_VALUE"""),"Lotus 3")</f>
        <v>Lotus 3</v>
      </c>
      <c r="C1347" s="2" t="str">
        <f ca="1">IFERROR(__xludf.DUMMYFUNCTION("""COMPUTED_VALUE"""),"Building")</f>
        <v>Building</v>
      </c>
      <c r="D1347" s="2" t="str">
        <f ca="1">IFERROR(__xludf.DUMMYFUNCTION("""COMPUTED_VALUE"""),"Dubai&gt;Dubai Creek Harbour&gt;Lotus at Creek Beach&gt;Lotus 3")</f>
        <v>Dubai&gt;Dubai Creek Harbour&gt;Lotus at Creek Beach&gt;Lotus 3</v>
      </c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</row>
    <row r="1348" spans="1:26" ht="16.5" x14ac:dyDescent="0.35">
      <c r="A1348" s="2" t="str">
        <f ca="1">IFERROR(__xludf.DUMMYFUNCTION("""COMPUTED_VALUE"""),"Dubai")</f>
        <v>Dubai</v>
      </c>
      <c r="B1348" s="2" t="str">
        <f ca="1">IFERROR(__xludf.DUMMYFUNCTION("""COMPUTED_VALUE"""),"Creek Waters")</f>
        <v>Creek Waters</v>
      </c>
      <c r="C1348" s="2" t="str">
        <f ca="1">IFERROR(__xludf.DUMMYFUNCTION("""COMPUTED_VALUE"""),"Building")</f>
        <v>Building</v>
      </c>
      <c r="D1348" s="2" t="str">
        <f ca="1">IFERROR(__xludf.DUMMYFUNCTION("""COMPUTED_VALUE"""),"Dubai&gt;Dubai Creek Harbour&gt;Creek Waters")</f>
        <v>Dubai&gt;Dubai Creek Harbour&gt;Creek Waters</v>
      </c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</row>
    <row r="1349" spans="1:26" ht="16.5" x14ac:dyDescent="0.35">
      <c r="A1349" s="2" t="str">
        <f ca="1">IFERROR(__xludf.DUMMYFUNCTION("""COMPUTED_VALUE"""),"Dubai")</f>
        <v>Dubai</v>
      </c>
      <c r="B1349" s="2" t="str">
        <f ca="1">IFERROR(__xludf.DUMMYFUNCTION("""COMPUTED_VALUE"""),"Silva")</f>
        <v>Silva</v>
      </c>
      <c r="C1349" s="2" t="str">
        <f ca="1">IFERROR(__xludf.DUMMYFUNCTION("""COMPUTED_VALUE"""),"Building")</f>
        <v>Building</v>
      </c>
      <c r="D1349" s="2" t="str">
        <f ca="1">IFERROR(__xludf.DUMMYFUNCTION("""COMPUTED_VALUE"""),"Dubai&gt;Dubai Creek Harbour&gt;Silva")</f>
        <v>Dubai&gt;Dubai Creek Harbour&gt;Silva</v>
      </c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</row>
    <row r="1350" spans="1:26" ht="16.5" x14ac:dyDescent="0.35">
      <c r="A1350" s="2" t="str">
        <f ca="1">IFERROR(__xludf.DUMMYFUNCTION("""COMPUTED_VALUE"""),"Dubai")</f>
        <v>Dubai</v>
      </c>
      <c r="B1350" s="2" t="str">
        <f ca="1">IFERROR(__xludf.DUMMYFUNCTION("""COMPUTED_VALUE"""),"Deema Residence")</f>
        <v>Deema Residence</v>
      </c>
      <c r="C1350" s="2" t="str">
        <f ca="1">IFERROR(__xludf.DUMMYFUNCTION("""COMPUTED_VALUE"""),"Building")</f>
        <v>Building</v>
      </c>
      <c r="D1350" s="2" t="str">
        <f ca="1">IFERROR(__xludf.DUMMYFUNCTION("""COMPUTED_VALUE"""),"Dubai&gt;Barsha Heights (Tecom)&gt;Deema Residence")</f>
        <v>Dubai&gt;Barsha Heights (Tecom)&gt;Deema Residence</v>
      </c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</row>
    <row r="1351" spans="1:26" ht="16.5" x14ac:dyDescent="0.35">
      <c r="A1351" s="2" t="str">
        <f ca="1">IFERROR(__xludf.DUMMYFUNCTION("""COMPUTED_VALUE"""),"Dubai")</f>
        <v>Dubai</v>
      </c>
      <c r="B1351" s="2" t="str">
        <f ca="1">IFERROR(__xludf.DUMMYFUNCTION("""COMPUTED_VALUE"""),"Al Shaiba Tower A")</f>
        <v>Al Shaiba Tower A</v>
      </c>
      <c r="C1351" s="2" t="str">
        <f ca="1">IFERROR(__xludf.DUMMYFUNCTION("""COMPUTED_VALUE"""),"Building")</f>
        <v>Building</v>
      </c>
      <c r="D1351" s="2" t="str">
        <f ca="1">IFERROR(__xludf.DUMMYFUNCTION("""COMPUTED_VALUE"""),"Dubai&gt;Barsha Heights (Tecom)&gt;Al Shaiba Tower&gt;Al Shaiba Tower A")</f>
        <v>Dubai&gt;Barsha Heights (Tecom)&gt;Al Shaiba Tower&gt;Al Shaiba Tower A</v>
      </c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</row>
    <row r="1352" spans="1:26" ht="16.5" x14ac:dyDescent="0.35">
      <c r="A1352" s="2" t="str">
        <f ca="1">IFERROR(__xludf.DUMMYFUNCTION("""COMPUTED_VALUE"""),"Dubai")</f>
        <v>Dubai</v>
      </c>
      <c r="B1352" s="2" t="str">
        <f ca="1">IFERROR(__xludf.DUMMYFUNCTION("""COMPUTED_VALUE"""),"Tecom ABC Building")</f>
        <v>Tecom ABC Building</v>
      </c>
      <c r="C1352" s="2" t="str">
        <f ca="1">IFERROR(__xludf.DUMMYFUNCTION("""COMPUTED_VALUE"""),"Building")</f>
        <v>Building</v>
      </c>
      <c r="D1352" s="2" t="str">
        <f ca="1">IFERROR(__xludf.DUMMYFUNCTION("""COMPUTED_VALUE"""),"Dubai&gt;Barsha Heights (Tecom)&gt;Tecom ABC Building")</f>
        <v>Dubai&gt;Barsha Heights (Tecom)&gt;Tecom ABC Building</v>
      </c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</row>
    <row r="1353" spans="1:26" ht="16.5" x14ac:dyDescent="0.35">
      <c r="A1353" s="2" t="str">
        <f ca="1">IFERROR(__xludf.DUMMYFUNCTION("""COMPUTED_VALUE"""),"Dubai")</f>
        <v>Dubai</v>
      </c>
      <c r="B1353" s="2" t="str">
        <f ca="1">IFERROR(__xludf.DUMMYFUNCTION("""COMPUTED_VALUE"""),"Tower B2")</f>
        <v>Tower B2</v>
      </c>
      <c r="C1353" s="2" t="str">
        <f ca="1">IFERROR(__xludf.DUMMYFUNCTION("""COMPUTED_VALUE"""),"Building")</f>
        <v>Building</v>
      </c>
      <c r="D1353" s="2" t="str">
        <f ca="1">IFERROR(__xludf.DUMMYFUNCTION("""COMPUTED_VALUE"""),"Dubai&gt;The Hills&gt;Vida Hotel&gt;Tower B2")</f>
        <v>Dubai&gt;The Hills&gt;Vida Hotel&gt;Tower B2</v>
      </c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</row>
    <row r="1354" spans="1:26" ht="16.5" x14ac:dyDescent="0.35">
      <c r="A1354" s="2" t="str">
        <f ca="1">IFERROR(__xludf.DUMMYFUNCTION("""COMPUTED_VALUE"""),"Dubai")</f>
        <v>Dubai</v>
      </c>
      <c r="B1354" s="2" t="str">
        <f ca="1">IFERROR(__xludf.DUMMYFUNCTION("""COMPUTED_VALUE"""),"Terraced Apartment 4A")</f>
        <v>Terraced Apartment 4A</v>
      </c>
      <c r="C1354" s="2" t="str">
        <f ca="1">IFERROR(__xludf.DUMMYFUNCTION("""COMPUTED_VALUE"""),"Building")</f>
        <v>Building</v>
      </c>
      <c r="D1354" s="2" t="str">
        <f ca="1">IFERROR(__xludf.DUMMYFUNCTION("""COMPUTED_VALUE"""),"Dubai&gt;Motor City&gt;Green Community (Motor City)&gt;Terraced Apartments&gt;Terraced Apartment 4A")</f>
        <v>Dubai&gt;Motor City&gt;Green Community (Motor City)&gt;Terraced Apartments&gt;Terraced Apartment 4A</v>
      </c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</row>
    <row r="1355" spans="1:26" ht="16.5" x14ac:dyDescent="0.35">
      <c r="A1355" s="2" t="str">
        <f ca="1">IFERROR(__xludf.DUMMYFUNCTION("""COMPUTED_VALUE"""),"Dubai")</f>
        <v>Dubai</v>
      </c>
      <c r="B1355" s="2" t="str">
        <f ca="1">IFERROR(__xludf.DUMMYFUNCTION("""COMPUTED_VALUE"""),"Sherlock Circus 2")</f>
        <v>Sherlock Circus 2</v>
      </c>
      <c r="C1355" s="2" t="str">
        <f ca="1">IFERROR(__xludf.DUMMYFUNCTION("""COMPUTED_VALUE"""),"Building")</f>
        <v>Building</v>
      </c>
      <c r="D1355" s="2" t="str">
        <f ca="1">IFERROR(__xludf.DUMMYFUNCTION("""COMPUTED_VALUE"""),"Dubai&gt;Motor City&gt;Uptown Motor City&gt;Sherlock Circus&gt;Sherlock Circus 2")</f>
        <v>Dubai&gt;Motor City&gt;Uptown Motor City&gt;Sherlock Circus&gt;Sherlock Circus 2</v>
      </c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</row>
    <row r="1356" spans="1:26" ht="16.5" x14ac:dyDescent="0.35">
      <c r="A1356" s="2" t="str">
        <f ca="1">IFERROR(__xludf.DUMMYFUNCTION("""COMPUTED_VALUE"""),"Dubai")</f>
        <v>Dubai</v>
      </c>
      <c r="B1356" s="2" t="str">
        <f ca="1">IFERROR(__xludf.DUMMYFUNCTION("""COMPUTED_VALUE"""),"Sherlock House 1")</f>
        <v>Sherlock House 1</v>
      </c>
      <c r="C1356" s="2" t="str">
        <f ca="1">IFERROR(__xludf.DUMMYFUNCTION("""COMPUTED_VALUE"""),"Building")</f>
        <v>Building</v>
      </c>
      <c r="D1356" s="2" t="str">
        <f ca="1">IFERROR(__xludf.DUMMYFUNCTION("""COMPUTED_VALUE"""),"Dubai&gt;Motor City&gt;Uptown Motor City&gt;Sherlock House&gt;Sherlock House 1")</f>
        <v>Dubai&gt;Motor City&gt;Uptown Motor City&gt;Sherlock House&gt;Sherlock House 1</v>
      </c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</row>
    <row r="1357" spans="1:26" ht="16.5" x14ac:dyDescent="0.35">
      <c r="A1357" s="2" t="str">
        <f ca="1">IFERROR(__xludf.DUMMYFUNCTION("""COMPUTED_VALUE"""),"Dubai")</f>
        <v>Dubai</v>
      </c>
      <c r="B1357" s="2" t="str">
        <f ca="1">IFERROR(__xludf.DUMMYFUNCTION("""COMPUTED_VALUE"""),"Sobha Solis")</f>
        <v>Sobha Solis</v>
      </c>
      <c r="C1357" s="2" t="str">
        <f ca="1">IFERROR(__xludf.DUMMYFUNCTION("""COMPUTED_VALUE"""),"Cluster")</f>
        <v>Cluster</v>
      </c>
      <c r="D1357" s="2" t="str">
        <f ca="1">IFERROR(__xludf.DUMMYFUNCTION("""COMPUTED_VALUE"""),"Dubai&gt;Motor City&gt;Sobha Solis")</f>
        <v>Dubai&gt;Motor City&gt;Sobha Solis</v>
      </c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</row>
    <row r="1358" spans="1:26" ht="16.5" x14ac:dyDescent="0.35">
      <c r="A1358" s="2" t="str">
        <f ca="1">IFERROR(__xludf.DUMMYFUNCTION("""COMPUTED_VALUE"""),"Dubai")</f>
        <v>Dubai</v>
      </c>
      <c r="B1358" s="2" t="str">
        <f ca="1">IFERROR(__xludf.DUMMYFUNCTION("""COMPUTED_VALUE"""),"Acacia Avenues")</f>
        <v>Acacia Avenues</v>
      </c>
      <c r="C1358" s="2" t="str">
        <f ca="1">IFERROR(__xludf.DUMMYFUNCTION("""COMPUTED_VALUE"""),"Neighbourhood")</f>
        <v>Neighbourhood</v>
      </c>
      <c r="D1358" s="2" t="str">
        <f ca="1">IFERROR(__xludf.DUMMYFUNCTION("""COMPUTED_VALUE"""),"Dubai&gt;Al Sufouh&gt;Al Sufouh 1&gt;Acacia Avenues")</f>
        <v>Dubai&gt;Al Sufouh&gt;Al Sufouh 1&gt;Acacia Avenues</v>
      </c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</row>
    <row r="1359" spans="1:26" ht="16.5" x14ac:dyDescent="0.35">
      <c r="A1359" s="2" t="str">
        <f ca="1">IFERROR(__xludf.DUMMYFUNCTION("""COMPUTED_VALUE"""),"Dubai")</f>
        <v>Dubai</v>
      </c>
      <c r="B1359" s="2" t="str">
        <f ca="1">IFERROR(__xludf.DUMMYFUNCTION("""COMPUTED_VALUE"""),"Boutique Office 13")</f>
        <v>Boutique Office 13</v>
      </c>
      <c r="C1359" s="2" t="str">
        <f ca="1">IFERROR(__xludf.DUMMYFUNCTION("""COMPUTED_VALUE"""),"Building")</f>
        <v>Building</v>
      </c>
      <c r="D1359" s="2" t="str">
        <f ca="1">IFERROR(__xludf.DUMMYFUNCTION("""COMPUTED_VALUE"""),"Dubai&gt;Al Sufouh&gt;Al Sufouh 2&gt;Boutique Offices&gt;Boutique Office 13")</f>
        <v>Dubai&gt;Al Sufouh&gt;Al Sufouh 2&gt;Boutique Offices&gt;Boutique Office 13</v>
      </c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</row>
    <row r="1360" spans="1:26" ht="16.5" x14ac:dyDescent="0.35">
      <c r="A1360" s="2" t="str">
        <f ca="1">IFERROR(__xludf.DUMMYFUNCTION("""COMPUTED_VALUE"""),"Dubai")</f>
        <v>Dubai</v>
      </c>
      <c r="B1360" s="2" t="str">
        <f ca="1">IFERROR(__xludf.DUMMYFUNCTION("""COMPUTED_VALUE"""),"Marsa Plaza South")</f>
        <v>Marsa Plaza South</v>
      </c>
      <c r="C1360" s="2" t="str">
        <f ca="1">IFERROR(__xludf.DUMMYFUNCTION("""COMPUTED_VALUE"""),"Building")</f>
        <v>Building</v>
      </c>
      <c r="D1360" s="2" t="str">
        <f ca="1">IFERROR(__xludf.DUMMYFUNCTION("""COMPUTED_VALUE"""),"Dubai&gt;Dubai Festival City&gt;Marsa Plaza&gt;Marsa Plaza South")</f>
        <v>Dubai&gt;Dubai Festival City&gt;Marsa Plaza&gt;Marsa Plaza South</v>
      </c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</row>
    <row r="1361" spans="1:26" ht="16.5" x14ac:dyDescent="0.35">
      <c r="A1361" s="2" t="str">
        <f ca="1">IFERROR(__xludf.DUMMYFUNCTION("""COMPUTED_VALUE"""),"Dubai")</f>
        <v>Dubai</v>
      </c>
      <c r="B1361" s="2" t="str">
        <f ca="1">IFERROR(__xludf.DUMMYFUNCTION("""COMPUTED_VALUE"""),"CreaKids Nurseries DAMAC Hills")</f>
        <v>CreaKids Nurseries DAMAC Hills</v>
      </c>
      <c r="C1361" s="2" t="str">
        <f ca="1">IFERROR(__xludf.DUMMYFUNCTION("""COMPUTED_VALUE"""),"Nursery")</f>
        <v>Nursery</v>
      </c>
      <c r="D1361" s="2" t="str">
        <f ca="1">IFERROR(__xludf.DUMMYFUNCTION("""COMPUTED_VALUE"""),"Dubai&gt;DAMAC Hills&gt;CreaKids Nurseries DAMAC Hills")</f>
        <v>Dubai&gt;DAMAC Hills&gt;CreaKids Nurseries DAMAC Hills</v>
      </c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</row>
    <row r="1362" spans="1:26" ht="16.5" x14ac:dyDescent="0.35">
      <c r="A1362" s="2" t="str">
        <f ca="1">IFERROR(__xludf.DUMMYFUNCTION("""COMPUTED_VALUE"""),"Dubai")</f>
        <v>Dubai</v>
      </c>
      <c r="B1362" s="2" t="str">
        <f ca="1">IFERROR(__xludf.DUMMYFUNCTION("""COMPUTED_VALUE"""),"Golf Promenade 1B")</f>
        <v>Golf Promenade 1B</v>
      </c>
      <c r="C1362" s="2" t="str">
        <f ca="1">IFERROR(__xludf.DUMMYFUNCTION("""COMPUTED_VALUE"""),"Building")</f>
        <v>Building</v>
      </c>
      <c r="D1362" s="2" t="str">
        <f ca="1">IFERROR(__xludf.DUMMYFUNCTION("""COMPUTED_VALUE"""),"Dubai&gt;DAMAC Hills&gt;Golf Town&gt;Golf Promenade&gt;Golf Promenade 1&gt;Golf Promenade 1B")</f>
        <v>Dubai&gt;DAMAC Hills&gt;Golf Town&gt;Golf Promenade&gt;Golf Promenade 1&gt;Golf Promenade 1B</v>
      </c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</row>
    <row r="1363" spans="1:26" ht="16.5" x14ac:dyDescent="0.35">
      <c r="A1363" s="2" t="str">
        <f ca="1">IFERROR(__xludf.DUMMYFUNCTION("""COMPUTED_VALUE"""),"Dubai")</f>
        <v>Dubai</v>
      </c>
      <c r="B1363" s="2" t="str">
        <f ca="1">IFERROR(__xludf.DUMMYFUNCTION("""COMPUTED_VALUE"""),"Golf Vita B")</f>
        <v>Golf Vita B</v>
      </c>
      <c r="C1363" s="2" t="str">
        <f ca="1">IFERROR(__xludf.DUMMYFUNCTION("""COMPUTED_VALUE"""),"Building")</f>
        <v>Building</v>
      </c>
      <c r="D1363" s="2" t="str">
        <f ca="1">IFERROR(__xludf.DUMMYFUNCTION("""COMPUTED_VALUE"""),"Dubai&gt;DAMAC Hills&gt;Golf Vita&gt;Golf Vita B")</f>
        <v>Dubai&gt;DAMAC Hills&gt;Golf Vita&gt;Golf Vita B</v>
      </c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</row>
    <row r="1364" spans="1:26" ht="16.5" x14ac:dyDescent="0.35">
      <c r="A1364" s="2" t="str">
        <f ca="1">IFERROR(__xludf.DUMMYFUNCTION("""COMPUTED_VALUE"""),"Dubai")</f>
        <v>Dubai</v>
      </c>
      <c r="B1364" s="2" t="str">
        <f ca="1">IFERROR(__xludf.DUMMYFUNCTION("""COMPUTED_VALUE"""),"Golf Greens 2 Tower B")</f>
        <v>Golf Greens 2 Tower B</v>
      </c>
      <c r="C1364" s="2" t="str">
        <f ca="1">IFERROR(__xludf.DUMMYFUNCTION("""COMPUTED_VALUE"""),"Building")</f>
        <v>Building</v>
      </c>
      <c r="D1364" s="2" t="str">
        <f ca="1">IFERROR(__xludf.DUMMYFUNCTION("""COMPUTED_VALUE"""),"Dubai&gt;DAMAC Hills&gt;Golf Greens 2&gt;Golf Greens 2 Tower B")</f>
        <v>Dubai&gt;DAMAC Hills&gt;Golf Greens 2&gt;Golf Greens 2 Tower B</v>
      </c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</row>
    <row r="1365" spans="1:26" ht="16.5" x14ac:dyDescent="0.35">
      <c r="A1365" s="2" t="str">
        <f ca="1">IFERROR(__xludf.DUMMYFUNCTION("""COMPUTED_VALUE"""),"Dubai")</f>
        <v>Dubai</v>
      </c>
      <c r="B1365" s="2" t="str">
        <f ca="1">IFERROR(__xludf.DUMMYFUNCTION("""COMPUTED_VALUE"""),"Hyatt Place Dubai Jumeirah")</f>
        <v>Hyatt Place Dubai Jumeirah</v>
      </c>
      <c r="C1365" s="2" t="str">
        <f ca="1">IFERROR(__xludf.DUMMYFUNCTION("""COMPUTED_VALUE"""),"Building")</f>
        <v>Building</v>
      </c>
      <c r="D1365" s="2" t="str">
        <f ca="1">IFERROR(__xludf.DUMMYFUNCTION("""COMPUTED_VALUE"""),"Dubai&gt;Al Mina&gt;Hyatt Place Dubai Jumeirah")</f>
        <v>Dubai&gt;Al Mina&gt;Hyatt Place Dubai Jumeirah</v>
      </c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</row>
    <row r="1366" spans="1:26" ht="16.5" x14ac:dyDescent="0.35">
      <c r="A1366" s="2" t="str">
        <f ca="1">IFERROR(__xludf.DUMMYFUNCTION("""COMPUTED_VALUE"""),"Dubai")</f>
        <v>Dubai</v>
      </c>
      <c r="B1366" s="2" t="str">
        <f ca="1">IFERROR(__xludf.DUMMYFUNCTION("""COMPUTED_VALUE"""),"Nautica Two")</f>
        <v>Nautica Two</v>
      </c>
      <c r="C1366" s="2" t="str">
        <f ca="1">IFERROR(__xludf.DUMMYFUNCTION("""COMPUTED_VALUE"""),"Building")</f>
        <v>Building</v>
      </c>
      <c r="D1366" s="2" t="str">
        <f ca="1">IFERROR(__xludf.DUMMYFUNCTION("""COMPUTED_VALUE"""),"Dubai&gt;Dubai Maritime City&gt;Nautica Two")</f>
        <v>Dubai&gt;Dubai Maritime City&gt;Nautica Two</v>
      </c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</row>
    <row r="1367" spans="1:26" ht="16.5" x14ac:dyDescent="0.35">
      <c r="A1367" s="2" t="str">
        <f ca="1">IFERROR(__xludf.DUMMYFUNCTION("""COMPUTED_VALUE"""),"Dubai")</f>
        <v>Dubai</v>
      </c>
      <c r="B1367" s="2" t="str">
        <f ca="1">IFERROR(__xludf.DUMMYFUNCTION("""COMPUTED_VALUE"""),"Regent International School")</f>
        <v>Regent International School</v>
      </c>
      <c r="C1367" s="2" t="str">
        <f ca="1">IFERROR(__xludf.DUMMYFUNCTION("""COMPUTED_VALUE"""),"School")</f>
        <v>School</v>
      </c>
      <c r="D1367" s="2" t="str">
        <f ca="1">IFERROR(__xludf.DUMMYFUNCTION("""COMPUTED_VALUE"""),"Dubai&gt;The Views&gt;Regent International School")</f>
        <v>Dubai&gt;The Views&gt;Regent International School</v>
      </c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</row>
    <row r="1368" spans="1:26" ht="16.5" x14ac:dyDescent="0.35">
      <c r="A1368" s="2" t="str">
        <f ca="1">IFERROR(__xludf.DUMMYFUNCTION("""COMPUTED_VALUE"""),"Dubai")</f>
        <v>Dubai</v>
      </c>
      <c r="B1368" s="2" t="str">
        <f ca="1">IFERROR(__xludf.DUMMYFUNCTION("""COMPUTED_VALUE"""),"Turia")</f>
        <v>Turia</v>
      </c>
      <c r="C1368" s="2" t="str">
        <f ca="1">IFERROR(__xludf.DUMMYFUNCTION("""COMPUTED_VALUE"""),"Cluster")</f>
        <v>Cluster</v>
      </c>
      <c r="D1368" s="2" t="str">
        <f ca="1">IFERROR(__xludf.DUMMYFUNCTION("""COMPUTED_VALUE"""),"Dubai&gt;The Views&gt;Turia")</f>
        <v>Dubai&gt;The Views&gt;Turia</v>
      </c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</row>
    <row r="1369" spans="1:26" ht="16.5" x14ac:dyDescent="0.35">
      <c r="A1369" s="2" t="str">
        <f ca="1">IFERROR(__xludf.DUMMYFUNCTION("""COMPUTED_VALUE"""),"Dubai")</f>
        <v>Dubai</v>
      </c>
      <c r="B1369" s="2" t="str">
        <f ca="1">IFERROR(__xludf.DUMMYFUNCTION("""COMPUTED_VALUE"""),"Little Feet Early Learning Center Sheikh Zayed Road")</f>
        <v>Little Feet Early Learning Center Sheikh Zayed Road</v>
      </c>
      <c r="C1369" s="2" t="str">
        <f ca="1">IFERROR(__xludf.DUMMYFUNCTION("""COMPUTED_VALUE"""),"Nursery")</f>
        <v>Nursery</v>
      </c>
      <c r="D1369" s="2" t="str">
        <f ca="1">IFERROR(__xludf.DUMMYFUNCTION("""COMPUTED_VALUE"""),"Dubai&gt;Al Quoz&gt;Al Quoz Industrial Area&gt;Al Quoz Industrial Area 3&gt;Little Feet Early Learning Center Sheikh Zayed Road")</f>
        <v>Dubai&gt;Al Quoz&gt;Al Quoz Industrial Area&gt;Al Quoz Industrial Area 3&gt;Little Feet Early Learning Center Sheikh Zayed Road</v>
      </c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</row>
    <row r="1370" spans="1:26" ht="16.5" x14ac:dyDescent="0.35">
      <c r="A1370" s="2" t="str">
        <f ca="1">IFERROR(__xludf.DUMMYFUNCTION("""COMPUTED_VALUE"""),"Dubai")</f>
        <v>Dubai</v>
      </c>
      <c r="B1370" s="2" t="str">
        <f ca="1">IFERROR(__xludf.DUMMYFUNCTION("""COMPUTED_VALUE"""),"Oaktree Primary School, Al Quoz")</f>
        <v>Oaktree Primary School, Al Quoz</v>
      </c>
      <c r="C1370" s="2" t="str">
        <f ca="1">IFERROR(__xludf.DUMMYFUNCTION("""COMPUTED_VALUE"""),"School")</f>
        <v>School</v>
      </c>
      <c r="D1370" s="2" t="str">
        <f ca="1">IFERROR(__xludf.DUMMYFUNCTION("""COMPUTED_VALUE"""),"Dubai&gt;Al Quoz&gt;Al Quoz 4&gt;Oaktree Primary School, Al Quoz")</f>
        <v>Dubai&gt;Al Quoz&gt;Al Quoz 4&gt;Oaktree Primary School, Al Quoz</v>
      </c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</row>
    <row r="1371" spans="1:26" ht="16.5" x14ac:dyDescent="0.35">
      <c r="A1371" s="2" t="str">
        <f ca="1">IFERROR(__xludf.DUMMYFUNCTION("""COMPUTED_VALUE"""),"Dubai")</f>
        <v>Dubai</v>
      </c>
      <c r="B1371" s="2" t="str">
        <f ca="1">IFERROR(__xludf.DUMMYFUNCTION("""COMPUTED_VALUE"""),"Indian International School, DSO")</f>
        <v>Indian International School, DSO</v>
      </c>
      <c r="C1371" s="2" t="str">
        <f ca="1">IFERROR(__xludf.DUMMYFUNCTION("""COMPUTED_VALUE"""),"School")</f>
        <v>School</v>
      </c>
      <c r="D1371" s="2" t="str">
        <f ca="1">IFERROR(__xludf.DUMMYFUNCTION("""COMPUTED_VALUE"""),"Dubai&gt;Dubai Silicon Oasis (DSO)&gt;Indian International School, DSO")</f>
        <v>Dubai&gt;Dubai Silicon Oasis (DSO)&gt;Indian International School, DSO</v>
      </c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</row>
    <row r="1372" spans="1:26" ht="16.5" x14ac:dyDescent="0.35">
      <c r="A1372" s="2" t="str">
        <f ca="1">IFERROR(__xludf.DUMMYFUNCTION("""COMPUTED_VALUE"""),"Dubai")</f>
        <v>Dubai</v>
      </c>
      <c r="B1372" s="2" t="str">
        <f ca="1">IFERROR(__xludf.DUMMYFUNCTION("""COMPUTED_VALUE"""),"Dubai Digital Park")</f>
        <v>Dubai Digital Park</v>
      </c>
      <c r="C1372" s="2" t="str">
        <f ca="1">IFERROR(__xludf.DUMMYFUNCTION("""COMPUTED_VALUE"""),"Neighbourhood")</f>
        <v>Neighbourhood</v>
      </c>
      <c r="D1372" s="2" t="str">
        <f ca="1">IFERROR(__xludf.DUMMYFUNCTION("""COMPUTED_VALUE"""),"Dubai&gt;Dubai Silicon Oasis (DSO)&gt;Dubai Digital Park")</f>
        <v>Dubai&gt;Dubai Silicon Oasis (DSO)&gt;Dubai Digital Park</v>
      </c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</row>
    <row r="1373" spans="1:26" ht="16.5" x14ac:dyDescent="0.35">
      <c r="A1373" s="2" t="str">
        <f ca="1">IFERROR(__xludf.DUMMYFUNCTION("""COMPUTED_VALUE"""),"Dubai")</f>
        <v>Dubai</v>
      </c>
      <c r="B1373" s="2" t="str">
        <f ca="1">IFERROR(__xludf.DUMMYFUNCTION("""COMPUTED_VALUE"""),"Al Manal Residence")</f>
        <v>Al Manal Residence</v>
      </c>
      <c r="C1373" s="2" t="str">
        <f ca="1">IFERROR(__xludf.DUMMYFUNCTION("""COMPUTED_VALUE"""),"Cluster")</f>
        <v>Cluster</v>
      </c>
      <c r="D1373" s="2" t="str">
        <f ca="1">IFERROR(__xludf.DUMMYFUNCTION("""COMPUTED_VALUE"""),"Dubai&gt;Dubai Silicon Oasis (DSO)&gt;Al Manal Residence")</f>
        <v>Dubai&gt;Dubai Silicon Oasis (DSO)&gt;Al Manal Residence</v>
      </c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</row>
    <row r="1374" spans="1:26" ht="16.5" x14ac:dyDescent="0.35">
      <c r="A1374" s="2" t="str">
        <f ca="1">IFERROR(__xludf.DUMMYFUNCTION("""COMPUTED_VALUE"""),"Dubai")</f>
        <v>Dubai</v>
      </c>
      <c r="B1374" s="2" t="str">
        <f ca="1">IFERROR(__xludf.DUMMYFUNCTION("""COMPUTED_VALUE"""),"City Oasis 2")</f>
        <v>City Oasis 2</v>
      </c>
      <c r="C1374" s="2" t="str">
        <f ca="1">IFERROR(__xludf.DUMMYFUNCTION("""COMPUTED_VALUE"""),"Building")</f>
        <v>Building</v>
      </c>
      <c r="D1374" s="2" t="str">
        <f ca="1">IFERROR(__xludf.DUMMYFUNCTION("""COMPUTED_VALUE"""),"Dubai&gt;Dubai Silicon Oasis (DSO)&gt;City Oasis&gt;City Oasis 2")</f>
        <v>Dubai&gt;Dubai Silicon Oasis (DSO)&gt;City Oasis&gt;City Oasis 2</v>
      </c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</row>
    <row r="1375" spans="1:26" ht="16.5" x14ac:dyDescent="0.35">
      <c r="A1375" s="2" t="str">
        <f ca="1">IFERROR(__xludf.DUMMYFUNCTION("""COMPUTED_VALUE"""),"Dubai")</f>
        <v>Dubai</v>
      </c>
      <c r="B1375" s="2" t="str">
        <f ca="1">IFERROR(__xludf.DUMMYFUNCTION("""COMPUTED_VALUE"""),"Cartel 2 Building")</f>
        <v>Cartel 2 Building</v>
      </c>
      <c r="C1375" s="2" t="str">
        <f ca="1">IFERROR(__xludf.DUMMYFUNCTION("""COMPUTED_VALUE"""),"Building")</f>
        <v>Building</v>
      </c>
      <c r="D1375" s="2" t="str">
        <f ca="1">IFERROR(__xludf.DUMMYFUNCTION("""COMPUTED_VALUE"""),"Dubai&gt;Dubai Silicon Oasis (DSO)&gt;Cartel 2 Building")</f>
        <v>Dubai&gt;Dubai Silicon Oasis (DSO)&gt;Cartel 2 Building</v>
      </c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</row>
    <row r="1376" spans="1:26" ht="16.5" x14ac:dyDescent="0.35">
      <c r="A1376" s="2" t="str">
        <f ca="1">IFERROR(__xludf.DUMMYFUNCTION("""COMPUTED_VALUE"""),"Dubai")</f>
        <v>Dubai</v>
      </c>
      <c r="B1376" s="2" t="str">
        <f ca="1">IFERROR(__xludf.DUMMYFUNCTION("""COMPUTED_VALUE"""),"Axis Residences One 1")</f>
        <v>Axis Residences One 1</v>
      </c>
      <c r="C1376" s="2" t="str">
        <f ca="1">IFERROR(__xludf.DUMMYFUNCTION("""COMPUTED_VALUE"""),"Building")</f>
        <v>Building</v>
      </c>
      <c r="D1376" s="2" t="str">
        <f ca="1">IFERROR(__xludf.DUMMYFUNCTION("""COMPUTED_VALUE"""),"Dubai&gt;Dubai Silicon Oasis (DSO)&gt;Axis Residences&gt;Axis Residences One 1")</f>
        <v>Dubai&gt;Dubai Silicon Oasis (DSO)&gt;Axis Residences&gt;Axis Residences One 1</v>
      </c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</row>
    <row r="1377" spans="1:26" ht="16.5" x14ac:dyDescent="0.35">
      <c r="A1377" s="2" t="str">
        <f ca="1">IFERROR(__xludf.DUMMYFUNCTION("""COMPUTED_VALUE"""),"Dubai")</f>
        <v>Dubai</v>
      </c>
      <c r="B1377" s="2" t="str">
        <f ca="1">IFERROR(__xludf.DUMMYFUNCTION("""COMPUTED_VALUE"""),"Aura Elegance")</f>
        <v>Aura Elegance</v>
      </c>
      <c r="C1377" s="2" t="str">
        <f ca="1">IFERROR(__xludf.DUMMYFUNCTION("""COMPUTED_VALUE"""),"Building")</f>
        <v>Building</v>
      </c>
      <c r="D1377" s="2" t="str">
        <f ca="1">IFERROR(__xludf.DUMMYFUNCTION("""COMPUTED_VALUE"""),"Dubai&gt;Dubai Silicon Oasis (DSO)&gt;Aura Elegance")</f>
        <v>Dubai&gt;Dubai Silicon Oasis (DSO)&gt;Aura Elegance</v>
      </c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</row>
    <row r="1378" spans="1:26" ht="16.5" x14ac:dyDescent="0.35">
      <c r="A1378" s="2" t="str">
        <f ca="1">IFERROR(__xludf.DUMMYFUNCTION("""COMPUTED_VALUE"""),"Dubai")</f>
        <v>Dubai</v>
      </c>
      <c r="B1378" s="2" t="str">
        <f ca="1">IFERROR(__xludf.DUMMYFUNCTION("""COMPUTED_VALUE"""),"Ashjar F1")</f>
        <v>Ashjar F1</v>
      </c>
      <c r="C1378" s="2" t="str">
        <f ca="1">IFERROR(__xludf.DUMMYFUNCTION("""COMPUTED_VALUE"""),"Building")</f>
        <v>Building</v>
      </c>
      <c r="D1378" s="2" t="str">
        <f ca="1">IFERROR(__xludf.DUMMYFUNCTION("""COMPUTED_VALUE"""),"Dubai&gt;Al Barari&gt;Ashjar&gt;Ashjar F1")</f>
        <v>Dubai&gt;Al Barari&gt;Ashjar&gt;Ashjar F1</v>
      </c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</row>
    <row r="1379" spans="1:26" ht="16.5" x14ac:dyDescent="0.35">
      <c r="A1379" s="2" t="str">
        <f ca="1">IFERROR(__xludf.DUMMYFUNCTION("""COMPUTED_VALUE"""),"Dubai")</f>
        <v>Dubai</v>
      </c>
      <c r="B1379" s="2" t="str">
        <f ca="1">IFERROR(__xludf.DUMMYFUNCTION("""COMPUTED_VALUE"""),"Jasmine Leaf 9")</f>
        <v>Jasmine Leaf 9</v>
      </c>
      <c r="C1379" s="2" t="str">
        <f ca="1">IFERROR(__xludf.DUMMYFUNCTION("""COMPUTED_VALUE"""),"Neighbourhood")</f>
        <v>Neighbourhood</v>
      </c>
      <c r="D1379" s="2" t="str">
        <f ca="1">IFERROR(__xludf.DUMMYFUNCTION("""COMPUTED_VALUE"""),"Dubai&gt;Al Barari&gt;The Residences&gt;Jasmine Leaf&gt;Jasmine Leaf 9")</f>
        <v>Dubai&gt;Al Barari&gt;The Residences&gt;Jasmine Leaf&gt;Jasmine Leaf 9</v>
      </c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</row>
    <row r="1380" spans="1:26" ht="16.5" x14ac:dyDescent="0.35">
      <c r="A1380" s="2" t="str">
        <f ca="1">IFERROR(__xludf.DUMMYFUNCTION("""COMPUTED_VALUE"""),"Dubai")</f>
        <v>Dubai</v>
      </c>
      <c r="B1380" s="2" t="str">
        <f ca="1">IFERROR(__xludf.DUMMYFUNCTION("""COMPUTED_VALUE"""),"Viridian at the Fields")</f>
        <v>Viridian at the Fields</v>
      </c>
      <c r="C1380" s="2" t="str">
        <f ca="1">IFERROR(__xludf.DUMMYFUNCTION("""COMPUTED_VALUE"""),"Neighbourhood")</f>
        <v>Neighbourhood</v>
      </c>
      <c r="D1380" s="2" t="str">
        <f ca="1">IFERROR(__xludf.DUMMYFUNCTION("""COMPUTED_VALUE"""),"Dubai&gt;Mohammed Bin Rashid City&gt;District 11&gt;The Fields&gt;Viridian at the Fields")</f>
        <v>Dubai&gt;Mohammed Bin Rashid City&gt;District 11&gt;The Fields&gt;Viridian at the Fields</v>
      </c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</row>
    <row r="1381" spans="1:26" ht="16.5" x14ac:dyDescent="0.35">
      <c r="A1381" s="2" t="str">
        <f ca="1">IFERROR(__xludf.DUMMYFUNCTION("""COMPUTED_VALUE"""),"Dubai")</f>
        <v>Dubai</v>
      </c>
      <c r="B1381" s="2" t="str">
        <f ca="1">IFERROR(__xludf.DUMMYFUNCTION("""COMPUTED_VALUE"""),"Gate Eleven Residences")</f>
        <v>Gate Eleven Residences</v>
      </c>
      <c r="C1381" s="2" t="str">
        <f ca="1">IFERROR(__xludf.DUMMYFUNCTION("""COMPUTED_VALUE"""),"Cluster")</f>
        <v>Cluster</v>
      </c>
      <c r="D1381" s="2" t="str">
        <f ca="1">IFERROR(__xludf.DUMMYFUNCTION("""COMPUTED_VALUE"""),"Dubai&gt;Mohammed Bin Rashid City&gt;District 11&gt;Gate Eleven Residences")</f>
        <v>Dubai&gt;Mohammed Bin Rashid City&gt;District 11&gt;Gate Eleven Residences</v>
      </c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</row>
    <row r="1382" spans="1:26" ht="16.5" x14ac:dyDescent="0.35">
      <c r="A1382" s="2" t="str">
        <f ca="1">IFERROR(__xludf.DUMMYFUNCTION("""COMPUTED_VALUE"""),"Dubai")</f>
        <v>Dubai</v>
      </c>
      <c r="B1382" s="2" t="str">
        <f ca="1">IFERROR(__xludf.DUMMYFUNCTION("""COMPUTED_VALUE"""),"Residences 28")</f>
        <v>Residences 28</v>
      </c>
      <c r="C1382" s="2" t="str">
        <f ca="1">IFERROR(__xludf.DUMMYFUNCTION("""COMPUTED_VALUE"""),"Building")</f>
        <v>Building</v>
      </c>
      <c r="D1382" s="2" t="str">
        <f ca="1">IFERROR(__xludf.DUMMYFUNCTION("""COMPUTED_VALUE"""),"Dubai&gt;Mohammed Bin Rashid City&gt;District One&gt;The Residences at District One&gt;Residences 28")</f>
        <v>Dubai&gt;Mohammed Bin Rashid City&gt;District One&gt;The Residences at District One&gt;Residences 28</v>
      </c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</row>
    <row r="1383" spans="1:26" ht="16.5" x14ac:dyDescent="0.35">
      <c r="A1383" s="2" t="str">
        <f ca="1">IFERROR(__xludf.DUMMYFUNCTION("""COMPUTED_VALUE"""),"Dubai")</f>
        <v>Dubai</v>
      </c>
      <c r="B1383" s="2" t="str">
        <f ca="1">IFERROR(__xludf.DUMMYFUNCTION("""COMPUTED_VALUE"""),"C3")</f>
        <v>C3</v>
      </c>
      <c r="C1383" s="2" t="str">
        <f ca="1">IFERROR(__xludf.DUMMYFUNCTION("""COMPUTED_VALUE"""),"Building")</f>
        <v>Building</v>
      </c>
      <c r="D1383" s="2" t="str">
        <f ca="1">IFERROR(__xludf.DUMMYFUNCTION("""COMPUTED_VALUE"""),"Dubai&gt;Dubai South&gt;Residential District&gt;The Pulse&gt;Boulevard Apartments&gt;C3")</f>
        <v>Dubai&gt;Dubai South&gt;Residential District&gt;The Pulse&gt;Boulevard Apartments&gt;C3</v>
      </c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</row>
    <row r="1384" spans="1:26" ht="16.5" x14ac:dyDescent="0.35">
      <c r="A1384" s="2" t="str">
        <f ca="1">IFERROR(__xludf.DUMMYFUNCTION("""COMPUTED_VALUE"""),"Dubai")</f>
        <v>Dubai</v>
      </c>
      <c r="B1384" s="2" t="str">
        <f ca="1">IFERROR(__xludf.DUMMYFUNCTION("""COMPUTED_VALUE"""),"MAG 545")</f>
        <v>MAG 545</v>
      </c>
      <c r="C1384" s="2" t="str">
        <f ca="1">IFERROR(__xludf.DUMMYFUNCTION("""COMPUTED_VALUE"""),"Building")</f>
        <v>Building</v>
      </c>
      <c r="D1384" s="2" t="str">
        <f ca="1">IFERROR(__xludf.DUMMYFUNCTION("""COMPUTED_VALUE"""),"Dubai&gt;Dubai South&gt;Residential District&gt;MAG 5 Boulevard&gt;MAG 545")</f>
        <v>Dubai&gt;Dubai South&gt;Residential District&gt;MAG 5 Boulevard&gt;MAG 545</v>
      </c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</row>
    <row r="1385" spans="1:26" ht="16.5" x14ac:dyDescent="0.35">
      <c r="A1385" s="2" t="str">
        <f ca="1">IFERROR(__xludf.DUMMYFUNCTION("""COMPUTED_VALUE"""),"Dubai")</f>
        <v>Dubai</v>
      </c>
      <c r="B1385" s="2" t="str">
        <f ca="1">IFERROR(__xludf.DUMMYFUNCTION("""COMPUTED_VALUE"""),"Lincoln Star Residence")</f>
        <v>Lincoln Star Residence</v>
      </c>
      <c r="C1385" s="2" t="str">
        <f ca="1">IFERROR(__xludf.DUMMYFUNCTION("""COMPUTED_VALUE"""),"Building")</f>
        <v>Building</v>
      </c>
      <c r="D1385" s="2" t="str">
        <f ca="1">IFERROR(__xludf.DUMMYFUNCTION("""COMPUTED_VALUE"""),"Dubai&gt;Dubai South&gt;Residential District&gt;Lincoln Star Residence")</f>
        <v>Dubai&gt;Dubai South&gt;Residential District&gt;Lincoln Star Residence</v>
      </c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</row>
    <row r="1386" spans="1:26" ht="16.5" x14ac:dyDescent="0.35">
      <c r="A1386" s="2" t="str">
        <f ca="1">IFERROR(__xludf.DUMMYFUNCTION("""COMPUTED_VALUE"""),"Dubai")</f>
        <v>Dubai</v>
      </c>
      <c r="B1386" s="2" t="str">
        <f ca="1">IFERROR(__xludf.DUMMYFUNCTION("""COMPUTED_VALUE"""),"Cresswell Views")</f>
        <v>Cresswell Views</v>
      </c>
      <c r="C1386" s="2" t="str">
        <f ca="1">IFERROR(__xludf.DUMMYFUNCTION("""COMPUTED_VALUE"""),"Building")</f>
        <v>Building</v>
      </c>
      <c r="D1386" s="2" t="str">
        <f ca="1">IFERROR(__xludf.DUMMYFUNCTION("""COMPUTED_VALUE"""),"Dubai&gt;Dubai South&gt;Residential District&gt;Cresswell Views")</f>
        <v>Dubai&gt;Dubai South&gt;Residential District&gt;Cresswell Views</v>
      </c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</row>
    <row r="1387" spans="1:26" ht="16.5" x14ac:dyDescent="0.35">
      <c r="A1387" s="2" t="str">
        <f ca="1">IFERROR(__xludf.DUMMYFUNCTION("""COMPUTED_VALUE"""),"Dubai")</f>
        <v>Dubai</v>
      </c>
      <c r="B1387" s="2" t="str">
        <f ca="1">IFERROR(__xludf.DUMMYFUNCTION("""COMPUTED_VALUE"""),"Urbana")</f>
        <v>Urbana</v>
      </c>
      <c r="C1387" s="2" t="str">
        <f ca="1">IFERROR(__xludf.DUMMYFUNCTION("""COMPUTED_VALUE"""),"Neighbourhood")</f>
        <v>Neighbourhood</v>
      </c>
      <c r="D1387" s="2" t="str">
        <f ca="1">IFERROR(__xludf.DUMMYFUNCTION("""COMPUTED_VALUE"""),"Dubai&gt;Dubai South&gt;Emaar South&gt;Urbana")</f>
        <v>Dubai&gt;Dubai South&gt;Emaar South&gt;Urbana</v>
      </c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</row>
    <row r="1388" spans="1:26" ht="16.5" x14ac:dyDescent="0.35">
      <c r="A1388" s="2" t="str">
        <f ca="1">IFERROR(__xludf.DUMMYFUNCTION("""COMPUTED_VALUE"""),"Dubai")</f>
        <v>Dubai</v>
      </c>
      <c r="B1388" s="2" t="str">
        <f ca="1">IFERROR(__xludf.DUMMYFUNCTION("""COMPUTED_VALUE"""),"Golf Hills 2")</f>
        <v>Golf Hills 2</v>
      </c>
      <c r="C1388" s="2" t="str">
        <f ca="1">IFERROR(__xludf.DUMMYFUNCTION("""COMPUTED_VALUE"""),"Building")</f>
        <v>Building</v>
      </c>
      <c r="D1388" s="2" t="str">
        <f ca="1">IFERROR(__xludf.DUMMYFUNCTION("""COMPUTED_VALUE"""),"Dubai&gt;Dubai South&gt;Emaar South&gt;Golf Hills 2")</f>
        <v>Dubai&gt;Dubai South&gt;Emaar South&gt;Golf Hills 2</v>
      </c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</row>
    <row r="1389" spans="1:26" ht="16.5" x14ac:dyDescent="0.35">
      <c r="A1389" s="2" t="str">
        <f ca="1">IFERROR(__xludf.DUMMYFUNCTION("""COMPUTED_VALUE"""),"Dubai")</f>
        <v>Dubai</v>
      </c>
      <c r="B1389" s="2" t="str">
        <f ca="1">IFERROR(__xludf.DUMMYFUNCTION("""COMPUTED_VALUE"""),"Hassani 24")</f>
        <v>Hassani 24</v>
      </c>
      <c r="C1389" s="2" t="str">
        <f ca="1">IFERROR(__xludf.DUMMYFUNCTION("""COMPUTED_VALUE"""),"Building")</f>
        <v>Building</v>
      </c>
      <c r="D1389" s="2" t="str">
        <f ca="1">IFERROR(__xludf.DUMMYFUNCTION("""COMPUTED_VALUE"""),"Dubai&gt;Dubai South&gt;Hassani 24")</f>
        <v>Dubai&gt;Dubai South&gt;Hassani 24</v>
      </c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</row>
    <row r="1390" spans="1:26" ht="16.5" x14ac:dyDescent="0.35">
      <c r="A1390" s="2" t="str">
        <f ca="1">IFERROR(__xludf.DUMMYFUNCTION("""COMPUTED_VALUE"""),"Dubai")</f>
        <v>Dubai</v>
      </c>
      <c r="B1390" s="2" t="str">
        <f ca="1">IFERROR(__xludf.DUMMYFUNCTION("""COMPUTED_VALUE"""),"Azizi Venice 14 Building A")</f>
        <v>Azizi Venice 14 Building A</v>
      </c>
      <c r="C1390" s="2" t="str">
        <f ca="1">IFERROR(__xludf.DUMMYFUNCTION("""COMPUTED_VALUE"""),"Building")</f>
        <v>Building</v>
      </c>
      <c r="D1390" s="2" t="str">
        <f ca="1">IFERROR(__xludf.DUMMYFUNCTION("""COMPUTED_VALUE"""),"Dubai&gt;Dubai South&gt;Azizi Venice&gt;Azizi Venice 14&gt;Azizi Venice 14 Building A")</f>
        <v>Dubai&gt;Dubai South&gt;Azizi Venice&gt;Azizi Venice 14&gt;Azizi Venice 14 Building A</v>
      </c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</row>
    <row r="1391" spans="1:26" ht="16.5" x14ac:dyDescent="0.35">
      <c r="A1391" s="2" t="str">
        <f ca="1">IFERROR(__xludf.DUMMYFUNCTION("""COMPUTED_VALUE"""),"Dubai")</f>
        <v>Dubai</v>
      </c>
      <c r="B1391" s="2" t="str">
        <f ca="1">IFERROR(__xludf.DUMMYFUNCTION("""COMPUTED_VALUE"""),"Hayat 2")</f>
        <v>Hayat 2</v>
      </c>
      <c r="C1391" s="2" t="str">
        <f ca="1">IFERROR(__xludf.DUMMYFUNCTION("""COMPUTED_VALUE"""),"Neighbourhood")</f>
        <v>Neighbourhood</v>
      </c>
      <c r="D1391" s="2" t="str">
        <f ca="1">IFERROR(__xludf.DUMMYFUNCTION("""COMPUTED_VALUE"""),"Dubai&gt;Dubai South&gt;Hayat&gt;Hayat 2")</f>
        <v>Dubai&gt;Dubai South&gt;Hayat&gt;Hayat 2</v>
      </c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</row>
    <row r="1392" spans="1:26" ht="16.5" x14ac:dyDescent="0.35">
      <c r="A1392" s="2" t="str">
        <f ca="1">IFERROR(__xludf.DUMMYFUNCTION("""COMPUTED_VALUE"""),"Dubai")</f>
        <v>Dubai</v>
      </c>
      <c r="B1392" s="2" t="str">
        <f ca="1">IFERROR(__xludf.DUMMYFUNCTION("""COMPUTED_VALUE"""),"Bamboo Building")</f>
        <v>Bamboo Building</v>
      </c>
      <c r="C1392" s="2" t="str">
        <f ca="1">IFERROR(__xludf.DUMMYFUNCTION("""COMPUTED_VALUE"""),"Building")</f>
        <v>Building</v>
      </c>
      <c r="D1392" s="2" t="str">
        <f ca="1">IFERROR(__xludf.DUMMYFUNCTION("""COMPUTED_VALUE"""),"Dubai&gt;Bur Dubai&gt;Oud Metha&gt;Bamboo Building")</f>
        <v>Dubai&gt;Bur Dubai&gt;Oud Metha&gt;Bamboo Building</v>
      </c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</row>
    <row r="1393" spans="1:26" ht="16.5" x14ac:dyDescent="0.35">
      <c r="A1393" s="2" t="str">
        <f ca="1">IFERROR(__xludf.DUMMYFUNCTION("""COMPUTED_VALUE"""),"Dubai")</f>
        <v>Dubai</v>
      </c>
      <c r="B1393" s="2" t="str">
        <f ca="1">IFERROR(__xludf.DUMMYFUNCTION("""COMPUTED_VALUE"""),"Al Nasr Square Buildings")</f>
        <v>Al Nasr Square Buildings</v>
      </c>
      <c r="C1393" s="2" t="str">
        <f ca="1">IFERROR(__xludf.DUMMYFUNCTION("""COMPUTED_VALUE"""),"Cluster")</f>
        <v>Cluster</v>
      </c>
      <c r="D1393" s="2" t="str">
        <f ca="1">IFERROR(__xludf.DUMMYFUNCTION("""COMPUTED_VALUE"""),"Dubai&gt;Bur Dubai&gt;Oud Metha&gt;Al Nasr Square Buildings")</f>
        <v>Dubai&gt;Bur Dubai&gt;Oud Metha&gt;Al Nasr Square Buildings</v>
      </c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</row>
    <row r="1394" spans="1:26" ht="16.5" x14ac:dyDescent="0.35">
      <c r="A1394" s="2" t="str">
        <f ca="1">IFERROR(__xludf.DUMMYFUNCTION("""COMPUTED_VALUE"""),"Dubai")</f>
        <v>Dubai</v>
      </c>
      <c r="B1394" s="2" t="str">
        <f ca="1">IFERROR(__xludf.DUMMYFUNCTION("""COMPUTED_VALUE"""),"Al Waleed Building RF")</f>
        <v>Al Waleed Building RF</v>
      </c>
      <c r="C1394" s="2" t="str">
        <f ca="1">IFERROR(__xludf.DUMMYFUNCTION("""COMPUTED_VALUE"""),"Building")</f>
        <v>Building</v>
      </c>
      <c r="D1394" s="2" t="str">
        <f ca="1">IFERROR(__xludf.DUMMYFUNCTION("""COMPUTED_VALUE"""),"Dubai&gt;Bur Dubai&gt;Al Raffa&gt;Al Waleed Building RF")</f>
        <v>Dubai&gt;Bur Dubai&gt;Al Raffa&gt;Al Waleed Building RF</v>
      </c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</row>
    <row r="1395" spans="1:26" ht="16.5" x14ac:dyDescent="0.35">
      <c r="A1395" s="2" t="str">
        <f ca="1">IFERROR(__xludf.DUMMYFUNCTION("""COMPUTED_VALUE"""),"Dubai")</f>
        <v>Dubai</v>
      </c>
      <c r="B1395" s="2" t="str">
        <f ca="1">IFERROR(__xludf.DUMMYFUNCTION("""COMPUTED_VALUE"""),"Sunrise Old Rolla Building")</f>
        <v>Sunrise Old Rolla Building</v>
      </c>
      <c r="C1395" s="2" t="str">
        <f ca="1">IFERROR(__xludf.DUMMYFUNCTION("""COMPUTED_VALUE"""),"Building")</f>
        <v>Building</v>
      </c>
      <c r="D1395" s="2" t="str">
        <f ca="1">IFERROR(__xludf.DUMMYFUNCTION("""COMPUTED_VALUE"""),"Dubai&gt;Bur Dubai&gt;Al Raffa&gt;Sunrise Old Rolla Building")</f>
        <v>Dubai&gt;Bur Dubai&gt;Al Raffa&gt;Sunrise Old Rolla Building</v>
      </c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</row>
    <row r="1396" spans="1:26" ht="16.5" x14ac:dyDescent="0.35">
      <c r="A1396" s="2" t="str">
        <f ca="1">IFERROR(__xludf.DUMMYFUNCTION("""COMPUTED_VALUE"""),"Dubai")</f>
        <v>Dubai</v>
      </c>
      <c r="B1396" s="2" t="str">
        <f ca="1">IFERROR(__xludf.DUMMYFUNCTION("""COMPUTED_VALUE"""),"Golden Sands 6")</f>
        <v>Golden Sands 6</v>
      </c>
      <c r="C1396" s="2" t="str">
        <f ca="1">IFERROR(__xludf.DUMMYFUNCTION("""COMPUTED_VALUE"""),"Building")</f>
        <v>Building</v>
      </c>
      <c r="D1396" s="2" t="str">
        <f ca="1">IFERROR(__xludf.DUMMYFUNCTION("""COMPUTED_VALUE"""),"Dubai&gt;Bur Dubai&gt;Al Mankhool&gt;Golden Sands 6")</f>
        <v>Dubai&gt;Bur Dubai&gt;Al Mankhool&gt;Golden Sands 6</v>
      </c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</row>
    <row r="1397" spans="1:26" ht="16.5" x14ac:dyDescent="0.35">
      <c r="A1397" s="2" t="str">
        <f ca="1">IFERROR(__xludf.DUMMYFUNCTION("""COMPUTED_VALUE"""),"Dubai")</f>
        <v>Dubai</v>
      </c>
      <c r="B1397" s="2" t="str">
        <f ca="1">IFERROR(__xludf.DUMMYFUNCTION("""COMPUTED_VALUE"""),"Al Tawhidi Building II")</f>
        <v>Al Tawhidi Building II</v>
      </c>
      <c r="C1397" s="2" t="str">
        <f ca="1">IFERROR(__xludf.DUMMYFUNCTION("""COMPUTED_VALUE"""),"Building")</f>
        <v>Building</v>
      </c>
      <c r="D1397" s="2" t="str">
        <f ca="1">IFERROR(__xludf.DUMMYFUNCTION("""COMPUTED_VALUE"""),"Dubai&gt;Bur Dubai&gt;Al Mankhool&gt;Al Tawhidi Building II")</f>
        <v>Dubai&gt;Bur Dubai&gt;Al Mankhool&gt;Al Tawhidi Building II</v>
      </c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</row>
    <row r="1398" spans="1:26" ht="16.5" x14ac:dyDescent="0.35">
      <c r="A1398" s="2" t="str">
        <f ca="1">IFERROR(__xludf.DUMMYFUNCTION("""COMPUTED_VALUE"""),"Dubai")</f>
        <v>Dubai</v>
      </c>
      <c r="B1398" s="2" t="str">
        <f ca="1">IFERROR(__xludf.DUMMYFUNCTION("""COMPUTED_VALUE"""),"Manhattan Avenue Hotel")</f>
        <v>Manhattan Avenue Hotel</v>
      </c>
      <c r="C1398" s="2" t="str">
        <f ca="1">IFERROR(__xludf.DUMMYFUNCTION("""COMPUTED_VALUE"""),"Building")</f>
        <v>Building</v>
      </c>
      <c r="D1398" s="2" t="str">
        <f ca="1">IFERROR(__xludf.DUMMYFUNCTION("""COMPUTED_VALUE"""),"Dubai&gt;Bur Dubai&gt;Al Mankhool&gt;Manhattan Avenue Hotel")</f>
        <v>Dubai&gt;Bur Dubai&gt;Al Mankhool&gt;Manhattan Avenue Hotel</v>
      </c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</row>
    <row r="1399" spans="1:26" ht="16.5" x14ac:dyDescent="0.35">
      <c r="A1399" s="2" t="str">
        <f ca="1">IFERROR(__xludf.DUMMYFUNCTION("""COMPUTED_VALUE"""),"Dubai")</f>
        <v>Dubai</v>
      </c>
      <c r="B1399" s="2" t="str">
        <f ca="1">IFERROR(__xludf.DUMMYFUNCTION("""COMPUTED_VALUE"""),"Park Views Residences B")</f>
        <v>Park Views Residences B</v>
      </c>
      <c r="C1399" s="2" t="str">
        <f ca="1">IFERROR(__xludf.DUMMYFUNCTION("""COMPUTED_VALUE"""),"Building")</f>
        <v>Building</v>
      </c>
      <c r="D1399" s="2" t="str">
        <f ca="1">IFERROR(__xludf.DUMMYFUNCTION("""COMPUTED_VALUE"""),"Dubai&gt;Bur Dubai&gt;Al Kifaf&gt;Park Views Residences&gt;Park Views Residences B")</f>
        <v>Dubai&gt;Bur Dubai&gt;Al Kifaf&gt;Park Views Residences&gt;Park Views Residences B</v>
      </c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</row>
    <row r="1400" spans="1:26" ht="16.5" x14ac:dyDescent="0.35">
      <c r="A1400" s="2" t="str">
        <f ca="1">IFERROR(__xludf.DUMMYFUNCTION("""COMPUTED_VALUE"""),"Dubai")</f>
        <v>Dubai</v>
      </c>
      <c r="B1400" s="2" t="str">
        <f ca="1">IFERROR(__xludf.DUMMYFUNCTION("""COMPUTED_VALUE"""),"Al Safa Commercial Building")</f>
        <v>Al Safa Commercial Building</v>
      </c>
      <c r="C1400" s="2" t="str">
        <f ca="1">IFERROR(__xludf.DUMMYFUNCTION("""COMPUTED_VALUE"""),"Building")</f>
        <v>Building</v>
      </c>
      <c r="D1400" s="2" t="str">
        <f ca="1">IFERROR(__xludf.DUMMYFUNCTION("""COMPUTED_VALUE"""),"Dubai&gt;Bur Dubai&gt;Umm Hurair&gt;Umm Hurair 1&gt;Al Safa Commercial Building")</f>
        <v>Dubai&gt;Bur Dubai&gt;Umm Hurair&gt;Umm Hurair 1&gt;Al Safa Commercial Building</v>
      </c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</row>
    <row r="1401" spans="1:26" ht="16.5" x14ac:dyDescent="0.35">
      <c r="A1401" s="2" t="str">
        <f ca="1">IFERROR(__xludf.DUMMYFUNCTION("""COMPUTED_VALUE"""),"Dubai")</f>
        <v>Dubai</v>
      </c>
      <c r="B1401" s="2" t="str">
        <f ca="1">IFERROR(__xludf.DUMMYFUNCTION("""COMPUTED_VALUE"""),"Ali Obaid Al Gahash Building")</f>
        <v>Ali Obaid Al Gahash Building</v>
      </c>
      <c r="C1401" s="2" t="str">
        <f ca="1">IFERROR(__xludf.DUMMYFUNCTION("""COMPUTED_VALUE"""),"Building")</f>
        <v>Building</v>
      </c>
      <c r="D1401" s="2" t="str">
        <f ca="1">IFERROR(__xludf.DUMMYFUNCTION("""COMPUTED_VALUE"""),"Dubai&gt;Bur Dubai&gt;Al Souk Al Kabeer (Al Fahidi)&gt;Ali Obaid Al Gahash Building")</f>
        <v>Dubai&gt;Bur Dubai&gt;Al Souk Al Kabeer (Al Fahidi)&gt;Ali Obaid Al Gahash Building</v>
      </c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</row>
    <row r="1402" spans="1:26" ht="16.5" x14ac:dyDescent="0.35">
      <c r="A1402" s="2" t="str">
        <f ca="1">IFERROR(__xludf.DUMMYFUNCTION("""COMPUTED_VALUE"""),"Dubai")</f>
        <v>Dubai</v>
      </c>
      <c r="B1402" s="2" t="str">
        <f ca="1">IFERROR(__xludf.DUMMYFUNCTION("""COMPUTED_VALUE"""),"Al Rais 7 Building")</f>
        <v>Al Rais 7 Building</v>
      </c>
      <c r="C1402" s="2" t="str">
        <f ca="1">IFERROR(__xludf.DUMMYFUNCTION("""COMPUTED_VALUE"""),"Building")</f>
        <v>Building</v>
      </c>
      <c r="D1402" s="2" t="str">
        <f ca="1">IFERROR(__xludf.DUMMYFUNCTION("""COMPUTED_VALUE"""),"Dubai&gt;Bur Dubai&gt;Al Hamriya&gt;Al Rais 7 Building")</f>
        <v>Dubai&gt;Bur Dubai&gt;Al Hamriya&gt;Al Rais 7 Building</v>
      </c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</row>
    <row r="1403" spans="1:26" ht="16.5" x14ac:dyDescent="0.35">
      <c r="A1403" s="2" t="str">
        <f ca="1">IFERROR(__xludf.DUMMYFUNCTION("""COMPUTED_VALUE"""),"Dubai")</f>
        <v>Dubai</v>
      </c>
      <c r="B1403" s="2" t="str">
        <f ca="1">IFERROR(__xludf.DUMMYFUNCTION("""COMPUTED_VALUE"""),"Oud Metha Tower")</f>
        <v>Oud Metha Tower</v>
      </c>
      <c r="C1403" s="2" t="str">
        <f ca="1">IFERROR(__xludf.DUMMYFUNCTION("""COMPUTED_VALUE"""),"Building")</f>
        <v>Building</v>
      </c>
      <c r="D1403" s="2" t="str">
        <f ca="1">IFERROR(__xludf.DUMMYFUNCTION("""COMPUTED_VALUE"""),"Dubai&gt;Bur Dubai&gt;Dubai Healthcare City&gt;Oud Metha Tower")</f>
        <v>Dubai&gt;Bur Dubai&gt;Dubai Healthcare City&gt;Oud Metha Tower</v>
      </c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</row>
    <row r="1404" spans="1:26" ht="16.5" x14ac:dyDescent="0.35">
      <c r="A1404" s="2" t="str">
        <f ca="1">IFERROR(__xludf.DUMMYFUNCTION("""COMPUTED_VALUE"""),"Dubai")</f>
        <v>Dubai</v>
      </c>
      <c r="B1404" s="2" t="str">
        <f ca="1">IFERROR(__xludf.DUMMYFUNCTION("""COMPUTED_VALUE"""),"Orange Lake")</f>
        <v>Orange Lake</v>
      </c>
      <c r="C1404" s="2" t="str">
        <f ca="1">IFERROR(__xludf.DUMMYFUNCTION("""COMPUTED_VALUE"""),"Neighbourhood")</f>
        <v>Neighbourhood</v>
      </c>
      <c r="D1404" s="2" t="str">
        <f ca="1">IFERROR(__xludf.DUMMYFUNCTION("""COMPUTED_VALUE"""),"Dubai&gt;Jumeirah Golf Estates&gt;Orange Lake")</f>
        <v>Dubai&gt;Jumeirah Golf Estates&gt;Orange Lake</v>
      </c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</row>
    <row r="1405" spans="1:26" ht="16.5" x14ac:dyDescent="0.35">
      <c r="A1405" s="2" t="str">
        <f ca="1">IFERROR(__xludf.DUMMYFUNCTION("""COMPUTED_VALUE"""),"Dubai")</f>
        <v>Dubai</v>
      </c>
      <c r="B1405" s="2" t="str">
        <f ca="1">IFERROR(__xludf.DUMMYFUNCTION("""COMPUTED_VALUE"""),"Sunrise Bay Tower 1")</f>
        <v>Sunrise Bay Tower 1</v>
      </c>
      <c r="C1405" s="2" t="str">
        <f ca="1">IFERROR(__xludf.DUMMYFUNCTION("""COMPUTED_VALUE"""),"Building")</f>
        <v>Building</v>
      </c>
      <c r="D1405" s="2" t="str">
        <f ca="1">IFERROR(__xludf.DUMMYFUNCTION("""COMPUTED_VALUE"""),"Dubai&gt;Dubai Harbour&gt;Emaar Beachfront&gt;Sunrise Bay&gt;Sunrise Bay Tower 1")</f>
        <v>Dubai&gt;Dubai Harbour&gt;Emaar Beachfront&gt;Sunrise Bay&gt;Sunrise Bay Tower 1</v>
      </c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</row>
    <row r="1406" spans="1:26" ht="16.5" x14ac:dyDescent="0.35">
      <c r="A1406" s="2" t="str">
        <f ca="1">IFERROR(__xludf.DUMMYFUNCTION("""COMPUTED_VALUE"""),"Dubai")</f>
        <v>Dubai</v>
      </c>
      <c r="B1406" s="2" t="str">
        <f ca="1">IFERROR(__xludf.DUMMYFUNCTION("""COMPUTED_VALUE"""),"Albizia")</f>
        <v>Albizia</v>
      </c>
      <c r="C1406" s="2" t="str">
        <f ca="1">IFERROR(__xludf.DUMMYFUNCTION("""COMPUTED_VALUE"""),"Neighbourhood")</f>
        <v>Neighbourhood</v>
      </c>
      <c r="D1406" s="2" t="str">
        <f ca="1">IFERROR(__xludf.DUMMYFUNCTION("""COMPUTED_VALUE"""),"Dubai&gt;DAMAC Hills 2 (Akoya by DAMAC)&gt;Albizia")</f>
        <v>Dubai&gt;DAMAC Hills 2 (Akoya by DAMAC)&gt;Albizia</v>
      </c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</row>
    <row r="1407" spans="1:26" ht="16.5" x14ac:dyDescent="0.35">
      <c r="A1407" s="2" t="str">
        <f ca="1">IFERROR(__xludf.DUMMYFUNCTION("""COMPUTED_VALUE"""),"Dubai")</f>
        <v>Dubai</v>
      </c>
      <c r="B1407" s="2" t="str">
        <f ca="1">IFERROR(__xludf.DUMMYFUNCTION("""COMPUTED_VALUE"""),"Zinnia")</f>
        <v>Zinnia</v>
      </c>
      <c r="C1407" s="2" t="str">
        <f ca="1">IFERROR(__xludf.DUMMYFUNCTION("""COMPUTED_VALUE"""),"Neighbourhood")</f>
        <v>Neighbourhood</v>
      </c>
      <c r="D1407" s="2" t="str">
        <f ca="1">IFERROR(__xludf.DUMMYFUNCTION("""COMPUTED_VALUE"""),"Dubai&gt;DAMAC Hills 2 (Akoya by DAMAC)&gt;Zinnia")</f>
        <v>Dubai&gt;DAMAC Hills 2 (Akoya by DAMAC)&gt;Zinnia</v>
      </c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</row>
    <row r="1408" spans="1:26" ht="16.5" x14ac:dyDescent="0.35">
      <c r="A1408" s="2" t="str">
        <f ca="1">IFERROR(__xludf.DUMMYFUNCTION("""COMPUTED_VALUE"""),"Dubai")</f>
        <v>Dubai</v>
      </c>
      <c r="B1408" s="2" t="str">
        <f ca="1">IFERROR(__xludf.DUMMYFUNCTION("""COMPUTED_VALUE"""),"I-12")</f>
        <v>I-12</v>
      </c>
      <c r="C1408" s="2" t="str">
        <f ca="1">IFERROR(__xludf.DUMMYFUNCTION("""COMPUTED_VALUE"""),"Building")</f>
        <v>Building</v>
      </c>
      <c r="D1408" s="2" t="str">
        <f ca="1">IFERROR(__xludf.DUMMYFUNCTION("""COMPUTED_VALUE"""),"Dubai&gt;International City&gt;Morocco Cluster&gt;I-12")</f>
        <v>Dubai&gt;International City&gt;Morocco Cluster&gt;I-12</v>
      </c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</row>
    <row r="1409" spans="1:26" ht="16.5" x14ac:dyDescent="0.35">
      <c r="A1409" s="2" t="str">
        <f ca="1">IFERROR(__xludf.DUMMYFUNCTION("""COMPUTED_VALUE"""),"Dubai")</f>
        <v>Dubai</v>
      </c>
      <c r="B1409" s="2" t="str">
        <f ca="1">IFERROR(__xludf.DUMMYFUNCTION("""COMPUTED_VALUE"""),"Souk Warsan Block C")</f>
        <v>Souk Warsan Block C</v>
      </c>
      <c r="C1409" s="2" t="str">
        <f ca="1">IFERROR(__xludf.DUMMYFUNCTION("""COMPUTED_VALUE"""),"Building")</f>
        <v>Building</v>
      </c>
      <c r="D1409" s="2" t="str">
        <f ca="1">IFERROR(__xludf.DUMMYFUNCTION("""COMPUTED_VALUE"""),"Dubai&gt;International City&gt;Warsan Village&gt;Souk Warsan&gt;Souk Warsan Block C")</f>
        <v>Dubai&gt;International City&gt;Warsan Village&gt;Souk Warsan&gt;Souk Warsan Block C</v>
      </c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</row>
    <row r="1410" spans="1:26" ht="16.5" x14ac:dyDescent="0.35">
      <c r="A1410" s="2" t="str">
        <f ca="1">IFERROR(__xludf.DUMMYFUNCTION("""COMPUTED_VALUE"""),"Dubai")</f>
        <v>Dubai</v>
      </c>
      <c r="B1410" s="2" t="str">
        <f ca="1">IFERROR(__xludf.DUMMYFUNCTION("""COMPUTED_VALUE"""),"A-11")</f>
        <v>A-11</v>
      </c>
      <c r="C1410" s="2" t="str">
        <f ca="1">IFERROR(__xludf.DUMMYFUNCTION("""COMPUTED_VALUE"""),"Building")</f>
        <v>Building</v>
      </c>
      <c r="D1410" s="2" t="str">
        <f ca="1">IFERROR(__xludf.DUMMYFUNCTION("""COMPUTED_VALUE"""),"Dubai&gt;International City&gt;China Cluster&gt;A-11")</f>
        <v>Dubai&gt;International City&gt;China Cluster&gt;A-11</v>
      </c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</row>
    <row r="1411" spans="1:26" ht="16.5" x14ac:dyDescent="0.35">
      <c r="A1411" s="2" t="str">
        <f ca="1">IFERROR(__xludf.DUMMYFUNCTION("""COMPUTED_VALUE"""),"Dubai")</f>
        <v>Dubai</v>
      </c>
      <c r="B1411" s="2" t="str">
        <f ca="1">IFERROR(__xludf.DUMMYFUNCTION("""COMPUTED_VALUE"""),"D-02")</f>
        <v>D-02</v>
      </c>
      <c r="C1411" s="2" t="str">
        <f ca="1">IFERROR(__xludf.DUMMYFUNCTION("""COMPUTED_VALUE"""),"Building")</f>
        <v>Building</v>
      </c>
      <c r="D1411" s="2" t="str">
        <f ca="1">IFERROR(__xludf.DUMMYFUNCTION("""COMPUTED_VALUE"""),"Dubai&gt;International City&gt;China Cluster&gt;D-02")</f>
        <v>Dubai&gt;International City&gt;China Cluster&gt;D-02</v>
      </c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</row>
    <row r="1412" spans="1:26" ht="16.5" x14ac:dyDescent="0.35">
      <c r="A1412" s="2" t="str">
        <f ca="1">IFERROR(__xludf.DUMMYFUNCTION("""COMPUTED_VALUE"""),"Dubai")</f>
        <v>Dubai</v>
      </c>
      <c r="B1412" s="2" t="str">
        <f ca="1">IFERROR(__xludf.DUMMYFUNCTION("""COMPUTED_VALUE"""),"Olivz by Danube")</f>
        <v>Olivz by Danube</v>
      </c>
      <c r="C1412" s="2" t="str">
        <f ca="1">IFERROR(__xludf.DUMMYFUNCTION("""COMPUTED_VALUE"""),"Cluster")</f>
        <v>Cluster</v>
      </c>
      <c r="D1412" s="2" t="str">
        <f ca="1">IFERROR(__xludf.DUMMYFUNCTION("""COMPUTED_VALUE"""),"Dubai&gt;International City&gt;Olivz by Danube")</f>
        <v>Dubai&gt;International City&gt;Olivz by Danube</v>
      </c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</row>
    <row r="1413" spans="1:26" ht="16.5" x14ac:dyDescent="0.35">
      <c r="A1413" s="2" t="str">
        <f ca="1">IFERROR(__xludf.DUMMYFUNCTION("""COMPUTED_VALUE"""),"Dubai")</f>
        <v>Dubai</v>
      </c>
      <c r="B1413" s="2" t="str">
        <f ca="1">IFERROR(__xludf.DUMMYFUNCTION("""COMPUTED_VALUE"""),"T-06")</f>
        <v>T-06</v>
      </c>
      <c r="C1413" s="2" t="str">
        <f ca="1">IFERROR(__xludf.DUMMYFUNCTION("""COMPUTED_VALUE"""),"Building")</f>
        <v>Building</v>
      </c>
      <c r="D1413" s="2" t="str">
        <f ca="1">IFERROR(__xludf.DUMMYFUNCTION("""COMPUTED_VALUE"""),"Dubai&gt;International City&gt;Spain Cluster&gt;T-06")</f>
        <v>Dubai&gt;International City&gt;Spain Cluster&gt;T-06</v>
      </c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</row>
    <row r="1414" spans="1:26" ht="16.5" x14ac:dyDescent="0.35">
      <c r="A1414" s="2" t="str">
        <f ca="1">IFERROR(__xludf.DUMMYFUNCTION("""COMPUTED_VALUE"""),"Dubai")</f>
        <v>Dubai</v>
      </c>
      <c r="B1414" s="2" t="str">
        <f ca="1">IFERROR(__xludf.DUMMYFUNCTION("""COMPUTED_VALUE"""),"U-21")</f>
        <v>U-21</v>
      </c>
      <c r="C1414" s="2" t="str">
        <f ca="1">IFERROR(__xludf.DUMMYFUNCTION("""COMPUTED_VALUE"""),"Building")</f>
        <v>Building</v>
      </c>
      <c r="D1414" s="2" t="str">
        <f ca="1">IFERROR(__xludf.DUMMYFUNCTION("""COMPUTED_VALUE"""),"Dubai&gt;International City&gt;Italy Cluster&gt;U-21")</f>
        <v>Dubai&gt;International City&gt;Italy Cluster&gt;U-21</v>
      </c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</row>
    <row r="1415" spans="1:26" ht="16.5" x14ac:dyDescent="0.35">
      <c r="A1415" s="2" t="str">
        <f ca="1">IFERROR(__xludf.DUMMYFUNCTION("""COMPUTED_VALUE"""),"Dubai")</f>
        <v>Dubai</v>
      </c>
      <c r="B1415" s="2" t="str">
        <f ca="1">IFERROR(__xludf.DUMMYFUNCTION("""COMPUTED_VALUE"""),"W-03")</f>
        <v>W-03</v>
      </c>
      <c r="C1415" s="2" t="str">
        <f ca="1">IFERROR(__xludf.DUMMYFUNCTION("""COMPUTED_VALUE"""),"Building")</f>
        <v>Building</v>
      </c>
      <c r="D1415" s="2" t="str">
        <f ca="1">IFERROR(__xludf.DUMMYFUNCTION("""COMPUTED_VALUE"""),"Dubai&gt;International City&gt;Russia Cluster&gt;W-03")</f>
        <v>Dubai&gt;International City&gt;Russia Cluster&gt;W-03</v>
      </c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</row>
    <row r="1416" spans="1:26" ht="16.5" x14ac:dyDescent="0.35">
      <c r="A1416" s="2" t="str">
        <f ca="1">IFERROR(__xludf.DUMMYFUNCTION("""COMPUTED_VALUE"""),"Dubai")</f>
        <v>Dubai</v>
      </c>
      <c r="B1416" s="2" t="str">
        <f ca="1">IFERROR(__xludf.DUMMYFUNCTION("""COMPUTED_VALUE"""),"N-11")</f>
        <v>N-11</v>
      </c>
      <c r="C1416" s="2" t="str">
        <f ca="1">IFERROR(__xludf.DUMMYFUNCTION("""COMPUTED_VALUE"""),"Building")</f>
        <v>Building</v>
      </c>
      <c r="D1416" s="2" t="str">
        <f ca="1">IFERROR(__xludf.DUMMYFUNCTION("""COMPUTED_VALUE"""),"Dubai&gt;International City&gt;Persia Cluster&gt;N-11")</f>
        <v>Dubai&gt;International City&gt;Persia Cluster&gt;N-11</v>
      </c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</row>
    <row r="1417" spans="1:26" ht="16.5" x14ac:dyDescent="0.35">
      <c r="A1417" s="2" t="str">
        <f ca="1">IFERROR(__xludf.DUMMYFUNCTION("""COMPUTED_VALUE"""),"Dubai")</f>
        <v>Dubai</v>
      </c>
      <c r="B1417" s="2" t="str">
        <f ca="1">IFERROR(__xludf.DUMMYFUNCTION("""COMPUTED_VALUE"""),"EMR-05")</f>
        <v>EMR-05</v>
      </c>
      <c r="C1417" s="2" t="str">
        <f ca="1">IFERROR(__xludf.DUMMYFUNCTION("""COMPUTED_VALUE"""),"Building")</f>
        <v>Building</v>
      </c>
      <c r="D1417" s="2" t="str">
        <f ca="1">IFERROR(__xludf.DUMMYFUNCTION("""COMPUTED_VALUE"""),"Dubai&gt;International City&gt;Emirates Cluster&gt;EMR-05")</f>
        <v>Dubai&gt;International City&gt;Emirates Cluster&gt;EMR-05</v>
      </c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</row>
    <row r="1418" spans="1:26" ht="16.5" x14ac:dyDescent="0.35">
      <c r="A1418" s="2" t="str">
        <f ca="1">IFERROR(__xludf.DUMMYFUNCTION("""COMPUTED_VALUE"""),"Dubai")</f>
        <v>Dubai</v>
      </c>
      <c r="B1418" s="2" t="str">
        <f ca="1">IFERROR(__xludf.DUMMYFUNCTION("""COMPUTED_VALUE"""),"X-25")</f>
        <v>X-25</v>
      </c>
      <c r="C1418" s="2" t="str">
        <f ca="1">IFERROR(__xludf.DUMMYFUNCTION("""COMPUTED_VALUE"""),"Building")</f>
        <v>Building</v>
      </c>
      <c r="D1418" s="2" t="str">
        <f ca="1">IFERROR(__xludf.DUMMYFUNCTION("""COMPUTED_VALUE"""),"Dubai&gt;International City&gt;England Cluster&gt;X-25")</f>
        <v>Dubai&gt;International City&gt;England Cluster&gt;X-25</v>
      </c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</row>
    <row r="1419" spans="1:26" ht="16.5" x14ac:dyDescent="0.35">
      <c r="A1419" s="2" t="str">
        <f ca="1">IFERROR(__xludf.DUMMYFUNCTION("""COMPUTED_VALUE"""),"Dubai")</f>
        <v>Dubai</v>
      </c>
      <c r="B1419" s="2" t="str">
        <f ca="1">IFERROR(__xludf.DUMMYFUNCTION("""COMPUTED_VALUE"""),"Z-05")</f>
        <v>Z-05</v>
      </c>
      <c r="C1419" s="2" t="str">
        <f ca="1">IFERROR(__xludf.DUMMYFUNCTION("""COMPUTED_VALUE"""),"Building")</f>
        <v>Building</v>
      </c>
      <c r="D1419" s="2" t="str">
        <f ca="1">IFERROR(__xludf.DUMMYFUNCTION("""COMPUTED_VALUE"""),"Dubai&gt;International City&gt;England Cluster&gt;Z-05")</f>
        <v>Dubai&gt;International City&gt;England Cluster&gt;Z-05</v>
      </c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</row>
    <row r="1420" spans="1:26" ht="16.5" x14ac:dyDescent="0.35">
      <c r="A1420" s="2" t="str">
        <f ca="1">IFERROR(__xludf.DUMMYFUNCTION("""COMPUTED_VALUE"""),"Dubai")</f>
        <v>Dubai</v>
      </c>
      <c r="B1420" s="2" t="str">
        <f ca="1">IFERROR(__xludf.DUMMYFUNCTION("""COMPUTED_VALUE"""),"SunCity Homes")</f>
        <v>SunCity Homes</v>
      </c>
      <c r="C1420" s="2" t="str">
        <f ca="1">IFERROR(__xludf.DUMMYFUNCTION("""COMPUTED_VALUE"""),"Building")</f>
        <v>Building</v>
      </c>
      <c r="D1420" s="2" t="str">
        <f ca="1">IFERROR(__xludf.DUMMYFUNCTION("""COMPUTED_VALUE"""),"Dubai&gt;International City&gt;International City Phase 2 (Warsan 4)&gt;SunCity Homes")</f>
        <v>Dubai&gt;International City&gt;International City Phase 2 (Warsan 4)&gt;SunCity Homes</v>
      </c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</row>
    <row r="1421" spans="1:26" ht="16.5" x14ac:dyDescent="0.35">
      <c r="A1421" s="2" t="str">
        <f ca="1">IFERROR(__xludf.DUMMYFUNCTION("""COMPUTED_VALUE"""),"Dubai")</f>
        <v>Dubai</v>
      </c>
      <c r="B1421" s="2" t="str">
        <f ca="1">IFERROR(__xludf.DUMMYFUNCTION("""COMPUTED_VALUE"""),"Rawabi Residence")</f>
        <v>Rawabi Residence</v>
      </c>
      <c r="C1421" s="2" t="str">
        <f ca="1">IFERROR(__xludf.DUMMYFUNCTION("""COMPUTED_VALUE"""),"Building")</f>
        <v>Building</v>
      </c>
      <c r="D1421" s="2" t="str">
        <f ca="1">IFERROR(__xludf.DUMMYFUNCTION("""COMPUTED_VALUE"""),"Dubai&gt;International City&gt;International City Phase 2 (Warsan 4)&gt;Rawabi Residence")</f>
        <v>Dubai&gt;International City&gt;International City Phase 2 (Warsan 4)&gt;Rawabi Residence</v>
      </c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</row>
    <row r="1422" spans="1:26" ht="16.5" x14ac:dyDescent="0.35">
      <c r="A1422" s="2" t="str">
        <f ca="1">IFERROR(__xludf.DUMMYFUNCTION("""COMPUTED_VALUE"""),"Dubai")</f>
        <v>Dubai</v>
      </c>
      <c r="B1422" s="2" t="str">
        <f ca="1">IFERROR(__xludf.DUMMYFUNCTION("""COMPUTED_VALUE"""),"Masar Building")</f>
        <v>Masar Building</v>
      </c>
      <c r="C1422" s="2" t="str">
        <f ca="1">IFERROR(__xludf.DUMMYFUNCTION("""COMPUTED_VALUE"""),"Building")</f>
        <v>Building</v>
      </c>
      <c r="D1422" s="2" t="str">
        <f ca="1">IFERROR(__xludf.DUMMYFUNCTION("""COMPUTED_VALUE"""),"Dubai&gt;International City&gt;International City Phase 2 (Warsan 4)&gt;Masar Building")</f>
        <v>Dubai&gt;International City&gt;International City Phase 2 (Warsan 4)&gt;Masar Building</v>
      </c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</row>
    <row r="1423" spans="1:26" ht="16.5" x14ac:dyDescent="0.35">
      <c r="A1423" s="2" t="str">
        <f ca="1">IFERROR(__xludf.DUMMYFUNCTION("""COMPUTED_VALUE"""),"Dubai")</f>
        <v>Dubai</v>
      </c>
      <c r="B1423" s="2" t="str">
        <f ca="1">IFERROR(__xludf.DUMMYFUNCTION("""COMPUTED_VALUE"""),"Equiti Tower")</f>
        <v>Equiti Tower</v>
      </c>
      <c r="C1423" s="2" t="str">
        <f ca="1">IFERROR(__xludf.DUMMYFUNCTION("""COMPUTED_VALUE"""),"Building")</f>
        <v>Building</v>
      </c>
      <c r="D1423" s="2" t="str">
        <f ca="1">IFERROR(__xludf.DUMMYFUNCTION("""COMPUTED_VALUE"""),"Dubai&gt;International City&gt;International City Phase 2 (Warsan 4)&gt;Equiti Tower")</f>
        <v>Dubai&gt;International City&gt;International City Phase 2 (Warsan 4)&gt;Equiti Tower</v>
      </c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</row>
    <row r="1424" spans="1:26" ht="16.5" x14ac:dyDescent="0.35">
      <c r="A1424" s="2" t="str">
        <f ca="1">IFERROR(__xludf.DUMMYFUNCTION("""COMPUTED_VALUE"""),"Dubai")</f>
        <v>Dubai</v>
      </c>
      <c r="B1424" s="2" t="str">
        <f ca="1">IFERROR(__xludf.DUMMYFUNCTION("""COMPUTED_VALUE"""),"L-09")</f>
        <v>L-09</v>
      </c>
      <c r="C1424" s="2" t="str">
        <f ca="1">IFERROR(__xludf.DUMMYFUNCTION("""COMPUTED_VALUE"""),"Building")</f>
        <v>Building</v>
      </c>
      <c r="D1424" s="2" t="str">
        <f ca="1">IFERROR(__xludf.DUMMYFUNCTION("""COMPUTED_VALUE"""),"Dubai&gt;International City&gt;Greece Cluster&gt;L-09")</f>
        <v>Dubai&gt;International City&gt;Greece Cluster&gt;L-09</v>
      </c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</row>
    <row r="1425" spans="1:26" ht="16.5" x14ac:dyDescent="0.35">
      <c r="A1425" s="2" t="str">
        <f ca="1">IFERROR(__xludf.DUMMYFUNCTION("""COMPUTED_VALUE"""),"Dubai")</f>
        <v>Dubai</v>
      </c>
      <c r="B1425" s="2" t="str">
        <f ca="1">IFERROR(__xludf.DUMMYFUNCTION("""COMPUTED_VALUE"""),"P-05")</f>
        <v>P-05</v>
      </c>
      <c r="C1425" s="2" t="str">
        <f ca="1">IFERROR(__xludf.DUMMYFUNCTION("""COMPUTED_VALUE"""),"Building")</f>
        <v>Building</v>
      </c>
      <c r="D1425" s="2" t="str">
        <f ca="1">IFERROR(__xludf.DUMMYFUNCTION("""COMPUTED_VALUE"""),"Dubai&gt;International City&gt;France Cluster&gt;P-05")</f>
        <v>Dubai&gt;International City&gt;France Cluster&gt;P-05</v>
      </c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</row>
    <row r="1426" spans="1:26" ht="16.5" x14ac:dyDescent="0.35">
      <c r="A1426" s="2" t="str">
        <f ca="1">IFERROR(__xludf.DUMMYFUNCTION("""COMPUTED_VALUE"""),"Dubai")</f>
        <v>Dubai</v>
      </c>
      <c r="B1426" s="2" t="str">
        <f ca="1">IFERROR(__xludf.DUMMYFUNCTION("""COMPUTED_VALUE"""),"R-09")</f>
        <v>R-09</v>
      </c>
      <c r="C1426" s="2" t="str">
        <f ca="1">IFERROR(__xludf.DUMMYFUNCTION("""COMPUTED_VALUE"""),"Building")</f>
        <v>Building</v>
      </c>
      <c r="D1426" s="2" t="str">
        <f ca="1">IFERROR(__xludf.DUMMYFUNCTION("""COMPUTED_VALUE"""),"Dubai&gt;International City&gt;France Cluster&gt;R-09")</f>
        <v>Dubai&gt;International City&gt;France Cluster&gt;R-09</v>
      </c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</row>
    <row r="1427" spans="1:26" ht="16.5" x14ac:dyDescent="0.35">
      <c r="A1427" s="2" t="str">
        <f ca="1">IFERROR(__xludf.DUMMYFUNCTION("""COMPUTED_VALUE"""),"Dubai")</f>
        <v>Dubai</v>
      </c>
      <c r="B1427" s="2" t="str">
        <f ca="1">IFERROR(__xludf.DUMMYFUNCTION("""COMPUTED_VALUE"""),"Lady Ratan Manor")</f>
        <v>Lady Ratan Manor</v>
      </c>
      <c r="C1427" s="2" t="str">
        <f ca="1">IFERROR(__xludf.DUMMYFUNCTION("""COMPUTED_VALUE"""),"Building")</f>
        <v>Building</v>
      </c>
      <c r="D1427" s="2" t="str">
        <f ca="1">IFERROR(__xludf.DUMMYFUNCTION("""COMPUTED_VALUE"""),"Dubai&gt;International City&gt;Central Business District&gt;Lady Ratan Manor")</f>
        <v>Dubai&gt;International City&gt;Central Business District&gt;Lady Ratan Manor</v>
      </c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</row>
    <row r="1428" spans="1:26" ht="16.5" x14ac:dyDescent="0.35">
      <c r="A1428" s="2" t="str">
        <f ca="1">IFERROR(__xludf.DUMMYFUNCTION("""COMPUTED_VALUE"""),"Dubai")</f>
        <v>Dubai</v>
      </c>
      <c r="B1428" s="2" t="str">
        <f ca="1">IFERROR(__xludf.DUMMYFUNCTION("""COMPUTED_VALUE"""),"CBD-E02")</f>
        <v>CBD-E02</v>
      </c>
      <c r="C1428" s="2" t="str">
        <f ca="1">IFERROR(__xludf.DUMMYFUNCTION("""COMPUTED_VALUE"""),"Building")</f>
        <v>Building</v>
      </c>
      <c r="D1428" s="2" t="str">
        <f ca="1">IFERROR(__xludf.DUMMYFUNCTION("""COMPUTED_VALUE"""),"Dubai&gt;International City&gt;Central Business District&gt;CBD-E02")</f>
        <v>Dubai&gt;International City&gt;Central Business District&gt;CBD-E02</v>
      </c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</row>
    <row r="1429" spans="1:26" ht="16.5" x14ac:dyDescent="0.35">
      <c r="A1429" s="2" t="str">
        <f ca="1">IFERROR(__xludf.DUMMYFUNCTION("""COMPUTED_VALUE"""),"Dubai")</f>
        <v>Dubai</v>
      </c>
      <c r="B1429" s="2" t="str">
        <f ca="1">IFERROR(__xludf.DUMMYFUNCTION("""COMPUTED_VALUE"""),"ARY Marina View")</f>
        <v>ARY Marina View</v>
      </c>
      <c r="C1429" s="2" t="str">
        <f ca="1">IFERROR(__xludf.DUMMYFUNCTION("""COMPUTED_VALUE"""),"Building")</f>
        <v>Building</v>
      </c>
      <c r="D1429" s="2" t="str">
        <f ca="1">IFERROR(__xludf.DUMMYFUNCTION("""COMPUTED_VALUE"""),"Dubai&gt;Dubai Marina&gt;ARY Marina View")</f>
        <v>Dubai&gt;Dubai Marina&gt;ARY Marina View</v>
      </c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</row>
    <row r="1430" spans="1:26" ht="16.5" x14ac:dyDescent="0.35">
      <c r="A1430" s="2" t="str">
        <f ca="1">IFERROR(__xludf.DUMMYFUNCTION("""COMPUTED_VALUE"""),"Dubai")</f>
        <v>Dubai</v>
      </c>
      <c r="B1430" s="2" t="str">
        <f ca="1">IFERROR(__xludf.DUMMYFUNCTION("""COMPUTED_VALUE"""),"Barcelo Residences")</f>
        <v>Barcelo Residences</v>
      </c>
      <c r="C1430" s="2" t="str">
        <f ca="1">IFERROR(__xludf.DUMMYFUNCTION("""COMPUTED_VALUE"""),"Building")</f>
        <v>Building</v>
      </c>
      <c r="D1430" s="2" t="str">
        <f ca="1">IFERROR(__xludf.DUMMYFUNCTION("""COMPUTED_VALUE"""),"Dubai&gt;Dubai Marina&gt;Barcelo Residences")</f>
        <v>Dubai&gt;Dubai Marina&gt;Barcelo Residences</v>
      </c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</row>
    <row r="1431" spans="1:26" ht="16.5" x14ac:dyDescent="0.35">
      <c r="A1431" s="2" t="str">
        <f ca="1">IFERROR(__xludf.DUMMYFUNCTION("""COMPUTED_VALUE"""),"Dubai")</f>
        <v>Dubai</v>
      </c>
      <c r="B1431" s="2" t="str">
        <f ca="1">IFERROR(__xludf.DUMMYFUNCTION("""COMPUTED_VALUE"""),"Millennium Place")</f>
        <v>Millennium Place</v>
      </c>
      <c r="C1431" s="2" t="str">
        <f ca="1">IFERROR(__xludf.DUMMYFUNCTION("""COMPUTED_VALUE"""),"Building")</f>
        <v>Building</v>
      </c>
      <c r="D1431" s="2" t="str">
        <f ca="1">IFERROR(__xludf.DUMMYFUNCTION("""COMPUTED_VALUE"""),"Dubai&gt;Dubai Marina&gt;Millennium Place")</f>
        <v>Dubai&gt;Dubai Marina&gt;Millennium Place</v>
      </c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</row>
    <row r="1432" spans="1:26" ht="16.5" x14ac:dyDescent="0.35">
      <c r="A1432" s="2" t="str">
        <f ca="1">IFERROR(__xludf.DUMMYFUNCTION("""COMPUTED_VALUE"""),"Dubai")</f>
        <v>Dubai</v>
      </c>
      <c r="B1432" s="2" t="str">
        <f ca="1">IFERROR(__xludf.DUMMYFUNCTION("""COMPUTED_VALUE"""),"Al Anbar Tower")</f>
        <v>Al Anbar Tower</v>
      </c>
      <c r="C1432" s="2" t="str">
        <f ca="1">IFERROR(__xludf.DUMMYFUNCTION("""COMPUTED_VALUE"""),"Building")</f>
        <v>Building</v>
      </c>
      <c r="D1432" s="2" t="str">
        <f ca="1">IFERROR(__xludf.DUMMYFUNCTION("""COMPUTED_VALUE"""),"Dubai&gt;Dubai Marina&gt;Dubai Marina Towers&gt;Al Anbar Tower")</f>
        <v>Dubai&gt;Dubai Marina&gt;Dubai Marina Towers&gt;Al Anbar Tower</v>
      </c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</row>
    <row r="1433" spans="1:26" ht="16.5" x14ac:dyDescent="0.35">
      <c r="A1433" s="2" t="str">
        <f ca="1">IFERROR(__xludf.DUMMYFUNCTION("""COMPUTED_VALUE"""),"Dubai")</f>
        <v>Dubai</v>
      </c>
      <c r="B1433" s="2" t="str">
        <f ca="1">IFERROR(__xludf.DUMMYFUNCTION("""COMPUTED_VALUE"""),"Marina Diamond 4")</f>
        <v>Marina Diamond 4</v>
      </c>
      <c r="C1433" s="2" t="str">
        <f ca="1">IFERROR(__xludf.DUMMYFUNCTION("""COMPUTED_VALUE"""),"Building")</f>
        <v>Building</v>
      </c>
      <c r="D1433" s="2" t="str">
        <f ca="1">IFERROR(__xludf.DUMMYFUNCTION("""COMPUTED_VALUE"""),"Dubai&gt;Dubai Marina&gt;Marina Diamonds&gt;Marina Diamond 4")</f>
        <v>Dubai&gt;Dubai Marina&gt;Marina Diamonds&gt;Marina Diamond 4</v>
      </c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</row>
    <row r="1434" spans="1:26" ht="16.5" x14ac:dyDescent="0.35">
      <c r="A1434" s="2" t="str">
        <f ca="1">IFERROR(__xludf.DUMMYFUNCTION("""COMPUTED_VALUE"""),"Dubai")</f>
        <v>Dubai</v>
      </c>
      <c r="B1434" s="2" t="str">
        <f ca="1">IFERROR(__xludf.DUMMYFUNCTION("""COMPUTED_VALUE"""),"Marina Tower")</f>
        <v>Marina Tower</v>
      </c>
      <c r="C1434" s="2" t="str">
        <f ca="1">IFERROR(__xludf.DUMMYFUNCTION("""COMPUTED_VALUE"""),"Building")</f>
        <v>Building</v>
      </c>
      <c r="D1434" s="2" t="str">
        <f ca="1">IFERROR(__xludf.DUMMYFUNCTION("""COMPUTED_VALUE"""),"Dubai&gt;Dubai Marina&gt;Marina Tower")</f>
        <v>Dubai&gt;Dubai Marina&gt;Marina Tower</v>
      </c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</row>
    <row r="1435" spans="1:26" ht="16.5" x14ac:dyDescent="0.35">
      <c r="A1435" s="2" t="str">
        <f ca="1">IFERROR(__xludf.DUMMYFUNCTION("""COMPUTED_VALUE"""),"Dubai")</f>
        <v>Dubai</v>
      </c>
      <c r="B1435" s="2" t="str">
        <f ca="1">IFERROR(__xludf.DUMMYFUNCTION("""COMPUTED_VALUE"""),"The Waves Tower A")</f>
        <v>The Waves Tower A</v>
      </c>
      <c r="C1435" s="2" t="str">
        <f ca="1">IFERROR(__xludf.DUMMYFUNCTION("""COMPUTED_VALUE"""),"Building")</f>
        <v>Building</v>
      </c>
      <c r="D1435" s="2" t="str">
        <f ca="1">IFERROR(__xludf.DUMMYFUNCTION("""COMPUTED_VALUE"""),"Dubai&gt;Dubai Marina&gt;The Waves&gt;The Waves Tower A")</f>
        <v>Dubai&gt;Dubai Marina&gt;The Waves&gt;The Waves Tower A</v>
      </c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</row>
    <row r="1436" spans="1:26" ht="16.5" x14ac:dyDescent="0.35">
      <c r="A1436" s="2" t="str">
        <f ca="1">IFERROR(__xludf.DUMMYFUNCTION("""COMPUTED_VALUE"""),"Dubai")</f>
        <v>Dubai</v>
      </c>
      <c r="B1436" s="2" t="str">
        <f ca="1">IFERROR(__xludf.DUMMYFUNCTION("""COMPUTED_VALUE"""),"Park Island")</f>
        <v>Park Island</v>
      </c>
      <c r="C1436" s="2" t="str">
        <f ca="1">IFERROR(__xludf.DUMMYFUNCTION("""COMPUTED_VALUE"""),"Cluster")</f>
        <v>Cluster</v>
      </c>
      <c r="D1436" s="2" t="str">
        <f ca="1">IFERROR(__xludf.DUMMYFUNCTION("""COMPUTED_VALUE"""),"Dubai&gt;Dubai Marina&gt;Park Island")</f>
        <v>Dubai&gt;Dubai Marina&gt;Park Island</v>
      </c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</row>
    <row r="1437" spans="1:26" ht="16.5" x14ac:dyDescent="0.35">
      <c r="A1437" s="2" t="str">
        <f ca="1">IFERROR(__xludf.DUMMYFUNCTION("""COMPUTED_VALUE"""),"Dubai")</f>
        <v>Dubai</v>
      </c>
      <c r="B1437" s="2" t="str">
        <f ca="1">IFERROR(__xludf.DUMMYFUNCTION("""COMPUTED_VALUE"""),"Rawda Apartments 2")</f>
        <v>Rawda Apartments 2</v>
      </c>
      <c r="C1437" s="2" t="str">
        <f ca="1">IFERROR(__xludf.DUMMYFUNCTION("""COMPUTED_VALUE"""),"Building")</f>
        <v>Building</v>
      </c>
      <c r="D1437" s="2" t="str">
        <f ca="1">IFERROR(__xludf.DUMMYFUNCTION("""COMPUTED_VALUE"""),"Dubai&gt;Town Square&gt;Rawda Apartments&gt;Rawda Apartments 2")</f>
        <v>Dubai&gt;Town Square&gt;Rawda Apartments&gt;Rawda Apartments 2</v>
      </c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</row>
    <row r="1438" spans="1:26" ht="16.5" x14ac:dyDescent="0.35">
      <c r="A1438" s="2" t="str">
        <f ca="1">IFERROR(__xludf.DUMMYFUNCTION("""COMPUTED_VALUE"""),"Dubai")</f>
        <v>Dubai</v>
      </c>
      <c r="B1438" s="2" t="str">
        <f ca="1">IFERROR(__xludf.DUMMYFUNCTION("""COMPUTED_VALUE"""),"Symphony on the Park")</f>
        <v>Symphony on the Park</v>
      </c>
      <c r="C1438" s="2" t="str">
        <f ca="1">IFERROR(__xludf.DUMMYFUNCTION("""COMPUTED_VALUE"""),"Building")</f>
        <v>Building</v>
      </c>
      <c r="D1438" s="2" t="str">
        <f ca="1">IFERROR(__xludf.DUMMYFUNCTION("""COMPUTED_VALUE"""),"Dubai&gt;Town Square&gt;Symphony on the Park")</f>
        <v>Dubai&gt;Town Square&gt;Symphony on the Park</v>
      </c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</row>
    <row r="1439" spans="1:26" ht="16.5" x14ac:dyDescent="0.35">
      <c r="A1439" s="2" t="str">
        <f ca="1">IFERROR(__xludf.DUMMYFUNCTION("""COMPUTED_VALUE"""),"Dubai")</f>
        <v>Dubai</v>
      </c>
      <c r="B1439" s="2" t="str">
        <f ca="1">IFERROR(__xludf.DUMMYFUNCTION("""COMPUTED_VALUE"""),"Mira Oasis 2")</f>
        <v>Mira Oasis 2</v>
      </c>
      <c r="C1439" s="2" t="str">
        <f ca="1">IFERROR(__xludf.DUMMYFUNCTION("""COMPUTED_VALUE"""),"Neighbourhood")</f>
        <v>Neighbourhood</v>
      </c>
      <c r="D1439" s="2" t="str">
        <f ca="1">IFERROR(__xludf.DUMMYFUNCTION("""COMPUTED_VALUE"""),"Dubai&gt;Reem&gt;Mira Oasis&gt;Mira Oasis 2")</f>
        <v>Dubai&gt;Reem&gt;Mira Oasis&gt;Mira Oasis 2</v>
      </c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</row>
    <row r="1440" spans="1:26" ht="16.5" x14ac:dyDescent="0.35">
      <c r="A1440" s="2" t="str">
        <f ca="1">IFERROR(__xludf.DUMMYFUNCTION("""COMPUTED_VALUE"""),"Dubai")</f>
        <v>Dubai</v>
      </c>
      <c r="B1440" s="2" t="str">
        <f ca="1">IFERROR(__xludf.DUMMYFUNCTION("""COMPUTED_VALUE"""),"The Estate Residence")</f>
        <v>The Estate Residence</v>
      </c>
      <c r="C1440" s="2" t="str">
        <f ca="1">IFERROR(__xludf.DUMMYFUNCTION("""COMPUTED_VALUE"""),"Neighbourhood")</f>
        <v>Neighbourhood</v>
      </c>
      <c r="D1440" s="2" t="str">
        <f ca="1">IFERROR(__xludf.DUMMYFUNCTION("""COMPUTED_VALUE"""),"Dubai&gt;Al Furjan&gt;Al Furjan West&gt;The Estate Residence")</f>
        <v>Dubai&gt;Al Furjan&gt;Al Furjan West&gt;The Estate Residence</v>
      </c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</row>
    <row r="1441" spans="1:26" ht="16.5" x14ac:dyDescent="0.35">
      <c r="A1441" s="2" t="str">
        <f ca="1">IFERROR(__xludf.DUMMYFUNCTION("""COMPUTED_VALUE"""),"Dubai")</f>
        <v>Dubai</v>
      </c>
      <c r="B1441" s="2" t="str">
        <f ca="1">IFERROR(__xludf.DUMMYFUNCTION("""COMPUTED_VALUE"""),"Avenue Residence")</f>
        <v>Avenue Residence</v>
      </c>
      <c r="C1441" s="2" t="str">
        <f ca="1">IFERROR(__xludf.DUMMYFUNCTION("""COMPUTED_VALUE"""),"Cluster")</f>
        <v>Cluster</v>
      </c>
      <c r="D1441" s="2" t="str">
        <f ca="1">IFERROR(__xludf.DUMMYFUNCTION("""COMPUTED_VALUE"""),"Dubai&gt;Al Furjan&gt;Avenue Residence")</f>
        <v>Dubai&gt;Al Furjan&gt;Avenue Residence</v>
      </c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</row>
    <row r="1442" spans="1:26" ht="16.5" x14ac:dyDescent="0.35">
      <c r="A1442" s="2" t="str">
        <f ca="1">IFERROR(__xludf.DUMMYFUNCTION("""COMPUTED_VALUE"""),"Dubai")</f>
        <v>Dubai</v>
      </c>
      <c r="B1442" s="2" t="str">
        <f ca="1">IFERROR(__xludf.DUMMYFUNCTION("""COMPUTED_VALUE"""),"Rose Residence")</f>
        <v>Rose Residence</v>
      </c>
      <c r="C1442" s="2" t="str">
        <f ca="1">IFERROR(__xludf.DUMMYFUNCTION("""COMPUTED_VALUE"""),"Building")</f>
        <v>Building</v>
      </c>
      <c r="D1442" s="2" t="str">
        <f ca="1">IFERROR(__xludf.DUMMYFUNCTION("""COMPUTED_VALUE"""),"Dubai&gt;Al Furjan&gt;Rose Residence")</f>
        <v>Dubai&gt;Al Furjan&gt;Rose Residence</v>
      </c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</row>
    <row r="1443" spans="1:26" ht="16.5" x14ac:dyDescent="0.35">
      <c r="A1443" s="2" t="str">
        <f ca="1">IFERROR(__xludf.DUMMYFUNCTION("""COMPUTED_VALUE"""),"Dubai")</f>
        <v>Dubai</v>
      </c>
      <c r="B1443" s="2" t="str">
        <f ca="1">IFERROR(__xludf.DUMMYFUNCTION("""COMPUTED_VALUE"""),"East Townhouses by NED Al Ghurair")</f>
        <v>East Townhouses by NED Al Ghurair</v>
      </c>
      <c r="C1443" s="2" t="str">
        <f ca="1">IFERROR(__xludf.DUMMYFUNCTION("""COMPUTED_VALUE"""),"Neighbourhood")</f>
        <v>Neighbourhood</v>
      </c>
      <c r="D1443" s="2" t="str">
        <f ca="1">IFERROR(__xludf.DUMMYFUNCTION("""COMPUTED_VALUE"""),"Dubai&gt;Al Furjan&gt;East Townhouses by NED Al Ghurair")</f>
        <v>Dubai&gt;Al Furjan&gt;East Townhouses by NED Al Ghurair</v>
      </c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</row>
    <row r="1444" spans="1:26" ht="16.5" x14ac:dyDescent="0.35">
      <c r="A1444" s="2" t="str">
        <f ca="1">IFERROR(__xludf.DUMMYFUNCTION("""COMPUTED_VALUE"""),"Dubai")</f>
        <v>Dubai</v>
      </c>
      <c r="B1444" s="2" t="str">
        <f ca="1">IFERROR(__xludf.DUMMYFUNCTION("""COMPUTED_VALUE"""),"International Concept for Education")</f>
        <v>International Concept for Education</v>
      </c>
      <c r="C1444" s="2" t="str">
        <f ca="1">IFERROR(__xludf.DUMMYFUNCTION("""COMPUTED_VALUE"""),"School")</f>
        <v>School</v>
      </c>
      <c r="D1444" s="2" t="str">
        <f ca="1">IFERROR(__xludf.DUMMYFUNCTION("""COMPUTED_VALUE"""),"Dubai&gt;Meydan City&gt;International Concept for Education")</f>
        <v>Dubai&gt;Meydan City&gt;International Concept for Education</v>
      </c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</row>
    <row r="1445" spans="1:26" ht="16.5" x14ac:dyDescent="0.35">
      <c r="A1445" s="2" t="str">
        <f ca="1">IFERROR(__xludf.DUMMYFUNCTION("""COMPUTED_VALUE"""),"Dubai")</f>
        <v>Dubai</v>
      </c>
      <c r="B1445" s="2" t="str">
        <f ca="1">IFERROR(__xludf.DUMMYFUNCTION("""COMPUTED_VALUE"""),"Azizi Riviera 33")</f>
        <v>Azizi Riviera 33</v>
      </c>
      <c r="C1445" s="2" t="str">
        <f ca="1">IFERROR(__xludf.DUMMYFUNCTION("""COMPUTED_VALUE"""),"Building")</f>
        <v>Building</v>
      </c>
      <c r="D1445" s="2" t="str">
        <f ca="1">IFERROR(__xludf.DUMMYFUNCTION("""COMPUTED_VALUE"""),"Dubai&gt;Meydan City&gt;Meydan One&gt;Azizi Riviera&gt;Azizi Riviera 33")</f>
        <v>Dubai&gt;Meydan City&gt;Meydan One&gt;Azizi Riviera&gt;Azizi Riviera 33</v>
      </c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</row>
    <row r="1446" spans="1:26" ht="16.5" x14ac:dyDescent="0.35">
      <c r="A1446" s="2" t="str">
        <f ca="1">IFERROR(__xludf.DUMMYFUNCTION("""COMPUTED_VALUE"""),"Dubai")</f>
        <v>Dubai</v>
      </c>
      <c r="B1446" s="2" t="str">
        <f ca="1">IFERROR(__xludf.DUMMYFUNCTION("""COMPUTED_VALUE"""),"Azizi Riviera 30")</f>
        <v>Azizi Riviera 30</v>
      </c>
      <c r="C1446" s="2" t="str">
        <f ca="1">IFERROR(__xludf.DUMMYFUNCTION("""COMPUTED_VALUE"""),"Building")</f>
        <v>Building</v>
      </c>
      <c r="D1446" s="2" t="str">
        <f ca="1">IFERROR(__xludf.DUMMYFUNCTION("""COMPUTED_VALUE"""),"Dubai&gt;Meydan City&gt;Meydan One&gt;Azizi Riviera&gt;Azizi Riviera 30")</f>
        <v>Dubai&gt;Meydan City&gt;Meydan One&gt;Azizi Riviera&gt;Azizi Riviera 30</v>
      </c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</row>
    <row r="1447" spans="1:26" ht="16.5" x14ac:dyDescent="0.35">
      <c r="A1447" s="2" t="str">
        <f ca="1">IFERROR(__xludf.DUMMYFUNCTION("""COMPUTED_VALUE"""),"Dubai")</f>
        <v>Dubai</v>
      </c>
      <c r="B1447" s="2" t="str">
        <f ca="1">IFERROR(__xludf.DUMMYFUNCTION("""COMPUTED_VALUE"""),"Prime Views")</f>
        <v>Prime Views</v>
      </c>
      <c r="C1447" s="2" t="str">
        <f ca="1">IFERROR(__xludf.DUMMYFUNCTION("""COMPUTED_VALUE"""),"Building")</f>
        <v>Building</v>
      </c>
      <c r="D1447" s="2" t="str">
        <f ca="1">IFERROR(__xludf.DUMMYFUNCTION("""COMPUTED_VALUE"""),"Dubai&gt;Meydan City&gt;Meydan Avenue&gt;Prime Views")</f>
        <v>Dubai&gt;Meydan City&gt;Meydan Avenue&gt;Prime Views</v>
      </c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</row>
    <row r="1448" spans="1:26" ht="16.5" x14ac:dyDescent="0.35">
      <c r="A1448" s="2" t="str">
        <f ca="1">IFERROR(__xludf.DUMMYFUNCTION("""COMPUTED_VALUE"""),"Dubai")</f>
        <v>Dubai</v>
      </c>
      <c r="B1448" s="2" t="str">
        <f ca="1">IFERROR(__xludf.DUMMYFUNCTION("""COMPUTED_VALUE"""),"Polo Residence D1")</f>
        <v>Polo Residence D1</v>
      </c>
      <c r="C1448" s="2" t="str">
        <f ca="1">IFERROR(__xludf.DUMMYFUNCTION("""COMPUTED_VALUE"""),"Building")</f>
        <v>Building</v>
      </c>
      <c r="D1448" s="2" t="str">
        <f ca="1">IFERROR(__xludf.DUMMYFUNCTION("""COMPUTED_VALUE"""),"Dubai&gt;Meydan City&gt;Meydan Avenue&gt;Polo Residence&gt;Polo Residence D1")</f>
        <v>Dubai&gt;Meydan City&gt;Meydan Avenue&gt;Polo Residence&gt;Polo Residence D1</v>
      </c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</row>
    <row r="1449" spans="1:26" ht="16.5" x14ac:dyDescent="0.35">
      <c r="A1449" s="2" t="str">
        <f ca="1">IFERROR(__xludf.DUMMYFUNCTION("""COMPUTED_VALUE"""),"Dubai")</f>
        <v>Dubai</v>
      </c>
      <c r="B1449" s="2" t="str">
        <f ca="1">IFERROR(__xludf.DUMMYFUNCTION("""COMPUTED_VALUE"""),"S M Residence")</f>
        <v>S M Residence</v>
      </c>
      <c r="C1449" s="2" t="str">
        <f ca="1">IFERROR(__xludf.DUMMYFUNCTION("""COMPUTED_VALUE"""),"Building")</f>
        <v>Building</v>
      </c>
      <c r="D1449" s="2" t="str">
        <f ca="1">IFERROR(__xludf.DUMMYFUNCTION("""COMPUTED_VALUE"""),"Dubai&gt;Meydan City&gt;Meydan Avenue&gt;S M Residence")</f>
        <v>Dubai&gt;Meydan City&gt;Meydan Avenue&gt;S M Residence</v>
      </c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</row>
    <row r="1450" spans="1:26" ht="16.5" x14ac:dyDescent="0.35">
      <c r="A1450" s="2" t="str">
        <f ca="1">IFERROR(__xludf.DUMMYFUNCTION("""COMPUTED_VALUE"""),"Dubai")</f>
        <v>Dubai</v>
      </c>
      <c r="B1450" s="2" t="str">
        <f ca="1">IFERROR(__xludf.DUMMYFUNCTION("""COMPUTED_VALUE"""),"Al Samar")</f>
        <v>Al Samar</v>
      </c>
      <c r="C1450" s="2" t="str">
        <f ca="1">IFERROR(__xludf.DUMMYFUNCTION("""COMPUTED_VALUE"""),"Cluster")</f>
        <v>Cluster</v>
      </c>
      <c r="D1450" s="2" t="str">
        <f ca="1">IFERROR(__xludf.DUMMYFUNCTION("""COMPUTED_VALUE"""),"Dubai&gt;The Greens&gt;Al Samar")</f>
        <v>Dubai&gt;The Greens&gt;Al Samar</v>
      </c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</row>
    <row r="1451" spans="1:26" ht="16.5" x14ac:dyDescent="0.35">
      <c r="A1451" s="2" t="str">
        <f ca="1">IFERROR(__xludf.DUMMYFUNCTION("""COMPUTED_VALUE"""),"Dubai")</f>
        <v>Dubai</v>
      </c>
      <c r="B1451" s="2" t="str">
        <f ca="1">IFERROR(__xludf.DUMMYFUNCTION("""COMPUTED_VALUE"""),"Al Arta 3")</f>
        <v>Al Arta 3</v>
      </c>
      <c r="C1451" s="2" t="str">
        <f ca="1">IFERROR(__xludf.DUMMYFUNCTION("""COMPUTED_VALUE"""),"Building")</f>
        <v>Building</v>
      </c>
      <c r="D1451" s="2" t="str">
        <f ca="1">IFERROR(__xludf.DUMMYFUNCTION("""COMPUTED_VALUE"""),"Dubai&gt;The Greens&gt;Al Arta&gt;Al Arta 3")</f>
        <v>Dubai&gt;The Greens&gt;Al Arta&gt;Al Arta 3</v>
      </c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</row>
    <row r="1452" spans="1:26" ht="16.5" x14ac:dyDescent="0.35">
      <c r="A1452" s="2" t="str">
        <f ca="1">IFERROR(__xludf.DUMMYFUNCTION("""COMPUTED_VALUE"""),"Dubai")</f>
        <v>Dubai</v>
      </c>
      <c r="B1452" s="2" t="str">
        <f ca="1">IFERROR(__xludf.DUMMYFUNCTION("""COMPUTED_VALUE"""),"Noor 4")</f>
        <v>Noor 4</v>
      </c>
      <c r="C1452" s="2" t="str">
        <f ca="1">IFERROR(__xludf.DUMMYFUNCTION("""COMPUTED_VALUE"""),"Building")</f>
        <v>Building</v>
      </c>
      <c r="D1452" s="2" t="str">
        <f ca="1">IFERROR(__xludf.DUMMYFUNCTION("""COMPUTED_VALUE"""),"Dubai&gt;Dubai Production City (IMPZ)&gt;Midtown&gt;Noor District&gt;Noor 4")</f>
        <v>Dubai&gt;Dubai Production City (IMPZ)&gt;Midtown&gt;Noor District&gt;Noor 4</v>
      </c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</row>
    <row r="1453" spans="1:26" ht="16.5" x14ac:dyDescent="0.35">
      <c r="A1453" s="2" t="str">
        <f ca="1">IFERROR(__xludf.DUMMYFUNCTION("""COMPUTED_VALUE"""),"Dubai")</f>
        <v>Dubai</v>
      </c>
      <c r="B1453" s="2" t="str">
        <f ca="1">IFERROR(__xludf.DUMMYFUNCTION("""COMPUTED_VALUE"""),"Centrium Tower 2")</f>
        <v>Centrium Tower 2</v>
      </c>
      <c r="C1453" s="2" t="str">
        <f ca="1">IFERROR(__xludf.DUMMYFUNCTION("""COMPUTED_VALUE"""),"Building")</f>
        <v>Building</v>
      </c>
      <c r="D1453" s="2" t="str">
        <f ca="1">IFERROR(__xludf.DUMMYFUNCTION("""COMPUTED_VALUE"""),"Dubai&gt;Dubai Production City (IMPZ)&gt;Centrium Towers&gt;Centrium Tower 2")</f>
        <v>Dubai&gt;Dubai Production City (IMPZ)&gt;Centrium Towers&gt;Centrium Tower 2</v>
      </c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</row>
    <row r="1454" spans="1:26" ht="16.5" x14ac:dyDescent="0.35">
      <c r="A1454" s="2" t="str">
        <f ca="1">IFERROR(__xludf.DUMMYFUNCTION("""COMPUTED_VALUE"""),"Dubai")</f>
        <v>Dubai</v>
      </c>
      <c r="B1454" s="2" t="str">
        <f ca="1">IFERROR(__xludf.DUMMYFUNCTION("""COMPUTED_VALUE"""),"Al Shaiba Tower G25")</f>
        <v>Al Shaiba Tower G25</v>
      </c>
      <c r="C1454" s="2" t="str">
        <f ca="1">IFERROR(__xludf.DUMMYFUNCTION("""COMPUTED_VALUE"""),"Building")</f>
        <v>Building</v>
      </c>
      <c r="D1454" s="2" t="str">
        <f ca="1">IFERROR(__xludf.DUMMYFUNCTION("""COMPUTED_VALUE"""),"Dubai&gt;Dubai Production City (IMPZ)&gt;Al Shaiba Tower G25")</f>
        <v>Dubai&gt;Dubai Production City (IMPZ)&gt;Al Shaiba Tower G25</v>
      </c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</row>
    <row r="1455" spans="1:26" ht="16.5" x14ac:dyDescent="0.35">
      <c r="A1455" s="2" t="str">
        <f ca="1">IFERROR(__xludf.DUMMYFUNCTION("""COMPUTED_VALUE"""),"Dubai")</f>
        <v>Dubai</v>
      </c>
      <c r="B1455" s="2" t="str">
        <f ca="1">IFERROR(__xludf.DUMMYFUNCTION("""COMPUTED_VALUE"""),"Reef 996")</f>
        <v>Reef 996</v>
      </c>
      <c r="C1455" s="2" t="str">
        <f ca="1">IFERROR(__xludf.DUMMYFUNCTION("""COMPUTED_VALUE"""),"Building")</f>
        <v>Building</v>
      </c>
      <c r="D1455" s="2" t="str">
        <f ca="1">IFERROR(__xludf.DUMMYFUNCTION("""COMPUTED_VALUE"""),"Dubai&gt;Dubai Production City (IMPZ)&gt;Reef 996")</f>
        <v>Dubai&gt;Dubai Production City (IMPZ)&gt;Reef 996</v>
      </c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</row>
    <row r="1456" spans="1:26" ht="16.5" x14ac:dyDescent="0.35">
      <c r="A1456" s="2" t="str">
        <f ca="1">IFERROR(__xludf.DUMMYFUNCTION("""COMPUTED_VALUE"""),"Dubai")</f>
        <v>Dubai</v>
      </c>
      <c r="B1456" s="2" t="str">
        <f ca="1">IFERROR(__xludf.DUMMYFUNCTION("""COMPUTED_VALUE"""),"Harmony Point")</f>
        <v>Harmony Point</v>
      </c>
      <c r="C1456" s="2" t="str">
        <f ca="1">IFERROR(__xludf.DUMMYFUNCTION("""COMPUTED_VALUE"""),"Building")</f>
        <v>Building</v>
      </c>
      <c r="D1456" s="2" t="str">
        <f ca="1">IFERROR(__xludf.DUMMYFUNCTION("""COMPUTED_VALUE"""),"Dubai&gt;Dubai Industrial City&gt;Harmony Point")</f>
        <v>Dubai&gt;Dubai Industrial City&gt;Harmony Point</v>
      </c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</row>
    <row r="1457" spans="1:26" ht="16.5" x14ac:dyDescent="0.35">
      <c r="A1457" s="2" t="str">
        <f ca="1">IFERROR(__xludf.DUMMYFUNCTION("""COMPUTED_VALUE"""),"Dubai")</f>
        <v>Dubai</v>
      </c>
      <c r="B1457" s="2" t="str">
        <f ca="1">IFERROR(__xludf.DUMMYFUNCTION("""COMPUTED_VALUE"""),"Al Asmawi Building 2")</f>
        <v>Al Asmawi Building 2</v>
      </c>
      <c r="C1457" s="2" t="str">
        <f ca="1">IFERROR(__xludf.DUMMYFUNCTION("""COMPUTED_VALUE"""),"Building")</f>
        <v>Building</v>
      </c>
      <c r="D1457" s="2" t="str">
        <f ca="1">IFERROR(__xludf.DUMMYFUNCTION("""COMPUTED_VALUE"""),"Dubai&gt;Umm Al Sheif&gt;Al Asmawi Building 2")</f>
        <v>Dubai&gt;Umm Al Sheif&gt;Al Asmawi Building 2</v>
      </c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</row>
    <row r="1458" spans="1:26" ht="16.5" x14ac:dyDescent="0.35">
      <c r="A1458" s="2" t="str">
        <f ca="1">IFERROR(__xludf.DUMMYFUNCTION("""COMPUTED_VALUE"""),"Dubai")</f>
        <v>Dubai</v>
      </c>
      <c r="B1458" s="2" t="str">
        <f ca="1">IFERROR(__xludf.DUMMYFUNCTION("""COMPUTED_VALUE"""),"Haven Living")</f>
        <v>Haven Living</v>
      </c>
      <c r="C1458" s="2" t="str">
        <f ca="1">IFERROR(__xludf.DUMMYFUNCTION("""COMPUTED_VALUE"""),"Building")</f>
        <v>Building</v>
      </c>
      <c r="D1458" s="2" t="str">
        <f ca="1">IFERROR(__xludf.DUMMYFUNCTION("""COMPUTED_VALUE"""),"Dubai&gt;Dubai Islands&gt;Haven Living")</f>
        <v>Dubai&gt;Dubai Islands&gt;Haven Living</v>
      </c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</row>
    <row r="1459" spans="1:26" ht="16.5" x14ac:dyDescent="0.35">
      <c r="A1459" s="2" t="str">
        <f ca="1">IFERROR(__xludf.DUMMYFUNCTION("""COMPUTED_VALUE"""),"Dubai")</f>
        <v>Dubai</v>
      </c>
      <c r="B1459" s="2" t="str">
        <f ca="1">IFERROR(__xludf.DUMMYFUNCTION("""COMPUTED_VALUE"""),"Haven Bay")</f>
        <v>Haven Bay</v>
      </c>
      <c r="C1459" s="2" t="str">
        <f ca="1">IFERROR(__xludf.DUMMYFUNCTION("""COMPUTED_VALUE"""),"Building")</f>
        <v>Building</v>
      </c>
      <c r="D1459" s="2" t="str">
        <f ca="1">IFERROR(__xludf.DUMMYFUNCTION("""COMPUTED_VALUE"""),"Dubai&gt;Dubai Islands&gt;Haven Bay")</f>
        <v>Dubai&gt;Dubai Islands&gt;Haven Bay</v>
      </c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</row>
    <row r="1460" spans="1:26" ht="16.5" x14ac:dyDescent="0.35">
      <c r="A1460" s="2" t="str">
        <f ca="1">IFERROR(__xludf.DUMMYFUNCTION("""COMPUTED_VALUE"""),"Dubai")</f>
        <v>Dubai</v>
      </c>
      <c r="B1460" s="2" t="str">
        <f ca="1">IFERROR(__xludf.DUMMYFUNCTION("""COMPUTED_VALUE"""),"Shoaq")</f>
        <v>Shoaq</v>
      </c>
      <c r="C1460" s="2" t="str">
        <f ca="1">IFERROR(__xludf.DUMMYFUNCTION("""COMPUTED_VALUE"""),"Building")</f>
        <v>Building</v>
      </c>
      <c r="D1460" s="2" t="str">
        <f ca="1">IFERROR(__xludf.DUMMYFUNCTION("""COMPUTED_VALUE"""),"Dubai&gt;Dubai Islands&gt;Shoaq")</f>
        <v>Dubai&gt;Dubai Islands&gt;Shoaq</v>
      </c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</row>
    <row r="1461" spans="1:26" ht="16.5" x14ac:dyDescent="0.35">
      <c r="A1461" s="2" t="str">
        <f ca="1">IFERROR(__xludf.DUMMYFUNCTION("""COMPUTED_VALUE"""),"Dubai")</f>
        <v>Dubai</v>
      </c>
      <c r="B1461" s="2" t="str">
        <f ca="1">IFERROR(__xludf.DUMMYFUNCTION("""COMPUTED_VALUE"""),"Sunset Bay 5 by Imtiaz")</f>
        <v>Sunset Bay 5 by Imtiaz</v>
      </c>
      <c r="C1461" s="2" t="str">
        <f ca="1">IFERROR(__xludf.DUMMYFUNCTION("""COMPUTED_VALUE"""),"Building")</f>
        <v>Building</v>
      </c>
      <c r="D1461" s="2" t="str">
        <f ca="1">IFERROR(__xludf.DUMMYFUNCTION("""COMPUTED_VALUE"""),"Dubai&gt;Dubai Islands&gt;Sunset Bay 5 by Imtiaz")</f>
        <v>Dubai&gt;Dubai Islands&gt;Sunset Bay 5 by Imtiaz</v>
      </c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</row>
    <row r="1462" spans="1:26" ht="16.5" x14ac:dyDescent="0.35">
      <c r="A1462" s="2" t="str">
        <f ca="1">IFERROR(__xludf.DUMMYFUNCTION("""COMPUTED_VALUE"""),"Dubai")</f>
        <v>Dubai</v>
      </c>
      <c r="B1462" s="2" t="str">
        <f ca="1">IFERROR(__xludf.DUMMYFUNCTION("""COMPUTED_VALUE"""),"Vue Doree")</f>
        <v>Vue Doree</v>
      </c>
      <c r="C1462" s="2" t="str">
        <f ca="1">IFERROR(__xludf.DUMMYFUNCTION("""COMPUTED_VALUE"""),"Building")</f>
        <v>Building</v>
      </c>
      <c r="D1462" s="2" t="str">
        <f ca="1">IFERROR(__xludf.DUMMYFUNCTION("""COMPUTED_VALUE"""),"Dubai&gt;Dubai Islands&gt;Vue Doree")</f>
        <v>Dubai&gt;Dubai Islands&gt;Vue Doree</v>
      </c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</row>
    <row r="1463" spans="1:26" ht="16.5" x14ac:dyDescent="0.35">
      <c r="A1463" s="2" t="str">
        <f ca="1">IFERROR(__xludf.DUMMYFUNCTION("""COMPUTED_VALUE"""),"Dubai")</f>
        <v>Dubai</v>
      </c>
      <c r="B1463" s="2" t="str">
        <f ca="1">IFERROR(__xludf.DUMMYFUNCTION("""COMPUTED_VALUE"""),"Address Residences Zabeel Tower 1")</f>
        <v>Address Residences Zabeel Tower 1</v>
      </c>
      <c r="C1463" s="2" t="str">
        <f ca="1">IFERROR(__xludf.DUMMYFUNCTION("""COMPUTED_VALUE"""),"Building")</f>
        <v>Building</v>
      </c>
      <c r="D1463" s="2" t="str">
        <f ca="1">IFERROR(__xludf.DUMMYFUNCTION("""COMPUTED_VALUE"""),"Dubai&gt;Za'abeel&gt;Za'abeel 1&gt;Address Residences Zabeel&gt;Address Residences Zabeel Tower 1")</f>
        <v>Dubai&gt;Za'abeel&gt;Za'abeel 1&gt;Address Residences Zabeel&gt;Address Residences Zabeel Tower 1</v>
      </c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</row>
    <row r="1464" spans="1:26" ht="16.5" x14ac:dyDescent="0.35">
      <c r="A1464" s="2" t="str">
        <f ca="1">IFERROR(__xludf.DUMMYFUNCTION("""COMPUTED_VALUE"""),"Dubai")</f>
        <v>Dubai</v>
      </c>
      <c r="B1464" s="2" t="str">
        <f ca="1">IFERROR(__xludf.DUMMYFUNCTION("""COMPUTED_VALUE"""),"Mansory Residences")</f>
        <v>Mansory Residences</v>
      </c>
      <c r="C1464" s="2" t="str">
        <f ca="1">IFERROR(__xludf.DUMMYFUNCTION("""COMPUTED_VALUE"""),"Building")</f>
        <v>Building</v>
      </c>
      <c r="D1464" s="2" t="str">
        <f ca="1">IFERROR(__xludf.DUMMYFUNCTION("""COMPUTED_VALUE"""),"Dubai&gt;Ras Al Khor&gt;Ras Al Khor Industrial&gt;Ras Al Khor Industrial 1&gt;Mansory Residences")</f>
        <v>Dubai&gt;Ras Al Khor&gt;Ras Al Khor Industrial&gt;Ras Al Khor Industrial 1&gt;Mansory Residences</v>
      </c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</row>
    <row r="1465" spans="1:26" ht="16.5" x14ac:dyDescent="0.35">
      <c r="A1465" s="2" t="str">
        <f ca="1">IFERROR(__xludf.DUMMYFUNCTION("""COMPUTED_VALUE"""),"Dubai")</f>
        <v>Dubai</v>
      </c>
      <c r="B1465" s="2" t="str">
        <f ca="1">IFERROR(__xludf.DUMMYFUNCTION("""COMPUTED_VALUE"""),"Jebel Ali Hills")</f>
        <v>Jebel Ali Hills</v>
      </c>
      <c r="C1465" s="2" t="str">
        <f ca="1">IFERROR(__xludf.DUMMYFUNCTION("""COMPUTED_VALUE"""),"Neighbourhood")</f>
        <v>Neighbourhood</v>
      </c>
      <c r="D1465" s="2" t="str">
        <f ca="1">IFERROR(__xludf.DUMMYFUNCTION("""COMPUTED_VALUE"""),"Dubai&gt;Jebel Ali&gt;Jebel Ali Hills")</f>
        <v>Dubai&gt;Jebel Ali&gt;Jebel Ali Hills</v>
      </c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</row>
    <row r="1466" spans="1:26" ht="16.5" x14ac:dyDescent="0.35">
      <c r="A1466" s="2" t="str">
        <f ca="1">IFERROR(__xludf.DUMMYFUNCTION("""COMPUTED_VALUE"""),"Dubai")</f>
        <v>Dubai</v>
      </c>
      <c r="B1466" s="2" t="str">
        <f ca="1">IFERROR(__xludf.DUMMYFUNCTION("""COMPUTED_VALUE"""),"Azizi Gabriel")</f>
        <v>Azizi Gabriel</v>
      </c>
      <c r="C1466" s="2" t="str">
        <f ca="1">IFERROR(__xludf.DUMMYFUNCTION("""COMPUTED_VALUE"""),"Building")</f>
        <v>Building</v>
      </c>
      <c r="D1466" s="2" t="str">
        <f ca="1">IFERROR(__xludf.DUMMYFUNCTION("""COMPUTED_VALUE"""),"Dubai&gt;Jebel Ali&gt;Downtown Jebel Ali&gt;Azizi Gabriel")</f>
        <v>Dubai&gt;Jebel Ali&gt;Downtown Jebel Ali&gt;Azizi Gabriel</v>
      </c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</row>
    <row r="1467" spans="1:26" ht="16.5" x14ac:dyDescent="0.35">
      <c r="A1467" s="2" t="str">
        <f ca="1">IFERROR(__xludf.DUMMYFUNCTION("""COMPUTED_VALUE"""),"Dubai")</f>
        <v>Dubai</v>
      </c>
      <c r="B1467" s="2" t="str">
        <f ca="1">IFERROR(__xludf.DUMMYFUNCTION("""COMPUTED_VALUE"""),"The Tranquil at Sobha Central")</f>
        <v>The Tranquil at Sobha Central</v>
      </c>
      <c r="C1467" s="2" t="str">
        <f ca="1">IFERROR(__xludf.DUMMYFUNCTION("""COMPUTED_VALUE"""),"Building")</f>
        <v>Building</v>
      </c>
      <c r="D1467" s="2" t="str">
        <f ca="1">IFERROR(__xludf.DUMMYFUNCTION("""COMPUTED_VALUE"""),"Dubai&gt;Jebel Ali&gt;Sobha Central&gt;The Tranquil at Sobha Central")</f>
        <v>Dubai&gt;Jebel Ali&gt;Sobha Central&gt;The Tranquil at Sobha Central</v>
      </c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</row>
    <row r="1468" spans="1:26" ht="16.5" x14ac:dyDescent="0.35">
      <c r="A1468" s="2" t="str">
        <f ca="1">IFERROR(__xludf.DUMMYFUNCTION("""COMPUTED_VALUE"""),"Dubai")</f>
        <v>Dubai</v>
      </c>
      <c r="B1468" s="2" t="str">
        <f ca="1">IFERROR(__xludf.DUMMYFUNCTION("""COMPUTED_VALUE"""),"Al Karbash Building")</f>
        <v>Al Karbash Building</v>
      </c>
      <c r="C1468" s="2" t="str">
        <f ca="1">IFERROR(__xludf.DUMMYFUNCTION("""COMPUTED_VALUE"""),"Building")</f>
        <v>Building</v>
      </c>
      <c r="D1468" s="2" t="str">
        <f ca="1">IFERROR(__xludf.DUMMYFUNCTION("""COMPUTED_VALUE"""),"Dubai&gt;Nad Al Hamar&gt;Al Karbash Building")</f>
        <v>Dubai&gt;Nad Al Hamar&gt;Al Karbash Building</v>
      </c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</row>
    <row r="1469" spans="1:26" ht="16.5" x14ac:dyDescent="0.35">
      <c r="A1469" s="2" t="str">
        <f ca="1">IFERROR(__xludf.DUMMYFUNCTION("""COMPUTED_VALUE"""),"Dubai")</f>
        <v>Dubai</v>
      </c>
      <c r="B1469" s="2" t="str">
        <f ca="1">IFERROR(__xludf.DUMMYFUNCTION("""COMPUTED_VALUE"""),"Barsha Oasis")</f>
        <v>Barsha Oasis</v>
      </c>
      <c r="C1469" s="2" t="str">
        <f ca="1">IFERROR(__xludf.DUMMYFUNCTION("""COMPUTED_VALUE"""),"Building")</f>
        <v>Building</v>
      </c>
      <c r="D1469" s="2" t="str">
        <f ca="1">IFERROR(__xludf.DUMMYFUNCTION("""COMPUTED_VALUE"""),"Dubai&gt;Al Barsha&gt;Al Barsha 1&gt;Barsha Oasis")</f>
        <v>Dubai&gt;Al Barsha&gt;Al Barsha 1&gt;Barsha Oasis</v>
      </c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</row>
    <row r="1470" spans="1:26" ht="16.5" x14ac:dyDescent="0.35">
      <c r="A1470" s="2" t="str">
        <f ca="1">IFERROR(__xludf.DUMMYFUNCTION("""COMPUTED_VALUE"""),"Dubai")</f>
        <v>Dubai</v>
      </c>
      <c r="B1470" s="2" t="str">
        <f ca="1">IFERROR(__xludf.DUMMYFUNCTION("""COMPUTED_VALUE"""),"Bayti 33")</f>
        <v>Bayti 33</v>
      </c>
      <c r="C1470" s="2" t="str">
        <f ca="1">IFERROR(__xludf.DUMMYFUNCTION("""COMPUTED_VALUE"""),"Neighbourhood")</f>
        <v>Neighbourhood</v>
      </c>
      <c r="D1470" s="2" t="str">
        <f ca="1">IFERROR(__xludf.DUMMYFUNCTION("""COMPUTED_VALUE"""),"Dubai&gt;Al Barsha&gt;Al Barsha 1&gt;Bayti 33")</f>
        <v>Dubai&gt;Al Barsha&gt;Al Barsha 1&gt;Bayti 33</v>
      </c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</row>
    <row r="1471" spans="1:26" ht="16.5" x14ac:dyDescent="0.35">
      <c r="A1471" s="2" t="str">
        <f ca="1">IFERROR(__xludf.DUMMYFUNCTION("""COMPUTED_VALUE"""),"Dubai")</f>
        <v>Dubai</v>
      </c>
      <c r="B1471" s="2" t="str">
        <f ca="1">IFERROR(__xludf.DUMMYFUNCTION("""COMPUTED_VALUE"""),"Lama Building")</f>
        <v>Lama Building</v>
      </c>
      <c r="C1471" s="2" t="str">
        <f ca="1">IFERROR(__xludf.DUMMYFUNCTION("""COMPUTED_VALUE"""),"Building")</f>
        <v>Building</v>
      </c>
      <c r="D1471" s="2" t="str">
        <f ca="1">IFERROR(__xludf.DUMMYFUNCTION("""COMPUTED_VALUE"""),"Dubai&gt;Al Barsha&gt;Al Barsha 1&gt;Lama Building")</f>
        <v>Dubai&gt;Al Barsha&gt;Al Barsha 1&gt;Lama Building</v>
      </c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</row>
    <row r="1472" spans="1:26" ht="16.5" x14ac:dyDescent="0.35">
      <c r="A1472" s="2" t="str">
        <f ca="1">IFERROR(__xludf.DUMMYFUNCTION("""COMPUTED_VALUE"""),"Dubai")</f>
        <v>Dubai</v>
      </c>
      <c r="B1472" s="2" t="str">
        <f ca="1">IFERROR(__xludf.DUMMYFUNCTION("""COMPUTED_VALUE"""),"Abidos Hotel Apartments")</f>
        <v>Abidos Hotel Apartments</v>
      </c>
      <c r="C1472" s="2" t="str">
        <f ca="1">IFERROR(__xludf.DUMMYFUNCTION("""COMPUTED_VALUE"""),"Building")</f>
        <v>Building</v>
      </c>
      <c r="D1472" s="2" t="str">
        <f ca="1">IFERROR(__xludf.DUMMYFUNCTION("""COMPUTED_VALUE"""),"Dubai&gt;Al Barsha&gt;Al Barsha 1&gt;Abidos Hotel Apartments")</f>
        <v>Dubai&gt;Al Barsha&gt;Al Barsha 1&gt;Abidos Hotel Apartments</v>
      </c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</row>
    <row r="1473" spans="1:26" ht="16.5" x14ac:dyDescent="0.35">
      <c r="A1473" s="2" t="str">
        <f ca="1">IFERROR(__xludf.DUMMYFUNCTION("""COMPUTED_VALUE"""),"Dubai")</f>
        <v>Dubai</v>
      </c>
      <c r="B1473" s="2" t="str">
        <f ca="1">IFERROR(__xludf.DUMMYFUNCTION("""COMPUTED_VALUE"""),"Saratoga Complex")</f>
        <v>Saratoga Complex</v>
      </c>
      <c r="C1473" s="2" t="str">
        <f ca="1">IFERROR(__xludf.DUMMYFUNCTION("""COMPUTED_VALUE"""),"Building")</f>
        <v>Building</v>
      </c>
      <c r="D1473" s="2" t="str">
        <f ca="1">IFERROR(__xludf.DUMMYFUNCTION("""COMPUTED_VALUE"""),"Dubai&gt;Al Barsha&gt;Al Barsha 1&gt;Saratoga Complex")</f>
        <v>Dubai&gt;Al Barsha&gt;Al Barsha 1&gt;Saratoga Complex</v>
      </c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</row>
    <row r="1474" spans="1:26" ht="16.5" x14ac:dyDescent="0.35">
      <c r="A1474" s="2" t="str">
        <f ca="1">IFERROR(__xludf.DUMMYFUNCTION("""COMPUTED_VALUE"""),"Dubai")</f>
        <v>Dubai</v>
      </c>
      <c r="B1474" s="2" t="str">
        <f ca="1">IFERROR(__xludf.DUMMYFUNCTION("""COMPUTED_VALUE"""),"Habib Al Mulla Building")</f>
        <v>Habib Al Mulla Building</v>
      </c>
      <c r="C1474" s="2" t="str">
        <f ca="1">IFERROR(__xludf.DUMMYFUNCTION("""COMPUTED_VALUE"""),"Building")</f>
        <v>Building</v>
      </c>
      <c r="D1474" s="2" t="str">
        <f ca="1">IFERROR(__xludf.DUMMYFUNCTION("""COMPUTED_VALUE"""),"Dubai&gt;Al Barsha&gt;Al Barsha 1&gt;Habib Al Mulla Building")</f>
        <v>Dubai&gt;Al Barsha&gt;Al Barsha 1&gt;Habib Al Mulla Building</v>
      </c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</row>
    <row r="1475" spans="1:26" ht="16.5" x14ac:dyDescent="0.35">
      <c r="A1475" s="2" t="str">
        <f ca="1">IFERROR(__xludf.DUMMYFUNCTION("""COMPUTED_VALUE"""),"Dubai")</f>
        <v>Dubai</v>
      </c>
      <c r="B1475" s="2" t="str">
        <f ca="1">IFERROR(__xludf.DUMMYFUNCTION("""COMPUTED_VALUE"""),"Al Saya Building A")</f>
        <v>Al Saya Building A</v>
      </c>
      <c r="C1475" s="2" t="str">
        <f ca="1">IFERROR(__xludf.DUMMYFUNCTION("""COMPUTED_VALUE"""),"Building")</f>
        <v>Building</v>
      </c>
      <c r="D1475" s="2" t="str">
        <f ca="1">IFERROR(__xludf.DUMMYFUNCTION("""COMPUTED_VALUE"""),"Dubai&gt;Al Barsha&gt;Al Barsha 1&gt;Al Saya Building A")</f>
        <v>Dubai&gt;Al Barsha&gt;Al Barsha 1&gt;Al Saya Building A</v>
      </c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</row>
    <row r="1476" spans="1:26" ht="16.5" x14ac:dyDescent="0.35">
      <c r="A1476" s="2" t="str">
        <f ca="1">IFERROR(__xludf.DUMMYFUNCTION("""COMPUTED_VALUE"""),"Dubai")</f>
        <v>Dubai</v>
      </c>
      <c r="B1476" s="2" t="str">
        <f ca="1">IFERROR(__xludf.DUMMYFUNCTION("""COMPUTED_VALUE"""),"Residence 1451")</f>
        <v>Residence 1451</v>
      </c>
      <c r="C1476" s="2" t="str">
        <f ca="1">IFERROR(__xludf.DUMMYFUNCTION("""COMPUTED_VALUE"""),"Building")</f>
        <v>Building</v>
      </c>
      <c r="D1476" s="2" t="str">
        <f ca="1">IFERROR(__xludf.DUMMYFUNCTION("""COMPUTED_VALUE"""),"Dubai&gt;Al Barsha&gt;Al Barsha 1&gt;Residence 1451")</f>
        <v>Dubai&gt;Al Barsha&gt;Al Barsha 1&gt;Residence 1451</v>
      </c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</row>
    <row r="1477" spans="1:26" ht="16.5" x14ac:dyDescent="0.35">
      <c r="A1477" s="2" t="str">
        <f ca="1">IFERROR(__xludf.DUMMYFUNCTION("""COMPUTED_VALUE"""),"Dubai")</f>
        <v>Dubai</v>
      </c>
      <c r="B1477" s="2" t="str">
        <f ca="1">IFERROR(__xludf.DUMMYFUNCTION("""COMPUTED_VALUE"""),"Al Zarooni Building")</f>
        <v>Al Zarooni Building</v>
      </c>
      <c r="C1477" s="2" t="str">
        <f ca="1">IFERROR(__xludf.DUMMYFUNCTION("""COMPUTED_VALUE"""),"Building")</f>
        <v>Building</v>
      </c>
      <c r="D1477" s="2" t="str">
        <f ca="1">IFERROR(__xludf.DUMMYFUNCTION("""COMPUTED_VALUE"""),"Dubai&gt;Al Barsha&gt;Al Barsha 1&gt;Al Zarooni Building")</f>
        <v>Dubai&gt;Al Barsha&gt;Al Barsha 1&gt;Al Zarooni Building</v>
      </c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</row>
    <row r="1478" spans="1:26" ht="16.5" x14ac:dyDescent="0.35">
      <c r="A1478" s="2" t="str">
        <f ca="1">IFERROR(__xludf.DUMMYFUNCTION("""COMPUTED_VALUE"""),"Dubai")</f>
        <v>Dubai</v>
      </c>
      <c r="B1478" s="2" t="str">
        <f ca="1">IFERROR(__xludf.DUMMYFUNCTION("""COMPUTED_VALUE"""),"Blossom Nursery Al Barsha 3")</f>
        <v>Blossom Nursery Al Barsha 3</v>
      </c>
      <c r="C1478" s="2" t="str">
        <f ca="1">IFERROR(__xludf.DUMMYFUNCTION("""COMPUTED_VALUE"""),"Nursery")</f>
        <v>Nursery</v>
      </c>
      <c r="D1478" s="2" t="str">
        <f ca="1">IFERROR(__xludf.DUMMYFUNCTION("""COMPUTED_VALUE"""),"Dubai&gt;Al Barsha&gt;Al Barsha 3&gt;Blossom Nursery Al Barsha 3")</f>
        <v>Dubai&gt;Al Barsha&gt;Al Barsha 3&gt;Blossom Nursery Al Barsha 3</v>
      </c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</row>
    <row r="1479" spans="1:26" ht="16.5" x14ac:dyDescent="0.35">
      <c r="A1479" s="2" t="str">
        <f ca="1">IFERROR(__xludf.DUMMYFUNCTION("""COMPUTED_VALUE"""),"Dubai")</f>
        <v>Dubai</v>
      </c>
      <c r="B1479" s="2" t="str">
        <f ca="1">IFERROR(__xludf.DUMMYFUNCTION("""COMPUTED_VALUE"""),"The Address Fountain Views 1")</f>
        <v>The Address Fountain Views 1</v>
      </c>
      <c r="C1479" s="2" t="str">
        <f ca="1">IFERROR(__xludf.DUMMYFUNCTION("""COMPUTED_VALUE"""),"Building")</f>
        <v>Building</v>
      </c>
      <c r="D1479" s="2" t="str">
        <f ca="1">IFERROR(__xludf.DUMMYFUNCTION("""COMPUTED_VALUE"""),"Dubai&gt;Downtown Dubai&gt;Address Dubai Mall&gt;The Address Fountain Views 1")</f>
        <v>Dubai&gt;Downtown Dubai&gt;Address Dubai Mall&gt;The Address Fountain Views 1</v>
      </c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</row>
    <row r="1480" spans="1:26" ht="16.5" x14ac:dyDescent="0.35">
      <c r="A1480" s="2" t="str">
        <f ca="1">IFERROR(__xludf.DUMMYFUNCTION("""COMPUTED_VALUE"""),"Dubai")</f>
        <v>Dubai</v>
      </c>
      <c r="B1480" s="2" t="str">
        <f ca="1">IFERROR(__xludf.DUMMYFUNCTION("""COMPUTED_VALUE"""),"Mashreq Bank Office Tower")</f>
        <v>Mashreq Bank Office Tower</v>
      </c>
      <c r="C1480" s="2" t="str">
        <f ca="1">IFERROR(__xludf.DUMMYFUNCTION("""COMPUTED_VALUE"""),"Building")</f>
        <v>Building</v>
      </c>
      <c r="D1480" s="2" t="str">
        <f ca="1">IFERROR(__xludf.DUMMYFUNCTION("""COMPUTED_VALUE"""),"Dubai&gt;Downtown Dubai&gt;Mashreq Bank Office Tower")</f>
        <v>Dubai&gt;Downtown Dubai&gt;Mashreq Bank Office Tower</v>
      </c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</row>
    <row r="1481" spans="1:26" ht="16.5" x14ac:dyDescent="0.35">
      <c r="A1481" s="2" t="str">
        <f ca="1">IFERROR(__xludf.DUMMYFUNCTION("""COMPUTED_VALUE"""),"Dubai")</f>
        <v>Dubai</v>
      </c>
      <c r="B1481" s="2" t="str">
        <f ca="1">IFERROR(__xludf.DUMMYFUNCTION("""COMPUTED_VALUE"""),"Grande")</f>
        <v>Grande</v>
      </c>
      <c r="C1481" s="2" t="str">
        <f ca="1">IFERROR(__xludf.DUMMYFUNCTION("""COMPUTED_VALUE"""),"Building")</f>
        <v>Building</v>
      </c>
      <c r="D1481" s="2" t="str">
        <f ca="1">IFERROR(__xludf.DUMMYFUNCTION("""COMPUTED_VALUE"""),"Dubai&gt;Downtown Dubai&gt;Opera District&gt;Grande")</f>
        <v>Dubai&gt;Downtown Dubai&gt;Opera District&gt;Grande</v>
      </c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</row>
    <row r="1482" spans="1:26" ht="16.5" x14ac:dyDescent="0.35">
      <c r="A1482" s="2" t="str">
        <f ca="1">IFERROR(__xludf.DUMMYFUNCTION("""COMPUTED_VALUE"""),"Dubai")</f>
        <v>Dubai</v>
      </c>
      <c r="B1482" s="2" t="str">
        <f ca="1">IFERROR(__xludf.DUMMYFUNCTION("""COMPUTED_VALUE"""),"South Ridge 5")</f>
        <v>South Ridge 5</v>
      </c>
      <c r="C1482" s="2" t="str">
        <f ca="1">IFERROR(__xludf.DUMMYFUNCTION("""COMPUTED_VALUE"""),"Building")</f>
        <v>Building</v>
      </c>
      <c r="D1482" s="2" t="str">
        <f ca="1">IFERROR(__xludf.DUMMYFUNCTION("""COMPUTED_VALUE"""),"Dubai&gt;Downtown Dubai&gt;South Ridge&gt;South Ridge 5")</f>
        <v>Dubai&gt;Downtown Dubai&gt;South Ridge&gt;South Ridge 5</v>
      </c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</row>
    <row r="1483" spans="1:26" ht="16.5" x14ac:dyDescent="0.35">
      <c r="A1483" s="2" t="str">
        <f ca="1">IFERROR(__xludf.DUMMYFUNCTION("""COMPUTED_VALUE"""),"Dubai")</f>
        <v>Dubai</v>
      </c>
      <c r="B1483" s="2" t="str">
        <f ca="1">IFERROR(__xludf.DUMMYFUNCTION("""COMPUTED_VALUE"""),"Yansoon 3")</f>
        <v>Yansoon 3</v>
      </c>
      <c r="C1483" s="2" t="str">
        <f ca="1">IFERROR(__xludf.DUMMYFUNCTION("""COMPUTED_VALUE"""),"Building")</f>
        <v>Building</v>
      </c>
      <c r="D1483" s="2" t="str">
        <f ca="1">IFERROR(__xludf.DUMMYFUNCTION("""COMPUTED_VALUE"""),"Dubai&gt;Downtown Dubai&gt;Old Town&gt;Yansoon&gt;Yansoon 3")</f>
        <v>Dubai&gt;Downtown Dubai&gt;Old Town&gt;Yansoon&gt;Yansoon 3</v>
      </c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</row>
    <row r="1484" spans="1:26" ht="16.5" x14ac:dyDescent="0.35">
      <c r="A1484" s="2" t="str">
        <f ca="1">IFERROR(__xludf.DUMMYFUNCTION("""COMPUTED_VALUE"""),"Dubai")</f>
        <v>Dubai</v>
      </c>
      <c r="B1484" s="2" t="str">
        <f ca="1">IFERROR(__xludf.DUMMYFUNCTION("""COMPUTED_VALUE"""),"St. Regis The Residences Tower 2")</f>
        <v>St. Regis The Residences Tower 2</v>
      </c>
      <c r="C1484" s="2" t="str">
        <f ca="1">IFERROR(__xludf.DUMMYFUNCTION("""COMPUTED_VALUE"""),"Building")</f>
        <v>Building</v>
      </c>
      <c r="D1484" s="2" t="str">
        <f ca="1">IFERROR(__xludf.DUMMYFUNCTION("""COMPUTED_VALUE"""),"Dubai&gt;Downtown Dubai&gt;St. Regis The Residences&gt;St. Regis The Residences Tower 2")</f>
        <v>Dubai&gt;Downtown Dubai&gt;St. Regis The Residences&gt;St. Regis The Residences Tower 2</v>
      </c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</row>
    <row r="1485" spans="1:26" ht="16.5" x14ac:dyDescent="0.35">
      <c r="A1485" s="2" t="str">
        <f ca="1">IFERROR(__xludf.DUMMYFUNCTION("""COMPUTED_VALUE"""),"Dubai")</f>
        <v>Dubai</v>
      </c>
      <c r="B1485" s="2" t="str">
        <f ca="1">IFERROR(__xludf.DUMMYFUNCTION("""COMPUTED_VALUE"""),"Boulevard Plaza Tower 2")</f>
        <v>Boulevard Plaza Tower 2</v>
      </c>
      <c r="C1485" s="2" t="str">
        <f ca="1">IFERROR(__xludf.DUMMYFUNCTION("""COMPUTED_VALUE"""),"Building")</f>
        <v>Building</v>
      </c>
      <c r="D1485" s="2" t="str">
        <f ca="1">IFERROR(__xludf.DUMMYFUNCTION("""COMPUTED_VALUE"""),"Dubai&gt;Downtown Dubai&gt;Boulevard Plaza Tower&gt;Boulevard Plaza Tower 2")</f>
        <v>Dubai&gt;Downtown Dubai&gt;Boulevard Plaza Tower&gt;Boulevard Plaza Tower 2</v>
      </c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</row>
    <row r="1486" spans="1:26" ht="16.5" x14ac:dyDescent="0.35">
      <c r="A1486" s="2" t="str">
        <f ca="1">IFERROR(__xludf.DUMMYFUNCTION("""COMPUTED_VALUE"""),"Dubai")</f>
        <v>Dubai</v>
      </c>
      <c r="B1486" s="2" t="str">
        <f ca="1">IFERROR(__xludf.DUMMYFUNCTION("""COMPUTED_VALUE"""),"Mazaya 15")</f>
        <v>Mazaya 15</v>
      </c>
      <c r="C1486" s="2" t="str">
        <f ca="1">IFERROR(__xludf.DUMMYFUNCTION("""COMPUTED_VALUE"""),"Building")</f>
        <v>Building</v>
      </c>
      <c r="D1486" s="2" t="str">
        <f ca="1">IFERROR(__xludf.DUMMYFUNCTION("""COMPUTED_VALUE"""),"Dubai&gt;Liwan&gt;Queue Point&gt;Mazaya 15")</f>
        <v>Dubai&gt;Liwan&gt;Queue Point&gt;Mazaya 15</v>
      </c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</row>
    <row r="1487" spans="1:26" ht="16.5" x14ac:dyDescent="0.35">
      <c r="A1487" s="2" t="str">
        <f ca="1">IFERROR(__xludf.DUMMYFUNCTION("""COMPUTED_VALUE"""),"Dubai")</f>
        <v>Dubai</v>
      </c>
      <c r="B1487" s="2" t="str">
        <f ca="1">IFERROR(__xludf.DUMMYFUNCTION("""COMPUTED_VALUE"""),"Berlin Business Tower")</f>
        <v>Berlin Business Tower</v>
      </c>
      <c r="C1487" s="2" t="str">
        <f ca="1">IFERROR(__xludf.DUMMYFUNCTION("""COMPUTED_VALUE"""),"Building")</f>
        <v>Building</v>
      </c>
      <c r="D1487" s="2" t="str">
        <f ca="1">IFERROR(__xludf.DUMMYFUNCTION("""COMPUTED_VALUE"""),"Dubai&gt;Liwan&gt;Berlin Business Tower")</f>
        <v>Dubai&gt;Liwan&gt;Berlin Business Tower</v>
      </c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</row>
    <row r="1488" spans="1:26" ht="16.5" x14ac:dyDescent="0.35">
      <c r="A1488" s="2" t="str">
        <f ca="1">IFERROR(__xludf.DUMMYFUNCTION("""COMPUTED_VALUE"""),"Dubai")</f>
        <v>Dubai</v>
      </c>
      <c r="B1488" s="2" t="str">
        <f ca="1">IFERROR(__xludf.DUMMYFUNCTION("""COMPUTED_VALUE"""),"Chelsea Plaza Hotel")</f>
        <v>Chelsea Plaza Hotel</v>
      </c>
      <c r="C1488" s="2" t="str">
        <f ca="1">IFERROR(__xludf.DUMMYFUNCTION("""COMPUTED_VALUE"""),"Building")</f>
        <v>Building</v>
      </c>
      <c r="D1488" s="2" t="str">
        <f ca="1">IFERROR(__xludf.DUMMYFUNCTION("""COMPUTED_VALUE"""),"Dubai&gt;Al Jafiliya&gt;Chelsea Plaza Hotel")</f>
        <v>Dubai&gt;Al Jafiliya&gt;Chelsea Plaza Hotel</v>
      </c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</row>
    <row r="1489" spans="1:26" ht="16.5" x14ac:dyDescent="0.35">
      <c r="A1489" s="2" t="str">
        <f ca="1">IFERROR(__xludf.DUMMYFUNCTION("""COMPUTED_VALUE"""),"Dubai")</f>
        <v>Dubai</v>
      </c>
      <c r="B1489" s="2" t="str">
        <f ca="1">IFERROR(__xludf.DUMMYFUNCTION("""COMPUTED_VALUE"""),"The Gate Village 4")</f>
        <v>The Gate Village 4</v>
      </c>
      <c r="C1489" s="2" t="str">
        <f ca="1">IFERROR(__xludf.DUMMYFUNCTION("""COMPUTED_VALUE"""),"Building")</f>
        <v>Building</v>
      </c>
      <c r="D1489" s="2" t="str">
        <f ca="1">IFERROR(__xludf.DUMMYFUNCTION("""COMPUTED_VALUE"""),"Dubai&gt;DIFC&gt;The Gate Village&gt;The Gate Village 4")</f>
        <v>Dubai&gt;DIFC&gt;The Gate Village&gt;The Gate Village 4</v>
      </c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</row>
    <row r="1490" spans="1:26" ht="16.5" x14ac:dyDescent="0.35">
      <c r="A1490" s="2" t="str">
        <f ca="1">IFERROR(__xludf.DUMMYFUNCTION("""COMPUTED_VALUE"""),"Dubai")</f>
        <v>Dubai</v>
      </c>
      <c r="B1490" s="2" t="str">
        <f ca="1">IFERROR(__xludf.DUMMYFUNCTION("""COMPUTED_VALUE"""),"Al Twar 1")</f>
        <v>Al Twar 1</v>
      </c>
      <c r="C1490" s="2" t="str">
        <f ca="1">IFERROR(__xludf.DUMMYFUNCTION("""COMPUTED_VALUE"""),"Neighbourhood")</f>
        <v>Neighbourhood</v>
      </c>
      <c r="D1490" s="2" t="str">
        <f ca="1">IFERROR(__xludf.DUMMYFUNCTION("""COMPUTED_VALUE"""),"Dubai&gt;Al Twar&gt;Al Twar 1")</f>
        <v>Dubai&gt;Al Twar&gt;Al Twar 1</v>
      </c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</row>
    <row r="1491" spans="1:26" ht="16.5" x14ac:dyDescent="0.35">
      <c r="A1491" s="2" t="str">
        <f ca="1">IFERROR(__xludf.DUMMYFUNCTION("""COMPUTED_VALUE"""),"Dubai")</f>
        <v>Dubai</v>
      </c>
      <c r="B1491" s="2" t="str">
        <f ca="1">IFERROR(__xludf.DUMMYFUNCTION("""COMPUTED_VALUE"""),"Ali Mattar Building")</f>
        <v>Ali Mattar Building</v>
      </c>
      <c r="C1491" s="2" t="str">
        <f ca="1">IFERROR(__xludf.DUMMYFUNCTION("""COMPUTED_VALUE"""),"Building")</f>
        <v>Building</v>
      </c>
      <c r="D1491" s="2" t="str">
        <f ca="1">IFERROR(__xludf.DUMMYFUNCTION("""COMPUTED_VALUE"""),"Dubai&gt;Al Warqaa&gt;Al Warqaa 1&gt;Ali Mattar Building")</f>
        <v>Dubai&gt;Al Warqaa&gt;Al Warqaa 1&gt;Ali Mattar Building</v>
      </c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</row>
    <row r="1492" spans="1:26" ht="16.5" x14ac:dyDescent="0.35">
      <c r="A1492" s="2" t="str">
        <f ca="1">IFERROR(__xludf.DUMMYFUNCTION("""COMPUTED_VALUE"""),"Dubai")</f>
        <v>Dubai</v>
      </c>
      <c r="B1492" s="2" t="str">
        <f ca="1">IFERROR(__xludf.DUMMYFUNCTION("""COMPUTED_VALUE"""),"Aleya Al Maktoum Building")</f>
        <v>Aleya Al Maktoum Building</v>
      </c>
      <c r="C1492" s="2" t="str">
        <f ca="1">IFERROR(__xludf.DUMMYFUNCTION("""COMPUTED_VALUE"""),"Building")</f>
        <v>Building</v>
      </c>
      <c r="D1492" s="2" t="str">
        <f ca="1">IFERROR(__xludf.DUMMYFUNCTION("""COMPUTED_VALUE"""),"Dubai&gt;Al Warqaa&gt;Al Warqaa 1&gt;Aleya Al Maktoum Building")</f>
        <v>Dubai&gt;Al Warqaa&gt;Al Warqaa 1&gt;Aleya Al Maktoum Building</v>
      </c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</row>
    <row r="1493" spans="1:26" ht="16.5" x14ac:dyDescent="0.35">
      <c r="A1493" s="2" t="str">
        <f ca="1">IFERROR(__xludf.DUMMYFUNCTION("""COMPUTED_VALUE"""),"Dubai")</f>
        <v>Dubai</v>
      </c>
      <c r="B1493" s="2" t="str">
        <f ca="1">IFERROR(__xludf.DUMMYFUNCTION("""COMPUTED_VALUE"""),"Saeed Hamad Saeed Melhoof 3 Building")</f>
        <v>Saeed Hamad Saeed Melhoof 3 Building</v>
      </c>
      <c r="C1493" s="2" t="str">
        <f ca="1">IFERROR(__xludf.DUMMYFUNCTION("""COMPUTED_VALUE"""),"Building")</f>
        <v>Building</v>
      </c>
      <c r="D1493" s="2" t="str">
        <f ca="1">IFERROR(__xludf.DUMMYFUNCTION("""COMPUTED_VALUE"""),"Dubai&gt;Al Warqaa&gt;Al Warqaa 1&gt;Saeed Hamad Saeed Melhoof 3 Building")</f>
        <v>Dubai&gt;Al Warqaa&gt;Al Warqaa 1&gt;Saeed Hamad Saeed Melhoof 3 Building</v>
      </c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</row>
    <row r="1494" spans="1:26" ht="16.5" x14ac:dyDescent="0.35">
      <c r="A1494" s="2" t="str">
        <f ca="1">IFERROR(__xludf.DUMMYFUNCTION("""COMPUTED_VALUE"""),"Dubai")</f>
        <v>Dubai</v>
      </c>
      <c r="B1494" s="2" t="str">
        <f ca="1">IFERROR(__xludf.DUMMYFUNCTION("""COMPUTED_VALUE"""),"Abdulla Hamad Mohammed Building")</f>
        <v>Abdulla Hamad Mohammed Building</v>
      </c>
      <c r="C1494" s="2" t="str">
        <f ca="1">IFERROR(__xludf.DUMMYFUNCTION("""COMPUTED_VALUE"""),"Building")</f>
        <v>Building</v>
      </c>
      <c r="D1494" s="2" t="str">
        <f ca="1">IFERROR(__xludf.DUMMYFUNCTION("""COMPUTED_VALUE"""),"Dubai&gt;Al Warqaa&gt;Al Warqaa 1&gt;Abdulla Hamad Mohammed Building")</f>
        <v>Dubai&gt;Al Warqaa&gt;Al Warqaa 1&gt;Abdulla Hamad Mohammed Building</v>
      </c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</row>
    <row r="1495" spans="1:26" ht="16.5" x14ac:dyDescent="0.35">
      <c r="A1495" s="2" t="str">
        <f ca="1">IFERROR(__xludf.DUMMYFUNCTION("""COMPUTED_VALUE"""),"Dubai")</f>
        <v>Dubai</v>
      </c>
      <c r="B1495" s="2" t="str">
        <f ca="1">IFERROR(__xludf.DUMMYFUNCTION("""COMPUTED_VALUE"""),"New Dubai Gate 2")</f>
        <v>New Dubai Gate 2</v>
      </c>
      <c r="C1495" s="2" t="str">
        <f ca="1">IFERROR(__xludf.DUMMYFUNCTION("""COMPUTED_VALUE"""),"Building")</f>
        <v>Building</v>
      </c>
      <c r="D1495" s="2" t="str">
        <f ca="1">IFERROR(__xludf.DUMMYFUNCTION("""COMPUTED_VALUE"""),"Dubai&gt;Jumeirah Lake Towers (JLT)&gt;JLT Cluster A&gt;New Dubai Gate 2")</f>
        <v>Dubai&gt;Jumeirah Lake Towers (JLT)&gt;JLT Cluster A&gt;New Dubai Gate 2</v>
      </c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</row>
    <row r="1496" spans="1:26" ht="16.5" x14ac:dyDescent="0.35">
      <c r="A1496" s="2" t="str">
        <f ca="1">IFERROR(__xludf.DUMMYFUNCTION("""COMPUTED_VALUE"""),"Dubai")</f>
        <v>Dubai</v>
      </c>
      <c r="B1496" s="2" t="str">
        <f ca="1">IFERROR(__xludf.DUMMYFUNCTION("""COMPUTED_VALUE"""),"Platinum Tower")</f>
        <v>Platinum Tower</v>
      </c>
      <c r="C1496" s="2" t="str">
        <f ca="1">IFERROR(__xludf.DUMMYFUNCTION("""COMPUTED_VALUE"""),"Building")</f>
        <v>Building</v>
      </c>
      <c r="D1496" s="2" t="str">
        <f ca="1">IFERROR(__xludf.DUMMYFUNCTION("""COMPUTED_VALUE"""),"Dubai&gt;Jumeirah Lake Towers (JLT)&gt;JLT Cluster I&gt;Platinum Tower")</f>
        <v>Dubai&gt;Jumeirah Lake Towers (JLT)&gt;JLT Cluster I&gt;Platinum Tower</v>
      </c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</row>
    <row r="1497" spans="1:26" ht="16.5" x14ac:dyDescent="0.35">
      <c r="A1497" s="2" t="str">
        <f ca="1">IFERROR(__xludf.DUMMYFUNCTION("""COMPUTED_VALUE"""),"Dubai")</f>
        <v>Dubai</v>
      </c>
      <c r="B1497" s="2" t="str">
        <f ca="1">IFERROR(__xludf.DUMMYFUNCTION("""COMPUTED_VALUE"""),"Armada Tower 3")</f>
        <v>Armada Tower 3</v>
      </c>
      <c r="C1497" s="2" t="str">
        <f ca="1">IFERROR(__xludf.DUMMYFUNCTION("""COMPUTED_VALUE"""),"Building")</f>
        <v>Building</v>
      </c>
      <c r="D1497" s="2" t="str">
        <f ca="1">IFERROR(__xludf.DUMMYFUNCTION("""COMPUTED_VALUE"""),"Dubai&gt;Jumeirah Lake Towers (JLT)&gt;JLT Cluster P&gt;Armada Towers&gt;Armada Tower 3")</f>
        <v>Dubai&gt;Jumeirah Lake Towers (JLT)&gt;JLT Cluster P&gt;Armada Towers&gt;Armada Tower 3</v>
      </c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</row>
    <row r="1498" spans="1:26" ht="16.5" x14ac:dyDescent="0.35">
      <c r="A1498" s="2" t="str">
        <f ca="1">IFERROR(__xludf.DUMMYFUNCTION("""COMPUTED_VALUE"""),"Dubai")</f>
        <v>Dubai</v>
      </c>
      <c r="B1498" s="2" t="str">
        <f ca="1">IFERROR(__xludf.DUMMYFUNCTION("""COMPUTED_VALUE"""),"Jumeirah Bay X2")</f>
        <v>Jumeirah Bay X2</v>
      </c>
      <c r="C1498" s="2" t="str">
        <f ca="1">IFERROR(__xludf.DUMMYFUNCTION("""COMPUTED_VALUE"""),"Building")</f>
        <v>Building</v>
      </c>
      <c r="D1498" s="2" t="str">
        <f ca="1">IFERROR(__xludf.DUMMYFUNCTION("""COMPUTED_VALUE"""),"Dubai&gt;Jumeirah Lake Towers (JLT)&gt;JLT Cluster X (Jumeirah Bay Towers)&gt;Jumeirah Bay X2")</f>
        <v>Dubai&gt;Jumeirah Lake Towers (JLT)&gt;JLT Cluster X (Jumeirah Bay Towers)&gt;Jumeirah Bay X2</v>
      </c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</row>
    <row r="1499" spans="1:26" ht="16.5" x14ac:dyDescent="0.35">
      <c r="A1499" s="2" t="str">
        <f ca="1">IFERROR(__xludf.DUMMYFUNCTION("""COMPUTED_VALUE"""),"Dubai")</f>
        <v>Dubai</v>
      </c>
      <c r="B1499" s="2" t="str">
        <f ca="1">IFERROR(__xludf.DUMMYFUNCTION("""COMPUTED_VALUE"""),"Sweid One")</f>
        <v>Sweid One</v>
      </c>
      <c r="C1499" s="2" t="str">
        <f ca="1">IFERROR(__xludf.DUMMYFUNCTION("""COMPUTED_VALUE"""),"Building")</f>
        <v>Building</v>
      </c>
      <c r="D1499" s="2" t="str">
        <f ca="1">IFERROR(__xludf.DUMMYFUNCTION("""COMPUTED_VALUE"""),"Dubai&gt;Jumeirah Lake Towers (JLT)&gt;Sweid One")</f>
        <v>Dubai&gt;Jumeirah Lake Towers (JLT)&gt;Sweid One</v>
      </c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</row>
    <row r="1500" spans="1:26" ht="16.5" x14ac:dyDescent="0.35">
      <c r="A1500" s="2" t="str">
        <f ca="1">IFERROR(__xludf.DUMMYFUNCTION("""COMPUTED_VALUE"""),"Dubai")</f>
        <v>Dubai</v>
      </c>
      <c r="B1500" s="2" t="str">
        <f ca="1">IFERROR(__xludf.DUMMYFUNCTION("""COMPUTED_VALUE"""),"Rosa")</f>
        <v>Rosa</v>
      </c>
      <c r="C1500" s="2" t="str">
        <f ca="1">IFERROR(__xludf.DUMMYFUNCTION("""COMPUTED_VALUE"""),"Neighbourhood")</f>
        <v>Neighbourhood</v>
      </c>
      <c r="D1500" s="2" t="str">
        <f ca="1">IFERROR(__xludf.DUMMYFUNCTION("""COMPUTED_VALUE"""),"Dubai&gt;Arabian Ranches 2&gt;Rosa")</f>
        <v>Dubai&gt;Arabian Ranches 2&gt;Rosa</v>
      </c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</row>
    <row r="1501" spans="1:26" ht="16.5" x14ac:dyDescent="0.35">
      <c r="A1501" s="2" t="str">
        <f ca="1">IFERROR(__xludf.DUMMYFUNCTION("""COMPUTED_VALUE"""),"Dubai")</f>
        <v>Dubai</v>
      </c>
      <c r="B1501" s="2" t="str">
        <f ca="1">IFERROR(__xludf.DUMMYFUNCTION("""COMPUTED_VALUE"""),"Al Manzil 2")</f>
        <v>Al Manzil 2</v>
      </c>
      <c r="C1501" s="2" t="str">
        <f ca="1">IFERROR(__xludf.DUMMYFUNCTION("""COMPUTED_VALUE"""),"Building")</f>
        <v>Building</v>
      </c>
      <c r="D1501" s="2" t="str">
        <f ca="1">IFERROR(__xludf.DUMMYFUNCTION("""COMPUTED_VALUE"""),"Dubai&gt;Al Satwa&gt;Jumeirah Garden City&gt;Al Manzil 2")</f>
        <v>Dubai&gt;Al Satwa&gt;Jumeirah Garden City&gt;Al Manzil 2</v>
      </c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</row>
    <row r="1502" spans="1:26" ht="16.5" x14ac:dyDescent="0.35">
      <c r="A1502" s="2" t="str">
        <f ca="1">IFERROR(__xludf.DUMMYFUNCTION("""COMPUTED_VALUE"""),"Dubai")</f>
        <v>Dubai</v>
      </c>
      <c r="B1502" s="2" t="str">
        <f ca="1">IFERROR(__xludf.DUMMYFUNCTION("""COMPUTED_VALUE"""),"Alba Tower")</f>
        <v>Alba Tower</v>
      </c>
      <c r="C1502" s="2" t="str">
        <f ca="1">IFERROR(__xludf.DUMMYFUNCTION("""COMPUTED_VALUE"""),"Building")</f>
        <v>Building</v>
      </c>
      <c r="D1502" s="2" t="str">
        <f ca="1">IFERROR(__xludf.DUMMYFUNCTION("""COMPUTED_VALUE"""),"Dubai&gt;Al Satwa&gt;Jumeirah Garden City&gt;Alba Tower")</f>
        <v>Dubai&gt;Al Satwa&gt;Jumeirah Garden City&gt;Alba Tower</v>
      </c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</row>
    <row r="1503" spans="1:26" ht="16.5" x14ac:dyDescent="0.35">
      <c r="A1503" s="2" t="str">
        <f ca="1">IFERROR(__xludf.DUMMYFUNCTION("""COMPUTED_VALUE"""),"Dubai")</f>
        <v>Dubai</v>
      </c>
      <c r="B1503" s="2" t="str">
        <f ca="1">IFERROR(__xludf.DUMMYFUNCTION("""COMPUTED_VALUE"""),"Elemental 22")</f>
        <v>Elemental 22</v>
      </c>
      <c r="C1503" s="2" t="str">
        <f ca="1">IFERROR(__xludf.DUMMYFUNCTION("""COMPUTED_VALUE"""),"Building")</f>
        <v>Building</v>
      </c>
      <c r="D1503" s="2" t="str">
        <f ca="1">IFERROR(__xludf.DUMMYFUNCTION("""COMPUTED_VALUE"""),"Dubai&gt;Al Satwa&gt;Jumeirah Garden City&gt;Elemental 22")</f>
        <v>Dubai&gt;Al Satwa&gt;Jumeirah Garden City&gt;Elemental 22</v>
      </c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</row>
    <row r="1504" spans="1:26" ht="16.5" x14ac:dyDescent="0.35">
      <c r="A1504" s="2" t="str">
        <f ca="1">IFERROR(__xludf.DUMMYFUNCTION("""COMPUTED_VALUE"""),"Dubai")</f>
        <v>Dubai</v>
      </c>
      <c r="B1504" s="2" t="str">
        <f ca="1">IFERROR(__xludf.DUMMYFUNCTION("""COMPUTED_VALUE"""),"Al Tayer Building")</f>
        <v>Al Tayer Building</v>
      </c>
      <c r="C1504" s="2" t="str">
        <f ca="1">IFERROR(__xludf.DUMMYFUNCTION("""COMPUTED_VALUE"""),"Building")</f>
        <v>Building</v>
      </c>
      <c r="D1504" s="2" t="str">
        <f ca="1">IFERROR(__xludf.DUMMYFUNCTION("""COMPUTED_VALUE"""),"Dubai&gt;Al Satwa&gt;Al Tayer Building")</f>
        <v>Dubai&gt;Al Satwa&gt;Al Tayer Building</v>
      </c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</row>
    <row r="1505" spans="1:26" ht="16.5" x14ac:dyDescent="0.35">
      <c r="A1505" s="2" t="str">
        <f ca="1">IFERROR(__xludf.DUMMYFUNCTION("""COMPUTED_VALUE"""),"Dubai")</f>
        <v>Dubai</v>
      </c>
      <c r="B1505" s="2" t="str">
        <f ca="1">IFERROR(__xludf.DUMMYFUNCTION("""COMPUTED_VALUE"""),"The Sustainable Plaza")</f>
        <v>The Sustainable Plaza</v>
      </c>
      <c r="C1505" s="2" t="str">
        <f ca="1">IFERROR(__xludf.DUMMYFUNCTION("""COMPUTED_VALUE"""),"Neighbourhood")</f>
        <v>Neighbourhood</v>
      </c>
      <c r="D1505" s="2" t="str">
        <f ca="1">IFERROR(__xludf.DUMMYFUNCTION("""COMPUTED_VALUE"""),"Dubai&gt;The Sustainable City&gt;The Sustainable Plaza")</f>
        <v>Dubai&gt;The Sustainable City&gt;The Sustainable Plaza</v>
      </c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</row>
    <row r="1506" spans="1:26" ht="16.5" x14ac:dyDescent="0.35">
      <c r="A1506" s="2" t="str">
        <f ca="1">IFERROR(__xludf.DUMMYFUNCTION("""COMPUTED_VALUE"""),"Dubai")</f>
        <v>Dubai</v>
      </c>
      <c r="B1506" s="2" t="str">
        <f ca="1">IFERROR(__xludf.DUMMYFUNCTION("""COMPUTED_VALUE"""),"Building 131")</f>
        <v>Building 131</v>
      </c>
      <c r="C1506" s="2" t="str">
        <f ca="1">IFERROR(__xludf.DUMMYFUNCTION("""COMPUTED_VALUE"""),"Building")</f>
        <v>Building</v>
      </c>
      <c r="D1506" s="2" t="str">
        <f ca="1">IFERROR(__xludf.DUMMYFUNCTION("""COMPUTED_VALUE"""),"Dubai&gt;Discovery Gardens&gt;Contemporary&gt;Building 131")</f>
        <v>Dubai&gt;Discovery Gardens&gt;Contemporary&gt;Building 131</v>
      </c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</row>
    <row r="1507" spans="1:26" ht="16.5" x14ac:dyDescent="0.35">
      <c r="A1507" s="2" t="str">
        <f ca="1">IFERROR(__xludf.DUMMYFUNCTION("""COMPUTED_VALUE"""),"Dubai")</f>
        <v>Dubai</v>
      </c>
      <c r="B1507" s="2" t="str">
        <f ca="1">IFERROR(__xludf.DUMMYFUNCTION("""COMPUTED_VALUE"""),"Building 179")</f>
        <v>Building 179</v>
      </c>
      <c r="C1507" s="2" t="str">
        <f ca="1">IFERROR(__xludf.DUMMYFUNCTION("""COMPUTED_VALUE"""),"Building")</f>
        <v>Building</v>
      </c>
      <c r="D1507" s="2" t="str">
        <f ca="1">IFERROR(__xludf.DUMMYFUNCTION("""COMPUTED_VALUE"""),"Dubai&gt;Discovery Gardens&gt;Mogul&gt;Building 179")</f>
        <v>Dubai&gt;Discovery Gardens&gt;Mogul&gt;Building 179</v>
      </c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</row>
    <row r="1508" spans="1:26" ht="16.5" x14ac:dyDescent="0.35">
      <c r="A1508" s="2" t="str">
        <f ca="1">IFERROR(__xludf.DUMMYFUNCTION("""COMPUTED_VALUE"""),"Dubai")</f>
        <v>Dubai</v>
      </c>
      <c r="B1508" s="2" t="str">
        <f ca="1">IFERROR(__xludf.DUMMYFUNCTION("""COMPUTED_VALUE"""),"Building 222")</f>
        <v>Building 222</v>
      </c>
      <c r="C1508" s="2" t="str">
        <f ca="1">IFERROR(__xludf.DUMMYFUNCTION("""COMPUTED_VALUE"""),"Building")</f>
        <v>Building</v>
      </c>
      <c r="D1508" s="2" t="str">
        <f ca="1">IFERROR(__xludf.DUMMYFUNCTION("""COMPUTED_VALUE"""),"Dubai&gt;Discovery Gardens&gt;Mogul&gt;Building 222")</f>
        <v>Dubai&gt;Discovery Gardens&gt;Mogul&gt;Building 222</v>
      </c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</row>
    <row r="1509" spans="1:26" ht="16.5" x14ac:dyDescent="0.35">
      <c r="A1509" s="2" t="str">
        <f ca="1">IFERROR(__xludf.DUMMYFUNCTION("""COMPUTED_VALUE"""),"Dubai")</f>
        <v>Dubai</v>
      </c>
      <c r="B1509" s="2" t="str">
        <f ca="1">IFERROR(__xludf.DUMMYFUNCTION("""COMPUTED_VALUE"""),"Building 23")</f>
        <v>Building 23</v>
      </c>
      <c r="C1509" s="2" t="str">
        <f ca="1">IFERROR(__xludf.DUMMYFUNCTION("""COMPUTED_VALUE"""),"Building")</f>
        <v>Building</v>
      </c>
      <c r="D1509" s="2" t="str">
        <f ca="1">IFERROR(__xludf.DUMMYFUNCTION("""COMPUTED_VALUE"""),"Dubai&gt;Discovery Gardens&gt;Zen Cluster&gt;Building 23")</f>
        <v>Dubai&gt;Discovery Gardens&gt;Zen Cluster&gt;Building 23</v>
      </c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</row>
    <row r="1510" spans="1:26" ht="16.5" x14ac:dyDescent="0.35">
      <c r="A1510" s="2" t="str">
        <f ca="1">IFERROR(__xludf.DUMMYFUNCTION("""COMPUTED_VALUE"""),"Dubai")</f>
        <v>Dubai</v>
      </c>
      <c r="B1510" s="2" t="str">
        <f ca="1">IFERROR(__xludf.DUMMYFUNCTION("""COMPUTED_VALUE"""),"Building 58")</f>
        <v>Building 58</v>
      </c>
      <c r="C1510" s="2" t="str">
        <f ca="1">IFERROR(__xludf.DUMMYFUNCTION("""COMPUTED_VALUE"""),"Building")</f>
        <v>Building</v>
      </c>
      <c r="D1510" s="2" t="str">
        <f ca="1">IFERROR(__xludf.DUMMYFUNCTION("""COMPUTED_VALUE"""),"Dubai&gt;Discovery Gardens&gt;Mediterranean&gt;Building 58")</f>
        <v>Dubai&gt;Discovery Gardens&gt;Mediterranean&gt;Building 58</v>
      </c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</row>
    <row r="1511" spans="1:26" ht="16.5" x14ac:dyDescent="0.35">
      <c r="A1511" s="2" t="str">
        <f ca="1">IFERROR(__xludf.DUMMYFUNCTION("""COMPUTED_VALUE"""),"Dubai")</f>
        <v>Dubai</v>
      </c>
      <c r="B1511" s="2" t="str">
        <f ca="1">IFERROR(__xludf.DUMMYFUNCTION("""COMPUTED_VALUE"""),"Building 69")</f>
        <v>Building 69</v>
      </c>
      <c r="C1511" s="2" t="str">
        <f ca="1">IFERROR(__xludf.DUMMYFUNCTION("""COMPUTED_VALUE"""),"Building")</f>
        <v>Building</v>
      </c>
      <c r="D1511" s="2" t="str">
        <f ca="1">IFERROR(__xludf.DUMMYFUNCTION("""COMPUTED_VALUE"""),"Dubai&gt;Discovery Gardens&gt;Mediterranean&gt;Building 69")</f>
        <v>Dubai&gt;Discovery Gardens&gt;Mediterranean&gt;Building 69</v>
      </c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</row>
    <row r="1512" spans="1:26" ht="16.5" x14ac:dyDescent="0.35">
      <c r="A1512" s="2" t="str">
        <f ca="1">IFERROR(__xludf.DUMMYFUNCTION("""COMPUTED_VALUE"""),"Dubai")</f>
        <v>Dubai</v>
      </c>
      <c r="B1512" s="2" t="str">
        <f ca="1">IFERROR(__xludf.DUMMYFUNCTION("""COMPUTED_VALUE"""),"Trussardi Residences 2")</f>
        <v>Trussardi Residences 2</v>
      </c>
      <c r="C1512" s="2" t="str">
        <f ca="1">IFERROR(__xludf.DUMMYFUNCTION("""COMPUTED_VALUE"""),"Cluster")</f>
        <v>Cluster</v>
      </c>
      <c r="D1512" s="2" t="str">
        <f ca="1">IFERROR(__xludf.DUMMYFUNCTION("""COMPUTED_VALUE"""),"Dubai&gt;Discovery Gardens&gt;Trussardi Residences 2")</f>
        <v>Dubai&gt;Discovery Gardens&gt;Trussardi Residences 2</v>
      </c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</row>
    <row r="1513" spans="1:26" ht="16.5" x14ac:dyDescent="0.35">
      <c r="A1513" s="2" t="str">
        <f ca="1">IFERROR(__xludf.DUMMYFUNCTION("""COMPUTED_VALUE"""),"Dubai")</f>
        <v>Dubai</v>
      </c>
      <c r="B1513" s="2" t="str">
        <f ca="1">IFERROR(__xludf.DUMMYFUNCTION("""COMPUTED_VALUE"""),"Al Haseer")</f>
        <v>Al Haseer</v>
      </c>
      <c r="C1513" s="2" t="str">
        <f ca="1">IFERROR(__xludf.DUMMYFUNCTION("""COMPUTED_VALUE"""),"Building")</f>
        <v>Building</v>
      </c>
      <c r="D1513" s="2" t="str">
        <f ca="1">IFERROR(__xludf.DUMMYFUNCTION("""COMPUTED_VALUE"""),"Dubai&gt;Palm Jumeirah&gt;Shoreline Apartments&gt;Al Haseer")</f>
        <v>Dubai&gt;Palm Jumeirah&gt;Shoreline Apartments&gt;Al Haseer</v>
      </c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</row>
    <row r="1514" spans="1:26" ht="16.5" x14ac:dyDescent="0.35">
      <c r="A1514" s="2" t="str">
        <f ca="1">IFERROR(__xludf.DUMMYFUNCTION("""COMPUTED_VALUE"""),"Dubai")</f>
        <v>Dubai</v>
      </c>
      <c r="B1514" s="2" t="str">
        <f ca="1">IFERROR(__xludf.DUMMYFUNCTION("""COMPUTED_VALUE"""),"Signature Villas Frond K")</f>
        <v>Signature Villas Frond K</v>
      </c>
      <c r="C1514" s="2" t="str">
        <f ca="1">IFERROR(__xludf.DUMMYFUNCTION("""COMPUTED_VALUE"""),"Neighbourhood")</f>
        <v>Neighbourhood</v>
      </c>
      <c r="D1514" s="2" t="str">
        <f ca="1">IFERROR(__xludf.DUMMYFUNCTION("""COMPUTED_VALUE"""),"Dubai&gt;Palm Jumeirah&gt;Signature Villas Palm Jumeirah&gt;Signature Villas Frond K")</f>
        <v>Dubai&gt;Palm Jumeirah&gt;Signature Villas Palm Jumeirah&gt;Signature Villas Frond K</v>
      </c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</row>
    <row r="1515" spans="1:26" ht="16.5" x14ac:dyDescent="0.35">
      <c r="A1515" s="2" t="str">
        <f ca="1">IFERROR(__xludf.DUMMYFUNCTION("""COMPUTED_VALUE"""),"Dubai")</f>
        <v>Dubai</v>
      </c>
      <c r="B1515" s="2" t="str">
        <f ca="1">IFERROR(__xludf.DUMMYFUNCTION("""COMPUTED_VALUE"""),"The Fairmont Palm Residence North")</f>
        <v>The Fairmont Palm Residence North</v>
      </c>
      <c r="C1515" s="2" t="str">
        <f ca="1">IFERROR(__xludf.DUMMYFUNCTION("""COMPUTED_VALUE"""),"Building")</f>
        <v>Building</v>
      </c>
      <c r="D1515" s="2" t="str">
        <f ca="1">IFERROR(__xludf.DUMMYFUNCTION("""COMPUTED_VALUE"""),"Dubai&gt;Palm Jumeirah&gt;The Fairmont Palm Residences&gt;The Fairmont Palm Residence North")</f>
        <v>Dubai&gt;Palm Jumeirah&gt;The Fairmont Palm Residences&gt;The Fairmont Palm Residence North</v>
      </c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</row>
    <row r="1516" spans="1:26" ht="16.5" x14ac:dyDescent="0.35">
      <c r="A1516" s="2" t="str">
        <f ca="1">IFERROR(__xludf.DUMMYFUNCTION("""COMPUTED_VALUE"""),"Dubai")</f>
        <v>Dubai</v>
      </c>
      <c r="B1516" s="2" t="str">
        <f ca="1">IFERROR(__xludf.DUMMYFUNCTION("""COMPUTED_VALUE"""),"Passo by Beyond")</f>
        <v>Passo by Beyond</v>
      </c>
      <c r="C1516" s="2" t="str">
        <f ca="1">IFERROR(__xludf.DUMMYFUNCTION("""COMPUTED_VALUE"""),"Cluster")</f>
        <v>Cluster</v>
      </c>
      <c r="D1516" s="2" t="str">
        <f ca="1">IFERROR(__xludf.DUMMYFUNCTION("""COMPUTED_VALUE"""),"Dubai&gt;Palm Jumeirah&gt;The Crescent&gt;Passo by Beyond")</f>
        <v>Dubai&gt;Palm Jumeirah&gt;The Crescent&gt;Passo by Beyond</v>
      </c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</row>
    <row r="1517" spans="1:26" ht="16.5" x14ac:dyDescent="0.35">
      <c r="A1517" s="2" t="str">
        <f ca="1">IFERROR(__xludf.DUMMYFUNCTION("""COMPUTED_VALUE"""),"Dubai")</f>
        <v>Dubai</v>
      </c>
      <c r="B1517" s="2" t="str">
        <f ca="1">IFERROR(__xludf.DUMMYFUNCTION("""COMPUTED_VALUE"""),"Six Senses Hotel")</f>
        <v>Six Senses Hotel</v>
      </c>
      <c r="C1517" s="2" t="str">
        <f ca="1">IFERROR(__xludf.DUMMYFUNCTION("""COMPUTED_VALUE"""),"Building")</f>
        <v>Building</v>
      </c>
      <c r="D1517" s="2" t="str">
        <f ca="1">IFERROR(__xludf.DUMMYFUNCTION("""COMPUTED_VALUE"""),"Dubai&gt;Palm Jumeirah&gt;Six Senses Residences&gt;Six Senses Hotel")</f>
        <v>Dubai&gt;Palm Jumeirah&gt;Six Senses Residences&gt;Six Senses Hotel</v>
      </c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</row>
    <row r="1518" spans="1:26" ht="16.5" x14ac:dyDescent="0.35">
      <c r="A1518" s="2" t="str">
        <f ca="1">IFERROR(__xludf.DUMMYFUNCTION("""COMPUTED_VALUE"""),"Dubai")</f>
        <v>Dubai</v>
      </c>
      <c r="B1518" s="2" t="str">
        <f ca="1">IFERROR(__xludf.DUMMYFUNCTION("""COMPUTED_VALUE"""),"Como Residences")</f>
        <v>Como Residences</v>
      </c>
      <c r="C1518" s="2" t="str">
        <f ca="1">IFERROR(__xludf.DUMMYFUNCTION("""COMPUTED_VALUE"""),"Building")</f>
        <v>Building</v>
      </c>
      <c r="D1518" s="2" t="str">
        <f ca="1">IFERROR(__xludf.DUMMYFUNCTION("""COMPUTED_VALUE"""),"Dubai&gt;Palm Jumeirah&gt;Como Residences")</f>
        <v>Dubai&gt;Palm Jumeirah&gt;Como Residences</v>
      </c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</row>
    <row r="1519" spans="1:26" ht="16.5" x14ac:dyDescent="0.35">
      <c r="A1519" s="2" t="str">
        <f ca="1">IFERROR(__xludf.DUMMYFUNCTION("""COMPUTED_VALUE"""),"Dubai")</f>
        <v>Dubai</v>
      </c>
      <c r="B1519" s="2" t="str">
        <f ca="1">IFERROR(__xludf.DUMMYFUNCTION("""COMPUTED_VALUE"""),"Orchid Residence")</f>
        <v>Orchid Residence</v>
      </c>
      <c r="C1519" s="2" t="str">
        <f ca="1">IFERROR(__xludf.DUMMYFUNCTION("""COMPUTED_VALUE"""),"Building")</f>
        <v>Building</v>
      </c>
      <c r="D1519" s="2" t="str">
        <f ca="1">IFERROR(__xludf.DUMMYFUNCTION("""COMPUTED_VALUE"""),"Dubai&gt;Al Jaddaf&gt;Orchid Residence")</f>
        <v>Dubai&gt;Al Jaddaf&gt;Orchid Residence</v>
      </c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</row>
    <row r="1520" spans="1:26" ht="16.5" x14ac:dyDescent="0.35">
      <c r="A1520" s="2" t="str">
        <f ca="1">IFERROR(__xludf.DUMMYFUNCTION("""COMPUTED_VALUE"""),"Dubai")</f>
        <v>Dubai</v>
      </c>
      <c r="B1520" s="2" t="str">
        <f ca="1">IFERROR(__xludf.DUMMYFUNCTION("""COMPUTED_VALUE"""),"Binghatti Ghost")</f>
        <v>Binghatti Ghost</v>
      </c>
      <c r="C1520" s="2" t="str">
        <f ca="1">IFERROR(__xludf.DUMMYFUNCTION("""COMPUTED_VALUE"""),"Building")</f>
        <v>Building</v>
      </c>
      <c r="D1520" s="2" t="str">
        <f ca="1">IFERROR(__xludf.DUMMYFUNCTION("""COMPUTED_VALUE"""),"Dubai&gt;Al Jaddaf&gt;Dubai Healthcare City Phase 2&gt;Binghatti Ghost")</f>
        <v>Dubai&gt;Al Jaddaf&gt;Dubai Healthcare City Phase 2&gt;Binghatti Ghost</v>
      </c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</row>
    <row r="1521" spans="1:26" ht="16.5" x14ac:dyDescent="0.35">
      <c r="A1521" s="2" t="str">
        <f ca="1">IFERROR(__xludf.DUMMYFUNCTION("""COMPUTED_VALUE"""),"Dubai")</f>
        <v>Dubai</v>
      </c>
      <c r="B1521" s="2" t="str">
        <f ca="1">IFERROR(__xludf.DUMMYFUNCTION("""COMPUTED_VALUE"""),"Hoor 17")</f>
        <v>Hoor 17</v>
      </c>
      <c r="C1521" s="2" t="str">
        <f ca="1">IFERROR(__xludf.DUMMYFUNCTION("""COMPUTED_VALUE"""),"Building")</f>
        <v>Building</v>
      </c>
      <c r="D1521" s="2" t="str">
        <f ca="1">IFERROR(__xludf.DUMMYFUNCTION("""COMPUTED_VALUE"""),"Dubai&gt;Al Jaddaf&gt;Hoor 17")</f>
        <v>Dubai&gt;Al Jaddaf&gt;Hoor 17</v>
      </c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</row>
    <row r="1522" spans="1:26" ht="16.5" x14ac:dyDescent="0.35">
      <c r="A1522" s="2" t="str">
        <f ca="1">IFERROR(__xludf.DUMMYFUNCTION("""COMPUTED_VALUE"""),"Dubai")</f>
        <v>Dubai</v>
      </c>
      <c r="B1522" s="2" t="str">
        <f ca="1">IFERROR(__xludf.DUMMYFUNCTION("""COMPUTED_VALUE"""),"Azizi Farishta 2")</f>
        <v>Azizi Farishta 2</v>
      </c>
      <c r="C1522" s="2" t="str">
        <f ca="1">IFERROR(__xludf.DUMMYFUNCTION("""COMPUTED_VALUE"""),"Building")</f>
        <v>Building</v>
      </c>
      <c r="D1522" s="2" t="str">
        <f ca="1">IFERROR(__xludf.DUMMYFUNCTION("""COMPUTED_VALUE"""),"Dubai&gt;Al Jaddaf&gt;Azizi Farishta 2")</f>
        <v>Dubai&gt;Al Jaddaf&gt;Azizi Farishta 2</v>
      </c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</row>
    <row r="1523" spans="1:26" ht="16.5" x14ac:dyDescent="0.35">
      <c r="A1523" s="2" t="str">
        <f ca="1">IFERROR(__xludf.DUMMYFUNCTION("""COMPUTED_VALUE"""),"Dubai")</f>
        <v>Dubai</v>
      </c>
      <c r="B1523" s="2" t="str">
        <f ca="1">IFERROR(__xludf.DUMMYFUNCTION("""COMPUTED_VALUE"""),"Frond I")</f>
        <v>Frond I</v>
      </c>
      <c r="C1523" s="2" t="str">
        <f ca="1">IFERROR(__xludf.DUMMYFUNCTION("""COMPUTED_VALUE"""),"Neighbourhood")</f>
        <v>Neighbourhood</v>
      </c>
      <c r="D1523" s="2" t="str">
        <f ca="1">IFERROR(__xludf.DUMMYFUNCTION("""COMPUTED_VALUE"""),"Dubai&gt;Palm Jebel Ali&gt;Frond I")</f>
        <v>Dubai&gt;Palm Jebel Ali&gt;Frond I</v>
      </c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</row>
    <row r="1524" spans="1:26" ht="16.5" x14ac:dyDescent="0.35">
      <c r="A1524" s="2" t="str">
        <f ca="1">IFERROR(__xludf.DUMMYFUNCTION("""COMPUTED_VALUE"""),"Dubai")</f>
        <v>Dubai</v>
      </c>
      <c r="B1524" s="2" t="str">
        <f ca="1">IFERROR(__xludf.DUMMYFUNCTION("""COMPUTED_VALUE"""),"Vincitore Aqua Dimore")</f>
        <v>Vincitore Aqua Dimore</v>
      </c>
      <c r="C1524" s="2" t="str">
        <f ca="1">IFERROR(__xludf.DUMMYFUNCTION("""COMPUTED_VALUE"""),"Building")</f>
        <v>Building</v>
      </c>
      <c r="D1524" s="2" t="str">
        <f ca="1">IFERROR(__xludf.DUMMYFUNCTION("""COMPUTED_VALUE"""),"Dubai&gt;Dubai Science Park&gt;Vincitore Aqua Dimore")</f>
        <v>Dubai&gt;Dubai Science Park&gt;Vincitore Aqua Dimore</v>
      </c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</row>
    <row r="1525" spans="1:26" ht="16.5" x14ac:dyDescent="0.35">
      <c r="A1525" s="2" t="str">
        <f ca="1">IFERROR(__xludf.DUMMYFUNCTION("""COMPUTED_VALUE"""),"Dubai")</f>
        <v>Dubai</v>
      </c>
      <c r="B1525" s="2" t="str">
        <f ca="1">IFERROR(__xludf.DUMMYFUNCTION("""COMPUTED_VALUE"""),"The Springs 2")</f>
        <v>The Springs 2</v>
      </c>
      <c r="C1525" s="2" t="str">
        <f ca="1">IFERROR(__xludf.DUMMYFUNCTION("""COMPUTED_VALUE"""),"Neighbourhood")</f>
        <v>Neighbourhood</v>
      </c>
      <c r="D1525" s="2" t="str">
        <f ca="1">IFERROR(__xludf.DUMMYFUNCTION("""COMPUTED_VALUE"""),"Dubai&gt;The Springs&gt;The Springs 2")</f>
        <v>Dubai&gt;The Springs&gt;The Springs 2</v>
      </c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</row>
    <row r="1526" spans="1:26" ht="16.5" x14ac:dyDescent="0.35">
      <c r="A1526" s="2" t="str">
        <f ca="1">IFERROR(__xludf.DUMMYFUNCTION("""COMPUTED_VALUE"""),"Dubai")</f>
        <v>Dubai</v>
      </c>
      <c r="B1526" s="2" t="str">
        <f ca="1">IFERROR(__xludf.DUMMYFUNCTION("""COMPUTED_VALUE"""),"Hillside Residences 3 Building C")</f>
        <v>Hillside Residences 3 Building C</v>
      </c>
      <c r="C1526" s="2" t="str">
        <f ca="1">IFERROR(__xludf.DUMMYFUNCTION("""COMPUTED_VALUE"""),"Building")</f>
        <v>Building</v>
      </c>
      <c r="D1526" s="2" t="str">
        <f ca="1">IFERROR(__xludf.DUMMYFUNCTION("""COMPUTED_VALUE"""),"Dubai&gt;Wasl Gate&gt;Hillside Residences&gt;Hillside Residences 3&gt;Hillside Residences 3 Building C")</f>
        <v>Dubai&gt;Wasl Gate&gt;Hillside Residences&gt;Hillside Residences 3&gt;Hillside Residences 3 Building C</v>
      </c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</row>
    <row r="1527" spans="1:26" ht="16.5" x14ac:dyDescent="0.35">
      <c r="A1527" s="2" t="str">
        <f ca="1">IFERROR(__xludf.DUMMYFUNCTION("""COMPUTED_VALUE"""),"Dubai")</f>
        <v>Dubai</v>
      </c>
      <c r="B1527" s="2" t="str">
        <f ca="1">IFERROR(__xludf.DUMMYFUNCTION("""COMPUTED_VALUE"""),"Queen'S Garden")</f>
        <v>Queen'S Garden</v>
      </c>
      <c r="C1527" s="2" t="str">
        <f ca="1">IFERROR(__xludf.DUMMYFUNCTION("""COMPUTED_VALUE"""),"Building")</f>
        <v>Building</v>
      </c>
      <c r="D1527" s="2" t="str">
        <f ca="1">IFERROR(__xludf.DUMMYFUNCTION("""COMPUTED_VALUE"""),"Dubai&gt;Nad Al Sheba&gt;Nad Al Sheba 1&gt;Nad Al Sheba Gardens&gt;Nad Al Sheba Gardens 1&gt;Queen'S Garden")</f>
        <v>Dubai&gt;Nad Al Sheba&gt;Nad Al Sheba 1&gt;Nad Al Sheba Gardens&gt;Nad Al Sheba Gardens 1&gt;Queen'S Garden</v>
      </c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</row>
    <row r="1528" spans="1:26" ht="16.5" x14ac:dyDescent="0.35">
      <c r="A1528" s="2" t="str">
        <f ca="1">IFERROR(__xludf.DUMMYFUNCTION("""COMPUTED_VALUE"""),"Dubai")</f>
        <v>Dubai</v>
      </c>
      <c r="B1528" s="2" t="str">
        <f ca="1">IFERROR(__xludf.DUMMYFUNCTION("""COMPUTED_VALUE"""),"Office Park")</f>
        <v>Office Park</v>
      </c>
      <c r="C1528" s="2" t="str">
        <f ca="1">IFERROR(__xludf.DUMMYFUNCTION("""COMPUTED_VALUE"""),"Neighbourhood")</f>
        <v>Neighbourhood</v>
      </c>
      <c r="D1528" s="2" t="str">
        <f ca="1">IFERROR(__xludf.DUMMYFUNCTION("""COMPUTED_VALUE"""),"Dubai&gt;Dubai Internet City&gt;Office Park")</f>
        <v>Dubai&gt;Dubai Internet City&gt;Office Park</v>
      </c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</row>
    <row r="1529" spans="1:26" ht="16.5" x14ac:dyDescent="0.35">
      <c r="A1529" s="2" t="str">
        <f ca="1">IFERROR(__xludf.DUMMYFUNCTION("""COMPUTED_VALUE"""),"Dubai")</f>
        <v>Dubai</v>
      </c>
      <c r="B1529" s="2" t="str">
        <f ca="1">IFERROR(__xludf.DUMMYFUNCTION("""COMPUTED_VALUE"""),"DIC 6")</f>
        <v>DIC 6</v>
      </c>
      <c r="C1529" s="2" t="str">
        <f ca="1">IFERROR(__xludf.DUMMYFUNCTION("""COMPUTED_VALUE"""),"Building")</f>
        <v>Building</v>
      </c>
      <c r="D1529" s="2" t="str">
        <f ca="1">IFERROR(__xludf.DUMMYFUNCTION("""COMPUTED_VALUE"""),"Dubai&gt;Dubai Internet City&gt;DIC&gt;DIC 6")</f>
        <v>Dubai&gt;Dubai Internet City&gt;DIC&gt;DIC 6</v>
      </c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</row>
    <row r="1530" spans="1:26" ht="16.5" x14ac:dyDescent="0.35">
      <c r="A1530" s="2" t="str">
        <f ca="1">IFERROR(__xludf.DUMMYFUNCTION("""COMPUTED_VALUE"""),"Dubai")</f>
        <v>Dubai</v>
      </c>
      <c r="B1530" s="2" t="str">
        <f ca="1">IFERROR(__xludf.DUMMYFUNCTION("""COMPUTED_VALUE"""),"May")</f>
        <v>May</v>
      </c>
      <c r="C1530" s="2" t="str">
        <f ca="1">IFERROR(__xludf.DUMMYFUNCTION("""COMPUTED_VALUE"""),"Neighbourhood")</f>
        <v>Neighbourhood</v>
      </c>
      <c r="D1530" s="2" t="str">
        <f ca="1">IFERROR(__xludf.DUMMYFUNCTION("""COMPUTED_VALUE"""),"Dubai&gt;Arabian Ranches 3&gt;May")</f>
        <v>Dubai&gt;Arabian Ranches 3&gt;May</v>
      </c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</row>
    <row r="1531" spans="1:26" ht="16.5" x14ac:dyDescent="0.35">
      <c r="A1531" s="2" t="str">
        <f ca="1">IFERROR(__xludf.DUMMYFUNCTION("""COMPUTED_VALUE"""),"Dubai")</f>
        <v>Dubai</v>
      </c>
      <c r="B1531" s="2" t="str">
        <f ca="1">IFERROR(__xludf.DUMMYFUNCTION("""COMPUTED_VALUE"""),"Ocean Star Building 1")</f>
        <v>Ocean Star Building 1</v>
      </c>
      <c r="C1531" s="2" t="str">
        <f ca="1">IFERROR(__xludf.DUMMYFUNCTION("""COMPUTED_VALUE"""),"Building")</f>
        <v>Building</v>
      </c>
      <c r="D1531" s="2" t="str">
        <f ca="1">IFERROR(__xludf.DUMMYFUNCTION("""COMPUTED_VALUE"""),"Dubai&gt;Mina Rashid&gt;Ocean Star&gt;Ocean Star Building 1")</f>
        <v>Dubai&gt;Mina Rashid&gt;Ocean Star&gt;Ocean Star Building 1</v>
      </c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</row>
    <row r="1532" spans="1:26" ht="16.5" x14ac:dyDescent="0.35">
      <c r="A1532" s="2" t="str">
        <f ca="1">IFERROR(__xludf.DUMMYFUNCTION("""COMPUTED_VALUE"""),"Dubai")</f>
        <v>Dubai</v>
      </c>
      <c r="B1532" s="2" t="str">
        <f ca="1">IFERROR(__xludf.DUMMYFUNCTION("""COMPUTED_VALUE"""),"Sector L")</f>
        <v>Sector L</v>
      </c>
      <c r="C1532" s="2" t="str">
        <f ca="1">IFERROR(__xludf.DUMMYFUNCTION("""COMPUTED_VALUE"""),"Neighbourhood")</f>
        <v>Neighbourhood</v>
      </c>
      <c r="D1532" s="2" t="str">
        <f ca="1">IFERROR(__xludf.DUMMYFUNCTION("""COMPUTED_VALUE"""),"Dubai&gt;Emirates Hills&gt;Sector L")</f>
        <v>Dubai&gt;Emirates Hills&gt;Sector L</v>
      </c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</row>
    <row r="1533" spans="1:26" ht="16.5" x14ac:dyDescent="0.35">
      <c r="A1533" s="2" t="str">
        <f ca="1">IFERROR(__xludf.DUMMYFUNCTION("""COMPUTED_VALUE"""),"Dubai")</f>
        <v>Dubai</v>
      </c>
      <c r="B1533" s="2" t="str">
        <f ca="1">IFERROR(__xludf.DUMMYFUNCTION("""COMPUTED_VALUE"""),"Elea")</f>
        <v>Elea</v>
      </c>
      <c r="C1533" s="2" t="str">
        <f ca="1">IFERROR(__xludf.DUMMYFUNCTION("""COMPUTED_VALUE"""),"Neighbourhood")</f>
        <v>Neighbourhood</v>
      </c>
      <c r="D1533" s="2" t="str">
        <f ca="1">IFERROR(__xludf.DUMMYFUNCTION("""COMPUTED_VALUE"""),"Dubai&gt;The Valley by Emaar&gt;Elea")</f>
        <v>Dubai&gt;The Valley by Emaar&gt;Elea</v>
      </c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</row>
    <row r="1534" spans="1:26" ht="16.5" x14ac:dyDescent="0.35">
      <c r="A1534" s="2" t="str">
        <f ca="1">IFERROR(__xludf.DUMMYFUNCTION("""COMPUTED_VALUE"""),"Dubai")</f>
        <v>Dubai</v>
      </c>
      <c r="B1534" s="2" t="str">
        <f ca="1">IFERROR(__xludf.DUMMYFUNCTION("""COMPUTED_VALUE"""),"Mirador")</f>
        <v>Mirador</v>
      </c>
      <c r="C1534" s="2" t="str">
        <f ca="1">IFERROR(__xludf.DUMMYFUNCTION("""COMPUTED_VALUE"""),"Neighbourhood")</f>
        <v>Neighbourhood</v>
      </c>
      <c r="D1534" s="2" t="str">
        <f ca="1">IFERROR(__xludf.DUMMYFUNCTION("""COMPUTED_VALUE"""),"Dubai&gt;Arabian Ranches&gt;Mirador")</f>
        <v>Dubai&gt;Arabian Ranches&gt;Mirador</v>
      </c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</row>
    <row r="1535" spans="1:26" ht="16.5" x14ac:dyDescent="0.35">
      <c r="A1535" s="2" t="str">
        <f ca="1">IFERROR(__xludf.DUMMYFUNCTION("""COMPUTED_VALUE"""),"Dubai")</f>
        <v>Dubai</v>
      </c>
      <c r="B1535" s="2" t="str">
        <f ca="1">IFERROR(__xludf.DUMMYFUNCTION("""COMPUTED_VALUE"""),"The Gardens Building 96")</f>
        <v>The Gardens Building 96</v>
      </c>
      <c r="C1535" s="2" t="str">
        <f ca="1">IFERROR(__xludf.DUMMYFUNCTION("""COMPUTED_VALUE"""),"Building")</f>
        <v>Building</v>
      </c>
      <c r="D1535" s="2" t="str">
        <f ca="1">IFERROR(__xludf.DUMMYFUNCTION("""COMPUTED_VALUE"""),"Dubai&gt;The Gardens&gt;The Gardens Building 96")</f>
        <v>Dubai&gt;The Gardens&gt;The Gardens Building 96</v>
      </c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</row>
    <row r="1536" spans="1:26" ht="16.5" x14ac:dyDescent="0.35">
      <c r="A1536" s="2" t="str">
        <f ca="1">IFERROR(__xludf.DUMMYFUNCTION("""COMPUTED_VALUE"""),"Dubai")</f>
        <v>Dubai</v>
      </c>
      <c r="B1536" s="2" t="str">
        <f ca="1">IFERROR(__xludf.DUMMYFUNCTION("""COMPUTED_VALUE"""),"The Gardens Building 105")</f>
        <v>The Gardens Building 105</v>
      </c>
      <c r="C1536" s="2" t="str">
        <f ca="1">IFERROR(__xludf.DUMMYFUNCTION("""COMPUTED_VALUE"""),"Building")</f>
        <v>Building</v>
      </c>
      <c r="D1536" s="2" t="str">
        <f ca="1">IFERROR(__xludf.DUMMYFUNCTION("""COMPUTED_VALUE"""),"Dubai&gt;The Gardens&gt;The Gardens Building 105")</f>
        <v>Dubai&gt;The Gardens&gt;The Gardens Building 105</v>
      </c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</row>
    <row r="1537" spans="1:26" ht="16.5" x14ac:dyDescent="0.35">
      <c r="A1537" s="2" t="str">
        <f ca="1">IFERROR(__xludf.DUMMYFUNCTION("""COMPUTED_VALUE"""),"Dubai")</f>
        <v>Dubai</v>
      </c>
      <c r="B1537" s="2" t="str">
        <f ca="1">IFERROR(__xludf.DUMMYFUNCTION("""COMPUTED_VALUE"""),"The Gardens Building 120")</f>
        <v>The Gardens Building 120</v>
      </c>
      <c r="C1537" s="2" t="str">
        <f ca="1">IFERROR(__xludf.DUMMYFUNCTION("""COMPUTED_VALUE"""),"Building")</f>
        <v>Building</v>
      </c>
      <c r="D1537" s="2" t="str">
        <f ca="1">IFERROR(__xludf.DUMMYFUNCTION("""COMPUTED_VALUE"""),"Dubai&gt;The Gardens&gt;The Gardens Building 120")</f>
        <v>Dubai&gt;The Gardens&gt;The Gardens Building 120</v>
      </c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</row>
    <row r="1538" spans="1:26" ht="16.5" x14ac:dyDescent="0.35">
      <c r="A1538" s="2" t="str">
        <f ca="1">IFERROR(__xludf.DUMMYFUNCTION("""COMPUTED_VALUE"""),"Dubai")</f>
        <v>Dubai</v>
      </c>
      <c r="B1538" s="2" t="str">
        <f ca="1">IFERROR(__xludf.DUMMYFUNCTION("""COMPUTED_VALUE"""),"The Gardens Building 34")</f>
        <v>The Gardens Building 34</v>
      </c>
      <c r="C1538" s="2" t="str">
        <f ca="1">IFERROR(__xludf.DUMMYFUNCTION("""COMPUTED_VALUE"""),"Building")</f>
        <v>Building</v>
      </c>
      <c r="D1538" s="2" t="str">
        <f ca="1">IFERROR(__xludf.DUMMYFUNCTION("""COMPUTED_VALUE"""),"Dubai&gt;The Gardens&gt;The Gardens Building 34")</f>
        <v>Dubai&gt;The Gardens&gt;The Gardens Building 34</v>
      </c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</row>
    <row r="1539" spans="1:26" ht="16.5" x14ac:dyDescent="0.35">
      <c r="A1539" s="2" t="str">
        <f ca="1">IFERROR(__xludf.DUMMYFUNCTION("""COMPUTED_VALUE"""),"Dubai")</f>
        <v>Dubai</v>
      </c>
      <c r="B1539" s="2" t="str">
        <f ca="1">IFERROR(__xludf.DUMMYFUNCTION("""COMPUTED_VALUE"""),"Al Mamzar Building")</f>
        <v>Al Mamzar Building</v>
      </c>
      <c r="C1539" s="2" t="str">
        <f ca="1">IFERROR(__xludf.DUMMYFUNCTION("""COMPUTED_VALUE"""),"Building")</f>
        <v>Building</v>
      </c>
      <c r="D1539" s="2" t="str">
        <f ca="1">IFERROR(__xludf.DUMMYFUNCTION("""COMPUTED_VALUE"""),"Dubai&gt;Al Mamzar&gt;Al Mamzar Building")</f>
        <v>Dubai&gt;Al Mamzar&gt;Al Mamzar Building</v>
      </c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</row>
    <row r="1540" spans="1:26" ht="16.5" x14ac:dyDescent="0.35">
      <c r="A1540" s="2" t="str">
        <f ca="1">IFERROR(__xludf.DUMMYFUNCTION("""COMPUTED_VALUE"""),"Dubai")</f>
        <v>Dubai</v>
      </c>
      <c r="B1540" s="2" t="str">
        <f ca="1">IFERROR(__xludf.DUMMYFUNCTION("""COMPUTED_VALUE"""),"La Zona Residence")</f>
        <v>La Zona Residence</v>
      </c>
      <c r="C1540" s="2" t="str">
        <f ca="1">IFERROR(__xludf.DUMMYFUNCTION("""COMPUTED_VALUE"""),"Building")</f>
        <v>Building</v>
      </c>
      <c r="D1540" s="2" t="str">
        <f ca="1">IFERROR(__xludf.DUMMYFUNCTION("""COMPUTED_VALUE"""),"Dubai&gt;Al Mamzar&gt;La Zona Residence")</f>
        <v>Dubai&gt;Al Mamzar&gt;La Zona Residence</v>
      </c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</row>
    <row r="1541" spans="1:26" ht="16.5" x14ac:dyDescent="0.35">
      <c r="A1541" s="2" t="str">
        <f ca="1">IFERROR(__xludf.DUMMYFUNCTION("""COMPUTED_VALUE"""),"Dubai")</f>
        <v>Dubai</v>
      </c>
      <c r="B1541" s="2" t="str">
        <f ca="1">IFERROR(__xludf.DUMMYFUNCTION("""COMPUTED_VALUE"""),"St. Mary Catholic High School Dubai, Muhaisnah")</f>
        <v>St. Mary Catholic High School Dubai, Muhaisnah</v>
      </c>
      <c r="C1541" s="2" t="str">
        <f ca="1">IFERROR(__xludf.DUMMYFUNCTION("""COMPUTED_VALUE"""),"School")</f>
        <v>School</v>
      </c>
      <c r="D1541" s="2" t="str">
        <f ca="1">IFERROR(__xludf.DUMMYFUNCTION("""COMPUTED_VALUE"""),"Dubai&gt;Muhaisnah&gt;Muhaisnah 4&gt;St. Mary Catholic High School Dubai, Muhaisnah")</f>
        <v>Dubai&gt;Muhaisnah&gt;Muhaisnah 4&gt;St. Mary Catholic High School Dubai, Muhaisnah</v>
      </c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</row>
    <row r="1542" spans="1:26" ht="16.5" x14ac:dyDescent="0.35">
      <c r="A1542" s="2" t="str">
        <f ca="1">IFERROR(__xludf.DUMMYFUNCTION("""COMPUTED_VALUE"""),"Dubai")</f>
        <v>Dubai</v>
      </c>
      <c r="B1542" s="2" t="str">
        <f ca="1">IFERROR(__xludf.DUMMYFUNCTION("""COMPUTED_VALUE"""),"Sultan Majid Rashed Lootah Building")</f>
        <v>Sultan Majid Rashed Lootah Building</v>
      </c>
      <c r="C1542" s="2" t="str">
        <f ca="1">IFERROR(__xludf.DUMMYFUNCTION("""COMPUTED_VALUE"""),"Building")</f>
        <v>Building</v>
      </c>
      <c r="D1542" s="2" t="str">
        <f ca="1">IFERROR(__xludf.DUMMYFUNCTION("""COMPUTED_VALUE"""),"Dubai&gt;Muhaisnah&gt;Muhaisnah 4&gt;Sultan Majid Rashed Lootah Building")</f>
        <v>Dubai&gt;Muhaisnah&gt;Muhaisnah 4&gt;Sultan Majid Rashed Lootah Building</v>
      </c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</row>
    <row r="1543" spans="1:26" ht="16.5" x14ac:dyDescent="0.35">
      <c r="A1543" s="2" t="str">
        <f ca="1">IFERROR(__xludf.DUMMYFUNCTION("""COMPUTED_VALUE"""),"Dubai")</f>
        <v>Dubai</v>
      </c>
      <c r="B1543" s="2" t="str">
        <f ca="1">IFERROR(__xludf.DUMMYFUNCTION("""COMPUTED_VALUE"""),"Khansaheb Building")</f>
        <v>Khansaheb Building</v>
      </c>
      <c r="C1543" s="2" t="str">
        <f ca="1">IFERROR(__xludf.DUMMYFUNCTION("""COMPUTED_VALUE"""),"Building")</f>
        <v>Building</v>
      </c>
      <c r="D1543" s="2" t="str">
        <f ca="1">IFERROR(__xludf.DUMMYFUNCTION("""COMPUTED_VALUE"""),"Dubai&gt;Umm Ramool&gt;Khansaheb Building")</f>
        <v>Dubai&gt;Umm Ramool&gt;Khansaheb Building</v>
      </c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</row>
    <row r="1544" spans="1:26" ht="16.5" x14ac:dyDescent="0.35">
      <c r="A1544" s="2" t="str">
        <f ca="1">IFERROR(__xludf.DUMMYFUNCTION("""COMPUTED_VALUE"""),"Dubai")</f>
        <v>Dubai</v>
      </c>
      <c r="B1544" s="2" t="str">
        <f ca="1">IFERROR(__xludf.DUMMYFUNCTION("""COMPUTED_VALUE"""),"Takaful Emarat Building")</f>
        <v>Takaful Emarat Building</v>
      </c>
      <c r="C1544" s="2" t="str">
        <f ca="1">IFERROR(__xludf.DUMMYFUNCTION("""COMPUTED_VALUE"""),"Building")</f>
        <v>Building</v>
      </c>
      <c r="D1544" s="2" t="str">
        <f ca="1">IFERROR(__xludf.DUMMYFUNCTION("""COMPUTED_VALUE"""),"Dubai&gt;Sheikh Zayed Road&gt;Takaful Emarat Building")</f>
        <v>Dubai&gt;Sheikh Zayed Road&gt;Takaful Emarat Building</v>
      </c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</row>
    <row r="1545" spans="1:26" ht="16.5" x14ac:dyDescent="0.35">
      <c r="A1545" s="2" t="str">
        <f ca="1">IFERROR(__xludf.DUMMYFUNCTION("""COMPUTED_VALUE"""),"Dubai")</f>
        <v>Dubai</v>
      </c>
      <c r="B1545" s="2" t="str">
        <f ca="1">IFERROR(__xludf.DUMMYFUNCTION("""COMPUTED_VALUE"""),"Zabeel Tower")</f>
        <v>Zabeel Tower</v>
      </c>
      <c r="C1545" s="2" t="str">
        <f ca="1">IFERROR(__xludf.DUMMYFUNCTION("""COMPUTED_VALUE"""),"Building")</f>
        <v>Building</v>
      </c>
      <c r="D1545" s="2" t="str">
        <f ca="1">IFERROR(__xludf.DUMMYFUNCTION("""COMPUTED_VALUE"""),"Dubai&gt;Sheikh Zayed Road&gt;Zabeel Tower")</f>
        <v>Dubai&gt;Sheikh Zayed Road&gt;Zabeel Tower</v>
      </c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</row>
    <row r="1546" spans="1:26" ht="16.5" x14ac:dyDescent="0.35">
      <c r="A1546" s="2" t="str">
        <f ca="1">IFERROR(__xludf.DUMMYFUNCTION("""COMPUTED_VALUE"""),"Dubai")</f>
        <v>Dubai</v>
      </c>
      <c r="B1546" s="2" t="str">
        <f ca="1">IFERROR(__xludf.DUMMYFUNCTION("""COMPUTED_VALUE"""),"Sahara Tower")</f>
        <v>Sahara Tower</v>
      </c>
      <c r="C1546" s="2" t="str">
        <f ca="1">IFERROR(__xludf.DUMMYFUNCTION("""COMPUTED_VALUE"""),"Building")</f>
        <v>Building</v>
      </c>
      <c r="D1546" s="2" t="str">
        <f ca="1">IFERROR(__xludf.DUMMYFUNCTION("""COMPUTED_VALUE"""),"Dubai&gt;Sheikh Zayed Road&gt;Sahara Tower")</f>
        <v>Dubai&gt;Sheikh Zayed Road&gt;Sahara Tower</v>
      </c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</row>
    <row r="1547" spans="1:26" ht="16.5" x14ac:dyDescent="0.35">
      <c r="A1547" s="2" t="str">
        <f ca="1">IFERROR(__xludf.DUMMYFUNCTION("""COMPUTED_VALUE"""),"Dubai")</f>
        <v>Dubai</v>
      </c>
      <c r="B1547" s="2" t="str">
        <f ca="1">IFERROR(__xludf.DUMMYFUNCTION("""COMPUTED_VALUE"""),"Sol Luxe")</f>
        <v>Sol Luxe</v>
      </c>
      <c r="C1547" s="2" t="str">
        <f ca="1">IFERROR(__xludf.DUMMYFUNCTION("""COMPUTED_VALUE"""),"Building")</f>
        <v>Building</v>
      </c>
      <c r="D1547" s="2" t="str">
        <f ca="1">IFERROR(__xludf.DUMMYFUNCTION("""COMPUTED_VALUE"""),"Dubai&gt;Sheikh Zayed Road&gt;Sol Luxe")</f>
        <v>Dubai&gt;Sheikh Zayed Road&gt;Sol Luxe</v>
      </c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</row>
    <row r="1548" spans="1:26" ht="16.5" x14ac:dyDescent="0.35">
      <c r="A1548" s="2" t="str">
        <f ca="1">IFERROR(__xludf.DUMMYFUNCTION("""COMPUTED_VALUE"""),"Dubai")</f>
        <v>Dubai</v>
      </c>
      <c r="B1548" s="2" t="str">
        <f ca="1">IFERROR(__xludf.DUMMYFUNCTION("""COMPUTED_VALUE"""),"Building 3")</f>
        <v>Building 3</v>
      </c>
      <c r="C1548" s="2" t="str">
        <f ca="1">IFERROR(__xludf.DUMMYFUNCTION("""COMPUTED_VALUE"""),"Building")</f>
        <v>Building</v>
      </c>
      <c r="D1548" s="2" t="str">
        <f ca="1">IFERROR(__xludf.DUMMYFUNCTION("""COMPUTED_VALUE"""),"Dubai&gt;Al Karama&gt;Karam Pioneer Buildings&gt;Building 3")</f>
        <v>Dubai&gt;Al Karama&gt;Karam Pioneer Buildings&gt;Building 3</v>
      </c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</row>
    <row r="1549" spans="1:26" ht="16.5" x14ac:dyDescent="0.35">
      <c r="A1549" s="2" t="str">
        <f ca="1">IFERROR(__xludf.DUMMYFUNCTION("""COMPUTED_VALUE"""),"Dubai")</f>
        <v>Dubai</v>
      </c>
      <c r="B1549" s="2" t="str">
        <f ca="1">IFERROR(__xludf.DUMMYFUNCTION("""COMPUTED_VALUE"""),"Building 35")</f>
        <v>Building 35</v>
      </c>
      <c r="C1549" s="2" t="str">
        <f ca="1">IFERROR(__xludf.DUMMYFUNCTION("""COMPUTED_VALUE"""),"Building")</f>
        <v>Building</v>
      </c>
      <c r="D1549" s="2" t="str">
        <f ca="1">IFERROR(__xludf.DUMMYFUNCTION("""COMPUTED_VALUE"""),"Dubai&gt;Al Karama&gt;Karam Pioneer Buildings&gt;Building 35")</f>
        <v>Dubai&gt;Al Karama&gt;Karam Pioneer Buildings&gt;Building 35</v>
      </c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</row>
    <row r="1550" spans="1:26" ht="16.5" x14ac:dyDescent="0.35">
      <c r="A1550" s="2" t="str">
        <f ca="1">IFERROR(__xludf.DUMMYFUNCTION("""COMPUTED_VALUE"""),"Dubai")</f>
        <v>Dubai</v>
      </c>
      <c r="B1550" s="2" t="str">
        <f ca="1">IFERROR(__xludf.DUMMYFUNCTION("""COMPUTED_VALUE"""),"Block 2")</f>
        <v>Block 2</v>
      </c>
      <c r="C1550" s="2" t="str">
        <f ca="1">IFERROR(__xludf.DUMMYFUNCTION("""COMPUTED_VALUE"""),"Building")</f>
        <v>Building</v>
      </c>
      <c r="D1550" s="2" t="str">
        <f ca="1">IFERROR(__xludf.DUMMYFUNCTION("""COMPUTED_VALUE"""),"Dubai&gt;Al Karama&gt;Al Wasl Hub&gt;Block 2")</f>
        <v>Dubai&gt;Al Karama&gt;Al Wasl Hub&gt;Block 2</v>
      </c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</row>
    <row r="1551" spans="1:26" ht="16.5" x14ac:dyDescent="0.35">
      <c r="A1551" s="2" t="str">
        <f ca="1">IFERROR(__xludf.DUMMYFUNCTION("""COMPUTED_VALUE"""),"Dubai")</f>
        <v>Dubai</v>
      </c>
      <c r="B1551" s="2" t="str">
        <f ca="1">IFERROR(__xludf.DUMMYFUNCTION("""COMPUTED_VALUE"""),"Abdulla Al Fahed 1 Building")</f>
        <v>Abdulla Al Fahed 1 Building</v>
      </c>
      <c r="C1551" s="2" t="str">
        <f ca="1">IFERROR(__xludf.DUMMYFUNCTION("""COMPUTED_VALUE"""),"Building")</f>
        <v>Building</v>
      </c>
      <c r="D1551" s="2" t="str">
        <f ca="1">IFERROR(__xludf.DUMMYFUNCTION("""COMPUTED_VALUE"""),"Dubai&gt;Al Karama&gt;Abdulla Al Fahed 1 Building")</f>
        <v>Dubai&gt;Al Karama&gt;Abdulla Al Fahed 1 Building</v>
      </c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</row>
    <row r="1552" spans="1:26" ht="16.5" x14ac:dyDescent="0.35">
      <c r="A1552" s="2" t="str">
        <f ca="1">IFERROR(__xludf.DUMMYFUNCTION("""COMPUTED_VALUE"""),"Dubai")</f>
        <v>Dubai</v>
      </c>
      <c r="B1552" s="2" t="str">
        <f ca="1">IFERROR(__xludf.DUMMYFUNCTION("""COMPUTED_VALUE"""),"Al Mabrooka 2")</f>
        <v>Al Mabrooka 2</v>
      </c>
      <c r="C1552" s="2" t="str">
        <f ca="1">IFERROR(__xludf.DUMMYFUNCTION("""COMPUTED_VALUE"""),"Building")</f>
        <v>Building</v>
      </c>
      <c r="D1552" s="2" t="str">
        <f ca="1">IFERROR(__xludf.DUMMYFUNCTION("""COMPUTED_VALUE"""),"Dubai&gt;Al Karama&gt;Al Mabrooka 2")</f>
        <v>Dubai&gt;Al Karama&gt;Al Mabrooka 2</v>
      </c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</row>
    <row r="1553" spans="1:26" ht="16.5" x14ac:dyDescent="0.35">
      <c r="A1553" s="2" t="str">
        <f ca="1">IFERROR(__xludf.DUMMYFUNCTION("""COMPUTED_VALUE"""),"Dubai")</f>
        <v>Dubai</v>
      </c>
      <c r="B1553" s="2" t="str">
        <f ca="1">IFERROR(__xludf.DUMMYFUNCTION("""COMPUTED_VALUE"""),"Mostafawi Building")</f>
        <v>Mostafawi Building</v>
      </c>
      <c r="C1553" s="2" t="str">
        <f ca="1">IFERROR(__xludf.DUMMYFUNCTION("""COMPUTED_VALUE"""),"Building")</f>
        <v>Building</v>
      </c>
      <c r="D1553" s="2" t="str">
        <f ca="1">IFERROR(__xludf.DUMMYFUNCTION("""COMPUTED_VALUE"""),"Dubai&gt;Al Karama&gt;Mostafawi Building")</f>
        <v>Dubai&gt;Al Karama&gt;Mostafawi Building</v>
      </c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</row>
    <row r="1554" spans="1:26" ht="16.5" x14ac:dyDescent="0.35">
      <c r="A1554" s="2" t="str">
        <f ca="1">IFERROR(__xludf.DUMMYFUNCTION("""COMPUTED_VALUE"""),"Dubai")</f>
        <v>Dubai</v>
      </c>
      <c r="B1554" s="2" t="str">
        <f ca="1">IFERROR(__xludf.DUMMYFUNCTION("""COMPUTED_VALUE"""),"Old Al Garsh Building")</f>
        <v>Old Al Garsh Building</v>
      </c>
      <c r="C1554" s="2" t="str">
        <f ca="1">IFERROR(__xludf.DUMMYFUNCTION("""COMPUTED_VALUE"""),"Building")</f>
        <v>Building</v>
      </c>
      <c r="D1554" s="2" t="str">
        <f ca="1">IFERROR(__xludf.DUMMYFUNCTION("""COMPUTED_VALUE"""),"Dubai&gt;Al Karama&gt;Old Al Garsh Building")</f>
        <v>Dubai&gt;Al Karama&gt;Old Al Garsh Building</v>
      </c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</row>
    <row r="1555" spans="1:26" ht="16.5" x14ac:dyDescent="0.35">
      <c r="A1555" s="2" t="str">
        <f ca="1">IFERROR(__xludf.DUMMYFUNCTION("""COMPUTED_VALUE"""),"Dubai")</f>
        <v>Dubai</v>
      </c>
      <c r="B1555" s="2" t="str">
        <f ca="1">IFERROR(__xludf.DUMMYFUNCTION("""COMPUTED_VALUE"""),"Sheikha Mariam Building")</f>
        <v>Sheikha Mariam Building</v>
      </c>
      <c r="C1555" s="2" t="str">
        <f ca="1">IFERROR(__xludf.DUMMYFUNCTION("""COMPUTED_VALUE"""),"Building")</f>
        <v>Building</v>
      </c>
      <c r="D1555" s="2" t="str">
        <f ca="1">IFERROR(__xludf.DUMMYFUNCTION("""COMPUTED_VALUE"""),"Dubai&gt;Al Karama&gt;Sheikha Mariam Building")</f>
        <v>Dubai&gt;Al Karama&gt;Sheikha Mariam Building</v>
      </c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</row>
    <row r="1556" spans="1:26" ht="16.5" x14ac:dyDescent="0.35">
      <c r="A1556" s="2" t="str">
        <f ca="1">IFERROR(__xludf.DUMMYFUNCTION("""COMPUTED_VALUE"""),"Dubai")</f>
        <v>Dubai</v>
      </c>
      <c r="B1556" s="2" t="str">
        <f ca="1">IFERROR(__xludf.DUMMYFUNCTION("""COMPUTED_VALUE"""),"Naresco 3")</f>
        <v>Naresco 3</v>
      </c>
      <c r="C1556" s="2" t="str">
        <f ca="1">IFERROR(__xludf.DUMMYFUNCTION("""COMPUTED_VALUE"""),"Building")</f>
        <v>Building</v>
      </c>
      <c r="D1556" s="2" t="str">
        <f ca="1">IFERROR(__xludf.DUMMYFUNCTION("""COMPUTED_VALUE"""),"Dubai&gt;Al Karama&gt;Naresco 3")</f>
        <v>Dubai&gt;Al Karama&gt;Naresco 3</v>
      </c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</row>
    <row r="1557" spans="1:26" ht="16.5" x14ac:dyDescent="0.35">
      <c r="A1557" s="2" t="str">
        <f ca="1">IFERROR(__xludf.DUMMYFUNCTION("""COMPUTED_VALUE"""),"Dubai")</f>
        <v>Dubai</v>
      </c>
      <c r="B1557" s="2" t="str">
        <f ca="1">IFERROR(__xludf.DUMMYFUNCTION("""COMPUTED_VALUE"""),"Dar Al Karama Building")</f>
        <v>Dar Al Karama Building</v>
      </c>
      <c r="C1557" s="2" t="str">
        <f ca="1">IFERROR(__xludf.DUMMYFUNCTION("""COMPUTED_VALUE"""),"Building")</f>
        <v>Building</v>
      </c>
      <c r="D1557" s="2" t="str">
        <f ca="1">IFERROR(__xludf.DUMMYFUNCTION("""COMPUTED_VALUE"""),"Dubai&gt;Al Karama&gt;Dar Al Karama Building")</f>
        <v>Dubai&gt;Al Karama&gt;Dar Al Karama Building</v>
      </c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</row>
    <row r="1558" spans="1:26" ht="16.5" x14ac:dyDescent="0.35">
      <c r="A1558" s="2" t="str">
        <f ca="1">IFERROR(__xludf.DUMMYFUNCTION("""COMPUTED_VALUE"""),"Dubai")</f>
        <v>Dubai</v>
      </c>
      <c r="B1558" s="2" t="str">
        <f ca="1">IFERROR(__xludf.DUMMYFUNCTION("""COMPUTED_VALUE"""),"Sajaya 10 Building")</f>
        <v>Sajaya 10 Building</v>
      </c>
      <c r="C1558" s="2" t="str">
        <f ca="1">IFERROR(__xludf.DUMMYFUNCTION("""COMPUTED_VALUE"""),"Building")</f>
        <v>Building</v>
      </c>
      <c r="D1558" s="2" t="str">
        <f ca="1">IFERROR(__xludf.DUMMYFUNCTION("""COMPUTED_VALUE"""),"Dubai&gt;Al Karama&gt;Sajaya 10 Building")</f>
        <v>Dubai&gt;Al Karama&gt;Sajaya 10 Building</v>
      </c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</row>
    <row r="1559" spans="1:26" ht="16.5" x14ac:dyDescent="0.35">
      <c r="A1559" s="2" t="str">
        <f ca="1">IFERROR(__xludf.DUMMYFUNCTION("""COMPUTED_VALUE"""),"Dubai")</f>
        <v>Dubai</v>
      </c>
      <c r="B1559" s="2" t="str">
        <f ca="1">IFERROR(__xludf.DUMMYFUNCTION("""COMPUTED_VALUE"""),"Tower 4")</f>
        <v>Tower 4</v>
      </c>
      <c r="C1559" s="2" t="str">
        <f ca="1">IFERROR(__xludf.DUMMYFUNCTION("""COMPUTED_VALUE"""),"Building")</f>
        <v>Building</v>
      </c>
      <c r="D1559" s="2" t="str">
        <f ca="1">IFERROR(__xludf.DUMMYFUNCTION("""COMPUTED_VALUE"""),"Dubai&gt;Culture Village (Jaddaf Waterfront)&gt;Dubai Wharf&gt;Tower 4")</f>
        <v>Dubai&gt;Culture Village (Jaddaf Waterfront)&gt;Dubai Wharf&gt;Tower 4</v>
      </c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</row>
    <row r="1560" spans="1:26" ht="16.5" x14ac:dyDescent="0.35">
      <c r="A1560" s="2" t="str">
        <f ca="1">IFERROR(__xludf.DUMMYFUNCTION("""COMPUTED_VALUE"""),"Dubai")</f>
        <v>Dubai</v>
      </c>
      <c r="B1560" s="2" t="str">
        <f ca="1">IFERROR(__xludf.DUMMYFUNCTION("""COMPUTED_VALUE"""),"SAAM Vega")</f>
        <v>SAAM Vega</v>
      </c>
      <c r="C1560" s="2" t="str">
        <f ca="1">IFERROR(__xludf.DUMMYFUNCTION("""COMPUTED_VALUE"""),"Building")</f>
        <v>Building</v>
      </c>
      <c r="D1560" s="2" t="str">
        <f ca="1">IFERROR(__xludf.DUMMYFUNCTION("""COMPUTED_VALUE"""),"Dubai&gt;Falcon City of Wonders&gt;SAAM Vega")</f>
        <v>Dubai&gt;Falcon City of Wonders&gt;SAAM Vega</v>
      </c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</row>
    <row r="1561" spans="1:26" ht="16.5" x14ac:dyDescent="0.35">
      <c r="A1561" s="2" t="str">
        <f ca="1">IFERROR(__xludf.DUMMYFUNCTION("""COMPUTED_VALUE"""),"Dubai")</f>
        <v>Dubai</v>
      </c>
      <c r="B1561" s="2" t="str">
        <f ca="1">IFERROR(__xludf.DUMMYFUNCTION("""COMPUTED_VALUE"""),"Jadeel")</f>
        <v>Jadeel</v>
      </c>
      <c r="C1561" s="2" t="str">
        <f ca="1">IFERROR(__xludf.DUMMYFUNCTION("""COMPUTED_VALUE"""),"Cluster")</f>
        <v>Cluster</v>
      </c>
      <c r="D1561" s="2" t="str">
        <f ca="1">IFERROR(__xludf.DUMMYFUNCTION("""COMPUTED_VALUE"""),"Dubai&gt;Umm Suqeim&gt;Madinat Jumeirah Living&gt;Jadeel")</f>
        <v>Dubai&gt;Umm Suqeim&gt;Madinat Jumeirah Living&gt;Jadeel</v>
      </c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</row>
    <row r="1562" spans="1:26" ht="16.5" x14ac:dyDescent="0.35">
      <c r="A1562" s="2" t="str">
        <f ca="1">IFERROR(__xludf.DUMMYFUNCTION("""COMPUTED_VALUE"""),"Dubai")</f>
        <v>Dubai</v>
      </c>
      <c r="B1562" s="2" t="str">
        <f ca="1">IFERROR(__xludf.DUMMYFUNCTION("""COMPUTED_VALUE"""),"Nourelle Building 1")</f>
        <v>Nourelle Building 1</v>
      </c>
      <c r="C1562" s="2" t="str">
        <f ca="1">IFERROR(__xludf.DUMMYFUNCTION("""COMPUTED_VALUE"""),"Building")</f>
        <v>Building</v>
      </c>
      <c r="D1562" s="2" t="str">
        <f ca="1">IFERROR(__xludf.DUMMYFUNCTION("""COMPUTED_VALUE"""),"Dubai&gt;Umm Suqeim&gt;Madinat Jumeirah Living&gt;Nourelle&gt;Nourelle Building 1")</f>
        <v>Dubai&gt;Umm Suqeim&gt;Madinat Jumeirah Living&gt;Nourelle&gt;Nourelle Building 1</v>
      </c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</row>
    <row r="1563" spans="1:26" ht="16.5" x14ac:dyDescent="0.35">
      <c r="A1563" s="2" t="str">
        <f ca="1">IFERROR(__xludf.DUMMYFUNCTION("""COMPUTED_VALUE"""),"Dubai")</f>
        <v>Dubai</v>
      </c>
      <c r="B1563" s="2" t="str">
        <f ca="1">IFERROR(__xludf.DUMMYFUNCTION("""COMPUTED_VALUE"""),"Avenue 353")</f>
        <v>Avenue 353</v>
      </c>
      <c r="C1563" s="2" t="str">
        <f ca="1">IFERROR(__xludf.DUMMYFUNCTION("""COMPUTED_VALUE"""),"Neighbourhood")</f>
        <v>Neighbourhood</v>
      </c>
      <c r="D1563" s="2" t="str">
        <f ca="1">IFERROR(__xludf.DUMMYFUNCTION("""COMPUTED_VALUE"""),"Dubai&gt;City of Arabia&gt;Avenue 353")</f>
        <v>Dubai&gt;City of Arabia&gt;Avenue 353</v>
      </c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</row>
    <row r="1564" spans="1:26" ht="16.5" x14ac:dyDescent="0.35">
      <c r="A1564" s="2" t="str">
        <f ca="1">IFERROR(__xludf.DUMMYFUNCTION("""COMPUTED_VALUE"""),"Dubai")</f>
        <v>Dubai</v>
      </c>
      <c r="B1564" s="2" t="str">
        <f ca="1">IFERROR(__xludf.DUMMYFUNCTION("""COMPUTED_VALUE"""),"Al Maraya Building")</f>
        <v>Al Maraya Building</v>
      </c>
      <c r="C1564" s="2" t="str">
        <f ca="1">IFERROR(__xludf.DUMMYFUNCTION("""COMPUTED_VALUE"""),"Building")</f>
        <v>Building</v>
      </c>
      <c r="D1564" s="2" t="str">
        <f ca="1">IFERROR(__xludf.DUMMYFUNCTION("""COMPUTED_VALUE"""),"Dubai&gt;Al Badaa&gt;Al Maraya Building")</f>
        <v>Dubai&gt;Al Badaa&gt;Al Maraya Building</v>
      </c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</row>
    <row r="1565" spans="1:26" ht="16.5" x14ac:dyDescent="0.35">
      <c r="A1565" s="2" t="str">
        <f ca="1">IFERROR(__xludf.DUMMYFUNCTION("""COMPUTED_VALUE"""),"Dubai")</f>
        <v>Dubai</v>
      </c>
      <c r="B1565" s="2" t="str">
        <f ca="1">IFERROR(__xludf.DUMMYFUNCTION("""COMPUTED_VALUE"""),"Abdullah Hamid Building")</f>
        <v>Abdullah Hamid Building</v>
      </c>
      <c r="C1565" s="2" t="str">
        <f ca="1">IFERROR(__xludf.DUMMYFUNCTION("""COMPUTED_VALUE"""),"Building")</f>
        <v>Building</v>
      </c>
      <c r="D1565" s="2" t="str">
        <f ca="1">IFERROR(__xludf.DUMMYFUNCTION("""COMPUTED_VALUE"""),"Dubai&gt;Al Badaa&gt;Abdullah Hamid Building")</f>
        <v>Dubai&gt;Al Badaa&gt;Abdullah Hamid Building</v>
      </c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</row>
    <row r="1566" spans="1:26" ht="16.5" x14ac:dyDescent="0.35">
      <c r="A1566" s="2" t="str">
        <f ca="1">IFERROR(__xludf.DUMMYFUNCTION("""COMPUTED_VALUE"""),"Dubai")</f>
        <v>Dubai</v>
      </c>
      <c r="B1566" s="2" t="str">
        <f ca="1">IFERROR(__xludf.DUMMYFUNCTION("""COMPUTED_VALUE"""),"Indigo Central 8")</f>
        <v>Indigo Central 8</v>
      </c>
      <c r="C1566" s="2" t="str">
        <f ca="1">IFERROR(__xludf.DUMMYFUNCTION("""COMPUTED_VALUE"""),"Building")</f>
        <v>Building</v>
      </c>
      <c r="D1566" s="2" t="str">
        <f ca="1">IFERROR(__xludf.DUMMYFUNCTION("""COMPUTED_VALUE"""),"Dubai&gt;Al Manara&gt;Indigo Central 8")</f>
        <v>Dubai&gt;Al Manara&gt;Indigo Central 8</v>
      </c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</row>
    <row r="1567" spans="1:26" ht="16.5" x14ac:dyDescent="0.35">
      <c r="A1567" s="2" t="str">
        <f ca="1">IFERROR(__xludf.DUMMYFUNCTION("""COMPUTED_VALUE"""),"Dubai")</f>
        <v>Dubai</v>
      </c>
      <c r="B1567" s="2" t="str">
        <f ca="1">IFERROR(__xludf.DUMMYFUNCTION("""COMPUTED_VALUE"""),"Shiba Towers Block D")</f>
        <v>Shiba Towers Block D</v>
      </c>
      <c r="C1567" s="2" t="str">
        <f ca="1">IFERROR(__xludf.DUMMYFUNCTION("""COMPUTED_VALUE"""),"Building")</f>
        <v>Building</v>
      </c>
      <c r="D1567" s="2" t="str">
        <f ca="1">IFERROR(__xludf.DUMMYFUNCTION("""COMPUTED_VALUE"""),"Dubai&gt;Academic City&gt;Al Shiba Complex&gt;Shiba Towers Block D")</f>
        <v>Dubai&gt;Academic City&gt;Al Shiba Complex&gt;Shiba Towers Block D</v>
      </c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</row>
    <row r="1568" spans="1:26" ht="16.5" x14ac:dyDescent="0.35">
      <c r="A1568" s="2" t="str">
        <f ca="1">IFERROR(__xludf.DUMMYFUNCTION("""COMPUTED_VALUE"""),"Dubai")</f>
        <v>Dubai</v>
      </c>
      <c r="B1568" s="2" t="str">
        <f ca="1">IFERROR(__xludf.DUMMYFUNCTION("""COMPUTED_VALUE"""),"Building 8")</f>
        <v>Building 8</v>
      </c>
      <c r="C1568" s="2" t="str">
        <f ca="1">IFERROR(__xludf.DUMMYFUNCTION("""COMPUTED_VALUE"""),"Building")</f>
        <v>Building</v>
      </c>
      <c r="D1568" s="2" t="str">
        <f ca="1">IFERROR(__xludf.DUMMYFUNCTION("""COMPUTED_VALUE"""),"Dubai&gt;Dubai Design District&gt;Building 8")</f>
        <v>Dubai&gt;Dubai Design District&gt;Building 8</v>
      </c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</row>
    <row r="1569" spans="1:26" ht="16.5" x14ac:dyDescent="0.35">
      <c r="A1569" s="2" t="str">
        <f ca="1">IFERROR(__xludf.DUMMYFUNCTION("""COMPUTED_VALUE"""),"Dubai")</f>
        <v>Dubai</v>
      </c>
      <c r="B1569" s="2" t="str">
        <f ca="1">IFERROR(__xludf.DUMMYFUNCTION("""COMPUTED_VALUE"""),"Al Owais Building")</f>
        <v>Al Owais Building</v>
      </c>
      <c r="C1569" s="2" t="str">
        <f ca="1">IFERROR(__xludf.DUMMYFUNCTION("""COMPUTED_VALUE"""),"Building")</f>
        <v>Building</v>
      </c>
      <c r="D1569" s="2" t="str">
        <f ca="1">IFERROR(__xludf.DUMMYFUNCTION("""COMPUTED_VALUE"""),"Dubai&gt;Al Hudaiba&gt;Al Owais Building")</f>
        <v>Dubai&gt;Al Hudaiba&gt;Al Owais Building</v>
      </c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</row>
    <row r="1570" spans="1:26" ht="16.5" x14ac:dyDescent="0.35">
      <c r="A1570" s="2" t="str">
        <f ca="1">IFERROR(__xludf.DUMMYFUNCTION("""COMPUTED_VALUE"""),"Dubai")</f>
        <v>Dubai</v>
      </c>
      <c r="B1570" s="2" t="str">
        <f ca="1">IFERROR(__xludf.DUMMYFUNCTION("""COMPUTED_VALUE"""),"Niwah Residence")</f>
        <v>Niwah Residence</v>
      </c>
      <c r="C1570" s="2" t="str">
        <f ca="1">IFERROR(__xludf.DUMMYFUNCTION("""COMPUTED_VALUE"""),"Building")</f>
        <v>Building</v>
      </c>
      <c r="D1570" s="2" t="str">
        <f ca="1">IFERROR(__xludf.DUMMYFUNCTION("""COMPUTED_VALUE"""),"Dubai&gt;Jumeirah&gt;Jumeirah 1&gt;Niwah Residence")</f>
        <v>Dubai&gt;Jumeirah&gt;Jumeirah 1&gt;Niwah Residence</v>
      </c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</row>
    <row r="1571" spans="1:26" ht="16.5" x14ac:dyDescent="0.35">
      <c r="A1571" s="2" t="str">
        <f ca="1">IFERROR(__xludf.DUMMYFUNCTION("""COMPUTED_VALUE"""),"Dubai")</f>
        <v>Dubai</v>
      </c>
      <c r="B1571" s="2" t="str">
        <f ca="1">IFERROR(__xludf.DUMMYFUNCTION("""COMPUTED_VALUE"""),"Arenco Villas 32")</f>
        <v>Arenco Villas 32</v>
      </c>
      <c r="C1571" s="2" t="str">
        <f ca="1">IFERROR(__xludf.DUMMYFUNCTION("""COMPUTED_VALUE"""),"Neighbourhood")</f>
        <v>Neighbourhood</v>
      </c>
      <c r="D1571" s="2" t="str">
        <f ca="1">IFERROR(__xludf.DUMMYFUNCTION("""COMPUTED_VALUE"""),"Dubai&gt;Jumeirah&gt;Jumeirah 3&gt;Arenco Villas 32")</f>
        <v>Dubai&gt;Jumeirah&gt;Jumeirah 3&gt;Arenco Villas 32</v>
      </c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</row>
    <row r="1572" spans="1:26" ht="16.5" x14ac:dyDescent="0.35">
      <c r="A1572" s="2" t="str">
        <f ca="1">IFERROR(__xludf.DUMMYFUNCTION("""COMPUTED_VALUE"""),"Dubai")</f>
        <v>Dubai</v>
      </c>
      <c r="B1572" s="2" t="str">
        <f ca="1">IFERROR(__xludf.DUMMYFUNCTION("""COMPUTED_VALUE"""),"Peninsula Dubai Residences")</f>
        <v>Peninsula Dubai Residences</v>
      </c>
      <c r="C1572" s="2" t="str">
        <f ca="1">IFERROR(__xludf.DUMMYFUNCTION("""COMPUTED_VALUE"""),"Cluster")</f>
        <v>Cluster</v>
      </c>
      <c r="D1572" s="2" t="str">
        <f ca="1">IFERROR(__xludf.DUMMYFUNCTION("""COMPUTED_VALUE"""),"Dubai&gt;Jumeirah&gt;Jumeirah 2&gt;Peninsula Dubai Residences")</f>
        <v>Dubai&gt;Jumeirah&gt;Jumeirah 2&gt;Peninsula Dubai Residences</v>
      </c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</row>
    <row r="1573" spans="1:26" ht="16.5" x14ac:dyDescent="0.35">
      <c r="A1573" s="2" t="str">
        <f ca="1">IFERROR(__xludf.DUMMYFUNCTION("""COMPUTED_VALUE"""),"Dubai")</f>
        <v>Dubai</v>
      </c>
      <c r="B1573" s="2" t="str">
        <f ca="1">IFERROR(__xludf.DUMMYFUNCTION("""COMPUTED_VALUE"""),"La Sirene Tower 6")</f>
        <v>La Sirene Tower 6</v>
      </c>
      <c r="C1573" s="2" t="str">
        <f ca="1">IFERROR(__xludf.DUMMYFUNCTION("""COMPUTED_VALUE"""),"Building")</f>
        <v>Building</v>
      </c>
      <c r="D1573" s="2" t="str">
        <f ca="1">IFERROR(__xludf.DUMMYFUNCTION("""COMPUTED_VALUE"""),"Dubai&gt;Jumeirah&gt;La Mer&gt;Port de La Mer&gt;La Sirene&gt;La Sirene 2")</f>
        <v>Dubai&gt;Jumeirah&gt;La Mer&gt;Port de La Mer&gt;La Sirene&gt;La Sirene 2</v>
      </c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</row>
    <row r="1574" spans="1:26" ht="16.5" x14ac:dyDescent="0.35">
      <c r="A1574" s="2" t="str">
        <f ca="1">IFERROR(__xludf.DUMMYFUNCTION("""COMPUTED_VALUE"""),"Dubai")</f>
        <v>Dubai</v>
      </c>
      <c r="B1574" s="2" t="str">
        <f ca="1">IFERROR(__xludf.DUMMYFUNCTION("""COMPUTED_VALUE"""),"Address Harbour Point Tower 2")</f>
        <v>Address Harbour Point Tower 2</v>
      </c>
      <c r="C1574" s="2" t="str">
        <f ca="1">IFERROR(__xludf.DUMMYFUNCTION("""COMPUTED_VALUE"""),"Building")</f>
        <v>Building</v>
      </c>
      <c r="D1574" s="2" t="str">
        <f ca="1">IFERROR(__xludf.DUMMYFUNCTION("""COMPUTED_VALUE"""),"Dubai&gt;Dubai Creek Harbour&gt;Address Harbour Point&gt;Address Harbour Point Tower 2")</f>
        <v>Dubai&gt;Dubai Creek Harbour&gt;Address Harbour Point&gt;Address Harbour Point Tower 2</v>
      </c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</row>
    <row r="1575" spans="1:26" ht="16.5" x14ac:dyDescent="0.35">
      <c r="A1575" s="2" t="str">
        <f ca="1">IFERROR(__xludf.DUMMYFUNCTION("""COMPUTED_VALUE"""),"Dubai")</f>
        <v>Dubai</v>
      </c>
      <c r="B1575" s="2" t="str">
        <f ca="1">IFERROR(__xludf.DUMMYFUNCTION("""COMPUTED_VALUE"""),"Bayshore 1")</f>
        <v>Bayshore 1</v>
      </c>
      <c r="C1575" s="2" t="str">
        <f ca="1">IFERROR(__xludf.DUMMYFUNCTION("""COMPUTED_VALUE"""),"Building")</f>
        <v>Building</v>
      </c>
      <c r="D1575" s="2" t="str">
        <f ca="1">IFERROR(__xludf.DUMMYFUNCTION("""COMPUTED_VALUE"""),"Dubai&gt;Dubai Creek Harbour&gt;Bayshore at Creek Beach&gt;Bayshore 1")</f>
        <v>Dubai&gt;Dubai Creek Harbour&gt;Bayshore at Creek Beach&gt;Bayshore 1</v>
      </c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</row>
    <row r="1576" spans="1:26" ht="16.5" x14ac:dyDescent="0.35">
      <c r="A1576" s="2" t="str">
        <f ca="1">IFERROR(__xludf.DUMMYFUNCTION("""COMPUTED_VALUE"""),"Dubai")</f>
        <v>Dubai</v>
      </c>
      <c r="B1576" s="2" t="str">
        <f ca="1">IFERROR(__xludf.DUMMYFUNCTION("""COMPUTED_VALUE"""),"Lotus 4")</f>
        <v>Lotus 4</v>
      </c>
      <c r="C1576" s="2" t="str">
        <f ca="1">IFERROR(__xludf.DUMMYFUNCTION("""COMPUTED_VALUE"""),"Building")</f>
        <v>Building</v>
      </c>
      <c r="D1576" s="2" t="str">
        <f ca="1">IFERROR(__xludf.DUMMYFUNCTION("""COMPUTED_VALUE"""),"Dubai&gt;Dubai Creek Harbour&gt;Lotus at Creek Beach&gt;Lotus 4")</f>
        <v>Dubai&gt;Dubai Creek Harbour&gt;Lotus at Creek Beach&gt;Lotus 4</v>
      </c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</row>
    <row r="1577" spans="1:26" ht="16.5" x14ac:dyDescent="0.35">
      <c r="A1577" s="2" t="str">
        <f ca="1">IFERROR(__xludf.DUMMYFUNCTION("""COMPUTED_VALUE"""),"Dubai")</f>
        <v>Dubai</v>
      </c>
      <c r="B1577" s="2" t="str">
        <f ca="1">IFERROR(__xludf.DUMMYFUNCTION("""COMPUTED_VALUE"""),"Creek Waters 2")</f>
        <v>Creek Waters 2</v>
      </c>
      <c r="C1577" s="2" t="str">
        <f ca="1">IFERROR(__xludf.DUMMYFUNCTION("""COMPUTED_VALUE"""),"Building")</f>
        <v>Building</v>
      </c>
      <c r="D1577" s="2" t="str">
        <f ca="1">IFERROR(__xludf.DUMMYFUNCTION("""COMPUTED_VALUE"""),"Dubai&gt;Dubai Creek Harbour&gt;Creek Waters 2")</f>
        <v>Dubai&gt;Dubai Creek Harbour&gt;Creek Waters 2</v>
      </c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</row>
    <row r="1578" spans="1:26" ht="16.5" x14ac:dyDescent="0.35">
      <c r="A1578" s="2" t="str">
        <f ca="1">IFERROR(__xludf.DUMMYFUNCTION("""COMPUTED_VALUE"""),"Dubai")</f>
        <v>Dubai</v>
      </c>
      <c r="B1578" s="2" t="str">
        <f ca="1">IFERROR(__xludf.DUMMYFUNCTION("""COMPUTED_VALUE"""),"Montiva")</f>
        <v>Montiva</v>
      </c>
      <c r="C1578" s="2" t="str">
        <f ca="1">IFERROR(__xludf.DUMMYFUNCTION("""COMPUTED_VALUE"""),"Building")</f>
        <v>Building</v>
      </c>
      <c r="D1578" s="2" t="str">
        <f ca="1">IFERROR(__xludf.DUMMYFUNCTION("""COMPUTED_VALUE"""),"Dubai&gt;Dubai Creek Harbour&gt;Montiva")</f>
        <v>Dubai&gt;Dubai Creek Harbour&gt;Montiva</v>
      </c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</row>
    <row r="1579" spans="1:26" ht="16.5" x14ac:dyDescent="0.35">
      <c r="A1579" s="2" t="str">
        <f ca="1">IFERROR(__xludf.DUMMYFUNCTION("""COMPUTED_VALUE"""),"Dubai")</f>
        <v>Dubai</v>
      </c>
      <c r="B1579" s="2" t="str">
        <f ca="1">IFERROR(__xludf.DUMMYFUNCTION("""COMPUTED_VALUE"""),"Nimir Building")</f>
        <v>Nimir Building</v>
      </c>
      <c r="C1579" s="2" t="str">
        <f ca="1">IFERROR(__xludf.DUMMYFUNCTION("""COMPUTED_VALUE"""),"Building")</f>
        <v>Building</v>
      </c>
      <c r="D1579" s="2" t="str">
        <f ca="1">IFERROR(__xludf.DUMMYFUNCTION("""COMPUTED_VALUE"""),"Dubai&gt;Barsha Heights (Tecom)&gt;Nimir Building")</f>
        <v>Dubai&gt;Barsha Heights (Tecom)&gt;Nimir Building</v>
      </c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</row>
    <row r="1580" spans="1:26" ht="16.5" x14ac:dyDescent="0.35">
      <c r="A1580" s="2" t="str">
        <f ca="1">IFERROR(__xludf.DUMMYFUNCTION("""COMPUTED_VALUE"""),"Dubai")</f>
        <v>Dubai</v>
      </c>
      <c r="B1580" s="2" t="str">
        <f ca="1">IFERROR(__xludf.DUMMYFUNCTION("""COMPUTED_VALUE"""),"Al Shaiba Tower B")</f>
        <v>Al Shaiba Tower B</v>
      </c>
      <c r="C1580" s="2" t="str">
        <f ca="1">IFERROR(__xludf.DUMMYFUNCTION("""COMPUTED_VALUE"""),"Building")</f>
        <v>Building</v>
      </c>
      <c r="D1580" s="2" t="str">
        <f ca="1">IFERROR(__xludf.DUMMYFUNCTION("""COMPUTED_VALUE"""),"Dubai&gt;Barsha Heights (Tecom)&gt;Al Shaiba Tower&gt;Al Shaiba Tower B")</f>
        <v>Dubai&gt;Barsha Heights (Tecom)&gt;Al Shaiba Tower&gt;Al Shaiba Tower B</v>
      </c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</row>
    <row r="1581" spans="1:26" ht="16.5" x14ac:dyDescent="0.35">
      <c r="A1581" s="2" t="str">
        <f ca="1">IFERROR(__xludf.DUMMYFUNCTION("""COMPUTED_VALUE"""),"Dubai")</f>
        <v>Dubai</v>
      </c>
      <c r="B1581" s="2" t="str">
        <f ca="1">IFERROR(__xludf.DUMMYFUNCTION("""COMPUTED_VALUE"""),"Al Moosawi Oriental")</f>
        <v>Al Moosawi Oriental</v>
      </c>
      <c r="C1581" s="2" t="str">
        <f ca="1">IFERROR(__xludf.DUMMYFUNCTION("""COMPUTED_VALUE"""),"Building")</f>
        <v>Building</v>
      </c>
      <c r="D1581" s="2" t="str">
        <f ca="1">IFERROR(__xludf.DUMMYFUNCTION("""COMPUTED_VALUE"""),"Dubai&gt;Barsha Heights (Tecom)&gt;Al Moosawi Oriental")</f>
        <v>Dubai&gt;Barsha Heights (Tecom)&gt;Al Moosawi Oriental</v>
      </c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</row>
    <row r="1582" spans="1:26" ht="16.5" x14ac:dyDescent="0.35">
      <c r="A1582" s="2" t="str">
        <f ca="1">IFERROR(__xludf.DUMMYFUNCTION("""COMPUTED_VALUE"""),"Dubai")</f>
        <v>Dubai</v>
      </c>
      <c r="B1582" s="2" t="str">
        <f ca="1">IFERROR(__xludf.DUMMYFUNCTION("""COMPUTED_VALUE"""),"The Hills A")</f>
        <v>The Hills A</v>
      </c>
      <c r="C1582" s="2" t="str">
        <f ca="1">IFERROR(__xludf.DUMMYFUNCTION("""COMPUTED_VALUE"""),"Building")</f>
        <v>Building</v>
      </c>
      <c r="D1582" s="2" t="str">
        <f ca="1">IFERROR(__xludf.DUMMYFUNCTION("""COMPUTED_VALUE"""),"Dubai&gt;The Hills&gt;The Hills A")</f>
        <v>Dubai&gt;The Hills&gt;The Hills A</v>
      </c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</row>
    <row r="1583" spans="1:26" ht="16.5" x14ac:dyDescent="0.35">
      <c r="A1583" s="2" t="str">
        <f ca="1">IFERROR(__xludf.DUMMYFUNCTION("""COMPUTED_VALUE"""),"Dubai")</f>
        <v>Dubai</v>
      </c>
      <c r="B1583" s="2" t="str">
        <f ca="1">IFERROR(__xludf.DUMMYFUNCTION("""COMPUTED_VALUE"""),"Terraced Apartment 4B")</f>
        <v>Terraced Apartment 4B</v>
      </c>
      <c r="C1583" s="2" t="str">
        <f ca="1">IFERROR(__xludf.DUMMYFUNCTION("""COMPUTED_VALUE"""),"Building")</f>
        <v>Building</v>
      </c>
      <c r="D1583" s="2" t="str">
        <f ca="1">IFERROR(__xludf.DUMMYFUNCTION("""COMPUTED_VALUE"""),"Dubai&gt;Motor City&gt;Green Community (Motor City)&gt;Terraced Apartments&gt;Terraced Apartment 4B")</f>
        <v>Dubai&gt;Motor City&gt;Green Community (Motor City)&gt;Terraced Apartments&gt;Terraced Apartment 4B</v>
      </c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</row>
    <row r="1584" spans="1:26" ht="16.5" x14ac:dyDescent="0.35">
      <c r="A1584" s="2" t="str">
        <f ca="1">IFERROR(__xludf.DUMMYFUNCTION("""COMPUTED_VALUE"""),"Dubai")</f>
        <v>Dubai</v>
      </c>
      <c r="B1584" s="2" t="str">
        <f ca="1">IFERROR(__xludf.DUMMYFUNCTION("""COMPUTED_VALUE"""),"Sherlock Circus 3")</f>
        <v>Sherlock Circus 3</v>
      </c>
      <c r="C1584" s="2" t="str">
        <f ca="1">IFERROR(__xludf.DUMMYFUNCTION("""COMPUTED_VALUE"""),"Building")</f>
        <v>Building</v>
      </c>
      <c r="D1584" s="2" t="str">
        <f ca="1">IFERROR(__xludf.DUMMYFUNCTION("""COMPUTED_VALUE"""),"Dubai&gt;Motor City&gt;Uptown Motor City&gt;Sherlock Circus&gt;Sherlock Circus 3")</f>
        <v>Dubai&gt;Motor City&gt;Uptown Motor City&gt;Sherlock Circus&gt;Sherlock Circus 3</v>
      </c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</row>
    <row r="1585" spans="1:26" ht="16.5" x14ac:dyDescent="0.35">
      <c r="A1585" s="2" t="str">
        <f ca="1">IFERROR(__xludf.DUMMYFUNCTION("""COMPUTED_VALUE"""),"Dubai")</f>
        <v>Dubai</v>
      </c>
      <c r="B1585" s="2" t="str">
        <f ca="1">IFERROR(__xludf.DUMMYFUNCTION("""COMPUTED_VALUE"""),"Sherlock House 2")</f>
        <v>Sherlock House 2</v>
      </c>
      <c r="C1585" s="2" t="str">
        <f ca="1">IFERROR(__xludf.DUMMYFUNCTION("""COMPUTED_VALUE"""),"Building")</f>
        <v>Building</v>
      </c>
      <c r="D1585" s="2" t="str">
        <f ca="1">IFERROR(__xludf.DUMMYFUNCTION("""COMPUTED_VALUE"""),"Dubai&gt;Motor City&gt;Uptown Motor City&gt;Sherlock House&gt;Sherlock House 2")</f>
        <v>Dubai&gt;Motor City&gt;Uptown Motor City&gt;Sherlock House&gt;Sherlock House 2</v>
      </c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</row>
    <row r="1586" spans="1:26" ht="16.5" x14ac:dyDescent="0.35">
      <c r="A1586" s="2" t="str">
        <f ca="1">IFERROR(__xludf.DUMMYFUNCTION("""COMPUTED_VALUE"""),"Dubai")</f>
        <v>Dubai</v>
      </c>
      <c r="B1586" s="2" t="str">
        <f ca="1">IFERROR(__xludf.DUMMYFUNCTION("""COMPUTED_VALUE"""),"Sobha Solis Tower A")</f>
        <v>Sobha Solis Tower A</v>
      </c>
      <c r="C1586" s="2" t="str">
        <f ca="1">IFERROR(__xludf.DUMMYFUNCTION("""COMPUTED_VALUE"""),"Building")</f>
        <v>Building</v>
      </c>
      <c r="D1586" s="2" t="str">
        <f ca="1">IFERROR(__xludf.DUMMYFUNCTION("""COMPUTED_VALUE"""),"Dubai&gt;Motor City&gt;Sobha Solis&gt;Sobha Solis Tower A")</f>
        <v>Dubai&gt;Motor City&gt;Sobha Solis&gt;Sobha Solis Tower A</v>
      </c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</row>
    <row r="1587" spans="1:26" ht="16.5" x14ac:dyDescent="0.35">
      <c r="A1587" s="2" t="str">
        <f ca="1">IFERROR(__xludf.DUMMYFUNCTION("""COMPUTED_VALUE"""),"Dubai")</f>
        <v>Dubai</v>
      </c>
      <c r="B1587" s="2" t="str">
        <f ca="1">IFERROR(__xludf.DUMMYFUNCTION("""COMPUTED_VALUE"""),"Olgana Tower")</f>
        <v>Olgana Tower</v>
      </c>
      <c r="C1587" s="2" t="str">
        <f ca="1">IFERROR(__xludf.DUMMYFUNCTION("""COMPUTED_VALUE"""),"Building")</f>
        <v>Building</v>
      </c>
      <c r="D1587" s="2" t="str">
        <f ca="1">IFERROR(__xludf.DUMMYFUNCTION("""COMPUTED_VALUE"""),"Dubai&gt;Al Sufouh&gt;Al Sufouh 1&gt;Acacia Avenues&gt;Olgana Tower")</f>
        <v>Dubai&gt;Al Sufouh&gt;Al Sufouh 1&gt;Acacia Avenues&gt;Olgana Tower</v>
      </c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</row>
    <row r="1588" spans="1:26" ht="16.5" x14ac:dyDescent="0.35">
      <c r="A1588" s="2" t="str">
        <f ca="1">IFERROR(__xludf.DUMMYFUNCTION("""COMPUTED_VALUE"""),"Dubai")</f>
        <v>Dubai</v>
      </c>
      <c r="B1588" s="2" t="str">
        <f ca="1">IFERROR(__xludf.DUMMYFUNCTION("""COMPUTED_VALUE"""),"Boutique Office 14")</f>
        <v>Boutique Office 14</v>
      </c>
      <c r="C1588" s="2" t="str">
        <f ca="1">IFERROR(__xludf.DUMMYFUNCTION("""COMPUTED_VALUE"""),"Building")</f>
        <v>Building</v>
      </c>
      <c r="D1588" s="2" t="str">
        <f ca="1">IFERROR(__xludf.DUMMYFUNCTION("""COMPUTED_VALUE"""),"Dubai&gt;Al Sufouh&gt;Al Sufouh 2&gt;Boutique Offices&gt;Boutique Office 14")</f>
        <v>Dubai&gt;Al Sufouh&gt;Al Sufouh 2&gt;Boutique Offices&gt;Boutique Office 14</v>
      </c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</row>
    <row r="1589" spans="1:26" ht="16.5" x14ac:dyDescent="0.35">
      <c r="A1589" s="2" t="str">
        <f ca="1">IFERROR(__xludf.DUMMYFUNCTION("""COMPUTED_VALUE"""),"Dubai")</f>
        <v>Dubai</v>
      </c>
      <c r="B1589" s="2" t="str">
        <f ca="1">IFERROR(__xludf.DUMMYFUNCTION("""COMPUTED_VALUE"""),"Al Badia Buildings")</f>
        <v>Al Badia Buildings</v>
      </c>
      <c r="C1589" s="2" t="str">
        <f ca="1">IFERROR(__xludf.DUMMYFUNCTION("""COMPUTED_VALUE"""),"Cluster")</f>
        <v>Cluster</v>
      </c>
      <c r="D1589" s="2" t="str">
        <f ca="1">IFERROR(__xludf.DUMMYFUNCTION("""COMPUTED_VALUE"""),"Dubai&gt;Dubai Festival City&gt;Al Badia Buildings")</f>
        <v>Dubai&gt;Dubai Festival City&gt;Al Badia Buildings</v>
      </c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</row>
    <row r="1590" spans="1:26" ht="16.5" x14ac:dyDescent="0.35">
      <c r="A1590" s="2" t="str">
        <f ca="1">IFERROR(__xludf.DUMMYFUNCTION("""COMPUTED_VALUE"""),"Dubai")</f>
        <v>Dubai</v>
      </c>
      <c r="B1590" s="2" t="str">
        <f ca="1">IFERROR(__xludf.DUMMYFUNCTION("""COMPUTED_VALUE"""),"Flora")</f>
        <v>Flora</v>
      </c>
      <c r="C1590" s="2" t="str">
        <f ca="1">IFERROR(__xludf.DUMMYFUNCTION("""COMPUTED_VALUE"""),"Neighbourhood")</f>
        <v>Neighbourhood</v>
      </c>
      <c r="D1590" s="2" t="str">
        <f ca="1">IFERROR(__xludf.DUMMYFUNCTION("""COMPUTED_VALUE"""),"Dubai&gt;DAMAC Hills&gt;Flora")</f>
        <v>Dubai&gt;DAMAC Hills&gt;Flora</v>
      </c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</row>
    <row r="1591" spans="1:26" ht="16.5" x14ac:dyDescent="0.35">
      <c r="A1591" s="2" t="str">
        <f ca="1">IFERROR(__xludf.DUMMYFUNCTION("""COMPUTED_VALUE"""),"Dubai")</f>
        <v>Dubai</v>
      </c>
      <c r="B1591" s="2" t="str">
        <f ca="1">IFERROR(__xludf.DUMMYFUNCTION("""COMPUTED_VALUE"""),"Golf Terrace")</f>
        <v>Golf Terrace</v>
      </c>
      <c r="C1591" s="2" t="str">
        <f ca="1">IFERROR(__xludf.DUMMYFUNCTION("""COMPUTED_VALUE"""),"Cluster")</f>
        <v>Cluster</v>
      </c>
      <c r="D1591" s="2" t="str">
        <f ca="1">IFERROR(__xludf.DUMMYFUNCTION("""COMPUTED_VALUE"""),"Dubai&gt;DAMAC Hills&gt;Golf Town&gt;Golf Terrace")</f>
        <v>Dubai&gt;DAMAC Hills&gt;Golf Town&gt;Golf Terrace</v>
      </c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</row>
    <row r="1592" spans="1:26" ht="16.5" x14ac:dyDescent="0.35">
      <c r="A1592" s="2" t="str">
        <f ca="1">IFERROR(__xludf.DUMMYFUNCTION("""COMPUTED_VALUE"""),"Dubai")</f>
        <v>Dubai</v>
      </c>
      <c r="B1592" s="2" t="str">
        <f ca="1">IFERROR(__xludf.DUMMYFUNCTION("""COMPUTED_VALUE"""),"Golf Vita A")</f>
        <v>Golf Vita A</v>
      </c>
      <c r="C1592" s="2" t="str">
        <f ca="1">IFERROR(__xludf.DUMMYFUNCTION("""COMPUTED_VALUE"""),"Building")</f>
        <v>Building</v>
      </c>
      <c r="D1592" s="2" t="str">
        <f ca="1">IFERROR(__xludf.DUMMYFUNCTION("""COMPUTED_VALUE"""),"Dubai&gt;DAMAC Hills&gt;Golf Vita&gt;Golf Vita A")</f>
        <v>Dubai&gt;DAMAC Hills&gt;Golf Vita&gt;Golf Vita A</v>
      </c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</row>
    <row r="1593" spans="1:26" ht="16.5" x14ac:dyDescent="0.35">
      <c r="A1593" s="2" t="str">
        <f ca="1">IFERROR(__xludf.DUMMYFUNCTION("""COMPUTED_VALUE"""),"Dubai")</f>
        <v>Dubai</v>
      </c>
      <c r="B1593" s="2" t="str">
        <f ca="1">IFERROR(__xludf.DUMMYFUNCTION("""COMPUTED_VALUE"""),"Golf Gate 2")</f>
        <v>Golf Gate 2</v>
      </c>
      <c r="C1593" s="2" t="str">
        <f ca="1">IFERROR(__xludf.DUMMYFUNCTION("""COMPUTED_VALUE"""),"Building")</f>
        <v>Building</v>
      </c>
      <c r="D1593" s="2" t="str">
        <f ca="1">IFERROR(__xludf.DUMMYFUNCTION("""COMPUTED_VALUE"""),"Dubai&gt;DAMAC Hills&gt;Golf Gate 2")</f>
        <v>Dubai&gt;DAMAC Hills&gt;Golf Gate 2</v>
      </c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</row>
    <row r="1594" spans="1:26" ht="16.5" x14ac:dyDescent="0.35">
      <c r="A1594" s="2" t="str">
        <f ca="1">IFERROR(__xludf.DUMMYFUNCTION("""COMPUTED_VALUE"""),"Dubai")</f>
        <v>Dubai</v>
      </c>
      <c r="B1594" s="2" t="str">
        <f ca="1">IFERROR(__xludf.DUMMYFUNCTION("""COMPUTED_VALUE"""),"Seven Pearls")</f>
        <v>Seven Pearls</v>
      </c>
      <c r="C1594" s="2" t="str">
        <f ca="1">IFERROR(__xludf.DUMMYFUNCTION("""COMPUTED_VALUE"""),"Cluster")</f>
        <v>Cluster</v>
      </c>
      <c r="D1594" s="2" t="str">
        <f ca="1">IFERROR(__xludf.DUMMYFUNCTION("""COMPUTED_VALUE"""),"Dubai&gt;Al Mina&gt;Seven Pearls")</f>
        <v>Dubai&gt;Al Mina&gt;Seven Pearls</v>
      </c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</row>
    <row r="1595" spans="1:26" ht="16.5" x14ac:dyDescent="0.35">
      <c r="A1595" s="2" t="str">
        <f ca="1">IFERROR(__xludf.DUMMYFUNCTION("""COMPUTED_VALUE"""),"Dubai")</f>
        <v>Dubai</v>
      </c>
      <c r="B1595" s="2" t="str">
        <f ca="1">IFERROR(__xludf.DUMMYFUNCTION("""COMPUTED_VALUE"""),"Maritime Business Center")</f>
        <v>Maritime Business Center</v>
      </c>
      <c r="C1595" s="2" t="str">
        <f ca="1">IFERROR(__xludf.DUMMYFUNCTION("""COMPUTED_VALUE"""),"Building")</f>
        <v>Building</v>
      </c>
      <c r="D1595" s="2" t="str">
        <f ca="1">IFERROR(__xludf.DUMMYFUNCTION("""COMPUTED_VALUE"""),"Dubai&gt;Dubai Maritime City&gt;Maritime Business Center")</f>
        <v>Dubai&gt;Dubai Maritime City&gt;Maritime Business Center</v>
      </c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</row>
    <row r="1596" spans="1:26" ht="16.5" x14ac:dyDescent="0.35">
      <c r="A1596" s="2" t="str">
        <f ca="1">IFERROR(__xludf.DUMMYFUNCTION("""COMPUTED_VALUE"""),"Dubai")</f>
        <v>Dubai</v>
      </c>
      <c r="B1596" s="2" t="str">
        <f ca="1">IFERROR(__xludf.DUMMYFUNCTION("""COMPUTED_VALUE"""),"Jumeirah International Nursery Regent")</f>
        <v>Jumeirah International Nursery Regent</v>
      </c>
      <c r="C1596" s="2" t="str">
        <f ca="1">IFERROR(__xludf.DUMMYFUNCTION("""COMPUTED_VALUE"""),"Nursery")</f>
        <v>Nursery</v>
      </c>
      <c r="D1596" s="2" t="str">
        <f ca="1">IFERROR(__xludf.DUMMYFUNCTION("""COMPUTED_VALUE"""),"Dubai&gt;The Views&gt;Jumeirah International Nursery Regent")</f>
        <v>Dubai&gt;The Views&gt;Jumeirah International Nursery Regent</v>
      </c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</row>
    <row r="1597" spans="1:26" ht="16.5" x14ac:dyDescent="0.35">
      <c r="A1597" s="2" t="str">
        <f ca="1">IFERROR(__xludf.DUMMYFUNCTION("""COMPUTED_VALUE"""),"Dubai")</f>
        <v>Dubai</v>
      </c>
      <c r="B1597" s="2" t="str">
        <f ca="1">IFERROR(__xludf.DUMMYFUNCTION("""COMPUTED_VALUE"""),"Turia Tower B")</f>
        <v>Turia Tower B</v>
      </c>
      <c r="C1597" s="2" t="str">
        <f ca="1">IFERROR(__xludf.DUMMYFUNCTION("""COMPUTED_VALUE"""),"Building")</f>
        <v>Building</v>
      </c>
      <c r="D1597" s="2" t="str">
        <f ca="1">IFERROR(__xludf.DUMMYFUNCTION("""COMPUTED_VALUE"""),"Dubai&gt;The Views&gt;Turia&gt;Turia Tower B")</f>
        <v>Dubai&gt;The Views&gt;Turia&gt;Turia Tower B</v>
      </c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</row>
    <row r="1598" spans="1:26" ht="16.5" x14ac:dyDescent="0.35">
      <c r="A1598" s="2" t="str">
        <f ca="1">IFERROR(__xludf.DUMMYFUNCTION("""COMPUTED_VALUE"""),"Dubai")</f>
        <v>Dubai</v>
      </c>
      <c r="B1598" s="2" t="str">
        <f ca="1">IFERROR(__xludf.DUMMYFUNCTION("""COMPUTED_VALUE"""),"Intercoil Business Centre")</f>
        <v>Intercoil Business Centre</v>
      </c>
      <c r="C1598" s="2" t="str">
        <f ca="1">IFERROR(__xludf.DUMMYFUNCTION("""COMPUTED_VALUE"""),"Building")</f>
        <v>Building</v>
      </c>
      <c r="D1598" s="2" t="str">
        <f ca="1">IFERROR(__xludf.DUMMYFUNCTION("""COMPUTED_VALUE"""),"Dubai&gt;Al Quoz&gt;Al Quoz Industrial Area&gt;Al Quoz Industrial Area 3&gt;Intercoil Business Centre")</f>
        <v>Dubai&gt;Al Quoz&gt;Al Quoz Industrial Area&gt;Al Quoz Industrial Area 3&gt;Intercoil Business Centre</v>
      </c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</row>
    <row r="1599" spans="1:26" ht="16.5" x14ac:dyDescent="0.35">
      <c r="A1599" s="2" t="str">
        <f ca="1">IFERROR(__xludf.DUMMYFUNCTION("""COMPUTED_VALUE"""),"Dubai")</f>
        <v>Dubai</v>
      </c>
      <c r="B1599" s="2" t="str">
        <f ca="1">IFERROR(__xludf.DUMMYFUNCTION("""COMPUTED_VALUE"""),"Springdales School Dubai")</f>
        <v>Springdales School Dubai</v>
      </c>
      <c r="C1599" s="2" t="str">
        <f ca="1">IFERROR(__xludf.DUMMYFUNCTION("""COMPUTED_VALUE"""),"School")</f>
        <v>School</v>
      </c>
      <c r="D1599" s="2" t="str">
        <f ca="1">IFERROR(__xludf.DUMMYFUNCTION("""COMPUTED_VALUE"""),"Dubai&gt;Al Quoz&gt;Al Quoz 4&gt;Springdales School Dubai")</f>
        <v>Dubai&gt;Al Quoz&gt;Al Quoz 4&gt;Springdales School Dubai</v>
      </c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</row>
    <row r="1600" spans="1:26" ht="16.5" x14ac:dyDescent="0.35">
      <c r="A1600" s="2" t="str">
        <f ca="1">IFERROR(__xludf.DUMMYFUNCTION("""COMPUTED_VALUE"""),"Dubai")</f>
        <v>Dubai</v>
      </c>
      <c r="B1600" s="2" t="str">
        <f ca="1">IFERROR(__xludf.DUMMYFUNCTION("""COMPUTED_VALUE"""),"Toddlers International Nursery DSO")</f>
        <v>Toddlers International Nursery DSO</v>
      </c>
      <c r="C1600" s="2" t="str">
        <f ca="1">IFERROR(__xludf.DUMMYFUNCTION("""COMPUTED_VALUE"""),"Nursery")</f>
        <v>Nursery</v>
      </c>
      <c r="D1600" s="2" t="str">
        <f ca="1">IFERROR(__xludf.DUMMYFUNCTION("""COMPUTED_VALUE"""),"Dubai&gt;Dubai Silicon Oasis (DSO)&gt;Toddlers International Nursery DSO")</f>
        <v>Dubai&gt;Dubai Silicon Oasis (DSO)&gt;Toddlers International Nursery DSO</v>
      </c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</row>
    <row r="1601" spans="1:26" ht="16.5" x14ac:dyDescent="0.35">
      <c r="A1601" s="2" t="str">
        <f ca="1">IFERROR(__xludf.DUMMYFUNCTION("""COMPUTED_VALUE"""),"Dubai")</f>
        <v>Dubai</v>
      </c>
      <c r="B1601" s="2" t="str">
        <f ca="1">IFERROR(__xludf.DUMMYFUNCTION("""COMPUTED_VALUE"""),"A2 Building")</f>
        <v>A2 Building</v>
      </c>
      <c r="C1601" s="2" t="str">
        <f ca="1">IFERROR(__xludf.DUMMYFUNCTION("""COMPUTED_VALUE"""),"Building")</f>
        <v>Building</v>
      </c>
      <c r="D1601" s="2" t="str">
        <f ca="1">IFERROR(__xludf.DUMMYFUNCTION("""COMPUTED_VALUE"""),"Dubai&gt;Dubai Silicon Oasis (DSO)&gt;Dubai Digital Park&gt;A2 Building")</f>
        <v>Dubai&gt;Dubai Silicon Oasis (DSO)&gt;Dubai Digital Park&gt;A2 Building</v>
      </c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</row>
    <row r="1602" spans="1:26" ht="16.5" x14ac:dyDescent="0.35">
      <c r="A1602" s="2" t="str">
        <f ca="1">IFERROR(__xludf.DUMMYFUNCTION("""COMPUTED_VALUE"""),"Dubai")</f>
        <v>Dubai</v>
      </c>
      <c r="B1602" s="2" t="str">
        <f ca="1">IFERROR(__xludf.DUMMYFUNCTION("""COMPUTED_VALUE"""),"Al Manal Residence 1")</f>
        <v>Al Manal Residence 1</v>
      </c>
      <c r="C1602" s="2" t="str">
        <f ca="1">IFERROR(__xludf.DUMMYFUNCTION("""COMPUTED_VALUE"""),"Building")</f>
        <v>Building</v>
      </c>
      <c r="D1602" s="2" t="str">
        <f ca="1">IFERROR(__xludf.DUMMYFUNCTION("""COMPUTED_VALUE"""),"Dubai&gt;Dubai Silicon Oasis (DSO)&gt;Al Manal Residence&gt;Al Manal Residence 1")</f>
        <v>Dubai&gt;Dubai Silicon Oasis (DSO)&gt;Al Manal Residence&gt;Al Manal Residence 1</v>
      </c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</row>
    <row r="1603" spans="1:26" ht="16.5" x14ac:dyDescent="0.35">
      <c r="A1603" s="2" t="str">
        <f ca="1">IFERROR(__xludf.DUMMYFUNCTION("""COMPUTED_VALUE"""),"Dubai")</f>
        <v>Dubai</v>
      </c>
      <c r="B1603" s="2" t="str">
        <f ca="1">IFERROR(__xludf.DUMMYFUNCTION("""COMPUTED_VALUE"""),"Binghatti Stars")</f>
        <v>Binghatti Stars</v>
      </c>
      <c r="C1603" s="2" t="str">
        <f ca="1">IFERROR(__xludf.DUMMYFUNCTION("""COMPUTED_VALUE"""),"Building")</f>
        <v>Building</v>
      </c>
      <c r="D1603" s="2" t="str">
        <f ca="1">IFERROR(__xludf.DUMMYFUNCTION("""COMPUTED_VALUE"""),"Dubai&gt;Dubai Silicon Oasis (DSO)&gt;Binghatti Stars")</f>
        <v>Dubai&gt;Dubai Silicon Oasis (DSO)&gt;Binghatti Stars</v>
      </c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</row>
    <row r="1604" spans="1:26" ht="16.5" x14ac:dyDescent="0.35">
      <c r="A1604" s="2" t="str">
        <f ca="1">IFERROR(__xludf.DUMMYFUNCTION("""COMPUTED_VALUE"""),"Dubai")</f>
        <v>Dubai</v>
      </c>
      <c r="B1604" s="2" t="str">
        <f ca="1">IFERROR(__xludf.DUMMYFUNCTION("""COMPUTED_VALUE"""),"Amna Building")</f>
        <v>Amna Building</v>
      </c>
      <c r="C1604" s="2" t="str">
        <f ca="1">IFERROR(__xludf.DUMMYFUNCTION("""COMPUTED_VALUE"""),"Building")</f>
        <v>Building</v>
      </c>
      <c r="D1604" s="2" t="str">
        <f ca="1">IFERROR(__xludf.DUMMYFUNCTION("""COMPUTED_VALUE"""),"Dubai&gt;Dubai Silicon Oasis (DSO)&gt;Amna Building")</f>
        <v>Dubai&gt;Dubai Silicon Oasis (DSO)&gt;Amna Building</v>
      </c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</row>
    <row r="1605" spans="1:26" ht="16.5" x14ac:dyDescent="0.35">
      <c r="A1605" s="2" t="str">
        <f ca="1">IFERROR(__xludf.DUMMYFUNCTION("""COMPUTED_VALUE"""),"Dubai")</f>
        <v>Dubai</v>
      </c>
      <c r="B1605" s="2" t="str">
        <f ca="1">IFERROR(__xludf.DUMMYFUNCTION("""COMPUTED_VALUE"""),"Axis 5")</f>
        <v>Axis 5</v>
      </c>
      <c r="C1605" s="2" t="str">
        <f ca="1">IFERROR(__xludf.DUMMYFUNCTION("""COMPUTED_VALUE"""),"Building")</f>
        <v>Building</v>
      </c>
      <c r="D1605" s="2" t="str">
        <f ca="1">IFERROR(__xludf.DUMMYFUNCTION("""COMPUTED_VALUE"""),"Dubai&gt;Dubai Silicon Oasis (DSO)&gt;Axis Residences&gt;Axis 5")</f>
        <v>Dubai&gt;Dubai Silicon Oasis (DSO)&gt;Axis Residences&gt;Axis 5</v>
      </c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</row>
    <row r="1606" spans="1:26" ht="16.5" x14ac:dyDescent="0.35">
      <c r="A1606" s="2" t="str">
        <f ca="1">IFERROR(__xludf.DUMMYFUNCTION("""COMPUTED_VALUE"""),"Dubai")</f>
        <v>Dubai</v>
      </c>
      <c r="B1606" s="2" t="str">
        <f ca="1">IFERROR(__xludf.DUMMYFUNCTION("""COMPUTED_VALUE"""),"Pearls by Vision")</f>
        <v>Pearls by Vision</v>
      </c>
      <c r="C1606" s="2" t="str">
        <f ca="1">IFERROR(__xludf.DUMMYFUNCTION("""COMPUTED_VALUE"""),"Building")</f>
        <v>Building</v>
      </c>
      <c r="D1606" s="2" t="str">
        <f ca="1">IFERROR(__xludf.DUMMYFUNCTION("""COMPUTED_VALUE"""),"Dubai&gt;Dubai Silicon Oasis (DSO)&gt;Pearls by Vision")</f>
        <v>Dubai&gt;Dubai Silicon Oasis (DSO)&gt;Pearls by Vision</v>
      </c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</row>
    <row r="1607" spans="1:26" ht="16.5" x14ac:dyDescent="0.35">
      <c r="A1607" s="2" t="str">
        <f ca="1">IFERROR(__xludf.DUMMYFUNCTION("""COMPUTED_VALUE"""),"Dubai")</f>
        <v>Dubai</v>
      </c>
      <c r="B1607" s="2" t="str">
        <f ca="1">IFERROR(__xludf.DUMMYFUNCTION("""COMPUTED_VALUE"""),"Ashjar F2")</f>
        <v>Ashjar F2</v>
      </c>
      <c r="C1607" s="2" t="str">
        <f ca="1">IFERROR(__xludf.DUMMYFUNCTION("""COMPUTED_VALUE"""),"Building")</f>
        <v>Building</v>
      </c>
      <c r="D1607" s="2" t="str">
        <f ca="1">IFERROR(__xludf.DUMMYFUNCTION("""COMPUTED_VALUE"""),"Dubai&gt;Al Barari&gt;Ashjar&gt;Ashjar F2")</f>
        <v>Dubai&gt;Al Barari&gt;Ashjar&gt;Ashjar F2</v>
      </c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</row>
    <row r="1608" spans="1:26" ht="16.5" x14ac:dyDescent="0.35">
      <c r="A1608" s="2" t="str">
        <f ca="1">IFERROR(__xludf.DUMMYFUNCTION("""COMPUTED_VALUE"""),"Dubai")</f>
        <v>Dubai</v>
      </c>
      <c r="B1608" s="2" t="str">
        <f ca="1">IFERROR(__xludf.DUMMYFUNCTION("""COMPUTED_VALUE"""),"Jasmine Leaf 6")</f>
        <v>Jasmine Leaf 6</v>
      </c>
      <c r="C1608" s="2" t="str">
        <f ca="1">IFERROR(__xludf.DUMMYFUNCTION("""COMPUTED_VALUE"""),"Neighbourhood")</f>
        <v>Neighbourhood</v>
      </c>
      <c r="D1608" s="2" t="str">
        <f ca="1">IFERROR(__xludf.DUMMYFUNCTION("""COMPUTED_VALUE"""),"Dubai&gt;Al Barari&gt;The Residences&gt;Jasmine Leaf&gt;Jasmine Leaf 6")</f>
        <v>Dubai&gt;Al Barari&gt;The Residences&gt;Jasmine Leaf&gt;Jasmine Leaf 6</v>
      </c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</row>
    <row r="1609" spans="1:26" ht="16.5" x14ac:dyDescent="0.35">
      <c r="A1609" s="2" t="str">
        <f ca="1">IFERROR(__xludf.DUMMYFUNCTION("""COMPUTED_VALUE"""),"Dubai")</f>
        <v>Dubai</v>
      </c>
      <c r="B1609" s="2" t="str">
        <f ca="1">IFERROR(__xludf.DUMMYFUNCTION("""COMPUTED_VALUE"""),"Elie Saab Vie at the Fields")</f>
        <v>Elie Saab Vie at the Fields</v>
      </c>
      <c r="C1609" s="2" t="str">
        <f ca="1">IFERROR(__xludf.DUMMYFUNCTION("""COMPUTED_VALUE"""),"Neighbourhood")</f>
        <v>Neighbourhood</v>
      </c>
      <c r="D1609" s="2" t="str">
        <f ca="1">IFERROR(__xludf.DUMMYFUNCTION("""COMPUTED_VALUE"""),"Dubai&gt;Mohammed Bin Rashid City&gt;District 11&gt;The Fields&gt;Elie Saab Vie at the Fields")</f>
        <v>Dubai&gt;Mohammed Bin Rashid City&gt;District 11&gt;The Fields&gt;Elie Saab Vie at the Fields</v>
      </c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</row>
    <row r="1610" spans="1:26" ht="16.5" x14ac:dyDescent="0.35">
      <c r="A1610" s="2" t="str">
        <f ca="1">IFERROR(__xludf.DUMMYFUNCTION("""COMPUTED_VALUE"""),"Dubai")</f>
        <v>Dubai</v>
      </c>
      <c r="B1610" s="2" t="str">
        <f ca="1">IFERROR(__xludf.DUMMYFUNCTION("""COMPUTED_VALUE"""),"Gate Eleven Building 1")</f>
        <v>Gate Eleven Building 1</v>
      </c>
      <c r="C1610" s="2" t="str">
        <f ca="1">IFERROR(__xludf.DUMMYFUNCTION("""COMPUTED_VALUE"""),"Building")</f>
        <v>Building</v>
      </c>
      <c r="D1610" s="2" t="str">
        <f ca="1">IFERROR(__xludf.DUMMYFUNCTION("""COMPUTED_VALUE"""),"Dubai&gt;Mohammed Bin Rashid City&gt;District 11&gt;Gate Eleven Residences&gt;Gate Eleven Building 1")</f>
        <v>Dubai&gt;Mohammed Bin Rashid City&gt;District 11&gt;Gate Eleven Residences&gt;Gate Eleven Building 1</v>
      </c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</row>
    <row r="1611" spans="1:26" ht="16.5" x14ac:dyDescent="0.35">
      <c r="A1611" s="2" t="str">
        <f ca="1">IFERROR(__xludf.DUMMYFUNCTION("""COMPUTED_VALUE"""),"Dubai")</f>
        <v>Dubai</v>
      </c>
      <c r="B1611" s="2" t="str">
        <f ca="1">IFERROR(__xludf.DUMMYFUNCTION("""COMPUTED_VALUE"""),"Residences 29")</f>
        <v>Residences 29</v>
      </c>
      <c r="C1611" s="2" t="str">
        <f ca="1">IFERROR(__xludf.DUMMYFUNCTION("""COMPUTED_VALUE"""),"Building")</f>
        <v>Building</v>
      </c>
      <c r="D1611" s="2" t="str">
        <f ca="1">IFERROR(__xludf.DUMMYFUNCTION("""COMPUTED_VALUE"""),"Dubai&gt;Mohammed Bin Rashid City&gt;District One&gt;The Residences at District One&gt;Residences 29")</f>
        <v>Dubai&gt;Mohammed Bin Rashid City&gt;District One&gt;The Residences at District One&gt;Residences 29</v>
      </c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</row>
    <row r="1612" spans="1:26" ht="16.5" x14ac:dyDescent="0.35">
      <c r="A1612" s="2" t="str">
        <f ca="1">IFERROR(__xludf.DUMMYFUNCTION("""COMPUTED_VALUE"""),"Dubai")</f>
        <v>Dubai</v>
      </c>
      <c r="B1612" s="2" t="str">
        <f ca="1">IFERROR(__xludf.DUMMYFUNCTION("""COMPUTED_VALUE"""),"The Pulse Townhouses")</f>
        <v>The Pulse Townhouses</v>
      </c>
      <c r="C1612" s="2" t="str">
        <f ca="1">IFERROR(__xludf.DUMMYFUNCTION("""COMPUTED_VALUE"""),"Neighbourhood")</f>
        <v>Neighbourhood</v>
      </c>
      <c r="D1612" s="2" t="str">
        <f ca="1">IFERROR(__xludf.DUMMYFUNCTION("""COMPUTED_VALUE"""),"Dubai&gt;Dubai South&gt;Residential District&gt;The Pulse&gt;The Pulse Townhouses")</f>
        <v>Dubai&gt;Dubai South&gt;Residential District&gt;The Pulse&gt;The Pulse Townhouses</v>
      </c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</row>
    <row r="1613" spans="1:26" ht="16.5" x14ac:dyDescent="0.35">
      <c r="A1613" s="2" t="str">
        <f ca="1">IFERROR(__xludf.DUMMYFUNCTION("""COMPUTED_VALUE"""),"Dubai")</f>
        <v>Dubai</v>
      </c>
      <c r="B1613" s="2" t="str">
        <f ca="1">IFERROR(__xludf.DUMMYFUNCTION("""COMPUTED_VALUE"""),"MAG 550")</f>
        <v>MAG 550</v>
      </c>
      <c r="C1613" s="2" t="str">
        <f ca="1">IFERROR(__xludf.DUMMYFUNCTION("""COMPUTED_VALUE"""),"Building")</f>
        <v>Building</v>
      </c>
      <c r="D1613" s="2" t="str">
        <f ca="1">IFERROR(__xludf.DUMMYFUNCTION("""COMPUTED_VALUE"""),"Dubai&gt;Dubai South&gt;Residential District&gt;MAG 5 Boulevard&gt;MAG 550")</f>
        <v>Dubai&gt;Dubai South&gt;Residential District&gt;MAG 5 Boulevard&gt;MAG 550</v>
      </c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</row>
    <row r="1614" spans="1:26" ht="16.5" x14ac:dyDescent="0.35">
      <c r="A1614" s="2" t="str">
        <f ca="1">IFERROR(__xludf.DUMMYFUNCTION("""COMPUTED_VALUE"""),"Dubai")</f>
        <v>Dubai</v>
      </c>
      <c r="B1614" s="2" t="str">
        <f ca="1">IFERROR(__xludf.DUMMYFUNCTION("""COMPUTED_VALUE"""),"AB South Residence")</f>
        <v>AB South Residence</v>
      </c>
      <c r="C1614" s="2" t="str">
        <f ca="1">IFERROR(__xludf.DUMMYFUNCTION("""COMPUTED_VALUE"""),"Building")</f>
        <v>Building</v>
      </c>
      <c r="D1614" s="2" t="str">
        <f ca="1">IFERROR(__xludf.DUMMYFUNCTION("""COMPUTED_VALUE"""),"Dubai&gt;Dubai South&gt;Residential District&gt;AB South Residence")</f>
        <v>Dubai&gt;Dubai South&gt;Residential District&gt;AB South Residence</v>
      </c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</row>
    <row r="1615" spans="1:26" ht="16.5" x14ac:dyDescent="0.35">
      <c r="A1615" s="2" t="str">
        <f ca="1">IFERROR(__xludf.DUMMYFUNCTION("""COMPUTED_VALUE"""),"Dubai")</f>
        <v>Dubai</v>
      </c>
      <c r="B1615" s="2" t="str">
        <f ca="1">IFERROR(__xludf.DUMMYFUNCTION("""COMPUTED_VALUE"""),"Armas by Zenith")</f>
        <v>Armas by Zenith</v>
      </c>
      <c r="C1615" s="2" t="str">
        <f ca="1">IFERROR(__xludf.DUMMYFUNCTION("""COMPUTED_VALUE"""),"Building")</f>
        <v>Building</v>
      </c>
      <c r="D1615" s="2" t="str">
        <f ca="1">IFERROR(__xludf.DUMMYFUNCTION("""COMPUTED_VALUE"""),"Dubai&gt;Dubai South&gt;Residential District&gt;Armas by Zenith")</f>
        <v>Dubai&gt;Dubai South&gt;Residential District&gt;Armas by Zenith</v>
      </c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</row>
    <row r="1616" spans="1:26" ht="16.5" x14ac:dyDescent="0.35">
      <c r="A1616" s="2" t="str">
        <f ca="1">IFERROR(__xludf.DUMMYFUNCTION("""COMPUTED_VALUE"""),"Dubai")</f>
        <v>Dubai</v>
      </c>
      <c r="B1616" s="2" t="str">
        <f ca="1">IFERROR(__xludf.DUMMYFUNCTION("""COMPUTED_VALUE"""),"Urbana I")</f>
        <v>Urbana I</v>
      </c>
      <c r="C1616" s="2" t="str">
        <f ca="1">IFERROR(__xludf.DUMMYFUNCTION("""COMPUTED_VALUE"""),"Neighbourhood")</f>
        <v>Neighbourhood</v>
      </c>
      <c r="D1616" s="2" t="str">
        <f ca="1">IFERROR(__xludf.DUMMYFUNCTION("""COMPUTED_VALUE"""),"Dubai&gt;Dubai South&gt;Emaar South&gt;Urbana&gt;Urbana I")</f>
        <v>Dubai&gt;Dubai South&gt;Emaar South&gt;Urbana&gt;Urbana I</v>
      </c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</row>
    <row r="1617" spans="1:26" ht="16.5" x14ac:dyDescent="0.35">
      <c r="A1617" s="2" t="str">
        <f ca="1">IFERROR(__xludf.DUMMYFUNCTION("""COMPUTED_VALUE"""),"Dubai")</f>
        <v>Dubai</v>
      </c>
      <c r="B1617" s="2" t="str">
        <f ca="1">IFERROR(__xludf.DUMMYFUNCTION("""COMPUTED_VALUE"""),"Golf Hills")</f>
        <v>Golf Hills</v>
      </c>
      <c r="C1617" s="2" t="str">
        <f ca="1">IFERROR(__xludf.DUMMYFUNCTION("""COMPUTED_VALUE"""),"Building")</f>
        <v>Building</v>
      </c>
      <c r="D1617" s="2" t="str">
        <f ca="1">IFERROR(__xludf.DUMMYFUNCTION("""COMPUTED_VALUE"""),"Dubai&gt;Dubai South&gt;Emaar South&gt;Golf Hills")</f>
        <v>Dubai&gt;Dubai South&gt;Emaar South&gt;Golf Hills</v>
      </c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</row>
    <row r="1618" spans="1:26" ht="16.5" x14ac:dyDescent="0.35">
      <c r="A1618" s="2" t="str">
        <f ca="1">IFERROR(__xludf.DUMMYFUNCTION("""COMPUTED_VALUE"""),"Dubai")</f>
        <v>Dubai</v>
      </c>
      <c r="B1618" s="2" t="str">
        <f ca="1">IFERROR(__xludf.DUMMYFUNCTION("""COMPUTED_VALUE"""),"Holiday Inn Dubai Al-Maktoum Airport")</f>
        <v>Holiday Inn Dubai Al-Maktoum Airport</v>
      </c>
      <c r="C1618" s="2" t="str">
        <f ca="1">IFERROR(__xludf.DUMMYFUNCTION("""COMPUTED_VALUE"""),"Building")</f>
        <v>Building</v>
      </c>
      <c r="D1618" s="2" t="str">
        <f ca="1">IFERROR(__xludf.DUMMYFUNCTION("""COMPUTED_VALUE"""),"Dubai&gt;Dubai South&gt;Holiday Inn Dubai Al-Maktoum Airport")</f>
        <v>Dubai&gt;Dubai South&gt;Holiday Inn Dubai Al-Maktoum Airport</v>
      </c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</row>
    <row r="1619" spans="1:26" ht="16.5" x14ac:dyDescent="0.35">
      <c r="A1619" s="2" t="str">
        <f ca="1">IFERROR(__xludf.DUMMYFUNCTION("""COMPUTED_VALUE"""),"Dubai")</f>
        <v>Dubai</v>
      </c>
      <c r="B1619" s="2" t="str">
        <f ca="1">IFERROR(__xludf.DUMMYFUNCTION("""COMPUTED_VALUE"""),"Azizi Venice 14 Building B")</f>
        <v>Azizi Venice 14 Building B</v>
      </c>
      <c r="C1619" s="2" t="str">
        <f ca="1">IFERROR(__xludf.DUMMYFUNCTION("""COMPUTED_VALUE"""),"Building")</f>
        <v>Building</v>
      </c>
      <c r="D1619" s="2" t="str">
        <f ca="1">IFERROR(__xludf.DUMMYFUNCTION("""COMPUTED_VALUE"""),"Dubai&gt;Dubai South&gt;Azizi Venice&gt;Azizi Venice 14&gt;Azizi Venice 14 Building B")</f>
        <v>Dubai&gt;Dubai South&gt;Azizi Venice&gt;Azizi Venice 14&gt;Azizi Venice 14 Building B</v>
      </c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</row>
    <row r="1620" spans="1:26" ht="16.5" x14ac:dyDescent="0.35">
      <c r="A1620" s="2" t="str">
        <f ca="1">IFERROR(__xludf.DUMMYFUNCTION("""COMPUTED_VALUE"""),"Dubai")</f>
        <v>Dubai</v>
      </c>
      <c r="B1620" s="2" t="str">
        <f ca="1">IFERROR(__xludf.DUMMYFUNCTION("""COMPUTED_VALUE"""),"Hayat 3")</f>
        <v>Hayat 3</v>
      </c>
      <c r="C1620" s="2" t="str">
        <f ca="1">IFERROR(__xludf.DUMMYFUNCTION("""COMPUTED_VALUE"""),"Neighbourhood")</f>
        <v>Neighbourhood</v>
      </c>
      <c r="D1620" s="2" t="str">
        <f ca="1">IFERROR(__xludf.DUMMYFUNCTION("""COMPUTED_VALUE"""),"Dubai&gt;Dubai South&gt;Hayat&gt;Hayat 3")</f>
        <v>Dubai&gt;Dubai South&gt;Hayat&gt;Hayat 3</v>
      </c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</row>
    <row r="1621" spans="1:26" ht="16.5" x14ac:dyDescent="0.35">
      <c r="A1621" s="2" t="str">
        <f ca="1">IFERROR(__xludf.DUMMYFUNCTION("""COMPUTED_VALUE"""),"Dubai")</f>
        <v>Dubai</v>
      </c>
      <c r="B1621" s="2" t="str">
        <f ca="1">IFERROR(__xludf.DUMMYFUNCTION("""COMPUTED_VALUE"""),"Al Makhawi Building")</f>
        <v>Al Makhawi Building</v>
      </c>
      <c r="C1621" s="2" t="str">
        <f ca="1">IFERROR(__xludf.DUMMYFUNCTION("""COMPUTED_VALUE"""),"Building")</f>
        <v>Building</v>
      </c>
      <c r="D1621" s="2" t="str">
        <f ca="1">IFERROR(__xludf.DUMMYFUNCTION("""COMPUTED_VALUE"""),"Dubai&gt;Bur Dubai&gt;Oud Metha&gt;Al Makhawi Building")</f>
        <v>Dubai&gt;Bur Dubai&gt;Oud Metha&gt;Al Makhawi Building</v>
      </c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</row>
    <row r="1622" spans="1:26" ht="16.5" x14ac:dyDescent="0.35">
      <c r="A1622" s="2" t="str">
        <f ca="1">IFERROR(__xludf.DUMMYFUNCTION("""COMPUTED_VALUE"""),"Dubai")</f>
        <v>Dubai</v>
      </c>
      <c r="B1622" s="2" t="str">
        <f ca="1">IFERROR(__xludf.DUMMYFUNCTION("""COMPUTED_VALUE"""),"Al Nasr Square Block A")</f>
        <v>Al Nasr Square Block A</v>
      </c>
      <c r="C1622" s="2" t="str">
        <f ca="1">IFERROR(__xludf.DUMMYFUNCTION("""COMPUTED_VALUE"""),"Building")</f>
        <v>Building</v>
      </c>
      <c r="D1622" s="2" t="str">
        <f ca="1">IFERROR(__xludf.DUMMYFUNCTION("""COMPUTED_VALUE"""),"Dubai&gt;Bur Dubai&gt;Oud Metha&gt;Al Nasr Square Buildings&gt;Al Nasr Square Block A")</f>
        <v>Dubai&gt;Bur Dubai&gt;Oud Metha&gt;Al Nasr Square Buildings&gt;Al Nasr Square Block A</v>
      </c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</row>
    <row r="1623" spans="1:26" ht="16.5" x14ac:dyDescent="0.35">
      <c r="A1623" s="2" t="str">
        <f ca="1">IFERROR(__xludf.DUMMYFUNCTION("""COMPUTED_VALUE"""),"Dubai")</f>
        <v>Dubai</v>
      </c>
      <c r="B1623" s="2" t="str">
        <f ca="1">IFERROR(__xludf.DUMMYFUNCTION("""COMPUTED_VALUE"""),"Art 1")</f>
        <v>Art 1</v>
      </c>
      <c r="C1623" s="2" t="str">
        <f ca="1">IFERROR(__xludf.DUMMYFUNCTION("""COMPUTED_VALUE"""),"Building")</f>
        <v>Building</v>
      </c>
      <c r="D1623" s="2" t="str">
        <f ca="1">IFERROR(__xludf.DUMMYFUNCTION("""COMPUTED_VALUE"""),"Dubai&gt;Bur Dubai&gt;Al Raffa&gt;Art 1")</f>
        <v>Dubai&gt;Bur Dubai&gt;Al Raffa&gt;Art 1</v>
      </c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</row>
    <row r="1624" spans="1:26" ht="16.5" x14ac:dyDescent="0.35">
      <c r="A1624" s="2" t="str">
        <f ca="1">IFERROR(__xludf.DUMMYFUNCTION("""COMPUTED_VALUE"""),"Dubai")</f>
        <v>Dubai</v>
      </c>
      <c r="B1624" s="2" t="str">
        <f ca="1">IFERROR(__xludf.DUMMYFUNCTION("""COMPUTED_VALUE"""),"Mohd Rafi Qasimi &amp; Mohd Saleh Ahmed 1 Building")</f>
        <v>Mohd Rafi Qasimi &amp; Mohd Saleh Ahmed 1 Building</v>
      </c>
      <c r="C1624" s="2" t="str">
        <f ca="1">IFERROR(__xludf.DUMMYFUNCTION("""COMPUTED_VALUE"""),"Building")</f>
        <v>Building</v>
      </c>
      <c r="D1624" s="2" t="str">
        <f ca="1">IFERROR(__xludf.DUMMYFUNCTION("""COMPUTED_VALUE"""),"Dubai&gt;Bur Dubai&gt;Al Raffa&gt;Mohd Rafi Qasimi &amp; Mohd Saleh Ahmed 1 Building")</f>
        <v>Dubai&gt;Bur Dubai&gt;Al Raffa&gt;Mohd Rafi Qasimi &amp; Mohd Saleh Ahmed 1 Building</v>
      </c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</row>
    <row r="1625" spans="1:26" ht="16.5" x14ac:dyDescent="0.35">
      <c r="A1625" s="2" t="str">
        <f ca="1">IFERROR(__xludf.DUMMYFUNCTION("""COMPUTED_VALUE"""),"Dubai")</f>
        <v>Dubai</v>
      </c>
      <c r="B1625" s="2" t="str">
        <f ca="1">IFERROR(__xludf.DUMMYFUNCTION("""COMPUTED_VALUE"""),"Golden Sands 8")</f>
        <v>Golden Sands 8</v>
      </c>
      <c r="C1625" s="2" t="str">
        <f ca="1">IFERROR(__xludf.DUMMYFUNCTION("""COMPUTED_VALUE"""),"Building")</f>
        <v>Building</v>
      </c>
      <c r="D1625" s="2" t="str">
        <f ca="1">IFERROR(__xludf.DUMMYFUNCTION("""COMPUTED_VALUE"""),"Dubai&gt;Bur Dubai&gt;Al Mankhool&gt;Golden Sands 8")</f>
        <v>Dubai&gt;Bur Dubai&gt;Al Mankhool&gt;Golden Sands 8</v>
      </c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</row>
    <row r="1626" spans="1:26" ht="16.5" x14ac:dyDescent="0.35">
      <c r="A1626" s="2" t="str">
        <f ca="1">IFERROR(__xludf.DUMMYFUNCTION("""COMPUTED_VALUE"""),"Dubai")</f>
        <v>Dubai</v>
      </c>
      <c r="B1626" s="2" t="str">
        <f ca="1">IFERROR(__xludf.DUMMYFUNCTION("""COMPUTED_VALUE"""),"Zaahiya Building")</f>
        <v>Zaahiya Building</v>
      </c>
      <c r="C1626" s="2" t="str">
        <f ca="1">IFERROR(__xludf.DUMMYFUNCTION("""COMPUTED_VALUE"""),"Building")</f>
        <v>Building</v>
      </c>
      <c r="D1626" s="2" t="str">
        <f ca="1">IFERROR(__xludf.DUMMYFUNCTION("""COMPUTED_VALUE"""),"Dubai&gt;Bur Dubai&gt;Al Mankhool&gt;Zaahiya Building")</f>
        <v>Dubai&gt;Bur Dubai&gt;Al Mankhool&gt;Zaahiya Building</v>
      </c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</row>
    <row r="1627" spans="1:26" ht="16.5" x14ac:dyDescent="0.35">
      <c r="A1627" s="2" t="str">
        <f ca="1">IFERROR(__xludf.DUMMYFUNCTION("""COMPUTED_VALUE"""),"Dubai")</f>
        <v>Dubai</v>
      </c>
      <c r="B1627" s="2" t="str">
        <f ca="1">IFERROR(__xludf.DUMMYFUNCTION("""COMPUTED_VALUE"""),"R308 Building")</f>
        <v>R308 Building</v>
      </c>
      <c r="C1627" s="2" t="str">
        <f ca="1">IFERROR(__xludf.DUMMYFUNCTION("""COMPUTED_VALUE"""),"Building")</f>
        <v>Building</v>
      </c>
      <c r="D1627" s="2" t="str">
        <f ca="1">IFERROR(__xludf.DUMMYFUNCTION("""COMPUTED_VALUE"""),"Dubai&gt;Bur Dubai&gt;Al Mankhool&gt;R308 Building")</f>
        <v>Dubai&gt;Bur Dubai&gt;Al Mankhool&gt;R308 Building</v>
      </c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</row>
    <row r="1628" spans="1:26" ht="16.5" x14ac:dyDescent="0.35">
      <c r="A1628" s="2" t="str">
        <f ca="1">IFERROR(__xludf.DUMMYFUNCTION("""COMPUTED_VALUE"""),"Dubai")</f>
        <v>Dubai</v>
      </c>
      <c r="B1628" s="2" t="str">
        <f ca="1">IFERROR(__xludf.DUMMYFUNCTION("""COMPUTED_VALUE"""),"Wasl 1")</f>
        <v>Wasl 1</v>
      </c>
      <c r="C1628" s="2" t="str">
        <f ca="1">IFERROR(__xludf.DUMMYFUNCTION("""COMPUTED_VALUE"""),"Cluster")</f>
        <v>Cluster</v>
      </c>
      <c r="D1628" s="2" t="str">
        <f ca="1">IFERROR(__xludf.DUMMYFUNCTION("""COMPUTED_VALUE"""),"Dubai&gt;Bur Dubai&gt;Al Kifaf&gt;Wasl 1")</f>
        <v>Dubai&gt;Bur Dubai&gt;Al Kifaf&gt;Wasl 1</v>
      </c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</row>
    <row r="1629" spans="1:26" ht="16.5" x14ac:dyDescent="0.35">
      <c r="A1629" s="2" t="str">
        <f ca="1">IFERROR(__xludf.DUMMYFUNCTION("""COMPUTED_VALUE"""),"Dubai")</f>
        <v>Dubai</v>
      </c>
      <c r="B1629" s="2" t="str">
        <f ca="1">IFERROR(__xludf.DUMMYFUNCTION("""COMPUTED_VALUE"""),"Nasir Ahmed Lootah Building")</f>
        <v>Nasir Ahmed Lootah Building</v>
      </c>
      <c r="C1629" s="2" t="str">
        <f ca="1">IFERROR(__xludf.DUMMYFUNCTION("""COMPUTED_VALUE"""),"Building")</f>
        <v>Building</v>
      </c>
      <c r="D1629" s="2" t="str">
        <f ca="1">IFERROR(__xludf.DUMMYFUNCTION("""COMPUTED_VALUE"""),"Dubai&gt;Bur Dubai&gt;Umm Hurair&gt;Nasir Ahmed Lootah Building")</f>
        <v>Dubai&gt;Bur Dubai&gt;Umm Hurair&gt;Nasir Ahmed Lootah Building</v>
      </c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</row>
    <row r="1630" spans="1:26" ht="16.5" x14ac:dyDescent="0.35">
      <c r="A1630" s="2" t="str">
        <f ca="1">IFERROR(__xludf.DUMMYFUNCTION("""COMPUTED_VALUE"""),"Dubai")</f>
        <v>Dubai</v>
      </c>
      <c r="B1630" s="2" t="str">
        <f ca="1">IFERROR(__xludf.DUMMYFUNCTION("""COMPUTED_VALUE"""),"Rashed Ali Rashed Almazrouei Building")</f>
        <v>Rashed Ali Rashed Almazrouei Building</v>
      </c>
      <c r="C1630" s="2" t="str">
        <f ca="1">IFERROR(__xludf.DUMMYFUNCTION("""COMPUTED_VALUE"""),"Building")</f>
        <v>Building</v>
      </c>
      <c r="D1630" s="2" t="str">
        <f ca="1">IFERROR(__xludf.DUMMYFUNCTION("""COMPUTED_VALUE"""),"Dubai&gt;Bur Dubai&gt;Al Souk Al Kabeer (Al Fahidi)&gt;Rashed Ali Rashed Almazrouei Building")</f>
        <v>Dubai&gt;Bur Dubai&gt;Al Souk Al Kabeer (Al Fahidi)&gt;Rashed Ali Rashed Almazrouei Building</v>
      </c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</row>
    <row r="1631" spans="1:26" ht="16.5" x14ac:dyDescent="0.35">
      <c r="A1631" s="2" t="str">
        <f ca="1">IFERROR(__xludf.DUMMYFUNCTION("""COMPUTED_VALUE"""),"Dubai")</f>
        <v>Dubai</v>
      </c>
      <c r="B1631" s="2" t="str">
        <f ca="1">IFERROR(__xludf.DUMMYFUNCTION("""COMPUTED_VALUE"""),"Omega Building")</f>
        <v>Omega Building</v>
      </c>
      <c r="C1631" s="2" t="str">
        <f ca="1">IFERROR(__xludf.DUMMYFUNCTION("""COMPUTED_VALUE"""),"Building")</f>
        <v>Building</v>
      </c>
      <c r="D1631" s="2" t="str">
        <f ca="1">IFERROR(__xludf.DUMMYFUNCTION("""COMPUTED_VALUE"""),"Dubai&gt;Bur Dubai&gt;Al Hamriya&gt;Omega Building")</f>
        <v>Dubai&gt;Bur Dubai&gt;Al Hamriya&gt;Omega Building</v>
      </c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</row>
    <row r="1632" spans="1:26" ht="16.5" x14ac:dyDescent="0.35">
      <c r="A1632" s="2" t="str">
        <f ca="1">IFERROR(__xludf.DUMMYFUNCTION("""COMPUTED_VALUE"""),"Dubai")</f>
        <v>Dubai</v>
      </c>
      <c r="B1632" s="2" t="str">
        <f ca="1">IFERROR(__xludf.DUMMYFUNCTION("""COMPUTED_VALUE"""),"Azizi Emerald")</f>
        <v>Azizi Emerald</v>
      </c>
      <c r="C1632" s="2" t="str">
        <f ca="1">IFERROR(__xludf.DUMMYFUNCTION("""COMPUTED_VALUE"""),"Building")</f>
        <v>Building</v>
      </c>
      <c r="D1632" s="2" t="str">
        <f ca="1">IFERROR(__xludf.DUMMYFUNCTION("""COMPUTED_VALUE"""),"Dubai&gt;Bur Dubai&gt;Dubai Healthcare City&gt;Azizi Emerald")</f>
        <v>Dubai&gt;Bur Dubai&gt;Dubai Healthcare City&gt;Azizi Emerald</v>
      </c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</row>
    <row r="1633" spans="1:26" ht="16.5" x14ac:dyDescent="0.35">
      <c r="A1633" s="2" t="str">
        <f ca="1">IFERROR(__xludf.DUMMYFUNCTION("""COMPUTED_VALUE"""),"Dubai")</f>
        <v>Dubai</v>
      </c>
      <c r="B1633" s="2" t="str">
        <f ca="1">IFERROR(__xludf.DUMMYFUNCTION("""COMPUTED_VALUE"""),"One at Jumeirah Golf Estates")</f>
        <v>One at Jumeirah Golf Estates</v>
      </c>
      <c r="C1633" s="2" t="str">
        <f ca="1">IFERROR(__xludf.DUMMYFUNCTION("""COMPUTED_VALUE"""),"Building")</f>
        <v>Building</v>
      </c>
      <c r="D1633" s="2" t="str">
        <f ca="1">IFERROR(__xludf.DUMMYFUNCTION("""COMPUTED_VALUE"""),"Dubai&gt;Jumeirah Golf Estates&gt;Orange Lake&gt;One at Jumeirah Golf Estates")</f>
        <v>Dubai&gt;Jumeirah Golf Estates&gt;Orange Lake&gt;One at Jumeirah Golf Estates</v>
      </c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</row>
    <row r="1634" spans="1:26" ht="16.5" x14ac:dyDescent="0.35">
      <c r="A1634" s="2" t="str">
        <f ca="1">IFERROR(__xludf.DUMMYFUNCTION("""COMPUTED_VALUE"""),"Dubai")</f>
        <v>Dubai</v>
      </c>
      <c r="B1634" s="2" t="str">
        <f ca="1">IFERROR(__xludf.DUMMYFUNCTION("""COMPUTED_VALUE"""),"Sunrise Bay Tower 2")</f>
        <v>Sunrise Bay Tower 2</v>
      </c>
      <c r="C1634" s="2" t="str">
        <f ca="1">IFERROR(__xludf.DUMMYFUNCTION("""COMPUTED_VALUE"""),"Building")</f>
        <v>Building</v>
      </c>
      <c r="D1634" s="2" t="str">
        <f ca="1">IFERROR(__xludf.DUMMYFUNCTION("""COMPUTED_VALUE"""),"Dubai&gt;Dubai Harbour&gt;Emaar Beachfront&gt;Sunrise Bay&gt;Sunrise Bay Tower 2")</f>
        <v>Dubai&gt;Dubai Harbour&gt;Emaar Beachfront&gt;Sunrise Bay&gt;Sunrise Bay Tower 2</v>
      </c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</row>
    <row r="1635" spans="1:26" ht="16.5" x14ac:dyDescent="0.35">
      <c r="A1635" s="2" t="str">
        <f ca="1">IFERROR(__xludf.DUMMYFUNCTION("""COMPUTED_VALUE"""),"Dubai")</f>
        <v>Dubai</v>
      </c>
      <c r="B1635" s="2" t="str">
        <f ca="1">IFERROR(__xludf.DUMMYFUNCTION("""COMPUTED_VALUE"""),"Pacifica")</f>
        <v>Pacifica</v>
      </c>
      <c r="C1635" s="2" t="str">
        <f ca="1">IFERROR(__xludf.DUMMYFUNCTION("""COMPUTED_VALUE"""),"Neighbourhood")</f>
        <v>Neighbourhood</v>
      </c>
      <c r="D1635" s="2" t="str">
        <f ca="1">IFERROR(__xludf.DUMMYFUNCTION("""COMPUTED_VALUE"""),"Dubai&gt;DAMAC Hills 2 (Akoya by DAMAC)&gt;Pacifica")</f>
        <v>Dubai&gt;DAMAC Hills 2 (Akoya by DAMAC)&gt;Pacifica</v>
      </c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</row>
    <row r="1636" spans="1:26" ht="16.5" x14ac:dyDescent="0.35">
      <c r="A1636" s="2" t="str">
        <f ca="1">IFERROR(__xludf.DUMMYFUNCTION("""COMPUTED_VALUE"""),"Dubai")</f>
        <v>Dubai</v>
      </c>
      <c r="B1636" s="2" t="str">
        <f ca="1">IFERROR(__xludf.DUMMYFUNCTION("""COMPUTED_VALUE"""),"Hawthorn")</f>
        <v>Hawthorn</v>
      </c>
      <c r="C1636" s="2" t="str">
        <f ca="1">IFERROR(__xludf.DUMMYFUNCTION("""COMPUTED_VALUE"""),"Neighbourhood")</f>
        <v>Neighbourhood</v>
      </c>
      <c r="D1636" s="2" t="str">
        <f ca="1">IFERROR(__xludf.DUMMYFUNCTION("""COMPUTED_VALUE"""),"Dubai&gt;DAMAC Hills 2 (Akoya by DAMAC)&gt;Hawthorn")</f>
        <v>Dubai&gt;DAMAC Hills 2 (Akoya by DAMAC)&gt;Hawthorn</v>
      </c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</row>
    <row r="1637" spans="1:26" ht="16.5" x14ac:dyDescent="0.35">
      <c r="A1637" s="2" t="str">
        <f ca="1">IFERROR(__xludf.DUMMYFUNCTION("""COMPUTED_VALUE"""),"Dubai")</f>
        <v>Dubai</v>
      </c>
      <c r="B1637" s="2" t="str">
        <f ca="1">IFERROR(__xludf.DUMMYFUNCTION("""COMPUTED_VALUE"""),"I-07")</f>
        <v>I-07</v>
      </c>
      <c r="C1637" s="2" t="str">
        <f ca="1">IFERROR(__xludf.DUMMYFUNCTION("""COMPUTED_VALUE"""),"Building")</f>
        <v>Building</v>
      </c>
      <c r="D1637" s="2" t="str">
        <f ca="1">IFERROR(__xludf.DUMMYFUNCTION("""COMPUTED_VALUE"""),"Dubai&gt;International City&gt;Morocco Cluster&gt;I-07")</f>
        <v>Dubai&gt;International City&gt;Morocco Cluster&gt;I-07</v>
      </c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</row>
    <row r="1638" spans="1:26" ht="16.5" x14ac:dyDescent="0.35">
      <c r="A1638" s="2" t="str">
        <f ca="1">IFERROR(__xludf.DUMMYFUNCTION("""COMPUTED_VALUE"""),"Dubai")</f>
        <v>Dubai</v>
      </c>
      <c r="B1638" s="2" t="str">
        <f ca="1">IFERROR(__xludf.DUMMYFUNCTION("""COMPUTED_VALUE"""),"Souk Warsan Block D")</f>
        <v>Souk Warsan Block D</v>
      </c>
      <c r="C1638" s="2" t="str">
        <f ca="1">IFERROR(__xludf.DUMMYFUNCTION("""COMPUTED_VALUE"""),"Building")</f>
        <v>Building</v>
      </c>
      <c r="D1638" s="2" t="str">
        <f ca="1">IFERROR(__xludf.DUMMYFUNCTION("""COMPUTED_VALUE"""),"Dubai&gt;International City&gt;Warsan Village&gt;Souk Warsan&gt;Souk Warsan Block D")</f>
        <v>Dubai&gt;International City&gt;Warsan Village&gt;Souk Warsan&gt;Souk Warsan Block D</v>
      </c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</row>
    <row r="1639" spans="1:26" ht="16.5" x14ac:dyDescent="0.35">
      <c r="A1639" s="2" t="str">
        <f ca="1">IFERROR(__xludf.DUMMYFUNCTION("""COMPUTED_VALUE"""),"Dubai")</f>
        <v>Dubai</v>
      </c>
      <c r="B1639" s="2" t="str">
        <f ca="1">IFERROR(__xludf.DUMMYFUNCTION("""COMPUTED_VALUE"""),"A-12")</f>
        <v>A-12</v>
      </c>
      <c r="C1639" s="2" t="str">
        <f ca="1">IFERROR(__xludf.DUMMYFUNCTION("""COMPUTED_VALUE"""),"Building")</f>
        <v>Building</v>
      </c>
      <c r="D1639" s="2" t="str">
        <f ca="1">IFERROR(__xludf.DUMMYFUNCTION("""COMPUTED_VALUE"""),"Dubai&gt;International City&gt;China Cluster&gt;A-12")</f>
        <v>Dubai&gt;International City&gt;China Cluster&gt;A-12</v>
      </c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</row>
    <row r="1640" spans="1:26" ht="16.5" x14ac:dyDescent="0.35">
      <c r="A1640" s="2" t="str">
        <f ca="1">IFERROR(__xludf.DUMMYFUNCTION("""COMPUTED_VALUE"""),"Dubai")</f>
        <v>Dubai</v>
      </c>
      <c r="B1640" s="2" t="str">
        <f ca="1">IFERROR(__xludf.DUMMYFUNCTION("""COMPUTED_VALUE"""),"D-03")</f>
        <v>D-03</v>
      </c>
      <c r="C1640" s="2" t="str">
        <f ca="1">IFERROR(__xludf.DUMMYFUNCTION("""COMPUTED_VALUE"""),"Building")</f>
        <v>Building</v>
      </c>
      <c r="D1640" s="2" t="str">
        <f ca="1">IFERROR(__xludf.DUMMYFUNCTION("""COMPUTED_VALUE"""),"Dubai&gt;International City&gt;China Cluster&gt;D-03")</f>
        <v>Dubai&gt;International City&gt;China Cluster&gt;D-03</v>
      </c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</row>
    <row r="1641" spans="1:26" ht="16.5" x14ac:dyDescent="0.35">
      <c r="A1641" s="2" t="str">
        <f ca="1">IFERROR(__xludf.DUMMYFUNCTION("""COMPUTED_VALUE"""),"Dubai")</f>
        <v>Dubai</v>
      </c>
      <c r="B1641" s="2" t="str">
        <f ca="1">IFERROR(__xludf.DUMMYFUNCTION("""COMPUTED_VALUE"""),"Olivz by Danube Building 1")</f>
        <v>Olivz by Danube Building 1</v>
      </c>
      <c r="C1641" s="2" t="str">
        <f ca="1">IFERROR(__xludf.DUMMYFUNCTION("""COMPUTED_VALUE"""),"Building")</f>
        <v>Building</v>
      </c>
      <c r="D1641" s="2" t="str">
        <f ca="1">IFERROR(__xludf.DUMMYFUNCTION("""COMPUTED_VALUE"""),"Dubai&gt;International City&gt;Olivz by Danube&gt;Olivz by Danube Building 1")</f>
        <v>Dubai&gt;International City&gt;Olivz by Danube&gt;Olivz by Danube Building 1</v>
      </c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</row>
    <row r="1642" spans="1:26" ht="16.5" x14ac:dyDescent="0.35">
      <c r="A1642" s="2" t="str">
        <f ca="1">IFERROR(__xludf.DUMMYFUNCTION("""COMPUTED_VALUE"""),"Dubai")</f>
        <v>Dubai</v>
      </c>
      <c r="B1642" s="2" t="str">
        <f ca="1">IFERROR(__xludf.DUMMYFUNCTION("""COMPUTED_VALUE"""),"T-02")</f>
        <v>T-02</v>
      </c>
      <c r="C1642" s="2" t="str">
        <f ca="1">IFERROR(__xludf.DUMMYFUNCTION("""COMPUTED_VALUE"""),"Building")</f>
        <v>Building</v>
      </c>
      <c r="D1642" s="2" t="str">
        <f ca="1">IFERROR(__xludf.DUMMYFUNCTION("""COMPUTED_VALUE"""),"Dubai&gt;International City&gt;Spain Cluster&gt;T-02")</f>
        <v>Dubai&gt;International City&gt;Spain Cluster&gt;T-02</v>
      </c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</row>
    <row r="1643" spans="1:26" ht="16.5" x14ac:dyDescent="0.35">
      <c r="A1643" s="2" t="str">
        <f ca="1">IFERROR(__xludf.DUMMYFUNCTION("""COMPUTED_VALUE"""),"Dubai")</f>
        <v>Dubai</v>
      </c>
      <c r="B1643" s="2" t="str">
        <f ca="1">IFERROR(__xludf.DUMMYFUNCTION("""COMPUTED_VALUE"""),"U-22")</f>
        <v>U-22</v>
      </c>
      <c r="C1643" s="2" t="str">
        <f ca="1">IFERROR(__xludf.DUMMYFUNCTION("""COMPUTED_VALUE"""),"Building")</f>
        <v>Building</v>
      </c>
      <c r="D1643" s="2" t="str">
        <f ca="1">IFERROR(__xludf.DUMMYFUNCTION("""COMPUTED_VALUE"""),"Dubai&gt;International City&gt;Italy Cluster&gt;U-22")</f>
        <v>Dubai&gt;International City&gt;Italy Cluster&gt;U-22</v>
      </c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</row>
    <row r="1644" spans="1:26" ht="16.5" x14ac:dyDescent="0.35">
      <c r="A1644" s="2" t="str">
        <f ca="1">IFERROR(__xludf.DUMMYFUNCTION("""COMPUTED_VALUE"""),"Dubai")</f>
        <v>Dubai</v>
      </c>
      <c r="B1644" s="2" t="str">
        <f ca="1">IFERROR(__xludf.DUMMYFUNCTION("""COMPUTED_VALUE"""),"W-04")</f>
        <v>W-04</v>
      </c>
      <c r="C1644" s="2" t="str">
        <f ca="1">IFERROR(__xludf.DUMMYFUNCTION("""COMPUTED_VALUE"""),"Building")</f>
        <v>Building</v>
      </c>
      <c r="D1644" s="2" t="str">
        <f ca="1">IFERROR(__xludf.DUMMYFUNCTION("""COMPUTED_VALUE"""),"Dubai&gt;International City&gt;Russia Cluster&gt;W-04")</f>
        <v>Dubai&gt;International City&gt;Russia Cluster&gt;W-04</v>
      </c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</row>
    <row r="1645" spans="1:26" ht="16.5" x14ac:dyDescent="0.35">
      <c r="A1645" s="2" t="str">
        <f ca="1">IFERROR(__xludf.DUMMYFUNCTION("""COMPUTED_VALUE"""),"Dubai")</f>
        <v>Dubai</v>
      </c>
      <c r="B1645" s="2" t="str">
        <f ca="1">IFERROR(__xludf.DUMMYFUNCTION("""COMPUTED_VALUE"""),"O-06")</f>
        <v>O-06</v>
      </c>
      <c r="C1645" s="2" t="str">
        <f ca="1">IFERROR(__xludf.DUMMYFUNCTION("""COMPUTED_VALUE"""),"Building")</f>
        <v>Building</v>
      </c>
      <c r="D1645" s="2" t="str">
        <f ca="1">IFERROR(__xludf.DUMMYFUNCTION("""COMPUTED_VALUE"""),"Dubai&gt;International City&gt;Persia Cluster&gt;O-06")</f>
        <v>Dubai&gt;International City&gt;Persia Cluster&gt;O-06</v>
      </c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</row>
    <row r="1646" spans="1:26" ht="16.5" x14ac:dyDescent="0.35">
      <c r="A1646" s="2" t="str">
        <f ca="1">IFERROR(__xludf.DUMMYFUNCTION("""COMPUTED_VALUE"""),"Dubai")</f>
        <v>Dubai</v>
      </c>
      <c r="B1646" s="2" t="str">
        <f ca="1">IFERROR(__xludf.DUMMYFUNCTION("""COMPUTED_VALUE"""),"EMR-06")</f>
        <v>EMR-06</v>
      </c>
      <c r="C1646" s="2" t="str">
        <f ca="1">IFERROR(__xludf.DUMMYFUNCTION("""COMPUTED_VALUE"""),"Building")</f>
        <v>Building</v>
      </c>
      <c r="D1646" s="2" t="str">
        <f ca="1">IFERROR(__xludf.DUMMYFUNCTION("""COMPUTED_VALUE"""),"Dubai&gt;International City&gt;Emirates Cluster&gt;EMR-06")</f>
        <v>Dubai&gt;International City&gt;Emirates Cluster&gt;EMR-06</v>
      </c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</row>
    <row r="1647" spans="1:26" ht="16.5" x14ac:dyDescent="0.35">
      <c r="A1647" s="2" t="str">
        <f ca="1">IFERROR(__xludf.DUMMYFUNCTION("""COMPUTED_VALUE"""),"Dubai")</f>
        <v>Dubai</v>
      </c>
      <c r="B1647" s="2" t="str">
        <f ca="1">IFERROR(__xludf.DUMMYFUNCTION("""COMPUTED_VALUE"""),"X-26")</f>
        <v>X-26</v>
      </c>
      <c r="C1647" s="2" t="str">
        <f ca="1">IFERROR(__xludf.DUMMYFUNCTION("""COMPUTED_VALUE"""),"Building")</f>
        <v>Building</v>
      </c>
      <c r="D1647" s="2" t="str">
        <f ca="1">IFERROR(__xludf.DUMMYFUNCTION("""COMPUTED_VALUE"""),"Dubai&gt;International City&gt;England Cluster&gt;X-26")</f>
        <v>Dubai&gt;International City&gt;England Cluster&gt;X-26</v>
      </c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</row>
    <row r="1648" spans="1:26" ht="16.5" x14ac:dyDescent="0.35">
      <c r="A1648" s="2" t="str">
        <f ca="1">IFERROR(__xludf.DUMMYFUNCTION("""COMPUTED_VALUE"""),"Dubai")</f>
        <v>Dubai</v>
      </c>
      <c r="B1648" s="2" t="str">
        <f ca="1">IFERROR(__xludf.DUMMYFUNCTION("""COMPUTED_VALUE"""),"Z-06")</f>
        <v>Z-06</v>
      </c>
      <c r="C1648" s="2" t="str">
        <f ca="1">IFERROR(__xludf.DUMMYFUNCTION("""COMPUTED_VALUE"""),"Building")</f>
        <v>Building</v>
      </c>
      <c r="D1648" s="2" t="str">
        <f ca="1">IFERROR(__xludf.DUMMYFUNCTION("""COMPUTED_VALUE"""),"Dubai&gt;International City&gt;England Cluster&gt;Z-06")</f>
        <v>Dubai&gt;International City&gt;England Cluster&gt;Z-06</v>
      </c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</row>
    <row r="1649" spans="1:26" ht="16.5" x14ac:dyDescent="0.35">
      <c r="A1649" s="2" t="str">
        <f ca="1">IFERROR(__xludf.DUMMYFUNCTION("""COMPUTED_VALUE"""),"Dubai")</f>
        <v>Dubai</v>
      </c>
      <c r="B1649" s="2" t="str">
        <f ca="1">IFERROR(__xludf.DUMMYFUNCTION("""COMPUTED_VALUE"""),"Al Hashmi Building")</f>
        <v>Al Hashmi Building</v>
      </c>
      <c r="C1649" s="2" t="str">
        <f ca="1">IFERROR(__xludf.DUMMYFUNCTION("""COMPUTED_VALUE"""),"Building")</f>
        <v>Building</v>
      </c>
      <c r="D1649" s="2" t="str">
        <f ca="1">IFERROR(__xludf.DUMMYFUNCTION("""COMPUTED_VALUE"""),"Dubai&gt;International City&gt;International City Phase 2 (Warsan 4)&gt;Al Hashmi Building")</f>
        <v>Dubai&gt;International City&gt;International City Phase 2 (Warsan 4)&gt;Al Hashmi Building</v>
      </c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</row>
    <row r="1650" spans="1:26" ht="16.5" x14ac:dyDescent="0.35">
      <c r="A1650" s="2" t="str">
        <f ca="1">IFERROR(__xludf.DUMMYFUNCTION("""COMPUTED_VALUE"""),"Dubai")</f>
        <v>Dubai</v>
      </c>
      <c r="B1650" s="2" t="str">
        <f ca="1">IFERROR(__xludf.DUMMYFUNCTION("""COMPUTED_VALUE"""),"Rolla Residence")</f>
        <v>Rolla Residence</v>
      </c>
      <c r="C1650" s="2" t="str">
        <f ca="1">IFERROR(__xludf.DUMMYFUNCTION("""COMPUTED_VALUE"""),"Building")</f>
        <v>Building</v>
      </c>
      <c r="D1650" s="2" t="str">
        <f ca="1">IFERROR(__xludf.DUMMYFUNCTION("""COMPUTED_VALUE"""),"Dubai&gt;International City&gt;International City Phase 2 (Warsan 4)&gt;Rolla Residence")</f>
        <v>Dubai&gt;International City&gt;International City Phase 2 (Warsan 4)&gt;Rolla Residence</v>
      </c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</row>
    <row r="1651" spans="1:26" ht="16.5" x14ac:dyDescent="0.35">
      <c r="A1651" s="2" t="str">
        <f ca="1">IFERROR(__xludf.DUMMYFUNCTION("""COMPUTED_VALUE"""),"Dubai")</f>
        <v>Dubai</v>
      </c>
      <c r="B1651" s="2" t="str">
        <f ca="1">IFERROR(__xludf.DUMMYFUNCTION("""COMPUTED_VALUE"""),"Linden Residences")</f>
        <v>Linden Residences</v>
      </c>
      <c r="C1651" s="2" t="str">
        <f ca="1">IFERROR(__xludf.DUMMYFUNCTION("""COMPUTED_VALUE"""),"Building")</f>
        <v>Building</v>
      </c>
      <c r="D1651" s="2" t="str">
        <f ca="1">IFERROR(__xludf.DUMMYFUNCTION("""COMPUTED_VALUE"""),"Dubai&gt;International City&gt;International City Phase 2 (Warsan 4)&gt;Linden Residences")</f>
        <v>Dubai&gt;International City&gt;International City Phase 2 (Warsan 4)&gt;Linden Residences</v>
      </c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</row>
    <row r="1652" spans="1:26" ht="16.5" x14ac:dyDescent="0.35">
      <c r="A1652" s="2" t="str">
        <f ca="1">IFERROR(__xludf.DUMMYFUNCTION("""COMPUTED_VALUE"""),"Dubai")</f>
        <v>Dubai</v>
      </c>
      <c r="B1652" s="2" t="str">
        <f ca="1">IFERROR(__xludf.DUMMYFUNCTION("""COMPUTED_VALUE"""),"Lyra Building")</f>
        <v>Lyra Building</v>
      </c>
      <c r="C1652" s="2" t="str">
        <f ca="1">IFERROR(__xludf.DUMMYFUNCTION("""COMPUTED_VALUE"""),"Building")</f>
        <v>Building</v>
      </c>
      <c r="D1652" s="2" t="str">
        <f ca="1">IFERROR(__xludf.DUMMYFUNCTION("""COMPUTED_VALUE"""),"Dubai&gt;International City&gt;International City Phase 2 (Warsan 4)&gt;Lyra Building")</f>
        <v>Dubai&gt;International City&gt;International City Phase 2 (Warsan 4)&gt;Lyra Building</v>
      </c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</row>
    <row r="1653" spans="1:26" ht="16.5" x14ac:dyDescent="0.35">
      <c r="A1653" s="2" t="str">
        <f ca="1">IFERROR(__xludf.DUMMYFUNCTION("""COMPUTED_VALUE"""),"Dubai")</f>
        <v>Dubai</v>
      </c>
      <c r="B1653" s="2" t="str">
        <f ca="1">IFERROR(__xludf.DUMMYFUNCTION("""COMPUTED_VALUE"""),"K-08")</f>
        <v>K-08</v>
      </c>
      <c r="C1653" s="2" t="str">
        <f ca="1">IFERROR(__xludf.DUMMYFUNCTION("""COMPUTED_VALUE"""),"Building")</f>
        <v>Building</v>
      </c>
      <c r="D1653" s="2" t="str">
        <f ca="1">IFERROR(__xludf.DUMMYFUNCTION("""COMPUTED_VALUE"""),"Dubai&gt;International City&gt;Greece Cluster&gt;K-08")</f>
        <v>Dubai&gt;International City&gt;Greece Cluster&gt;K-08</v>
      </c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</row>
    <row r="1654" spans="1:26" ht="16.5" x14ac:dyDescent="0.35">
      <c r="A1654" s="2" t="str">
        <f ca="1">IFERROR(__xludf.DUMMYFUNCTION("""COMPUTED_VALUE"""),"Dubai")</f>
        <v>Dubai</v>
      </c>
      <c r="B1654" s="2" t="str">
        <f ca="1">IFERROR(__xludf.DUMMYFUNCTION("""COMPUTED_VALUE"""),"Q-01")</f>
        <v>Q-01</v>
      </c>
      <c r="C1654" s="2" t="str">
        <f ca="1">IFERROR(__xludf.DUMMYFUNCTION("""COMPUTED_VALUE"""),"Building")</f>
        <v>Building</v>
      </c>
      <c r="D1654" s="2" t="str">
        <f ca="1">IFERROR(__xludf.DUMMYFUNCTION("""COMPUTED_VALUE"""),"Dubai&gt;International City&gt;France Cluster&gt;Q-01")</f>
        <v>Dubai&gt;International City&gt;France Cluster&gt;Q-01</v>
      </c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</row>
    <row r="1655" spans="1:26" ht="16.5" x14ac:dyDescent="0.35">
      <c r="A1655" s="2" t="str">
        <f ca="1">IFERROR(__xludf.DUMMYFUNCTION("""COMPUTED_VALUE"""),"Dubai")</f>
        <v>Dubai</v>
      </c>
      <c r="B1655" s="2" t="str">
        <f ca="1">IFERROR(__xludf.DUMMYFUNCTION("""COMPUTED_VALUE"""),"R-10")</f>
        <v>R-10</v>
      </c>
      <c r="C1655" s="2" t="str">
        <f ca="1">IFERROR(__xludf.DUMMYFUNCTION("""COMPUTED_VALUE"""),"Building")</f>
        <v>Building</v>
      </c>
      <c r="D1655" s="2" t="str">
        <f ca="1">IFERROR(__xludf.DUMMYFUNCTION("""COMPUTED_VALUE"""),"Dubai&gt;International City&gt;France Cluster&gt;R-10")</f>
        <v>Dubai&gt;International City&gt;France Cluster&gt;R-10</v>
      </c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</row>
    <row r="1656" spans="1:26" ht="16.5" x14ac:dyDescent="0.35">
      <c r="A1656" s="2" t="str">
        <f ca="1">IFERROR(__xludf.DUMMYFUNCTION("""COMPUTED_VALUE"""),"Dubai")</f>
        <v>Dubai</v>
      </c>
      <c r="B1656" s="2" t="str">
        <f ca="1">IFERROR(__xludf.DUMMYFUNCTION("""COMPUTED_VALUE"""),"Al Dana")</f>
        <v>Al Dana</v>
      </c>
      <c r="C1656" s="2" t="str">
        <f ca="1">IFERROR(__xludf.DUMMYFUNCTION("""COMPUTED_VALUE"""),"Cluster")</f>
        <v>Cluster</v>
      </c>
      <c r="D1656" s="2" t="str">
        <f ca="1">IFERROR(__xludf.DUMMYFUNCTION("""COMPUTED_VALUE"""),"Dubai&gt;International City&gt;Central Business District&gt;Al Dana")</f>
        <v>Dubai&gt;International City&gt;Central Business District&gt;Al Dana</v>
      </c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</row>
    <row r="1657" spans="1:26" ht="16.5" x14ac:dyDescent="0.35">
      <c r="A1657" s="2" t="str">
        <f ca="1">IFERROR(__xludf.DUMMYFUNCTION("""COMPUTED_VALUE"""),"Dubai")</f>
        <v>Dubai</v>
      </c>
      <c r="B1657" s="2" t="str">
        <f ca="1">IFERROR(__xludf.DUMMYFUNCTION("""COMPUTED_VALUE"""),"CBD-D05")</f>
        <v>CBD-D05</v>
      </c>
      <c r="C1657" s="2" t="str">
        <f ca="1">IFERROR(__xludf.DUMMYFUNCTION("""COMPUTED_VALUE"""),"Building")</f>
        <v>Building</v>
      </c>
      <c r="D1657" s="2" t="str">
        <f ca="1">IFERROR(__xludf.DUMMYFUNCTION("""COMPUTED_VALUE"""),"Dubai&gt;International City&gt;Central Business District&gt;CBD-D05")</f>
        <v>Dubai&gt;International City&gt;Central Business District&gt;CBD-D05</v>
      </c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</row>
    <row r="1658" spans="1:26" ht="16.5" x14ac:dyDescent="0.35">
      <c r="A1658" s="2" t="str">
        <f ca="1">IFERROR(__xludf.DUMMYFUNCTION("""COMPUTED_VALUE"""),"Dubai")</f>
        <v>Dubai</v>
      </c>
      <c r="B1658" s="2" t="str">
        <f ca="1">IFERROR(__xludf.DUMMYFUNCTION("""COMPUTED_VALUE"""),"Al Sahab Tower")</f>
        <v>Al Sahab Tower</v>
      </c>
      <c r="C1658" s="2" t="str">
        <f ca="1">IFERROR(__xludf.DUMMYFUNCTION("""COMPUTED_VALUE"""),"Cluster")</f>
        <v>Cluster</v>
      </c>
      <c r="D1658" s="2" t="str">
        <f ca="1">IFERROR(__xludf.DUMMYFUNCTION("""COMPUTED_VALUE"""),"Dubai&gt;Dubai Marina&gt;Al Sahab Tower")</f>
        <v>Dubai&gt;Dubai Marina&gt;Al Sahab Tower</v>
      </c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</row>
    <row r="1659" spans="1:26" ht="16.5" x14ac:dyDescent="0.35">
      <c r="A1659" s="2" t="str">
        <f ca="1">IFERROR(__xludf.DUMMYFUNCTION("""COMPUTED_VALUE"""),"Dubai")</f>
        <v>Dubai</v>
      </c>
      <c r="B1659" s="2" t="str">
        <f ca="1">IFERROR(__xludf.DUMMYFUNCTION("""COMPUTED_VALUE"""),"La Riviera")</f>
        <v>La Riviera</v>
      </c>
      <c r="C1659" s="2" t="str">
        <f ca="1">IFERROR(__xludf.DUMMYFUNCTION("""COMPUTED_VALUE"""),"Building")</f>
        <v>Building</v>
      </c>
      <c r="D1659" s="2" t="str">
        <f ca="1">IFERROR(__xludf.DUMMYFUNCTION("""COMPUTED_VALUE"""),"Dubai&gt;Dubai Marina&gt;La Riviera")</f>
        <v>Dubai&gt;Dubai Marina&gt;La Riviera</v>
      </c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</row>
    <row r="1660" spans="1:26" ht="16.5" x14ac:dyDescent="0.35">
      <c r="A1660" s="2" t="str">
        <f ca="1">IFERROR(__xludf.DUMMYFUNCTION("""COMPUTED_VALUE"""),"Dubai")</f>
        <v>Dubai</v>
      </c>
      <c r="B1660" s="2" t="str">
        <f ca="1">IFERROR(__xludf.DUMMYFUNCTION("""COMPUTED_VALUE"""),"Lootah Complex (Al Husn Marina)")</f>
        <v>Lootah Complex (Al Husn Marina)</v>
      </c>
      <c r="C1660" s="2" t="str">
        <f ca="1">IFERROR(__xludf.DUMMYFUNCTION("""COMPUTED_VALUE"""),"Building")</f>
        <v>Building</v>
      </c>
      <c r="D1660" s="2" t="str">
        <f ca="1">IFERROR(__xludf.DUMMYFUNCTION("""COMPUTED_VALUE"""),"Dubai&gt;Dubai Marina&gt;Lootah Complex (Al Husn Marina)")</f>
        <v>Dubai&gt;Dubai Marina&gt;Lootah Complex (Al Husn Marina)</v>
      </c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</row>
    <row r="1661" spans="1:26" ht="16.5" x14ac:dyDescent="0.35">
      <c r="A1661" s="2" t="str">
        <f ca="1">IFERROR(__xludf.DUMMYFUNCTION("""COMPUTED_VALUE"""),"Dubai")</f>
        <v>Dubai</v>
      </c>
      <c r="B1661" s="2" t="str">
        <f ca="1">IFERROR(__xludf.DUMMYFUNCTION("""COMPUTED_VALUE"""),"Al Fairooz Tower")</f>
        <v>Al Fairooz Tower</v>
      </c>
      <c r="C1661" s="2" t="str">
        <f ca="1">IFERROR(__xludf.DUMMYFUNCTION("""COMPUTED_VALUE"""),"Building")</f>
        <v>Building</v>
      </c>
      <c r="D1661" s="2" t="str">
        <f ca="1">IFERROR(__xludf.DUMMYFUNCTION("""COMPUTED_VALUE"""),"Dubai&gt;Dubai Marina&gt;Dubai Marina Towers&gt;Al Fairooz Tower")</f>
        <v>Dubai&gt;Dubai Marina&gt;Dubai Marina Towers&gt;Al Fairooz Tower</v>
      </c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</row>
    <row r="1662" spans="1:26" ht="16.5" x14ac:dyDescent="0.35">
      <c r="A1662" s="2" t="str">
        <f ca="1">IFERROR(__xludf.DUMMYFUNCTION("""COMPUTED_VALUE"""),"Dubai")</f>
        <v>Dubai</v>
      </c>
      <c r="B1662" s="2" t="str">
        <f ca="1">IFERROR(__xludf.DUMMYFUNCTION("""COMPUTED_VALUE"""),"Marina Diamond 2")</f>
        <v>Marina Diamond 2</v>
      </c>
      <c r="C1662" s="2" t="str">
        <f ca="1">IFERROR(__xludf.DUMMYFUNCTION("""COMPUTED_VALUE"""),"Building")</f>
        <v>Building</v>
      </c>
      <c r="D1662" s="2" t="str">
        <f ca="1">IFERROR(__xludf.DUMMYFUNCTION("""COMPUTED_VALUE"""),"Dubai&gt;Dubai Marina&gt;Marina Diamonds&gt;Marina Diamond 2")</f>
        <v>Dubai&gt;Dubai Marina&gt;Marina Diamonds&gt;Marina Diamond 2</v>
      </c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</row>
    <row r="1663" spans="1:26" ht="16.5" x14ac:dyDescent="0.35">
      <c r="A1663" s="2" t="str">
        <f ca="1">IFERROR(__xludf.DUMMYFUNCTION("""COMPUTED_VALUE"""),"Dubai")</f>
        <v>Dubai</v>
      </c>
      <c r="B1663" s="2" t="str">
        <f ca="1">IFERROR(__xludf.DUMMYFUNCTION("""COMPUTED_VALUE"""),"Marina Terrace")</f>
        <v>Marina Terrace</v>
      </c>
      <c r="C1663" s="2" t="str">
        <f ca="1">IFERROR(__xludf.DUMMYFUNCTION("""COMPUTED_VALUE"""),"Building")</f>
        <v>Building</v>
      </c>
      <c r="D1663" s="2" t="str">
        <f ca="1">IFERROR(__xludf.DUMMYFUNCTION("""COMPUTED_VALUE"""),"Dubai&gt;Dubai Marina&gt;Marina Terrace")</f>
        <v>Dubai&gt;Dubai Marina&gt;Marina Terrace</v>
      </c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</row>
    <row r="1664" spans="1:26" ht="16.5" x14ac:dyDescent="0.35">
      <c r="A1664" s="2" t="str">
        <f ca="1">IFERROR(__xludf.DUMMYFUNCTION("""COMPUTED_VALUE"""),"Dubai")</f>
        <v>Dubai</v>
      </c>
      <c r="B1664" s="2" t="str">
        <f ca="1">IFERROR(__xludf.DUMMYFUNCTION("""COMPUTED_VALUE"""),"Pearl Marina Hotel Apartments")</f>
        <v>Pearl Marina Hotel Apartments</v>
      </c>
      <c r="C1664" s="2" t="str">
        <f ca="1">IFERROR(__xludf.DUMMYFUNCTION("""COMPUTED_VALUE"""),"Building")</f>
        <v>Building</v>
      </c>
      <c r="D1664" s="2" t="str">
        <f ca="1">IFERROR(__xludf.DUMMYFUNCTION("""COMPUTED_VALUE"""),"Dubai&gt;Dubai Marina&gt;Pearl Marina Hotel Apartments")</f>
        <v>Dubai&gt;Dubai Marina&gt;Pearl Marina Hotel Apartments</v>
      </c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</row>
    <row r="1665" spans="1:26" ht="16.5" x14ac:dyDescent="0.35">
      <c r="A1665" s="2" t="str">
        <f ca="1">IFERROR(__xludf.DUMMYFUNCTION("""COMPUTED_VALUE"""),"Dubai")</f>
        <v>Dubai</v>
      </c>
      <c r="B1665" s="2" t="str">
        <f ca="1">IFERROR(__xludf.DUMMYFUNCTION("""COMPUTED_VALUE"""),"Park Island Villas")</f>
        <v>Park Island Villas</v>
      </c>
      <c r="C1665" s="2" t="str">
        <f ca="1">IFERROR(__xludf.DUMMYFUNCTION("""COMPUTED_VALUE"""),"Neighbourhood")</f>
        <v>Neighbourhood</v>
      </c>
      <c r="D1665" s="2" t="str">
        <f ca="1">IFERROR(__xludf.DUMMYFUNCTION("""COMPUTED_VALUE"""),"Dubai&gt;Dubai Marina&gt;Park Island&gt;Park Island Villas")</f>
        <v>Dubai&gt;Dubai Marina&gt;Park Island&gt;Park Island Villas</v>
      </c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</row>
    <row r="1666" spans="1:26" ht="16.5" x14ac:dyDescent="0.35">
      <c r="A1666" s="2" t="str">
        <f ca="1">IFERROR(__xludf.DUMMYFUNCTION("""COMPUTED_VALUE"""),"Dubai")</f>
        <v>Dubai</v>
      </c>
      <c r="B1666" s="2" t="str">
        <f ca="1">IFERROR(__xludf.DUMMYFUNCTION("""COMPUTED_VALUE"""),"Parkside")</f>
        <v>Parkside</v>
      </c>
      <c r="C1666" s="2" t="str">
        <f ca="1">IFERROR(__xludf.DUMMYFUNCTION("""COMPUTED_VALUE"""),"Building")</f>
        <v>Building</v>
      </c>
      <c r="D1666" s="2" t="str">
        <f ca="1">IFERROR(__xludf.DUMMYFUNCTION("""COMPUTED_VALUE"""),"Dubai&gt;Town Square&gt;Rawda Apartments&gt;Parkside")</f>
        <v>Dubai&gt;Town Square&gt;Rawda Apartments&gt;Parkside</v>
      </c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</row>
    <row r="1667" spans="1:26" ht="16.5" x14ac:dyDescent="0.35">
      <c r="A1667" s="2" t="str">
        <f ca="1">IFERROR(__xludf.DUMMYFUNCTION("""COMPUTED_VALUE"""),"Dubai")</f>
        <v>Dubai</v>
      </c>
      <c r="B1667" s="2" t="str">
        <f ca="1">IFERROR(__xludf.DUMMYFUNCTION("""COMPUTED_VALUE"""),"Ayala The Park")</f>
        <v>Ayala The Park</v>
      </c>
      <c r="C1667" s="2" t="str">
        <f ca="1">IFERROR(__xludf.DUMMYFUNCTION("""COMPUTED_VALUE"""),"Building")</f>
        <v>Building</v>
      </c>
      <c r="D1667" s="2" t="str">
        <f ca="1">IFERROR(__xludf.DUMMYFUNCTION("""COMPUTED_VALUE"""),"Dubai&gt;Town Square&gt;Ayala The Park")</f>
        <v>Dubai&gt;Town Square&gt;Ayala The Park</v>
      </c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</row>
    <row r="1668" spans="1:26" ht="16.5" x14ac:dyDescent="0.35">
      <c r="A1668" s="2" t="str">
        <f ca="1">IFERROR(__xludf.DUMMYFUNCTION("""COMPUTED_VALUE"""),"Dubai")</f>
        <v>Dubai</v>
      </c>
      <c r="B1668" s="2" t="str">
        <f ca="1">IFERROR(__xludf.DUMMYFUNCTION("""COMPUTED_VALUE"""),"Mira Oasis 3")</f>
        <v>Mira Oasis 3</v>
      </c>
      <c r="C1668" s="2" t="str">
        <f ca="1">IFERROR(__xludf.DUMMYFUNCTION("""COMPUTED_VALUE"""),"Neighbourhood")</f>
        <v>Neighbourhood</v>
      </c>
      <c r="D1668" s="2" t="str">
        <f ca="1">IFERROR(__xludf.DUMMYFUNCTION("""COMPUTED_VALUE"""),"Dubai&gt;Reem&gt;Mira Oasis&gt;Mira Oasis 3")</f>
        <v>Dubai&gt;Reem&gt;Mira Oasis&gt;Mira Oasis 3</v>
      </c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</row>
    <row r="1669" spans="1:26" ht="16.5" x14ac:dyDescent="0.35">
      <c r="A1669" s="2" t="str">
        <f ca="1">IFERROR(__xludf.DUMMYFUNCTION("""COMPUTED_VALUE"""),"Dubai")</f>
        <v>Dubai</v>
      </c>
      <c r="B1669" s="2" t="str">
        <f ca="1">IFERROR(__xludf.DUMMYFUNCTION("""COMPUTED_VALUE"""),"Dreamz by Danube")</f>
        <v>Dreamz by Danube</v>
      </c>
      <c r="C1669" s="2" t="str">
        <f ca="1">IFERROR(__xludf.DUMMYFUNCTION("""COMPUTED_VALUE"""),"Neighbourhood")</f>
        <v>Neighbourhood</v>
      </c>
      <c r="D1669" s="2" t="str">
        <f ca="1">IFERROR(__xludf.DUMMYFUNCTION("""COMPUTED_VALUE"""),"Dubai&gt;Al Furjan&gt;Al Furjan West&gt;Dreamz by Danube")</f>
        <v>Dubai&gt;Al Furjan&gt;Al Furjan West&gt;Dreamz by Danube</v>
      </c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</row>
    <row r="1670" spans="1:26" ht="16.5" x14ac:dyDescent="0.35">
      <c r="A1670" s="2" t="str">
        <f ca="1">IFERROR(__xludf.DUMMYFUNCTION("""COMPUTED_VALUE"""),"Dubai")</f>
        <v>Dubai</v>
      </c>
      <c r="B1670" s="2" t="str">
        <f ca="1">IFERROR(__xludf.DUMMYFUNCTION("""COMPUTED_VALUE"""),"Micasa Avenue")</f>
        <v>Micasa Avenue</v>
      </c>
      <c r="C1670" s="2" t="str">
        <f ca="1">IFERROR(__xludf.DUMMYFUNCTION("""COMPUTED_VALUE"""),"Building")</f>
        <v>Building</v>
      </c>
      <c r="D1670" s="2" t="str">
        <f ca="1">IFERROR(__xludf.DUMMYFUNCTION("""COMPUTED_VALUE"""),"Dubai&gt;Al Furjan&gt;Micasa Avenue")</f>
        <v>Dubai&gt;Al Furjan&gt;Micasa Avenue</v>
      </c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</row>
    <row r="1671" spans="1:26" ht="16.5" x14ac:dyDescent="0.35">
      <c r="A1671" s="2" t="str">
        <f ca="1">IFERROR(__xludf.DUMMYFUNCTION("""COMPUTED_VALUE"""),"Dubai")</f>
        <v>Dubai</v>
      </c>
      <c r="B1671" s="2" t="str">
        <f ca="1">IFERROR(__xludf.DUMMYFUNCTION("""COMPUTED_VALUE"""),"Murano Residences 5")</f>
        <v>Murano Residences 5</v>
      </c>
      <c r="C1671" s="2" t="str">
        <f ca="1">IFERROR(__xludf.DUMMYFUNCTION("""COMPUTED_VALUE"""),"Building")</f>
        <v>Building</v>
      </c>
      <c r="D1671" s="2" t="str">
        <f ca="1">IFERROR(__xludf.DUMMYFUNCTION("""COMPUTED_VALUE"""),"Dubai&gt;Al Furjan&gt;Murano Residences 5")</f>
        <v>Dubai&gt;Al Furjan&gt;Murano Residences 5</v>
      </c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</row>
    <row r="1672" spans="1:26" ht="16.5" x14ac:dyDescent="0.35">
      <c r="A1672" s="2" t="str">
        <f ca="1">IFERROR(__xludf.DUMMYFUNCTION("""COMPUTED_VALUE"""),"Dubai")</f>
        <v>Dubai</v>
      </c>
      <c r="B1672" s="2" t="str">
        <f ca="1">IFERROR(__xludf.DUMMYFUNCTION("""COMPUTED_VALUE"""),"Equiti Garden")</f>
        <v>Equiti Garden</v>
      </c>
      <c r="C1672" s="2" t="str">
        <f ca="1">IFERROR(__xludf.DUMMYFUNCTION("""COMPUTED_VALUE"""),"Building")</f>
        <v>Building</v>
      </c>
      <c r="D1672" s="2" t="str">
        <f ca="1">IFERROR(__xludf.DUMMYFUNCTION("""COMPUTED_VALUE"""),"Dubai&gt;Al Furjan&gt;Equiti Garden")</f>
        <v>Dubai&gt;Al Furjan&gt;Equiti Garden</v>
      </c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</row>
    <row r="1673" spans="1:26" ht="16.5" x14ac:dyDescent="0.35">
      <c r="A1673" s="2" t="str">
        <f ca="1">IFERROR(__xludf.DUMMYFUNCTION("""COMPUTED_VALUE"""),"Dubai")</f>
        <v>Dubai</v>
      </c>
      <c r="B1673" s="2" t="str">
        <f ca="1">IFERROR(__xludf.DUMMYFUNCTION("""COMPUTED_VALUE"""),"Meydan Racecourse Villas")</f>
        <v>Meydan Racecourse Villas</v>
      </c>
      <c r="C1673" s="2" t="str">
        <f ca="1">IFERROR(__xludf.DUMMYFUNCTION("""COMPUTED_VALUE"""),"Neighbourhood")</f>
        <v>Neighbourhood</v>
      </c>
      <c r="D1673" s="2" t="str">
        <f ca="1">IFERROR(__xludf.DUMMYFUNCTION("""COMPUTED_VALUE"""),"Dubai&gt;Meydan City&gt;Meydan Racecourse Villas")</f>
        <v>Dubai&gt;Meydan City&gt;Meydan Racecourse Villas</v>
      </c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</row>
    <row r="1674" spans="1:26" ht="16.5" x14ac:dyDescent="0.35">
      <c r="A1674" s="2" t="str">
        <f ca="1">IFERROR(__xludf.DUMMYFUNCTION("""COMPUTED_VALUE"""),"Dubai")</f>
        <v>Dubai</v>
      </c>
      <c r="B1674" s="2" t="str">
        <f ca="1">IFERROR(__xludf.DUMMYFUNCTION("""COMPUTED_VALUE"""),"Azizi Riviera 5")</f>
        <v>Azizi Riviera 5</v>
      </c>
      <c r="C1674" s="2" t="str">
        <f ca="1">IFERROR(__xludf.DUMMYFUNCTION("""COMPUTED_VALUE"""),"Building")</f>
        <v>Building</v>
      </c>
      <c r="D1674" s="2" t="str">
        <f ca="1">IFERROR(__xludf.DUMMYFUNCTION("""COMPUTED_VALUE"""),"Dubai&gt;Meydan City&gt;Meydan One&gt;Azizi Riviera&gt;Azizi Riviera 5")</f>
        <v>Dubai&gt;Meydan City&gt;Meydan One&gt;Azizi Riviera&gt;Azizi Riviera 5</v>
      </c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</row>
    <row r="1675" spans="1:26" ht="16.5" x14ac:dyDescent="0.35">
      <c r="A1675" s="2" t="str">
        <f ca="1">IFERROR(__xludf.DUMMYFUNCTION("""COMPUTED_VALUE"""),"Dubai")</f>
        <v>Dubai</v>
      </c>
      <c r="B1675" s="2" t="str">
        <f ca="1">IFERROR(__xludf.DUMMYFUNCTION("""COMPUTED_VALUE"""),"Azizi Riviera 41")</f>
        <v>Azizi Riviera 41</v>
      </c>
      <c r="C1675" s="2" t="str">
        <f ca="1">IFERROR(__xludf.DUMMYFUNCTION("""COMPUTED_VALUE"""),"Building")</f>
        <v>Building</v>
      </c>
      <c r="D1675" s="2" t="str">
        <f ca="1">IFERROR(__xludf.DUMMYFUNCTION("""COMPUTED_VALUE"""),"Dubai&gt;Meydan City&gt;Meydan One&gt;Azizi Riviera&gt;Azizi Riviera 41")</f>
        <v>Dubai&gt;Meydan City&gt;Meydan One&gt;Azizi Riviera&gt;Azizi Riviera 41</v>
      </c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</row>
    <row r="1676" spans="1:26" ht="16.5" x14ac:dyDescent="0.35">
      <c r="A1676" s="2" t="str">
        <f ca="1">IFERROR(__xludf.DUMMYFUNCTION("""COMPUTED_VALUE"""),"Dubai")</f>
        <v>Dubai</v>
      </c>
      <c r="B1676" s="2" t="str">
        <f ca="1">IFERROR(__xludf.DUMMYFUNCTION("""COMPUTED_VALUE"""),"Rosebay Living")</f>
        <v>Rosebay Living</v>
      </c>
      <c r="C1676" s="2" t="str">
        <f ca="1">IFERROR(__xludf.DUMMYFUNCTION("""COMPUTED_VALUE"""),"Building")</f>
        <v>Building</v>
      </c>
      <c r="D1676" s="2" t="str">
        <f ca="1">IFERROR(__xludf.DUMMYFUNCTION("""COMPUTED_VALUE"""),"Dubai&gt;Meydan City&gt;Meydan Avenue&gt;Rosebay Living")</f>
        <v>Dubai&gt;Meydan City&gt;Meydan Avenue&gt;Rosebay Living</v>
      </c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</row>
    <row r="1677" spans="1:26" ht="16.5" x14ac:dyDescent="0.35">
      <c r="A1677" s="2" t="str">
        <f ca="1">IFERROR(__xludf.DUMMYFUNCTION("""COMPUTED_VALUE"""),"Dubai")</f>
        <v>Dubai</v>
      </c>
      <c r="B1677" s="2" t="str">
        <f ca="1">IFERROR(__xludf.DUMMYFUNCTION("""COMPUTED_VALUE"""),"Polo Residence D2")</f>
        <v>Polo Residence D2</v>
      </c>
      <c r="C1677" s="2" t="str">
        <f ca="1">IFERROR(__xludf.DUMMYFUNCTION("""COMPUTED_VALUE"""),"Building")</f>
        <v>Building</v>
      </c>
      <c r="D1677" s="2" t="str">
        <f ca="1">IFERROR(__xludf.DUMMYFUNCTION("""COMPUTED_VALUE"""),"Dubai&gt;Meydan City&gt;Meydan Avenue&gt;Polo Residence&gt;Polo Residence D2")</f>
        <v>Dubai&gt;Meydan City&gt;Meydan Avenue&gt;Polo Residence&gt;Polo Residence D2</v>
      </c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</row>
    <row r="1678" spans="1:26" ht="16.5" x14ac:dyDescent="0.35">
      <c r="A1678" s="2" t="str">
        <f ca="1">IFERROR(__xludf.DUMMYFUNCTION("""COMPUTED_VALUE"""),"Dubai")</f>
        <v>Dubai</v>
      </c>
      <c r="B1678" s="2" t="str">
        <f ca="1">IFERROR(__xludf.DUMMYFUNCTION("""COMPUTED_VALUE"""),"RRM Building")</f>
        <v>RRM Building</v>
      </c>
      <c r="C1678" s="2" t="str">
        <f ca="1">IFERROR(__xludf.DUMMYFUNCTION("""COMPUTED_VALUE"""),"Building")</f>
        <v>Building</v>
      </c>
      <c r="D1678" s="2" t="str">
        <f ca="1">IFERROR(__xludf.DUMMYFUNCTION("""COMPUTED_VALUE"""),"Dubai&gt;Meydan City&gt;Meydan Avenue&gt;RRM Building")</f>
        <v>Dubai&gt;Meydan City&gt;Meydan Avenue&gt;RRM Building</v>
      </c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</row>
    <row r="1679" spans="1:26" ht="16.5" x14ac:dyDescent="0.35">
      <c r="A1679" s="2" t="str">
        <f ca="1">IFERROR(__xludf.DUMMYFUNCTION("""COMPUTED_VALUE"""),"Dubai")</f>
        <v>Dubai</v>
      </c>
      <c r="B1679" s="2" t="str">
        <f ca="1">IFERROR(__xludf.DUMMYFUNCTION("""COMPUTED_VALUE"""),"Al Samar 3")</f>
        <v>Al Samar 3</v>
      </c>
      <c r="C1679" s="2" t="str">
        <f ca="1">IFERROR(__xludf.DUMMYFUNCTION("""COMPUTED_VALUE"""),"Building")</f>
        <v>Building</v>
      </c>
      <c r="D1679" s="2" t="str">
        <f ca="1">IFERROR(__xludf.DUMMYFUNCTION("""COMPUTED_VALUE"""),"Dubai&gt;The Greens&gt;Al Samar&gt;Al Samar 3")</f>
        <v>Dubai&gt;The Greens&gt;Al Samar&gt;Al Samar 3</v>
      </c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</row>
    <row r="1680" spans="1:26" ht="16.5" x14ac:dyDescent="0.35">
      <c r="A1680" s="2" t="str">
        <f ca="1">IFERROR(__xludf.DUMMYFUNCTION("""COMPUTED_VALUE"""),"Dubai")</f>
        <v>Dubai</v>
      </c>
      <c r="B1680" s="2" t="str">
        <f ca="1">IFERROR(__xludf.DUMMYFUNCTION("""COMPUTED_VALUE"""),"Al Arta 4")</f>
        <v>Al Arta 4</v>
      </c>
      <c r="C1680" s="2" t="str">
        <f ca="1">IFERROR(__xludf.DUMMYFUNCTION("""COMPUTED_VALUE"""),"Building")</f>
        <v>Building</v>
      </c>
      <c r="D1680" s="2" t="str">
        <f ca="1">IFERROR(__xludf.DUMMYFUNCTION("""COMPUTED_VALUE"""),"Dubai&gt;The Greens&gt;Al Arta&gt;Al Arta 4")</f>
        <v>Dubai&gt;The Greens&gt;Al Arta&gt;Al Arta 4</v>
      </c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</row>
    <row r="1681" spans="1:26" ht="16.5" x14ac:dyDescent="0.35">
      <c r="A1681" s="2" t="str">
        <f ca="1">IFERROR(__xludf.DUMMYFUNCTION("""COMPUTED_VALUE"""),"Dubai")</f>
        <v>Dubai</v>
      </c>
      <c r="B1681" s="2" t="str">
        <f ca="1">IFERROR(__xludf.DUMMYFUNCTION("""COMPUTED_VALUE"""),"Noor 5")</f>
        <v>Noor 5</v>
      </c>
      <c r="C1681" s="2" t="str">
        <f ca="1">IFERROR(__xludf.DUMMYFUNCTION("""COMPUTED_VALUE"""),"Building")</f>
        <v>Building</v>
      </c>
      <c r="D1681" s="2" t="str">
        <f ca="1">IFERROR(__xludf.DUMMYFUNCTION("""COMPUTED_VALUE"""),"Dubai&gt;Dubai Production City (IMPZ)&gt;Midtown&gt;Noor District&gt;Noor 5")</f>
        <v>Dubai&gt;Dubai Production City (IMPZ)&gt;Midtown&gt;Noor District&gt;Noor 5</v>
      </c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</row>
    <row r="1682" spans="1:26" ht="16.5" x14ac:dyDescent="0.35">
      <c r="A1682" s="2" t="str">
        <f ca="1">IFERROR(__xludf.DUMMYFUNCTION("""COMPUTED_VALUE"""),"Dubai")</f>
        <v>Dubai</v>
      </c>
      <c r="B1682" s="2" t="str">
        <f ca="1">IFERROR(__xludf.DUMMYFUNCTION("""COMPUTED_VALUE"""),"Centrium Tower 4")</f>
        <v>Centrium Tower 4</v>
      </c>
      <c r="C1682" s="2" t="str">
        <f ca="1">IFERROR(__xludf.DUMMYFUNCTION("""COMPUTED_VALUE"""),"Building")</f>
        <v>Building</v>
      </c>
      <c r="D1682" s="2" t="str">
        <f ca="1">IFERROR(__xludf.DUMMYFUNCTION("""COMPUTED_VALUE"""),"Dubai&gt;Dubai Production City (IMPZ)&gt;Centrium Towers&gt;Centrium Tower 4")</f>
        <v>Dubai&gt;Dubai Production City (IMPZ)&gt;Centrium Towers&gt;Centrium Tower 4</v>
      </c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</row>
    <row r="1683" spans="1:26" ht="16.5" x14ac:dyDescent="0.35">
      <c r="A1683" s="2" t="str">
        <f ca="1">IFERROR(__xludf.DUMMYFUNCTION("""COMPUTED_VALUE"""),"Dubai")</f>
        <v>Dubai</v>
      </c>
      <c r="B1683" s="2" t="str">
        <f ca="1">IFERROR(__xludf.DUMMYFUNCTION("""COMPUTED_VALUE"""),"Caliber Plaza")</f>
        <v>Caliber Plaza</v>
      </c>
      <c r="C1683" s="2" t="str">
        <f ca="1">IFERROR(__xludf.DUMMYFUNCTION("""COMPUTED_VALUE"""),"Building")</f>
        <v>Building</v>
      </c>
      <c r="D1683" s="2" t="str">
        <f ca="1">IFERROR(__xludf.DUMMYFUNCTION("""COMPUTED_VALUE"""),"Dubai&gt;Dubai Production City (IMPZ)&gt;Caliber Plaza")</f>
        <v>Dubai&gt;Dubai Production City (IMPZ)&gt;Caliber Plaza</v>
      </c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</row>
    <row r="1684" spans="1:26" ht="16.5" x14ac:dyDescent="0.35">
      <c r="A1684" s="2" t="str">
        <f ca="1">IFERROR(__xludf.DUMMYFUNCTION("""COMPUTED_VALUE"""),"Dubai")</f>
        <v>Dubai</v>
      </c>
      <c r="B1684" s="2" t="str">
        <f ca="1">IFERROR(__xludf.DUMMYFUNCTION("""COMPUTED_VALUE"""),"Dubai Industrial City")</f>
        <v>Dubai Industrial City</v>
      </c>
      <c r="C1684" s="2" t="str">
        <f ca="1">IFERROR(__xludf.DUMMYFUNCTION("""COMPUTED_VALUE"""),"Neighbourhood")</f>
        <v>Neighbourhood</v>
      </c>
      <c r="D1684" s="2" t="str">
        <f ca="1">IFERROR(__xludf.DUMMYFUNCTION("""COMPUTED_VALUE"""),"Dubai&gt;Dubai Industrial City")</f>
        <v>Dubai&gt;Dubai Industrial City</v>
      </c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</row>
    <row r="1685" spans="1:26" ht="16.5" x14ac:dyDescent="0.35">
      <c r="A1685" s="2" t="str">
        <f ca="1">IFERROR(__xludf.DUMMYFUNCTION("""COMPUTED_VALUE"""),"Dubai")</f>
        <v>Dubai</v>
      </c>
      <c r="B1685" s="2" t="str">
        <f ca="1">IFERROR(__xludf.DUMMYFUNCTION("""COMPUTED_VALUE"""),"Al Oufouk Building")</f>
        <v>Al Oufouk Building</v>
      </c>
      <c r="C1685" s="2" t="str">
        <f ca="1">IFERROR(__xludf.DUMMYFUNCTION("""COMPUTED_VALUE"""),"Building")</f>
        <v>Building</v>
      </c>
      <c r="D1685" s="2" t="str">
        <f ca="1">IFERROR(__xludf.DUMMYFUNCTION("""COMPUTED_VALUE"""),"Dubai&gt;Dubai Industrial City&gt;Al Oufouk Building")</f>
        <v>Dubai&gt;Dubai Industrial City&gt;Al Oufouk Building</v>
      </c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</row>
    <row r="1686" spans="1:26" ht="16.5" x14ac:dyDescent="0.35">
      <c r="A1686" s="2" t="str">
        <f ca="1">IFERROR(__xludf.DUMMYFUNCTION("""COMPUTED_VALUE"""),"Dubai")</f>
        <v>Dubai</v>
      </c>
      <c r="B1686" s="2" t="str">
        <f ca="1">IFERROR(__xludf.DUMMYFUNCTION("""COMPUTED_VALUE"""),"Al Asmawi Building 1")</f>
        <v>Al Asmawi Building 1</v>
      </c>
      <c r="C1686" s="2" t="str">
        <f ca="1">IFERROR(__xludf.DUMMYFUNCTION("""COMPUTED_VALUE"""),"Building")</f>
        <v>Building</v>
      </c>
      <c r="D1686" s="2" t="str">
        <f ca="1">IFERROR(__xludf.DUMMYFUNCTION("""COMPUTED_VALUE"""),"Dubai&gt;Umm Al Sheif&gt;Al Asmawi Building 1")</f>
        <v>Dubai&gt;Umm Al Sheif&gt;Al Asmawi Building 1</v>
      </c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</row>
    <row r="1687" spans="1:26" ht="16.5" x14ac:dyDescent="0.35">
      <c r="A1687" s="2" t="str">
        <f ca="1">IFERROR(__xludf.DUMMYFUNCTION("""COMPUTED_VALUE"""),"Dubai")</f>
        <v>Dubai</v>
      </c>
      <c r="B1687" s="2" t="str">
        <f ca="1">IFERROR(__xludf.DUMMYFUNCTION("""COMPUTED_VALUE"""),"Hatimi Residences")</f>
        <v>Hatimi Residences</v>
      </c>
      <c r="C1687" s="2" t="str">
        <f ca="1">IFERROR(__xludf.DUMMYFUNCTION("""COMPUTED_VALUE"""),"Building")</f>
        <v>Building</v>
      </c>
      <c r="D1687" s="2" t="str">
        <f ca="1">IFERROR(__xludf.DUMMYFUNCTION("""COMPUTED_VALUE"""),"Dubai&gt;Dubai Islands&gt;Hatimi Residences")</f>
        <v>Dubai&gt;Dubai Islands&gt;Hatimi Residences</v>
      </c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</row>
    <row r="1688" spans="1:26" ht="16.5" x14ac:dyDescent="0.35">
      <c r="A1688" s="2" t="str">
        <f ca="1">IFERROR(__xludf.DUMMYFUNCTION("""COMPUTED_VALUE"""),"Dubai")</f>
        <v>Dubai</v>
      </c>
      <c r="B1688" s="2" t="str">
        <f ca="1">IFERROR(__xludf.DUMMYFUNCTION("""COMPUTED_VALUE"""),"Bay Grove Residences C")</f>
        <v>Bay Grove Residences C</v>
      </c>
      <c r="C1688" s="2" t="str">
        <f ca="1">IFERROR(__xludf.DUMMYFUNCTION("""COMPUTED_VALUE"""),"Cluster")</f>
        <v>Cluster</v>
      </c>
      <c r="D1688" s="2" t="str">
        <f ca="1">IFERROR(__xludf.DUMMYFUNCTION("""COMPUTED_VALUE"""),"Dubai&gt;Dubai Islands&gt;Bay Grove Residences C")</f>
        <v>Dubai&gt;Dubai Islands&gt;Bay Grove Residences C</v>
      </c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</row>
    <row r="1689" spans="1:26" ht="16.5" x14ac:dyDescent="0.35">
      <c r="A1689" s="2" t="str">
        <f ca="1">IFERROR(__xludf.DUMMYFUNCTION("""COMPUTED_VALUE"""),"Dubai")</f>
        <v>Dubai</v>
      </c>
      <c r="B1689" s="2" t="str">
        <f ca="1">IFERROR(__xludf.DUMMYFUNCTION("""COMPUTED_VALUE"""),"Bay Grove Residences B")</f>
        <v>Bay Grove Residences B</v>
      </c>
      <c r="C1689" s="2" t="str">
        <f ca="1">IFERROR(__xludf.DUMMYFUNCTION("""COMPUTED_VALUE"""),"Cluster")</f>
        <v>Cluster</v>
      </c>
      <c r="D1689" s="2" t="str">
        <f ca="1">IFERROR(__xludf.DUMMYFUNCTION("""COMPUTED_VALUE"""),"Dubai&gt;Dubai Islands&gt;Bay Grove Residences B")</f>
        <v>Dubai&gt;Dubai Islands&gt;Bay Grove Residences B</v>
      </c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</row>
    <row r="1690" spans="1:26" ht="16.5" x14ac:dyDescent="0.35">
      <c r="A1690" s="2" t="str">
        <f ca="1">IFERROR(__xludf.DUMMYFUNCTION("""COMPUTED_VALUE"""),"Dubai")</f>
        <v>Dubai</v>
      </c>
      <c r="B1690" s="2" t="str">
        <f ca="1">IFERROR(__xludf.DUMMYFUNCTION("""COMPUTED_VALUE"""),"Sea View Residence by Sama Mayas")</f>
        <v>Sea View Residence by Sama Mayas</v>
      </c>
      <c r="C1690" s="2" t="str">
        <f ca="1">IFERROR(__xludf.DUMMYFUNCTION("""COMPUTED_VALUE"""),"Building")</f>
        <v>Building</v>
      </c>
      <c r="D1690" s="2" t="str">
        <f ca="1">IFERROR(__xludf.DUMMYFUNCTION("""COMPUTED_VALUE"""),"Dubai&gt;Dubai Islands&gt;Sea View Residence by Sama Mayas")</f>
        <v>Dubai&gt;Dubai Islands&gt;Sea View Residence by Sama Mayas</v>
      </c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</row>
    <row r="1691" spans="1:26" ht="16.5" x14ac:dyDescent="0.35">
      <c r="A1691" s="2" t="str">
        <f ca="1">IFERROR(__xludf.DUMMYFUNCTION("""COMPUTED_VALUE"""),"Dubai")</f>
        <v>Dubai</v>
      </c>
      <c r="B1691" s="2" t="str">
        <f ca="1">IFERROR(__xludf.DUMMYFUNCTION("""COMPUTED_VALUE"""),"Floarea Breeze")</f>
        <v>Floarea Breeze</v>
      </c>
      <c r="C1691" s="2" t="str">
        <f ca="1">IFERROR(__xludf.DUMMYFUNCTION("""COMPUTED_VALUE"""),"Building")</f>
        <v>Building</v>
      </c>
      <c r="D1691" s="2" t="str">
        <f ca="1">IFERROR(__xludf.DUMMYFUNCTION("""COMPUTED_VALUE"""),"Dubai&gt;Dubai Islands&gt;Floarea Breeze")</f>
        <v>Dubai&gt;Dubai Islands&gt;Floarea Breeze</v>
      </c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</row>
    <row r="1692" spans="1:26" ht="16.5" x14ac:dyDescent="0.35">
      <c r="A1692" s="2" t="str">
        <f ca="1">IFERROR(__xludf.DUMMYFUNCTION("""COMPUTED_VALUE"""),"Dubai")</f>
        <v>Dubai</v>
      </c>
      <c r="B1692" s="2" t="str">
        <f ca="1">IFERROR(__xludf.DUMMYFUNCTION("""COMPUTED_VALUE"""),"Rukan 3")</f>
        <v>Rukan 3</v>
      </c>
      <c r="C1692" s="2" t="str">
        <f ca="1">IFERROR(__xludf.DUMMYFUNCTION("""COMPUTED_VALUE"""),"Neighbourhood")</f>
        <v>Neighbourhood</v>
      </c>
      <c r="D1692" s="2" t="str">
        <f ca="1">IFERROR(__xludf.DUMMYFUNCTION("""COMPUTED_VALUE"""),"Dubai&gt;Dubailand&gt;Rukan&gt;Rukan 3")</f>
        <v>Dubai&gt;Dubailand&gt;Rukan&gt;Rukan 3</v>
      </c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</row>
    <row r="1693" spans="1:26" ht="16.5" x14ac:dyDescent="0.35">
      <c r="A1693" s="2" t="str">
        <f ca="1">IFERROR(__xludf.DUMMYFUNCTION("""COMPUTED_VALUE"""),"Dubai")</f>
        <v>Dubai</v>
      </c>
      <c r="B1693" s="2" t="str">
        <f ca="1">IFERROR(__xludf.DUMMYFUNCTION("""COMPUTED_VALUE"""),"Reportage Village")</f>
        <v>Reportage Village</v>
      </c>
      <c r="C1693" s="2" t="str">
        <f ca="1">IFERROR(__xludf.DUMMYFUNCTION("""COMPUTED_VALUE"""),"Neighbourhood")</f>
        <v>Neighbourhood</v>
      </c>
      <c r="D1693" s="2" t="str">
        <f ca="1">IFERROR(__xludf.DUMMYFUNCTION("""COMPUTED_VALUE"""),"Dubai&gt;Dubailand&gt;Reportage Village")</f>
        <v>Dubai&gt;Dubailand&gt;Reportage Village</v>
      </c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</row>
    <row r="1694" spans="1:26" ht="16.5" x14ac:dyDescent="0.35">
      <c r="A1694" s="2" t="str">
        <f ca="1">IFERROR(__xludf.DUMMYFUNCTION("""COMPUTED_VALUE"""),"Dubai")</f>
        <v>Dubai</v>
      </c>
      <c r="B1694" s="2" t="str">
        <f ca="1">IFERROR(__xludf.DUMMYFUNCTION("""COMPUTED_VALUE"""),"The Indian Academy Dubai")</f>
        <v>The Indian Academy Dubai</v>
      </c>
      <c r="C1694" s="2" t="str">
        <f ca="1">IFERROR(__xludf.DUMMYFUNCTION("""COMPUTED_VALUE"""),"School")</f>
        <v>School</v>
      </c>
      <c r="D1694" s="2" t="str">
        <f ca="1">IFERROR(__xludf.DUMMYFUNCTION("""COMPUTED_VALUE"""),"Dubai&gt;Muhaisnah&gt;Muhaisnah 4&gt;The Indian Academy Dubai")</f>
        <v>Dubai&gt;Muhaisnah&gt;Muhaisnah 4&gt;The Indian Academy Dubai</v>
      </c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</row>
    <row r="1695" spans="1:26" ht="16.5" x14ac:dyDescent="0.35">
      <c r="A1695" s="2" t="str">
        <f ca="1">IFERROR(__xludf.DUMMYFUNCTION("""COMPUTED_VALUE"""),"Dubai")</f>
        <v>Dubai</v>
      </c>
      <c r="B1695" s="2" t="str">
        <f ca="1">IFERROR(__xludf.DUMMYFUNCTION("""COMPUTED_VALUE"""),"Al Bakhit Building")</f>
        <v>Al Bakhit Building</v>
      </c>
      <c r="C1695" s="2" t="str">
        <f ca="1">IFERROR(__xludf.DUMMYFUNCTION("""COMPUTED_VALUE"""),"Building")</f>
        <v>Building</v>
      </c>
      <c r="D1695" s="2" t="str">
        <f ca="1">IFERROR(__xludf.DUMMYFUNCTION("""COMPUTED_VALUE"""),"Dubai&gt;Muhaisnah&gt;Muhaisnah 4&gt;Al Bakhit Building")</f>
        <v>Dubai&gt;Muhaisnah&gt;Muhaisnah 4&gt;Al Bakhit Building</v>
      </c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</row>
    <row r="1696" spans="1:26" ht="16.5" x14ac:dyDescent="0.35">
      <c r="A1696" s="2" t="str">
        <f ca="1">IFERROR(__xludf.DUMMYFUNCTION("""COMPUTED_VALUE"""),"Dubai")</f>
        <v>Dubai</v>
      </c>
      <c r="B1696" s="2" t="str">
        <f ca="1">IFERROR(__xludf.DUMMYFUNCTION("""COMPUTED_VALUE"""),"Sheikh Zayed Road")</f>
        <v>Sheikh Zayed Road</v>
      </c>
      <c r="C1696" s="2" t="str">
        <f ca="1">IFERROR(__xludf.DUMMYFUNCTION("""COMPUTED_VALUE"""),"Neighbourhood")</f>
        <v>Neighbourhood</v>
      </c>
      <c r="D1696" s="2" t="str">
        <f ca="1">IFERROR(__xludf.DUMMYFUNCTION("""COMPUTED_VALUE"""),"Dubai&gt;Sheikh Zayed Road")</f>
        <v>Dubai&gt;Sheikh Zayed Road</v>
      </c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</row>
    <row r="1697" spans="1:26" ht="16.5" x14ac:dyDescent="0.35">
      <c r="A1697" s="2" t="str">
        <f ca="1">IFERROR(__xludf.DUMMYFUNCTION("""COMPUTED_VALUE"""),"Dubai")</f>
        <v>Dubai</v>
      </c>
      <c r="B1697" s="2" t="str">
        <f ca="1">IFERROR(__xludf.DUMMYFUNCTION("""COMPUTED_VALUE"""),"Park Place Tower")</f>
        <v>Park Place Tower</v>
      </c>
      <c r="C1697" s="2" t="str">
        <f ca="1">IFERROR(__xludf.DUMMYFUNCTION("""COMPUTED_VALUE"""),"Building")</f>
        <v>Building</v>
      </c>
      <c r="D1697" s="2" t="str">
        <f ca="1">IFERROR(__xludf.DUMMYFUNCTION("""COMPUTED_VALUE"""),"Dubai&gt;Sheikh Zayed Road&gt;Park Place Tower")</f>
        <v>Dubai&gt;Sheikh Zayed Road&gt;Park Place Tower</v>
      </c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</row>
    <row r="1698" spans="1:26" ht="16.5" x14ac:dyDescent="0.35">
      <c r="A1698" s="2" t="str">
        <f ca="1">IFERROR(__xludf.DUMMYFUNCTION("""COMPUTED_VALUE"""),"Dubai")</f>
        <v>Dubai</v>
      </c>
      <c r="B1698" s="2" t="str">
        <f ca="1">IFERROR(__xludf.DUMMYFUNCTION("""COMPUTED_VALUE"""),"The Curve")</f>
        <v>The Curve</v>
      </c>
      <c r="C1698" s="2" t="str">
        <f ca="1">IFERROR(__xludf.DUMMYFUNCTION("""COMPUTED_VALUE"""),"Building")</f>
        <v>Building</v>
      </c>
      <c r="D1698" s="2" t="str">
        <f ca="1">IFERROR(__xludf.DUMMYFUNCTION("""COMPUTED_VALUE"""),"Dubai&gt;Sheikh Zayed Road&gt;The Curve")</f>
        <v>Dubai&gt;Sheikh Zayed Road&gt;The Curve</v>
      </c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</row>
    <row r="1699" spans="1:26" ht="16.5" x14ac:dyDescent="0.35">
      <c r="A1699" s="2" t="str">
        <f ca="1">IFERROR(__xludf.DUMMYFUNCTION("""COMPUTED_VALUE"""),"Dubai")</f>
        <v>Dubai</v>
      </c>
      <c r="B1699" s="2" t="str">
        <f ca="1">IFERROR(__xludf.DUMMYFUNCTION("""COMPUTED_VALUE"""),"Al Ghadeer Tower")</f>
        <v>Al Ghadeer Tower</v>
      </c>
      <c r="C1699" s="2" t="str">
        <f ca="1">IFERROR(__xludf.DUMMYFUNCTION("""COMPUTED_VALUE"""),"Building")</f>
        <v>Building</v>
      </c>
      <c r="D1699" s="2" t="str">
        <f ca="1">IFERROR(__xludf.DUMMYFUNCTION("""COMPUTED_VALUE"""),"Dubai&gt;Sheikh Zayed Road&gt;Al Ghadeer Tower")</f>
        <v>Dubai&gt;Sheikh Zayed Road&gt;Al Ghadeer Tower</v>
      </c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</row>
    <row r="1700" spans="1:26" ht="16.5" x14ac:dyDescent="0.35">
      <c r="A1700" s="2" t="str">
        <f ca="1">IFERROR(__xludf.DUMMYFUNCTION("""COMPUTED_VALUE"""),"Dubai")</f>
        <v>Dubai</v>
      </c>
      <c r="B1700" s="2" t="str">
        <f ca="1">IFERROR(__xludf.DUMMYFUNCTION("""COMPUTED_VALUE"""),"Al Salam Tower FC")</f>
        <v>Al Salam Tower FC</v>
      </c>
      <c r="C1700" s="2" t="str">
        <f ca="1">IFERROR(__xludf.DUMMYFUNCTION("""COMPUTED_VALUE"""),"Building")</f>
        <v>Building</v>
      </c>
      <c r="D1700" s="2" t="str">
        <f ca="1">IFERROR(__xludf.DUMMYFUNCTION("""COMPUTED_VALUE"""),"Dubai&gt;Sheikh Zayed Road&gt;Al Salam Tower FC")</f>
        <v>Dubai&gt;Sheikh Zayed Road&gt;Al Salam Tower FC</v>
      </c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</row>
    <row r="1701" spans="1:26" ht="16.5" x14ac:dyDescent="0.35">
      <c r="A1701" s="2" t="str">
        <f ca="1">IFERROR(__xludf.DUMMYFUNCTION("""COMPUTED_VALUE"""),"Dubai")</f>
        <v>Dubai</v>
      </c>
      <c r="B1701" s="2" t="str">
        <f ca="1">IFERROR(__xludf.DUMMYFUNCTION("""COMPUTED_VALUE"""),"Building 4")</f>
        <v>Building 4</v>
      </c>
      <c r="C1701" s="2" t="str">
        <f ca="1">IFERROR(__xludf.DUMMYFUNCTION("""COMPUTED_VALUE"""),"Building")</f>
        <v>Building</v>
      </c>
      <c r="D1701" s="2" t="str">
        <f ca="1">IFERROR(__xludf.DUMMYFUNCTION("""COMPUTED_VALUE"""),"Dubai&gt;Al Karama&gt;Karam Pioneer Buildings&gt;Building 4")</f>
        <v>Dubai&gt;Al Karama&gt;Karam Pioneer Buildings&gt;Building 4</v>
      </c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</row>
    <row r="1702" spans="1:26" ht="16.5" x14ac:dyDescent="0.35">
      <c r="A1702" s="2" t="str">
        <f ca="1">IFERROR(__xludf.DUMMYFUNCTION("""COMPUTED_VALUE"""),"Dubai")</f>
        <v>Dubai</v>
      </c>
      <c r="B1702" s="2" t="str">
        <f ca="1">IFERROR(__xludf.DUMMYFUNCTION("""COMPUTED_VALUE"""),"Building 36")</f>
        <v>Building 36</v>
      </c>
      <c r="C1702" s="2" t="str">
        <f ca="1">IFERROR(__xludf.DUMMYFUNCTION("""COMPUTED_VALUE"""),"Building")</f>
        <v>Building</v>
      </c>
      <c r="D1702" s="2" t="str">
        <f ca="1">IFERROR(__xludf.DUMMYFUNCTION("""COMPUTED_VALUE"""),"Dubai&gt;Al Karama&gt;Karam Pioneer Buildings&gt;Building 36")</f>
        <v>Dubai&gt;Al Karama&gt;Karam Pioneer Buildings&gt;Building 36</v>
      </c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</row>
    <row r="1703" spans="1:26" ht="16.5" x14ac:dyDescent="0.35">
      <c r="A1703" s="2" t="str">
        <f ca="1">IFERROR(__xludf.DUMMYFUNCTION("""COMPUTED_VALUE"""),"Dubai")</f>
        <v>Dubai</v>
      </c>
      <c r="B1703" s="2" t="str">
        <f ca="1">IFERROR(__xludf.DUMMYFUNCTION("""COMPUTED_VALUE"""),"Block 3")</f>
        <v>Block 3</v>
      </c>
      <c r="C1703" s="2" t="str">
        <f ca="1">IFERROR(__xludf.DUMMYFUNCTION("""COMPUTED_VALUE"""),"Building")</f>
        <v>Building</v>
      </c>
      <c r="D1703" s="2" t="str">
        <f ca="1">IFERROR(__xludf.DUMMYFUNCTION("""COMPUTED_VALUE"""),"Dubai&gt;Al Karama&gt;Al Wasl Hub&gt;Block 3")</f>
        <v>Dubai&gt;Al Karama&gt;Al Wasl Hub&gt;Block 3</v>
      </c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</row>
    <row r="1704" spans="1:26" ht="16.5" x14ac:dyDescent="0.35">
      <c r="A1704" s="2" t="str">
        <f ca="1">IFERROR(__xludf.DUMMYFUNCTION("""COMPUTED_VALUE"""),"Dubai")</f>
        <v>Dubai</v>
      </c>
      <c r="B1704" s="2" t="str">
        <f ca="1">IFERROR(__xludf.DUMMYFUNCTION("""COMPUTED_VALUE"""),"Karama Gold Building")</f>
        <v>Karama Gold Building</v>
      </c>
      <c r="C1704" s="2" t="str">
        <f ca="1">IFERROR(__xludf.DUMMYFUNCTION("""COMPUTED_VALUE"""),"Building")</f>
        <v>Building</v>
      </c>
      <c r="D1704" s="2" t="str">
        <f ca="1">IFERROR(__xludf.DUMMYFUNCTION("""COMPUTED_VALUE"""),"Dubai&gt;Al Karama&gt;Karama Gold Building")</f>
        <v>Dubai&gt;Al Karama&gt;Karama Gold Building</v>
      </c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</row>
    <row r="1705" spans="1:26" ht="16.5" x14ac:dyDescent="0.35">
      <c r="A1705" s="2" t="str">
        <f ca="1">IFERROR(__xludf.DUMMYFUNCTION("""COMPUTED_VALUE"""),"Dubai")</f>
        <v>Dubai</v>
      </c>
      <c r="B1705" s="2" t="str">
        <f ca="1">IFERROR(__xludf.DUMMYFUNCTION("""COMPUTED_VALUE"""),"Al Muhairi Building")</f>
        <v>Al Muhairi Building</v>
      </c>
      <c r="C1705" s="2" t="str">
        <f ca="1">IFERROR(__xludf.DUMMYFUNCTION("""COMPUTED_VALUE"""),"Building")</f>
        <v>Building</v>
      </c>
      <c r="D1705" s="2" t="str">
        <f ca="1">IFERROR(__xludf.DUMMYFUNCTION("""COMPUTED_VALUE"""),"Dubai&gt;Al Karama&gt;Al Muhairi Building")</f>
        <v>Dubai&gt;Al Karama&gt;Al Muhairi Building</v>
      </c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</row>
    <row r="1706" spans="1:26" ht="16.5" x14ac:dyDescent="0.35">
      <c r="A1706" s="2" t="str">
        <f ca="1">IFERROR(__xludf.DUMMYFUNCTION("""COMPUTED_VALUE"""),"Dubai")</f>
        <v>Dubai</v>
      </c>
      <c r="B1706" s="2" t="str">
        <f ca="1">IFERROR(__xludf.DUMMYFUNCTION("""COMPUTED_VALUE"""),"AJSM Building")</f>
        <v>AJSM Building</v>
      </c>
      <c r="C1706" s="2" t="str">
        <f ca="1">IFERROR(__xludf.DUMMYFUNCTION("""COMPUTED_VALUE"""),"Building")</f>
        <v>Building</v>
      </c>
      <c r="D1706" s="2" t="str">
        <f ca="1">IFERROR(__xludf.DUMMYFUNCTION("""COMPUTED_VALUE"""),"Dubai&gt;Al Karama&gt;AJSM Building")</f>
        <v>Dubai&gt;Al Karama&gt;AJSM Building</v>
      </c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</row>
    <row r="1707" spans="1:26" ht="16.5" x14ac:dyDescent="0.35">
      <c r="A1707" s="2" t="str">
        <f ca="1">IFERROR(__xludf.DUMMYFUNCTION("""COMPUTED_VALUE"""),"Dubai")</f>
        <v>Dubai</v>
      </c>
      <c r="B1707" s="2" t="str">
        <f ca="1">IFERROR(__xludf.DUMMYFUNCTION("""COMPUTED_VALUE"""),"Luxury Building")</f>
        <v>Luxury Building</v>
      </c>
      <c r="C1707" s="2" t="str">
        <f ca="1">IFERROR(__xludf.DUMMYFUNCTION("""COMPUTED_VALUE"""),"Building")</f>
        <v>Building</v>
      </c>
      <c r="D1707" s="2" t="str">
        <f ca="1">IFERROR(__xludf.DUMMYFUNCTION("""COMPUTED_VALUE"""),"Dubai&gt;Al Karama&gt;Luxury Building")</f>
        <v>Dubai&gt;Al Karama&gt;Luxury Building</v>
      </c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</row>
    <row r="1708" spans="1:26" ht="16.5" x14ac:dyDescent="0.35">
      <c r="A1708" s="2" t="str">
        <f ca="1">IFERROR(__xludf.DUMMYFUNCTION("""COMPUTED_VALUE"""),"Dubai")</f>
        <v>Dubai</v>
      </c>
      <c r="B1708" s="2" t="str">
        <f ca="1">IFERROR(__xludf.DUMMYFUNCTION("""COMPUTED_VALUE"""),"Bu Ameem Building 1")</f>
        <v>Bu Ameem Building 1</v>
      </c>
      <c r="C1708" s="2" t="str">
        <f ca="1">IFERROR(__xludf.DUMMYFUNCTION("""COMPUTED_VALUE"""),"Building")</f>
        <v>Building</v>
      </c>
      <c r="D1708" s="2" t="str">
        <f ca="1">IFERROR(__xludf.DUMMYFUNCTION("""COMPUTED_VALUE"""),"Dubai&gt;Al Karama&gt;Bu Ameem Building 1")</f>
        <v>Dubai&gt;Al Karama&gt;Bu Ameem Building 1</v>
      </c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</row>
    <row r="1709" spans="1:26" ht="16.5" x14ac:dyDescent="0.35">
      <c r="A1709" s="2" t="str">
        <f ca="1">IFERROR(__xludf.DUMMYFUNCTION("""COMPUTED_VALUE"""),"Dubai")</f>
        <v>Dubai</v>
      </c>
      <c r="B1709" s="2" t="str">
        <f ca="1">IFERROR(__xludf.DUMMYFUNCTION("""COMPUTED_VALUE"""),"Naresco 4")</f>
        <v>Naresco 4</v>
      </c>
      <c r="C1709" s="2" t="str">
        <f ca="1">IFERROR(__xludf.DUMMYFUNCTION("""COMPUTED_VALUE"""),"Building")</f>
        <v>Building</v>
      </c>
      <c r="D1709" s="2" t="str">
        <f ca="1">IFERROR(__xludf.DUMMYFUNCTION("""COMPUTED_VALUE"""),"Dubai&gt;Al Karama&gt;Naresco 4")</f>
        <v>Dubai&gt;Al Karama&gt;Naresco 4</v>
      </c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</row>
    <row r="1710" spans="1:26" ht="16.5" x14ac:dyDescent="0.35">
      <c r="A1710" s="2" t="str">
        <f ca="1">IFERROR(__xludf.DUMMYFUNCTION("""COMPUTED_VALUE"""),"Dubai")</f>
        <v>Dubai</v>
      </c>
      <c r="B1710" s="2" t="str">
        <f ca="1">IFERROR(__xludf.DUMMYFUNCTION("""COMPUTED_VALUE"""),"Al Wasl Building")</f>
        <v>Al Wasl Building</v>
      </c>
      <c r="C1710" s="2" t="str">
        <f ca="1">IFERROR(__xludf.DUMMYFUNCTION("""COMPUTED_VALUE"""),"Building")</f>
        <v>Building</v>
      </c>
      <c r="D1710" s="2" t="str">
        <f ca="1">IFERROR(__xludf.DUMMYFUNCTION("""COMPUTED_VALUE"""),"Dubai&gt;Al Karama&gt;Al Wasl Building")</f>
        <v>Dubai&gt;Al Karama&gt;Al Wasl Building</v>
      </c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</row>
    <row r="1711" spans="1:26" ht="16.5" x14ac:dyDescent="0.35">
      <c r="A1711" s="2" t="str">
        <f ca="1">IFERROR(__xludf.DUMMYFUNCTION("""COMPUTED_VALUE"""),"Dubai")</f>
        <v>Dubai</v>
      </c>
      <c r="B1711" s="2" t="str">
        <f ca="1">IFERROR(__xludf.DUMMYFUNCTION("""COMPUTED_VALUE"""),"Karama Palace")</f>
        <v>Karama Palace</v>
      </c>
      <c r="C1711" s="2" t="str">
        <f ca="1">IFERROR(__xludf.DUMMYFUNCTION("""COMPUTED_VALUE"""),"Building")</f>
        <v>Building</v>
      </c>
      <c r="D1711" s="2" t="str">
        <f ca="1">IFERROR(__xludf.DUMMYFUNCTION("""COMPUTED_VALUE"""),"Dubai&gt;Al Karama&gt;Karama Palace")</f>
        <v>Dubai&gt;Al Karama&gt;Karama Palace</v>
      </c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</row>
    <row r="1712" spans="1:26" ht="16.5" x14ac:dyDescent="0.35">
      <c r="A1712" s="2" t="str">
        <f ca="1">IFERROR(__xludf.DUMMYFUNCTION("""COMPUTED_VALUE"""),"Dubai")</f>
        <v>Dubai</v>
      </c>
      <c r="B1712" s="2" t="str">
        <f ca="1">IFERROR(__xludf.DUMMYFUNCTION("""COMPUTED_VALUE"""),"Hala Building")</f>
        <v>Hala Building</v>
      </c>
      <c r="C1712" s="2" t="str">
        <f ca="1">IFERROR(__xludf.DUMMYFUNCTION("""COMPUTED_VALUE"""),"Building")</f>
        <v>Building</v>
      </c>
      <c r="D1712" s="2" t="str">
        <f ca="1">IFERROR(__xludf.DUMMYFUNCTION("""COMPUTED_VALUE"""),"Dubai&gt;Culture Village (Jaddaf Waterfront)&gt;Hala Building")</f>
        <v>Dubai&gt;Culture Village (Jaddaf Waterfront)&gt;Hala Building</v>
      </c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</row>
    <row r="1713" spans="1:26" ht="16.5" x14ac:dyDescent="0.35">
      <c r="A1713" s="2" t="str">
        <f ca="1">IFERROR(__xludf.DUMMYFUNCTION("""COMPUTED_VALUE"""),"Dubai")</f>
        <v>Dubai</v>
      </c>
      <c r="B1713" s="2" t="str">
        <f ca="1">IFERROR(__xludf.DUMMYFUNCTION("""COMPUTED_VALUE"""),"Eastern Residences")</f>
        <v>Eastern Residences</v>
      </c>
      <c r="C1713" s="2" t="str">
        <f ca="1">IFERROR(__xludf.DUMMYFUNCTION("""COMPUTED_VALUE"""),"Neighbourhood")</f>
        <v>Neighbourhood</v>
      </c>
      <c r="D1713" s="2" t="str">
        <f ca="1">IFERROR(__xludf.DUMMYFUNCTION("""COMPUTED_VALUE"""),"Dubai&gt;Falcon City of Wonders&gt;Eastern Residences")</f>
        <v>Dubai&gt;Falcon City of Wonders&gt;Eastern Residences</v>
      </c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</row>
    <row r="1714" spans="1:26" ht="16.5" x14ac:dyDescent="0.35">
      <c r="A1714" s="2" t="str">
        <f ca="1">IFERROR(__xludf.DUMMYFUNCTION("""COMPUTED_VALUE"""),"Dubai")</f>
        <v>Dubai</v>
      </c>
      <c r="B1714" s="2" t="str">
        <f ca="1">IFERROR(__xludf.DUMMYFUNCTION("""COMPUTED_VALUE"""),"Jadeel Building 1")</f>
        <v>Jadeel Building 1</v>
      </c>
      <c r="C1714" s="2" t="str">
        <f ca="1">IFERROR(__xludf.DUMMYFUNCTION("""COMPUTED_VALUE"""),"Building")</f>
        <v>Building</v>
      </c>
      <c r="D1714" s="2" t="str">
        <f ca="1">IFERROR(__xludf.DUMMYFUNCTION("""COMPUTED_VALUE"""),"Dubai&gt;Umm Suqeim&gt;Madinat Jumeirah Living&gt;Jadeel&gt;Jadeel Building 1")</f>
        <v>Dubai&gt;Umm Suqeim&gt;Madinat Jumeirah Living&gt;Jadeel&gt;Jadeel Building 1</v>
      </c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</row>
    <row r="1715" spans="1:26" ht="16.5" x14ac:dyDescent="0.35">
      <c r="A1715" s="2" t="str">
        <f ca="1">IFERROR(__xludf.DUMMYFUNCTION("""COMPUTED_VALUE"""),"Dubai")</f>
        <v>Dubai</v>
      </c>
      <c r="B1715" s="2" t="str">
        <f ca="1">IFERROR(__xludf.DUMMYFUNCTION("""COMPUTED_VALUE"""),"Nourelle Building 2")</f>
        <v>Nourelle Building 2</v>
      </c>
      <c r="C1715" s="2" t="str">
        <f ca="1">IFERROR(__xludf.DUMMYFUNCTION("""COMPUTED_VALUE"""),"Building")</f>
        <v>Building</v>
      </c>
      <c r="D1715" s="2" t="str">
        <f ca="1">IFERROR(__xludf.DUMMYFUNCTION("""COMPUTED_VALUE"""),"Dubai&gt;Umm Suqeim&gt;Madinat Jumeirah Living&gt;Nourelle&gt;Nourelle Building 2")</f>
        <v>Dubai&gt;Umm Suqeim&gt;Madinat Jumeirah Living&gt;Nourelle&gt;Nourelle Building 2</v>
      </c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</row>
    <row r="1716" spans="1:26" ht="16.5" x14ac:dyDescent="0.35">
      <c r="A1716" s="2" t="str">
        <f ca="1">IFERROR(__xludf.DUMMYFUNCTION("""COMPUTED_VALUE"""),"Dubai")</f>
        <v>Dubai</v>
      </c>
      <c r="B1716" s="2" t="str">
        <f ca="1">IFERROR(__xludf.DUMMYFUNCTION("""COMPUTED_VALUE"""),"Laguna Residence")</f>
        <v>Laguna Residence</v>
      </c>
      <c r="C1716" s="2" t="str">
        <f ca="1">IFERROR(__xludf.DUMMYFUNCTION("""COMPUTED_VALUE"""),"Cluster")</f>
        <v>Cluster</v>
      </c>
      <c r="D1716" s="2" t="str">
        <f ca="1">IFERROR(__xludf.DUMMYFUNCTION("""COMPUTED_VALUE"""),"Dubai&gt;City of Arabia&gt;Laguna Residence")</f>
        <v>Dubai&gt;City of Arabia&gt;Laguna Residence</v>
      </c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</row>
    <row r="1717" spans="1:26" ht="16.5" x14ac:dyDescent="0.35">
      <c r="A1717" s="2" t="str">
        <f ca="1">IFERROR(__xludf.DUMMYFUNCTION("""COMPUTED_VALUE"""),"Dubai")</f>
        <v>Dubai</v>
      </c>
      <c r="B1717" s="2" t="str">
        <f ca="1">IFERROR(__xludf.DUMMYFUNCTION("""COMPUTED_VALUE"""),"Ahmed Al Abdullah Waqf Building 2")</f>
        <v>Ahmed Al Abdullah Waqf Building 2</v>
      </c>
      <c r="C1717" s="2" t="str">
        <f ca="1">IFERROR(__xludf.DUMMYFUNCTION("""COMPUTED_VALUE"""),"Building")</f>
        <v>Building</v>
      </c>
      <c r="D1717" s="2" t="str">
        <f ca="1">IFERROR(__xludf.DUMMYFUNCTION("""COMPUTED_VALUE"""),"Dubai&gt;Al Badaa&gt;Ahmed Al Abdullah Waqf Building 2")</f>
        <v>Dubai&gt;Al Badaa&gt;Ahmed Al Abdullah Waqf Building 2</v>
      </c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</row>
    <row r="1718" spans="1:26" ht="16.5" x14ac:dyDescent="0.35">
      <c r="A1718" s="2" t="str">
        <f ca="1">IFERROR(__xludf.DUMMYFUNCTION("""COMPUTED_VALUE"""),"Dubai")</f>
        <v>Dubai</v>
      </c>
      <c r="B1718" s="2" t="str">
        <f ca="1">IFERROR(__xludf.DUMMYFUNCTION("""COMPUTED_VALUE"""),"Narra Building")</f>
        <v>Narra Building</v>
      </c>
      <c r="C1718" s="2" t="str">
        <f ca="1">IFERROR(__xludf.DUMMYFUNCTION("""COMPUTED_VALUE"""),"Building")</f>
        <v>Building</v>
      </c>
      <c r="D1718" s="2" t="str">
        <f ca="1">IFERROR(__xludf.DUMMYFUNCTION("""COMPUTED_VALUE"""),"Dubai&gt;Al Badaa&gt;Narra Building")</f>
        <v>Dubai&gt;Al Badaa&gt;Narra Building</v>
      </c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</row>
    <row r="1719" spans="1:26" ht="16.5" x14ac:dyDescent="0.35">
      <c r="A1719" s="2" t="str">
        <f ca="1">IFERROR(__xludf.DUMMYFUNCTION("""COMPUTED_VALUE"""),"Dubai")</f>
        <v>Dubai</v>
      </c>
      <c r="B1719" s="2" t="str">
        <f ca="1">IFERROR(__xludf.DUMMYFUNCTION("""COMPUTED_VALUE"""),"J3 Mall")</f>
        <v>J3 Mall</v>
      </c>
      <c r="C1719" s="2" t="str">
        <f ca="1">IFERROR(__xludf.DUMMYFUNCTION("""COMPUTED_VALUE"""),"Building")</f>
        <v>Building</v>
      </c>
      <c r="D1719" s="2" t="str">
        <f ca="1">IFERROR(__xludf.DUMMYFUNCTION("""COMPUTED_VALUE"""),"Dubai&gt;Al Manara&gt;J3 Mall")</f>
        <v>Dubai&gt;Al Manara&gt;J3 Mall</v>
      </c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</row>
    <row r="1720" spans="1:26" ht="16.5" x14ac:dyDescent="0.35">
      <c r="A1720" s="2" t="str">
        <f ca="1">IFERROR(__xludf.DUMMYFUNCTION("""COMPUTED_VALUE"""),"Dubai")</f>
        <v>Dubai</v>
      </c>
      <c r="B1720" s="2" t="str">
        <f ca="1">IFERROR(__xludf.DUMMYFUNCTION("""COMPUTED_VALUE"""),"Shiba Towers Block E")</f>
        <v>Shiba Towers Block E</v>
      </c>
      <c r="C1720" s="2" t="str">
        <f ca="1">IFERROR(__xludf.DUMMYFUNCTION("""COMPUTED_VALUE"""),"Building")</f>
        <v>Building</v>
      </c>
      <c r="D1720" s="2" t="str">
        <f ca="1">IFERROR(__xludf.DUMMYFUNCTION("""COMPUTED_VALUE"""),"Dubai&gt;Academic City&gt;Al Shiba Complex&gt;Shiba Towers Block E")</f>
        <v>Dubai&gt;Academic City&gt;Al Shiba Complex&gt;Shiba Towers Block E</v>
      </c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</row>
    <row r="1721" spans="1:26" ht="16.5" x14ac:dyDescent="0.35">
      <c r="A1721" s="2" t="str">
        <f ca="1">IFERROR(__xludf.DUMMYFUNCTION("""COMPUTED_VALUE"""),"Dubai")</f>
        <v>Dubai</v>
      </c>
      <c r="B1721" s="2" t="str">
        <f ca="1">IFERROR(__xludf.DUMMYFUNCTION("""COMPUTED_VALUE"""),"Building 9")</f>
        <v>Building 9</v>
      </c>
      <c r="C1721" s="2" t="str">
        <f ca="1">IFERROR(__xludf.DUMMYFUNCTION("""COMPUTED_VALUE"""),"Building")</f>
        <v>Building</v>
      </c>
      <c r="D1721" s="2" t="str">
        <f ca="1">IFERROR(__xludf.DUMMYFUNCTION("""COMPUTED_VALUE"""),"Dubai&gt;Dubai Design District&gt;Building 9")</f>
        <v>Dubai&gt;Dubai Design District&gt;Building 9</v>
      </c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</row>
    <row r="1722" spans="1:26" ht="16.5" x14ac:dyDescent="0.35">
      <c r="A1722" s="2" t="str">
        <f ca="1">IFERROR(__xludf.DUMMYFUNCTION("""COMPUTED_VALUE"""),"Dubai")</f>
        <v>Dubai</v>
      </c>
      <c r="B1722" s="2" t="str">
        <f ca="1">IFERROR(__xludf.DUMMYFUNCTION("""COMPUTED_VALUE"""),"H1 Building")</f>
        <v>H1 Building</v>
      </c>
      <c r="C1722" s="2" t="str">
        <f ca="1">IFERROR(__xludf.DUMMYFUNCTION("""COMPUTED_VALUE"""),"Building")</f>
        <v>Building</v>
      </c>
      <c r="D1722" s="2" t="str">
        <f ca="1">IFERROR(__xludf.DUMMYFUNCTION("""COMPUTED_VALUE"""),"Dubai&gt;Al Hudaiba&gt;H1 Building")</f>
        <v>Dubai&gt;Al Hudaiba&gt;H1 Building</v>
      </c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</row>
    <row r="1723" spans="1:26" ht="16.5" x14ac:dyDescent="0.35">
      <c r="A1723" s="2" t="str">
        <f ca="1">IFERROR(__xludf.DUMMYFUNCTION("""COMPUTED_VALUE"""),"Dubai")</f>
        <v>Dubai</v>
      </c>
      <c r="B1723" s="2" t="str">
        <f ca="1">IFERROR(__xludf.DUMMYFUNCTION("""COMPUTED_VALUE"""),"The Court")</f>
        <v>The Court</v>
      </c>
      <c r="C1723" s="2" t="str">
        <f ca="1">IFERROR(__xludf.DUMMYFUNCTION("""COMPUTED_VALUE"""),"Building")</f>
        <v>Building</v>
      </c>
      <c r="D1723" s="2" t="str">
        <f ca="1">IFERROR(__xludf.DUMMYFUNCTION("""COMPUTED_VALUE"""),"Dubai&gt;Jumeirah&gt;Jumeirah 1&gt;The Court")</f>
        <v>Dubai&gt;Jumeirah&gt;Jumeirah 1&gt;The Court</v>
      </c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</row>
    <row r="1724" spans="1:26" ht="16.5" x14ac:dyDescent="0.35">
      <c r="A1724" s="2" t="str">
        <f ca="1">IFERROR(__xludf.DUMMYFUNCTION("""COMPUTED_VALUE"""),"Dubai")</f>
        <v>Dubai</v>
      </c>
      <c r="B1724" s="2" t="str">
        <f ca="1">IFERROR(__xludf.DUMMYFUNCTION("""COMPUTED_VALUE"""),"Al Ghaith Compound")</f>
        <v>Al Ghaith Compound</v>
      </c>
      <c r="C1724" s="2" t="str">
        <f ca="1">IFERROR(__xludf.DUMMYFUNCTION("""COMPUTED_VALUE"""),"Neighbourhood")</f>
        <v>Neighbourhood</v>
      </c>
      <c r="D1724" s="2" t="str">
        <f ca="1">IFERROR(__xludf.DUMMYFUNCTION("""COMPUTED_VALUE"""),"Dubai&gt;Jumeirah&gt;Jumeirah 3&gt;Al Ghaith Compound")</f>
        <v>Dubai&gt;Jumeirah&gt;Jumeirah 3&gt;Al Ghaith Compound</v>
      </c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</row>
    <row r="1725" spans="1:26" ht="16.5" x14ac:dyDescent="0.35">
      <c r="A1725" s="2" t="str">
        <f ca="1">IFERROR(__xludf.DUMMYFUNCTION("""COMPUTED_VALUE"""),"Dubai")</f>
        <v>Dubai</v>
      </c>
      <c r="B1725" s="2" t="str">
        <f ca="1">IFERROR(__xludf.DUMMYFUNCTION("""COMPUTED_VALUE"""),"Peninsula Dubai Residences Tower A")</f>
        <v>Peninsula Dubai Residences Tower A</v>
      </c>
      <c r="C1725" s="2" t="str">
        <f ca="1">IFERROR(__xludf.DUMMYFUNCTION("""COMPUTED_VALUE"""),"Building")</f>
        <v>Building</v>
      </c>
      <c r="D1725" s="2" t="str">
        <f ca="1">IFERROR(__xludf.DUMMYFUNCTION("""COMPUTED_VALUE"""),"Dubai&gt;Jumeirah&gt;Jumeirah 2&gt;Peninsula Dubai Residences&gt;Peninsula Dubai Residences Tower A")</f>
        <v>Dubai&gt;Jumeirah&gt;Jumeirah 2&gt;Peninsula Dubai Residences&gt;Peninsula Dubai Residences Tower A</v>
      </c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</row>
    <row r="1726" spans="1:26" ht="16.5" x14ac:dyDescent="0.35">
      <c r="A1726" s="2" t="str">
        <f ca="1">IFERROR(__xludf.DUMMYFUNCTION("""COMPUTED_VALUE"""),"Dubai")</f>
        <v>Dubai</v>
      </c>
      <c r="B1726" s="2" t="str">
        <f ca="1">IFERROR(__xludf.DUMMYFUNCTION("""COMPUTED_VALUE"""),"Le Pont")</f>
        <v>Le Pont</v>
      </c>
      <c r="C1726" s="2" t="str">
        <f ca="1">IFERROR(__xludf.DUMMYFUNCTION("""COMPUTED_VALUE"""),"Cluster")</f>
        <v>Cluster</v>
      </c>
      <c r="D1726" s="2" t="str">
        <f ca="1">IFERROR(__xludf.DUMMYFUNCTION("""COMPUTED_VALUE"""),"Dubai&gt;Jumeirah&gt;La Mer&gt;Port de La Mer&gt;Le Pont")</f>
        <v>Dubai&gt;Jumeirah&gt;La Mer&gt;Port de La Mer&gt;Le Pont</v>
      </c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</row>
    <row r="1727" spans="1:26" ht="16.5" x14ac:dyDescent="0.35">
      <c r="A1727" s="2" t="str">
        <f ca="1">IFERROR(__xludf.DUMMYFUNCTION("""COMPUTED_VALUE"""),"Dubai")</f>
        <v>Dubai</v>
      </c>
      <c r="B1727" s="2" t="str">
        <f ca="1">IFERROR(__xludf.DUMMYFUNCTION("""COMPUTED_VALUE"""),"The Cove")</f>
        <v>The Cove</v>
      </c>
      <c r="C1727" s="2" t="str">
        <f ca="1">IFERROR(__xludf.DUMMYFUNCTION("""COMPUTED_VALUE"""),"Cluster")</f>
        <v>Cluster</v>
      </c>
      <c r="D1727" s="2" t="str">
        <f ca="1">IFERROR(__xludf.DUMMYFUNCTION("""COMPUTED_VALUE"""),"Dubai&gt;Dubai Creek Harbour&gt;The Cove")</f>
        <v>Dubai&gt;Dubai Creek Harbour&gt;The Cove</v>
      </c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</row>
    <row r="1728" spans="1:26" ht="16.5" x14ac:dyDescent="0.35">
      <c r="A1728" s="2" t="str">
        <f ca="1">IFERROR(__xludf.DUMMYFUNCTION("""COMPUTED_VALUE"""),"Dubai")</f>
        <v>Dubai</v>
      </c>
      <c r="B1728" s="2" t="str">
        <f ca="1">IFERROR(__xludf.DUMMYFUNCTION("""COMPUTED_VALUE"""),"Bayshore 2")</f>
        <v>Bayshore 2</v>
      </c>
      <c r="C1728" s="2" t="str">
        <f ca="1">IFERROR(__xludf.DUMMYFUNCTION("""COMPUTED_VALUE"""),"Building")</f>
        <v>Building</v>
      </c>
      <c r="D1728" s="2" t="str">
        <f ca="1">IFERROR(__xludf.DUMMYFUNCTION("""COMPUTED_VALUE"""),"Dubai&gt;Dubai Creek Harbour&gt;Bayshore at Creek Beach&gt;Bayshore 2")</f>
        <v>Dubai&gt;Dubai Creek Harbour&gt;Bayshore at Creek Beach&gt;Bayshore 2</v>
      </c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</row>
    <row r="1729" spans="1:26" ht="16.5" x14ac:dyDescent="0.35">
      <c r="A1729" s="2" t="str">
        <f ca="1">IFERROR(__xludf.DUMMYFUNCTION("""COMPUTED_VALUE"""),"Dubai")</f>
        <v>Dubai</v>
      </c>
      <c r="B1729" s="2" t="str">
        <f ca="1">IFERROR(__xludf.DUMMYFUNCTION("""COMPUTED_VALUE"""),"Orchid")</f>
        <v>Orchid</v>
      </c>
      <c r="C1729" s="2" t="str">
        <f ca="1">IFERROR(__xludf.DUMMYFUNCTION("""COMPUTED_VALUE"""),"Building")</f>
        <v>Building</v>
      </c>
      <c r="D1729" s="2" t="str">
        <f ca="1">IFERROR(__xludf.DUMMYFUNCTION("""COMPUTED_VALUE"""),"Dubai&gt;Dubai Creek Harbour&gt;Orchid")</f>
        <v>Dubai&gt;Dubai Creek Harbour&gt;Orchid</v>
      </c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</row>
    <row r="1730" spans="1:26" ht="16.5" x14ac:dyDescent="0.35">
      <c r="A1730" s="2" t="str">
        <f ca="1">IFERROR(__xludf.DUMMYFUNCTION("""COMPUTED_VALUE"""),"Dubai")</f>
        <v>Dubai</v>
      </c>
      <c r="B1730" s="2" t="str">
        <f ca="1">IFERROR(__xludf.DUMMYFUNCTION("""COMPUTED_VALUE"""),"Island Park")</f>
        <v>Island Park</v>
      </c>
      <c r="C1730" s="2" t="str">
        <f ca="1">IFERROR(__xludf.DUMMYFUNCTION("""COMPUTED_VALUE"""),"Cluster")</f>
        <v>Cluster</v>
      </c>
      <c r="D1730" s="2" t="str">
        <f ca="1">IFERROR(__xludf.DUMMYFUNCTION("""COMPUTED_VALUE"""),"Dubai&gt;Dubai Creek Harbour&gt;Island Park")</f>
        <v>Dubai&gt;Dubai Creek Harbour&gt;Island Park</v>
      </c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</row>
    <row r="1731" spans="1:26" ht="16.5" x14ac:dyDescent="0.35">
      <c r="A1731" s="2" t="str">
        <f ca="1">IFERROR(__xludf.DUMMYFUNCTION("""COMPUTED_VALUE"""),"Dubai")</f>
        <v>Dubai</v>
      </c>
      <c r="B1731" s="2" t="str">
        <f ca="1">IFERROR(__xludf.DUMMYFUNCTION("""COMPUTED_VALUE"""),"Lyvia by Palace")</f>
        <v>Lyvia by Palace</v>
      </c>
      <c r="C1731" s="2" t="str">
        <f ca="1">IFERROR(__xludf.DUMMYFUNCTION("""COMPUTED_VALUE"""),"Building")</f>
        <v>Building</v>
      </c>
      <c r="D1731" s="2" t="str">
        <f ca="1">IFERROR(__xludf.DUMMYFUNCTION("""COMPUTED_VALUE"""),"Dubai&gt;Dubai Creek Harbour&gt;Lyvia by Palace")</f>
        <v>Dubai&gt;Dubai Creek Harbour&gt;Lyvia by Palace</v>
      </c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</row>
    <row r="1732" spans="1:26" ht="16.5" x14ac:dyDescent="0.35">
      <c r="A1732" s="2" t="str">
        <f ca="1">IFERROR(__xludf.DUMMYFUNCTION("""COMPUTED_VALUE"""),"Dubai")</f>
        <v>Dubai</v>
      </c>
      <c r="B1732" s="2" t="str">
        <f ca="1">IFERROR(__xludf.DUMMYFUNCTION("""COMPUTED_VALUE"""),"Art Heights")</f>
        <v>Art Heights</v>
      </c>
      <c r="C1732" s="2" t="str">
        <f ca="1">IFERROR(__xludf.DUMMYFUNCTION("""COMPUTED_VALUE"""),"Building")</f>
        <v>Building</v>
      </c>
      <c r="D1732" s="2" t="str">
        <f ca="1">IFERROR(__xludf.DUMMYFUNCTION("""COMPUTED_VALUE"""),"Dubai&gt;Barsha Heights (Tecom)&gt;Art Heights")</f>
        <v>Dubai&gt;Barsha Heights (Tecom)&gt;Art Heights</v>
      </c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</row>
    <row r="1733" spans="1:26" ht="16.5" x14ac:dyDescent="0.35">
      <c r="A1733" s="2" t="str">
        <f ca="1">IFERROR(__xludf.DUMMYFUNCTION("""COMPUTED_VALUE"""),"Dubai")</f>
        <v>Dubai</v>
      </c>
      <c r="B1733" s="2" t="str">
        <f ca="1">IFERROR(__xludf.DUMMYFUNCTION("""COMPUTED_VALUE"""),"Capitol Tower")</f>
        <v>Capitol Tower</v>
      </c>
      <c r="C1733" s="2" t="str">
        <f ca="1">IFERROR(__xludf.DUMMYFUNCTION("""COMPUTED_VALUE"""),"Building")</f>
        <v>Building</v>
      </c>
      <c r="D1733" s="2" t="str">
        <f ca="1">IFERROR(__xludf.DUMMYFUNCTION("""COMPUTED_VALUE"""),"Dubai&gt;Barsha Heights (Tecom)&gt;Capitol Tower")</f>
        <v>Dubai&gt;Barsha Heights (Tecom)&gt;Capitol Tower</v>
      </c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</row>
    <row r="1734" spans="1:26" ht="16.5" x14ac:dyDescent="0.35">
      <c r="A1734" s="2" t="str">
        <f ca="1">IFERROR(__xludf.DUMMYFUNCTION("""COMPUTED_VALUE"""),"Dubai")</f>
        <v>Dubai</v>
      </c>
      <c r="B1734" s="2" t="str">
        <f ca="1">IFERROR(__xludf.DUMMYFUNCTION("""COMPUTED_VALUE"""),"MCN")</f>
        <v>MCN</v>
      </c>
      <c r="C1734" s="2" t="str">
        <f ca="1">IFERROR(__xludf.DUMMYFUNCTION("""COMPUTED_VALUE"""),"Building")</f>
        <v>Building</v>
      </c>
      <c r="D1734" s="2" t="str">
        <f ca="1">IFERROR(__xludf.DUMMYFUNCTION("""COMPUTED_VALUE"""),"Dubai&gt;Barsha Heights (Tecom)&gt;MCN")</f>
        <v>Dubai&gt;Barsha Heights (Tecom)&gt;MCN</v>
      </c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</row>
    <row r="1735" spans="1:26" ht="16.5" x14ac:dyDescent="0.35">
      <c r="A1735" s="2" t="str">
        <f ca="1">IFERROR(__xludf.DUMMYFUNCTION("""COMPUTED_VALUE"""),"Dubai")</f>
        <v>Dubai</v>
      </c>
      <c r="B1735" s="2" t="str">
        <f ca="1">IFERROR(__xludf.DUMMYFUNCTION("""COMPUTED_VALUE"""),"Vida Residence (The Hills)")</f>
        <v>Vida Residence (The Hills)</v>
      </c>
      <c r="C1735" s="2" t="str">
        <f ca="1">IFERROR(__xludf.DUMMYFUNCTION("""COMPUTED_VALUE"""),"Neighbourhood")</f>
        <v>Neighbourhood</v>
      </c>
      <c r="D1735" s="2" t="str">
        <f ca="1">IFERROR(__xludf.DUMMYFUNCTION("""COMPUTED_VALUE"""),"Dubai&gt;The Hills&gt;Vida Residence (The Hills)")</f>
        <v>Dubai&gt;The Hills&gt;Vida Residence (The Hills)</v>
      </c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</row>
    <row r="1736" spans="1:26" ht="16.5" x14ac:dyDescent="0.35">
      <c r="A1736" s="2" t="str">
        <f ca="1">IFERROR(__xludf.DUMMYFUNCTION("""COMPUTED_VALUE"""),"Dubai")</f>
        <v>Dubai</v>
      </c>
      <c r="B1736" s="2" t="str">
        <f ca="1">IFERROR(__xludf.DUMMYFUNCTION("""COMPUTED_VALUE"""),"Terraced Apartment 4C")</f>
        <v>Terraced Apartment 4C</v>
      </c>
      <c r="C1736" s="2" t="str">
        <f ca="1">IFERROR(__xludf.DUMMYFUNCTION("""COMPUTED_VALUE"""),"Building")</f>
        <v>Building</v>
      </c>
      <c r="D1736" s="2" t="str">
        <f ca="1">IFERROR(__xludf.DUMMYFUNCTION("""COMPUTED_VALUE"""),"Dubai&gt;Motor City&gt;Green Community (Motor City)&gt;Terraced Apartments&gt;Terraced Apartment 4C")</f>
        <v>Dubai&gt;Motor City&gt;Green Community (Motor City)&gt;Terraced Apartments&gt;Terraced Apartment 4C</v>
      </c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</row>
    <row r="1737" spans="1:26" ht="16.5" x14ac:dyDescent="0.35">
      <c r="A1737" s="2" t="str">
        <f ca="1">IFERROR(__xludf.DUMMYFUNCTION("""COMPUTED_VALUE"""),"Dubai")</f>
        <v>Dubai</v>
      </c>
      <c r="B1737" s="2" t="str">
        <f ca="1">IFERROR(__xludf.DUMMYFUNCTION("""COMPUTED_VALUE"""),"Shakespeare Circus")</f>
        <v>Shakespeare Circus</v>
      </c>
      <c r="C1737" s="2" t="str">
        <f ca="1">IFERROR(__xludf.DUMMYFUNCTION("""COMPUTED_VALUE"""),"Cluster")</f>
        <v>Cluster</v>
      </c>
      <c r="D1737" s="2" t="str">
        <f ca="1">IFERROR(__xludf.DUMMYFUNCTION("""COMPUTED_VALUE"""),"Dubai&gt;Motor City&gt;Uptown Motor City&gt;Shakespeare Circus")</f>
        <v>Dubai&gt;Motor City&gt;Uptown Motor City&gt;Shakespeare Circus</v>
      </c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</row>
    <row r="1738" spans="1:26" ht="16.5" x14ac:dyDescent="0.35">
      <c r="A1738" s="2" t="str">
        <f ca="1">IFERROR(__xludf.DUMMYFUNCTION("""COMPUTED_VALUE"""),"Dubai")</f>
        <v>Dubai</v>
      </c>
      <c r="B1738" s="2" t="str">
        <f ca="1">IFERROR(__xludf.DUMMYFUNCTION("""COMPUTED_VALUE"""),"New Bridge Hill")</f>
        <v>New Bridge Hill</v>
      </c>
      <c r="C1738" s="2" t="str">
        <f ca="1">IFERROR(__xludf.DUMMYFUNCTION("""COMPUTED_VALUE"""),"Cluster")</f>
        <v>Cluster</v>
      </c>
      <c r="D1738" s="2" t="str">
        <f ca="1">IFERROR(__xludf.DUMMYFUNCTION("""COMPUTED_VALUE"""),"Dubai&gt;Motor City&gt;Uptown Motor City&gt;New Bridge Hill")</f>
        <v>Dubai&gt;Motor City&gt;Uptown Motor City&gt;New Bridge Hill</v>
      </c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</row>
    <row r="1739" spans="1:26" ht="16.5" x14ac:dyDescent="0.35">
      <c r="A1739" s="2" t="str">
        <f ca="1">IFERROR(__xludf.DUMMYFUNCTION("""COMPUTED_VALUE"""),"Dubai")</f>
        <v>Dubai</v>
      </c>
      <c r="B1739" s="2" t="str">
        <f ca="1">IFERROR(__xludf.DUMMYFUNCTION("""COMPUTED_VALUE"""),"Sobha Solis Tower B")</f>
        <v>Sobha Solis Tower B</v>
      </c>
      <c r="C1739" s="2" t="str">
        <f ca="1">IFERROR(__xludf.DUMMYFUNCTION("""COMPUTED_VALUE"""),"Building")</f>
        <v>Building</v>
      </c>
      <c r="D1739" s="2" t="str">
        <f ca="1">IFERROR(__xludf.DUMMYFUNCTION("""COMPUTED_VALUE"""),"Dubai&gt;Motor City&gt;Sobha Solis&gt;Sobha Solis Tower B")</f>
        <v>Dubai&gt;Motor City&gt;Sobha Solis&gt;Sobha Solis Tower B</v>
      </c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</row>
    <row r="1740" spans="1:26" ht="16.5" x14ac:dyDescent="0.35">
      <c r="A1740" s="2" t="str">
        <f ca="1">IFERROR(__xludf.DUMMYFUNCTION("""COMPUTED_VALUE"""),"Dubai")</f>
        <v>Dubai</v>
      </c>
      <c r="B1740" s="2" t="str">
        <f ca="1">IFERROR(__xludf.DUMMYFUNCTION("""COMPUTED_VALUE"""),"Cloud 9")</f>
        <v>Cloud 9</v>
      </c>
      <c r="C1740" s="2" t="str">
        <f ca="1">IFERROR(__xludf.DUMMYFUNCTION("""COMPUTED_VALUE"""),"Building")</f>
        <v>Building</v>
      </c>
      <c r="D1740" s="2" t="str">
        <f ca="1">IFERROR(__xludf.DUMMYFUNCTION("""COMPUTED_VALUE"""),"Dubai&gt;Al Sufouh&gt;Al Sufouh 1&gt;Acacia Avenues&gt;Cloud 9")</f>
        <v>Dubai&gt;Al Sufouh&gt;Al Sufouh 1&gt;Acacia Avenues&gt;Cloud 9</v>
      </c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</row>
    <row r="1741" spans="1:26" ht="16.5" x14ac:dyDescent="0.35">
      <c r="A1741" s="2" t="str">
        <f ca="1">IFERROR(__xludf.DUMMYFUNCTION("""COMPUTED_VALUE"""),"Dubai")</f>
        <v>Dubai</v>
      </c>
      <c r="B1741" s="2" t="str">
        <f ca="1">IFERROR(__xludf.DUMMYFUNCTION("""COMPUTED_VALUE"""),"Boutique Office 15")</f>
        <v>Boutique Office 15</v>
      </c>
      <c r="C1741" s="2" t="str">
        <f ca="1">IFERROR(__xludf.DUMMYFUNCTION("""COMPUTED_VALUE"""),"Building")</f>
        <v>Building</v>
      </c>
      <c r="D1741" s="2" t="str">
        <f ca="1">IFERROR(__xludf.DUMMYFUNCTION("""COMPUTED_VALUE"""),"Dubai&gt;Al Sufouh&gt;Al Sufouh 2&gt;Boutique Offices&gt;Boutique Office 15")</f>
        <v>Dubai&gt;Al Sufouh&gt;Al Sufouh 2&gt;Boutique Offices&gt;Boutique Office 15</v>
      </c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</row>
    <row r="1742" spans="1:26" ht="16.5" x14ac:dyDescent="0.35">
      <c r="A1742" s="2" t="str">
        <f ca="1">IFERROR(__xludf.DUMMYFUNCTION("""COMPUTED_VALUE"""),"Dubai")</f>
        <v>Dubai</v>
      </c>
      <c r="B1742" s="2" t="str">
        <f ca="1">IFERROR(__xludf.DUMMYFUNCTION("""COMPUTED_VALUE"""),"Al Badia Building 1")</f>
        <v>Al Badia Building 1</v>
      </c>
      <c r="C1742" s="2" t="str">
        <f ca="1">IFERROR(__xludf.DUMMYFUNCTION("""COMPUTED_VALUE"""),"Building")</f>
        <v>Building</v>
      </c>
      <c r="D1742" s="2" t="str">
        <f ca="1">IFERROR(__xludf.DUMMYFUNCTION("""COMPUTED_VALUE"""),"Dubai&gt;Dubai Festival City&gt;Al Badia Buildings&gt;Al Badia Building 1")</f>
        <v>Dubai&gt;Dubai Festival City&gt;Al Badia Buildings&gt;Al Badia Building 1</v>
      </c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</row>
    <row r="1743" spans="1:26" ht="16.5" x14ac:dyDescent="0.35">
      <c r="A1743" s="2" t="str">
        <f ca="1">IFERROR(__xludf.DUMMYFUNCTION("""COMPUTED_VALUE"""),"Dubai")</f>
        <v>Dubai</v>
      </c>
      <c r="B1743" s="2" t="str">
        <f ca="1">IFERROR(__xludf.DUMMYFUNCTION("""COMPUTED_VALUE"""),"The Turf")</f>
        <v>The Turf</v>
      </c>
      <c r="C1743" s="2" t="str">
        <f ca="1">IFERROR(__xludf.DUMMYFUNCTION("""COMPUTED_VALUE"""),"Neighbourhood")</f>
        <v>Neighbourhood</v>
      </c>
      <c r="D1743" s="2" t="str">
        <f ca="1">IFERROR(__xludf.DUMMYFUNCTION("""COMPUTED_VALUE"""),"Dubai&gt;DAMAC Hills&gt;The Turf")</f>
        <v>Dubai&gt;DAMAC Hills&gt;The Turf</v>
      </c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</row>
    <row r="1744" spans="1:26" ht="16.5" x14ac:dyDescent="0.35">
      <c r="A1744" s="2" t="str">
        <f ca="1">IFERROR(__xludf.DUMMYFUNCTION("""COMPUTED_VALUE"""),"Dubai")</f>
        <v>Dubai</v>
      </c>
      <c r="B1744" s="2" t="str">
        <f ca="1">IFERROR(__xludf.DUMMYFUNCTION("""COMPUTED_VALUE"""),"Golf Terrace A")</f>
        <v>Golf Terrace A</v>
      </c>
      <c r="C1744" s="2" t="str">
        <f ca="1">IFERROR(__xludf.DUMMYFUNCTION("""COMPUTED_VALUE"""),"Building")</f>
        <v>Building</v>
      </c>
      <c r="D1744" s="2" t="str">
        <f ca="1">IFERROR(__xludf.DUMMYFUNCTION("""COMPUTED_VALUE"""),"Dubai&gt;DAMAC Hills&gt;Golf Town&gt;Golf Terrace&gt;Golf Terrace A")</f>
        <v>Dubai&gt;DAMAC Hills&gt;Golf Town&gt;Golf Terrace&gt;Golf Terrace A</v>
      </c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</row>
    <row r="1745" spans="1:26" ht="16.5" x14ac:dyDescent="0.35">
      <c r="A1745" s="2" t="str">
        <f ca="1">IFERROR(__xludf.DUMMYFUNCTION("""COMPUTED_VALUE"""),"Dubai")</f>
        <v>Dubai</v>
      </c>
      <c r="B1745" s="2" t="str">
        <f ca="1">IFERROR(__xludf.DUMMYFUNCTION("""COMPUTED_VALUE"""),"Orchid")</f>
        <v>Orchid</v>
      </c>
      <c r="C1745" s="2" t="str">
        <f ca="1">IFERROR(__xludf.DUMMYFUNCTION("""COMPUTED_VALUE"""),"Cluster")</f>
        <v>Cluster</v>
      </c>
      <c r="D1745" s="2" t="str">
        <f ca="1">IFERROR(__xludf.DUMMYFUNCTION("""COMPUTED_VALUE"""),"Dubai&gt;DAMAC Hills&gt;Orchid")</f>
        <v>Dubai&gt;DAMAC Hills&gt;Orchid</v>
      </c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</row>
    <row r="1746" spans="1:26" ht="16.5" x14ac:dyDescent="0.35">
      <c r="A1746" s="2" t="str">
        <f ca="1">IFERROR(__xludf.DUMMYFUNCTION("""COMPUTED_VALUE"""),"Dubai")</f>
        <v>Dubai</v>
      </c>
      <c r="B1746" s="2" t="str">
        <f ca="1">IFERROR(__xludf.DUMMYFUNCTION("""COMPUTED_VALUE"""),"Melrose Estates")</f>
        <v>Melrose Estates</v>
      </c>
      <c r="C1746" s="2" t="str">
        <f ca="1">IFERROR(__xludf.DUMMYFUNCTION("""COMPUTED_VALUE"""),"Neighbourhood")</f>
        <v>Neighbourhood</v>
      </c>
      <c r="D1746" s="2" t="str">
        <f ca="1">IFERROR(__xludf.DUMMYFUNCTION("""COMPUTED_VALUE"""),"Dubai&gt;DAMAC Hills&gt;Melrose Estates")</f>
        <v>Dubai&gt;DAMAC Hills&gt;Melrose Estates</v>
      </c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</row>
    <row r="1747" spans="1:26" ht="16.5" x14ac:dyDescent="0.35">
      <c r="A1747" s="2" t="str">
        <f ca="1">IFERROR(__xludf.DUMMYFUNCTION("""COMPUTED_VALUE"""),"Dubai")</f>
        <v>Dubai</v>
      </c>
      <c r="B1747" s="2" t="str">
        <f ca="1">IFERROR(__xludf.DUMMYFUNCTION("""COMPUTED_VALUE"""),"Seven Pearls Block A")</f>
        <v>Seven Pearls Block A</v>
      </c>
      <c r="C1747" s="2" t="str">
        <f ca="1">IFERROR(__xludf.DUMMYFUNCTION("""COMPUTED_VALUE"""),"Building")</f>
        <v>Building</v>
      </c>
      <c r="D1747" s="2" t="str">
        <f ca="1">IFERROR(__xludf.DUMMYFUNCTION("""COMPUTED_VALUE"""),"Dubai&gt;Al Mina&gt;Seven Pearls&gt;Seven Pearls Block A")</f>
        <v>Dubai&gt;Al Mina&gt;Seven Pearls&gt;Seven Pearls Block A</v>
      </c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</row>
    <row r="1748" spans="1:26" ht="16.5" x14ac:dyDescent="0.35">
      <c r="A1748" s="2" t="str">
        <f ca="1">IFERROR(__xludf.DUMMYFUNCTION("""COMPUTED_VALUE"""),"Dubai")</f>
        <v>Dubai</v>
      </c>
      <c r="B1748" s="2" t="str">
        <f ca="1">IFERROR(__xludf.DUMMYFUNCTION("""COMPUTED_VALUE"""),"Riva Residence")</f>
        <v>Riva Residence</v>
      </c>
      <c r="C1748" s="2" t="str">
        <f ca="1">IFERROR(__xludf.DUMMYFUNCTION("""COMPUTED_VALUE"""),"Building")</f>
        <v>Building</v>
      </c>
      <c r="D1748" s="2" t="str">
        <f ca="1">IFERROR(__xludf.DUMMYFUNCTION("""COMPUTED_VALUE"""),"Dubai&gt;Dubai Maritime City&gt;Riva Residence")</f>
        <v>Dubai&gt;Dubai Maritime City&gt;Riva Residence</v>
      </c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</row>
    <row r="1749" spans="1:26" ht="16.5" x14ac:dyDescent="0.35">
      <c r="A1749" s="2" t="str">
        <f ca="1">IFERROR(__xludf.DUMMYFUNCTION("""COMPUTED_VALUE"""),"Dubai")</f>
        <v>Dubai</v>
      </c>
      <c r="B1749" s="2" t="str">
        <f ca="1">IFERROR(__xludf.DUMMYFUNCTION("""COMPUTED_VALUE"""),"Panorama")</f>
        <v>Panorama</v>
      </c>
      <c r="C1749" s="2" t="str">
        <f ca="1">IFERROR(__xludf.DUMMYFUNCTION("""COMPUTED_VALUE"""),"Cluster")</f>
        <v>Cluster</v>
      </c>
      <c r="D1749" s="2" t="str">
        <f ca="1">IFERROR(__xludf.DUMMYFUNCTION("""COMPUTED_VALUE"""),"Dubai&gt;The Views&gt;Panorama")</f>
        <v>Dubai&gt;The Views&gt;Panorama</v>
      </c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</row>
    <row r="1750" spans="1:26" ht="16.5" x14ac:dyDescent="0.35">
      <c r="A1750" s="2" t="str">
        <f ca="1">IFERROR(__xludf.DUMMYFUNCTION("""COMPUTED_VALUE"""),"Dubai")</f>
        <v>Dubai</v>
      </c>
      <c r="B1750" s="2" t="str">
        <f ca="1">IFERROR(__xludf.DUMMYFUNCTION("""COMPUTED_VALUE"""),"Turia Tower A")</f>
        <v>Turia Tower A</v>
      </c>
      <c r="C1750" s="2" t="str">
        <f ca="1">IFERROR(__xludf.DUMMYFUNCTION("""COMPUTED_VALUE"""),"Building")</f>
        <v>Building</v>
      </c>
      <c r="D1750" s="2" t="str">
        <f ca="1">IFERROR(__xludf.DUMMYFUNCTION("""COMPUTED_VALUE"""),"Dubai&gt;The Views&gt;Turia&gt;Turia Tower A")</f>
        <v>Dubai&gt;The Views&gt;Turia&gt;Turia Tower A</v>
      </c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</row>
    <row r="1751" spans="1:26" ht="16.5" x14ac:dyDescent="0.35">
      <c r="A1751" s="2" t="str">
        <f ca="1">IFERROR(__xludf.DUMMYFUNCTION("""COMPUTED_VALUE"""),"Dubai")</f>
        <v>Dubai</v>
      </c>
      <c r="B1751" s="2" t="str">
        <f ca="1">IFERROR(__xludf.DUMMYFUNCTION("""COMPUTED_VALUE"""),"Al Sayyah Building")</f>
        <v>Al Sayyah Building</v>
      </c>
      <c r="C1751" s="2" t="str">
        <f ca="1">IFERROR(__xludf.DUMMYFUNCTION("""COMPUTED_VALUE"""),"Building")</f>
        <v>Building</v>
      </c>
      <c r="D1751" s="2" t="str">
        <f ca="1">IFERROR(__xludf.DUMMYFUNCTION("""COMPUTED_VALUE"""),"Dubai&gt;Al Quoz&gt;Al Quoz Industrial Area&gt;Al Quoz Industrial Area 3&gt;Al Sayyah Building")</f>
        <v>Dubai&gt;Al Quoz&gt;Al Quoz Industrial Area&gt;Al Quoz Industrial Area 3&gt;Al Sayyah Building</v>
      </c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</row>
    <row r="1752" spans="1:26" ht="16.5" x14ac:dyDescent="0.35">
      <c r="A1752" s="2" t="str">
        <f ca="1">IFERROR(__xludf.DUMMYFUNCTION("""COMPUTED_VALUE"""),"Dubai")</f>
        <v>Dubai</v>
      </c>
      <c r="B1752" s="2" t="str">
        <f ca="1">IFERROR(__xludf.DUMMYFUNCTION("""COMPUTED_VALUE"""),"Wasl Crystal")</f>
        <v>Wasl Crystal</v>
      </c>
      <c r="C1752" s="2" t="str">
        <f ca="1">IFERROR(__xludf.DUMMYFUNCTION("""COMPUTED_VALUE"""),"Cluster")</f>
        <v>Cluster</v>
      </c>
      <c r="D1752" s="2" t="str">
        <f ca="1">IFERROR(__xludf.DUMMYFUNCTION("""COMPUTED_VALUE"""),"Dubai&gt;Al Quoz&gt;Al Quoz 4&gt;Wasl Crystal")</f>
        <v>Dubai&gt;Al Quoz&gt;Al Quoz 4&gt;Wasl Crystal</v>
      </c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</row>
    <row r="1753" spans="1:26" ht="16.5" x14ac:dyDescent="0.35">
      <c r="A1753" s="2" t="str">
        <f ca="1">IFERROR(__xludf.DUMMYFUNCTION("""COMPUTED_VALUE"""),"Dubai")</f>
        <v>Dubai</v>
      </c>
      <c r="B1753" s="2" t="str">
        <f ca="1">IFERROR(__xludf.DUMMYFUNCTION("""COMPUTED_VALUE"""),"Orange Seeds Nursery Dubai")</f>
        <v>Orange Seeds Nursery Dubai</v>
      </c>
      <c r="C1753" s="2" t="str">
        <f ca="1">IFERROR(__xludf.DUMMYFUNCTION("""COMPUTED_VALUE"""),"Nursery")</f>
        <v>Nursery</v>
      </c>
      <c r="D1753" s="2" t="str">
        <f ca="1">IFERROR(__xludf.DUMMYFUNCTION("""COMPUTED_VALUE"""),"Dubai&gt;Dubai Silicon Oasis (DSO)&gt;Orange Seeds Nursery Dubai")</f>
        <v>Dubai&gt;Dubai Silicon Oasis (DSO)&gt;Orange Seeds Nursery Dubai</v>
      </c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</row>
    <row r="1754" spans="1:26" ht="16.5" x14ac:dyDescent="0.35">
      <c r="A1754" s="2" t="str">
        <f ca="1">IFERROR(__xludf.DUMMYFUNCTION("""COMPUTED_VALUE"""),"Dubai")</f>
        <v>Dubai</v>
      </c>
      <c r="B1754" s="2" t="str">
        <f ca="1">IFERROR(__xludf.DUMMYFUNCTION("""COMPUTED_VALUE"""),"Art X Tower")</f>
        <v>Art X Tower</v>
      </c>
      <c r="C1754" s="2" t="str">
        <f ca="1">IFERROR(__xludf.DUMMYFUNCTION("""COMPUTED_VALUE"""),"Building")</f>
        <v>Building</v>
      </c>
      <c r="D1754" s="2" t="str">
        <f ca="1">IFERROR(__xludf.DUMMYFUNCTION("""COMPUTED_VALUE"""),"Dubai&gt;Dubai Silicon Oasis (DSO)&gt;Art X Tower")</f>
        <v>Dubai&gt;Dubai Silicon Oasis (DSO)&gt;Art X Tower</v>
      </c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</row>
    <row r="1755" spans="1:26" ht="16.5" x14ac:dyDescent="0.35">
      <c r="A1755" s="2" t="str">
        <f ca="1">IFERROR(__xludf.DUMMYFUNCTION("""COMPUTED_VALUE"""),"Dubai")</f>
        <v>Dubai</v>
      </c>
      <c r="B1755" s="2" t="str">
        <f ca="1">IFERROR(__xludf.DUMMYFUNCTION("""COMPUTED_VALUE"""),"Al Manal Residence 2")</f>
        <v>Al Manal Residence 2</v>
      </c>
      <c r="C1755" s="2" t="str">
        <f ca="1">IFERROR(__xludf.DUMMYFUNCTION("""COMPUTED_VALUE"""),"Building")</f>
        <v>Building</v>
      </c>
      <c r="D1755" s="2" t="str">
        <f ca="1">IFERROR(__xludf.DUMMYFUNCTION("""COMPUTED_VALUE"""),"Dubai&gt;Dubai Silicon Oasis (DSO)&gt;Al Manal Residence&gt;Al Manal Residence 2")</f>
        <v>Dubai&gt;Dubai Silicon Oasis (DSO)&gt;Al Manal Residence&gt;Al Manal Residence 2</v>
      </c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</row>
    <row r="1756" spans="1:26" ht="16.5" x14ac:dyDescent="0.35">
      <c r="A1756" s="2" t="str">
        <f ca="1">IFERROR(__xludf.DUMMYFUNCTION("""COMPUTED_VALUE"""),"Dubai")</f>
        <v>Dubai</v>
      </c>
      <c r="B1756" s="2" t="str">
        <f ca="1">IFERROR(__xludf.DUMMYFUNCTION("""COMPUTED_VALUE"""),"Nibras Oasis 1")</f>
        <v>Nibras Oasis 1</v>
      </c>
      <c r="C1756" s="2" t="str">
        <f ca="1">IFERROR(__xludf.DUMMYFUNCTION("""COMPUTED_VALUE"""),"Building")</f>
        <v>Building</v>
      </c>
      <c r="D1756" s="2" t="str">
        <f ca="1">IFERROR(__xludf.DUMMYFUNCTION("""COMPUTED_VALUE"""),"Dubai&gt;Dubai Silicon Oasis (DSO)&gt;Nibras Oasis 1")</f>
        <v>Dubai&gt;Dubai Silicon Oasis (DSO)&gt;Nibras Oasis 1</v>
      </c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</row>
    <row r="1757" spans="1:26" ht="16.5" x14ac:dyDescent="0.35">
      <c r="A1757" s="2" t="str">
        <f ca="1">IFERROR(__xludf.DUMMYFUNCTION("""COMPUTED_VALUE"""),"Dubai")</f>
        <v>Dubai</v>
      </c>
      <c r="B1757" s="2" t="str">
        <f ca="1">IFERROR(__xludf.DUMMYFUNCTION("""COMPUTED_VALUE"""),"Suntech Tower")</f>
        <v>Suntech Tower</v>
      </c>
      <c r="C1757" s="2" t="str">
        <f ca="1">IFERROR(__xludf.DUMMYFUNCTION("""COMPUTED_VALUE"""),"Building")</f>
        <v>Building</v>
      </c>
      <c r="D1757" s="2" t="str">
        <f ca="1">IFERROR(__xludf.DUMMYFUNCTION("""COMPUTED_VALUE"""),"Dubai&gt;Dubai Silicon Oasis (DSO)&gt;Suntech Tower")</f>
        <v>Dubai&gt;Dubai Silicon Oasis (DSO)&gt;Suntech Tower</v>
      </c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</row>
    <row r="1758" spans="1:26" ht="16.5" x14ac:dyDescent="0.35">
      <c r="A1758" s="2" t="str">
        <f ca="1">IFERROR(__xludf.DUMMYFUNCTION("""COMPUTED_VALUE"""),"Dubai")</f>
        <v>Dubai</v>
      </c>
      <c r="B1758" s="2" t="str">
        <f ca="1">IFERROR(__xludf.DUMMYFUNCTION("""COMPUTED_VALUE"""),"Axis Residences One 2")</f>
        <v>Axis Residences One 2</v>
      </c>
      <c r="C1758" s="2" t="str">
        <f ca="1">IFERROR(__xludf.DUMMYFUNCTION("""COMPUTED_VALUE"""),"Building")</f>
        <v>Building</v>
      </c>
      <c r="D1758" s="2" t="str">
        <f ca="1">IFERROR(__xludf.DUMMYFUNCTION("""COMPUTED_VALUE"""),"Dubai&gt;Dubai Silicon Oasis (DSO)&gt;Axis Residences&gt;Axis Residences One 2")</f>
        <v>Dubai&gt;Dubai Silicon Oasis (DSO)&gt;Axis Residences&gt;Axis Residences One 2</v>
      </c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</row>
    <row r="1759" spans="1:26" ht="16.5" x14ac:dyDescent="0.35">
      <c r="A1759" s="2" t="str">
        <f ca="1">IFERROR(__xludf.DUMMYFUNCTION("""COMPUTED_VALUE"""),"Dubai")</f>
        <v>Dubai</v>
      </c>
      <c r="B1759" s="2" t="str">
        <f ca="1">IFERROR(__xludf.DUMMYFUNCTION("""COMPUTED_VALUE"""),"Al Manal Pearl")</f>
        <v>Al Manal Pearl</v>
      </c>
      <c r="C1759" s="2" t="str">
        <f ca="1">IFERROR(__xludf.DUMMYFUNCTION("""COMPUTED_VALUE"""),"Building")</f>
        <v>Building</v>
      </c>
      <c r="D1759" s="2" t="str">
        <f ca="1">IFERROR(__xludf.DUMMYFUNCTION("""COMPUTED_VALUE"""),"Dubai&gt;Dubai Silicon Oasis (DSO)&gt;Al Manal Pearl")</f>
        <v>Dubai&gt;Dubai Silicon Oasis (DSO)&gt;Al Manal Pearl</v>
      </c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</row>
    <row r="1760" spans="1:26" ht="16.5" x14ac:dyDescent="0.35">
      <c r="A1760" s="2" t="str">
        <f ca="1">IFERROR(__xludf.DUMMYFUNCTION("""COMPUTED_VALUE"""),"Dubai")</f>
        <v>Dubai</v>
      </c>
      <c r="B1760" s="2" t="str">
        <f ca="1">IFERROR(__xludf.DUMMYFUNCTION("""COMPUTED_VALUE"""),"Ashjar G1")</f>
        <v>Ashjar G1</v>
      </c>
      <c r="C1760" s="2" t="str">
        <f ca="1">IFERROR(__xludf.DUMMYFUNCTION("""COMPUTED_VALUE"""),"Building")</f>
        <v>Building</v>
      </c>
      <c r="D1760" s="2" t="str">
        <f ca="1">IFERROR(__xludf.DUMMYFUNCTION("""COMPUTED_VALUE"""),"Dubai&gt;Al Barari&gt;Ashjar&gt;Ashjar G1")</f>
        <v>Dubai&gt;Al Barari&gt;Ashjar&gt;Ashjar G1</v>
      </c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</row>
    <row r="1761" spans="1:26" ht="16.5" x14ac:dyDescent="0.35">
      <c r="A1761" s="2" t="str">
        <f ca="1">IFERROR(__xludf.DUMMYFUNCTION("""COMPUTED_VALUE"""),"Dubai")</f>
        <v>Dubai</v>
      </c>
      <c r="B1761" s="2" t="str">
        <f ca="1">IFERROR(__xludf.DUMMYFUNCTION("""COMPUTED_VALUE"""),"Jasmine Leaf 10")</f>
        <v>Jasmine Leaf 10</v>
      </c>
      <c r="C1761" s="2" t="str">
        <f ca="1">IFERROR(__xludf.DUMMYFUNCTION("""COMPUTED_VALUE"""),"Neighbourhood")</f>
        <v>Neighbourhood</v>
      </c>
      <c r="D1761" s="2" t="str">
        <f ca="1">IFERROR(__xludf.DUMMYFUNCTION("""COMPUTED_VALUE"""),"Dubai&gt;Al Barari&gt;The Residences&gt;Jasmine Leaf&gt;Jasmine Leaf 10")</f>
        <v>Dubai&gt;Al Barari&gt;The Residences&gt;Jasmine Leaf&gt;Jasmine Leaf 10</v>
      </c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</row>
    <row r="1762" spans="1:26" ht="16.5" x14ac:dyDescent="0.35">
      <c r="A1762" s="2" t="str">
        <f ca="1">IFERROR(__xludf.DUMMYFUNCTION("""COMPUTED_VALUE"""),"Dubai")</f>
        <v>Dubai</v>
      </c>
      <c r="B1762" s="2" t="str">
        <f ca="1">IFERROR(__xludf.DUMMYFUNCTION("""COMPUTED_VALUE"""),"Senses at the Fields")</f>
        <v>Senses at the Fields</v>
      </c>
      <c r="C1762" s="2" t="str">
        <f ca="1">IFERROR(__xludf.DUMMYFUNCTION("""COMPUTED_VALUE"""),"Neighbourhood")</f>
        <v>Neighbourhood</v>
      </c>
      <c r="D1762" s="2" t="str">
        <f ca="1">IFERROR(__xludf.DUMMYFUNCTION("""COMPUTED_VALUE"""),"Dubai&gt;Mohammed Bin Rashid City&gt;District 11&gt;The Fields&gt;Senses at the Fields")</f>
        <v>Dubai&gt;Mohammed Bin Rashid City&gt;District 11&gt;The Fields&gt;Senses at the Fields</v>
      </c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</row>
    <row r="1763" spans="1:26" ht="16.5" x14ac:dyDescent="0.35">
      <c r="A1763" s="2" t="str">
        <f ca="1">IFERROR(__xludf.DUMMYFUNCTION("""COMPUTED_VALUE"""),"Dubai")</f>
        <v>Dubai</v>
      </c>
      <c r="B1763" s="2" t="str">
        <f ca="1">IFERROR(__xludf.DUMMYFUNCTION("""COMPUTED_VALUE"""),"Gate Eleven Building 2")</f>
        <v>Gate Eleven Building 2</v>
      </c>
      <c r="C1763" s="2" t="str">
        <f ca="1">IFERROR(__xludf.DUMMYFUNCTION("""COMPUTED_VALUE"""),"Building")</f>
        <v>Building</v>
      </c>
      <c r="D1763" s="2" t="str">
        <f ca="1">IFERROR(__xludf.DUMMYFUNCTION("""COMPUTED_VALUE"""),"Dubai&gt;Mohammed Bin Rashid City&gt;District 11&gt;Gate Eleven Residences&gt;Gate Eleven Building 2")</f>
        <v>Dubai&gt;Mohammed Bin Rashid City&gt;District 11&gt;Gate Eleven Residences&gt;Gate Eleven Building 2</v>
      </c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</row>
    <row r="1764" spans="1:26" ht="16.5" x14ac:dyDescent="0.35">
      <c r="A1764" s="2" t="str">
        <f ca="1">IFERROR(__xludf.DUMMYFUNCTION("""COMPUTED_VALUE"""),"Dubai")</f>
        <v>Dubai</v>
      </c>
      <c r="B1764" s="2" t="str">
        <f ca="1">IFERROR(__xludf.DUMMYFUNCTION("""COMPUTED_VALUE"""),"Residences 30")</f>
        <v>Residences 30</v>
      </c>
      <c r="C1764" s="2" t="str">
        <f ca="1">IFERROR(__xludf.DUMMYFUNCTION("""COMPUTED_VALUE"""),"Building")</f>
        <v>Building</v>
      </c>
      <c r="D1764" s="2" t="str">
        <f ca="1">IFERROR(__xludf.DUMMYFUNCTION("""COMPUTED_VALUE"""),"Dubai&gt;Mohammed Bin Rashid City&gt;District One&gt;The Residences at District One&gt;Residences 30")</f>
        <v>Dubai&gt;Mohammed Bin Rashid City&gt;District One&gt;The Residences at District One&gt;Residences 30</v>
      </c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</row>
    <row r="1765" spans="1:26" ht="16.5" x14ac:dyDescent="0.35">
      <c r="A1765" s="2" t="str">
        <f ca="1">IFERROR(__xludf.DUMMYFUNCTION("""COMPUTED_VALUE"""),"Dubai")</f>
        <v>Dubai</v>
      </c>
      <c r="B1765" s="2" t="str">
        <f ca="1">IFERROR(__xludf.DUMMYFUNCTION("""COMPUTED_VALUE"""),"The Pulse Residence")</f>
        <v>The Pulse Residence</v>
      </c>
      <c r="C1765" s="2" t="str">
        <f ca="1">IFERROR(__xludf.DUMMYFUNCTION("""COMPUTED_VALUE"""),"Cluster")</f>
        <v>Cluster</v>
      </c>
      <c r="D1765" s="2" t="str">
        <f ca="1">IFERROR(__xludf.DUMMYFUNCTION("""COMPUTED_VALUE"""),"Dubai&gt;Dubai South&gt;Residential District&gt;The Pulse&gt;The Pulse Residence")</f>
        <v>Dubai&gt;Dubai South&gt;Residential District&gt;The Pulse&gt;The Pulse Residence</v>
      </c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</row>
    <row r="1766" spans="1:26" ht="16.5" x14ac:dyDescent="0.35">
      <c r="A1766" s="2" t="str">
        <f ca="1">IFERROR(__xludf.DUMMYFUNCTION("""COMPUTED_VALUE"""),"Dubai")</f>
        <v>Dubai</v>
      </c>
      <c r="B1766" s="2" t="str">
        <f ca="1">IFERROR(__xludf.DUMMYFUNCTION("""COMPUTED_VALUE"""),"MAG 515")</f>
        <v>MAG 515</v>
      </c>
      <c r="C1766" s="2" t="str">
        <f ca="1">IFERROR(__xludf.DUMMYFUNCTION("""COMPUTED_VALUE"""),"Building")</f>
        <v>Building</v>
      </c>
      <c r="D1766" s="2" t="str">
        <f ca="1">IFERROR(__xludf.DUMMYFUNCTION("""COMPUTED_VALUE"""),"Dubai&gt;Dubai South&gt;Residential District&gt;MAG 5 Boulevard&gt;MAG 515")</f>
        <v>Dubai&gt;Dubai South&gt;Residential District&gt;MAG 5 Boulevard&gt;MAG 515</v>
      </c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</row>
    <row r="1767" spans="1:26" ht="16.5" x14ac:dyDescent="0.35">
      <c r="A1767" s="2" t="str">
        <f ca="1">IFERROR(__xludf.DUMMYFUNCTION("""COMPUTED_VALUE"""),"Dubai")</f>
        <v>Dubai</v>
      </c>
      <c r="B1767" s="2" t="str">
        <f ca="1">IFERROR(__xludf.DUMMYFUNCTION("""COMPUTED_VALUE"""),"Sonneratia")</f>
        <v>Sonneratia</v>
      </c>
      <c r="C1767" s="2" t="str">
        <f ca="1">IFERROR(__xludf.DUMMYFUNCTION("""COMPUTED_VALUE"""),"Building")</f>
        <v>Building</v>
      </c>
      <c r="D1767" s="2" t="str">
        <f ca="1">IFERROR(__xludf.DUMMYFUNCTION("""COMPUTED_VALUE"""),"Dubai&gt;Dubai South&gt;Residential District&gt;Sonneratia")</f>
        <v>Dubai&gt;Dubai South&gt;Residential District&gt;Sonneratia</v>
      </c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</row>
    <row r="1768" spans="1:26" ht="16.5" x14ac:dyDescent="0.35">
      <c r="A1768" s="2" t="str">
        <f ca="1">IFERROR(__xludf.DUMMYFUNCTION("""COMPUTED_VALUE"""),"Dubai")</f>
        <v>Dubai</v>
      </c>
      <c r="B1768" s="2" t="str">
        <f ca="1">IFERROR(__xludf.DUMMYFUNCTION("""COMPUTED_VALUE"""),"Avenew 888")</f>
        <v>Avenew 888</v>
      </c>
      <c r="C1768" s="2" t="str">
        <f ca="1">IFERROR(__xludf.DUMMYFUNCTION("""COMPUTED_VALUE"""),"Cluster")</f>
        <v>Cluster</v>
      </c>
      <c r="D1768" s="2" t="str">
        <f ca="1">IFERROR(__xludf.DUMMYFUNCTION("""COMPUTED_VALUE"""),"Dubai&gt;Dubai South&gt;Residential District&gt;Avenew 888")</f>
        <v>Dubai&gt;Dubai South&gt;Residential District&gt;Avenew 888</v>
      </c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</row>
    <row r="1769" spans="1:26" ht="16.5" x14ac:dyDescent="0.35">
      <c r="A1769" s="2" t="str">
        <f ca="1">IFERROR(__xludf.DUMMYFUNCTION("""COMPUTED_VALUE"""),"Dubai")</f>
        <v>Dubai</v>
      </c>
      <c r="B1769" s="2" t="str">
        <f ca="1">IFERROR(__xludf.DUMMYFUNCTION("""COMPUTED_VALUE"""),"Urbana II")</f>
        <v>Urbana II</v>
      </c>
      <c r="C1769" s="2" t="str">
        <f ca="1">IFERROR(__xludf.DUMMYFUNCTION("""COMPUTED_VALUE"""),"Neighbourhood")</f>
        <v>Neighbourhood</v>
      </c>
      <c r="D1769" s="2" t="str">
        <f ca="1">IFERROR(__xludf.DUMMYFUNCTION("""COMPUTED_VALUE"""),"Dubai&gt;Dubai South&gt;Emaar South&gt;Urbana&gt;Urbana II")</f>
        <v>Dubai&gt;Dubai South&gt;Emaar South&gt;Urbana&gt;Urbana II</v>
      </c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</row>
    <row r="1770" spans="1:26" ht="16.5" x14ac:dyDescent="0.35">
      <c r="A1770" s="2" t="str">
        <f ca="1">IFERROR(__xludf.DUMMYFUNCTION("""COMPUTED_VALUE"""),"Dubai")</f>
        <v>Dubai</v>
      </c>
      <c r="B1770" s="2" t="str">
        <f ca="1">IFERROR(__xludf.DUMMYFUNCTION("""COMPUTED_VALUE"""),"Grove Ridge")</f>
        <v>Grove Ridge</v>
      </c>
      <c r="C1770" s="2" t="str">
        <f ca="1">IFERROR(__xludf.DUMMYFUNCTION("""COMPUTED_VALUE"""),"Building")</f>
        <v>Building</v>
      </c>
      <c r="D1770" s="2" t="str">
        <f ca="1">IFERROR(__xludf.DUMMYFUNCTION("""COMPUTED_VALUE"""),"Dubai&gt;Dubai South&gt;Emaar South&gt;Grove Ridge")</f>
        <v>Dubai&gt;Dubai South&gt;Emaar South&gt;Grove Ridge</v>
      </c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</row>
    <row r="1771" spans="1:26" ht="16.5" x14ac:dyDescent="0.35">
      <c r="A1771" s="2" t="str">
        <f ca="1">IFERROR(__xludf.DUMMYFUNCTION("""COMPUTED_VALUE"""),"Dubai")</f>
        <v>Dubai</v>
      </c>
      <c r="B1771" s="2" t="str">
        <f ca="1">IFERROR(__xludf.DUMMYFUNCTION("""COMPUTED_VALUE"""),"Azizi Venice")</f>
        <v>Azizi Venice</v>
      </c>
      <c r="C1771" s="2" t="str">
        <f ca="1">IFERROR(__xludf.DUMMYFUNCTION("""COMPUTED_VALUE"""),"Neighbourhood")</f>
        <v>Neighbourhood</v>
      </c>
      <c r="D1771" s="2" t="str">
        <f ca="1">IFERROR(__xludf.DUMMYFUNCTION("""COMPUTED_VALUE"""),"Dubai&gt;Dubai South&gt;Azizi Venice")</f>
        <v>Dubai&gt;Dubai South&gt;Azizi Venice</v>
      </c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</row>
    <row r="1772" spans="1:26" ht="16.5" x14ac:dyDescent="0.35">
      <c r="A1772" s="2" t="str">
        <f ca="1">IFERROR(__xludf.DUMMYFUNCTION("""COMPUTED_VALUE"""),"Dubai")</f>
        <v>Dubai</v>
      </c>
      <c r="B1772" s="2" t="str">
        <f ca="1">IFERROR(__xludf.DUMMYFUNCTION("""COMPUTED_VALUE"""),"Azizi Venice 14 Building C")</f>
        <v>Azizi Venice 14 Building C</v>
      </c>
      <c r="C1772" s="2" t="str">
        <f ca="1">IFERROR(__xludf.DUMMYFUNCTION("""COMPUTED_VALUE"""),"Building")</f>
        <v>Building</v>
      </c>
      <c r="D1772" s="2" t="str">
        <f ca="1">IFERROR(__xludf.DUMMYFUNCTION("""COMPUTED_VALUE"""),"Dubai&gt;Dubai South&gt;Azizi Venice&gt;Azizi Venice 14&gt;Azizi Venice 14 Building C")</f>
        <v>Dubai&gt;Dubai South&gt;Azizi Venice&gt;Azizi Venice 14&gt;Azizi Venice 14 Building C</v>
      </c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</row>
    <row r="1773" spans="1:26" ht="16.5" x14ac:dyDescent="0.35">
      <c r="A1773" s="2" t="str">
        <f ca="1">IFERROR(__xludf.DUMMYFUNCTION("""COMPUTED_VALUE"""),"Dubai")</f>
        <v>Dubai</v>
      </c>
      <c r="B1773" s="2" t="str">
        <f ca="1">IFERROR(__xludf.DUMMYFUNCTION("""COMPUTED_VALUE"""),"Hayat 4")</f>
        <v>Hayat 4</v>
      </c>
      <c r="C1773" s="2" t="str">
        <f ca="1">IFERROR(__xludf.DUMMYFUNCTION("""COMPUTED_VALUE"""),"Neighbourhood")</f>
        <v>Neighbourhood</v>
      </c>
      <c r="D1773" s="2" t="str">
        <f ca="1">IFERROR(__xludf.DUMMYFUNCTION("""COMPUTED_VALUE"""),"Dubai&gt;Dubai South&gt;Hayat&gt;Hayat 4")</f>
        <v>Dubai&gt;Dubai South&gt;Hayat&gt;Hayat 4</v>
      </c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</row>
    <row r="1774" spans="1:26" ht="16.5" x14ac:dyDescent="0.35">
      <c r="A1774" s="2" t="str">
        <f ca="1">IFERROR(__xludf.DUMMYFUNCTION("""COMPUTED_VALUE"""),"Dubai")</f>
        <v>Dubai</v>
      </c>
      <c r="B1774" s="2" t="str">
        <f ca="1">IFERROR(__xludf.DUMMYFUNCTION("""COMPUTED_VALUE"""),"Net.com Building")</f>
        <v>Net.com Building</v>
      </c>
      <c r="C1774" s="2" t="str">
        <f ca="1">IFERROR(__xludf.DUMMYFUNCTION("""COMPUTED_VALUE"""),"Building")</f>
        <v>Building</v>
      </c>
      <c r="D1774" s="2" t="str">
        <f ca="1">IFERROR(__xludf.DUMMYFUNCTION("""COMPUTED_VALUE"""),"Dubai&gt;Bur Dubai&gt;Oud Metha&gt;Net.com Building")</f>
        <v>Dubai&gt;Bur Dubai&gt;Oud Metha&gt;Net.com Building</v>
      </c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</row>
    <row r="1775" spans="1:26" ht="16.5" x14ac:dyDescent="0.35">
      <c r="A1775" s="2" t="str">
        <f ca="1">IFERROR(__xludf.DUMMYFUNCTION("""COMPUTED_VALUE"""),"Dubai")</f>
        <v>Dubai</v>
      </c>
      <c r="B1775" s="2" t="str">
        <f ca="1">IFERROR(__xludf.DUMMYFUNCTION("""COMPUTED_VALUE"""),"Al Nasr Square Block B")</f>
        <v>Al Nasr Square Block B</v>
      </c>
      <c r="C1775" s="2" t="str">
        <f ca="1">IFERROR(__xludf.DUMMYFUNCTION("""COMPUTED_VALUE"""),"Building")</f>
        <v>Building</v>
      </c>
      <c r="D1775" s="2" t="str">
        <f ca="1">IFERROR(__xludf.DUMMYFUNCTION("""COMPUTED_VALUE"""),"Dubai&gt;Bur Dubai&gt;Oud Metha&gt;Al Nasr Square Buildings&gt;Al Nasr Square Block B")</f>
        <v>Dubai&gt;Bur Dubai&gt;Oud Metha&gt;Al Nasr Square Buildings&gt;Al Nasr Square Block B</v>
      </c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</row>
    <row r="1776" spans="1:26" ht="16.5" x14ac:dyDescent="0.35">
      <c r="A1776" s="2" t="str">
        <f ca="1">IFERROR(__xludf.DUMMYFUNCTION("""COMPUTED_VALUE"""),"Dubai")</f>
        <v>Dubai</v>
      </c>
      <c r="B1776" s="2" t="str">
        <f ca="1">IFERROR(__xludf.DUMMYFUNCTION("""COMPUTED_VALUE"""),"Art 2")</f>
        <v>Art 2</v>
      </c>
      <c r="C1776" s="2" t="str">
        <f ca="1">IFERROR(__xludf.DUMMYFUNCTION("""COMPUTED_VALUE"""),"Building")</f>
        <v>Building</v>
      </c>
      <c r="D1776" s="2" t="str">
        <f ca="1">IFERROR(__xludf.DUMMYFUNCTION("""COMPUTED_VALUE"""),"Dubai&gt;Bur Dubai&gt;Al Raffa&gt;Art 2")</f>
        <v>Dubai&gt;Bur Dubai&gt;Al Raffa&gt;Art 2</v>
      </c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</row>
    <row r="1777" spans="1:26" ht="16.5" x14ac:dyDescent="0.35">
      <c r="A1777" s="2" t="str">
        <f ca="1">IFERROR(__xludf.DUMMYFUNCTION("""COMPUTED_VALUE"""),"Dubai")</f>
        <v>Dubai</v>
      </c>
      <c r="B1777" s="2" t="str">
        <f ca="1">IFERROR(__xludf.DUMMYFUNCTION("""COMPUTED_VALUE"""),"Al Awazi 4")</f>
        <v>Al Awazi 4</v>
      </c>
      <c r="C1777" s="2" t="str">
        <f ca="1">IFERROR(__xludf.DUMMYFUNCTION("""COMPUTED_VALUE"""),"Building")</f>
        <v>Building</v>
      </c>
      <c r="D1777" s="2" t="str">
        <f ca="1">IFERROR(__xludf.DUMMYFUNCTION("""COMPUTED_VALUE"""),"Dubai&gt;Bur Dubai&gt;Al Raffa&gt;Al Awazi 4")</f>
        <v>Dubai&gt;Bur Dubai&gt;Al Raffa&gt;Al Awazi 4</v>
      </c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</row>
    <row r="1778" spans="1:26" ht="16.5" x14ac:dyDescent="0.35">
      <c r="A1778" s="2" t="str">
        <f ca="1">IFERROR(__xludf.DUMMYFUNCTION("""COMPUTED_VALUE"""),"Dubai")</f>
        <v>Dubai</v>
      </c>
      <c r="B1778" s="2" t="str">
        <f ca="1">IFERROR(__xludf.DUMMYFUNCTION("""COMPUTED_VALUE"""),"Golden Sands 9")</f>
        <v>Golden Sands 9</v>
      </c>
      <c r="C1778" s="2" t="str">
        <f ca="1">IFERROR(__xludf.DUMMYFUNCTION("""COMPUTED_VALUE"""),"Building")</f>
        <v>Building</v>
      </c>
      <c r="D1778" s="2" t="str">
        <f ca="1">IFERROR(__xludf.DUMMYFUNCTION("""COMPUTED_VALUE"""),"Dubai&gt;Bur Dubai&gt;Al Mankhool&gt;Golden Sands 9")</f>
        <v>Dubai&gt;Bur Dubai&gt;Al Mankhool&gt;Golden Sands 9</v>
      </c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</row>
    <row r="1779" spans="1:26" ht="16.5" x14ac:dyDescent="0.35">
      <c r="A1779" s="2" t="str">
        <f ca="1">IFERROR(__xludf.DUMMYFUNCTION("""COMPUTED_VALUE"""),"Dubai")</f>
        <v>Dubai</v>
      </c>
      <c r="B1779" s="2" t="str">
        <f ca="1">IFERROR(__xludf.DUMMYFUNCTION("""COMPUTED_VALUE"""),"Teejan Building")</f>
        <v>Teejan Building</v>
      </c>
      <c r="C1779" s="2" t="str">
        <f ca="1">IFERROR(__xludf.DUMMYFUNCTION("""COMPUTED_VALUE"""),"Building")</f>
        <v>Building</v>
      </c>
      <c r="D1779" s="2" t="str">
        <f ca="1">IFERROR(__xludf.DUMMYFUNCTION("""COMPUTED_VALUE"""),"Dubai&gt;Bur Dubai&gt;Al Mankhool&gt;Teejan Building")</f>
        <v>Dubai&gt;Bur Dubai&gt;Al Mankhool&gt;Teejan Building</v>
      </c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</row>
    <row r="1780" spans="1:26" ht="16.5" x14ac:dyDescent="0.35">
      <c r="A1780" s="2" t="str">
        <f ca="1">IFERROR(__xludf.DUMMYFUNCTION("""COMPUTED_VALUE"""),"Dubai")</f>
        <v>Dubai</v>
      </c>
      <c r="B1780" s="2" t="str">
        <f ca="1">IFERROR(__xludf.DUMMYFUNCTION("""COMPUTED_VALUE"""),"Golden Sands 10")</f>
        <v>Golden Sands 10</v>
      </c>
      <c r="C1780" s="2" t="str">
        <f ca="1">IFERROR(__xludf.DUMMYFUNCTION("""COMPUTED_VALUE"""),"Building")</f>
        <v>Building</v>
      </c>
      <c r="D1780" s="2" t="str">
        <f ca="1">IFERROR(__xludf.DUMMYFUNCTION("""COMPUTED_VALUE"""),"Dubai&gt;Bur Dubai&gt;Al Mankhool&gt;Golden Sands 10")</f>
        <v>Dubai&gt;Bur Dubai&gt;Al Mankhool&gt;Golden Sands 10</v>
      </c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</row>
    <row r="1781" spans="1:26" ht="16.5" x14ac:dyDescent="0.35">
      <c r="A1781" s="2" t="str">
        <f ca="1">IFERROR(__xludf.DUMMYFUNCTION("""COMPUTED_VALUE"""),"Dubai")</f>
        <v>Dubai</v>
      </c>
      <c r="B1781" s="2" t="str">
        <f ca="1">IFERROR(__xludf.DUMMYFUNCTION("""COMPUTED_VALUE"""),"1 Residences")</f>
        <v>1 Residences</v>
      </c>
      <c r="C1781" s="2" t="str">
        <f ca="1">IFERROR(__xludf.DUMMYFUNCTION("""COMPUTED_VALUE"""),"Cluster")</f>
        <v>Cluster</v>
      </c>
      <c r="D1781" s="2" t="str">
        <f ca="1">IFERROR(__xludf.DUMMYFUNCTION("""COMPUTED_VALUE"""),"Dubai&gt;Bur Dubai&gt;Al Kifaf&gt;Wasl 1&gt;1 Residences")</f>
        <v>Dubai&gt;Bur Dubai&gt;Al Kifaf&gt;Wasl 1&gt;1 Residences</v>
      </c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</row>
    <row r="1782" spans="1:26" ht="16.5" x14ac:dyDescent="0.35">
      <c r="A1782" s="2" t="str">
        <f ca="1">IFERROR(__xludf.DUMMYFUNCTION("""COMPUTED_VALUE"""),"Dubai")</f>
        <v>Dubai</v>
      </c>
      <c r="B1782" s="2" t="str">
        <f ca="1">IFERROR(__xludf.DUMMYFUNCTION("""COMPUTED_VALUE"""),"Al Souk Al Kabeer (Al Fahidi)")</f>
        <v>Al Souk Al Kabeer (Al Fahidi)</v>
      </c>
      <c r="C1782" s="2" t="str">
        <f ca="1">IFERROR(__xludf.DUMMYFUNCTION("""COMPUTED_VALUE"""),"Neighbourhood")</f>
        <v>Neighbourhood</v>
      </c>
      <c r="D1782" s="2" t="str">
        <f ca="1">IFERROR(__xludf.DUMMYFUNCTION("""COMPUTED_VALUE"""),"Dubai&gt;Bur Dubai&gt;Al Souk Al Kabeer (Al Fahidi)")</f>
        <v>Dubai&gt;Bur Dubai&gt;Al Souk Al Kabeer (Al Fahidi)</v>
      </c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</row>
    <row r="1783" spans="1:26" ht="16.5" x14ac:dyDescent="0.35">
      <c r="A1783" s="2" t="str">
        <f ca="1">IFERROR(__xludf.DUMMYFUNCTION("""COMPUTED_VALUE"""),"Dubai")</f>
        <v>Dubai</v>
      </c>
      <c r="B1783" s="2" t="str">
        <f ca="1">IFERROR(__xludf.DUMMYFUNCTION("""COMPUTED_VALUE"""),"Bait Al Fadhli")</f>
        <v>Bait Al Fadhli</v>
      </c>
      <c r="C1783" s="2" t="str">
        <f ca="1">IFERROR(__xludf.DUMMYFUNCTION("""COMPUTED_VALUE"""),"Building")</f>
        <v>Building</v>
      </c>
      <c r="D1783" s="2" t="str">
        <f ca="1">IFERROR(__xludf.DUMMYFUNCTION("""COMPUTED_VALUE"""),"Dubai&gt;Bur Dubai&gt;Al Souk Al Kabeer (Al Fahidi)&gt;Bait Al Fadhli")</f>
        <v>Dubai&gt;Bur Dubai&gt;Al Souk Al Kabeer (Al Fahidi)&gt;Bait Al Fadhli</v>
      </c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</row>
    <row r="1784" spans="1:26" ht="16.5" x14ac:dyDescent="0.35">
      <c r="A1784" s="2" t="str">
        <f ca="1">IFERROR(__xludf.DUMMYFUNCTION("""COMPUTED_VALUE"""),"Dubai")</f>
        <v>Dubai</v>
      </c>
      <c r="B1784" s="2" t="str">
        <f ca="1">IFERROR(__xludf.DUMMYFUNCTION("""COMPUTED_VALUE"""),"Ahmad Creek Residency")</f>
        <v>Ahmad Creek Residency</v>
      </c>
      <c r="C1784" s="2" t="str">
        <f ca="1">IFERROR(__xludf.DUMMYFUNCTION("""COMPUTED_VALUE"""),"Building")</f>
        <v>Building</v>
      </c>
      <c r="D1784" s="2" t="str">
        <f ca="1">IFERROR(__xludf.DUMMYFUNCTION("""COMPUTED_VALUE"""),"Dubai&gt;Bur Dubai&gt;Al Hamriya&gt;Ahmad Creek Residency")</f>
        <v>Dubai&gt;Bur Dubai&gt;Al Hamriya&gt;Ahmad Creek Residency</v>
      </c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</row>
    <row r="1785" spans="1:26" ht="16.5" x14ac:dyDescent="0.35">
      <c r="A1785" s="2" t="str">
        <f ca="1">IFERROR(__xludf.DUMMYFUNCTION("""COMPUTED_VALUE"""),"Dubai")</f>
        <v>Dubai</v>
      </c>
      <c r="B1785" s="2" t="str">
        <f ca="1">IFERROR(__xludf.DUMMYFUNCTION("""COMPUTED_VALUE"""),"Building 54")</f>
        <v>Building 54</v>
      </c>
      <c r="C1785" s="2" t="str">
        <f ca="1">IFERROR(__xludf.DUMMYFUNCTION("""COMPUTED_VALUE"""),"Building")</f>
        <v>Building</v>
      </c>
      <c r="D1785" s="2" t="str">
        <f ca="1">IFERROR(__xludf.DUMMYFUNCTION("""COMPUTED_VALUE"""),"Dubai&gt;Bur Dubai&gt;Dubai Healthcare City&gt;Building 54")</f>
        <v>Dubai&gt;Bur Dubai&gt;Dubai Healthcare City&gt;Building 54</v>
      </c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</row>
    <row r="1786" spans="1:26" ht="16.5" x14ac:dyDescent="0.35">
      <c r="A1786" s="2" t="str">
        <f ca="1">IFERROR(__xludf.DUMMYFUNCTION("""COMPUTED_VALUE"""),"Dubai")</f>
        <v>Dubai</v>
      </c>
      <c r="B1786" s="2" t="str">
        <f ca="1">IFERROR(__xludf.DUMMYFUNCTION("""COMPUTED_VALUE"""),"Flame Tree Ridge")</f>
        <v>Flame Tree Ridge</v>
      </c>
      <c r="C1786" s="2" t="str">
        <f ca="1">IFERROR(__xludf.DUMMYFUNCTION("""COMPUTED_VALUE"""),"Neighbourhood")</f>
        <v>Neighbourhood</v>
      </c>
      <c r="D1786" s="2" t="str">
        <f ca="1">IFERROR(__xludf.DUMMYFUNCTION("""COMPUTED_VALUE"""),"Dubai&gt;Jumeirah Golf Estates&gt;Flame Tree Ridge")</f>
        <v>Dubai&gt;Jumeirah Golf Estates&gt;Flame Tree Ridge</v>
      </c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</row>
    <row r="1787" spans="1:26" ht="16.5" x14ac:dyDescent="0.35">
      <c r="A1787" s="2" t="str">
        <f ca="1">IFERROR(__xludf.DUMMYFUNCTION("""COMPUTED_VALUE"""),"Dubai")</f>
        <v>Dubai</v>
      </c>
      <c r="B1787" s="2" t="str">
        <f ca="1">IFERROR(__xludf.DUMMYFUNCTION("""COMPUTED_VALUE"""),"Sunrise Bay Podium")</f>
        <v>Sunrise Bay Podium</v>
      </c>
      <c r="C1787" s="2" t="str">
        <f ca="1">IFERROR(__xludf.DUMMYFUNCTION("""COMPUTED_VALUE"""),"Building")</f>
        <v>Building</v>
      </c>
      <c r="D1787" s="2" t="str">
        <f ca="1">IFERROR(__xludf.DUMMYFUNCTION("""COMPUTED_VALUE"""),"Dubai&gt;Dubai Harbour&gt;Emaar Beachfront&gt;Sunrise Bay&gt;Sunrise Bay Podium")</f>
        <v>Dubai&gt;Dubai Harbour&gt;Emaar Beachfront&gt;Sunrise Bay&gt;Sunrise Bay Podium</v>
      </c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</row>
    <row r="1788" spans="1:26" ht="16.5" x14ac:dyDescent="0.35">
      <c r="A1788" s="2" t="str">
        <f ca="1">IFERROR(__xludf.DUMMYFUNCTION("""COMPUTED_VALUE"""),"Dubai")</f>
        <v>Dubai</v>
      </c>
      <c r="B1788" s="2" t="str">
        <f ca="1">IFERROR(__xludf.DUMMYFUNCTION("""COMPUTED_VALUE"""),"Odora")</f>
        <v>Odora</v>
      </c>
      <c r="C1788" s="2" t="str">
        <f ca="1">IFERROR(__xludf.DUMMYFUNCTION("""COMPUTED_VALUE"""),"Neighbourhood")</f>
        <v>Neighbourhood</v>
      </c>
      <c r="D1788" s="2" t="str">
        <f ca="1">IFERROR(__xludf.DUMMYFUNCTION("""COMPUTED_VALUE"""),"Dubai&gt;DAMAC Hills 2 (Akoya by DAMAC)&gt;Odora")</f>
        <v>Dubai&gt;DAMAC Hills 2 (Akoya by DAMAC)&gt;Odora</v>
      </c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</row>
    <row r="1789" spans="1:26" ht="16.5" x14ac:dyDescent="0.35">
      <c r="A1789" s="2" t="str">
        <f ca="1">IFERROR(__xludf.DUMMYFUNCTION("""COMPUTED_VALUE"""),"Dubai")</f>
        <v>Dubai</v>
      </c>
      <c r="B1789" s="2" t="str">
        <f ca="1">IFERROR(__xludf.DUMMYFUNCTION("""COMPUTED_VALUE"""),"Eterno Prestige Villas")</f>
        <v>Eterno Prestige Villas</v>
      </c>
      <c r="C1789" s="2" t="str">
        <f ca="1">IFERROR(__xludf.DUMMYFUNCTION("""COMPUTED_VALUE"""),"Neighbourhood")</f>
        <v>Neighbourhood</v>
      </c>
      <c r="D1789" s="2" t="str">
        <f ca="1">IFERROR(__xludf.DUMMYFUNCTION("""COMPUTED_VALUE"""),"Dubai&gt;DAMAC Hills 2 (Akoya by DAMAC)&gt;Eterno Prestige Villas")</f>
        <v>Dubai&gt;DAMAC Hills 2 (Akoya by DAMAC)&gt;Eterno Prestige Villas</v>
      </c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</row>
    <row r="1790" spans="1:26" ht="16.5" x14ac:dyDescent="0.35">
      <c r="A1790" s="2" t="str">
        <f ca="1">IFERROR(__xludf.DUMMYFUNCTION("""COMPUTED_VALUE"""),"Dubai")</f>
        <v>Dubai</v>
      </c>
      <c r="B1790" s="2" t="str">
        <f ca="1">IFERROR(__xludf.DUMMYFUNCTION("""COMPUTED_VALUE"""),"J-02")</f>
        <v>J-02</v>
      </c>
      <c r="C1790" s="2" t="str">
        <f ca="1">IFERROR(__xludf.DUMMYFUNCTION("""COMPUTED_VALUE"""),"Building")</f>
        <v>Building</v>
      </c>
      <c r="D1790" s="2" t="str">
        <f ca="1">IFERROR(__xludf.DUMMYFUNCTION("""COMPUTED_VALUE"""),"Dubai&gt;International City&gt;Morocco Cluster&gt;J-02")</f>
        <v>Dubai&gt;International City&gt;Morocco Cluster&gt;J-02</v>
      </c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</row>
    <row r="1791" spans="1:26" ht="16.5" x14ac:dyDescent="0.35">
      <c r="A1791" s="2" t="str">
        <f ca="1">IFERROR(__xludf.DUMMYFUNCTION("""COMPUTED_VALUE"""),"Dubai")</f>
        <v>Dubai</v>
      </c>
      <c r="B1791" s="2" t="str">
        <f ca="1">IFERROR(__xludf.DUMMYFUNCTION("""COMPUTED_VALUE"""),"Souk Warsan Block E")</f>
        <v>Souk Warsan Block E</v>
      </c>
      <c r="C1791" s="2" t="str">
        <f ca="1">IFERROR(__xludf.DUMMYFUNCTION("""COMPUTED_VALUE"""),"Building")</f>
        <v>Building</v>
      </c>
      <c r="D1791" s="2" t="str">
        <f ca="1">IFERROR(__xludf.DUMMYFUNCTION("""COMPUTED_VALUE"""),"Dubai&gt;International City&gt;Warsan Village&gt;Souk Warsan&gt;Souk Warsan Block E")</f>
        <v>Dubai&gt;International City&gt;Warsan Village&gt;Souk Warsan&gt;Souk Warsan Block E</v>
      </c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</row>
    <row r="1792" spans="1:26" ht="16.5" x14ac:dyDescent="0.35">
      <c r="A1792" s="2" t="str">
        <f ca="1">IFERROR(__xludf.DUMMYFUNCTION("""COMPUTED_VALUE"""),"Dubai")</f>
        <v>Dubai</v>
      </c>
      <c r="B1792" s="2" t="str">
        <f ca="1">IFERROR(__xludf.DUMMYFUNCTION("""COMPUTED_VALUE"""),"A-13")</f>
        <v>A-13</v>
      </c>
      <c r="C1792" s="2" t="str">
        <f ca="1">IFERROR(__xludf.DUMMYFUNCTION("""COMPUTED_VALUE"""),"Building")</f>
        <v>Building</v>
      </c>
      <c r="D1792" s="2" t="str">
        <f ca="1">IFERROR(__xludf.DUMMYFUNCTION("""COMPUTED_VALUE"""),"Dubai&gt;International City&gt;China Cluster&gt;A-13")</f>
        <v>Dubai&gt;International City&gt;China Cluster&gt;A-13</v>
      </c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</row>
    <row r="1793" spans="1:26" ht="16.5" x14ac:dyDescent="0.35">
      <c r="A1793" s="2" t="str">
        <f ca="1">IFERROR(__xludf.DUMMYFUNCTION("""COMPUTED_VALUE"""),"Dubai")</f>
        <v>Dubai</v>
      </c>
      <c r="B1793" s="2" t="str">
        <f ca="1">IFERROR(__xludf.DUMMYFUNCTION("""COMPUTED_VALUE"""),"D-04")</f>
        <v>D-04</v>
      </c>
      <c r="C1793" s="2" t="str">
        <f ca="1">IFERROR(__xludf.DUMMYFUNCTION("""COMPUTED_VALUE"""),"Building")</f>
        <v>Building</v>
      </c>
      <c r="D1793" s="2" t="str">
        <f ca="1">IFERROR(__xludf.DUMMYFUNCTION("""COMPUTED_VALUE"""),"Dubai&gt;International City&gt;China Cluster&gt;D-04")</f>
        <v>Dubai&gt;International City&gt;China Cluster&gt;D-04</v>
      </c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</row>
    <row r="1794" spans="1:26" ht="16.5" x14ac:dyDescent="0.35">
      <c r="A1794" s="2" t="str">
        <f ca="1">IFERROR(__xludf.DUMMYFUNCTION("""COMPUTED_VALUE"""),"Dubai")</f>
        <v>Dubai</v>
      </c>
      <c r="B1794" s="2" t="str">
        <f ca="1">IFERROR(__xludf.DUMMYFUNCTION("""COMPUTED_VALUE"""),"Olivz by Danube Building 2")</f>
        <v>Olivz by Danube Building 2</v>
      </c>
      <c r="C1794" s="2" t="str">
        <f ca="1">IFERROR(__xludf.DUMMYFUNCTION("""COMPUTED_VALUE"""),"Building")</f>
        <v>Building</v>
      </c>
      <c r="D1794" s="2" t="str">
        <f ca="1">IFERROR(__xludf.DUMMYFUNCTION("""COMPUTED_VALUE"""),"Dubai&gt;International City&gt;Olivz by Danube&gt;Olivz by Danube Building 2")</f>
        <v>Dubai&gt;International City&gt;Olivz by Danube&gt;Olivz by Danube Building 2</v>
      </c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</row>
    <row r="1795" spans="1:26" ht="16.5" x14ac:dyDescent="0.35">
      <c r="A1795" s="2" t="str">
        <f ca="1">IFERROR(__xludf.DUMMYFUNCTION("""COMPUTED_VALUE"""),"Dubai")</f>
        <v>Dubai</v>
      </c>
      <c r="B1795" s="2" t="str">
        <f ca="1">IFERROR(__xludf.DUMMYFUNCTION("""COMPUTED_VALUE"""),"S-10")</f>
        <v>S-10</v>
      </c>
      <c r="C1795" s="2" t="str">
        <f ca="1">IFERROR(__xludf.DUMMYFUNCTION("""COMPUTED_VALUE"""),"Building")</f>
        <v>Building</v>
      </c>
      <c r="D1795" s="2" t="str">
        <f ca="1">IFERROR(__xludf.DUMMYFUNCTION("""COMPUTED_VALUE"""),"Dubai&gt;International City&gt;Spain Cluster&gt;S-10")</f>
        <v>Dubai&gt;International City&gt;Spain Cluster&gt;S-10</v>
      </c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</row>
    <row r="1796" spans="1:26" ht="16.5" x14ac:dyDescent="0.35">
      <c r="A1796" s="2" t="str">
        <f ca="1">IFERROR(__xludf.DUMMYFUNCTION("""COMPUTED_VALUE"""),"Dubai")</f>
        <v>Dubai</v>
      </c>
      <c r="B1796" s="2" t="str">
        <f ca="1">IFERROR(__xludf.DUMMYFUNCTION("""COMPUTED_VALUE"""),"U-23")</f>
        <v>U-23</v>
      </c>
      <c r="C1796" s="2" t="str">
        <f ca="1">IFERROR(__xludf.DUMMYFUNCTION("""COMPUTED_VALUE"""),"Building")</f>
        <v>Building</v>
      </c>
      <c r="D1796" s="2" t="str">
        <f ca="1">IFERROR(__xludf.DUMMYFUNCTION("""COMPUTED_VALUE"""),"Dubai&gt;International City&gt;Italy Cluster&gt;U-23")</f>
        <v>Dubai&gt;International City&gt;Italy Cluster&gt;U-23</v>
      </c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</row>
    <row r="1797" spans="1:26" ht="16.5" x14ac:dyDescent="0.35">
      <c r="A1797" s="2" t="str">
        <f ca="1">IFERROR(__xludf.DUMMYFUNCTION("""COMPUTED_VALUE"""),"Dubai")</f>
        <v>Dubai</v>
      </c>
      <c r="B1797" s="2" t="str">
        <f ca="1">IFERROR(__xludf.DUMMYFUNCTION("""COMPUTED_VALUE"""),"W-05")</f>
        <v>W-05</v>
      </c>
      <c r="C1797" s="2" t="str">
        <f ca="1">IFERROR(__xludf.DUMMYFUNCTION("""COMPUTED_VALUE"""),"Building")</f>
        <v>Building</v>
      </c>
      <c r="D1797" s="2" t="str">
        <f ca="1">IFERROR(__xludf.DUMMYFUNCTION("""COMPUTED_VALUE"""),"Dubai&gt;International City&gt;Russia Cluster&gt;W-05")</f>
        <v>Dubai&gt;International City&gt;Russia Cluster&gt;W-05</v>
      </c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</row>
    <row r="1798" spans="1:26" ht="16.5" x14ac:dyDescent="0.35">
      <c r="A1798" s="2" t="str">
        <f ca="1">IFERROR(__xludf.DUMMYFUNCTION("""COMPUTED_VALUE"""),"Dubai")</f>
        <v>Dubai</v>
      </c>
      <c r="B1798" s="2" t="str">
        <f ca="1">IFERROR(__xludf.DUMMYFUNCTION("""COMPUTED_VALUE"""),"M-06")</f>
        <v>M-06</v>
      </c>
      <c r="C1798" s="2" t="str">
        <f ca="1">IFERROR(__xludf.DUMMYFUNCTION("""COMPUTED_VALUE"""),"Building")</f>
        <v>Building</v>
      </c>
      <c r="D1798" s="2" t="str">
        <f ca="1">IFERROR(__xludf.DUMMYFUNCTION("""COMPUTED_VALUE"""),"Dubai&gt;International City&gt;Persia Cluster&gt;M-06")</f>
        <v>Dubai&gt;International City&gt;Persia Cluster&gt;M-06</v>
      </c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</row>
    <row r="1799" spans="1:26" ht="16.5" x14ac:dyDescent="0.35">
      <c r="A1799" s="2" t="str">
        <f ca="1">IFERROR(__xludf.DUMMYFUNCTION("""COMPUTED_VALUE"""),"Dubai")</f>
        <v>Dubai</v>
      </c>
      <c r="B1799" s="2" t="str">
        <f ca="1">IFERROR(__xludf.DUMMYFUNCTION("""COMPUTED_VALUE"""),"EMR-08")</f>
        <v>EMR-08</v>
      </c>
      <c r="C1799" s="2" t="str">
        <f ca="1">IFERROR(__xludf.DUMMYFUNCTION("""COMPUTED_VALUE"""),"Building")</f>
        <v>Building</v>
      </c>
      <c r="D1799" s="2" t="str">
        <f ca="1">IFERROR(__xludf.DUMMYFUNCTION("""COMPUTED_VALUE"""),"Dubai&gt;International City&gt;Emirates Cluster&gt;EMR-08")</f>
        <v>Dubai&gt;International City&gt;Emirates Cluster&gt;EMR-08</v>
      </c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</row>
    <row r="1800" spans="1:26" ht="16.5" x14ac:dyDescent="0.35">
      <c r="A1800" s="2" t="str">
        <f ca="1">IFERROR(__xludf.DUMMYFUNCTION("""COMPUTED_VALUE"""),"Dubai")</f>
        <v>Dubai</v>
      </c>
      <c r="B1800" s="2" t="str">
        <f ca="1">IFERROR(__xludf.DUMMYFUNCTION("""COMPUTED_VALUE"""),"Y-01")</f>
        <v>Y-01</v>
      </c>
      <c r="C1800" s="2" t="str">
        <f ca="1">IFERROR(__xludf.DUMMYFUNCTION("""COMPUTED_VALUE"""),"Building")</f>
        <v>Building</v>
      </c>
      <c r="D1800" s="2" t="str">
        <f ca="1">IFERROR(__xludf.DUMMYFUNCTION("""COMPUTED_VALUE"""),"Dubai&gt;International City&gt;England Cluster&gt;Y-01")</f>
        <v>Dubai&gt;International City&gt;England Cluster&gt;Y-01</v>
      </c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</row>
    <row r="1801" spans="1:26" ht="16.5" x14ac:dyDescent="0.35">
      <c r="A1801" s="2" t="str">
        <f ca="1">IFERROR(__xludf.DUMMYFUNCTION("""COMPUTED_VALUE"""),"Dubai")</f>
        <v>Dubai</v>
      </c>
      <c r="B1801" s="2" t="str">
        <f ca="1">IFERROR(__xludf.DUMMYFUNCTION("""COMPUTED_VALUE"""),"International City Phase 2 (Warsan 4)")</f>
        <v>International City Phase 2 (Warsan 4)</v>
      </c>
      <c r="C1801" s="2" t="str">
        <f ca="1">IFERROR(__xludf.DUMMYFUNCTION("""COMPUTED_VALUE"""),"Neighbourhood")</f>
        <v>Neighbourhood</v>
      </c>
      <c r="D1801" s="2" t="str">
        <f ca="1">IFERROR(__xludf.DUMMYFUNCTION("""COMPUTED_VALUE"""),"Dubai&gt;International City&gt;International City Phase 2 (Warsan 4)")</f>
        <v>Dubai&gt;International City&gt;International City Phase 2 (Warsan 4)</v>
      </c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</row>
    <row r="1802" spans="1:26" ht="16.5" x14ac:dyDescent="0.35">
      <c r="A1802" s="2" t="str">
        <f ca="1">IFERROR(__xludf.DUMMYFUNCTION("""COMPUTED_VALUE"""),"Dubai")</f>
        <v>Dubai</v>
      </c>
      <c r="B1802" s="2" t="str">
        <f ca="1">IFERROR(__xludf.DUMMYFUNCTION("""COMPUTED_VALUE"""),"Farah Residence")</f>
        <v>Farah Residence</v>
      </c>
      <c r="C1802" s="2" t="str">
        <f ca="1">IFERROR(__xludf.DUMMYFUNCTION("""COMPUTED_VALUE"""),"Building")</f>
        <v>Building</v>
      </c>
      <c r="D1802" s="2" t="str">
        <f ca="1">IFERROR(__xludf.DUMMYFUNCTION("""COMPUTED_VALUE"""),"Dubai&gt;International City&gt;International City Phase 2 (Warsan 4)&gt;Farah Residence")</f>
        <v>Dubai&gt;International City&gt;International City Phase 2 (Warsan 4)&gt;Farah Residence</v>
      </c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</row>
    <row r="1803" spans="1:26" ht="16.5" x14ac:dyDescent="0.35">
      <c r="A1803" s="2" t="str">
        <f ca="1">IFERROR(__xludf.DUMMYFUNCTION("""COMPUTED_VALUE"""),"Dubai")</f>
        <v>Dubai</v>
      </c>
      <c r="B1803" s="2" t="str">
        <f ca="1">IFERROR(__xludf.DUMMYFUNCTION("""COMPUTED_VALUE"""),"Nad Al Sheeba Creset")</f>
        <v>Nad Al Sheeba Creset</v>
      </c>
      <c r="C1803" s="2" t="str">
        <f ca="1">IFERROR(__xludf.DUMMYFUNCTION("""COMPUTED_VALUE"""),"Building")</f>
        <v>Building</v>
      </c>
      <c r="D1803" s="2" t="str">
        <f ca="1">IFERROR(__xludf.DUMMYFUNCTION("""COMPUTED_VALUE"""),"Dubai&gt;International City&gt;International City Phase 2 (Warsan 4)&gt;Nad Al Sheeba Creset")</f>
        <v>Dubai&gt;International City&gt;International City Phase 2 (Warsan 4)&gt;Nad Al Sheeba Creset</v>
      </c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</row>
    <row r="1804" spans="1:26" ht="16.5" x14ac:dyDescent="0.35">
      <c r="A1804" s="2" t="str">
        <f ca="1">IFERROR(__xludf.DUMMYFUNCTION("""COMPUTED_VALUE"""),"Dubai")</f>
        <v>Dubai</v>
      </c>
      <c r="B1804" s="2" t="str">
        <f ca="1">IFERROR(__xludf.DUMMYFUNCTION("""COMPUTED_VALUE"""),"Latif Residence 2")</f>
        <v>Latif Residence 2</v>
      </c>
      <c r="C1804" s="2" t="str">
        <f ca="1">IFERROR(__xludf.DUMMYFUNCTION("""COMPUTED_VALUE"""),"Building")</f>
        <v>Building</v>
      </c>
      <c r="D1804" s="2" t="str">
        <f ca="1">IFERROR(__xludf.DUMMYFUNCTION("""COMPUTED_VALUE"""),"Dubai&gt;International City&gt;International City Phase 2 (Warsan 4)&gt;Latif Residence 2")</f>
        <v>Dubai&gt;International City&gt;International City Phase 2 (Warsan 4)&gt;Latif Residence 2</v>
      </c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</row>
    <row r="1805" spans="1:26" ht="16.5" x14ac:dyDescent="0.35">
      <c r="A1805" s="2" t="str">
        <f ca="1">IFERROR(__xludf.DUMMYFUNCTION("""COMPUTED_VALUE"""),"Dubai")</f>
        <v>Dubai</v>
      </c>
      <c r="B1805" s="2" t="str">
        <f ca="1">IFERROR(__xludf.DUMMYFUNCTION("""COMPUTED_VALUE"""),"Dugasta Warsan")</f>
        <v>Dugasta Warsan</v>
      </c>
      <c r="C1805" s="2" t="str">
        <f ca="1">IFERROR(__xludf.DUMMYFUNCTION("""COMPUTED_VALUE"""),"Building")</f>
        <v>Building</v>
      </c>
      <c r="D1805" s="2" t="str">
        <f ca="1">IFERROR(__xludf.DUMMYFUNCTION("""COMPUTED_VALUE"""),"Dubai&gt;International City&gt;International City Phase 2 (Warsan 4)&gt;Dugasta Warsan")</f>
        <v>Dubai&gt;International City&gt;International City Phase 2 (Warsan 4)&gt;Dugasta Warsan</v>
      </c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</row>
    <row r="1806" spans="1:26" ht="16.5" x14ac:dyDescent="0.35">
      <c r="A1806" s="2" t="str">
        <f ca="1">IFERROR(__xludf.DUMMYFUNCTION("""COMPUTED_VALUE"""),"Dubai")</f>
        <v>Dubai</v>
      </c>
      <c r="B1806" s="2" t="str">
        <f ca="1">IFERROR(__xludf.DUMMYFUNCTION("""COMPUTED_VALUE"""),"L-12")</f>
        <v>L-12</v>
      </c>
      <c r="C1806" s="2" t="str">
        <f ca="1">IFERROR(__xludf.DUMMYFUNCTION("""COMPUTED_VALUE"""),"Building")</f>
        <v>Building</v>
      </c>
      <c r="D1806" s="2" t="str">
        <f ca="1">IFERROR(__xludf.DUMMYFUNCTION("""COMPUTED_VALUE"""),"Dubai&gt;International City&gt;Greece Cluster&gt;L-12")</f>
        <v>Dubai&gt;International City&gt;Greece Cluster&gt;L-12</v>
      </c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</row>
    <row r="1807" spans="1:26" ht="16.5" x14ac:dyDescent="0.35">
      <c r="A1807" s="2" t="str">
        <f ca="1">IFERROR(__xludf.DUMMYFUNCTION("""COMPUTED_VALUE"""),"Dubai")</f>
        <v>Dubai</v>
      </c>
      <c r="B1807" s="2" t="str">
        <f ca="1">IFERROR(__xludf.DUMMYFUNCTION("""COMPUTED_VALUE"""),"Q-10")</f>
        <v>Q-10</v>
      </c>
      <c r="C1807" s="2" t="str">
        <f ca="1">IFERROR(__xludf.DUMMYFUNCTION("""COMPUTED_VALUE"""),"Building")</f>
        <v>Building</v>
      </c>
      <c r="D1807" s="2" t="str">
        <f ca="1">IFERROR(__xludf.DUMMYFUNCTION("""COMPUTED_VALUE"""),"Dubai&gt;International City&gt;France Cluster&gt;Q-10")</f>
        <v>Dubai&gt;International City&gt;France Cluster&gt;Q-10</v>
      </c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</row>
    <row r="1808" spans="1:26" ht="16.5" x14ac:dyDescent="0.35">
      <c r="A1808" s="2" t="str">
        <f ca="1">IFERROR(__xludf.DUMMYFUNCTION("""COMPUTED_VALUE"""),"Dubai")</f>
        <v>Dubai</v>
      </c>
      <c r="B1808" s="2" t="str">
        <f ca="1">IFERROR(__xludf.DUMMYFUNCTION("""COMPUTED_VALUE"""),"R-11")</f>
        <v>R-11</v>
      </c>
      <c r="C1808" s="2" t="str">
        <f ca="1">IFERROR(__xludf.DUMMYFUNCTION("""COMPUTED_VALUE"""),"Building")</f>
        <v>Building</v>
      </c>
      <c r="D1808" s="2" t="str">
        <f ca="1">IFERROR(__xludf.DUMMYFUNCTION("""COMPUTED_VALUE"""),"Dubai&gt;International City&gt;France Cluster&gt;R-11")</f>
        <v>Dubai&gt;International City&gt;France Cluster&gt;R-11</v>
      </c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</row>
    <row r="1809" spans="1:26" ht="16.5" x14ac:dyDescent="0.35">
      <c r="A1809" s="2" t="str">
        <f ca="1">IFERROR(__xludf.DUMMYFUNCTION("""COMPUTED_VALUE"""),"Dubai")</f>
        <v>Dubai</v>
      </c>
      <c r="B1809" s="2" t="str">
        <f ca="1">IFERROR(__xludf.DUMMYFUNCTION("""COMPUTED_VALUE"""),"Al Dana 1")</f>
        <v>Al Dana 1</v>
      </c>
      <c r="C1809" s="2" t="str">
        <f ca="1">IFERROR(__xludf.DUMMYFUNCTION("""COMPUTED_VALUE"""),"Building")</f>
        <v>Building</v>
      </c>
      <c r="D1809" s="2" t="str">
        <f ca="1">IFERROR(__xludf.DUMMYFUNCTION("""COMPUTED_VALUE"""),"Dubai&gt;International City&gt;Central Business District&gt;Al Dana&gt;Al Dana 1")</f>
        <v>Dubai&gt;International City&gt;Central Business District&gt;Al Dana&gt;Al Dana 1</v>
      </c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</row>
    <row r="1810" spans="1:26" ht="16.5" x14ac:dyDescent="0.35">
      <c r="A1810" s="2" t="str">
        <f ca="1">IFERROR(__xludf.DUMMYFUNCTION("""COMPUTED_VALUE"""),"Dubai")</f>
        <v>Dubai</v>
      </c>
      <c r="B1810" s="2" t="str">
        <f ca="1">IFERROR(__xludf.DUMMYFUNCTION("""COMPUTED_VALUE"""),"CBD-B04")</f>
        <v>CBD-B04</v>
      </c>
      <c r="C1810" s="2" t="str">
        <f ca="1">IFERROR(__xludf.DUMMYFUNCTION("""COMPUTED_VALUE"""),"Building")</f>
        <v>Building</v>
      </c>
      <c r="D1810" s="2" t="str">
        <f ca="1">IFERROR(__xludf.DUMMYFUNCTION("""COMPUTED_VALUE"""),"Dubai&gt;International City&gt;Central Business District&gt;CBD-B04")</f>
        <v>Dubai&gt;International City&gt;Central Business District&gt;CBD-B04</v>
      </c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</row>
    <row r="1811" spans="1:26" ht="16.5" x14ac:dyDescent="0.35">
      <c r="A1811" s="2" t="str">
        <f ca="1">IFERROR(__xludf.DUMMYFUNCTION("""COMPUTED_VALUE"""),"Dubai")</f>
        <v>Dubai</v>
      </c>
      <c r="B1811" s="2" t="str">
        <f ca="1">IFERROR(__xludf.DUMMYFUNCTION("""COMPUTED_VALUE"""),"Al Sahab Tower 2")</f>
        <v>Al Sahab Tower 2</v>
      </c>
      <c r="C1811" s="2" t="str">
        <f ca="1">IFERROR(__xludf.DUMMYFUNCTION("""COMPUTED_VALUE"""),"Building")</f>
        <v>Building</v>
      </c>
      <c r="D1811" s="2" t="str">
        <f ca="1">IFERROR(__xludf.DUMMYFUNCTION("""COMPUTED_VALUE"""),"Dubai&gt;Dubai Marina&gt;Al Sahab Tower&gt;Al Sahab Tower 2")</f>
        <v>Dubai&gt;Dubai Marina&gt;Al Sahab Tower&gt;Al Sahab Tower 2</v>
      </c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</row>
    <row r="1812" spans="1:26" ht="16.5" x14ac:dyDescent="0.35">
      <c r="A1812" s="2" t="str">
        <f ca="1">IFERROR(__xludf.DUMMYFUNCTION("""COMPUTED_VALUE"""),"Dubai")</f>
        <v>Dubai</v>
      </c>
      <c r="B1812" s="2" t="str">
        <f ca="1">IFERROR(__xludf.DUMMYFUNCTION("""COMPUTED_VALUE"""),"La Residence Del Mar")</f>
        <v>La Residence Del Mar</v>
      </c>
      <c r="C1812" s="2" t="str">
        <f ca="1">IFERROR(__xludf.DUMMYFUNCTION("""COMPUTED_VALUE"""),"Building")</f>
        <v>Building</v>
      </c>
      <c r="D1812" s="2" t="str">
        <f ca="1">IFERROR(__xludf.DUMMYFUNCTION("""COMPUTED_VALUE"""),"Dubai&gt;Dubai Marina&gt;La Residence Del Mar")</f>
        <v>Dubai&gt;Dubai Marina&gt;La Residence Del Mar</v>
      </c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</row>
    <row r="1813" spans="1:26" ht="16.5" x14ac:dyDescent="0.35">
      <c r="A1813" s="2" t="str">
        <f ca="1">IFERROR(__xludf.DUMMYFUNCTION("""COMPUTED_VALUE"""),"Dubai")</f>
        <v>Dubai</v>
      </c>
      <c r="B1813" s="2" t="str">
        <f ca="1">IFERROR(__xludf.DUMMYFUNCTION("""COMPUTED_VALUE"""),"Marina Pinnacle")</f>
        <v>Marina Pinnacle</v>
      </c>
      <c r="C1813" s="2" t="str">
        <f ca="1">IFERROR(__xludf.DUMMYFUNCTION("""COMPUTED_VALUE"""),"Building")</f>
        <v>Building</v>
      </c>
      <c r="D1813" s="2" t="str">
        <f ca="1">IFERROR(__xludf.DUMMYFUNCTION("""COMPUTED_VALUE"""),"Dubai&gt;Dubai Marina&gt;Marina Pinnacle")</f>
        <v>Dubai&gt;Dubai Marina&gt;Marina Pinnacle</v>
      </c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</row>
    <row r="1814" spans="1:26" ht="16.5" x14ac:dyDescent="0.35">
      <c r="A1814" s="2" t="str">
        <f ca="1">IFERROR(__xludf.DUMMYFUNCTION("""COMPUTED_VALUE"""),"Dubai")</f>
        <v>Dubai</v>
      </c>
      <c r="B1814" s="2" t="str">
        <f ca="1">IFERROR(__xludf.DUMMYFUNCTION("""COMPUTED_VALUE"""),"Al Murjan Villas")</f>
        <v>Al Murjan Villas</v>
      </c>
      <c r="C1814" s="2" t="str">
        <f ca="1">IFERROR(__xludf.DUMMYFUNCTION("""COMPUTED_VALUE"""),"Neighbourhood")</f>
        <v>Neighbourhood</v>
      </c>
      <c r="D1814" s="2" t="str">
        <f ca="1">IFERROR(__xludf.DUMMYFUNCTION("""COMPUTED_VALUE"""),"Dubai&gt;Dubai Marina&gt;Dubai Marina Towers&gt;Al Murjan Villas")</f>
        <v>Dubai&gt;Dubai Marina&gt;Dubai Marina Towers&gt;Al Murjan Villas</v>
      </c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</row>
    <row r="1815" spans="1:26" ht="16.5" x14ac:dyDescent="0.35">
      <c r="A1815" s="2" t="str">
        <f ca="1">IFERROR(__xludf.DUMMYFUNCTION("""COMPUTED_VALUE"""),"Dubai")</f>
        <v>Dubai</v>
      </c>
      <c r="B1815" s="2" t="str">
        <f ca="1">IFERROR(__xludf.DUMMYFUNCTION("""COMPUTED_VALUE"""),"Marina Diamond 3")</f>
        <v>Marina Diamond 3</v>
      </c>
      <c r="C1815" s="2" t="str">
        <f ca="1">IFERROR(__xludf.DUMMYFUNCTION("""COMPUTED_VALUE"""),"Building")</f>
        <v>Building</v>
      </c>
      <c r="D1815" s="2" t="str">
        <f ca="1">IFERROR(__xludf.DUMMYFUNCTION("""COMPUTED_VALUE"""),"Dubai&gt;Dubai Marina&gt;Marina Diamonds&gt;Marina Diamond 3")</f>
        <v>Dubai&gt;Dubai Marina&gt;Marina Diamonds&gt;Marina Diamond 3</v>
      </c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</row>
    <row r="1816" spans="1:26" ht="16.5" x14ac:dyDescent="0.35">
      <c r="A1816" s="2" t="str">
        <f ca="1">IFERROR(__xludf.DUMMYFUNCTION("""COMPUTED_VALUE"""),"Dubai")</f>
        <v>Dubai</v>
      </c>
      <c r="B1816" s="2" t="str">
        <f ca="1">IFERROR(__xludf.DUMMYFUNCTION("""COMPUTED_VALUE"""),"Cavalli Tower")</f>
        <v>Cavalli Tower</v>
      </c>
      <c r="C1816" s="2" t="str">
        <f ca="1">IFERROR(__xludf.DUMMYFUNCTION("""COMPUTED_VALUE"""),"Building")</f>
        <v>Building</v>
      </c>
      <c r="D1816" s="2" t="str">
        <f ca="1">IFERROR(__xludf.DUMMYFUNCTION("""COMPUTED_VALUE"""),"Dubai&gt;Dubai Marina&gt;Cavalli Tower")</f>
        <v>Dubai&gt;Dubai Marina&gt;Cavalli Tower</v>
      </c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</row>
    <row r="1817" spans="1:26" ht="16.5" x14ac:dyDescent="0.35">
      <c r="A1817" s="2" t="str">
        <f ca="1">IFERROR(__xludf.DUMMYFUNCTION("""COMPUTED_VALUE"""),"Dubai")</f>
        <v>Dubai</v>
      </c>
      <c r="B1817" s="2" t="str">
        <f ca="1">IFERROR(__xludf.DUMMYFUNCTION("""COMPUTED_VALUE"""),"Crowne Plaza Hotel")</f>
        <v>Crowne Plaza Hotel</v>
      </c>
      <c r="C1817" s="2" t="str">
        <f ca="1">IFERROR(__xludf.DUMMYFUNCTION("""COMPUTED_VALUE"""),"Building")</f>
        <v>Building</v>
      </c>
      <c r="D1817" s="2" t="str">
        <f ca="1">IFERROR(__xludf.DUMMYFUNCTION("""COMPUTED_VALUE"""),"Dubai&gt;Dubai Marina&gt;Crowne Plaza Hotel")</f>
        <v>Dubai&gt;Dubai Marina&gt;Crowne Plaza Hotel</v>
      </c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</row>
    <row r="1818" spans="1:26" ht="16.5" x14ac:dyDescent="0.35">
      <c r="A1818" s="2" t="str">
        <f ca="1">IFERROR(__xludf.DUMMYFUNCTION("""COMPUTED_VALUE"""),"Dubai")</f>
        <v>Dubai</v>
      </c>
      <c r="B1818" s="2" t="str">
        <f ca="1">IFERROR(__xludf.DUMMYFUNCTION("""COMPUTED_VALUE"""),"Blakely Tower")</f>
        <v>Blakely Tower</v>
      </c>
      <c r="C1818" s="2" t="str">
        <f ca="1">IFERROR(__xludf.DUMMYFUNCTION("""COMPUTED_VALUE"""),"Building")</f>
        <v>Building</v>
      </c>
      <c r="D1818" s="2" t="str">
        <f ca="1">IFERROR(__xludf.DUMMYFUNCTION("""COMPUTED_VALUE"""),"Dubai&gt;Dubai Marina&gt;Park Island&gt;Blakely Tower")</f>
        <v>Dubai&gt;Dubai Marina&gt;Park Island&gt;Blakely Tower</v>
      </c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</row>
    <row r="1819" spans="1:26" ht="16.5" x14ac:dyDescent="0.35">
      <c r="A1819" s="2" t="str">
        <f ca="1">IFERROR(__xludf.DUMMYFUNCTION("""COMPUTED_VALUE"""),"Dubai")</f>
        <v>Dubai</v>
      </c>
      <c r="B1819" s="2" t="str">
        <f ca="1">IFERROR(__xludf.DUMMYFUNCTION("""COMPUTED_VALUE"""),"Rawda Apartments 3")</f>
        <v>Rawda Apartments 3</v>
      </c>
      <c r="C1819" s="2" t="str">
        <f ca="1">IFERROR(__xludf.DUMMYFUNCTION("""COMPUTED_VALUE"""),"Building")</f>
        <v>Building</v>
      </c>
      <c r="D1819" s="2" t="str">
        <f ca="1">IFERROR(__xludf.DUMMYFUNCTION("""COMPUTED_VALUE"""),"Dubai&gt;Town Square&gt;Rawda Apartments&gt;Rawda Apartments 3")</f>
        <v>Dubai&gt;Town Square&gt;Rawda Apartments&gt;Rawda Apartments 3</v>
      </c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</row>
    <row r="1820" spans="1:26" ht="16.5" x14ac:dyDescent="0.35">
      <c r="A1820" s="2" t="str">
        <f ca="1">IFERROR(__xludf.DUMMYFUNCTION("""COMPUTED_VALUE"""),"Dubai")</f>
        <v>Dubai</v>
      </c>
      <c r="B1820" s="2" t="str">
        <f ca="1">IFERROR(__xludf.DUMMYFUNCTION("""COMPUTED_VALUE"""),"Grove")</f>
        <v>Grove</v>
      </c>
      <c r="C1820" s="2" t="str">
        <f ca="1">IFERROR(__xludf.DUMMYFUNCTION("""COMPUTED_VALUE"""),"Building")</f>
        <v>Building</v>
      </c>
      <c r="D1820" s="2" t="str">
        <f ca="1">IFERROR(__xludf.DUMMYFUNCTION("""COMPUTED_VALUE"""),"Dubai&gt;Town Square&gt;Grove")</f>
        <v>Dubai&gt;Town Square&gt;Grove</v>
      </c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</row>
    <row r="1821" spans="1:26" ht="16.5" x14ac:dyDescent="0.35">
      <c r="A1821" s="2" t="str">
        <f ca="1">IFERROR(__xludf.DUMMYFUNCTION("""COMPUTED_VALUE"""),"Dubai")</f>
        <v>Dubai</v>
      </c>
      <c r="B1821" s="2" t="str">
        <f ca="1">IFERROR(__xludf.DUMMYFUNCTION("""COMPUTED_VALUE"""),"Al Furjan")</f>
        <v>Al Furjan</v>
      </c>
      <c r="C1821" s="2" t="str">
        <f ca="1">IFERROR(__xludf.DUMMYFUNCTION("""COMPUTED_VALUE"""),"Neighbourhood")</f>
        <v>Neighbourhood</v>
      </c>
      <c r="D1821" s="2" t="str">
        <f ca="1">IFERROR(__xludf.DUMMYFUNCTION("""COMPUTED_VALUE"""),"Dubai&gt;Al Furjan")</f>
        <v>Dubai&gt;Al Furjan</v>
      </c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</row>
    <row r="1822" spans="1:26" ht="16.5" x14ac:dyDescent="0.35">
      <c r="A1822" s="2" t="str">
        <f ca="1">IFERROR(__xludf.DUMMYFUNCTION("""COMPUTED_VALUE"""),"Dubai")</f>
        <v>Dubai</v>
      </c>
      <c r="B1822" s="2" t="str">
        <f ca="1">IFERROR(__xludf.DUMMYFUNCTION("""COMPUTED_VALUE"""),"Tilal Al Furjan")</f>
        <v>Tilal Al Furjan</v>
      </c>
      <c r="C1822" s="2" t="str">
        <f ca="1">IFERROR(__xludf.DUMMYFUNCTION("""COMPUTED_VALUE"""),"Neighbourhood")</f>
        <v>Neighbourhood</v>
      </c>
      <c r="D1822" s="2" t="str">
        <f ca="1">IFERROR(__xludf.DUMMYFUNCTION("""COMPUTED_VALUE"""),"Dubai&gt;Al Furjan&gt;Al Furjan West&gt;Tilal Al Furjan")</f>
        <v>Dubai&gt;Al Furjan&gt;Al Furjan West&gt;Tilal Al Furjan</v>
      </c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</row>
    <row r="1823" spans="1:26" ht="16.5" x14ac:dyDescent="0.35">
      <c r="A1823" s="2" t="str">
        <f ca="1">IFERROR(__xludf.DUMMYFUNCTION("""COMPUTED_VALUE"""),"Dubai")</f>
        <v>Dubai</v>
      </c>
      <c r="B1823" s="2" t="str">
        <f ca="1">IFERROR(__xludf.DUMMYFUNCTION("""COMPUTED_VALUE"""),"Farishta Azizi")</f>
        <v>Farishta Azizi</v>
      </c>
      <c r="C1823" s="2" t="str">
        <f ca="1">IFERROR(__xludf.DUMMYFUNCTION("""COMPUTED_VALUE"""),"Building")</f>
        <v>Building</v>
      </c>
      <c r="D1823" s="2" t="str">
        <f ca="1">IFERROR(__xludf.DUMMYFUNCTION("""COMPUTED_VALUE"""),"Dubai&gt;Al Furjan&gt;Farishta Azizi")</f>
        <v>Dubai&gt;Al Furjan&gt;Farishta Azizi</v>
      </c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</row>
    <row r="1824" spans="1:26" ht="16.5" x14ac:dyDescent="0.35">
      <c r="A1824" s="2" t="str">
        <f ca="1">IFERROR(__xludf.DUMMYFUNCTION("""COMPUTED_VALUE"""),"Dubai")</f>
        <v>Dubai</v>
      </c>
      <c r="B1824" s="2" t="str">
        <f ca="1">IFERROR(__xludf.DUMMYFUNCTION("""COMPUTED_VALUE"""),"Azizi Central")</f>
        <v>Azizi Central</v>
      </c>
      <c r="C1824" s="2" t="str">
        <f ca="1">IFERROR(__xludf.DUMMYFUNCTION("""COMPUTED_VALUE"""),"Building")</f>
        <v>Building</v>
      </c>
      <c r="D1824" s="2" t="str">
        <f ca="1">IFERROR(__xludf.DUMMYFUNCTION("""COMPUTED_VALUE"""),"Dubai&gt;Al Furjan&gt;Azizi Central")</f>
        <v>Dubai&gt;Al Furjan&gt;Azizi Central</v>
      </c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</row>
    <row r="1825" spans="1:26" ht="16.5" x14ac:dyDescent="0.35">
      <c r="A1825" s="2" t="str">
        <f ca="1">IFERROR(__xludf.DUMMYFUNCTION("""COMPUTED_VALUE"""),"Dubai")</f>
        <v>Dubai</v>
      </c>
      <c r="B1825" s="2" t="str">
        <f ca="1">IFERROR(__xludf.DUMMYFUNCTION("""COMPUTED_VALUE"""),"Taya Residences")</f>
        <v>Taya Residences</v>
      </c>
      <c r="C1825" s="2" t="str">
        <f ca="1">IFERROR(__xludf.DUMMYFUNCTION("""COMPUTED_VALUE"""),"Building")</f>
        <v>Building</v>
      </c>
      <c r="D1825" s="2" t="str">
        <f ca="1">IFERROR(__xludf.DUMMYFUNCTION("""COMPUTED_VALUE"""),"Dubai&gt;Al Furjan&gt;Taya Residences")</f>
        <v>Dubai&gt;Al Furjan&gt;Taya Residences</v>
      </c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</row>
    <row r="1826" spans="1:26" ht="16.5" x14ac:dyDescent="0.35">
      <c r="A1826" s="2" t="str">
        <f ca="1">IFERROR(__xludf.DUMMYFUNCTION("""COMPUTED_VALUE"""),"Dubai")</f>
        <v>Dubai</v>
      </c>
      <c r="B1826" s="2" t="str">
        <f ca="1">IFERROR(__xludf.DUMMYFUNCTION("""COMPUTED_VALUE"""),"Meydan Gated Community")</f>
        <v>Meydan Gated Community</v>
      </c>
      <c r="C1826" s="2" t="str">
        <f ca="1">IFERROR(__xludf.DUMMYFUNCTION("""COMPUTED_VALUE"""),"Neighbourhood")</f>
        <v>Neighbourhood</v>
      </c>
      <c r="D1826" s="2" t="str">
        <f ca="1">IFERROR(__xludf.DUMMYFUNCTION("""COMPUTED_VALUE"""),"Dubai&gt;Meydan City&gt;Meydan Gated Community")</f>
        <v>Dubai&gt;Meydan City&gt;Meydan Gated Community</v>
      </c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</row>
    <row r="1827" spans="1:26" ht="16.5" x14ac:dyDescent="0.35">
      <c r="A1827" s="2" t="str">
        <f ca="1">IFERROR(__xludf.DUMMYFUNCTION("""COMPUTED_VALUE"""),"Dubai")</f>
        <v>Dubai</v>
      </c>
      <c r="B1827" s="2" t="str">
        <f ca="1">IFERROR(__xludf.DUMMYFUNCTION("""COMPUTED_VALUE"""),"Azizi Riviera 11")</f>
        <v>Azizi Riviera 11</v>
      </c>
      <c r="C1827" s="2" t="str">
        <f ca="1">IFERROR(__xludf.DUMMYFUNCTION("""COMPUTED_VALUE"""),"Building")</f>
        <v>Building</v>
      </c>
      <c r="D1827" s="2" t="str">
        <f ca="1">IFERROR(__xludf.DUMMYFUNCTION("""COMPUTED_VALUE"""),"Dubai&gt;Meydan City&gt;Meydan One&gt;Azizi Riviera&gt;Azizi Riviera 11")</f>
        <v>Dubai&gt;Meydan City&gt;Meydan One&gt;Azizi Riviera&gt;Azizi Riviera 11</v>
      </c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</row>
    <row r="1828" spans="1:26" ht="16.5" x14ac:dyDescent="0.35">
      <c r="A1828" s="2" t="str">
        <f ca="1">IFERROR(__xludf.DUMMYFUNCTION("""COMPUTED_VALUE"""),"Dubai")</f>
        <v>Dubai</v>
      </c>
      <c r="B1828" s="2" t="str">
        <f ca="1">IFERROR(__xludf.DUMMYFUNCTION("""COMPUTED_VALUE"""),"Azizi Riviera 31")</f>
        <v>Azizi Riviera 31</v>
      </c>
      <c r="C1828" s="2" t="str">
        <f ca="1">IFERROR(__xludf.DUMMYFUNCTION("""COMPUTED_VALUE"""),"Building")</f>
        <v>Building</v>
      </c>
      <c r="D1828" s="2" t="str">
        <f ca="1">IFERROR(__xludf.DUMMYFUNCTION("""COMPUTED_VALUE"""),"Dubai&gt;Meydan City&gt;Meydan One&gt;Azizi Riviera&gt;Azizi Riviera 31")</f>
        <v>Dubai&gt;Meydan City&gt;Meydan One&gt;Azizi Riviera&gt;Azizi Riviera 31</v>
      </c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</row>
    <row r="1829" spans="1:26" ht="16.5" x14ac:dyDescent="0.35">
      <c r="A1829" s="2" t="str">
        <f ca="1">IFERROR(__xludf.DUMMYFUNCTION("""COMPUTED_VALUE"""),"Dubai")</f>
        <v>Dubai</v>
      </c>
      <c r="B1829" s="2" t="str">
        <f ca="1">IFERROR(__xludf.DUMMYFUNCTION("""COMPUTED_VALUE"""),"Residence 1 at Meydan Avenue")</f>
        <v>Residence 1 at Meydan Avenue</v>
      </c>
      <c r="C1829" s="2" t="str">
        <f ca="1">IFERROR(__xludf.DUMMYFUNCTION("""COMPUTED_VALUE"""),"Cluster")</f>
        <v>Cluster</v>
      </c>
      <c r="D1829" s="2" t="str">
        <f ca="1">IFERROR(__xludf.DUMMYFUNCTION("""COMPUTED_VALUE"""),"Dubai&gt;Meydan City&gt;Meydan Avenue&gt;Residence 1 at Meydan Avenue")</f>
        <v>Dubai&gt;Meydan City&gt;Meydan Avenue&gt;Residence 1 at Meydan Avenue</v>
      </c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</row>
    <row r="1830" spans="1:26" ht="16.5" x14ac:dyDescent="0.35">
      <c r="A1830" s="2" t="str">
        <f ca="1">IFERROR(__xludf.DUMMYFUNCTION("""COMPUTED_VALUE"""),"Dubai")</f>
        <v>Dubai</v>
      </c>
      <c r="B1830" s="2" t="str">
        <f ca="1">IFERROR(__xludf.DUMMYFUNCTION("""COMPUTED_VALUE"""),"Polo Residence D3")</f>
        <v>Polo Residence D3</v>
      </c>
      <c r="C1830" s="2" t="str">
        <f ca="1">IFERROR(__xludf.DUMMYFUNCTION("""COMPUTED_VALUE"""),"Building")</f>
        <v>Building</v>
      </c>
      <c r="D1830" s="2" t="str">
        <f ca="1">IFERROR(__xludf.DUMMYFUNCTION("""COMPUTED_VALUE"""),"Dubai&gt;Meydan City&gt;Meydan Avenue&gt;Polo Residence&gt;Polo Residence D3")</f>
        <v>Dubai&gt;Meydan City&gt;Meydan Avenue&gt;Polo Residence&gt;Polo Residence D3</v>
      </c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</row>
    <row r="1831" spans="1:26" ht="16.5" x14ac:dyDescent="0.35">
      <c r="A1831" s="2" t="str">
        <f ca="1">IFERROR(__xludf.DUMMYFUNCTION("""COMPUTED_VALUE"""),"Dubai")</f>
        <v>Dubai</v>
      </c>
      <c r="B1831" s="2" t="str">
        <f ca="1">IFERROR(__xludf.DUMMYFUNCTION("""COMPUTED_VALUE"""),"Arthouse Residences")</f>
        <v>Arthouse Residences</v>
      </c>
      <c r="C1831" s="2" t="str">
        <f ca="1">IFERROR(__xludf.DUMMYFUNCTION("""COMPUTED_VALUE"""),"Building")</f>
        <v>Building</v>
      </c>
      <c r="D1831" s="2" t="str">
        <f ca="1">IFERROR(__xludf.DUMMYFUNCTION("""COMPUTED_VALUE"""),"Dubai&gt;Meydan City&gt;Meydan Avenue&gt;Arthouse Residences")</f>
        <v>Dubai&gt;Meydan City&gt;Meydan Avenue&gt;Arthouse Residences</v>
      </c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</row>
    <row r="1832" spans="1:26" ht="16.5" x14ac:dyDescent="0.35">
      <c r="A1832" s="2" t="str">
        <f ca="1">IFERROR(__xludf.DUMMYFUNCTION("""COMPUTED_VALUE"""),"Dubai")</f>
        <v>Dubai</v>
      </c>
      <c r="B1832" s="2" t="str">
        <f ca="1">IFERROR(__xludf.DUMMYFUNCTION("""COMPUTED_VALUE"""),"Al Samar 2")</f>
        <v>Al Samar 2</v>
      </c>
      <c r="C1832" s="2" t="str">
        <f ca="1">IFERROR(__xludf.DUMMYFUNCTION("""COMPUTED_VALUE"""),"Building")</f>
        <v>Building</v>
      </c>
      <c r="D1832" s="2" t="str">
        <f ca="1">IFERROR(__xludf.DUMMYFUNCTION("""COMPUTED_VALUE"""),"Dubai&gt;The Greens&gt;Al Samar&gt;Al Samar 2")</f>
        <v>Dubai&gt;The Greens&gt;Al Samar&gt;Al Samar 2</v>
      </c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</row>
    <row r="1833" spans="1:26" ht="16.5" x14ac:dyDescent="0.35">
      <c r="A1833" s="2" t="str">
        <f ca="1">IFERROR(__xludf.DUMMYFUNCTION("""COMPUTED_VALUE"""),"Dubai")</f>
        <v>Dubai</v>
      </c>
      <c r="B1833" s="2" t="str">
        <f ca="1">IFERROR(__xludf.DUMMYFUNCTION("""COMPUTED_VALUE"""),"Al Sidir")</f>
        <v>Al Sidir</v>
      </c>
      <c r="C1833" s="2" t="str">
        <f ca="1">IFERROR(__xludf.DUMMYFUNCTION("""COMPUTED_VALUE"""),"Cluster")</f>
        <v>Cluster</v>
      </c>
      <c r="D1833" s="2" t="str">
        <f ca="1">IFERROR(__xludf.DUMMYFUNCTION("""COMPUTED_VALUE"""),"Dubai&gt;The Greens&gt;Al Sidir")</f>
        <v>Dubai&gt;The Greens&gt;Al Sidir</v>
      </c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</row>
    <row r="1834" spans="1:26" ht="16.5" x14ac:dyDescent="0.35">
      <c r="A1834" s="2" t="str">
        <f ca="1">IFERROR(__xludf.DUMMYFUNCTION("""COMPUTED_VALUE"""),"Dubai")</f>
        <v>Dubai</v>
      </c>
      <c r="B1834" s="2" t="str">
        <f ca="1">IFERROR(__xludf.DUMMYFUNCTION("""COMPUTED_VALUE"""),"Noor 6")</f>
        <v>Noor 6</v>
      </c>
      <c r="C1834" s="2" t="str">
        <f ca="1">IFERROR(__xludf.DUMMYFUNCTION("""COMPUTED_VALUE"""),"Building")</f>
        <v>Building</v>
      </c>
      <c r="D1834" s="2" t="str">
        <f ca="1">IFERROR(__xludf.DUMMYFUNCTION("""COMPUTED_VALUE"""),"Dubai&gt;Dubai Production City (IMPZ)&gt;Midtown&gt;Noor District&gt;Noor 6")</f>
        <v>Dubai&gt;Dubai Production City (IMPZ)&gt;Midtown&gt;Noor District&gt;Noor 6</v>
      </c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</row>
    <row r="1835" spans="1:26" ht="16.5" x14ac:dyDescent="0.35">
      <c r="A1835" s="2" t="str">
        <f ca="1">IFERROR(__xludf.DUMMYFUNCTION("""COMPUTED_VALUE"""),"Dubai")</f>
        <v>Dubai</v>
      </c>
      <c r="B1835" s="2" t="str">
        <f ca="1">IFERROR(__xludf.DUMMYFUNCTION("""COMPUTED_VALUE"""),"MJM Residences")</f>
        <v>MJM Residences</v>
      </c>
      <c r="C1835" s="2" t="str">
        <f ca="1">IFERROR(__xludf.DUMMYFUNCTION("""COMPUTED_VALUE"""),"Cluster")</f>
        <v>Cluster</v>
      </c>
      <c r="D1835" s="2" t="str">
        <f ca="1">IFERROR(__xludf.DUMMYFUNCTION("""COMPUTED_VALUE"""),"Dubai&gt;Dubai Production City (IMPZ)&gt;MJM Residences")</f>
        <v>Dubai&gt;Dubai Production City (IMPZ)&gt;MJM Residences</v>
      </c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</row>
    <row r="1836" spans="1:26" ht="16.5" x14ac:dyDescent="0.35">
      <c r="A1836" s="2" t="str">
        <f ca="1">IFERROR(__xludf.DUMMYFUNCTION("""COMPUTED_VALUE"""),"Dubai")</f>
        <v>Dubai</v>
      </c>
      <c r="B1836" s="2" t="str">
        <f ca="1">IFERROR(__xludf.DUMMYFUNCTION("""COMPUTED_VALUE"""),"Domus Indigo")</f>
        <v>Domus Indigo</v>
      </c>
      <c r="C1836" s="2" t="str">
        <f ca="1">IFERROR(__xludf.DUMMYFUNCTION("""COMPUTED_VALUE"""),"Cluster")</f>
        <v>Cluster</v>
      </c>
      <c r="D1836" s="2" t="str">
        <f ca="1">IFERROR(__xludf.DUMMYFUNCTION("""COMPUTED_VALUE"""),"Dubai&gt;Dubai Production City (IMPZ)&gt;Domus Indigo")</f>
        <v>Dubai&gt;Dubai Production City (IMPZ)&gt;Domus Indigo</v>
      </c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</row>
    <row r="1837" spans="1:26" ht="16.5" x14ac:dyDescent="0.35">
      <c r="A1837" s="2" t="str">
        <f ca="1">IFERROR(__xludf.DUMMYFUNCTION("""COMPUTED_VALUE"""),"Dubai")</f>
        <v>Dubai</v>
      </c>
      <c r="B1837" s="2" t="str">
        <f ca="1">IFERROR(__xludf.DUMMYFUNCTION("""COMPUTED_VALUE"""),"The International School of Choueifat DIP")</f>
        <v>The International School of Choueifat DIP</v>
      </c>
      <c r="C1837" s="2" t="str">
        <f ca="1">IFERROR(__xludf.DUMMYFUNCTION("""COMPUTED_VALUE"""),"School")</f>
        <v>School</v>
      </c>
      <c r="D1837" s="2" t="str">
        <f ca="1">IFERROR(__xludf.DUMMYFUNCTION("""COMPUTED_VALUE"""),"Dubai&gt;Dubai Industrial City&gt;The International School of Choueifat DIP")</f>
        <v>Dubai&gt;Dubai Industrial City&gt;The International School of Choueifat DIP</v>
      </c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</row>
    <row r="1838" spans="1:26" ht="16.5" x14ac:dyDescent="0.35">
      <c r="A1838" s="2" t="str">
        <f ca="1">IFERROR(__xludf.DUMMYFUNCTION("""COMPUTED_VALUE"""),"Dubai")</f>
        <v>Dubai</v>
      </c>
      <c r="B1838" s="2" t="str">
        <f ca="1">IFERROR(__xludf.DUMMYFUNCTION("""COMPUTED_VALUE"""),"Al Haseen Residences 3")</f>
        <v>Al Haseen Residences 3</v>
      </c>
      <c r="C1838" s="2" t="str">
        <f ca="1">IFERROR(__xludf.DUMMYFUNCTION("""COMPUTED_VALUE"""),"Building")</f>
        <v>Building</v>
      </c>
      <c r="D1838" s="2" t="str">
        <f ca="1">IFERROR(__xludf.DUMMYFUNCTION("""COMPUTED_VALUE"""),"Dubai&gt;Dubai Industrial City&gt;Al Haseen Residences 3")</f>
        <v>Dubai&gt;Dubai Industrial City&gt;Al Haseen Residences 3</v>
      </c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</row>
    <row r="1839" spans="1:26" ht="16.5" x14ac:dyDescent="0.35">
      <c r="A1839" s="2" t="str">
        <f ca="1">IFERROR(__xludf.DUMMYFUNCTION("""COMPUTED_VALUE"""),"Dubai")</f>
        <v>Dubai</v>
      </c>
      <c r="B1839" s="2" t="str">
        <f ca="1">IFERROR(__xludf.DUMMYFUNCTION("""COMPUTED_VALUE"""),"IST Plaza")</f>
        <v>IST Plaza</v>
      </c>
      <c r="C1839" s="2" t="str">
        <f ca="1">IFERROR(__xludf.DUMMYFUNCTION("""COMPUTED_VALUE"""),"Building")</f>
        <v>Building</v>
      </c>
      <c r="D1839" s="2" t="str">
        <f ca="1">IFERROR(__xludf.DUMMYFUNCTION("""COMPUTED_VALUE"""),"Dubai&gt;Umm Al Sheif&gt;IST Plaza")</f>
        <v>Dubai&gt;Umm Al Sheif&gt;IST Plaza</v>
      </c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</row>
    <row r="1840" spans="1:26" ht="16.5" x14ac:dyDescent="0.35">
      <c r="A1840" s="2" t="str">
        <f ca="1">IFERROR(__xludf.DUMMYFUNCTION("""COMPUTED_VALUE"""),"Dubai")</f>
        <v>Dubai</v>
      </c>
      <c r="B1840" s="2" t="str">
        <f ca="1">IFERROR(__xludf.DUMMYFUNCTION("""COMPUTED_VALUE"""),"Azura Residences")</f>
        <v>Azura Residences</v>
      </c>
      <c r="C1840" s="2" t="str">
        <f ca="1">IFERROR(__xludf.DUMMYFUNCTION("""COMPUTED_VALUE"""),"Building")</f>
        <v>Building</v>
      </c>
      <c r="D1840" s="2" t="str">
        <f ca="1">IFERROR(__xludf.DUMMYFUNCTION("""COMPUTED_VALUE"""),"Dubai&gt;Dubai Islands&gt;Azura Residences")</f>
        <v>Dubai&gt;Dubai Islands&gt;Azura Residences</v>
      </c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</row>
    <row r="1841" spans="1:26" ht="16.5" x14ac:dyDescent="0.35">
      <c r="A1841" s="2" t="str">
        <f ca="1">IFERROR(__xludf.DUMMYFUNCTION("""COMPUTED_VALUE"""),"Dubai")</f>
        <v>Dubai</v>
      </c>
      <c r="B1841" s="2" t="str">
        <f ca="1">IFERROR(__xludf.DUMMYFUNCTION("""COMPUTED_VALUE"""),"Bay Grove Residences C Building 8")</f>
        <v>Bay Grove Residences C Building 8</v>
      </c>
      <c r="C1841" s="2" t="str">
        <f ca="1">IFERROR(__xludf.DUMMYFUNCTION("""COMPUTED_VALUE"""),"Building")</f>
        <v>Building</v>
      </c>
      <c r="D1841" s="2" t="str">
        <f ca="1">IFERROR(__xludf.DUMMYFUNCTION("""COMPUTED_VALUE"""),"Dubai&gt;Dubai Islands&gt;Bay Grove Residences C&gt;Bay Grove Residences C Building 8")</f>
        <v>Dubai&gt;Dubai Islands&gt;Bay Grove Residences C&gt;Bay Grove Residences C Building 8</v>
      </c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</row>
    <row r="1842" spans="1:26" ht="16.5" x14ac:dyDescent="0.35">
      <c r="A1842" s="2" t="str">
        <f ca="1">IFERROR(__xludf.DUMMYFUNCTION("""COMPUTED_VALUE"""),"Dubai")</f>
        <v>Dubai</v>
      </c>
      <c r="B1842" s="2" t="str">
        <f ca="1">IFERROR(__xludf.DUMMYFUNCTION("""COMPUTED_VALUE"""),"Bay Grove Residences B Building B5")</f>
        <v>Bay Grove Residences B Building B5</v>
      </c>
      <c r="C1842" s="2" t="str">
        <f ca="1">IFERROR(__xludf.DUMMYFUNCTION("""COMPUTED_VALUE"""),"Building")</f>
        <v>Building</v>
      </c>
      <c r="D1842" s="2" t="str">
        <f ca="1">IFERROR(__xludf.DUMMYFUNCTION("""COMPUTED_VALUE"""),"Dubai&gt;Dubai Islands&gt;Bay Grove Residences B&gt;Bay Grove Residences B Building B5")</f>
        <v>Dubai&gt;Dubai Islands&gt;Bay Grove Residences B&gt;Bay Grove Residences B Building B5</v>
      </c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</row>
    <row r="1843" spans="1:26" ht="16.5" x14ac:dyDescent="0.35">
      <c r="A1843" s="2" t="str">
        <f ca="1">IFERROR(__xludf.DUMMYFUNCTION("""COMPUTED_VALUE"""),"Dubai")</f>
        <v>Dubai</v>
      </c>
      <c r="B1843" s="2" t="str">
        <f ca="1">IFERROR(__xludf.DUMMYFUNCTION("""COMPUTED_VALUE"""),"Silena Residences")</f>
        <v>Silena Residences</v>
      </c>
      <c r="C1843" s="2" t="str">
        <f ca="1">IFERROR(__xludf.DUMMYFUNCTION("""COMPUTED_VALUE"""),"Cluster")</f>
        <v>Cluster</v>
      </c>
      <c r="D1843" s="2" t="str">
        <f ca="1">IFERROR(__xludf.DUMMYFUNCTION("""COMPUTED_VALUE"""),"Dubai&gt;Dubai Islands&gt;Silena Residences")</f>
        <v>Dubai&gt;Dubai Islands&gt;Silena Residences</v>
      </c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</row>
    <row r="1844" spans="1:26" ht="16.5" x14ac:dyDescent="0.35">
      <c r="A1844" s="2" t="str">
        <f ca="1">IFERROR(__xludf.DUMMYFUNCTION("""COMPUTED_VALUE"""),"Dubai")</f>
        <v>Dubai</v>
      </c>
      <c r="B1844" s="2" t="str">
        <f ca="1">IFERROR(__xludf.DUMMYFUNCTION("""COMPUTED_VALUE"""),"Lia")</f>
        <v>Lia</v>
      </c>
      <c r="C1844" s="2" t="str">
        <f ca="1">IFERROR(__xludf.DUMMYFUNCTION("""COMPUTED_VALUE"""),"Building")</f>
        <v>Building</v>
      </c>
      <c r="D1844" s="2" t="str">
        <f ca="1">IFERROR(__xludf.DUMMYFUNCTION("""COMPUTED_VALUE"""),"Dubai&gt;Dubai Islands&gt;Lia")</f>
        <v>Dubai&gt;Dubai Islands&gt;Lia</v>
      </c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</row>
    <row r="1845" spans="1:26" ht="16.5" x14ac:dyDescent="0.35">
      <c r="A1845" s="2" t="str">
        <f ca="1">IFERROR(__xludf.DUMMYFUNCTION("""COMPUTED_VALUE"""),"Dubai")</f>
        <v>Dubai</v>
      </c>
      <c r="B1845" s="2" t="str">
        <f ca="1">IFERROR(__xludf.DUMMYFUNCTION("""COMPUTED_VALUE"""),"Rukan 1")</f>
        <v>Rukan 1</v>
      </c>
      <c r="C1845" s="2" t="str">
        <f ca="1">IFERROR(__xludf.DUMMYFUNCTION("""COMPUTED_VALUE"""),"Neighbourhood")</f>
        <v>Neighbourhood</v>
      </c>
      <c r="D1845" s="2" t="str">
        <f ca="1">IFERROR(__xludf.DUMMYFUNCTION("""COMPUTED_VALUE"""),"Dubai&gt;Dubailand&gt;Rukan&gt;Rukan 1")</f>
        <v>Dubai&gt;Dubailand&gt;Rukan&gt;Rukan 1</v>
      </c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</row>
    <row r="1846" spans="1:26" ht="16.5" x14ac:dyDescent="0.35">
      <c r="A1846" s="2" t="str">
        <f ca="1">IFERROR(__xludf.DUMMYFUNCTION("""COMPUTED_VALUE"""),"Dubai")</f>
        <v>Dubai</v>
      </c>
      <c r="B1846" s="2" t="str">
        <f ca="1">IFERROR(__xludf.DUMMYFUNCTION("""COMPUTED_VALUE"""),"Teema")</f>
        <v>Teema</v>
      </c>
      <c r="C1846" s="2" t="str">
        <f ca="1">IFERROR(__xludf.DUMMYFUNCTION("""COMPUTED_VALUE"""),"Neighbourhood")</f>
        <v>Neighbourhood</v>
      </c>
      <c r="D1846" s="2" t="str">
        <f ca="1">IFERROR(__xludf.DUMMYFUNCTION("""COMPUTED_VALUE"""),"Dubai&gt;Dubailand&gt;Teema")</f>
        <v>Dubai&gt;Dubailand&gt;Teema</v>
      </c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</row>
    <row r="1847" spans="1:26" ht="16.5" x14ac:dyDescent="0.35">
      <c r="A1847" s="2" t="str">
        <f ca="1">IFERROR(__xludf.DUMMYFUNCTION("""COMPUTED_VALUE"""),"Dubai")</f>
        <v>Dubai</v>
      </c>
      <c r="B1847" s="2" t="str">
        <f ca="1">IFERROR(__xludf.DUMMYFUNCTION("""COMPUTED_VALUE"""),"The Apartments Dubai World Trade Centre")</f>
        <v>The Apartments Dubai World Trade Centre</v>
      </c>
      <c r="C1847" s="2" t="str">
        <f ca="1">IFERROR(__xludf.DUMMYFUNCTION("""COMPUTED_VALUE"""),"Cluster")</f>
        <v>Cluster</v>
      </c>
      <c r="D1847" s="2" t="str">
        <f ca="1">IFERROR(__xludf.DUMMYFUNCTION("""COMPUTED_VALUE"""),"Dubai&gt;World Trade Centre&gt;The Apartments Dubai World Trade Centre")</f>
        <v>Dubai&gt;World Trade Centre&gt;The Apartments Dubai World Trade Centre</v>
      </c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</row>
    <row r="1848" spans="1:26" ht="16.5" x14ac:dyDescent="0.35">
      <c r="A1848" s="2" t="str">
        <f ca="1">IFERROR(__xludf.DUMMYFUNCTION("""COMPUTED_VALUE"""),"Dubai")</f>
        <v>Dubai</v>
      </c>
      <c r="B1848" s="2" t="str">
        <f ca="1">IFERROR(__xludf.DUMMYFUNCTION("""COMPUTED_VALUE"""),"Al Sadiq Islamic English School, Al Qusais")</f>
        <v>Al Sadiq Islamic English School, Al Qusais</v>
      </c>
      <c r="C1848" s="2" t="str">
        <f ca="1">IFERROR(__xludf.DUMMYFUNCTION("""COMPUTED_VALUE"""),"School")</f>
        <v>School</v>
      </c>
      <c r="D1848" s="2" t="str">
        <f ca="1">IFERROR(__xludf.DUMMYFUNCTION("""COMPUTED_VALUE"""),"Dubai&gt;Al Qusais&gt;Al Qusais Residential Area&gt;Al Qusais 2&gt;Al Sadiq Islamic English School, Al Qusais")</f>
        <v>Dubai&gt;Al Qusais&gt;Al Qusais Residential Area&gt;Al Qusais 2&gt;Al Sadiq Islamic English School, Al Qusais</v>
      </c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</row>
    <row r="1849" spans="1:26" ht="16.5" x14ac:dyDescent="0.35">
      <c r="A1849" s="2" t="str">
        <f ca="1">IFERROR(__xludf.DUMMYFUNCTION("""COMPUTED_VALUE"""),"Dubai")</f>
        <v>Dubai</v>
      </c>
      <c r="B1849" s="2" t="str">
        <f ca="1">IFERROR(__xludf.DUMMYFUNCTION("""COMPUTED_VALUE"""),"Dubai National School, Al Twar")</f>
        <v>Dubai National School, Al Twar</v>
      </c>
      <c r="C1849" s="2" t="str">
        <f ca="1">IFERROR(__xludf.DUMMYFUNCTION("""COMPUTED_VALUE"""),"School")</f>
        <v>School</v>
      </c>
      <c r="D1849" s="2" t="str">
        <f ca="1">IFERROR(__xludf.DUMMYFUNCTION("""COMPUTED_VALUE"""),"Dubai&gt;Al Qusais&gt;Al Qusais Residential Area&gt;Al Qusais 1&gt;Dubai National School, Al Twar")</f>
        <v>Dubai&gt;Al Qusais&gt;Al Qusais Residential Area&gt;Al Qusais 1&gt;Dubai National School, Al Twar</v>
      </c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</row>
    <row r="1850" spans="1:26" ht="16.5" x14ac:dyDescent="0.35">
      <c r="A1850" s="2" t="str">
        <f ca="1">IFERROR(__xludf.DUMMYFUNCTION("""COMPUTED_VALUE"""),"Dubai")</f>
        <v>Dubai</v>
      </c>
      <c r="B1850" s="2" t="str">
        <f ca="1">IFERROR(__xludf.DUMMYFUNCTION("""COMPUTED_VALUE"""),"Q2 Building")</f>
        <v>Q2 Building</v>
      </c>
      <c r="C1850" s="2" t="str">
        <f ca="1">IFERROR(__xludf.DUMMYFUNCTION("""COMPUTED_VALUE"""),"Building")</f>
        <v>Building</v>
      </c>
      <c r="D1850" s="2" t="str">
        <f ca="1">IFERROR(__xludf.DUMMYFUNCTION("""COMPUTED_VALUE"""),"Dubai&gt;Al Qusais&gt;Al Qusais Residential Area&gt;Al Qusais 2&gt;Q2 Building")</f>
        <v>Dubai&gt;Al Qusais&gt;Al Qusais Residential Area&gt;Al Qusais 2&gt;Q2 Building</v>
      </c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</row>
    <row r="1851" spans="1:26" ht="16.5" x14ac:dyDescent="0.35">
      <c r="A1851" s="2" t="str">
        <f ca="1">IFERROR(__xludf.DUMMYFUNCTION("""COMPUTED_VALUE"""),"Dubai")</f>
        <v>Dubai</v>
      </c>
      <c r="B1851" s="2" t="str">
        <f ca="1">IFERROR(__xludf.DUMMYFUNCTION("""COMPUTED_VALUE"""),"Rainbow Residence 1")</f>
        <v>Rainbow Residence 1</v>
      </c>
      <c r="C1851" s="2" t="str">
        <f ca="1">IFERROR(__xludf.DUMMYFUNCTION("""COMPUTED_VALUE"""),"Building")</f>
        <v>Building</v>
      </c>
      <c r="D1851" s="2" t="str">
        <f ca="1">IFERROR(__xludf.DUMMYFUNCTION("""COMPUTED_VALUE"""),"Dubai&gt;Al Qusais&gt;Al Qusais Residential Area&gt;Al Qusais 1&gt;Rainbow Residences&gt;Rainbow Residence 1")</f>
        <v>Dubai&gt;Al Qusais&gt;Al Qusais Residential Area&gt;Al Qusais 1&gt;Rainbow Residences&gt;Rainbow Residence 1</v>
      </c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</row>
    <row r="1852" spans="1:26" ht="16.5" x14ac:dyDescent="0.35">
      <c r="A1852" s="2" t="str">
        <f ca="1">IFERROR(__xludf.DUMMYFUNCTION("""COMPUTED_VALUE"""),"Dubai")</f>
        <v>Dubai</v>
      </c>
      <c r="B1852" s="2" t="str">
        <f ca="1">IFERROR(__xludf.DUMMYFUNCTION("""COMPUTED_VALUE"""),"Al Qusais Industrial 5")</f>
        <v>Al Qusais Industrial 5</v>
      </c>
      <c r="C1852" s="2" t="str">
        <f ca="1">IFERROR(__xludf.DUMMYFUNCTION("""COMPUTED_VALUE"""),"Neighbourhood")</f>
        <v>Neighbourhood</v>
      </c>
      <c r="D1852" s="2" t="str">
        <f ca="1">IFERROR(__xludf.DUMMYFUNCTION("""COMPUTED_VALUE"""),"Dubai&gt;Al Qusais&gt;Al Qusais Industrial Area&gt;Al Qusais Industrial 5")</f>
        <v>Dubai&gt;Al Qusais&gt;Al Qusais Industrial Area&gt;Al Qusais Industrial 5</v>
      </c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</row>
    <row r="1853" spans="1:26" ht="16.5" x14ac:dyDescent="0.35">
      <c r="A1853" s="2" t="str">
        <f ca="1">IFERROR(__xludf.DUMMYFUNCTION("""COMPUTED_VALUE"""),"Dubai")</f>
        <v>Dubai</v>
      </c>
      <c r="B1853" s="2" t="str">
        <f ca="1">IFERROR(__xludf.DUMMYFUNCTION("""COMPUTED_VALUE"""),"Abdulla Ahmad Mohammed Bin Fahad 4 Building")</f>
        <v>Abdulla Ahmad Mohammed Bin Fahad 4 Building</v>
      </c>
      <c r="C1853" s="2" t="str">
        <f ca="1">IFERROR(__xludf.DUMMYFUNCTION("""COMPUTED_VALUE"""),"Building")</f>
        <v>Building</v>
      </c>
      <c r="D1853" s="2" t="str">
        <f ca="1">IFERROR(__xludf.DUMMYFUNCTION("""COMPUTED_VALUE"""),"Dubai&gt;Al Qusais&gt;Al Qusais Industrial Area&gt;Al Qusais Industrial 2&gt;Abdulla Ahmad Mohammed Bin Fahad 4 Building")</f>
        <v>Dubai&gt;Al Qusais&gt;Al Qusais Industrial Area&gt;Al Qusais Industrial 2&gt;Abdulla Ahmad Mohammed Bin Fahad 4 Building</v>
      </c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</row>
    <row r="1854" spans="1:26" ht="16.5" x14ac:dyDescent="0.35">
      <c r="A1854" s="2" t="str">
        <f ca="1">IFERROR(__xludf.DUMMYFUNCTION("""COMPUTED_VALUE"""),"Dubai")</f>
        <v>Dubai</v>
      </c>
      <c r="B1854" s="2" t="str">
        <f ca="1">IFERROR(__xludf.DUMMYFUNCTION("""COMPUTED_VALUE"""),"Palace Residence Building 2")</f>
        <v>Palace Residence Building 2</v>
      </c>
      <c r="C1854" s="2" t="str">
        <f ca="1">IFERROR(__xludf.DUMMYFUNCTION("""COMPUTED_VALUE"""),"Building")</f>
        <v>Building</v>
      </c>
      <c r="D1854" s="2" t="str">
        <f ca="1">IFERROR(__xludf.DUMMYFUNCTION("""COMPUTED_VALUE"""),"Dubai&gt;Dubai Hills Estate&gt;Park Heights&gt;Palace Residences&gt;Palace Residence Building 2")</f>
        <v>Dubai&gt;Dubai Hills Estate&gt;Park Heights&gt;Palace Residences&gt;Palace Residence Building 2</v>
      </c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</row>
    <row r="1855" spans="1:26" ht="16.5" x14ac:dyDescent="0.35">
      <c r="A1855" s="2" t="str">
        <f ca="1">IFERROR(__xludf.DUMMYFUNCTION("""COMPUTED_VALUE"""),"Dubai")</f>
        <v>Dubai</v>
      </c>
      <c r="B1855" s="2" t="str">
        <f ca="1">IFERROR(__xludf.DUMMYFUNCTION("""COMPUTED_VALUE"""),"Gardenia Block B")</f>
        <v>Gardenia Block B</v>
      </c>
      <c r="C1855" s="2" t="str">
        <f ca="1">IFERROR(__xludf.DUMMYFUNCTION("""COMPUTED_VALUE"""),"Building")</f>
        <v>Building</v>
      </c>
      <c r="D1855" s="2" t="str">
        <f ca="1">IFERROR(__xludf.DUMMYFUNCTION("""COMPUTED_VALUE"""),"Dubai&gt;Dubai Hills Estate&gt;Gardenia Residence&gt;Gardenia Block B")</f>
        <v>Dubai&gt;Dubai Hills Estate&gt;Gardenia Residence&gt;Gardenia Block B</v>
      </c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</row>
    <row r="1856" spans="1:26" ht="16.5" x14ac:dyDescent="0.35">
      <c r="A1856" s="2" t="str">
        <f ca="1">IFERROR(__xludf.DUMMYFUNCTION("""COMPUTED_VALUE"""),"Dubai")</f>
        <v>Dubai</v>
      </c>
      <c r="B1856" s="2" t="str">
        <f ca="1">IFERROR(__xludf.DUMMYFUNCTION("""COMPUTED_VALUE"""),"The Grove by Iman")</f>
        <v>The Grove by Iman</v>
      </c>
      <c r="C1856" s="2" t="str">
        <f ca="1">IFERROR(__xludf.DUMMYFUNCTION("""COMPUTED_VALUE"""),"Building")</f>
        <v>Building</v>
      </c>
      <c r="D1856" s="2" t="str">
        <f ca="1">IFERROR(__xludf.DUMMYFUNCTION("""COMPUTED_VALUE"""),"Dubai&gt;Dubai Hills Estate&gt;The Grove by Iman")</f>
        <v>Dubai&gt;Dubai Hills Estate&gt;The Grove by Iman</v>
      </c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</row>
    <row r="1857" spans="1:26" ht="16.5" x14ac:dyDescent="0.35">
      <c r="A1857" s="2" t="str">
        <f ca="1">IFERROR(__xludf.DUMMYFUNCTION("""COMPUTED_VALUE"""),"Dubai")</f>
        <v>Dubai</v>
      </c>
      <c r="B1857" s="2" t="str">
        <f ca="1">IFERROR(__xludf.DUMMYFUNCTION("""COMPUTED_VALUE"""),"Park Lane Building 3")</f>
        <v>Park Lane Building 3</v>
      </c>
      <c r="C1857" s="2" t="str">
        <f ca="1">IFERROR(__xludf.DUMMYFUNCTION("""COMPUTED_VALUE"""),"Building")</f>
        <v>Building</v>
      </c>
      <c r="D1857" s="2" t="str">
        <f ca="1">IFERROR(__xludf.DUMMYFUNCTION("""COMPUTED_VALUE"""),"Dubai&gt;Dubai Hills Estate&gt;Park Lane&gt;Park Lane Building 3")</f>
        <v>Dubai&gt;Dubai Hills Estate&gt;Park Lane&gt;Park Lane Building 3</v>
      </c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</row>
    <row r="1858" spans="1:26" ht="16.5" x14ac:dyDescent="0.35">
      <c r="A1858" s="2" t="str">
        <f ca="1">IFERROR(__xludf.DUMMYFUNCTION("""COMPUTED_VALUE"""),"Dubai")</f>
        <v>Dubai</v>
      </c>
      <c r="B1858" s="2" t="str">
        <f ca="1">IFERROR(__xludf.DUMMYFUNCTION("""COMPUTED_VALUE"""),"Al Mashoura Building")</f>
        <v>Al Mashoura Building</v>
      </c>
      <c r="C1858" s="2" t="str">
        <f ca="1">IFERROR(__xludf.DUMMYFUNCTION("""COMPUTED_VALUE"""),"Building")</f>
        <v>Building</v>
      </c>
      <c r="D1858" s="2" t="str">
        <f ca="1">IFERROR(__xludf.DUMMYFUNCTION("""COMPUTED_VALUE"""),"Dubai&gt;Deira&gt;Al Muraqqabat&gt;Al Mashoura Building")</f>
        <v>Dubai&gt;Deira&gt;Al Muraqqabat&gt;Al Mashoura Building</v>
      </c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</row>
    <row r="1859" spans="1:26" ht="16.5" x14ac:dyDescent="0.35">
      <c r="A1859" s="2" t="str">
        <f ca="1">IFERROR(__xludf.DUMMYFUNCTION("""COMPUTED_VALUE"""),"Dubai")</f>
        <v>Dubai</v>
      </c>
      <c r="B1859" s="2" t="str">
        <f ca="1">IFERROR(__xludf.DUMMYFUNCTION("""COMPUTED_VALUE"""),"Juma Al Majid Block F1")</f>
        <v>Juma Al Majid Block F1</v>
      </c>
      <c r="C1859" s="2" t="str">
        <f ca="1">IFERROR(__xludf.DUMMYFUNCTION("""COMPUTED_VALUE"""),"Building")</f>
        <v>Building</v>
      </c>
      <c r="D1859" s="2" t="str">
        <f ca="1">IFERROR(__xludf.DUMMYFUNCTION("""COMPUTED_VALUE"""),"Dubai&gt;Deira&gt;Al Muraqqabat&gt;Juma Al Majid Building&gt;Juma Al Majid Block F1")</f>
        <v>Dubai&gt;Deira&gt;Al Muraqqabat&gt;Juma Al Majid Building&gt;Juma Al Majid Block F1</v>
      </c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</row>
    <row r="1860" spans="1:26" ht="16.5" x14ac:dyDescent="0.35">
      <c r="A1860" s="2" t="str">
        <f ca="1">IFERROR(__xludf.DUMMYFUNCTION("""COMPUTED_VALUE"""),"Dubai")</f>
        <v>Dubai</v>
      </c>
      <c r="B1860" s="2" t="str">
        <f ca="1">IFERROR(__xludf.DUMMYFUNCTION("""COMPUTED_VALUE"""),"Green Tower")</f>
        <v>Green Tower</v>
      </c>
      <c r="C1860" s="2" t="str">
        <f ca="1">IFERROR(__xludf.DUMMYFUNCTION("""COMPUTED_VALUE"""),"Building")</f>
        <v>Building</v>
      </c>
      <c r="D1860" s="2" t="str">
        <f ca="1">IFERROR(__xludf.DUMMYFUNCTION("""COMPUTED_VALUE"""),"Dubai&gt;Deira&gt;Riggat Al Buteen&gt;Green Tower")</f>
        <v>Dubai&gt;Deira&gt;Riggat Al Buteen&gt;Green Tower</v>
      </c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</row>
    <row r="1861" spans="1:26" ht="16.5" x14ac:dyDescent="0.35">
      <c r="A1861" s="2" t="str">
        <f ca="1">IFERROR(__xludf.DUMMYFUNCTION("""COMPUTED_VALUE"""),"Dubai")</f>
        <v>Dubai</v>
      </c>
      <c r="B1861" s="2" t="str">
        <f ca="1">IFERROR(__xludf.DUMMYFUNCTION("""COMPUTED_VALUE"""),"Hor Al Anz")</f>
        <v>Hor Al Anz</v>
      </c>
      <c r="C1861" s="2" t="str">
        <f ca="1">IFERROR(__xludf.DUMMYFUNCTION("""COMPUTED_VALUE"""),"Neighbourhood")</f>
        <v>Neighbourhood</v>
      </c>
      <c r="D1861" s="2" t="str">
        <f ca="1">IFERROR(__xludf.DUMMYFUNCTION("""COMPUTED_VALUE"""),"Dubai&gt;Deira&gt;Hor Al Anz")</f>
        <v>Dubai&gt;Deira&gt;Hor Al Anz</v>
      </c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</row>
    <row r="1862" spans="1:26" ht="16.5" x14ac:dyDescent="0.35">
      <c r="A1862" s="2" t="str">
        <f ca="1">IFERROR(__xludf.DUMMYFUNCTION("""COMPUTED_VALUE"""),"Dubai")</f>
        <v>Dubai</v>
      </c>
      <c r="B1862" s="2" t="str">
        <f ca="1">IFERROR(__xludf.DUMMYFUNCTION("""COMPUTED_VALUE"""),"Ismail Ali Abdulla Al Banna Building")</f>
        <v>Ismail Ali Abdulla Al Banna Building</v>
      </c>
      <c r="C1862" s="2" t="str">
        <f ca="1">IFERROR(__xludf.DUMMYFUNCTION("""COMPUTED_VALUE"""),"Building")</f>
        <v>Building</v>
      </c>
      <c r="D1862" s="2" t="str">
        <f ca="1">IFERROR(__xludf.DUMMYFUNCTION("""COMPUTED_VALUE"""),"Dubai&gt;Deira&gt;Hor Al Anz&gt;Hor Al Anz East&gt;Ismail Ali Abdulla Al Banna Building")</f>
        <v>Dubai&gt;Deira&gt;Hor Al Anz&gt;Hor Al Anz East&gt;Ismail Ali Abdulla Al Banna Building</v>
      </c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</row>
    <row r="1863" spans="1:26" ht="16.5" x14ac:dyDescent="0.35">
      <c r="A1863" s="2" t="str">
        <f ca="1">IFERROR(__xludf.DUMMYFUNCTION("""COMPUTED_VALUE"""),"Dubai")</f>
        <v>Dubai</v>
      </c>
      <c r="B1863" s="2" t="str">
        <f ca="1">IFERROR(__xludf.DUMMYFUNCTION("""COMPUTED_VALUE"""),"Bayt Al Muteena 02")</f>
        <v>Bayt Al Muteena 02</v>
      </c>
      <c r="C1863" s="2" t="str">
        <f ca="1">IFERROR(__xludf.DUMMYFUNCTION("""COMPUTED_VALUE"""),"Building")</f>
        <v>Building</v>
      </c>
      <c r="D1863" s="2" t="str">
        <f ca="1">IFERROR(__xludf.DUMMYFUNCTION("""COMPUTED_VALUE"""),"Dubai&gt;Deira&gt;Al Muteena&gt;Bayt Al Muteena 02")</f>
        <v>Dubai&gt;Deira&gt;Al Muteena&gt;Bayt Al Muteena 02</v>
      </c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</row>
    <row r="1864" spans="1:26" ht="16.5" x14ac:dyDescent="0.35">
      <c r="A1864" s="2" t="str">
        <f ca="1">IFERROR(__xludf.DUMMYFUNCTION("""COMPUTED_VALUE"""),"Dubai")</f>
        <v>Dubai</v>
      </c>
      <c r="B1864" s="2" t="str">
        <f ca="1">IFERROR(__xludf.DUMMYFUNCTION("""COMPUTED_VALUE"""),"Binladin Building")</f>
        <v>Binladin Building</v>
      </c>
      <c r="C1864" s="2" t="str">
        <f ca="1">IFERROR(__xludf.DUMMYFUNCTION("""COMPUTED_VALUE"""),"Building")</f>
        <v>Building</v>
      </c>
      <c r="D1864" s="2" t="str">
        <f ca="1">IFERROR(__xludf.DUMMYFUNCTION("""COMPUTED_VALUE"""),"Dubai&gt;Deira&gt;Al Khabaisi&gt;Binladin Building")</f>
        <v>Dubai&gt;Deira&gt;Al Khabaisi&gt;Binladin Building</v>
      </c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</row>
    <row r="1865" spans="1:26" ht="16.5" x14ac:dyDescent="0.35">
      <c r="A1865" s="2" t="str">
        <f ca="1">IFERROR(__xludf.DUMMYFUNCTION("""COMPUTED_VALUE"""),"Dubai")</f>
        <v>Dubai</v>
      </c>
      <c r="B1865" s="2" t="str">
        <f ca="1">IFERROR(__xludf.DUMMYFUNCTION("""COMPUTED_VALUE"""),"Sherina Plaza 2")</f>
        <v>Sherina Plaza 2</v>
      </c>
      <c r="C1865" s="2" t="str">
        <f ca="1">IFERROR(__xludf.DUMMYFUNCTION("""COMPUTED_VALUE"""),"Building")</f>
        <v>Building</v>
      </c>
      <c r="D1865" s="2" t="str">
        <f ca="1">IFERROR(__xludf.DUMMYFUNCTION("""COMPUTED_VALUE"""),"Dubai&gt;Deira&gt;Deira Enrichment Project&gt;Sherina Plaza&gt;Sherina Plaza 2")</f>
        <v>Dubai&gt;Deira&gt;Deira Enrichment Project&gt;Sherina Plaza&gt;Sherina Plaza 2</v>
      </c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</row>
    <row r="1866" spans="1:26" ht="16.5" x14ac:dyDescent="0.35">
      <c r="A1866" s="2" t="str">
        <f ca="1">IFERROR(__xludf.DUMMYFUNCTION("""COMPUTED_VALUE"""),"Dubai")</f>
        <v>Dubai</v>
      </c>
      <c r="B1866" s="2" t="str">
        <f ca="1">IFERROR(__xludf.DUMMYFUNCTION("""COMPUTED_VALUE"""),"ApartHotel Adagio Dubai Deira")</f>
        <v>ApartHotel Adagio Dubai Deira</v>
      </c>
      <c r="C1866" s="2" t="str">
        <f ca="1">IFERROR(__xludf.DUMMYFUNCTION("""COMPUTED_VALUE"""),"Building")</f>
        <v>Building</v>
      </c>
      <c r="D1866" s="2" t="str">
        <f ca="1">IFERROR(__xludf.DUMMYFUNCTION("""COMPUTED_VALUE"""),"Dubai&gt;Deira&gt;Deira Enrichment Project&gt;ApartHotel Adagio Dubai Deira")</f>
        <v>Dubai&gt;Deira&gt;Deira Enrichment Project&gt;ApartHotel Adagio Dubai Deira</v>
      </c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</row>
    <row r="1867" spans="1:26" ht="16.5" x14ac:dyDescent="0.35">
      <c r="A1867" s="2" t="str">
        <f ca="1">IFERROR(__xludf.DUMMYFUNCTION("""COMPUTED_VALUE"""),"Dubai")</f>
        <v>Dubai</v>
      </c>
      <c r="B1867" s="2" t="str">
        <f ca="1">IFERROR(__xludf.DUMMYFUNCTION("""COMPUTED_VALUE"""),"Naif Building 8")</f>
        <v>Naif Building 8</v>
      </c>
      <c r="C1867" s="2" t="str">
        <f ca="1">IFERROR(__xludf.DUMMYFUNCTION("""COMPUTED_VALUE"""),"Building")</f>
        <v>Building</v>
      </c>
      <c r="D1867" s="2" t="str">
        <f ca="1">IFERROR(__xludf.DUMMYFUNCTION("""COMPUTED_VALUE"""),"Dubai&gt;Deira&gt;Naif&gt;Naif Building 8")</f>
        <v>Dubai&gt;Deira&gt;Naif&gt;Naif Building 8</v>
      </c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</row>
    <row r="1868" spans="1:26" ht="16.5" x14ac:dyDescent="0.35">
      <c r="A1868" s="2" t="str">
        <f ca="1">IFERROR(__xludf.DUMMYFUNCTION("""COMPUTED_VALUE"""),"Dubai")</f>
        <v>Dubai</v>
      </c>
      <c r="B1868" s="2" t="str">
        <f ca="1">IFERROR(__xludf.DUMMYFUNCTION("""COMPUTED_VALUE"""),"Toufiq H")</f>
        <v>Toufiq H</v>
      </c>
      <c r="C1868" s="2" t="str">
        <f ca="1">IFERROR(__xludf.DUMMYFUNCTION("""COMPUTED_VALUE"""),"Building")</f>
        <v>Building</v>
      </c>
      <c r="D1868" s="2" t="str">
        <f ca="1">IFERROR(__xludf.DUMMYFUNCTION("""COMPUTED_VALUE"""),"Dubai&gt;Deira&gt;Al Murar&gt;Toufiq H")</f>
        <v>Dubai&gt;Deira&gt;Al Murar&gt;Toufiq H</v>
      </c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</row>
    <row r="1869" spans="1:26" ht="16.5" x14ac:dyDescent="0.35">
      <c r="A1869" s="2" t="str">
        <f ca="1">IFERROR(__xludf.DUMMYFUNCTION("""COMPUTED_VALUE"""),"Dubai")</f>
        <v>Dubai</v>
      </c>
      <c r="B1869" s="2" t="str">
        <f ca="1">IFERROR(__xludf.DUMMYFUNCTION("""COMPUTED_VALUE"""),"Bakheet Abdullah Mohamed Building")</f>
        <v>Bakheet Abdullah Mohamed Building</v>
      </c>
      <c r="C1869" s="2" t="str">
        <f ca="1">IFERROR(__xludf.DUMMYFUNCTION("""COMPUTED_VALUE"""),"Building")</f>
        <v>Building</v>
      </c>
      <c r="D1869" s="2" t="str">
        <f ca="1">IFERROR(__xludf.DUMMYFUNCTION("""COMPUTED_VALUE"""),"Dubai&gt;Deira&gt;Al Baraha&gt;Bakheet Abdullah Mohamed Building")</f>
        <v>Dubai&gt;Deira&gt;Al Baraha&gt;Bakheet Abdullah Mohamed Building</v>
      </c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</row>
    <row r="1870" spans="1:26" ht="16.5" x14ac:dyDescent="0.35">
      <c r="A1870" s="2" t="str">
        <f ca="1">IFERROR(__xludf.DUMMYFUNCTION("""COMPUTED_VALUE"""),"Dubai")</f>
        <v>Dubai</v>
      </c>
      <c r="B1870" s="2" t="str">
        <f ca="1">IFERROR(__xludf.DUMMYFUNCTION("""COMPUTED_VALUE"""),"Dubai National Insurance Building")</f>
        <v>Dubai National Insurance Building</v>
      </c>
      <c r="C1870" s="2" t="str">
        <f ca="1">IFERROR(__xludf.DUMMYFUNCTION("""COMPUTED_VALUE"""),"Building")</f>
        <v>Building</v>
      </c>
      <c r="D1870" s="2" t="str">
        <f ca="1">IFERROR(__xludf.DUMMYFUNCTION("""COMPUTED_VALUE"""),"Dubai&gt;Deira&gt;Port Saeed&gt;Dubai National Insurance Building")</f>
        <v>Dubai&gt;Deira&gt;Port Saeed&gt;Dubai National Insurance Building</v>
      </c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</row>
    <row r="1871" spans="1:26" ht="16.5" x14ac:dyDescent="0.35">
      <c r="A1871" s="2" t="str">
        <f ca="1">IFERROR(__xludf.DUMMYFUNCTION("""COMPUTED_VALUE"""),"Dubai")</f>
        <v>Dubai</v>
      </c>
      <c r="B1871" s="2" t="str">
        <f ca="1">IFERROR(__xludf.DUMMYFUNCTION("""COMPUTED_VALUE"""),"New Century City Tower")</f>
        <v>New Century City Tower</v>
      </c>
      <c r="C1871" s="2" t="str">
        <f ca="1">IFERROR(__xludf.DUMMYFUNCTION("""COMPUTED_VALUE"""),"Building")</f>
        <v>Building</v>
      </c>
      <c r="D1871" s="2" t="str">
        <f ca="1">IFERROR(__xludf.DUMMYFUNCTION("""COMPUTED_VALUE"""),"Dubai&gt;Deira&gt;Port Saeed&gt;New Century City Tower")</f>
        <v>Dubai&gt;Deira&gt;Port Saeed&gt;New Century City Tower</v>
      </c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</row>
    <row r="1872" spans="1:26" ht="16.5" x14ac:dyDescent="0.35">
      <c r="A1872" s="2" t="str">
        <f ca="1">IFERROR(__xludf.DUMMYFUNCTION("""COMPUTED_VALUE"""),"Dubai")</f>
        <v>Dubai</v>
      </c>
      <c r="B1872" s="2" t="str">
        <f ca="1">IFERROR(__xludf.DUMMYFUNCTION("""COMPUTED_VALUE"""),"Aykon City")</f>
        <v>Aykon City</v>
      </c>
      <c r="C1872" s="2" t="str">
        <f ca="1">IFERROR(__xludf.DUMMYFUNCTION("""COMPUTED_VALUE"""),"Neighbourhood")</f>
        <v>Neighbourhood</v>
      </c>
      <c r="D1872" s="2" t="str">
        <f ca="1">IFERROR(__xludf.DUMMYFUNCTION("""COMPUTED_VALUE"""),"Dubai&gt;Business Bay&gt;Aykon City")</f>
        <v>Dubai&gt;Business Bay&gt;Aykon City</v>
      </c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</row>
    <row r="1873" spans="1:26" ht="16.5" x14ac:dyDescent="0.35">
      <c r="A1873" s="2" t="str">
        <f ca="1">IFERROR(__xludf.DUMMYFUNCTION("""COMPUTED_VALUE"""),"Dubai")</f>
        <v>Dubai</v>
      </c>
      <c r="B1873" s="2" t="str">
        <f ca="1">IFERROR(__xludf.DUMMYFUNCTION("""COMPUTED_VALUE"""),"Executive Tower C")</f>
        <v>Executive Tower C</v>
      </c>
      <c r="C1873" s="2" t="str">
        <f ca="1">IFERROR(__xludf.DUMMYFUNCTION("""COMPUTED_VALUE"""),"Building")</f>
        <v>Building</v>
      </c>
      <c r="D1873" s="2" t="str">
        <f ca="1">IFERROR(__xludf.DUMMYFUNCTION("""COMPUTED_VALUE"""),"Dubai&gt;Business Bay&gt;Executive Towers&gt;Executive Tower C")</f>
        <v>Dubai&gt;Business Bay&gt;Executive Towers&gt;Executive Tower C</v>
      </c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</row>
    <row r="1874" spans="1:26" ht="16.5" x14ac:dyDescent="0.35">
      <c r="A1874" s="2" t="str">
        <f ca="1">IFERROR(__xludf.DUMMYFUNCTION("""COMPUTED_VALUE"""),"Dubai")</f>
        <v>Dubai</v>
      </c>
      <c r="B1874" s="2" t="str">
        <f ca="1">IFERROR(__xludf.DUMMYFUNCTION("""COMPUTED_VALUE"""),"Bay Square 8")</f>
        <v>Bay Square 8</v>
      </c>
      <c r="C1874" s="2" t="str">
        <f ca="1">IFERROR(__xludf.DUMMYFUNCTION("""COMPUTED_VALUE"""),"Building")</f>
        <v>Building</v>
      </c>
      <c r="D1874" s="2" t="str">
        <f ca="1">IFERROR(__xludf.DUMMYFUNCTION("""COMPUTED_VALUE"""),"Dubai&gt;Business Bay&gt;Bay Square&gt;Bay Square 8")</f>
        <v>Dubai&gt;Business Bay&gt;Bay Square&gt;Bay Square 8</v>
      </c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</row>
    <row r="1875" spans="1:26" ht="16.5" x14ac:dyDescent="0.35">
      <c r="A1875" s="2" t="str">
        <f ca="1">IFERROR(__xludf.DUMMYFUNCTION("""COMPUTED_VALUE"""),"Dubai")</f>
        <v>Dubai</v>
      </c>
      <c r="B1875" s="2" t="str">
        <f ca="1">IFERROR(__xludf.DUMMYFUNCTION("""COMPUTED_VALUE"""),"Art XIV14")</f>
        <v>Art XIV14</v>
      </c>
      <c r="C1875" s="2" t="str">
        <f ca="1">IFERROR(__xludf.DUMMYFUNCTION("""COMPUTED_VALUE"""),"Building")</f>
        <v>Building</v>
      </c>
      <c r="D1875" s="2" t="str">
        <f ca="1">IFERROR(__xludf.DUMMYFUNCTION("""COMPUTED_VALUE"""),"Dubai&gt;Business Bay&gt;Art XIV14")</f>
        <v>Dubai&gt;Business Bay&gt;Art XIV14</v>
      </c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</row>
    <row r="1876" spans="1:26" ht="16.5" x14ac:dyDescent="0.35">
      <c r="A1876" s="2" t="str">
        <f ca="1">IFERROR(__xludf.DUMMYFUNCTION("""COMPUTED_VALUE"""),"Dubai")</f>
        <v>Dubai</v>
      </c>
      <c r="B1876" s="2" t="str">
        <f ca="1">IFERROR(__xludf.DUMMYFUNCTION("""COMPUTED_VALUE"""),"Tower B")</f>
        <v>Tower B</v>
      </c>
      <c r="C1876" s="2" t="str">
        <f ca="1">IFERROR(__xludf.DUMMYFUNCTION("""COMPUTED_VALUE"""),"Building")</f>
        <v>Building</v>
      </c>
      <c r="D1876" s="2" t="str">
        <f ca="1">IFERROR(__xludf.DUMMYFUNCTION("""COMPUTED_VALUE"""),"Dubai&gt;Business Bay&gt;DAMAC Towers by Paramount Hotels and Resorts&gt;Tower B")</f>
        <v>Dubai&gt;Business Bay&gt;DAMAC Towers by Paramount Hotels and Resorts&gt;Tower B</v>
      </c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</row>
    <row r="1877" spans="1:26" ht="16.5" x14ac:dyDescent="0.35">
      <c r="A1877" s="2" t="str">
        <f ca="1">IFERROR(__xludf.DUMMYFUNCTION("""COMPUTED_VALUE"""),"Dubai")</f>
        <v>Dubai</v>
      </c>
      <c r="B1877" s="2" t="str">
        <f ca="1">IFERROR(__xludf.DUMMYFUNCTION("""COMPUTED_VALUE"""),"15 Northside Tower 2")</f>
        <v>15 Northside Tower 2</v>
      </c>
      <c r="C1877" s="2" t="str">
        <f ca="1">IFERROR(__xludf.DUMMYFUNCTION("""COMPUTED_VALUE"""),"Building")</f>
        <v>Building</v>
      </c>
      <c r="D1877" s="2" t="str">
        <f ca="1">IFERROR(__xludf.DUMMYFUNCTION("""COMPUTED_VALUE"""),"Dubai&gt;Business Bay&gt;15 Northside&gt;15 Northside Tower 2")</f>
        <v>Dubai&gt;Business Bay&gt;15 Northside&gt;15 Northside Tower 2</v>
      </c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</row>
    <row r="1878" spans="1:26" ht="16.5" x14ac:dyDescent="0.35">
      <c r="A1878" s="2" t="str">
        <f ca="1">IFERROR(__xludf.DUMMYFUNCTION("""COMPUTED_VALUE"""),"Dubai")</f>
        <v>Dubai</v>
      </c>
      <c r="B1878" s="2" t="str">
        <f ca="1">IFERROR(__xludf.DUMMYFUNCTION("""COMPUTED_VALUE"""),"Marasi Business Bay")</f>
        <v>Marasi Business Bay</v>
      </c>
      <c r="C1878" s="2" t="str">
        <f ca="1">IFERROR(__xludf.DUMMYFUNCTION("""COMPUTED_VALUE"""),"Neighbourhood")</f>
        <v>Neighbourhood</v>
      </c>
      <c r="D1878" s="2" t="str">
        <f ca="1">IFERROR(__xludf.DUMMYFUNCTION("""COMPUTED_VALUE"""),"Dubai&gt;Business Bay&gt;Marasi Business Bay")</f>
        <v>Dubai&gt;Business Bay&gt;Marasi Business Bay</v>
      </c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</row>
    <row r="1879" spans="1:26" ht="16.5" x14ac:dyDescent="0.35">
      <c r="A1879" s="2" t="str">
        <f ca="1">IFERROR(__xludf.DUMMYFUNCTION("""COMPUTED_VALUE"""),"Dubai")</f>
        <v>Dubai</v>
      </c>
      <c r="B1879" s="2" t="str">
        <f ca="1">IFERROR(__xludf.DUMMYFUNCTION("""COMPUTED_VALUE"""),"Yotel Hotel")</f>
        <v>Yotel Hotel</v>
      </c>
      <c r="C1879" s="2" t="str">
        <f ca="1">IFERROR(__xludf.DUMMYFUNCTION("""COMPUTED_VALUE"""),"Building")</f>
        <v>Building</v>
      </c>
      <c r="D1879" s="2" t="str">
        <f ca="1">IFERROR(__xludf.DUMMYFUNCTION("""COMPUTED_VALUE"""),"Dubai&gt;Business Bay&gt;Yotel Hotel")</f>
        <v>Dubai&gt;Business Bay&gt;Yotel Hotel</v>
      </c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</row>
    <row r="1880" spans="1:26" ht="16.5" x14ac:dyDescent="0.35">
      <c r="A1880" s="2" t="str">
        <f ca="1">IFERROR(__xludf.DUMMYFUNCTION("""COMPUTED_VALUE"""),"Dubai")</f>
        <v>Dubai</v>
      </c>
      <c r="B1880" s="2" t="str">
        <f ca="1">IFERROR(__xludf.DUMMYFUNCTION("""COMPUTED_VALUE"""),"Century Tower")</f>
        <v>Century Tower</v>
      </c>
      <c r="C1880" s="2" t="str">
        <f ca="1">IFERROR(__xludf.DUMMYFUNCTION("""COMPUTED_VALUE"""),"Building")</f>
        <v>Building</v>
      </c>
      <c r="D1880" s="2" t="str">
        <f ca="1">IFERROR(__xludf.DUMMYFUNCTION("""COMPUTED_VALUE"""),"Dubai&gt;Business Bay&gt;Century Tower")</f>
        <v>Dubai&gt;Business Bay&gt;Century Tower</v>
      </c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</row>
    <row r="1881" spans="1:26" ht="16.5" x14ac:dyDescent="0.35">
      <c r="A1881" s="2" t="str">
        <f ca="1">IFERROR(__xludf.DUMMYFUNCTION("""COMPUTED_VALUE"""),"Dubai")</f>
        <v>Dubai</v>
      </c>
      <c r="B1881" s="2" t="str">
        <f ca="1">IFERROR(__xludf.DUMMYFUNCTION("""COMPUTED_VALUE"""),"B2B Tower")</f>
        <v>B2B Tower</v>
      </c>
      <c r="C1881" s="2" t="str">
        <f ca="1">IFERROR(__xludf.DUMMYFUNCTION("""COMPUTED_VALUE"""),"Building")</f>
        <v>Building</v>
      </c>
      <c r="D1881" s="2" t="str">
        <f ca="1">IFERROR(__xludf.DUMMYFUNCTION("""COMPUTED_VALUE"""),"Dubai&gt;Business Bay&gt;B2B Tower")</f>
        <v>Dubai&gt;Business Bay&gt;B2B Tower</v>
      </c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</row>
    <row r="1882" spans="1:26" ht="16.5" x14ac:dyDescent="0.35">
      <c r="A1882" s="2" t="str">
        <f ca="1">IFERROR(__xludf.DUMMYFUNCTION("""COMPUTED_VALUE"""),"Dubai")</f>
        <v>Dubai</v>
      </c>
      <c r="B1882" s="2" t="str">
        <f ca="1">IFERROR(__xludf.DUMMYFUNCTION("""COMPUTED_VALUE"""),"District 8C")</f>
        <v>District 8C</v>
      </c>
      <c r="C1882" s="2" t="str">
        <f ca="1">IFERROR(__xludf.DUMMYFUNCTION("""COMPUTED_VALUE"""),"Neighbourhood")</f>
        <v>Neighbourhood</v>
      </c>
      <c r="D1882" s="2" t="str">
        <f ca="1">IFERROR(__xludf.DUMMYFUNCTION("""COMPUTED_VALUE"""),"Dubai&gt;Jumeirah Village Triangle (JVT)&gt;JVT District 8&gt;District 8C")</f>
        <v>Dubai&gt;Jumeirah Village Triangle (JVT)&gt;JVT District 8&gt;District 8C</v>
      </c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</row>
    <row r="1883" spans="1:26" ht="16.5" x14ac:dyDescent="0.35">
      <c r="A1883" s="2" t="str">
        <f ca="1">IFERROR(__xludf.DUMMYFUNCTION("""COMPUTED_VALUE"""),"Dubai")</f>
        <v>Dubai</v>
      </c>
      <c r="B1883" s="2" t="str">
        <f ca="1">IFERROR(__xludf.DUMMYFUNCTION("""COMPUTED_VALUE"""),"District 9I")</f>
        <v>District 9I</v>
      </c>
      <c r="C1883" s="2" t="str">
        <f ca="1">IFERROR(__xludf.DUMMYFUNCTION("""COMPUTED_VALUE"""),"Neighbourhood")</f>
        <v>Neighbourhood</v>
      </c>
      <c r="D1883" s="2" t="str">
        <f ca="1">IFERROR(__xludf.DUMMYFUNCTION("""COMPUTED_VALUE"""),"Dubai&gt;Jumeirah Village Triangle (JVT)&gt;JVT District 9&gt;District 9I")</f>
        <v>Dubai&gt;Jumeirah Village Triangle (JVT)&gt;JVT District 9&gt;District 9I</v>
      </c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</row>
    <row r="1884" spans="1:26" ht="16.5" x14ac:dyDescent="0.35">
      <c r="A1884" s="2" t="str">
        <f ca="1">IFERROR(__xludf.DUMMYFUNCTION("""COMPUTED_VALUE"""),"Dubai")</f>
        <v>Dubai</v>
      </c>
      <c r="B1884" s="2" t="str">
        <f ca="1">IFERROR(__xludf.DUMMYFUNCTION("""COMPUTED_VALUE"""),"JVT District 6")</f>
        <v>JVT District 6</v>
      </c>
      <c r="C1884" s="2" t="str">
        <f ca="1">IFERROR(__xludf.DUMMYFUNCTION("""COMPUTED_VALUE"""),"Neighbourhood")</f>
        <v>Neighbourhood</v>
      </c>
      <c r="D1884" s="2" t="str">
        <f ca="1">IFERROR(__xludf.DUMMYFUNCTION("""COMPUTED_VALUE"""),"Dubai&gt;Jumeirah Village Triangle (JVT)&gt;JVT District 6")</f>
        <v>Dubai&gt;Jumeirah Village Triangle (JVT)&gt;JVT District 6</v>
      </c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</row>
    <row r="1885" spans="1:26" ht="16.5" x14ac:dyDescent="0.35">
      <c r="A1885" s="2" t="str">
        <f ca="1">IFERROR(__xludf.DUMMYFUNCTION("""COMPUTED_VALUE"""),"Dubai")</f>
        <v>Dubai</v>
      </c>
      <c r="B1885" s="2" t="str">
        <f ca="1">IFERROR(__xludf.DUMMYFUNCTION("""COMPUTED_VALUE"""),"Aya Residence")</f>
        <v>Aya Residence</v>
      </c>
      <c r="C1885" s="2" t="str">
        <f ca="1">IFERROR(__xludf.DUMMYFUNCTION("""COMPUTED_VALUE"""),"Neighbourhood")</f>
        <v>Neighbourhood</v>
      </c>
      <c r="D1885" s="2" t="str">
        <f ca="1">IFERROR(__xludf.DUMMYFUNCTION("""COMPUTED_VALUE"""),"Dubai&gt;Jumeirah Village Triangle (JVT)&gt;JVT District 1&gt;Aya Residence")</f>
        <v>Dubai&gt;Jumeirah Village Triangle (JVT)&gt;JVT District 1&gt;Aya Residence</v>
      </c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</row>
    <row r="1886" spans="1:26" ht="16.5" x14ac:dyDescent="0.35">
      <c r="A1886" s="2" t="str">
        <f ca="1">IFERROR(__xludf.DUMMYFUNCTION("""COMPUTED_VALUE"""),"Dubai")</f>
        <v>Dubai</v>
      </c>
      <c r="B1886" s="2" t="str">
        <f ca="1">IFERROR(__xludf.DUMMYFUNCTION("""COMPUTED_VALUE"""),"District 4D")</f>
        <v>District 4D</v>
      </c>
      <c r="C1886" s="2" t="str">
        <f ca="1">IFERROR(__xludf.DUMMYFUNCTION("""COMPUTED_VALUE"""),"Neighbourhood")</f>
        <v>Neighbourhood</v>
      </c>
      <c r="D1886" s="2" t="str">
        <f ca="1">IFERROR(__xludf.DUMMYFUNCTION("""COMPUTED_VALUE"""),"Dubai&gt;Jumeirah Village Triangle (JVT)&gt;JVT District 4&gt;District 4D")</f>
        <v>Dubai&gt;Jumeirah Village Triangle (JVT)&gt;JVT District 4&gt;District 4D</v>
      </c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</row>
    <row r="1887" spans="1:26" ht="16.5" x14ac:dyDescent="0.35">
      <c r="A1887" s="2" t="str">
        <f ca="1">IFERROR(__xludf.DUMMYFUNCTION("""COMPUTED_VALUE"""),"Dubai")</f>
        <v>Dubai</v>
      </c>
      <c r="B1887" s="2" t="str">
        <f ca="1">IFERROR(__xludf.DUMMYFUNCTION("""COMPUTED_VALUE"""),"Elar1s Rise")</f>
        <v>Elar1s Rise</v>
      </c>
      <c r="C1887" s="2" t="str">
        <f ca="1">IFERROR(__xludf.DUMMYFUNCTION("""COMPUTED_VALUE"""),"Building")</f>
        <v>Building</v>
      </c>
      <c r="D1887" s="2" t="str">
        <f ca="1">IFERROR(__xludf.DUMMYFUNCTION("""COMPUTED_VALUE"""),"Dubai&gt;Jumeirah Village Triangle (JVT)&gt;JVT District 3&gt;Elar1s Rise")</f>
        <v>Dubai&gt;Jumeirah Village Triangle (JVT)&gt;JVT District 3&gt;Elar1s Rise</v>
      </c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</row>
    <row r="1888" spans="1:26" ht="16.5" x14ac:dyDescent="0.35">
      <c r="A1888" s="2" t="str">
        <f ca="1">IFERROR(__xludf.DUMMYFUNCTION("""COMPUTED_VALUE"""),"Dubai")</f>
        <v>Dubai</v>
      </c>
      <c r="B1888" s="2" t="str">
        <f ca="1">IFERROR(__xludf.DUMMYFUNCTION("""COMPUTED_VALUE"""),"Al Ramth 37")</f>
        <v>Al Ramth 37</v>
      </c>
      <c r="C1888" s="2" t="str">
        <f ca="1">IFERROR(__xludf.DUMMYFUNCTION("""COMPUTED_VALUE"""),"Building")</f>
        <v>Building</v>
      </c>
      <c r="D1888" s="2" t="str">
        <f ca="1">IFERROR(__xludf.DUMMYFUNCTION("""COMPUTED_VALUE"""),"Dubai&gt;Remraam&gt;Al Ramth&gt;Al Ramth 37")</f>
        <v>Dubai&gt;Remraam&gt;Al Ramth&gt;Al Ramth 37</v>
      </c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</row>
    <row r="1889" spans="1:26" ht="16.5" x14ac:dyDescent="0.35">
      <c r="A1889" s="2" t="str">
        <f ca="1">IFERROR(__xludf.DUMMYFUNCTION("""COMPUTED_VALUE"""),"Dubai")</f>
        <v>Dubai</v>
      </c>
      <c r="B1889" s="2" t="str">
        <f ca="1">IFERROR(__xludf.DUMMYFUNCTION("""COMPUTED_VALUE"""),"Al Thamam 10")</f>
        <v>Al Thamam 10</v>
      </c>
      <c r="C1889" s="2" t="str">
        <f ca="1">IFERROR(__xludf.DUMMYFUNCTION("""COMPUTED_VALUE"""),"Building")</f>
        <v>Building</v>
      </c>
      <c r="D1889" s="2" t="str">
        <f ca="1">IFERROR(__xludf.DUMMYFUNCTION("""COMPUTED_VALUE"""),"Dubai&gt;Remraam&gt;Al Thamam&gt;Al Thamam 10")</f>
        <v>Dubai&gt;Remraam&gt;Al Thamam&gt;Al Thamam 10</v>
      </c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</row>
    <row r="1890" spans="1:26" ht="16.5" x14ac:dyDescent="0.35">
      <c r="A1890" s="2" t="str">
        <f ca="1">IFERROR(__xludf.DUMMYFUNCTION("""COMPUTED_VALUE"""),"Dubai")</f>
        <v>Dubai</v>
      </c>
      <c r="B1890" s="2" t="str">
        <f ca="1">IFERROR(__xludf.DUMMYFUNCTION("""COMPUTED_VALUE"""),"JVC District 17")</f>
        <v>JVC District 17</v>
      </c>
      <c r="C1890" s="2" t="str">
        <f ca="1">IFERROR(__xludf.DUMMYFUNCTION("""COMPUTED_VALUE"""),"Neighbourhood")</f>
        <v>Neighbourhood</v>
      </c>
      <c r="D1890" s="2" t="str">
        <f ca="1">IFERROR(__xludf.DUMMYFUNCTION("""COMPUTED_VALUE"""),"Dubai&gt;Jumeirah Village Circle (JVC)&gt;JVC District 17")</f>
        <v>Dubai&gt;Jumeirah Village Circle (JVC)&gt;JVC District 17</v>
      </c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</row>
    <row r="1891" spans="1:26" ht="16.5" x14ac:dyDescent="0.35">
      <c r="A1891" s="2" t="str">
        <f ca="1">IFERROR(__xludf.DUMMYFUNCTION("""COMPUTED_VALUE"""),"Dubai")</f>
        <v>Dubai</v>
      </c>
      <c r="B1891" s="2" t="str">
        <f ca="1">IFERROR(__xludf.DUMMYFUNCTION("""COMPUTED_VALUE"""),"J Hause Residences")</f>
        <v>J Hause Residences</v>
      </c>
      <c r="C1891" s="2" t="str">
        <f ca="1">IFERROR(__xludf.DUMMYFUNCTION("""COMPUTED_VALUE"""),"Building")</f>
        <v>Building</v>
      </c>
      <c r="D1891" s="2" t="str">
        <f ca="1">IFERROR(__xludf.DUMMYFUNCTION("""COMPUTED_VALUE"""),"Dubai&gt;Jumeirah Village Circle (JVC)&gt;JVC District 12&gt;J Hause Residences")</f>
        <v>Dubai&gt;Jumeirah Village Circle (JVC)&gt;JVC District 12&gt;J Hause Residences</v>
      </c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</row>
    <row r="1892" spans="1:26" ht="16.5" x14ac:dyDescent="0.35">
      <c r="A1892" s="2" t="str">
        <f ca="1">IFERROR(__xludf.DUMMYFUNCTION("""COMPUTED_VALUE"""),"Dubai")</f>
        <v>Dubai</v>
      </c>
      <c r="B1892" s="2" t="str">
        <f ca="1">IFERROR(__xludf.DUMMYFUNCTION("""COMPUTED_VALUE"""),"Gardenia 2")</f>
        <v>Gardenia 2</v>
      </c>
      <c r="C1892" s="2" t="str">
        <f ca="1">IFERROR(__xludf.DUMMYFUNCTION("""COMPUTED_VALUE"""),"Building")</f>
        <v>Building</v>
      </c>
      <c r="D1892" s="2" t="str">
        <f ca="1">IFERROR(__xludf.DUMMYFUNCTION("""COMPUTED_VALUE"""),"Dubai&gt;Jumeirah Village Circle (JVC)&gt;JVC District 12&gt;Emirates Gardens&gt;Gardenia 2")</f>
        <v>Dubai&gt;Jumeirah Village Circle (JVC)&gt;JVC District 12&gt;Emirates Gardens&gt;Gardenia 2</v>
      </c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</row>
    <row r="1893" spans="1:26" ht="16.5" x14ac:dyDescent="0.35">
      <c r="A1893" s="2" t="str">
        <f ca="1">IFERROR(__xludf.DUMMYFUNCTION("""COMPUTED_VALUE"""),"Dubai")</f>
        <v>Dubai</v>
      </c>
      <c r="B1893" s="2" t="str">
        <f ca="1">IFERROR(__xludf.DUMMYFUNCTION("""COMPUTED_VALUE"""),"Le Parc Homes II")</f>
        <v>Le Parc Homes II</v>
      </c>
      <c r="C1893" s="2" t="str">
        <f ca="1">IFERROR(__xludf.DUMMYFUNCTION("""COMPUTED_VALUE"""),"Neighbourhood")</f>
        <v>Neighbourhood</v>
      </c>
      <c r="D1893" s="2" t="str">
        <f ca="1">IFERROR(__xludf.DUMMYFUNCTION("""COMPUTED_VALUE"""),"Dubai&gt;Jumeirah Village Circle (JVC)&gt;JVC District 12&gt;Le Parc Homes II")</f>
        <v>Dubai&gt;Jumeirah Village Circle (JVC)&gt;JVC District 12&gt;Le Parc Homes II</v>
      </c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</row>
    <row r="1894" spans="1:26" ht="16.5" x14ac:dyDescent="0.35">
      <c r="A1894" s="2" t="str">
        <f ca="1">IFERROR(__xludf.DUMMYFUNCTION("""COMPUTED_VALUE"""),"Dubai")</f>
        <v>Dubai</v>
      </c>
      <c r="B1894" s="2" t="str">
        <f ca="1">IFERROR(__xludf.DUMMYFUNCTION("""COMPUTED_VALUE"""),"Prime Business Centre A")</f>
        <v>Prime Business Centre A</v>
      </c>
      <c r="C1894" s="2" t="str">
        <f ca="1">IFERROR(__xludf.DUMMYFUNCTION("""COMPUTED_VALUE"""),"Building")</f>
        <v>Building</v>
      </c>
      <c r="D1894" s="2" t="str">
        <f ca="1">IFERROR(__xludf.DUMMYFUNCTION("""COMPUTED_VALUE"""),"Dubai&gt;Jumeirah Village Circle (JVC)&gt;JVC District 13&gt;Prime Business Centre&gt;Prime Business Centre A")</f>
        <v>Dubai&gt;Jumeirah Village Circle (JVC)&gt;JVC District 13&gt;Prime Business Centre&gt;Prime Business Centre A</v>
      </c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</row>
    <row r="1895" spans="1:26" ht="16.5" x14ac:dyDescent="0.35">
      <c r="A1895" s="2" t="str">
        <f ca="1">IFERROR(__xludf.DUMMYFUNCTION("""COMPUTED_VALUE"""),"Dubai")</f>
        <v>Dubai</v>
      </c>
      <c r="B1895" s="2" t="str">
        <f ca="1">IFERROR(__xludf.DUMMYFUNCTION("""COMPUTED_VALUE"""),"Al Waleed Building")</f>
        <v>Al Waleed Building</v>
      </c>
      <c r="C1895" s="2" t="str">
        <f ca="1">IFERROR(__xludf.DUMMYFUNCTION("""COMPUTED_VALUE"""),"Building")</f>
        <v>Building</v>
      </c>
      <c r="D1895" s="2" t="str">
        <f ca="1">IFERROR(__xludf.DUMMYFUNCTION("""COMPUTED_VALUE"""),"Dubai&gt;Jumeirah Village Circle (JVC)&gt;JVC District 13&gt;Al Waleed Building")</f>
        <v>Dubai&gt;Jumeirah Village Circle (JVC)&gt;JVC District 13&gt;Al Waleed Building</v>
      </c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</row>
    <row r="1896" spans="1:26" ht="16.5" x14ac:dyDescent="0.35">
      <c r="A1896" s="2" t="str">
        <f ca="1">IFERROR(__xludf.DUMMYFUNCTION("""COMPUTED_VALUE"""),"Dubai")</f>
        <v>Dubai</v>
      </c>
      <c r="B1896" s="2" t="str">
        <f ca="1">IFERROR(__xludf.DUMMYFUNCTION("""COMPUTED_VALUE"""),"Melody Townhouses")</f>
        <v>Melody Townhouses</v>
      </c>
      <c r="C1896" s="2" t="str">
        <f ca="1">IFERROR(__xludf.DUMMYFUNCTION("""COMPUTED_VALUE"""),"Neighbourhood")</f>
        <v>Neighbourhood</v>
      </c>
      <c r="D1896" s="2" t="str">
        <f ca="1">IFERROR(__xludf.DUMMYFUNCTION("""COMPUTED_VALUE"""),"Dubai&gt;Jumeirah Village Circle (JVC)&gt;JVC District 13&gt;Melody Townhouses")</f>
        <v>Dubai&gt;Jumeirah Village Circle (JVC)&gt;JVC District 13&gt;Melody Townhouses</v>
      </c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</row>
    <row r="1897" spans="1:26" ht="16.5" x14ac:dyDescent="0.35">
      <c r="A1897" s="2" t="str">
        <f ca="1">IFERROR(__xludf.DUMMYFUNCTION("""COMPUTED_VALUE"""),"Dubai")</f>
        <v>Dubai</v>
      </c>
      <c r="B1897" s="2" t="str">
        <f ca="1">IFERROR(__xludf.DUMMYFUNCTION("""COMPUTED_VALUE"""),"Esplora by BNW")</f>
        <v>Esplora by BNW</v>
      </c>
      <c r="C1897" s="2" t="str">
        <f ca="1">IFERROR(__xludf.DUMMYFUNCTION("""COMPUTED_VALUE"""),"Building")</f>
        <v>Building</v>
      </c>
      <c r="D1897" s="2" t="str">
        <f ca="1">IFERROR(__xludf.DUMMYFUNCTION("""COMPUTED_VALUE"""),"Dubai&gt;Jumeirah Village Circle (JVC)&gt;JVC District 18&gt;Esplora by BNW")</f>
        <v>Dubai&gt;Jumeirah Village Circle (JVC)&gt;JVC District 18&gt;Esplora by BNW</v>
      </c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</row>
    <row r="1898" spans="1:26" ht="16.5" x14ac:dyDescent="0.35">
      <c r="A1898" s="2" t="str">
        <f ca="1">IFERROR(__xludf.DUMMYFUNCTION("""COMPUTED_VALUE"""),"Dubai")</f>
        <v>Dubai</v>
      </c>
      <c r="B1898" s="2" t="str">
        <f ca="1">IFERROR(__xludf.DUMMYFUNCTION("""COMPUTED_VALUE"""),"Rigel Apartments")</f>
        <v>Rigel Apartments</v>
      </c>
      <c r="C1898" s="2" t="str">
        <f ca="1">IFERROR(__xludf.DUMMYFUNCTION("""COMPUTED_VALUE"""),"Building")</f>
        <v>Building</v>
      </c>
      <c r="D1898" s="2" t="str">
        <f ca="1">IFERROR(__xludf.DUMMYFUNCTION("""COMPUTED_VALUE"""),"Dubai&gt;Jumeirah Village Circle (JVC)&gt;JVC District 10&gt;Rigel Apartments")</f>
        <v>Dubai&gt;Jumeirah Village Circle (JVC)&gt;JVC District 10&gt;Rigel Apartments</v>
      </c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</row>
    <row r="1899" spans="1:26" ht="16.5" x14ac:dyDescent="0.35">
      <c r="A1899" s="2" t="str">
        <f ca="1">IFERROR(__xludf.DUMMYFUNCTION("""COMPUTED_VALUE"""),"Dubai")</f>
        <v>Dubai</v>
      </c>
      <c r="B1899" s="2" t="str">
        <f ca="1">IFERROR(__xludf.DUMMYFUNCTION("""COMPUTED_VALUE"""),"Siena")</f>
        <v>Siena</v>
      </c>
      <c r="C1899" s="2" t="str">
        <f ca="1">IFERROR(__xludf.DUMMYFUNCTION("""COMPUTED_VALUE"""),"Cluster")</f>
        <v>Cluster</v>
      </c>
      <c r="D1899" s="2" t="str">
        <f ca="1">IFERROR(__xludf.DUMMYFUNCTION("""COMPUTED_VALUE"""),"Dubai&gt;Jumeirah Village Circle (JVC)&gt;JVC District 10&gt;Tuscan Residence&gt;Siena")</f>
        <v>Dubai&gt;Jumeirah Village Circle (JVC)&gt;JVC District 10&gt;Tuscan Residence&gt;Siena</v>
      </c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</row>
    <row r="1900" spans="1:26" ht="16.5" x14ac:dyDescent="0.35">
      <c r="A1900" s="2" t="str">
        <f ca="1">IFERROR(__xludf.DUMMYFUNCTION("""COMPUTED_VALUE"""),"Dubai")</f>
        <v>Dubai</v>
      </c>
      <c r="B1900" s="2" t="str">
        <f ca="1">IFERROR(__xludf.DUMMYFUNCTION("""COMPUTED_VALUE"""),"Binghatti House")</f>
        <v>Binghatti House</v>
      </c>
      <c r="C1900" s="2" t="str">
        <f ca="1">IFERROR(__xludf.DUMMYFUNCTION("""COMPUTED_VALUE"""),"Building")</f>
        <v>Building</v>
      </c>
      <c r="D1900" s="2" t="str">
        <f ca="1">IFERROR(__xludf.DUMMYFUNCTION("""COMPUTED_VALUE"""),"Dubai&gt;Jumeirah Village Circle (JVC)&gt;JVC District 10&gt;Binghatti House")</f>
        <v>Dubai&gt;Jumeirah Village Circle (JVC)&gt;JVC District 10&gt;Binghatti House</v>
      </c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</row>
    <row r="1901" spans="1:26" ht="16.5" x14ac:dyDescent="0.35">
      <c r="A1901" s="2" t="str">
        <f ca="1">IFERROR(__xludf.DUMMYFUNCTION("""COMPUTED_VALUE"""),"Dubai")</f>
        <v>Dubai</v>
      </c>
      <c r="B1901" s="2" t="str">
        <f ca="1">IFERROR(__xludf.DUMMYFUNCTION("""COMPUTED_VALUE"""),"Elara Residences 11")</f>
        <v>Elara Residences 11</v>
      </c>
      <c r="C1901" s="2" t="str">
        <f ca="1">IFERROR(__xludf.DUMMYFUNCTION("""COMPUTED_VALUE"""),"Building")</f>
        <v>Building</v>
      </c>
      <c r="D1901" s="2" t="str">
        <f ca="1">IFERROR(__xludf.DUMMYFUNCTION("""COMPUTED_VALUE"""),"Dubai&gt;Jumeirah Village Circle (JVC)&gt;JVC District 10&gt;Elara Residences 11")</f>
        <v>Dubai&gt;Jumeirah Village Circle (JVC)&gt;JVC District 10&gt;Elara Residences 11</v>
      </c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</row>
    <row r="1902" spans="1:26" ht="16.5" x14ac:dyDescent="0.35">
      <c r="A1902" s="2" t="str">
        <f ca="1">IFERROR(__xludf.DUMMYFUNCTION("""COMPUTED_VALUE"""),"Dubai")</f>
        <v>Dubai</v>
      </c>
      <c r="B1902" s="2" t="str">
        <f ca="1">IFERROR(__xludf.DUMMYFUNCTION("""COMPUTED_VALUE"""),"Binghatti Azure")</f>
        <v>Binghatti Azure</v>
      </c>
      <c r="C1902" s="2" t="str">
        <f ca="1">IFERROR(__xludf.DUMMYFUNCTION("""COMPUTED_VALUE"""),"Building")</f>
        <v>Building</v>
      </c>
      <c r="D1902" s="2" t="str">
        <f ca="1">IFERROR(__xludf.DUMMYFUNCTION("""COMPUTED_VALUE"""),"Dubai&gt;Jumeirah Village Circle (JVC)&gt;JVC District 16&gt;Binghatti Azure")</f>
        <v>Dubai&gt;Jumeirah Village Circle (JVC)&gt;JVC District 16&gt;Binghatti Azure</v>
      </c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</row>
    <row r="1903" spans="1:26" ht="16.5" x14ac:dyDescent="0.35">
      <c r="A1903" s="2" t="str">
        <f ca="1">IFERROR(__xludf.DUMMYFUNCTION("""COMPUTED_VALUE"""),"Dubai")</f>
        <v>Dubai</v>
      </c>
      <c r="B1903" s="2" t="str">
        <f ca="1">IFERROR(__xludf.DUMMYFUNCTION("""COMPUTED_VALUE"""),"Laya Mansion")</f>
        <v>Laya Mansion</v>
      </c>
      <c r="C1903" s="2" t="str">
        <f ca="1">IFERROR(__xludf.DUMMYFUNCTION("""COMPUTED_VALUE"""),"Building")</f>
        <v>Building</v>
      </c>
      <c r="D1903" s="2" t="str">
        <f ca="1">IFERROR(__xludf.DUMMYFUNCTION("""COMPUTED_VALUE"""),"Dubai&gt;Jumeirah Village Circle (JVC)&gt;JVC District 15&gt;Laya Mansion")</f>
        <v>Dubai&gt;Jumeirah Village Circle (JVC)&gt;JVC District 15&gt;Laya Mansion</v>
      </c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</row>
    <row r="1904" spans="1:26" ht="16.5" x14ac:dyDescent="0.35">
      <c r="A1904" s="2" t="str">
        <f ca="1">IFERROR(__xludf.DUMMYFUNCTION("""COMPUTED_VALUE"""),"Dubai")</f>
        <v>Dubai</v>
      </c>
      <c r="B1904" s="2" t="str">
        <f ca="1">IFERROR(__xludf.DUMMYFUNCTION("""COMPUTED_VALUE"""),"Tulip Park")</f>
        <v>Tulip Park</v>
      </c>
      <c r="C1904" s="2" t="str">
        <f ca="1">IFERROR(__xludf.DUMMYFUNCTION("""COMPUTED_VALUE"""),"Neighbourhood")</f>
        <v>Neighbourhood</v>
      </c>
      <c r="D1904" s="2" t="str">
        <f ca="1">IFERROR(__xludf.DUMMYFUNCTION("""COMPUTED_VALUE"""),"Dubai&gt;Jumeirah Village Circle (JVC)&gt;JVC District 15&gt;Tulip Park")</f>
        <v>Dubai&gt;Jumeirah Village Circle (JVC)&gt;JVC District 15&gt;Tulip Park</v>
      </c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</row>
    <row r="1905" spans="1:26" ht="16.5" x14ac:dyDescent="0.35">
      <c r="A1905" s="2" t="str">
        <f ca="1">IFERROR(__xludf.DUMMYFUNCTION("""COMPUTED_VALUE"""),"Dubai")</f>
        <v>Dubai</v>
      </c>
      <c r="B1905" s="2" t="str">
        <f ca="1">IFERROR(__xludf.DUMMYFUNCTION("""COMPUTED_VALUE"""),"Al Amir Residence")</f>
        <v>Al Amir Residence</v>
      </c>
      <c r="C1905" s="2" t="str">
        <f ca="1">IFERROR(__xludf.DUMMYFUNCTION("""COMPUTED_VALUE"""),"Building")</f>
        <v>Building</v>
      </c>
      <c r="D1905" s="2" t="str">
        <f ca="1">IFERROR(__xludf.DUMMYFUNCTION("""COMPUTED_VALUE"""),"Dubai&gt;Jumeirah Village Circle (JVC)&gt;JVC District 11&gt;Al Amir Residence")</f>
        <v>Dubai&gt;Jumeirah Village Circle (JVC)&gt;JVC District 11&gt;Al Amir Residence</v>
      </c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</row>
    <row r="1906" spans="1:26" ht="16.5" x14ac:dyDescent="0.35">
      <c r="A1906" s="2" t="str">
        <f ca="1">IFERROR(__xludf.DUMMYFUNCTION("""COMPUTED_VALUE"""),"Dubai")</f>
        <v>Dubai</v>
      </c>
      <c r="B1906" s="2" t="str">
        <f ca="1">IFERROR(__xludf.DUMMYFUNCTION("""COMPUTED_VALUE"""),"BAB Tower")</f>
        <v>BAB Tower</v>
      </c>
      <c r="C1906" s="2" t="str">
        <f ca="1">IFERROR(__xludf.DUMMYFUNCTION("""COMPUTED_VALUE"""),"Building")</f>
        <v>Building</v>
      </c>
      <c r="D1906" s="2" t="str">
        <f ca="1">IFERROR(__xludf.DUMMYFUNCTION("""COMPUTED_VALUE"""),"Dubai&gt;Jumeirah Village Circle (JVC)&gt;JVC District 11&gt;BAB Tower")</f>
        <v>Dubai&gt;Jumeirah Village Circle (JVC)&gt;JVC District 11&gt;BAB Tower</v>
      </c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</row>
    <row r="1907" spans="1:26" ht="16.5" x14ac:dyDescent="0.35">
      <c r="A1907" s="2" t="str">
        <f ca="1">IFERROR(__xludf.DUMMYFUNCTION("""COMPUTED_VALUE"""),"Dubai")</f>
        <v>Dubai</v>
      </c>
      <c r="B1907" s="2" t="str">
        <f ca="1">IFERROR(__xludf.DUMMYFUNCTION("""COMPUTED_VALUE"""),"Binghatti Galaxy Tower B")</f>
        <v>Binghatti Galaxy Tower B</v>
      </c>
      <c r="C1907" s="2" t="str">
        <f ca="1">IFERROR(__xludf.DUMMYFUNCTION("""COMPUTED_VALUE"""),"Building")</f>
        <v>Building</v>
      </c>
      <c r="D1907" s="2" t="str">
        <f ca="1">IFERROR(__xludf.DUMMYFUNCTION("""COMPUTED_VALUE"""),"Dubai&gt;Jumeirah Village Circle (JVC)&gt;JVC District 11&gt;Binghatti Galaxy&gt;Binghatti Galaxy Tower B")</f>
        <v>Dubai&gt;Jumeirah Village Circle (JVC)&gt;JVC District 11&gt;Binghatti Galaxy&gt;Binghatti Galaxy Tower B</v>
      </c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</row>
    <row r="1908" spans="1:26" ht="16.5" x14ac:dyDescent="0.35">
      <c r="A1908" s="2" t="str">
        <f ca="1">IFERROR(__xludf.DUMMYFUNCTION("""COMPUTED_VALUE"""),"Dubai")</f>
        <v>Dubai</v>
      </c>
      <c r="B1908" s="2" t="str">
        <f ca="1">IFERROR(__xludf.DUMMYFUNCTION("""COMPUTED_VALUE"""),"Nexara Tower")</f>
        <v>Nexara Tower</v>
      </c>
      <c r="C1908" s="2" t="str">
        <f ca="1">IFERROR(__xludf.DUMMYFUNCTION("""COMPUTED_VALUE"""),"Building")</f>
        <v>Building</v>
      </c>
      <c r="D1908" s="2" t="str">
        <f ca="1">IFERROR(__xludf.DUMMYFUNCTION("""COMPUTED_VALUE"""),"Dubai&gt;Jumeirah Village Circle (JVC)&gt;JVC District 11&gt;Nexara Tower")</f>
        <v>Dubai&gt;Jumeirah Village Circle (JVC)&gt;JVC District 11&gt;Nexara Tower</v>
      </c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</row>
    <row r="1909" spans="1:26" ht="16.5" x14ac:dyDescent="0.35">
      <c r="A1909" s="2" t="str">
        <f ca="1">IFERROR(__xludf.DUMMYFUNCTION("""COMPUTED_VALUE"""),"Dubai")</f>
        <v>Dubai</v>
      </c>
      <c r="B1909" s="2" t="str">
        <f ca="1">IFERROR(__xludf.DUMMYFUNCTION("""COMPUTED_VALUE"""),"Regent Court")</f>
        <v>Regent Court</v>
      </c>
      <c r="C1909" s="2" t="str">
        <f ca="1">IFERROR(__xludf.DUMMYFUNCTION("""COMPUTED_VALUE"""),"Building")</f>
        <v>Building</v>
      </c>
      <c r="D1909" s="2" t="str">
        <f ca="1">IFERROR(__xludf.DUMMYFUNCTION("""COMPUTED_VALUE"""),"Dubai&gt;Jumeirah Village Circle (JVC)&gt;JVC District 14&gt;Regent Court")</f>
        <v>Dubai&gt;Jumeirah Village Circle (JVC)&gt;JVC District 14&gt;Regent Court</v>
      </c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</row>
    <row r="1910" spans="1:26" ht="16.5" x14ac:dyDescent="0.35">
      <c r="A1910" s="2" t="str">
        <f ca="1">IFERROR(__xludf.DUMMYFUNCTION("""COMPUTED_VALUE"""),"Dubai")</f>
        <v>Dubai</v>
      </c>
      <c r="B1910" s="2" t="str">
        <f ca="1">IFERROR(__xludf.DUMMYFUNCTION("""COMPUTED_VALUE"""),"Eleganz by Danube")</f>
        <v>Eleganz by Danube</v>
      </c>
      <c r="C1910" s="2" t="str">
        <f ca="1">IFERROR(__xludf.DUMMYFUNCTION("""COMPUTED_VALUE"""),"Neighbourhood")</f>
        <v>Neighbourhood</v>
      </c>
      <c r="D1910" s="2" t="str">
        <f ca="1">IFERROR(__xludf.DUMMYFUNCTION("""COMPUTED_VALUE"""),"Dubai&gt;Jumeirah Village Circle (JVC)&gt;JVC District 14&gt;Eleganz by Danube")</f>
        <v>Dubai&gt;Jumeirah Village Circle (JVC)&gt;JVC District 14&gt;Eleganz by Danube</v>
      </c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</row>
    <row r="1911" spans="1:26" ht="16.5" x14ac:dyDescent="0.35">
      <c r="A1911" s="2" t="str">
        <f ca="1">IFERROR(__xludf.DUMMYFUNCTION("""COMPUTED_VALUE"""),"Dubai")</f>
        <v>Dubai</v>
      </c>
      <c r="B1911" s="2" t="str">
        <f ca="1">IFERROR(__xludf.DUMMYFUNCTION("""COMPUTED_VALUE"""),"Windsor Residence")</f>
        <v>Windsor Residence</v>
      </c>
      <c r="C1911" s="2" t="str">
        <f ca="1">IFERROR(__xludf.DUMMYFUNCTION("""COMPUTED_VALUE"""),"Building")</f>
        <v>Building</v>
      </c>
      <c r="D1911" s="2" t="str">
        <f ca="1">IFERROR(__xludf.DUMMYFUNCTION("""COMPUTED_VALUE"""),"Dubai&gt;Dubai Land Residence Complex&gt;Windsor Residence")</f>
        <v>Dubai&gt;Dubai Land Residence Complex&gt;Windsor Residence</v>
      </c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</row>
    <row r="1912" spans="1:26" ht="16.5" x14ac:dyDescent="0.35">
      <c r="A1912" s="2" t="str">
        <f ca="1">IFERROR(__xludf.DUMMYFUNCTION("""COMPUTED_VALUE"""),"Dubai")</f>
        <v>Dubai</v>
      </c>
      <c r="B1912" s="2" t="str">
        <f ca="1">IFERROR(__xludf.DUMMYFUNCTION("""COMPUTED_VALUE"""),"Durar A")</f>
        <v>Durar A</v>
      </c>
      <c r="C1912" s="2" t="str">
        <f ca="1">IFERROR(__xludf.DUMMYFUNCTION("""COMPUTED_VALUE"""),"Building")</f>
        <v>Building</v>
      </c>
      <c r="D1912" s="2" t="str">
        <f ca="1">IFERROR(__xludf.DUMMYFUNCTION("""COMPUTED_VALUE"""),"Dubai&gt;Dubai Land Residence Complex&gt;Durar A")</f>
        <v>Dubai&gt;Dubai Land Residence Complex&gt;Durar A</v>
      </c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</row>
    <row r="1913" spans="1:26" ht="16.5" x14ac:dyDescent="0.35">
      <c r="A1913" s="2" t="str">
        <f ca="1">IFERROR(__xludf.DUMMYFUNCTION("""COMPUTED_VALUE"""),"Dubai")</f>
        <v>Dubai</v>
      </c>
      <c r="B1913" s="2" t="str">
        <f ca="1">IFERROR(__xludf.DUMMYFUNCTION("""COMPUTED_VALUE"""),"Galah Residence 2")</f>
        <v>Galah Residence 2</v>
      </c>
      <c r="C1913" s="2" t="str">
        <f ca="1">IFERROR(__xludf.DUMMYFUNCTION("""COMPUTED_VALUE"""),"Building")</f>
        <v>Building</v>
      </c>
      <c r="D1913" s="2" t="str">
        <f ca="1">IFERROR(__xludf.DUMMYFUNCTION("""COMPUTED_VALUE"""),"Dubai&gt;Dubai Land Residence Complex&gt;Galah Residence 2")</f>
        <v>Dubai&gt;Dubai Land Residence Complex&gt;Galah Residence 2</v>
      </c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</row>
    <row r="1914" spans="1:26" ht="16.5" x14ac:dyDescent="0.35">
      <c r="A1914" s="2" t="str">
        <f ca="1">IFERROR(__xludf.DUMMYFUNCTION("""COMPUTED_VALUE"""),"Dubai")</f>
        <v>Dubai</v>
      </c>
      <c r="B1914" s="2" t="str">
        <f ca="1">IFERROR(__xludf.DUMMYFUNCTION("""COMPUTED_VALUE"""),"AG AUM Residence")</f>
        <v>AG AUM Residence</v>
      </c>
      <c r="C1914" s="2" t="str">
        <f ca="1">IFERROR(__xludf.DUMMYFUNCTION("""COMPUTED_VALUE"""),"Building")</f>
        <v>Building</v>
      </c>
      <c r="D1914" s="2" t="str">
        <f ca="1">IFERROR(__xludf.DUMMYFUNCTION("""COMPUTED_VALUE"""),"Dubai&gt;Dubai Land Residence Complex&gt;AG AUM Residence")</f>
        <v>Dubai&gt;Dubai Land Residence Complex&gt;AG AUM Residence</v>
      </c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</row>
    <row r="1915" spans="1:26" ht="16.5" x14ac:dyDescent="0.35">
      <c r="A1915" s="2" t="str">
        <f ca="1">IFERROR(__xludf.DUMMYFUNCTION("""COMPUTED_VALUE"""),"Dubai")</f>
        <v>Dubai</v>
      </c>
      <c r="B1915" s="2" t="str">
        <f ca="1">IFERROR(__xludf.DUMMYFUNCTION("""COMPUTED_VALUE"""),"Forest City Tower 2")</f>
        <v>Forest City Tower 2</v>
      </c>
      <c r="C1915" s="2" t="str">
        <f ca="1">IFERROR(__xludf.DUMMYFUNCTION("""COMPUTED_VALUE"""),"Building")</f>
        <v>Building</v>
      </c>
      <c r="D1915" s="2" t="str">
        <f ca="1">IFERROR(__xludf.DUMMYFUNCTION("""COMPUTED_VALUE"""),"Dubai&gt;Dubai Land Residence Complex&gt;Forest City Tower 2")</f>
        <v>Dubai&gt;Dubai Land Residence Complex&gt;Forest City Tower 2</v>
      </c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</row>
    <row r="1916" spans="1:26" ht="16.5" x14ac:dyDescent="0.35">
      <c r="A1916" s="2" t="str">
        <f ca="1">IFERROR(__xludf.DUMMYFUNCTION("""COMPUTED_VALUE"""),"Dubai")</f>
        <v>Dubai</v>
      </c>
      <c r="B1916" s="2" t="str">
        <f ca="1">IFERROR(__xludf.DUMMYFUNCTION("""COMPUTED_VALUE"""),"Uptown Mirdif Mall")</f>
        <v>Uptown Mirdif Mall</v>
      </c>
      <c r="C1916" s="2" t="str">
        <f ca="1">IFERROR(__xludf.DUMMYFUNCTION("""COMPUTED_VALUE"""),"Building")</f>
        <v>Building</v>
      </c>
      <c r="D1916" s="2" t="str">
        <f ca="1">IFERROR(__xludf.DUMMYFUNCTION("""COMPUTED_VALUE"""),"Dubai&gt;Mirdif&gt;Uptown Mirdif&gt;Uptown Mirdif Mall")</f>
        <v>Dubai&gt;Mirdif&gt;Uptown Mirdif&gt;Uptown Mirdif Mall</v>
      </c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</row>
    <row r="1917" spans="1:26" ht="16.5" x14ac:dyDescent="0.35">
      <c r="A1917" s="2" t="str">
        <f ca="1">IFERROR(__xludf.DUMMYFUNCTION("""COMPUTED_VALUE"""),"Dubai")</f>
        <v>Dubai</v>
      </c>
      <c r="B1917" s="2" t="str">
        <f ca="1">IFERROR(__xludf.DUMMYFUNCTION("""COMPUTED_VALUE"""),"Al Shafar Village")</f>
        <v>Al Shafar Village</v>
      </c>
      <c r="C1917" s="2" t="str">
        <f ca="1">IFERROR(__xludf.DUMMYFUNCTION("""COMPUTED_VALUE"""),"Neighbourhood")</f>
        <v>Neighbourhood</v>
      </c>
      <c r="D1917" s="2" t="str">
        <f ca="1">IFERROR(__xludf.DUMMYFUNCTION("""COMPUTED_VALUE"""),"Dubai&gt;Mirdif&gt;Al Shafar Village")</f>
        <v>Dubai&gt;Mirdif&gt;Al Shafar Village</v>
      </c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</row>
    <row r="1918" spans="1:26" ht="16.5" x14ac:dyDescent="0.35">
      <c r="A1918" s="2" t="str">
        <f ca="1">IFERROR(__xludf.DUMMYFUNCTION("""COMPUTED_VALUE"""),"Dubai")</f>
        <v>Dubai</v>
      </c>
      <c r="B1918" s="2" t="str">
        <f ca="1">IFERROR(__xludf.DUMMYFUNCTION("""COMPUTED_VALUE"""),"Deema 3")</f>
        <v>Deema 3</v>
      </c>
      <c r="C1918" s="2" t="str">
        <f ca="1">IFERROR(__xludf.DUMMYFUNCTION("""COMPUTED_VALUE"""),"Neighbourhood")</f>
        <v>Neighbourhood</v>
      </c>
      <c r="D1918" s="2" t="str">
        <f ca="1">IFERROR(__xludf.DUMMYFUNCTION("""COMPUTED_VALUE"""),"Dubai&gt;The Lakes&gt;Deema&gt;Deema 3")</f>
        <v>Dubai&gt;The Lakes&gt;Deema&gt;Deema 3</v>
      </c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</row>
    <row r="1919" spans="1:26" ht="16.5" x14ac:dyDescent="0.35">
      <c r="A1919" s="2" t="str">
        <f ca="1">IFERROR(__xludf.DUMMYFUNCTION("""COMPUTED_VALUE"""),"Dubai")</f>
        <v>Dubai</v>
      </c>
      <c r="B1919" s="2" t="str">
        <f ca="1">IFERROR(__xludf.DUMMYFUNCTION("""COMPUTED_VALUE"""),"Airport Road Area")</f>
        <v>Airport Road Area</v>
      </c>
      <c r="C1919" s="2" t="str">
        <f ca="1">IFERROR(__xludf.DUMMYFUNCTION("""COMPUTED_VALUE"""),"Neighbourhood")</f>
        <v>Neighbourhood</v>
      </c>
      <c r="D1919" s="2" t="str">
        <f ca="1">IFERROR(__xludf.DUMMYFUNCTION("""COMPUTED_VALUE"""),"Dubai&gt;Al Garhoud&gt;Airport Road Area")</f>
        <v>Dubai&gt;Al Garhoud&gt;Airport Road Area</v>
      </c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</row>
    <row r="1920" spans="1:26" ht="16.5" x14ac:dyDescent="0.35">
      <c r="A1920" s="2" t="str">
        <f ca="1">IFERROR(__xludf.DUMMYFUNCTION("""COMPUTED_VALUE"""),"Dubai")</f>
        <v>Dubai</v>
      </c>
      <c r="B1920" s="2" t="str">
        <f ca="1">IFERROR(__xludf.DUMMYFUNCTION("""COMPUTED_VALUE"""),"Tower 3")</f>
        <v>Tower 3</v>
      </c>
      <c r="C1920" s="2" t="str">
        <f ca="1">IFERROR(__xludf.DUMMYFUNCTION("""COMPUTED_VALUE"""),"Building")</f>
        <v>Building</v>
      </c>
      <c r="D1920" s="2" t="str">
        <f ca="1">IFERROR(__xludf.DUMMYFUNCTION("""COMPUTED_VALUE"""),"Dubai&gt;Al Garhoud&gt;Garhoud Towers&gt;Tower 3")</f>
        <v>Dubai&gt;Al Garhoud&gt;Garhoud Towers&gt;Tower 3</v>
      </c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</row>
    <row r="1921" spans="1:26" ht="16.5" x14ac:dyDescent="0.35">
      <c r="A1921" s="2" t="str">
        <f ca="1">IFERROR(__xludf.DUMMYFUNCTION("""COMPUTED_VALUE"""),"Dubai")</f>
        <v>Dubai</v>
      </c>
      <c r="B1921" s="2" t="str">
        <f ca="1">IFERROR(__xludf.DUMMYFUNCTION("""COMPUTED_VALUE"""),"Al Garhoud Building")</f>
        <v>Al Garhoud Building</v>
      </c>
      <c r="C1921" s="2" t="str">
        <f ca="1">IFERROR(__xludf.DUMMYFUNCTION("""COMPUTED_VALUE"""),"Building")</f>
        <v>Building</v>
      </c>
      <c r="D1921" s="2" t="str">
        <f ca="1">IFERROR(__xludf.DUMMYFUNCTION("""COMPUTED_VALUE"""),"Dubai&gt;Al Garhoud&gt;Al Garhoud Building")</f>
        <v>Dubai&gt;Al Garhoud&gt;Al Garhoud Building</v>
      </c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</row>
    <row r="1922" spans="1:26" ht="16.5" x14ac:dyDescent="0.35">
      <c r="A1922" s="2" t="str">
        <f ca="1">IFERROR(__xludf.DUMMYFUNCTION("""COMPUTED_VALUE"""),"Dubai")</f>
        <v>Dubai</v>
      </c>
      <c r="B1922" s="2" t="str">
        <f ca="1">IFERROR(__xludf.DUMMYFUNCTION("""COMPUTED_VALUE"""),"Cluster 25")</f>
        <v>Cluster 25</v>
      </c>
      <c r="C1922" s="2" t="str">
        <f ca="1">IFERROR(__xludf.DUMMYFUNCTION("""COMPUTED_VALUE"""),"Neighbourhood")</f>
        <v>Neighbourhood</v>
      </c>
      <c r="D1922" s="2" t="str">
        <f ca="1">IFERROR(__xludf.DUMMYFUNCTION("""COMPUTED_VALUE"""),"Dubai&gt;Jumeirah Islands&gt;Cluster 25")</f>
        <v>Dubai&gt;Jumeirah Islands&gt;Cluster 25</v>
      </c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</row>
    <row r="1923" spans="1:26" ht="16.5" x14ac:dyDescent="0.35">
      <c r="A1923" s="2" t="str">
        <f ca="1">IFERROR(__xludf.DUMMYFUNCTION("""COMPUTED_VALUE"""),"Dubai")</f>
        <v>Dubai</v>
      </c>
      <c r="B1923" s="2" t="str">
        <f ca="1">IFERROR(__xludf.DUMMYFUNCTION("""COMPUTED_VALUE"""),"Serenia District West Residence")</f>
        <v>Serenia District West Residence</v>
      </c>
      <c r="C1923" s="2" t="str">
        <f ca="1">IFERROR(__xludf.DUMMYFUNCTION("""COMPUTED_VALUE"""),"Building")</f>
        <v>Building</v>
      </c>
      <c r="D1923" s="2" t="str">
        <f ca="1">IFERROR(__xludf.DUMMYFUNCTION("""COMPUTED_VALUE"""),"Dubai&gt;Jumeirah Islands&gt;Serenia District&gt;Serenia District West Residence")</f>
        <v>Dubai&gt;Jumeirah Islands&gt;Serenia District&gt;Serenia District West Residence</v>
      </c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</row>
    <row r="1924" spans="1:26" ht="16.5" x14ac:dyDescent="0.35">
      <c r="A1924" s="2" t="str">
        <f ca="1">IFERROR(__xludf.DUMMYFUNCTION("""COMPUTED_VALUE"""),"Dubai")</f>
        <v>Dubai</v>
      </c>
      <c r="B1924" s="2" t="str">
        <f ca="1">IFERROR(__xludf.DUMMYFUNCTION("""COMPUTED_VALUE"""),"Lake Apartments A")</f>
        <v>Lake Apartments A</v>
      </c>
      <c r="C1924" s="2" t="str">
        <f ca="1">IFERROR(__xludf.DUMMYFUNCTION("""COMPUTED_VALUE"""),"Building")</f>
        <v>Building</v>
      </c>
      <c r="D1924" s="2" t="str">
        <f ca="1">IFERROR(__xludf.DUMMYFUNCTION("""COMPUTED_VALUE"""),"Dubai&gt;Green Community&gt;Lake Apartments&gt;Lake Apartments A")</f>
        <v>Dubai&gt;Green Community&gt;Lake Apartments&gt;Lake Apartments A</v>
      </c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</row>
    <row r="1925" spans="1:26" ht="16.5" x14ac:dyDescent="0.35">
      <c r="A1925" s="2" t="str">
        <f ca="1">IFERROR(__xludf.DUMMYFUNCTION("""COMPUTED_VALUE"""),"Dubai")</f>
        <v>Dubai</v>
      </c>
      <c r="B1925" s="2" t="str">
        <f ca="1">IFERROR(__xludf.DUMMYFUNCTION("""COMPUTED_VALUE"""),"Northwest Apartments 6")</f>
        <v>Northwest Apartments 6</v>
      </c>
      <c r="C1925" s="2" t="str">
        <f ca="1">IFERROR(__xludf.DUMMYFUNCTION("""COMPUTED_VALUE"""),"Building")</f>
        <v>Building</v>
      </c>
      <c r="D1925" s="2" t="str">
        <f ca="1">IFERROR(__xludf.DUMMYFUNCTION("""COMPUTED_VALUE"""),"Dubai&gt;Green Community&gt;Green Community West&gt;Northwest Garden Apartments&gt;Northwest Apartments 6")</f>
        <v>Dubai&gt;Green Community&gt;Green Community West&gt;Northwest Garden Apartments&gt;Northwest Apartments 6</v>
      </c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</row>
    <row r="1926" spans="1:26" ht="16.5" x14ac:dyDescent="0.35">
      <c r="A1926" s="2" t="str">
        <f ca="1">IFERROR(__xludf.DUMMYFUNCTION("""COMPUTED_VALUE"""),"Dubai")</f>
        <v>Dubai</v>
      </c>
      <c r="B1926" s="2" t="str">
        <f ca="1">IFERROR(__xludf.DUMMYFUNCTION("""COMPUTED_VALUE"""),"Prime Villas")</f>
        <v>Prime Villas</v>
      </c>
      <c r="C1926" s="2" t="str">
        <f ca="1">IFERROR(__xludf.DUMMYFUNCTION("""COMPUTED_VALUE"""),"Neighbourhood")</f>
        <v>Neighbourhood</v>
      </c>
      <c r="D1926" s="2" t="str">
        <f ca="1">IFERROR(__xludf.DUMMYFUNCTION("""COMPUTED_VALUE"""),"Dubai&gt;Dubai Sports City&gt;Prime Villas")</f>
        <v>Dubai&gt;Dubai Sports City&gt;Prime Villas</v>
      </c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</row>
    <row r="1927" spans="1:26" ht="16.5" x14ac:dyDescent="0.35">
      <c r="A1927" s="2" t="str">
        <f ca="1">IFERROR(__xludf.DUMMYFUNCTION("""COMPUTED_VALUE"""),"Dubai")</f>
        <v>Dubai</v>
      </c>
      <c r="B1927" s="2" t="str">
        <f ca="1">IFERROR(__xludf.DUMMYFUNCTION("""COMPUTED_VALUE"""),"Zenith Tower A1")</f>
        <v>Zenith Tower A1</v>
      </c>
      <c r="C1927" s="2" t="str">
        <f ca="1">IFERROR(__xludf.DUMMYFUNCTION("""COMPUTED_VALUE"""),"Building")</f>
        <v>Building</v>
      </c>
      <c r="D1927" s="2" t="str">
        <f ca="1">IFERROR(__xludf.DUMMYFUNCTION("""COMPUTED_VALUE"""),"Dubai&gt;Dubai Sports City&gt;Zenith Towers&gt;Zenith Tower A1")</f>
        <v>Dubai&gt;Dubai Sports City&gt;Zenith Towers&gt;Zenith Tower A1</v>
      </c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</row>
    <row r="1928" spans="1:26" ht="16.5" x14ac:dyDescent="0.35">
      <c r="A1928" s="2" t="str">
        <f ca="1">IFERROR(__xludf.DUMMYFUNCTION("""COMPUTED_VALUE"""),"Dubai")</f>
        <v>Dubai</v>
      </c>
      <c r="B1928" s="2" t="str">
        <f ca="1">IFERROR(__xludf.DUMMYFUNCTION("""COMPUTED_VALUE"""),"Condor Golf Links 18")</f>
        <v>Condor Golf Links 18</v>
      </c>
      <c r="C1928" s="2" t="str">
        <f ca="1">IFERROR(__xludf.DUMMYFUNCTION("""COMPUTED_VALUE"""),"Building")</f>
        <v>Building</v>
      </c>
      <c r="D1928" s="2" t="str">
        <f ca="1">IFERROR(__xludf.DUMMYFUNCTION("""COMPUTED_VALUE"""),"Dubai&gt;Dubai Sports City&gt;Condor Golf Links 18")</f>
        <v>Dubai&gt;Dubai Sports City&gt;Condor Golf Links 18</v>
      </c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</row>
    <row r="1929" spans="1:26" ht="16.5" x14ac:dyDescent="0.35">
      <c r="A1929" s="2" t="str">
        <f ca="1">IFERROR(__xludf.DUMMYFUNCTION("""COMPUTED_VALUE"""),"Dubai")</f>
        <v>Dubai</v>
      </c>
      <c r="B1929" s="2" t="str">
        <f ca="1">IFERROR(__xludf.DUMMYFUNCTION("""COMPUTED_VALUE"""),"Aspirz by Danube")</f>
        <v>Aspirz by Danube</v>
      </c>
      <c r="C1929" s="2" t="str">
        <f ca="1">IFERROR(__xludf.DUMMYFUNCTION("""COMPUTED_VALUE"""),"Building")</f>
        <v>Building</v>
      </c>
      <c r="D1929" s="2" t="str">
        <f ca="1">IFERROR(__xludf.DUMMYFUNCTION("""COMPUTED_VALUE"""),"Dubai&gt;Dubai Sports City&gt;Aspirz by Danube")</f>
        <v>Dubai&gt;Dubai Sports City&gt;Aspirz by Danube</v>
      </c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</row>
    <row r="1930" spans="1:26" ht="16.5" x14ac:dyDescent="0.35">
      <c r="A1930" s="2" t="str">
        <f ca="1">IFERROR(__xludf.DUMMYFUNCTION("""COMPUTED_VALUE"""),"Dubai")</f>
        <v>Dubai</v>
      </c>
      <c r="B1930" s="2" t="str">
        <f ca="1">IFERROR(__xludf.DUMMYFUNCTION("""COMPUTED_VALUE"""),"Sama Residence")</f>
        <v>Sama Residence</v>
      </c>
      <c r="C1930" s="2" t="str">
        <f ca="1">IFERROR(__xludf.DUMMYFUNCTION("""COMPUTED_VALUE"""),"Building")</f>
        <v>Building</v>
      </c>
      <c r="D1930" s="2" t="str">
        <f ca="1">IFERROR(__xludf.DUMMYFUNCTION("""COMPUTED_VALUE"""),"Dubai&gt;Al Nahda (Dubai)&gt;Al Nahda 1&gt;Sama Residence")</f>
        <v>Dubai&gt;Al Nahda (Dubai)&gt;Al Nahda 1&gt;Sama Residence</v>
      </c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</row>
    <row r="1931" spans="1:26" ht="16.5" x14ac:dyDescent="0.35">
      <c r="A1931" s="2" t="str">
        <f ca="1">IFERROR(__xludf.DUMMYFUNCTION("""COMPUTED_VALUE"""),"Dubai")</f>
        <v>Dubai</v>
      </c>
      <c r="B1931" s="2" t="str">
        <f ca="1">IFERROR(__xludf.DUMMYFUNCTION("""COMPUTED_VALUE"""),"Dubai Carmel School")</f>
        <v>Dubai Carmel School</v>
      </c>
      <c r="C1931" s="2" t="str">
        <f ca="1">IFERROR(__xludf.DUMMYFUNCTION("""COMPUTED_VALUE"""),"School")</f>
        <v>School</v>
      </c>
      <c r="D1931" s="2" t="str">
        <f ca="1">IFERROR(__xludf.DUMMYFUNCTION("""COMPUTED_VALUE"""),"Dubai&gt;Al Nahda (Dubai)&gt;Al Nahda 2&gt;Dubai Carmel School")</f>
        <v>Dubai&gt;Al Nahda (Dubai)&gt;Al Nahda 2&gt;Dubai Carmel School</v>
      </c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</row>
    <row r="1932" spans="1:26" ht="16.5" x14ac:dyDescent="0.35">
      <c r="A1932" s="2" t="str">
        <f ca="1">IFERROR(__xludf.DUMMYFUNCTION("""COMPUTED_VALUE"""),"Dubai")</f>
        <v>Dubai</v>
      </c>
      <c r="B1932" s="2" t="str">
        <f ca="1">IFERROR(__xludf.DUMMYFUNCTION("""COMPUTED_VALUE"""),"Bouri Tower B")</f>
        <v>Bouri Tower B</v>
      </c>
      <c r="C1932" s="2" t="str">
        <f ca="1">IFERROR(__xludf.DUMMYFUNCTION("""COMPUTED_VALUE"""),"Building")</f>
        <v>Building</v>
      </c>
      <c r="D1932" s="2" t="str">
        <f ca="1">IFERROR(__xludf.DUMMYFUNCTION("""COMPUTED_VALUE"""),"Dubai&gt;Al Nahda (Dubai)&gt;Al Nahda 2&gt;Bouri Tower B")</f>
        <v>Dubai&gt;Al Nahda (Dubai)&gt;Al Nahda 2&gt;Bouri Tower B</v>
      </c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</row>
    <row r="1933" spans="1:26" ht="16.5" x14ac:dyDescent="0.35">
      <c r="A1933" s="2" t="str">
        <f ca="1">IFERROR(__xludf.DUMMYFUNCTION("""COMPUTED_VALUE"""),"Dubai")</f>
        <v>Dubai</v>
      </c>
      <c r="B1933" s="2" t="str">
        <f ca="1">IFERROR(__xludf.DUMMYFUNCTION("""COMPUTED_VALUE"""),"Al Jabri Tower 3")</f>
        <v>Al Jabri Tower 3</v>
      </c>
      <c r="C1933" s="2" t="str">
        <f ca="1">IFERROR(__xludf.DUMMYFUNCTION("""COMPUTED_VALUE"""),"Building")</f>
        <v>Building</v>
      </c>
      <c r="D1933" s="2" t="str">
        <f ca="1">IFERROR(__xludf.DUMMYFUNCTION("""COMPUTED_VALUE"""),"Dubai&gt;Al Nahda (Dubai)&gt;Al Nahda 2&gt;Al Jabri Tower 3")</f>
        <v>Dubai&gt;Al Nahda (Dubai)&gt;Al Nahda 2&gt;Al Jabri Tower 3</v>
      </c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</row>
    <row r="1934" spans="1:26" ht="16.5" x14ac:dyDescent="0.35">
      <c r="A1934" s="2" t="str">
        <f ca="1">IFERROR(__xludf.DUMMYFUNCTION("""COMPUTED_VALUE"""),"Dubai")</f>
        <v>Dubai</v>
      </c>
      <c r="B1934" s="2" t="str">
        <f ca="1">IFERROR(__xludf.DUMMYFUNCTION("""COMPUTED_VALUE"""),"Ahli House 1")</f>
        <v>Ahli House 1</v>
      </c>
      <c r="C1934" s="2" t="str">
        <f ca="1">IFERROR(__xludf.DUMMYFUNCTION("""COMPUTED_VALUE"""),"Building")</f>
        <v>Building</v>
      </c>
      <c r="D1934" s="2" t="str">
        <f ca="1">IFERROR(__xludf.DUMMYFUNCTION("""COMPUTED_VALUE"""),"Dubai&gt;Al Nahda (Dubai)&gt;Al Nahda 2&gt;Ahli House 1")</f>
        <v>Dubai&gt;Al Nahda (Dubai)&gt;Al Nahda 2&gt;Ahli House 1</v>
      </c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</row>
    <row r="1935" spans="1:26" ht="16.5" x14ac:dyDescent="0.35">
      <c r="A1935" s="2" t="str">
        <f ca="1">IFERROR(__xludf.DUMMYFUNCTION("""COMPUTED_VALUE"""),"Dubai")</f>
        <v>Dubai</v>
      </c>
      <c r="B1935" s="2" t="str">
        <f ca="1">IFERROR(__xludf.DUMMYFUNCTION("""COMPUTED_VALUE"""),"Ghantoot Tower")</f>
        <v>Ghantoot Tower</v>
      </c>
      <c r="C1935" s="2" t="str">
        <f ca="1">IFERROR(__xludf.DUMMYFUNCTION("""COMPUTED_VALUE"""),"Building")</f>
        <v>Building</v>
      </c>
      <c r="D1935" s="2" t="str">
        <f ca="1">IFERROR(__xludf.DUMMYFUNCTION("""COMPUTED_VALUE"""),"Dubai&gt;Al Nahda (Dubai)&gt;Al Nahda 2&gt;Ghantoot Tower")</f>
        <v>Dubai&gt;Al Nahda (Dubai)&gt;Al Nahda 2&gt;Ghantoot Tower</v>
      </c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</row>
    <row r="1936" spans="1:26" ht="16.5" x14ac:dyDescent="0.35">
      <c r="A1936" s="2" t="str">
        <f ca="1">IFERROR(__xludf.DUMMYFUNCTION("""COMPUTED_VALUE"""),"Dubai")</f>
        <v>Dubai</v>
      </c>
      <c r="B1936" s="2" t="str">
        <f ca="1">IFERROR(__xludf.DUMMYFUNCTION("""COMPUTED_VALUE"""),"DAMAC Lagoons")</f>
        <v>DAMAC Lagoons</v>
      </c>
      <c r="C1936" s="2" t="str">
        <f ca="1">IFERROR(__xludf.DUMMYFUNCTION("""COMPUTED_VALUE"""),"Neighbourhood")</f>
        <v>Neighbourhood</v>
      </c>
      <c r="D1936" s="2" t="str">
        <f ca="1">IFERROR(__xludf.DUMMYFUNCTION("""COMPUTED_VALUE"""),"Dubai&gt;DAMAC Lagoons")</f>
        <v>Dubai&gt;DAMAC Lagoons</v>
      </c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</row>
    <row r="1937" spans="1:26" ht="16.5" x14ac:dyDescent="0.35">
      <c r="A1937" s="2" t="str">
        <f ca="1">IFERROR(__xludf.DUMMYFUNCTION("""COMPUTED_VALUE"""),"Dubai")</f>
        <v>Dubai</v>
      </c>
      <c r="B1937" s="2" t="str">
        <f ca="1">IFERROR(__xludf.DUMMYFUNCTION("""COMPUTED_VALUE"""),"Lagoon Views 12")</f>
        <v>Lagoon Views 12</v>
      </c>
      <c r="C1937" s="2" t="str">
        <f ca="1">IFERROR(__xludf.DUMMYFUNCTION("""COMPUTED_VALUE"""),"Building")</f>
        <v>Building</v>
      </c>
      <c r="D1937" s="2" t="str">
        <f ca="1">IFERROR(__xludf.DUMMYFUNCTION("""COMPUTED_VALUE"""),"Dubai&gt;DAMAC Lagoons&gt;Lagoon Views&gt;Lagoon Views 12")</f>
        <v>Dubai&gt;DAMAC Lagoons&gt;Lagoon Views&gt;Lagoon Views 12</v>
      </c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</row>
    <row r="1938" spans="1:26" ht="16.5" x14ac:dyDescent="0.35">
      <c r="A1938" s="2" t="str">
        <f ca="1">IFERROR(__xludf.DUMMYFUNCTION("""COMPUTED_VALUE"""),"Dubai")</f>
        <v>Dubai</v>
      </c>
      <c r="B1938" s="2" t="str">
        <f ca="1">IFERROR(__xludf.DUMMYFUNCTION("""COMPUTED_VALUE"""),"Sara Building")</f>
        <v>Sara Building</v>
      </c>
      <c r="C1938" s="2" t="str">
        <f ca="1">IFERROR(__xludf.DUMMYFUNCTION("""COMPUTED_VALUE"""),"Building")</f>
        <v>Building</v>
      </c>
      <c r="D1938" s="2" t="str">
        <f ca="1">IFERROR(__xludf.DUMMYFUNCTION("""COMPUTED_VALUE"""),"Dubai&gt;Liwan 2&gt;Sara Building")</f>
        <v>Dubai&gt;Liwan 2&gt;Sara Building</v>
      </c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</row>
    <row r="1939" spans="1:26" ht="16.5" x14ac:dyDescent="0.35">
      <c r="A1939" s="2" t="str">
        <f ca="1">IFERROR(__xludf.DUMMYFUNCTION("""COMPUTED_VALUE"""),"Dubai")</f>
        <v>Dubai</v>
      </c>
      <c r="B1939" s="2" t="str">
        <f ca="1">IFERROR(__xludf.DUMMYFUNCTION("""COMPUTED_VALUE"""),"Cityland Mall")</f>
        <v>Cityland Mall</v>
      </c>
      <c r="C1939" s="2" t="str">
        <f ca="1">IFERROR(__xludf.DUMMYFUNCTION("""COMPUTED_VALUE"""),"Building")</f>
        <v>Building</v>
      </c>
      <c r="D1939" s="2" t="str">
        <f ca="1">IFERROR(__xludf.DUMMYFUNCTION("""COMPUTED_VALUE"""),"Dubai&gt;Global Village&gt;Cityland Mall")</f>
        <v>Dubai&gt;Global Village&gt;Cityland Mall</v>
      </c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</row>
    <row r="1940" spans="1:26" ht="16.5" x14ac:dyDescent="0.35">
      <c r="A1940" s="2" t="str">
        <f ca="1">IFERROR(__xludf.DUMMYFUNCTION("""COMPUTED_VALUE"""),"Dubai")</f>
        <v>Dubai</v>
      </c>
      <c r="B1940" s="2" t="str">
        <f ca="1">IFERROR(__xludf.DUMMYFUNCTION("""COMPUTED_VALUE"""),"Gulf Housing Solutions 3")</f>
        <v>Gulf Housing Solutions 3</v>
      </c>
      <c r="C1940" s="2" t="str">
        <f ca="1">IFERROR(__xludf.DUMMYFUNCTION("""COMPUTED_VALUE"""),"Building")</f>
        <v>Building</v>
      </c>
      <c r="D1940" s="2" t="str">
        <f ca="1">IFERROR(__xludf.DUMMYFUNCTION("""COMPUTED_VALUE"""),"Dubai&gt;Dubai Investment Park (DIP)&gt;Dubai Investment Park 1&gt;Gulf Housing Solutions 3")</f>
        <v>Dubai&gt;Dubai Investment Park (DIP)&gt;Dubai Investment Park 1&gt;Gulf Housing Solutions 3</v>
      </c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</row>
    <row r="1941" spans="1:26" ht="16.5" x14ac:dyDescent="0.35">
      <c r="A1941" s="2" t="str">
        <f ca="1">IFERROR(__xludf.DUMMYFUNCTION("""COMPUTED_VALUE"""),"Dubai")</f>
        <v>Dubai</v>
      </c>
      <c r="B1941" s="2" t="str">
        <f ca="1">IFERROR(__xludf.DUMMYFUNCTION("""COMPUTED_VALUE"""),"Palmon Group 1")</f>
        <v>Palmon Group 1</v>
      </c>
      <c r="C1941" s="2" t="str">
        <f ca="1">IFERROR(__xludf.DUMMYFUNCTION("""COMPUTED_VALUE"""),"Building")</f>
        <v>Building</v>
      </c>
      <c r="D1941" s="2" t="str">
        <f ca="1">IFERROR(__xludf.DUMMYFUNCTION("""COMPUTED_VALUE"""),"Dubai&gt;Dubai Investment Park (DIP)&gt;Dubai Investment Park 1&gt;Palmon FZC Staff Accommodation&gt;Palmon Group 1")</f>
        <v>Dubai&gt;Dubai Investment Park (DIP)&gt;Dubai Investment Park 1&gt;Palmon FZC Staff Accommodation&gt;Palmon Group 1</v>
      </c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</row>
    <row r="1942" spans="1:26" ht="16.5" x14ac:dyDescent="0.35">
      <c r="A1942" s="2" t="str">
        <f ca="1">IFERROR(__xludf.DUMMYFUNCTION("""COMPUTED_VALUE"""),"Dubai")</f>
        <v>Dubai</v>
      </c>
      <c r="B1942" s="2" t="str">
        <f ca="1">IFERROR(__xludf.DUMMYFUNCTION("""COMPUTED_VALUE"""),"Talal Residence")</f>
        <v>Talal Residence</v>
      </c>
      <c r="C1942" s="2" t="str">
        <f ca="1">IFERROR(__xludf.DUMMYFUNCTION("""COMPUTED_VALUE"""),"Building")</f>
        <v>Building</v>
      </c>
      <c r="D1942" s="2" t="str">
        <f ca="1">IFERROR(__xludf.DUMMYFUNCTION("""COMPUTED_VALUE"""),"Dubai&gt;Dubai Investment Park (DIP)&gt;Talal Residence")</f>
        <v>Dubai&gt;Dubai Investment Park (DIP)&gt;Talal Residence</v>
      </c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</row>
    <row r="1943" spans="1:26" ht="16.5" x14ac:dyDescent="0.35">
      <c r="A1943" s="2" t="str">
        <f ca="1">IFERROR(__xludf.DUMMYFUNCTION("""COMPUTED_VALUE"""),"Dubai")</f>
        <v>Dubai</v>
      </c>
      <c r="B1943" s="2" t="str">
        <f ca="1">IFERROR(__xludf.DUMMYFUNCTION("""COMPUTED_VALUE"""),"Ritaj Block L")</f>
        <v>Ritaj Block L</v>
      </c>
      <c r="C1943" s="2" t="str">
        <f ca="1">IFERROR(__xludf.DUMMYFUNCTION("""COMPUTED_VALUE"""),"Building")</f>
        <v>Building</v>
      </c>
      <c r="D1943" s="2" t="str">
        <f ca="1">IFERROR(__xludf.DUMMYFUNCTION("""COMPUTED_VALUE"""),"Dubai&gt;Dubai Investment Park (DIP)&gt;Dubai Investment Park 2&gt;Ritaj (Residential Complex)&gt;Ritaj Block L")</f>
        <v>Dubai&gt;Dubai Investment Park (DIP)&gt;Dubai Investment Park 2&gt;Ritaj (Residential Complex)&gt;Ritaj Block L</v>
      </c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</row>
    <row r="1944" spans="1:26" ht="16.5" x14ac:dyDescent="0.35">
      <c r="A1944" s="2" t="str">
        <f ca="1">IFERROR(__xludf.DUMMYFUNCTION("""COMPUTED_VALUE"""),"Dubai")</f>
        <v>Dubai</v>
      </c>
      <c r="B1944" s="2" t="str">
        <f ca="1">IFERROR(__xludf.DUMMYFUNCTION("""COMPUTED_VALUE"""),"Themaar 1")</f>
        <v>Themaar 1</v>
      </c>
      <c r="C1944" s="2" t="str">
        <f ca="1">IFERROR(__xludf.DUMMYFUNCTION("""COMPUTED_VALUE"""),"Building")</f>
        <v>Building</v>
      </c>
      <c r="D1944" s="2" t="str">
        <f ca="1">IFERROR(__xludf.DUMMYFUNCTION("""COMPUTED_VALUE"""),"Dubai&gt;Dubai Investment Park (DIP)&gt;Themaar 1")</f>
        <v>Dubai&gt;Dubai Investment Park (DIP)&gt;Themaar 1</v>
      </c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</row>
    <row r="1945" spans="1:26" ht="16.5" x14ac:dyDescent="0.35">
      <c r="A1945" s="2" t="str">
        <f ca="1">IFERROR(__xludf.DUMMYFUNCTION("""COMPUTED_VALUE"""),"Dubai")</f>
        <v>Dubai</v>
      </c>
      <c r="B1945" s="2" t="str">
        <f ca="1">IFERROR(__xludf.DUMMYFUNCTION("""COMPUTED_VALUE"""),"Capri 1")</f>
        <v>Capri 1</v>
      </c>
      <c r="C1945" s="2" t="str">
        <f ca="1">IFERROR(__xludf.DUMMYFUNCTION("""COMPUTED_VALUE"""),"Building")</f>
        <v>Building</v>
      </c>
      <c r="D1945" s="2" t="str">
        <f ca="1">IFERROR(__xludf.DUMMYFUNCTION("""COMPUTED_VALUE"""),"Dubai&gt;Dubai Investment Park (DIP)&gt;DAMAC Riverside&gt;Riverside Views&gt;Capri 1")</f>
        <v>Dubai&gt;Dubai Investment Park (DIP)&gt;DAMAC Riverside&gt;Riverside Views&gt;Capri 1</v>
      </c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</row>
    <row r="1946" spans="1:26" ht="16.5" x14ac:dyDescent="0.35">
      <c r="A1946" s="2" t="str">
        <f ca="1">IFERROR(__xludf.DUMMYFUNCTION("""COMPUTED_VALUE"""),"Dubai")</f>
        <v>Dubai</v>
      </c>
      <c r="B1946" s="2" t="str">
        <f ca="1">IFERROR(__xludf.DUMMYFUNCTION("""COMPUTED_VALUE"""),"Samaya 2 Hotel Apartments")</f>
        <v>Samaya 2 Hotel Apartments</v>
      </c>
      <c r="C1946" s="2" t="str">
        <f ca="1">IFERROR(__xludf.DUMMYFUNCTION("""COMPUTED_VALUE"""),"Building")</f>
        <v>Building</v>
      </c>
      <c r="D1946" s="2" t="str">
        <f ca="1">IFERROR(__xludf.DUMMYFUNCTION("""COMPUTED_VALUE"""),"Dubai&gt;Majan&gt;Samaya 2 Hotel Apartments")</f>
        <v>Dubai&gt;Majan&gt;Samaya 2 Hotel Apartments</v>
      </c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</row>
    <row r="1947" spans="1:26" ht="16.5" x14ac:dyDescent="0.35">
      <c r="A1947" s="2" t="str">
        <f ca="1">IFERROR(__xludf.DUMMYFUNCTION("""COMPUTED_VALUE"""),"Dubai")</f>
        <v>Dubai</v>
      </c>
      <c r="B1947" s="2" t="str">
        <f ca="1">IFERROR(__xludf.DUMMYFUNCTION("""COMPUTED_VALUE"""),"Amro Building")</f>
        <v>Amro Building</v>
      </c>
      <c r="C1947" s="2" t="str">
        <f ca="1">IFERROR(__xludf.DUMMYFUNCTION("""COMPUTED_VALUE"""),"Building")</f>
        <v>Building</v>
      </c>
      <c r="D1947" s="2" t="str">
        <f ca="1">IFERROR(__xludf.DUMMYFUNCTION("""COMPUTED_VALUE"""),"Dubai&gt;Majan&gt;Amro Building")</f>
        <v>Dubai&gt;Majan&gt;Amro Building</v>
      </c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</row>
    <row r="1948" spans="1:26" ht="16.5" x14ac:dyDescent="0.35">
      <c r="A1948" s="2" t="str">
        <f ca="1">IFERROR(__xludf.DUMMYFUNCTION("""COMPUTED_VALUE"""),"Dubai")</f>
        <v>Dubai</v>
      </c>
      <c r="B1948" s="2" t="str">
        <f ca="1">IFERROR(__xludf.DUMMYFUNCTION("""COMPUTED_VALUE"""),"Rabdan Gates")</f>
        <v>Rabdan Gates</v>
      </c>
      <c r="C1948" s="2" t="str">
        <f ca="1">IFERROR(__xludf.DUMMYFUNCTION("""COMPUTED_VALUE"""),"Building")</f>
        <v>Building</v>
      </c>
      <c r="D1948" s="2" t="str">
        <f ca="1">IFERROR(__xludf.DUMMYFUNCTION("""COMPUTED_VALUE"""),"Dubai&gt;Majan&gt;Rabdan Gates")</f>
        <v>Dubai&gt;Majan&gt;Rabdan Gates</v>
      </c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</row>
    <row r="1949" spans="1:26" ht="16.5" x14ac:dyDescent="0.35">
      <c r="A1949" s="2" t="str">
        <f ca="1">IFERROR(__xludf.DUMMYFUNCTION("""COMPUTED_VALUE"""),"Dubai")</f>
        <v>Dubai</v>
      </c>
      <c r="B1949" s="2" t="str">
        <f ca="1">IFERROR(__xludf.DUMMYFUNCTION("""COMPUTED_VALUE"""),"Valoria The Oasis")</f>
        <v>Valoria The Oasis</v>
      </c>
      <c r="C1949" s="2" t="str">
        <f ca="1">IFERROR(__xludf.DUMMYFUNCTION("""COMPUTED_VALUE"""),"Neighbourhood")</f>
        <v>Neighbourhood</v>
      </c>
      <c r="D1949" s="2" t="str">
        <f ca="1">IFERROR(__xludf.DUMMYFUNCTION("""COMPUTED_VALUE"""),"Dubai&gt;The Oasis by Emaar&gt;Valoria The Oasis")</f>
        <v>Dubai&gt;The Oasis by Emaar&gt;Valoria The Oasis</v>
      </c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</row>
    <row r="1950" spans="1:26" ht="16.5" x14ac:dyDescent="0.35">
      <c r="A1950" s="2" t="str">
        <f ca="1">IFERROR(__xludf.DUMMYFUNCTION("""COMPUTED_VALUE"""),"Dubai")</f>
        <v>Dubai</v>
      </c>
      <c r="B1950" s="2" t="str">
        <f ca="1">IFERROR(__xludf.DUMMYFUNCTION("""COMPUTED_VALUE"""),"Samana Golf Avenue")</f>
        <v>Samana Golf Avenue</v>
      </c>
      <c r="C1950" s="2" t="str">
        <f ca="1">IFERROR(__xludf.DUMMYFUNCTION("""COMPUTED_VALUE"""),"Building")</f>
        <v>Building</v>
      </c>
      <c r="D1950" s="2" t="str">
        <f ca="1">IFERROR(__xludf.DUMMYFUNCTION("""COMPUTED_VALUE"""),"Dubai&gt;Dubai Studio City&gt;Samana Golf Avenue")</f>
        <v>Dubai&gt;Dubai Studio City&gt;Samana Golf Avenue</v>
      </c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</row>
    <row r="1951" spans="1:26" ht="16.5" x14ac:dyDescent="0.35">
      <c r="A1951" s="2" t="str">
        <f ca="1">IFERROR(__xludf.DUMMYFUNCTION("""COMPUTED_VALUE"""),"Dubai")</f>
        <v>Dubai</v>
      </c>
      <c r="B1951" s="2" t="str">
        <f ca="1">IFERROR(__xludf.DUMMYFUNCTION("""COMPUTED_VALUE"""),"BS-12")</f>
        <v>BS-12</v>
      </c>
      <c r="C1951" s="2" t="str">
        <f ca="1">IFERROR(__xludf.DUMMYFUNCTION("""COMPUTED_VALUE"""),"Building")</f>
        <v>Building</v>
      </c>
      <c r="D1951" s="2" t="str">
        <f ca="1">IFERROR(__xludf.DUMMYFUNCTION("""COMPUTED_VALUE"""),"Dubai&gt;Dubai Studio City&gt;Boutique Studios&gt;BS-12")</f>
        <v>Dubai&gt;Dubai Studio City&gt;Boutique Studios&gt;BS-12</v>
      </c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</row>
    <row r="1952" spans="1:26" ht="16.5" x14ac:dyDescent="0.35">
      <c r="A1952" s="2" t="str">
        <f ca="1">IFERROR(__xludf.DUMMYFUNCTION("""COMPUTED_VALUE"""),"Dubai")</f>
        <v>Dubai</v>
      </c>
      <c r="B1952" s="2" t="str">
        <f ca="1">IFERROR(__xludf.DUMMYFUNCTION("""COMPUTED_VALUE"""),"Hartland Greens Building 6")</f>
        <v>Hartland Greens Building 6</v>
      </c>
      <c r="C1952" s="2" t="str">
        <f ca="1">IFERROR(__xludf.DUMMYFUNCTION("""COMPUTED_VALUE"""),"Building")</f>
        <v>Building</v>
      </c>
      <c r="D1952" s="2" t="str">
        <f ca="1">IFERROR(__xludf.DUMMYFUNCTION("""COMPUTED_VALUE"""),"Dubai&gt;Sobha Hartland&gt;Hartland Greens&gt;Hartland Greens Building 6")</f>
        <v>Dubai&gt;Sobha Hartland&gt;Hartland Greens&gt;Hartland Greens Building 6</v>
      </c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</row>
    <row r="1953" spans="1:26" ht="16.5" x14ac:dyDescent="0.35">
      <c r="A1953" s="2" t="str">
        <f ca="1">IFERROR(__xludf.DUMMYFUNCTION("""COMPUTED_VALUE"""),"Dubai")</f>
        <v>Dubai</v>
      </c>
      <c r="B1953" s="2" t="str">
        <f ca="1">IFERROR(__xludf.DUMMYFUNCTION("""COMPUTED_VALUE"""),"The Crest Podium")</f>
        <v>The Crest Podium</v>
      </c>
      <c r="C1953" s="2" t="str">
        <f ca="1">IFERROR(__xludf.DUMMYFUNCTION("""COMPUTED_VALUE"""),"Building")</f>
        <v>Building</v>
      </c>
      <c r="D1953" s="2" t="str">
        <f ca="1">IFERROR(__xludf.DUMMYFUNCTION("""COMPUTED_VALUE"""),"Dubai&gt;Sobha Hartland&gt;The Crest&gt;The Crest Podium")</f>
        <v>Dubai&gt;Sobha Hartland&gt;The Crest&gt;The Crest Podium</v>
      </c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</row>
    <row r="1954" spans="1:26" ht="16.5" x14ac:dyDescent="0.35">
      <c r="A1954" s="2" t="str">
        <f ca="1">IFERROR(__xludf.DUMMYFUNCTION("""COMPUTED_VALUE"""),"Dubai")</f>
        <v>Dubai</v>
      </c>
      <c r="B1954" s="2" t="str">
        <f ca="1">IFERROR(__xludf.DUMMYFUNCTION("""COMPUTED_VALUE"""),"Eltiera Views")</f>
        <v>Eltiera Views</v>
      </c>
      <c r="C1954" s="2" t="str">
        <f ca="1">IFERROR(__xludf.DUMMYFUNCTION("""COMPUTED_VALUE"""),"Building")</f>
        <v>Building</v>
      </c>
      <c r="D1954" s="2" t="str">
        <f ca="1">IFERROR(__xludf.DUMMYFUNCTION("""COMPUTED_VALUE"""),"Dubai&gt;Jumeirah Heights&gt;Eltiera Views")</f>
        <v>Dubai&gt;Jumeirah Heights&gt;Eltiera Views</v>
      </c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</row>
    <row r="1955" spans="1:26" ht="16.5" x14ac:dyDescent="0.35">
      <c r="A1955" s="2" t="str">
        <f ca="1">IFERROR(__xludf.DUMMYFUNCTION("""COMPUTED_VALUE"""),"Dubai")</f>
        <v>Dubai</v>
      </c>
      <c r="B1955" s="2" t="str">
        <f ca="1">IFERROR(__xludf.DUMMYFUNCTION("""COMPUTED_VALUE"""),"Expo Valley Views Building 5")</f>
        <v>Expo Valley Views Building 5</v>
      </c>
      <c r="C1955" s="2" t="str">
        <f ca="1">IFERROR(__xludf.DUMMYFUNCTION("""COMPUTED_VALUE"""),"Building")</f>
        <v>Building</v>
      </c>
      <c r="D1955" s="2" t="str">
        <f ca="1">IFERROR(__xludf.DUMMYFUNCTION("""COMPUTED_VALUE"""),"Dubai&gt;Expo City&gt;Expo Valley&gt;Expo Valley Views&gt;Expo Valley Views Building 5")</f>
        <v>Dubai&gt;Expo City&gt;Expo Valley&gt;Expo Valley Views&gt;Expo Valley Views Building 5</v>
      </c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</row>
    <row r="1956" spans="1:26" ht="16.5" x14ac:dyDescent="0.35">
      <c r="A1956" s="2" t="str">
        <f ca="1">IFERROR(__xludf.DUMMYFUNCTION("""COMPUTED_VALUE"""),"Dubai")</f>
        <v>Dubai</v>
      </c>
      <c r="B1956" s="2" t="str">
        <f ca="1">IFERROR(__xludf.DUMMYFUNCTION("""COMPUTED_VALUE"""),"Colombia Island")</f>
        <v>Colombia Island</v>
      </c>
      <c r="C1956" s="2" t="str">
        <f ca="1">IFERROR(__xludf.DUMMYFUNCTION("""COMPUTED_VALUE"""),"Neighbourhood")</f>
        <v>Neighbourhood</v>
      </c>
      <c r="D1956" s="2" t="str">
        <f ca="1">IFERROR(__xludf.DUMMYFUNCTION("""COMPUTED_VALUE"""),"Dubai&gt;The World Islands&gt;Colombia Island")</f>
        <v>Dubai&gt;The World Islands&gt;Colombia Island</v>
      </c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</row>
    <row r="1957" spans="1:26" ht="16.5" x14ac:dyDescent="0.35">
      <c r="A1957" s="2" t="str">
        <f ca="1">IFERROR(__xludf.DUMMYFUNCTION("""COMPUTED_VALUE"""),"Dubai")</f>
        <v>Dubai</v>
      </c>
      <c r="B1957" s="2" t="str">
        <f ca="1">IFERROR(__xludf.DUMMYFUNCTION("""COMPUTED_VALUE"""),"Yaraah")</f>
        <v>Yaraah</v>
      </c>
      <c r="C1957" s="2" t="str">
        <f ca="1">IFERROR(__xludf.DUMMYFUNCTION("""COMPUTED_VALUE"""),"Neighbourhood")</f>
        <v>Neighbourhood</v>
      </c>
      <c r="D1957" s="2" t="str">
        <f ca="1">IFERROR(__xludf.DUMMYFUNCTION("""COMPUTED_VALUE"""),"Dubai&gt;Yaraah")</f>
        <v>Dubai&gt;Yaraah</v>
      </c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</row>
    <row r="1958" spans="1:26" ht="16.5" x14ac:dyDescent="0.35">
      <c r="A1958" s="2" t="str">
        <f ca="1">IFERROR(__xludf.DUMMYFUNCTION("""COMPUTED_VALUE"""),"Dubai")</f>
        <v>Dubai</v>
      </c>
      <c r="B1958" s="2" t="str">
        <f ca="1">IFERROR(__xludf.DUMMYFUNCTION("""COMPUTED_VALUE"""),"Magenta")</f>
        <v>Magenta</v>
      </c>
      <c r="C1958" s="2" t="str">
        <f ca="1">IFERROR(__xludf.DUMMYFUNCTION("""COMPUTED_VALUE"""),"Building")</f>
        <v>Building</v>
      </c>
      <c r="D1958" s="2" t="str">
        <f ca="1">IFERROR(__xludf.DUMMYFUNCTION("""COMPUTED_VALUE"""),"Dubai&gt;Athlon by Aldar&gt;Rise by Athlon&gt;Magenta")</f>
        <v>Dubai&gt;Athlon by Aldar&gt;Rise by Athlon&gt;Magenta</v>
      </c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</row>
    <row r="1959" spans="1:26" ht="16.5" x14ac:dyDescent="0.35">
      <c r="A1959" s="2" t="str">
        <f ca="1">IFERROR(__xludf.DUMMYFUNCTION("""COMPUTED_VALUE"""),"Dubai")</f>
        <v>Dubai</v>
      </c>
      <c r="B1959" s="2" t="str">
        <f ca="1">IFERROR(__xludf.DUMMYFUNCTION("""COMPUTED_VALUE"""),"Distrikt 2")</f>
        <v>Distrikt 2</v>
      </c>
      <c r="C1959" s="2" t="str">
        <f ca="1">IFERROR(__xludf.DUMMYFUNCTION("""COMPUTED_VALUE"""),"Building")</f>
        <v>Building</v>
      </c>
      <c r="D1959" s="2" t="str">
        <f ca="1">IFERROR(__xludf.DUMMYFUNCTION("""COMPUTED_VALUE"""),"Dubai&gt;Ghaf Woods&gt;Distrikt&gt;Distrikt 2")</f>
        <v>Dubai&gt;Ghaf Woods&gt;Distrikt&gt;Distrikt 2</v>
      </c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</row>
    <row r="1960" spans="1:26" ht="16.5" x14ac:dyDescent="0.35">
      <c r="A1960" s="2" t="str">
        <f ca="1">IFERROR(__xludf.DUMMYFUNCTION("""COMPUTED_VALUE"""),"Dubai")</f>
        <v>Dubai</v>
      </c>
      <c r="B1960" s="2" t="str">
        <f ca="1">IFERROR(__xludf.DUMMYFUNCTION("""COMPUTED_VALUE"""),"Shams")</f>
        <v>Shams</v>
      </c>
      <c r="C1960" s="2" t="str">
        <f ca="1">IFERROR(__xludf.DUMMYFUNCTION("""COMPUTED_VALUE"""),"Cluster")</f>
        <v>Cluster</v>
      </c>
      <c r="D1960" s="2" t="str">
        <f ca="1">IFERROR(__xludf.DUMMYFUNCTION("""COMPUTED_VALUE"""),"Dubai&gt;Jumeirah Beach Residence (JBR)&gt;Shams")</f>
        <v>Dubai&gt;Jumeirah Beach Residence (JBR)&gt;Shams</v>
      </c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</row>
    <row r="1961" spans="1:26" ht="16.5" x14ac:dyDescent="0.35">
      <c r="A1961" s="2" t="str">
        <f ca="1">IFERROR(__xludf.DUMMYFUNCTION("""COMPUTED_VALUE"""),"Dubai")</f>
        <v>Dubai</v>
      </c>
      <c r="B1961" s="2" t="str">
        <f ca="1">IFERROR(__xludf.DUMMYFUNCTION("""COMPUTED_VALUE"""),"Rixos Premium Dubai")</f>
        <v>Rixos Premium Dubai</v>
      </c>
      <c r="C1961" s="2" t="str">
        <f ca="1">IFERROR(__xludf.DUMMYFUNCTION("""COMPUTED_VALUE"""),"Building")</f>
        <v>Building</v>
      </c>
      <c r="D1961" s="2" t="str">
        <f ca="1">IFERROR(__xludf.DUMMYFUNCTION("""COMPUTED_VALUE"""),"Dubai&gt;Jumeirah Beach Residence (JBR)&gt;Rixos Premium Dubai")</f>
        <v>Dubai&gt;Jumeirah Beach Residence (JBR)&gt;Rixos Premium Dubai</v>
      </c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</row>
    <row r="1962" spans="1:26" ht="16.5" x14ac:dyDescent="0.35">
      <c r="A1962" s="2" t="str">
        <f ca="1">IFERROR(__xludf.DUMMYFUNCTION("""COMPUTED_VALUE"""),"Dubai")</f>
        <v>Dubai</v>
      </c>
      <c r="B1962" s="2" t="str">
        <f ca="1">IFERROR(__xludf.DUMMYFUNCTION("""COMPUTED_VALUE"""),"Amwaj 4")</f>
        <v>Amwaj 4</v>
      </c>
      <c r="C1962" s="2" t="str">
        <f ca="1">IFERROR(__xludf.DUMMYFUNCTION("""COMPUTED_VALUE"""),"Building")</f>
        <v>Building</v>
      </c>
      <c r="D1962" s="2" t="str">
        <f ca="1">IFERROR(__xludf.DUMMYFUNCTION("""COMPUTED_VALUE"""),"Dubai&gt;Jumeirah Beach Residence (JBR)&gt;Amwaj&gt;Amwaj 4")</f>
        <v>Dubai&gt;Jumeirah Beach Residence (JBR)&gt;Amwaj&gt;Amwaj 4</v>
      </c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</row>
    <row r="1963" spans="1:26" ht="16.5" x14ac:dyDescent="0.35">
      <c r="A1963" s="2" t="str">
        <f ca="1">IFERROR(__xludf.DUMMYFUNCTION("""COMPUTED_VALUE"""),"Dubai")</f>
        <v>Dubai</v>
      </c>
      <c r="B1963" s="2" t="str">
        <f ca="1">IFERROR(__xludf.DUMMYFUNCTION("""COMPUTED_VALUE"""),"Maui")</f>
        <v>Maui</v>
      </c>
      <c r="C1963" s="2" t="str">
        <f ca="1">IFERROR(__xludf.DUMMYFUNCTION("""COMPUTED_VALUE"""),"Neighbourhood")</f>
        <v>Neighbourhood</v>
      </c>
      <c r="D1963" s="2" t="str">
        <f ca="1">IFERROR(__xludf.DUMMYFUNCTION("""COMPUTED_VALUE"""),"Dubai&gt;DAMAC Islands 2&gt;Maui")</f>
        <v>Dubai&gt;DAMAC Islands 2&gt;Maui</v>
      </c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</row>
    <row r="1964" spans="1:26" ht="16.5" x14ac:dyDescent="0.35">
      <c r="A1964" s="2" t="str">
        <f ca="1">IFERROR(__xludf.DUMMYFUNCTION("""COMPUTED_VALUE"""),"Dubai")</f>
        <v>Dubai</v>
      </c>
      <c r="B1964" s="2" t="str">
        <f ca="1">IFERROR(__xludf.DUMMYFUNCTION("""COMPUTED_VALUE"""),"Building 6B")</f>
        <v>Building 6B</v>
      </c>
      <c r="C1964" s="2" t="str">
        <f ca="1">IFERROR(__xludf.DUMMYFUNCTION("""COMPUTED_VALUE"""),"Building")</f>
        <v>Building</v>
      </c>
      <c r="D1964" s="2" t="str">
        <f ca="1">IFERROR(__xludf.DUMMYFUNCTION("""COMPUTED_VALUE"""),"Dubai&gt;Al Wasl&gt;City Walk&gt;Building 6B")</f>
        <v>Dubai&gt;Al Wasl&gt;City Walk&gt;Building 6B</v>
      </c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</row>
    <row r="1965" spans="1:26" ht="16.5" x14ac:dyDescent="0.35">
      <c r="A1965" s="2" t="str">
        <f ca="1">IFERROR(__xludf.DUMMYFUNCTION("""COMPUTED_VALUE"""),"Dubai")</f>
        <v>Dubai</v>
      </c>
      <c r="B1965" s="2" t="str">
        <f ca="1">IFERROR(__xludf.DUMMYFUNCTION("""COMPUTED_VALUE"""),"Building 11A")</f>
        <v>Building 11A</v>
      </c>
      <c r="C1965" s="2" t="str">
        <f ca="1">IFERROR(__xludf.DUMMYFUNCTION("""COMPUTED_VALUE"""),"Building")</f>
        <v>Building</v>
      </c>
      <c r="D1965" s="2" t="str">
        <f ca="1">IFERROR(__xludf.DUMMYFUNCTION("""COMPUTED_VALUE"""),"Dubai&gt;Al Wasl&gt;City Walk&gt;Building 11A")</f>
        <v>Dubai&gt;Al Wasl&gt;City Walk&gt;Building 11A</v>
      </c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</row>
    <row r="1966" spans="1:26" ht="16.5" x14ac:dyDescent="0.35">
      <c r="A1966" s="2" t="str">
        <f ca="1">IFERROR(__xludf.DUMMYFUNCTION("""COMPUTED_VALUE"""),"Dubai")</f>
        <v>Dubai</v>
      </c>
      <c r="B1966" s="2" t="str">
        <f ca="1">IFERROR(__xludf.DUMMYFUNCTION("""COMPUTED_VALUE"""),"City Walk Crestlane 4")</f>
        <v>City Walk Crestlane 4</v>
      </c>
      <c r="C1966" s="2" t="str">
        <f ca="1">IFERROR(__xludf.DUMMYFUNCTION("""COMPUTED_VALUE"""),"Cluster")</f>
        <v>Cluster</v>
      </c>
      <c r="D1966" s="2" t="str">
        <f ca="1">IFERROR(__xludf.DUMMYFUNCTION("""COMPUTED_VALUE"""),"Dubai&gt;Al Wasl&gt;City Walk&gt;City Walk Crestlane 4")</f>
        <v>Dubai&gt;Al Wasl&gt;City Walk&gt;City Walk Crestlane 4</v>
      </c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</row>
    <row r="1967" spans="1:26" ht="16.5" x14ac:dyDescent="0.35">
      <c r="A1967" s="2" t="str">
        <f ca="1">IFERROR(__xludf.DUMMYFUNCTION("""COMPUTED_VALUE"""),"Dubai")</f>
        <v>Dubai</v>
      </c>
      <c r="B1967" s="2" t="str">
        <f ca="1">IFERROR(__xludf.DUMMYFUNCTION("""COMPUTED_VALUE"""),"Eden House The Park Building B")</f>
        <v>Eden House The Park Building B</v>
      </c>
      <c r="C1967" s="2" t="str">
        <f ca="1">IFERROR(__xludf.DUMMYFUNCTION("""COMPUTED_VALUE"""),"Building")</f>
        <v>Building</v>
      </c>
      <c r="D1967" s="2" t="str">
        <f ca="1">IFERROR(__xludf.DUMMYFUNCTION("""COMPUTED_VALUE"""),"Dubai&gt;Al Wasl&gt;Eden House The Park&gt;Eden House The Park Building B")</f>
        <v>Dubai&gt;Al Wasl&gt;Eden House The Park&gt;Eden House The Park Building B</v>
      </c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</row>
    <row r="1968" spans="1:26" ht="16.5" x14ac:dyDescent="0.35">
      <c r="A1968" s="2" t="str">
        <f ca="1">IFERROR(__xludf.DUMMYFUNCTION("""COMPUTED_VALUE"""),"Dubai")</f>
        <v>Dubai</v>
      </c>
      <c r="B1968" s="2" t="str">
        <f ca="1">IFERROR(__xludf.DUMMYFUNCTION("""COMPUTED_VALUE"""),"Q Gardens Boutique Residences")</f>
        <v>Q Gardens Boutique Residences</v>
      </c>
      <c r="C1968" s="2" t="str">
        <f ca="1">IFERROR(__xludf.DUMMYFUNCTION("""COMPUTED_VALUE"""),"Cluster")</f>
        <v>Cluster</v>
      </c>
      <c r="D1968" s="2" t="str">
        <f ca="1">IFERROR(__xludf.DUMMYFUNCTION("""COMPUTED_VALUE"""),"Dubai&gt;Arjan&gt;Q Gardens Boutique Residences")</f>
        <v>Dubai&gt;Arjan&gt;Q Gardens Boutique Residences</v>
      </c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</row>
    <row r="1969" spans="1:26" ht="16.5" x14ac:dyDescent="0.35">
      <c r="A1969" s="2" t="str">
        <f ca="1">IFERROR(__xludf.DUMMYFUNCTION("""COMPUTED_VALUE"""),"Dubai")</f>
        <v>Dubai</v>
      </c>
      <c r="B1969" s="2" t="str">
        <f ca="1">IFERROR(__xludf.DUMMYFUNCTION("""COMPUTED_VALUE"""),"Diamond Business Centre")</f>
        <v>Diamond Business Centre</v>
      </c>
      <c r="C1969" s="2" t="str">
        <f ca="1">IFERROR(__xludf.DUMMYFUNCTION("""COMPUTED_VALUE"""),"Cluster")</f>
        <v>Cluster</v>
      </c>
      <c r="D1969" s="2" t="str">
        <f ca="1">IFERROR(__xludf.DUMMYFUNCTION("""COMPUTED_VALUE"""),"Dubai&gt;Arjan&gt;Diamond Business Centre")</f>
        <v>Dubai&gt;Arjan&gt;Diamond Business Centre</v>
      </c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</row>
    <row r="1970" spans="1:26" ht="16.5" x14ac:dyDescent="0.35">
      <c r="A1970" s="2" t="str">
        <f ca="1">IFERROR(__xludf.DUMMYFUNCTION("""COMPUTED_VALUE"""),"Dubai")</f>
        <v>Dubai</v>
      </c>
      <c r="B1970" s="2" t="str">
        <f ca="1">IFERROR(__xludf.DUMMYFUNCTION("""COMPUTED_VALUE"""),"The Wings A")</f>
        <v>The Wings A</v>
      </c>
      <c r="C1970" s="2" t="str">
        <f ca="1">IFERROR(__xludf.DUMMYFUNCTION("""COMPUTED_VALUE"""),"Building")</f>
        <v>Building</v>
      </c>
      <c r="D1970" s="2" t="str">
        <f ca="1">IFERROR(__xludf.DUMMYFUNCTION("""COMPUTED_VALUE"""),"Dubai&gt;Arjan&gt;The Wings&gt;The Wings A")</f>
        <v>Dubai&gt;Arjan&gt;The Wings&gt;The Wings A</v>
      </c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</row>
    <row r="1971" spans="1:26" ht="16.5" x14ac:dyDescent="0.35">
      <c r="A1971" s="2" t="str">
        <f ca="1">IFERROR(__xludf.DUMMYFUNCTION("""COMPUTED_VALUE"""),"Dubai")</f>
        <v>Dubai</v>
      </c>
      <c r="B1971" s="2" t="str">
        <f ca="1">IFERROR(__xludf.DUMMYFUNCTION("""COMPUTED_VALUE"""),"Joya Dorado")</f>
        <v>Joya Dorado</v>
      </c>
      <c r="C1971" s="2" t="str">
        <f ca="1">IFERROR(__xludf.DUMMYFUNCTION("""COMPUTED_VALUE"""),"Building")</f>
        <v>Building</v>
      </c>
      <c r="D1971" s="2" t="str">
        <f ca="1">IFERROR(__xludf.DUMMYFUNCTION("""COMPUTED_VALUE"""),"Dubai&gt;Arjan&gt;Joya Dorado")</f>
        <v>Dubai&gt;Arjan&gt;Joya Dorado</v>
      </c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</row>
    <row r="1972" spans="1:26" ht="16.5" x14ac:dyDescent="0.35">
      <c r="A1972" s="2" t="str">
        <f ca="1">IFERROR(__xludf.DUMMYFUNCTION("""COMPUTED_VALUE"""),"Dubai")</f>
        <v>Dubai</v>
      </c>
      <c r="B1972" s="2" t="str">
        <f ca="1">IFERROR(__xludf.DUMMYFUNCTION("""COMPUTED_VALUE"""),"Skylines of Arjan Tower C")</f>
        <v>Skylines of Arjan Tower C</v>
      </c>
      <c r="C1972" s="2" t="str">
        <f ca="1">IFERROR(__xludf.DUMMYFUNCTION("""COMPUTED_VALUE"""),"Building")</f>
        <v>Building</v>
      </c>
      <c r="D1972" s="2" t="str">
        <f ca="1">IFERROR(__xludf.DUMMYFUNCTION("""COMPUTED_VALUE"""),"Dubai&gt;Arjan&gt;Skylines of Arjan&gt;Skylines of Arjan Tower C")</f>
        <v>Dubai&gt;Arjan&gt;Skylines of Arjan&gt;Skylines of Arjan Tower C</v>
      </c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</row>
    <row r="1973" spans="1:26" ht="16.5" x14ac:dyDescent="0.35">
      <c r="A1973" s="2" t="str">
        <f ca="1">IFERROR(__xludf.DUMMYFUNCTION("""COMPUTED_VALUE"""),"Dubai")</f>
        <v>Dubai</v>
      </c>
      <c r="B1973" s="2" t="str">
        <f ca="1">IFERROR(__xludf.DUMMYFUNCTION("""COMPUTED_VALUE"""),"Butterfly Towers")</f>
        <v>Butterfly Towers</v>
      </c>
      <c r="C1973" s="2" t="str">
        <f ca="1">IFERROR(__xludf.DUMMYFUNCTION("""COMPUTED_VALUE"""),"Building")</f>
        <v>Building</v>
      </c>
      <c r="D1973" s="2" t="str">
        <f ca="1">IFERROR(__xludf.DUMMYFUNCTION("""COMPUTED_VALUE"""),"Dubai&gt;Arjan&gt;Butterfly Towers")</f>
        <v>Dubai&gt;Arjan&gt;Butterfly Towers</v>
      </c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</row>
    <row r="1974" spans="1:26" ht="16.5" x14ac:dyDescent="0.35">
      <c r="A1974" s="2" t="str">
        <f ca="1">IFERROR(__xludf.DUMMYFUNCTION("""COMPUTED_VALUE"""),"Dubai")</f>
        <v>Dubai</v>
      </c>
      <c r="B1974" s="2" t="str">
        <f ca="1">IFERROR(__xludf.DUMMYFUNCTION("""COMPUTED_VALUE"""),"Al Safa 1")</f>
        <v>Al Safa 1</v>
      </c>
      <c r="C1974" s="2" t="str">
        <f ca="1">IFERROR(__xludf.DUMMYFUNCTION("""COMPUTED_VALUE"""),"Neighbourhood")</f>
        <v>Neighbourhood</v>
      </c>
      <c r="D1974" s="2" t="str">
        <f ca="1">IFERROR(__xludf.DUMMYFUNCTION("""COMPUTED_VALUE"""),"Dubai&gt;Al Safa&gt;Al Safa 1")</f>
        <v>Dubai&gt;Al Safa&gt;Al Safa 1</v>
      </c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</row>
    <row r="1975" spans="1:26" ht="16.5" x14ac:dyDescent="0.35">
      <c r="A1975" s="2" t="str">
        <f ca="1">IFERROR(__xludf.DUMMYFUNCTION("""COMPUTED_VALUE"""),"Dubai")</f>
        <v>Dubai</v>
      </c>
      <c r="B1975" s="2" t="str">
        <f ca="1">IFERROR(__xludf.DUMMYFUNCTION("""COMPUTED_VALUE"""),"Radisson Blu Hotel Dubai Media City")</f>
        <v>Radisson Blu Hotel Dubai Media City</v>
      </c>
      <c r="C1975" s="2" t="str">
        <f ca="1">IFERROR(__xludf.DUMMYFUNCTION("""COMPUTED_VALUE"""),"Building")</f>
        <v>Building</v>
      </c>
      <c r="D1975" s="2" t="str">
        <f ca="1">IFERROR(__xludf.DUMMYFUNCTION("""COMPUTED_VALUE"""),"Dubai&gt;Dubai Media City&gt;Radisson Blu Hotel Dubai Media City")</f>
        <v>Dubai&gt;Dubai Media City&gt;Radisson Blu Hotel Dubai Media City</v>
      </c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</row>
    <row r="1976" spans="1:26" ht="16.5" x14ac:dyDescent="0.35">
      <c r="A1976" s="2" t="str">
        <f ca="1">IFERROR(__xludf.DUMMYFUNCTION("""COMPUTED_VALUE"""),"Abu Dhabi")</f>
        <v>Abu Dhabi</v>
      </c>
      <c r="B1976" s="2" t="str">
        <f ca="1">IFERROR(__xludf.DUMMYFUNCTION("""COMPUTED_VALUE"""),"Al Nahyan")</f>
        <v>Al Nahyan</v>
      </c>
      <c r="C1976" s="2" t="str">
        <f ca="1">IFERROR(__xludf.DUMMYFUNCTION("""COMPUTED_VALUE"""),"Neighbourhood")</f>
        <v>Neighbourhood</v>
      </c>
      <c r="D1976" s="2" t="str">
        <f ca="1">IFERROR(__xludf.DUMMYFUNCTION("""COMPUTED_VALUE"""),"Abu Dhabi&gt;Al Nahyan")</f>
        <v>Abu Dhabi&gt;Al Nahyan</v>
      </c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</row>
    <row r="1977" spans="1:26" ht="16.5" x14ac:dyDescent="0.35">
      <c r="A1977" s="2" t="str">
        <f ca="1">IFERROR(__xludf.DUMMYFUNCTION("""COMPUTED_VALUE"""),"Abu Dhabi")</f>
        <v>Abu Dhabi</v>
      </c>
      <c r="B1977" s="2" t="str">
        <f ca="1">IFERROR(__xludf.DUMMYFUNCTION("""COMPUTED_VALUE"""),"Tower C2")</f>
        <v>Tower C2</v>
      </c>
      <c r="C1977" s="2" t="str">
        <f ca="1">IFERROR(__xludf.DUMMYFUNCTION("""COMPUTED_VALUE"""),"Building")</f>
        <v>Building</v>
      </c>
      <c r="D1977" s="2" t="str">
        <f ca="1">IFERROR(__xludf.DUMMYFUNCTION("""COMPUTED_VALUE"""),"Abu Dhabi&gt;Al Bateen&gt;Al Bateen Plaza&gt;Tower C2")</f>
        <v>Abu Dhabi&gt;Al Bateen&gt;Al Bateen Plaza&gt;Tower C2</v>
      </c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</row>
    <row r="1978" spans="1:26" ht="16.5" x14ac:dyDescent="0.35">
      <c r="A1978" s="2" t="str">
        <f ca="1">IFERROR(__xludf.DUMMYFUNCTION("""COMPUTED_VALUE"""),"Abu Dhabi")</f>
        <v>Abu Dhabi</v>
      </c>
      <c r="B1978" s="2" t="str">
        <f ca="1">IFERROR(__xludf.DUMMYFUNCTION("""COMPUTED_VALUE"""),"Al Taghreed Tower")</f>
        <v>Al Taghreed Tower</v>
      </c>
      <c r="C1978" s="2" t="str">
        <f ca="1">IFERROR(__xludf.DUMMYFUNCTION("""COMPUTED_VALUE"""),"Building")</f>
        <v>Building</v>
      </c>
      <c r="D1978" s="2" t="str">
        <f ca="1">IFERROR(__xludf.DUMMYFUNCTION("""COMPUTED_VALUE"""),"Abu Dhabi&gt;Airport Street&gt;Al Taghreed Tower")</f>
        <v>Abu Dhabi&gt;Airport Street&gt;Al Taghreed Tower</v>
      </c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</row>
    <row r="1979" spans="1:26" ht="16.5" x14ac:dyDescent="0.35">
      <c r="A1979" s="2" t="str">
        <f ca="1">IFERROR(__xludf.DUMMYFUNCTION("""COMPUTED_VALUE"""),"Abu Dhabi")</f>
        <v>Abu Dhabi</v>
      </c>
      <c r="B1979" s="2" t="str">
        <f ca="1">IFERROR(__xludf.DUMMYFUNCTION("""COMPUTED_VALUE"""),"Khalifa Residential Complex B Building 4")</f>
        <v>Khalifa Residential Complex B Building 4</v>
      </c>
      <c r="C1979" s="2" t="str">
        <f ca="1">IFERROR(__xludf.DUMMYFUNCTION("""COMPUTED_VALUE"""),"Building")</f>
        <v>Building</v>
      </c>
      <c r="D1979" s="2" t="str">
        <f ca="1">IFERROR(__xludf.DUMMYFUNCTION("""COMPUTED_VALUE"""),"Abu Dhabi&gt;Tourist Club Area (TCA)&gt;Khalifa Residential Complex B&gt;Khalifa Residential Complex B Building 4")</f>
        <v>Abu Dhabi&gt;Tourist Club Area (TCA)&gt;Khalifa Residential Complex B&gt;Khalifa Residential Complex B Building 4</v>
      </c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</row>
    <row r="1980" spans="1:26" ht="16.5" x14ac:dyDescent="0.35">
      <c r="A1980" s="2" t="str">
        <f ca="1">IFERROR(__xludf.DUMMYFUNCTION("""COMPUTED_VALUE"""),"Abu Dhabi")</f>
        <v>Abu Dhabi</v>
      </c>
      <c r="B1980" s="2" t="str">
        <f ca="1">IFERROR(__xludf.DUMMYFUNCTION("""COMPUTED_VALUE"""),"Redwood Montessori Nursery Al Mushrif")</f>
        <v>Redwood Montessori Nursery Al Mushrif</v>
      </c>
      <c r="C1980" s="2" t="str">
        <f ca="1">IFERROR(__xludf.DUMMYFUNCTION("""COMPUTED_VALUE"""),"Nursery")</f>
        <v>Nursery</v>
      </c>
      <c r="D1980" s="2" t="str">
        <f ca="1">IFERROR(__xludf.DUMMYFUNCTION("""COMPUTED_VALUE"""),"Abu Dhabi&gt;Al Mushrif&gt;Redwood Montessori Nursery Al Mushrif")</f>
        <v>Abu Dhabi&gt;Al Mushrif&gt;Redwood Montessori Nursery Al Mushrif</v>
      </c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</row>
    <row r="1981" spans="1:26" ht="16.5" x14ac:dyDescent="0.35">
      <c r="A1981" s="2" t="str">
        <f ca="1">IFERROR(__xludf.DUMMYFUNCTION("""COMPUTED_VALUE"""),"Abu Dhabi")</f>
        <v>Abu Dhabi</v>
      </c>
      <c r="B1981" s="2" t="str">
        <f ca="1">IFERROR(__xludf.DUMMYFUNCTION("""COMPUTED_VALUE"""),"Bloom Gardens")</f>
        <v>Bloom Gardens</v>
      </c>
      <c r="C1981" s="2" t="str">
        <f ca="1">IFERROR(__xludf.DUMMYFUNCTION("""COMPUTED_VALUE"""),"Neighbourhood")</f>
        <v>Neighbourhood</v>
      </c>
      <c r="D1981" s="2" t="str">
        <f ca="1">IFERROR(__xludf.DUMMYFUNCTION("""COMPUTED_VALUE"""),"Abu Dhabi&gt;Al Muntazah&gt;Bloom Gardens")</f>
        <v>Abu Dhabi&gt;Al Muntazah&gt;Bloom Gardens</v>
      </c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</row>
    <row r="1982" spans="1:26" ht="16.5" x14ac:dyDescent="0.35">
      <c r="A1982" s="2" t="str">
        <f ca="1">IFERROR(__xludf.DUMMYFUNCTION("""COMPUTED_VALUE"""),"Abu Dhabi")</f>
        <v>Abu Dhabi</v>
      </c>
      <c r="B1982" s="2" t="str">
        <f ca="1">IFERROR(__xludf.DUMMYFUNCTION("""COMPUTED_VALUE"""),"Emirates Private School, Abu Dhabi")</f>
        <v>Emirates Private School, Abu Dhabi</v>
      </c>
      <c r="C1982" s="2" t="str">
        <f ca="1">IFERROR(__xludf.DUMMYFUNCTION("""COMPUTED_VALUE"""),"School")</f>
        <v>School</v>
      </c>
      <c r="D1982" s="2" t="str">
        <f ca="1">IFERROR(__xludf.DUMMYFUNCTION("""COMPUTED_VALUE"""),"Abu Dhabi&gt;Baniyas&gt;Emirates Private School, Abu Dhabi")</f>
        <v>Abu Dhabi&gt;Baniyas&gt;Emirates Private School, Abu Dhabi</v>
      </c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</row>
    <row r="1983" spans="1:26" ht="16.5" x14ac:dyDescent="0.35">
      <c r="A1983" s="2" t="str">
        <f ca="1">IFERROR(__xludf.DUMMYFUNCTION("""COMPUTED_VALUE"""),"Abu Dhabi")</f>
        <v>Abu Dhabi</v>
      </c>
      <c r="B1983" s="2" t="str">
        <f ca="1">IFERROR(__xludf.DUMMYFUNCTION("""COMPUTED_VALUE"""),"Cluster B")</f>
        <v>Cluster B</v>
      </c>
      <c r="C1983" s="2" t="str">
        <f ca="1">IFERROR(__xludf.DUMMYFUNCTION("""COMPUTED_VALUE"""),"Building")</f>
        <v>Building</v>
      </c>
      <c r="D1983" s="2" t="str">
        <f ca="1">IFERROR(__xludf.DUMMYFUNCTION("""COMPUTED_VALUE"""),"Abu Dhabi&gt;Masdar City&gt;Royal Park&gt;Cluster B")</f>
        <v>Abu Dhabi&gt;Masdar City&gt;Royal Park&gt;Cluster B</v>
      </c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</row>
    <row r="1984" spans="1:26" ht="16.5" x14ac:dyDescent="0.35">
      <c r="A1984" s="2" t="str">
        <f ca="1">IFERROR(__xludf.DUMMYFUNCTION("""COMPUTED_VALUE"""),"Abu Dhabi")</f>
        <v>Abu Dhabi</v>
      </c>
      <c r="B1984" s="2" t="str">
        <f ca="1">IFERROR(__xludf.DUMMYFUNCTION("""COMPUTED_VALUE"""),"International Community School, Khalidiya")</f>
        <v>International Community School, Khalidiya</v>
      </c>
      <c r="C1984" s="2" t="str">
        <f ca="1">IFERROR(__xludf.DUMMYFUNCTION("""COMPUTED_VALUE"""),"School")</f>
        <v>School</v>
      </c>
      <c r="D1984" s="2" t="str">
        <f ca="1">IFERROR(__xludf.DUMMYFUNCTION("""COMPUTED_VALUE"""),"Abu Dhabi&gt;Al Danah&gt;International Community School, Khalidiya")</f>
        <v>Abu Dhabi&gt;Al Danah&gt;International Community School, Khalidiya</v>
      </c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</row>
    <row r="1985" spans="1:26" ht="16.5" x14ac:dyDescent="0.35">
      <c r="A1985" s="2" t="str">
        <f ca="1">IFERROR(__xludf.DUMMYFUNCTION("""COMPUTED_VALUE"""),"Abu Dhabi")</f>
        <v>Abu Dhabi</v>
      </c>
      <c r="B1985" s="2" t="str">
        <f ca="1">IFERROR(__xludf.DUMMYFUNCTION("""COMPUTED_VALUE"""),"Sowwah Square Tower 4")</f>
        <v>Sowwah Square Tower 4</v>
      </c>
      <c r="C1985" s="2" t="str">
        <f ca="1">IFERROR(__xludf.DUMMYFUNCTION("""COMPUTED_VALUE"""),"Building")</f>
        <v>Building</v>
      </c>
      <c r="D1985" s="2" t="str">
        <f ca="1">IFERROR(__xludf.DUMMYFUNCTION("""COMPUTED_VALUE"""),"Abu Dhabi&gt;Al Maryah Island&gt;Sowwah Square&gt;Sowwah Square Tower 4")</f>
        <v>Abu Dhabi&gt;Al Maryah Island&gt;Sowwah Square&gt;Sowwah Square Tower 4</v>
      </c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</row>
    <row r="1986" spans="1:26" ht="16.5" x14ac:dyDescent="0.35">
      <c r="A1986" s="2" t="str">
        <f ca="1">IFERROR(__xludf.DUMMYFUNCTION("""COMPUTED_VALUE"""),"Abu Dhabi")</f>
        <v>Abu Dhabi</v>
      </c>
      <c r="B1986" s="2" t="str">
        <f ca="1">IFERROR(__xludf.DUMMYFUNCTION("""COMPUTED_VALUE"""),"Al Seef Residences")</f>
        <v>Al Seef Residences</v>
      </c>
      <c r="C1986" s="2" t="str">
        <f ca="1">IFERROR(__xludf.DUMMYFUNCTION("""COMPUTED_VALUE"""),"Building")</f>
        <v>Building</v>
      </c>
      <c r="D1986" s="2" t="str">
        <f ca="1">IFERROR(__xludf.DUMMYFUNCTION("""COMPUTED_VALUE"""),"Abu Dhabi&gt;Al Qurm&gt;Al Seef Residences")</f>
        <v>Abu Dhabi&gt;Al Qurm&gt;Al Seef Residences</v>
      </c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</row>
    <row r="1987" spans="1:26" ht="16.5" x14ac:dyDescent="0.35">
      <c r="A1987" s="2" t="str">
        <f ca="1">IFERROR(__xludf.DUMMYFUNCTION("""COMPUTED_VALUE"""),"Abu Dhabi")</f>
        <v>Abu Dhabi</v>
      </c>
      <c r="B1987" s="2" t="str">
        <f ca="1">IFERROR(__xludf.DUMMYFUNCTION("""COMPUTED_VALUE"""),"MSH22")</f>
        <v>MSH22</v>
      </c>
      <c r="C1987" s="2" t="str">
        <f ca="1">IFERROR(__xludf.DUMMYFUNCTION("""COMPUTED_VALUE"""),"Neighbourhood")</f>
        <v>Neighbourhood</v>
      </c>
      <c r="D1987" s="2" t="str">
        <f ca="1">IFERROR(__xludf.DUMMYFUNCTION("""COMPUTED_VALUE"""),"Abu Dhabi&gt;Shakhbout City&gt;MSH22")</f>
        <v>Abu Dhabi&gt;Shakhbout City&gt;MSH22</v>
      </c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</row>
    <row r="1988" spans="1:26" ht="16.5" x14ac:dyDescent="0.35">
      <c r="A1988" s="2" t="str">
        <f ca="1">IFERROR(__xludf.DUMMYFUNCTION("""COMPUTED_VALUE"""),"Abu Dhabi")</f>
        <v>Abu Dhabi</v>
      </c>
      <c r="B1988" s="2" t="str">
        <f ca="1">IFERROR(__xludf.DUMMYFUNCTION("""COMPUTED_VALUE"""),"Seef Al Jubail")</f>
        <v>Seef Al Jubail</v>
      </c>
      <c r="C1988" s="2" t="str">
        <f ca="1">IFERROR(__xludf.DUMMYFUNCTION("""COMPUTED_VALUE"""),"Neighbourhood")</f>
        <v>Neighbourhood</v>
      </c>
      <c r="D1988" s="2" t="str">
        <f ca="1">IFERROR(__xludf.DUMMYFUNCTION("""COMPUTED_VALUE"""),"Abu Dhabi&gt;Al Jubail Island&gt;Seef Al Jubail")</f>
        <v>Abu Dhabi&gt;Al Jubail Island&gt;Seef Al Jubail</v>
      </c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</row>
    <row r="1989" spans="1:26" ht="16.5" x14ac:dyDescent="0.35">
      <c r="A1989" s="2" t="str">
        <f ca="1">IFERROR(__xludf.DUMMYFUNCTION("""COMPUTED_VALUE"""),"Abu Dhabi")</f>
        <v>Abu Dhabi</v>
      </c>
      <c r="B1989" s="2" t="str">
        <f ca="1">IFERROR(__xludf.DUMMYFUNCTION("""COMPUTED_VALUE"""),"Al Arjan Building")</f>
        <v>Al Arjan Building</v>
      </c>
      <c r="C1989" s="2"/>
      <c r="D1989" s="2" t="str">
        <f ca="1">IFERROR(__xludf.DUMMYFUNCTION("""COMPUTED_VALUE"""),"Abu Dhabi&gt;Defence Street&gt;Al Arjan Building")</f>
        <v>Abu Dhabi&gt;Defence Street&gt;Al Arjan Building</v>
      </c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</row>
    <row r="1990" spans="1:26" ht="16.5" x14ac:dyDescent="0.35">
      <c r="A1990" s="2" t="str">
        <f ca="1">IFERROR(__xludf.DUMMYFUNCTION("""COMPUTED_VALUE"""),"Abu Dhabi")</f>
        <v>Abu Dhabi</v>
      </c>
      <c r="B1990" s="2" t="str">
        <f ca="1">IFERROR(__xludf.DUMMYFUNCTION("""COMPUTED_VALUE"""),"Corniche View Tower")</f>
        <v>Corniche View Tower</v>
      </c>
      <c r="C1990" s="2" t="str">
        <f ca="1">IFERROR(__xludf.DUMMYFUNCTION("""COMPUTED_VALUE"""),"Building")</f>
        <v>Building</v>
      </c>
      <c r="D1990" s="2" t="str">
        <f ca="1">IFERROR(__xludf.DUMMYFUNCTION("""COMPUTED_VALUE"""),"Abu Dhabi&gt;Al Hisn&gt;Corniche View Tower")</f>
        <v>Abu Dhabi&gt;Al Hisn&gt;Corniche View Tower</v>
      </c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</row>
    <row r="1991" spans="1:26" ht="16.5" x14ac:dyDescent="0.35">
      <c r="A1991" s="2" t="str">
        <f ca="1">IFERROR(__xludf.DUMMYFUNCTION("""COMPUTED_VALUE"""),"Abu Dhabi")</f>
        <v>Abu Dhabi</v>
      </c>
      <c r="B1991" s="2" t="str">
        <f ca="1">IFERROR(__xludf.DUMMYFUNCTION("""COMPUTED_VALUE"""),"Al Shawamekh")</f>
        <v>Al Shawamekh</v>
      </c>
      <c r="C1991" s="2" t="str">
        <f ca="1">IFERROR(__xludf.DUMMYFUNCTION("""COMPUTED_VALUE"""),"Neighbourhood")</f>
        <v>Neighbourhood</v>
      </c>
      <c r="D1991" s="2" t="str">
        <f ca="1">IFERROR(__xludf.DUMMYFUNCTION("""COMPUTED_VALUE"""),"Abu Dhabi&gt;Al Shawamekh")</f>
        <v>Abu Dhabi&gt;Al Shawamekh</v>
      </c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</row>
    <row r="1992" spans="1:26" ht="16.5" x14ac:dyDescent="0.35">
      <c r="A1992" s="2" t="str">
        <f ca="1">IFERROR(__xludf.DUMMYFUNCTION("""COMPUTED_VALUE"""),"Abu Dhabi")</f>
        <v>Abu Dhabi</v>
      </c>
      <c r="B1992" s="2" t="str">
        <f ca="1">IFERROR(__xludf.DUMMYFUNCTION("""COMPUTED_VALUE"""),"The Beach House Tower 6")</f>
        <v>The Beach House Tower 6</v>
      </c>
      <c r="C1992" s="2" t="str">
        <f ca="1">IFERROR(__xludf.DUMMYFUNCTION("""COMPUTED_VALUE"""),"Building")</f>
        <v>Building</v>
      </c>
      <c r="D1992" s="2" t="str">
        <f ca="1">IFERROR(__xludf.DUMMYFUNCTION("""COMPUTED_VALUE"""),"Abu Dhabi&gt;Fahid Island&gt;The Beach House&gt;The Beach House Tower 6")</f>
        <v>Abu Dhabi&gt;Fahid Island&gt;The Beach House&gt;The Beach House Tower 6</v>
      </c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</row>
    <row r="1993" spans="1:26" ht="16.5" x14ac:dyDescent="0.35">
      <c r="A1993" s="2" t="str">
        <f ca="1">IFERROR(__xludf.DUMMYFUNCTION("""COMPUTED_VALUE"""),"Abu Dhabi")</f>
        <v>Abu Dhabi</v>
      </c>
      <c r="B1993" s="2" t="str">
        <f ca="1">IFERROR(__xludf.DUMMYFUNCTION("""COMPUTED_VALUE"""),"Al Reem Bay Towers")</f>
        <v>Al Reem Bay Towers</v>
      </c>
      <c r="C1993" s="2" t="str">
        <f ca="1">IFERROR(__xludf.DUMMYFUNCTION("""COMPUTED_VALUE"""),"Building")</f>
        <v>Building</v>
      </c>
      <c r="D1993" s="2" t="str">
        <f ca="1">IFERROR(__xludf.DUMMYFUNCTION("""COMPUTED_VALUE"""),"Abu Dhabi&gt;Al Reem Island&gt;Najmat Abu Dhabi&gt;Al Reem Bay Towers")</f>
        <v>Abu Dhabi&gt;Al Reem Island&gt;Najmat Abu Dhabi&gt;Al Reem Bay Towers</v>
      </c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</row>
    <row r="1994" spans="1:26" ht="16.5" x14ac:dyDescent="0.35">
      <c r="A1994" s="2" t="str">
        <f ca="1">IFERROR(__xludf.DUMMYFUNCTION("""COMPUTED_VALUE"""),"Abu Dhabi")</f>
        <v>Abu Dhabi</v>
      </c>
      <c r="B1994" s="2" t="str">
        <f ca="1">IFERROR(__xludf.DUMMYFUNCTION("""COMPUTED_VALUE"""),"Marina Blue Tower")</f>
        <v>Marina Blue Tower</v>
      </c>
      <c r="C1994" s="2" t="str">
        <f ca="1">IFERROR(__xludf.DUMMYFUNCTION("""COMPUTED_VALUE"""),"Building")</f>
        <v>Building</v>
      </c>
      <c r="D1994" s="2" t="str">
        <f ca="1">IFERROR(__xludf.DUMMYFUNCTION("""COMPUTED_VALUE"""),"Abu Dhabi&gt;Al Reem Island&gt;Marina Square&gt;Marina Blue Tower")</f>
        <v>Abu Dhabi&gt;Al Reem Island&gt;Marina Square&gt;Marina Blue Tower</v>
      </c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</row>
    <row r="1995" spans="1:26" ht="16.5" x14ac:dyDescent="0.35">
      <c r="A1995" s="2" t="str">
        <f ca="1">IFERROR(__xludf.DUMMYFUNCTION("""COMPUTED_VALUE"""),"Abu Dhabi")</f>
        <v>Abu Dhabi</v>
      </c>
      <c r="B1995" s="2" t="str">
        <f ca="1">IFERROR(__xludf.DUMMYFUNCTION("""COMPUTED_VALUE"""),"Shams Gate District")</f>
        <v>Shams Gate District</v>
      </c>
      <c r="C1995" s="2" t="str">
        <f ca="1">IFERROR(__xludf.DUMMYFUNCTION("""COMPUTED_VALUE"""),"Neighbourhood")</f>
        <v>Neighbourhood</v>
      </c>
      <c r="D1995" s="2" t="str">
        <f ca="1">IFERROR(__xludf.DUMMYFUNCTION("""COMPUTED_VALUE"""),"Abu Dhabi&gt;Al Reem Island&gt;Shams Abu Dhabi&gt;Shams Gate District")</f>
        <v>Abu Dhabi&gt;Al Reem Island&gt;Shams Abu Dhabi&gt;Shams Gate District</v>
      </c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</row>
    <row r="1996" spans="1:26" ht="16.5" x14ac:dyDescent="0.35">
      <c r="A1996" s="2" t="str">
        <f ca="1">IFERROR(__xludf.DUMMYFUNCTION("""COMPUTED_VALUE"""),"Abu Dhabi")</f>
        <v>Abu Dhabi</v>
      </c>
      <c r="B1996" s="2" t="str">
        <f ca="1">IFERROR(__xludf.DUMMYFUNCTION("""COMPUTED_VALUE"""),"Reem Nine")</f>
        <v>Reem Nine</v>
      </c>
      <c r="C1996" s="2" t="str">
        <f ca="1">IFERROR(__xludf.DUMMYFUNCTION("""COMPUTED_VALUE"""),"Building")</f>
        <v>Building</v>
      </c>
      <c r="D1996" s="2" t="str">
        <f ca="1">IFERROR(__xludf.DUMMYFUNCTION("""COMPUTED_VALUE"""),"Abu Dhabi&gt;Al Reem Island&gt;Shams Abu Dhabi&gt;Reem Nine")</f>
        <v>Abu Dhabi&gt;Al Reem Island&gt;Shams Abu Dhabi&gt;Reem Nine</v>
      </c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</row>
    <row r="1997" spans="1:26" ht="16.5" x14ac:dyDescent="0.35">
      <c r="A1997" s="2" t="str">
        <f ca="1">IFERROR(__xludf.DUMMYFUNCTION("""COMPUTED_VALUE"""),"Abu Dhabi")</f>
        <v>Abu Dhabi</v>
      </c>
      <c r="B1997" s="2" t="str">
        <f ca="1">IFERROR(__xludf.DUMMYFUNCTION("""COMPUTED_VALUE"""),"Radiant Bay")</f>
        <v>Radiant Bay</v>
      </c>
      <c r="C1997" s="2" t="str">
        <f ca="1">IFERROR(__xludf.DUMMYFUNCTION("""COMPUTED_VALUE"""),"Building")</f>
        <v>Building</v>
      </c>
      <c r="D1997" s="2" t="str">
        <f ca="1">IFERROR(__xludf.DUMMYFUNCTION("""COMPUTED_VALUE"""),"Abu Dhabi&gt;Al Reem Island&gt;City of Lights&gt;Radiant Square&gt;Radiant Bay")</f>
        <v>Abu Dhabi&gt;Al Reem Island&gt;City of Lights&gt;Radiant Square&gt;Radiant Bay</v>
      </c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</row>
    <row r="1998" spans="1:26" ht="16.5" x14ac:dyDescent="0.35">
      <c r="A1998" s="2" t="str">
        <f ca="1">IFERROR(__xludf.DUMMYFUNCTION("""COMPUTED_VALUE"""),"Abu Dhabi")</f>
        <v>Abu Dhabi</v>
      </c>
      <c r="B1998" s="2" t="str">
        <f ca="1">IFERROR(__xludf.DUMMYFUNCTION("""COMPUTED_VALUE"""),"Island Bay")</f>
        <v>Island Bay</v>
      </c>
      <c r="C1998" s="2" t="str">
        <f ca="1">IFERROR(__xludf.DUMMYFUNCTION("""COMPUTED_VALUE"""),"Neighbourhood")</f>
        <v>Neighbourhood</v>
      </c>
      <c r="D1998" s="2" t="str">
        <f ca="1">IFERROR(__xludf.DUMMYFUNCTION("""COMPUTED_VALUE"""),"Abu Dhabi&gt;Al Reem Island&gt;Reem Hills&gt;Island Bay")</f>
        <v>Abu Dhabi&gt;Al Reem Island&gt;Reem Hills&gt;Island Bay</v>
      </c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</row>
    <row r="1999" spans="1:26" ht="16.5" x14ac:dyDescent="0.35">
      <c r="A1999" s="2" t="str">
        <f ca="1">IFERROR(__xludf.DUMMYFUNCTION("""COMPUTED_VALUE"""),"Abu Dhabi")</f>
        <v>Abu Dhabi</v>
      </c>
      <c r="B1999" s="2" t="str">
        <f ca="1">IFERROR(__xludf.DUMMYFUNCTION("""COMPUTED_VALUE"""),"Bel Ghailam Tower")</f>
        <v>Bel Ghailam Tower</v>
      </c>
      <c r="C1999" s="2"/>
      <c r="D1999" s="2" t="str">
        <f ca="1">IFERROR(__xludf.DUMMYFUNCTION("""COMPUTED_VALUE"""),"Abu Dhabi&gt;Corniche Road&gt;Bel Ghailam Tower")</f>
        <v>Abu Dhabi&gt;Corniche Road&gt;Bel Ghailam Tower</v>
      </c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</row>
    <row r="2000" spans="1:26" ht="16.5" x14ac:dyDescent="0.35">
      <c r="A2000" s="2" t="str">
        <f ca="1">IFERROR(__xludf.DUMMYFUNCTION("""COMPUTED_VALUE"""),"Abu Dhabi")</f>
        <v>Abu Dhabi</v>
      </c>
      <c r="B2000" s="2" t="str">
        <f ca="1">IFERROR(__xludf.DUMMYFUNCTION("""COMPUTED_VALUE"""),"Amana Tower")</f>
        <v>Amana Tower</v>
      </c>
      <c r="C2000" s="2" t="str">
        <f ca="1">IFERROR(__xludf.DUMMYFUNCTION("""COMPUTED_VALUE"""),"Building")</f>
        <v>Building</v>
      </c>
      <c r="D2000" s="2" t="str">
        <f ca="1">IFERROR(__xludf.DUMMYFUNCTION("""COMPUTED_VALUE"""),"Abu Dhabi&gt;Al Khalidiyah&gt;Amana Tower")</f>
        <v>Abu Dhabi&gt;Al Khalidiyah&gt;Amana Tower</v>
      </c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</row>
    <row r="2001" spans="1:26" ht="16.5" x14ac:dyDescent="0.35">
      <c r="A2001" s="2" t="str">
        <f ca="1">IFERROR(__xludf.DUMMYFUNCTION("""COMPUTED_VALUE"""),"Abu Dhabi")</f>
        <v>Abu Dhabi</v>
      </c>
      <c r="B2001" s="2" t="str">
        <f ca="1">IFERROR(__xludf.DUMMYFUNCTION("""COMPUTED_VALUE"""),"Montazah Tower")</f>
        <v>Montazah Tower</v>
      </c>
      <c r="C2001" s="2" t="str">
        <f ca="1">IFERROR(__xludf.DUMMYFUNCTION("""COMPUTED_VALUE"""),"Building")</f>
        <v>Building</v>
      </c>
      <c r="D2001" s="2" t="str">
        <f ca="1">IFERROR(__xludf.DUMMYFUNCTION("""COMPUTED_VALUE"""),"Abu Dhabi&gt;Al Khalidiyah&gt;Khalidiyah Street&gt;Montazah Tower")</f>
        <v>Abu Dhabi&gt;Al Khalidiyah&gt;Khalidiyah Street&gt;Montazah Tower</v>
      </c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</row>
    <row r="2002" spans="1:26" ht="16.5" x14ac:dyDescent="0.35">
      <c r="A2002" s="2" t="str">
        <f ca="1">IFERROR(__xludf.DUMMYFUNCTION("""COMPUTED_VALUE"""),"Abu Dhabi")</f>
        <v>Abu Dhabi</v>
      </c>
      <c r="B2002" s="2" t="str">
        <f ca="1">IFERROR(__xludf.DUMMYFUNCTION("""COMPUTED_VALUE"""),"SE14")</f>
        <v>SE14</v>
      </c>
      <c r="C2002" s="2" t="str">
        <f ca="1">IFERROR(__xludf.DUMMYFUNCTION("""COMPUTED_VALUE"""),"Neighbourhood")</f>
        <v>Neighbourhood</v>
      </c>
      <c r="D2002" s="2" t="str">
        <f ca="1">IFERROR(__xludf.DUMMYFUNCTION("""COMPUTED_VALUE"""),"Abu Dhabi&gt;Khalifa City&gt;SE14")</f>
        <v>Abu Dhabi&gt;Khalifa City&gt;SE14</v>
      </c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</row>
    <row r="2003" spans="1:26" ht="16.5" x14ac:dyDescent="0.35">
      <c r="A2003" s="2" t="str">
        <f ca="1">IFERROR(__xludf.DUMMYFUNCTION("""COMPUTED_VALUE"""),"Abu Dhabi")</f>
        <v>Abu Dhabi</v>
      </c>
      <c r="B2003" s="2" t="str">
        <f ca="1">IFERROR(__xludf.DUMMYFUNCTION("""COMPUTED_VALUE"""),"SW3")</f>
        <v>SW3</v>
      </c>
      <c r="C2003" s="2" t="str">
        <f ca="1">IFERROR(__xludf.DUMMYFUNCTION("""COMPUTED_VALUE"""),"Neighbourhood")</f>
        <v>Neighbourhood</v>
      </c>
      <c r="D2003" s="2" t="str">
        <f ca="1">IFERROR(__xludf.DUMMYFUNCTION("""COMPUTED_VALUE"""),"Abu Dhabi&gt;Khalifa City&gt;SW3")</f>
        <v>Abu Dhabi&gt;Khalifa City&gt;SW3</v>
      </c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</row>
    <row r="2004" spans="1:26" ht="16.5" x14ac:dyDescent="0.35">
      <c r="A2004" s="2" t="str">
        <f ca="1">IFERROR(__xludf.DUMMYFUNCTION("""COMPUTED_VALUE"""),"Abu Dhabi")</f>
        <v>Abu Dhabi</v>
      </c>
      <c r="B2004" s="2" t="str">
        <f ca="1">IFERROR(__xludf.DUMMYFUNCTION("""COMPUTED_VALUE"""),"Burj Al Arab Tower")</f>
        <v>Burj Al Arab Tower</v>
      </c>
      <c r="C2004" s="2" t="str">
        <f ca="1">IFERROR(__xludf.DUMMYFUNCTION("""COMPUTED_VALUE"""),"Building")</f>
        <v>Building</v>
      </c>
      <c r="D2004" s="2" t="str">
        <f ca="1">IFERROR(__xludf.DUMMYFUNCTION("""COMPUTED_VALUE"""),"Abu Dhabi&gt;Al Markaziya&gt;Burj Al Arab Tower")</f>
        <v>Abu Dhabi&gt;Al Markaziya&gt;Burj Al Arab Tower</v>
      </c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</row>
    <row r="2005" spans="1:26" ht="16.5" x14ac:dyDescent="0.35">
      <c r="A2005" s="2" t="str">
        <f ca="1">IFERROR(__xludf.DUMMYFUNCTION("""COMPUTED_VALUE"""),"Abu Dhabi")</f>
        <v>Abu Dhabi</v>
      </c>
      <c r="B2005" s="2" t="str">
        <f ca="1">IFERROR(__xludf.DUMMYFUNCTION("""COMPUTED_VALUE"""),"Yasmina")</f>
        <v>Yasmina</v>
      </c>
      <c r="C2005" s="2" t="str">
        <f ca="1">IFERROR(__xludf.DUMMYFUNCTION("""COMPUTED_VALUE"""),"Neighbourhood")</f>
        <v>Neighbourhood</v>
      </c>
      <c r="D2005" s="2" t="str">
        <f ca="1">IFERROR(__xludf.DUMMYFUNCTION("""COMPUTED_VALUE"""),"Abu Dhabi&gt;Al Raha Gardens&gt;Yasmina")</f>
        <v>Abu Dhabi&gt;Al Raha Gardens&gt;Yasmina</v>
      </c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</row>
    <row r="2006" spans="1:26" ht="16.5" x14ac:dyDescent="0.35">
      <c r="A2006" s="2" t="str">
        <f ca="1">IFERROR(__xludf.DUMMYFUNCTION("""COMPUTED_VALUE"""),"Abu Dhabi")</f>
        <v>Abu Dhabi</v>
      </c>
      <c r="B2006" s="2" t="str">
        <f ca="1">IFERROR(__xludf.DUMMYFUNCTION("""COMPUTED_VALUE"""),"Mamsha Gardens Building 1")</f>
        <v>Mamsha Gardens Building 1</v>
      </c>
      <c r="C2006" s="2" t="str">
        <f ca="1">IFERROR(__xludf.DUMMYFUNCTION("""COMPUTED_VALUE"""),"Building")</f>
        <v>Building</v>
      </c>
      <c r="D2006" s="2" t="str">
        <f ca="1">IFERROR(__xludf.DUMMYFUNCTION("""COMPUTED_VALUE"""),"Abu Dhabi&gt;Saadiyat Island&gt;Saadiyat Cultural District&gt;Mamsha Gardens&gt;Mamsha Gardens Building 1")</f>
        <v>Abu Dhabi&gt;Saadiyat Island&gt;Saadiyat Cultural District&gt;Mamsha Gardens&gt;Mamsha Gardens Building 1</v>
      </c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</row>
    <row r="2007" spans="1:26" ht="16.5" x14ac:dyDescent="0.35">
      <c r="A2007" s="2" t="str">
        <f ca="1">IFERROR(__xludf.DUMMYFUNCTION("""COMPUTED_VALUE"""),"Abu Dhabi")</f>
        <v>Abu Dhabi</v>
      </c>
      <c r="B2007" s="2" t="str">
        <f ca="1">IFERROR(__xludf.DUMMYFUNCTION("""COMPUTED_VALUE"""),"Saadiyat Beach Residences Block 2")</f>
        <v>Saadiyat Beach Residences Block 2</v>
      </c>
      <c r="C2007" s="2" t="str">
        <f ca="1">IFERROR(__xludf.DUMMYFUNCTION("""COMPUTED_VALUE"""),"Building")</f>
        <v>Building</v>
      </c>
      <c r="D2007" s="2" t="str">
        <f ca="1">IFERROR(__xludf.DUMMYFUNCTION("""COMPUTED_VALUE"""),"Abu Dhabi&gt;Saadiyat Island&gt;Saadiyat Beach&gt;Saadiyat Beach Residences&gt;Saadiyat Beach Residences Block 2")</f>
        <v>Abu Dhabi&gt;Saadiyat Island&gt;Saadiyat Beach&gt;Saadiyat Beach Residences&gt;Saadiyat Beach Residences Block 2</v>
      </c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</row>
    <row r="2008" spans="1:26" ht="16.5" x14ac:dyDescent="0.35">
      <c r="A2008" s="2" t="str">
        <f ca="1">IFERROR(__xludf.DUMMYFUNCTION("""COMPUTED_VALUE"""),"Abu Dhabi")</f>
        <v>Abu Dhabi</v>
      </c>
      <c r="B2008" s="2" t="str">
        <f ca="1">IFERROR(__xludf.DUMMYFUNCTION("""COMPUTED_VALUE"""),"Solea Building B")</f>
        <v>Solea Building B</v>
      </c>
      <c r="C2008" s="2" t="str">
        <f ca="1">IFERROR(__xludf.DUMMYFUNCTION("""COMPUTED_VALUE"""),"Building")</f>
        <v>Building</v>
      </c>
      <c r="D2008" s="2" t="str">
        <f ca="1">IFERROR(__xludf.DUMMYFUNCTION("""COMPUTED_VALUE"""),"Abu Dhabi&gt;Saadiyat Island&gt;Solea&gt;Solea Building B")</f>
        <v>Abu Dhabi&gt;Saadiyat Island&gt;Solea&gt;Solea Building B</v>
      </c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</row>
    <row r="2009" spans="1:26" ht="16.5" x14ac:dyDescent="0.35">
      <c r="A2009" s="2" t="str">
        <f ca="1">IFERROR(__xludf.DUMMYFUNCTION("""COMPUTED_VALUE"""),"Abu Dhabi")</f>
        <v>Abu Dhabi</v>
      </c>
      <c r="B2009" s="2" t="str">
        <f ca="1">IFERROR(__xludf.DUMMYFUNCTION("""COMPUTED_VALUE"""),"Yellow Submarine Nursery Al Muneera")</f>
        <v>Yellow Submarine Nursery Al Muneera</v>
      </c>
      <c r="C2009" s="2" t="str">
        <f ca="1">IFERROR(__xludf.DUMMYFUNCTION("""COMPUTED_VALUE"""),"Nursery")</f>
        <v>Nursery</v>
      </c>
      <c r="D2009" s="2" t="str">
        <f ca="1">IFERROR(__xludf.DUMMYFUNCTION("""COMPUTED_VALUE"""),"Abu Dhabi&gt;Al Raha Beach&gt;Khor Al Raha&gt;Yellow Submarine Nursery Al Muneera")</f>
        <v>Abu Dhabi&gt;Al Raha Beach&gt;Khor Al Raha&gt;Yellow Submarine Nursery Al Muneera</v>
      </c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</row>
    <row r="2010" spans="1:26" ht="16.5" x14ac:dyDescent="0.35">
      <c r="A2010" s="2" t="str">
        <f ca="1">IFERROR(__xludf.DUMMYFUNCTION("""COMPUTED_VALUE"""),"Abu Dhabi")</f>
        <v>Abu Dhabi</v>
      </c>
      <c r="B2010" s="2" t="str">
        <f ca="1">IFERROR(__xludf.DUMMYFUNCTION("""COMPUTED_VALUE"""),"Al Sana")</f>
        <v>Al Sana</v>
      </c>
      <c r="C2010" s="2" t="str">
        <f ca="1">IFERROR(__xludf.DUMMYFUNCTION("""COMPUTED_VALUE"""),"Cluster")</f>
        <v>Cluster</v>
      </c>
      <c r="D2010" s="2" t="str">
        <f ca="1">IFERROR(__xludf.DUMMYFUNCTION("""COMPUTED_VALUE"""),"Abu Dhabi&gt;Al Raha Beach&gt;Al Muneera&gt;Al Sana")</f>
        <v>Abu Dhabi&gt;Al Raha Beach&gt;Al Muneera&gt;Al Sana</v>
      </c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</row>
    <row r="2011" spans="1:26" ht="16.5" x14ac:dyDescent="0.35">
      <c r="A2011" s="2" t="str">
        <f ca="1">IFERROR(__xludf.DUMMYFUNCTION("""COMPUTED_VALUE"""),"Abu Dhabi")</f>
        <v>Abu Dhabi</v>
      </c>
      <c r="B2011" s="2" t="str">
        <f ca="1">IFERROR(__xludf.DUMMYFUNCTION("""COMPUTED_VALUE"""),"Amwaj 1")</f>
        <v>Amwaj 1</v>
      </c>
      <c r="C2011" s="2" t="str">
        <f ca="1">IFERROR(__xludf.DUMMYFUNCTION("""COMPUTED_VALUE"""),"Building")</f>
        <v>Building</v>
      </c>
      <c r="D2011" s="2" t="str">
        <f ca="1">IFERROR(__xludf.DUMMYFUNCTION("""COMPUTED_VALUE"""),"Abu Dhabi&gt;Al Raha Beach&gt;Amwaj&gt;Amwaj 1")</f>
        <v>Abu Dhabi&gt;Al Raha Beach&gt;Amwaj&gt;Amwaj 1</v>
      </c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</row>
    <row r="2012" spans="1:26" ht="16.5" x14ac:dyDescent="0.35">
      <c r="A2012" s="2" t="str">
        <f ca="1">IFERROR(__xludf.DUMMYFUNCTION("""COMPUTED_VALUE"""),"Abu Dhabi")</f>
        <v>Abu Dhabi</v>
      </c>
      <c r="B2012" s="2" t="str">
        <f ca="1">IFERROR(__xludf.DUMMYFUNCTION("""COMPUTED_VALUE"""),"Danet Tower A")</f>
        <v>Danet Tower A</v>
      </c>
      <c r="C2012" s="2" t="str">
        <f ca="1">IFERROR(__xludf.DUMMYFUNCTION("""COMPUTED_VALUE"""),"Building")</f>
        <v>Building</v>
      </c>
      <c r="D2012" s="2" t="str">
        <f ca="1">IFERROR(__xludf.DUMMYFUNCTION("""COMPUTED_VALUE"""),"Abu Dhabi&gt;Danet Abu Dhabi&gt;Danet Tower A")</f>
        <v>Abu Dhabi&gt;Danet Abu Dhabi&gt;Danet Tower A</v>
      </c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</row>
    <row r="2013" spans="1:26" ht="16.5" x14ac:dyDescent="0.35">
      <c r="A2013" s="2" t="str">
        <f ca="1">IFERROR(__xludf.DUMMYFUNCTION("""COMPUTED_VALUE"""),"Abu Dhabi")</f>
        <v>Abu Dhabi</v>
      </c>
      <c r="B2013" s="2" t="str">
        <f ca="1">IFERROR(__xludf.DUMMYFUNCTION("""COMPUTED_VALUE"""),"Mohamed Bin Zayed City")</f>
        <v>Mohamed Bin Zayed City</v>
      </c>
      <c r="C2013" s="2" t="str">
        <f ca="1">IFERROR(__xludf.DUMMYFUNCTION("""COMPUTED_VALUE"""),"Neighbourhood")</f>
        <v>Neighbourhood</v>
      </c>
      <c r="D2013" s="2" t="str">
        <f ca="1">IFERROR(__xludf.DUMMYFUNCTION("""COMPUTED_VALUE"""),"Abu Dhabi&gt;Mohamed Bin Zayed City")</f>
        <v>Abu Dhabi&gt;Mohamed Bin Zayed City</v>
      </c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</row>
    <row r="2014" spans="1:26" ht="16.5" x14ac:dyDescent="0.35">
      <c r="A2014" s="2" t="str">
        <f ca="1">IFERROR(__xludf.DUMMYFUNCTION("""COMPUTED_VALUE"""),"Abu Dhabi")</f>
        <v>Abu Dhabi</v>
      </c>
      <c r="B2014" s="2" t="str">
        <f ca="1">IFERROR(__xludf.DUMMYFUNCTION("""COMPUTED_VALUE"""),"Zone 9")</f>
        <v>Zone 9</v>
      </c>
      <c r="C2014" s="2" t="str">
        <f ca="1">IFERROR(__xludf.DUMMYFUNCTION("""COMPUTED_VALUE"""),"Neighbourhood")</f>
        <v>Neighbourhood</v>
      </c>
      <c r="D2014" s="2" t="str">
        <f ca="1">IFERROR(__xludf.DUMMYFUNCTION("""COMPUTED_VALUE"""),"Abu Dhabi&gt;Mohamed Bin Zayed City&gt;Zone 9")</f>
        <v>Abu Dhabi&gt;Mohamed Bin Zayed City&gt;Zone 9</v>
      </c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</row>
    <row r="2015" spans="1:26" ht="16.5" x14ac:dyDescent="0.35">
      <c r="A2015" s="2" t="str">
        <f ca="1">IFERROR(__xludf.DUMMYFUNCTION("""COMPUTED_VALUE"""),"Abu Dhabi")</f>
        <v>Abu Dhabi</v>
      </c>
      <c r="B2015" s="2" t="str">
        <f ca="1">IFERROR(__xludf.DUMMYFUNCTION("""COMPUTED_VALUE"""),"Zone 36")</f>
        <v>Zone 36</v>
      </c>
      <c r="C2015" s="2" t="str">
        <f ca="1">IFERROR(__xludf.DUMMYFUNCTION("""COMPUTED_VALUE"""),"Neighbourhood")</f>
        <v>Neighbourhood</v>
      </c>
      <c r="D2015" s="2" t="str">
        <f ca="1">IFERROR(__xludf.DUMMYFUNCTION("""COMPUTED_VALUE"""),"Abu Dhabi&gt;Mohamed Bin Zayed City&gt;Zone 36")</f>
        <v>Abu Dhabi&gt;Mohamed Bin Zayed City&gt;Zone 36</v>
      </c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</row>
    <row r="2016" spans="1:26" ht="16.5" x14ac:dyDescent="0.35">
      <c r="A2016" s="2" t="str">
        <f ca="1">IFERROR(__xludf.DUMMYFUNCTION("""COMPUTED_VALUE"""),"Abu Dhabi")</f>
        <v>Abu Dhabi</v>
      </c>
      <c r="B2016" s="2" t="str">
        <f ca="1">IFERROR(__xludf.DUMMYFUNCTION("""COMPUTED_VALUE"""),"Building 15")</f>
        <v>Building 15</v>
      </c>
      <c r="C2016" s="2" t="str">
        <f ca="1">IFERROR(__xludf.DUMMYFUNCTION("""COMPUTED_VALUE"""),"Building")</f>
        <v>Building</v>
      </c>
      <c r="D2016" s="2" t="str">
        <f ca="1">IFERROR(__xludf.DUMMYFUNCTION("""COMPUTED_VALUE"""),"Abu Dhabi&gt;Al Reef&gt;Al Reef Downtown&gt;Building 15")</f>
        <v>Abu Dhabi&gt;Al Reef&gt;Al Reef Downtown&gt;Building 15</v>
      </c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</row>
    <row r="2017" spans="1:26" ht="16.5" x14ac:dyDescent="0.35">
      <c r="A2017" s="2" t="str">
        <f ca="1">IFERROR(__xludf.DUMMYFUNCTION("""COMPUTED_VALUE"""),"Abu Dhabi")</f>
        <v>Abu Dhabi</v>
      </c>
      <c r="B2017" s="2" t="str">
        <f ca="1">IFERROR(__xludf.DUMMYFUNCTION("""COMPUTED_VALUE"""),"Building 37")</f>
        <v>Building 37</v>
      </c>
      <c r="C2017" s="2" t="str">
        <f ca="1">IFERROR(__xludf.DUMMYFUNCTION("""COMPUTED_VALUE"""),"Building")</f>
        <v>Building</v>
      </c>
      <c r="D2017" s="2" t="str">
        <f ca="1">IFERROR(__xludf.DUMMYFUNCTION("""COMPUTED_VALUE"""),"Abu Dhabi&gt;Al Reef&gt;Al Reef Downtown&gt;Building 37")</f>
        <v>Abu Dhabi&gt;Al Reef&gt;Al Reef Downtown&gt;Building 37</v>
      </c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</row>
    <row r="2018" spans="1:26" ht="16.5" x14ac:dyDescent="0.35">
      <c r="A2018" s="2" t="str">
        <f ca="1">IFERROR(__xludf.DUMMYFUNCTION("""COMPUTED_VALUE"""),"Abu Dhabi")</f>
        <v>Abu Dhabi</v>
      </c>
      <c r="B2018" s="2" t="str">
        <f ca="1">IFERROR(__xludf.DUMMYFUNCTION("""COMPUTED_VALUE"""),"Corniche Plaza Tower")</f>
        <v>Corniche Plaza Tower</v>
      </c>
      <c r="C2018" s="2"/>
      <c r="D2018" s="2" t="str">
        <f ca="1">IFERROR(__xludf.DUMMYFUNCTION("""COMPUTED_VALUE"""),"Abu Dhabi&gt;Sheikh Khalifa Bin Zayed Street&gt;Corniche Plaza Tower")</f>
        <v>Abu Dhabi&gt;Sheikh Khalifa Bin Zayed Street&gt;Corniche Plaza Tower</v>
      </c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</row>
    <row r="2019" spans="1:26" ht="16.5" x14ac:dyDescent="0.35">
      <c r="A2019" s="2" t="str">
        <f ca="1">IFERROR(__xludf.DUMMYFUNCTION("""COMPUTED_VALUE"""),"Abu Dhabi")</f>
        <v>Abu Dhabi</v>
      </c>
      <c r="B2019" s="2" t="str">
        <f ca="1">IFERROR(__xludf.DUMMYFUNCTION("""COMPUTED_VALUE"""),"Al Hills Villas")</f>
        <v>Al Hills Villas</v>
      </c>
      <c r="C2019" s="2" t="str">
        <f ca="1">IFERROR(__xludf.DUMMYFUNCTION("""COMPUTED_VALUE"""),"Neighbourhood")</f>
        <v>Neighbourhood</v>
      </c>
      <c r="D2019" s="2" t="str">
        <f ca="1">IFERROR(__xludf.DUMMYFUNCTION("""COMPUTED_VALUE"""),"Abu Dhabi&gt;Al Maqtaa&gt;Hills Abu Dhabi&gt;Al Hills Villas")</f>
        <v>Abu Dhabi&gt;Al Maqtaa&gt;Hills Abu Dhabi&gt;Al Hills Villas</v>
      </c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</row>
    <row r="2020" spans="1:26" ht="16.5" x14ac:dyDescent="0.35">
      <c r="A2020" s="2" t="str">
        <f ca="1">IFERROR(__xludf.DUMMYFUNCTION("""COMPUTED_VALUE"""),"Abu Dhabi")</f>
        <v>Abu Dhabi</v>
      </c>
      <c r="B2020" s="2" t="str">
        <f ca="1">IFERROR(__xludf.DUMMYFUNCTION("""COMPUTED_VALUE"""),"Bab Al Qasr Residence 25")</f>
        <v>Bab Al Qasr Residence 25</v>
      </c>
      <c r="C2020" s="2" t="str">
        <f ca="1">IFERROR(__xludf.DUMMYFUNCTION("""COMPUTED_VALUE"""),"Building")</f>
        <v>Building</v>
      </c>
      <c r="D2020" s="2" t="str">
        <f ca="1">IFERROR(__xludf.DUMMYFUNCTION("""COMPUTED_VALUE"""),"Abu Dhabi&gt;Yas Island&gt;Yas Bay&gt;Bab Al Qasr Residence 25")</f>
        <v>Abu Dhabi&gt;Yas Island&gt;Yas Bay&gt;Bab Al Qasr Residence 25</v>
      </c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</row>
    <row r="2021" spans="1:26" ht="16.5" x14ac:dyDescent="0.35">
      <c r="A2021" s="2" t="str">
        <f ca="1">IFERROR(__xludf.DUMMYFUNCTION("""COMPUTED_VALUE"""),"Abu Dhabi")</f>
        <v>Abu Dhabi</v>
      </c>
      <c r="B2021" s="2" t="str">
        <f ca="1">IFERROR(__xludf.DUMMYFUNCTION("""COMPUTED_VALUE"""),"Residences C")</f>
        <v>Residences C</v>
      </c>
      <c r="C2021" s="2" t="str">
        <f ca="1">IFERROR(__xludf.DUMMYFUNCTION("""COMPUTED_VALUE"""),"Building")</f>
        <v>Building</v>
      </c>
      <c r="D2021" s="2" t="str">
        <f ca="1">IFERROR(__xludf.DUMMYFUNCTION("""COMPUTED_VALUE"""),"Abu Dhabi&gt;Yas Island&gt;Yas Golf Collection&gt;Residences C")</f>
        <v>Abu Dhabi&gt;Yas Island&gt;Yas Golf Collection&gt;Residences C</v>
      </c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</row>
    <row r="2022" spans="1:26" ht="16.5" x14ac:dyDescent="0.35">
      <c r="A2022" s="2" t="str">
        <f ca="1">IFERROR(__xludf.DUMMYFUNCTION("""COMPUTED_VALUE"""),"Abu Dhabi")</f>
        <v>Abu Dhabi</v>
      </c>
      <c r="B2022" s="2" t="str">
        <f ca="1">IFERROR(__xludf.DUMMYFUNCTION("""COMPUTED_VALUE"""),"Yas Living II")</f>
        <v>Yas Living II</v>
      </c>
      <c r="C2022" s="2" t="str">
        <f ca="1">IFERROR(__xludf.DUMMYFUNCTION("""COMPUTED_VALUE"""),"Building")</f>
        <v>Building</v>
      </c>
      <c r="D2022" s="2" t="str">
        <f ca="1">IFERROR(__xludf.DUMMYFUNCTION("""COMPUTED_VALUE"""),"Abu Dhabi&gt;Yas Island&gt;Yas Living&gt;Yas Living II")</f>
        <v>Abu Dhabi&gt;Yas Island&gt;Yas Living&gt;Yas Living II</v>
      </c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</row>
    <row r="2023" spans="1:26" ht="16.5" x14ac:dyDescent="0.35">
      <c r="A2023" s="2" t="str">
        <f ca="1">IFERROR(__xludf.DUMMYFUNCTION("""COMPUTED_VALUE"""),"Abu Dhabi")</f>
        <v>Abu Dhabi</v>
      </c>
      <c r="B2023" s="2" t="str">
        <f ca="1">IFERROR(__xludf.DUMMYFUNCTION("""COMPUTED_VALUE"""),"SH20")</f>
        <v>SH20</v>
      </c>
      <c r="C2023" s="2" t="str">
        <f ca="1">IFERROR(__xludf.DUMMYFUNCTION("""COMPUTED_VALUE"""),"Neighbourhood")</f>
        <v>Neighbourhood</v>
      </c>
      <c r="D2023" s="2" t="str">
        <f ca="1">IFERROR(__xludf.DUMMYFUNCTION("""COMPUTED_VALUE"""),"Abu Dhabi&gt;Al Shamkha&gt;SH20")</f>
        <v>Abu Dhabi&gt;Al Shamkha&gt;SH20</v>
      </c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</row>
    <row r="2024" spans="1:26" ht="16.5" x14ac:dyDescent="0.35">
      <c r="A2024" s="2" t="str">
        <f ca="1">IFERROR(__xludf.DUMMYFUNCTION("""COMPUTED_VALUE"""),"Ajman")</f>
        <v>Ajman</v>
      </c>
      <c r="B2024" s="2" t="str">
        <f ca="1">IFERROR(__xludf.DUMMYFUNCTION("""COMPUTED_VALUE"""),"Al Tallah 1")</f>
        <v>Al Tallah 1</v>
      </c>
      <c r="C2024" s="2"/>
      <c r="D2024" s="2" t="str">
        <f ca="1">IFERROR(__xludf.DUMMYFUNCTION("""COMPUTED_VALUE"""),"Ajman&gt;Al Tallah 1")</f>
        <v>Ajman&gt;Al Tallah 1</v>
      </c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</row>
    <row r="2025" spans="1:26" ht="16.5" x14ac:dyDescent="0.35">
      <c r="A2025" s="2" t="str">
        <f ca="1">IFERROR(__xludf.DUMMYFUNCTION("""COMPUTED_VALUE"""),"Ajman")</f>
        <v>Ajman</v>
      </c>
      <c r="B2025" s="2" t="str">
        <f ca="1">IFERROR(__xludf.DUMMYFUNCTION("""COMPUTED_VALUE"""),"Goldcrest Dreams Tower C")</f>
        <v>Goldcrest Dreams Tower C</v>
      </c>
      <c r="C2025" s="2" t="str">
        <f ca="1">IFERROR(__xludf.DUMMYFUNCTION("""COMPUTED_VALUE"""),"Building")</f>
        <v>Building</v>
      </c>
      <c r="D2025" s="2" t="str">
        <f ca="1">IFERROR(__xludf.DUMMYFUNCTION("""COMPUTED_VALUE"""),"Ajman&gt;Emirates City&gt;Goldcrest Dream Towers&gt;Goldcrest Dreams Tower C")</f>
        <v>Ajman&gt;Emirates City&gt;Goldcrest Dream Towers&gt;Goldcrest Dreams Tower C</v>
      </c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</row>
    <row r="2026" spans="1:26" ht="16.5" x14ac:dyDescent="0.35">
      <c r="A2026" s="2" t="str">
        <f ca="1">IFERROR(__xludf.DUMMYFUNCTION("""COMPUTED_VALUE"""),"Ajman")</f>
        <v>Ajman</v>
      </c>
      <c r="B2026" s="2" t="str">
        <f ca="1">IFERROR(__xludf.DUMMYFUNCTION("""COMPUTED_VALUE"""),"Eye Tower")</f>
        <v>Eye Tower</v>
      </c>
      <c r="C2026" s="2" t="str">
        <f ca="1">IFERROR(__xludf.DUMMYFUNCTION("""COMPUTED_VALUE"""),"Building")</f>
        <v>Building</v>
      </c>
      <c r="D2026" s="2" t="str">
        <f ca="1">IFERROR(__xludf.DUMMYFUNCTION("""COMPUTED_VALUE"""),"Ajman&gt;Emirates City&gt;Eye Tower")</f>
        <v>Ajman&gt;Emirates City&gt;Eye Tower</v>
      </c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</row>
    <row r="2027" spans="1:26" ht="16.5" x14ac:dyDescent="0.35">
      <c r="A2027" s="2" t="str">
        <f ca="1">IFERROR(__xludf.DUMMYFUNCTION("""COMPUTED_VALUE"""),"Ajman")</f>
        <v>Ajman</v>
      </c>
      <c r="B2027" s="2" t="str">
        <f ca="1">IFERROR(__xludf.DUMMYFUNCTION("""COMPUTED_VALUE"""),"Woodlem Park School, Ajman")</f>
        <v>Woodlem Park School, Ajman</v>
      </c>
      <c r="C2027" s="2" t="str">
        <f ca="1">IFERROR(__xludf.DUMMYFUNCTION("""COMPUTED_VALUE"""),"School")</f>
        <v>School</v>
      </c>
      <c r="D2027" s="2" t="str">
        <f ca="1">IFERROR(__xludf.DUMMYFUNCTION("""COMPUTED_VALUE"""),"Ajman&gt;Al Jurf&gt;Al Jurf Industrial Area&gt;Al Jurf Industrial 3&gt;Woodlem Park School, Ajman")</f>
        <v>Ajman&gt;Al Jurf&gt;Al Jurf Industrial Area&gt;Al Jurf Industrial 3&gt;Woodlem Park School, Ajman</v>
      </c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</row>
    <row r="2028" spans="1:26" ht="16.5" x14ac:dyDescent="0.35">
      <c r="A2028" s="2" t="str">
        <f ca="1">IFERROR(__xludf.DUMMYFUNCTION("""COMPUTED_VALUE"""),"Ajman")</f>
        <v>Ajman</v>
      </c>
      <c r="B2028" s="2" t="str">
        <f ca="1">IFERROR(__xludf.DUMMYFUNCTION("""COMPUTED_VALUE"""),"Begonia")</f>
        <v>Begonia</v>
      </c>
      <c r="C2028" s="2"/>
      <c r="D2028" s="2" t="str">
        <f ca="1">IFERROR(__xludf.DUMMYFUNCTION("""COMPUTED_VALUE"""),"Ajman&gt;Ajman Uptown&gt;Begonia")</f>
        <v>Ajman&gt;Ajman Uptown&gt;Begonia</v>
      </c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</row>
    <row r="2029" spans="1:26" ht="16.5" x14ac:dyDescent="0.35">
      <c r="A2029" s="2" t="str">
        <f ca="1">IFERROR(__xludf.DUMMYFUNCTION("""COMPUTED_VALUE"""),"Ajman")</f>
        <v>Ajman</v>
      </c>
      <c r="B2029" s="2" t="str">
        <f ca="1">IFERROR(__xludf.DUMMYFUNCTION("""COMPUTED_VALUE"""),"Falcon A5")</f>
        <v>Falcon A5</v>
      </c>
      <c r="C2029" s="2" t="str">
        <f ca="1">IFERROR(__xludf.DUMMYFUNCTION("""COMPUTED_VALUE"""),"Building")</f>
        <v>Building</v>
      </c>
      <c r="D2029" s="2" t="str">
        <f ca="1">IFERROR(__xludf.DUMMYFUNCTION("""COMPUTED_VALUE"""),"Ajman&gt;Al Rashidiya&gt;Al Rashidiya 2&gt;Falcon Towers&gt;Falcon A5")</f>
        <v>Ajman&gt;Al Rashidiya&gt;Al Rashidiya 2&gt;Falcon Towers&gt;Falcon A5</v>
      </c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</row>
    <row r="2030" spans="1:26" ht="16.5" x14ac:dyDescent="0.35">
      <c r="A2030" s="2" t="str">
        <f ca="1">IFERROR(__xludf.DUMMYFUNCTION("""COMPUTED_VALUE"""),"Ajman")</f>
        <v>Ajman</v>
      </c>
      <c r="B2030" s="2" t="str">
        <f ca="1">IFERROR(__xludf.DUMMYFUNCTION("""COMPUTED_VALUE"""),"Al Rashidiya Towers")</f>
        <v>Al Rashidiya Towers</v>
      </c>
      <c r="C2030" s="2" t="str">
        <f ca="1">IFERROR(__xludf.DUMMYFUNCTION("""COMPUTED_VALUE"""),"Building")</f>
        <v>Building</v>
      </c>
      <c r="D2030" s="2" t="str">
        <f ca="1">IFERROR(__xludf.DUMMYFUNCTION("""COMPUTED_VALUE"""),"Ajman&gt;Al Rashidiya&gt;Al Rashidiya Towers")</f>
        <v>Ajman&gt;Al Rashidiya&gt;Al Rashidiya Towers</v>
      </c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</row>
    <row r="2031" spans="1:26" ht="16.5" x14ac:dyDescent="0.35">
      <c r="A2031" s="2" t="str">
        <f ca="1">IFERROR(__xludf.DUMMYFUNCTION("""COMPUTED_VALUE"""),"Ajman")</f>
        <v>Ajman</v>
      </c>
      <c r="B2031" s="2" t="str">
        <f ca="1">IFERROR(__xludf.DUMMYFUNCTION("""COMPUTED_VALUE"""),"Musherief")</f>
        <v>Musherief</v>
      </c>
      <c r="C2031" s="2" t="str">
        <f ca="1">IFERROR(__xludf.DUMMYFUNCTION("""COMPUTED_VALUE"""),"Neighbourhood")</f>
        <v>Neighbourhood</v>
      </c>
      <c r="D2031" s="2" t="str">
        <f ca="1">IFERROR(__xludf.DUMMYFUNCTION("""COMPUTED_VALUE"""),"Ajman&gt;Musherief")</f>
        <v>Ajman&gt;Musherief</v>
      </c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</row>
    <row r="2032" spans="1:26" ht="16.5" x14ac:dyDescent="0.35">
      <c r="A2032" s="2" t="str">
        <f ca="1">IFERROR(__xludf.DUMMYFUNCTION("""COMPUTED_VALUE"""),"Ajman")</f>
        <v>Ajman</v>
      </c>
      <c r="B2032" s="2" t="str">
        <f ca="1">IFERROR(__xludf.DUMMYFUNCTION("""COMPUTED_VALUE"""),"Marmooka City")</f>
        <v>Marmooka City</v>
      </c>
      <c r="C2032" s="2" t="str">
        <f ca="1">IFERROR(__xludf.DUMMYFUNCTION("""COMPUTED_VALUE"""),"Neighbourhood")</f>
        <v>Neighbourhood</v>
      </c>
      <c r="D2032" s="2" t="str">
        <f ca="1">IFERROR(__xludf.DUMMYFUNCTION("""COMPUTED_VALUE"""),"Ajman&gt;Marmooka City")</f>
        <v>Ajman&gt;Marmooka City</v>
      </c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</row>
    <row r="2033" spans="1:26" ht="16.5" x14ac:dyDescent="0.35">
      <c r="A2033" s="2" t="str">
        <f ca="1">IFERROR(__xludf.DUMMYFUNCTION("""COMPUTED_VALUE"""),"Ajman")</f>
        <v>Ajman</v>
      </c>
      <c r="B2033" s="2" t="str">
        <f ca="1">IFERROR(__xludf.DUMMYFUNCTION("""COMPUTED_VALUE"""),"The Shores")</f>
        <v>The Shores</v>
      </c>
      <c r="C2033" s="2" t="str">
        <f ca="1">IFERROR(__xludf.DUMMYFUNCTION("""COMPUTED_VALUE"""),"Neighbourhood")</f>
        <v>Neighbourhood</v>
      </c>
      <c r="D2033" s="2" t="str">
        <f ca="1">IFERROR(__xludf.DUMMYFUNCTION("""COMPUTED_VALUE"""),"Ajman&gt;Al Zorah&gt;The Shores")</f>
        <v>Ajman&gt;Al Zorah&gt;The Shores</v>
      </c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</row>
    <row r="2034" spans="1:26" ht="16.5" x14ac:dyDescent="0.35">
      <c r="A2034" s="2" t="str">
        <f ca="1">IFERROR(__xludf.DUMMYFUNCTION("""COMPUTED_VALUE"""),"Ajman")</f>
        <v>Ajman</v>
      </c>
      <c r="B2034" s="2" t="str">
        <f ca="1">IFERROR(__xludf.DUMMYFUNCTION("""COMPUTED_VALUE"""),"Gulf Heights Tower")</f>
        <v>Gulf Heights Tower</v>
      </c>
      <c r="C2034" s="2"/>
      <c r="D2034" s="2" t="str">
        <f ca="1">IFERROR(__xludf.DUMMYFUNCTION("""COMPUTED_VALUE"""),"Ajman&gt;Al Humaid City&gt;Gulf Heights Tower")</f>
        <v>Ajman&gt;Al Humaid City&gt;Gulf Heights Tower</v>
      </c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</row>
    <row r="2035" spans="1:26" ht="16.5" x14ac:dyDescent="0.35">
      <c r="A2035" s="2" t="str">
        <f ca="1">IFERROR(__xludf.DUMMYFUNCTION("""COMPUTED_VALUE"""),"Ajman")</f>
        <v>Ajman</v>
      </c>
      <c r="B2035" s="2" t="str">
        <f ca="1">IFERROR(__xludf.DUMMYFUNCTION("""COMPUTED_VALUE"""),"Ajman Marina")</f>
        <v>Ajman Marina</v>
      </c>
      <c r="C2035" s="2"/>
      <c r="D2035" s="2" t="str">
        <f ca="1">IFERROR(__xludf.DUMMYFUNCTION("""COMPUTED_VALUE"""),"Ajman&gt;Ajman Marina")</f>
        <v>Ajman&gt;Ajman Marina</v>
      </c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</row>
    <row r="2036" spans="1:26" ht="16.5" x14ac:dyDescent="0.35">
      <c r="A2036" s="2" t="str">
        <f ca="1">IFERROR(__xludf.DUMMYFUNCTION("""COMPUTED_VALUE"""),"Ajman")</f>
        <v>Ajman</v>
      </c>
      <c r="B2036" s="2" t="str">
        <f ca="1">IFERROR(__xludf.DUMMYFUNCTION("""COMPUTED_VALUE"""),"Rawan Building")</f>
        <v>Rawan Building</v>
      </c>
      <c r="C2036" s="2" t="str">
        <f ca="1">IFERROR(__xludf.DUMMYFUNCTION("""COMPUTED_VALUE"""),"Building")</f>
        <v>Building</v>
      </c>
      <c r="D2036" s="2" t="str">
        <f ca="1">IFERROR(__xludf.DUMMYFUNCTION("""COMPUTED_VALUE"""),"Ajman&gt;Al Nuaimiya&gt;Al Nuaimiya 3&gt;Rawan Building")</f>
        <v>Ajman&gt;Al Nuaimiya&gt;Al Nuaimiya 3&gt;Rawan Building</v>
      </c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</row>
    <row r="2037" spans="1:26" ht="16.5" x14ac:dyDescent="0.35">
      <c r="A2037" s="2" t="str">
        <f ca="1">IFERROR(__xludf.DUMMYFUNCTION("""COMPUTED_VALUE"""),"Sharjah")</f>
        <v>Sharjah</v>
      </c>
      <c r="B2037" s="2" t="str">
        <f ca="1">IFERROR(__xludf.DUMMYFUNCTION("""COMPUTED_VALUE"""),"Al Nahda (Sharjah)")</f>
        <v>Al Nahda (Sharjah)</v>
      </c>
      <c r="C2037" s="2" t="str">
        <f ca="1">IFERROR(__xludf.DUMMYFUNCTION("""COMPUTED_VALUE"""),"Neighbourhood")</f>
        <v>Neighbourhood</v>
      </c>
      <c r="D2037" s="2" t="str">
        <f ca="1">IFERROR(__xludf.DUMMYFUNCTION("""COMPUTED_VALUE"""),"Sharjah&gt;Al Nahda (Sharjah)")</f>
        <v>Sharjah&gt;Al Nahda (Sharjah)</v>
      </c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</row>
    <row r="2038" spans="1:26" ht="16.5" x14ac:dyDescent="0.35">
      <c r="A2038" s="2" t="str">
        <f ca="1">IFERROR(__xludf.DUMMYFUNCTION("""COMPUTED_VALUE"""),"Sharjah")</f>
        <v>Sharjah</v>
      </c>
      <c r="B2038" s="2" t="str">
        <f ca="1">IFERROR(__xludf.DUMMYFUNCTION("""COMPUTED_VALUE"""),"Al Hilal Tower 2")</f>
        <v>Al Hilal Tower 2</v>
      </c>
      <c r="C2038" s="2"/>
      <c r="D2038" s="2" t="str">
        <f ca="1">IFERROR(__xludf.DUMMYFUNCTION("""COMPUTED_VALUE"""),"Sharjah&gt;Al Nahda (Sharjah)&gt;Al Hilal Tower 2")</f>
        <v>Sharjah&gt;Al Nahda (Sharjah)&gt;Al Hilal Tower 2</v>
      </c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</row>
    <row r="2039" spans="1:26" ht="16.5" x14ac:dyDescent="0.35">
      <c r="A2039" s="2" t="str">
        <f ca="1">IFERROR(__xludf.DUMMYFUNCTION("""COMPUTED_VALUE"""),"Sharjah")</f>
        <v>Sharjah</v>
      </c>
      <c r="B2039" s="2" t="str">
        <f ca="1">IFERROR(__xludf.DUMMYFUNCTION("""COMPUTED_VALUE"""),"Sahara Building")</f>
        <v>Sahara Building</v>
      </c>
      <c r="C2039" s="2"/>
      <c r="D2039" s="2" t="str">
        <f ca="1">IFERROR(__xludf.DUMMYFUNCTION("""COMPUTED_VALUE"""),"Sharjah&gt;Al Nahda (Sharjah)&gt;Sahara Building")</f>
        <v>Sharjah&gt;Al Nahda (Sharjah)&gt;Sahara Building</v>
      </c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</row>
    <row r="2040" spans="1:26" ht="16.5" x14ac:dyDescent="0.35">
      <c r="A2040" s="2" t="str">
        <f ca="1">IFERROR(__xludf.DUMMYFUNCTION("""COMPUTED_VALUE"""),"Sharjah")</f>
        <v>Sharjah</v>
      </c>
      <c r="B2040" s="2" t="str">
        <f ca="1">IFERROR(__xludf.DUMMYFUNCTION("""COMPUTED_VALUE"""),"BM Towers")</f>
        <v>BM Towers</v>
      </c>
      <c r="C2040" s="2"/>
      <c r="D2040" s="2" t="str">
        <f ca="1">IFERROR(__xludf.DUMMYFUNCTION("""COMPUTED_VALUE"""),"Sharjah&gt;Al Nahda (Sharjah)&gt;BM Towers")</f>
        <v>Sharjah&gt;Al Nahda (Sharjah)&gt;BM Towers</v>
      </c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</row>
    <row r="2041" spans="1:26" ht="16.5" x14ac:dyDescent="0.35">
      <c r="A2041" s="2" t="str">
        <f ca="1">IFERROR(__xludf.DUMMYFUNCTION("""COMPUTED_VALUE"""),"Sharjah")</f>
        <v>Sharjah</v>
      </c>
      <c r="B2041" s="2" t="str">
        <f ca="1">IFERROR(__xludf.DUMMYFUNCTION("""COMPUTED_VALUE"""),"Al Safa Tower")</f>
        <v>Al Safa Tower</v>
      </c>
      <c r="C2041" s="2" t="str">
        <f ca="1">IFERROR(__xludf.DUMMYFUNCTION("""COMPUTED_VALUE"""),"Building")</f>
        <v>Building</v>
      </c>
      <c r="D2041" s="2" t="str">
        <f ca="1">IFERROR(__xludf.DUMMYFUNCTION("""COMPUTED_VALUE"""),"Sharjah&gt;Al Nahda (Sharjah)&gt;Al Safa Tower")</f>
        <v>Sharjah&gt;Al Nahda (Sharjah)&gt;Al Safa Tower</v>
      </c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</row>
    <row r="2042" spans="1:26" ht="16.5" x14ac:dyDescent="0.35">
      <c r="A2042" s="2" t="str">
        <f ca="1">IFERROR(__xludf.DUMMYFUNCTION("""COMPUTED_VALUE"""),"Sharjah")</f>
        <v>Sharjah</v>
      </c>
      <c r="B2042" s="2" t="str">
        <f ca="1">IFERROR(__xludf.DUMMYFUNCTION("""COMPUTED_VALUE"""),"Al Juraina")</f>
        <v>Al Juraina</v>
      </c>
      <c r="C2042" s="2" t="str">
        <f ca="1">IFERROR(__xludf.DUMMYFUNCTION("""COMPUTED_VALUE"""),"Neighbourhood")</f>
        <v>Neighbourhood</v>
      </c>
      <c r="D2042" s="2" t="str">
        <f ca="1">IFERROR(__xludf.DUMMYFUNCTION("""COMPUTED_VALUE"""),"Sharjah&gt;Al Juraina")</f>
        <v>Sharjah&gt;Al Juraina</v>
      </c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</row>
    <row r="2043" spans="1:26" ht="16.5" x14ac:dyDescent="0.35">
      <c r="A2043" s="2" t="str">
        <f ca="1">IFERROR(__xludf.DUMMYFUNCTION("""COMPUTED_VALUE"""),"Sharjah")</f>
        <v>Sharjah</v>
      </c>
      <c r="B2043" s="2" t="str">
        <f ca="1">IFERROR(__xludf.DUMMYFUNCTION("""COMPUTED_VALUE"""),"The Solo 3")</f>
        <v>The Solo 3</v>
      </c>
      <c r="C2043" s="2" t="str">
        <f ca="1">IFERROR(__xludf.DUMMYFUNCTION("""COMPUTED_VALUE"""),"Building")</f>
        <v>Building</v>
      </c>
      <c r="D2043" s="2" t="str">
        <f ca="1">IFERROR(__xludf.DUMMYFUNCTION("""COMPUTED_VALUE"""),"Sharjah&gt;Aljada&gt;East Village&gt;The Solo&gt;The Solo 3")</f>
        <v>Sharjah&gt;Aljada&gt;East Village&gt;The Solo&gt;The Solo 3</v>
      </c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</row>
    <row r="2044" spans="1:26" ht="16.5" x14ac:dyDescent="0.35">
      <c r="A2044" s="2" t="str">
        <f ca="1">IFERROR(__xludf.DUMMYFUNCTION("""COMPUTED_VALUE"""),"Sharjah")</f>
        <v>Sharjah</v>
      </c>
      <c r="B2044" s="2" t="str">
        <f ca="1">IFERROR(__xludf.DUMMYFUNCTION("""COMPUTED_VALUE"""),"Areej 2")</f>
        <v>Areej 2</v>
      </c>
      <c r="C2044" s="2" t="str">
        <f ca="1">IFERROR(__xludf.DUMMYFUNCTION("""COMPUTED_VALUE"""),"Building")</f>
        <v>Building</v>
      </c>
      <c r="D2044" s="2" t="str">
        <f ca="1">IFERROR(__xludf.DUMMYFUNCTION("""COMPUTED_VALUE"""),"Sharjah&gt;Aljada&gt;Areej Apartments&gt;Areej 2")</f>
        <v>Sharjah&gt;Aljada&gt;Areej Apartments&gt;Areej 2</v>
      </c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</row>
    <row r="2045" spans="1:26" ht="16.5" x14ac:dyDescent="0.35">
      <c r="A2045" s="2" t="str">
        <f ca="1">IFERROR(__xludf.DUMMYFUNCTION("""COMPUTED_VALUE"""),"Sharjah")</f>
        <v>Sharjah</v>
      </c>
      <c r="B2045" s="2" t="str">
        <f ca="1">IFERROR(__xludf.DUMMYFUNCTION("""COMPUTED_VALUE"""),"Point")</f>
        <v>Point</v>
      </c>
      <c r="C2045" s="2" t="str">
        <f ca="1">IFERROR(__xludf.DUMMYFUNCTION("""COMPUTED_VALUE"""),"Building")</f>
        <v>Building</v>
      </c>
      <c r="D2045" s="2" t="str">
        <f ca="1">IFERROR(__xludf.DUMMYFUNCTION("""COMPUTED_VALUE"""),"Sharjah&gt;Aljada&gt;Arada Central Business District&gt;Point")</f>
        <v>Sharjah&gt;Aljada&gt;Arada Central Business District&gt;Point</v>
      </c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</row>
    <row r="2046" spans="1:26" ht="16.5" x14ac:dyDescent="0.35">
      <c r="A2046" s="2" t="str">
        <f ca="1">IFERROR(__xludf.DUMMYFUNCTION("""COMPUTED_VALUE"""),"Sharjah")</f>
        <v>Sharjah</v>
      </c>
      <c r="B2046" s="2" t="str">
        <f ca="1">IFERROR(__xludf.DUMMYFUNCTION("""COMPUTED_VALUE"""),"SBS B3 Building")</f>
        <v>SBS B3 Building</v>
      </c>
      <c r="C2046" s="2" t="str">
        <f ca="1">IFERROR(__xludf.DUMMYFUNCTION("""COMPUTED_VALUE"""),"Building")</f>
        <v>Building</v>
      </c>
      <c r="D2046" s="2" t="str">
        <f ca="1">IFERROR(__xludf.DUMMYFUNCTION("""COMPUTED_VALUE"""),"Sharjah&gt;Abu Shagara&gt;SBS B3 Building")</f>
        <v>Sharjah&gt;Abu Shagara&gt;SBS B3 Building</v>
      </c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</row>
    <row r="2047" spans="1:26" ht="16.5" x14ac:dyDescent="0.35">
      <c r="A2047" s="2" t="str">
        <f ca="1">IFERROR(__xludf.DUMMYFUNCTION("""COMPUTED_VALUE"""),"Sharjah")</f>
        <v>Sharjah</v>
      </c>
      <c r="B2047" s="2" t="str">
        <f ca="1">IFERROR(__xludf.DUMMYFUNCTION("""COMPUTED_VALUE"""),"Nas Building")</f>
        <v>Nas Building</v>
      </c>
      <c r="C2047" s="2"/>
      <c r="D2047" s="2" t="str">
        <f ca="1">IFERROR(__xludf.DUMMYFUNCTION("""COMPUTED_VALUE"""),"Sharjah&gt;Abu Shagara&gt;Nas Building")</f>
        <v>Sharjah&gt;Abu Shagara&gt;Nas Building</v>
      </c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</row>
    <row r="2048" spans="1:26" ht="16.5" x14ac:dyDescent="0.35">
      <c r="A2048" s="2" t="str">
        <f ca="1">IFERROR(__xludf.DUMMYFUNCTION("""COMPUTED_VALUE"""),"Sharjah")</f>
        <v>Sharjah</v>
      </c>
      <c r="B2048" s="2" t="str">
        <f ca="1">IFERROR(__xludf.DUMMYFUNCTION("""COMPUTED_VALUE"""),"Zubaidi Building")</f>
        <v>Zubaidi Building</v>
      </c>
      <c r="C2048" s="2" t="str">
        <f ca="1">IFERROR(__xludf.DUMMYFUNCTION("""COMPUTED_VALUE"""),"Building")</f>
        <v>Building</v>
      </c>
      <c r="D2048" s="2" t="str">
        <f ca="1">IFERROR(__xludf.DUMMYFUNCTION("""COMPUTED_VALUE"""),"Sharjah&gt;Al Mamzar&gt;Zubaidi Building")</f>
        <v>Sharjah&gt;Al Mamzar&gt;Zubaidi Building</v>
      </c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</row>
    <row r="2049" spans="1:26" ht="16.5" x14ac:dyDescent="0.35">
      <c r="A2049" s="2" t="str">
        <f ca="1">IFERROR(__xludf.DUMMYFUNCTION("""COMPUTED_VALUE"""),"Sharjah")</f>
        <v>Sharjah</v>
      </c>
      <c r="B2049" s="2" t="str">
        <f ca="1">IFERROR(__xludf.DUMMYFUNCTION("""COMPUTED_VALUE"""),"Durrat Al Ghawas")</f>
        <v>Durrat Al Ghawas</v>
      </c>
      <c r="C2049" s="2"/>
      <c r="D2049" s="2" t="str">
        <f ca="1">IFERROR(__xludf.DUMMYFUNCTION("""COMPUTED_VALUE"""),"Sharjah&gt;Al Ghuwair&gt;Durrat Al Ghawas")</f>
        <v>Sharjah&gt;Al Ghuwair&gt;Durrat Al Ghawas</v>
      </c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</row>
    <row r="2050" spans="1:26" ht="16.5" x14ac:dyDescent="0.35">
      <c r="A2050" s="2" t="str">
        <f ca="1">IFERROR(__xludf.DUMMYFUNCTION("""COMPUTED_VALUE"""),"Sharjah")</f>
        <v>Sharjah</v>
      </c>
      <c r="B2050" s="2" t="str">
        <f ca="1">IFERROR(__xludf.DUMMYFUNCTION("""COMPUTED_VALUE"""),"Leaders Private School Sharjah")</f>
        <v>Leaders Private School Sharjah</v>
      </c>
      <c r="C2050" s="2" t="str">
        <f ca="1">IFERROR(__xludf.DUMMYFUNCTION("""COMPUTED_VALUE"""),"School")</f>
        <v>School</v>
      </c>
      <c r="D2050" s="2" t="str">
        <f ca="1">IFERROR(__xludf.DUMMYFUNCTION("""COMPUTED_VALUE"""),"Sharjah&gt;Al Azra&gt;Leaders Private School Sharjah")</f>
        <v>Sharjah&gt;Al Azra&gt;Leaders Private School Sharjah</v>
      </c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</row>
    <row r="2051" spans="1:26" ht="16.5" x14ac:dyDescent="0.35">
      <c r="A2051" s="2" t="str">
        <f ca="1">IFERROR(__xludf.DUMMYFUNCTION("""COMPUTED_VALUE"""),"Sharjah")</f>
        <v>Sharjah</v>
      </c>
      <c r="B2051" s="2" t="str">
        <f ca="1">IFERROR(__xludf.DUMMYFUNCTION("""COMPUTED_VALUE"""),"Radiant School, Sharjah")</f>
        <v>Radiant School, Sharjah</v>
      </c>
      <c r="C2051" s="2" t="str">
        <f ca="1">IFERROR(__xludf.DUMMYFUNCTION("""COMPUTED_VALUE"""),"School")</f>
        <v>School</v>
      </c>
      <c r="D2051" s="2" t="str">
        <f ca="1">IFERROR(__xludf.DUMMYFUNCTION("""COMPUTED_VALUE"""),"Sharjah&gt;Al Yarmook&gt;Radiant School, Sharjah")</f>
        <v>Sharjah&gt;Al Yarmook&gt;Radiant School, Sharjah</v>
      </c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</row>
    <row r="2052" spans="1:26" ht="16.5" x14ac:dyDescent="0.35">
      <c r="A2052" s="2" t="str">
        <f ca="1">IFERROR(__xludf.DUMMYFUNCTION("""COMPUTED_VALUE"""),"Sharjah")</f>
        <v>Sharjah</v>
      </c>
      <c r="B2052" s="2" t="str">
        <f ca="1">IFERROR(__xludf.DUMMYFUNCTION("""COMPUTED_VALUE"""),"Al Dhaid")</f>
        <v>Al Dhaid</v>
      </c>
      <c r="C2052" s="2" t="str">
        <f ca="1">IFERROR(__xludf.DUMMYFUNCTION("""COMPUTED_VALUE"""),"Neighbourhood")</f>
        <v>Neighbourhood</v>
      </c>
      <c r="D2052" s="2" t="str">
        <f ca="1">IFERROR(__xludf.DUMMYFUNCTION("""COMPUTED_VALUE"""),"Sharjah&gt;Al Dhaid")</f>
        <v>Sharjah&gt;Al Dhaid</v>
      </c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</row>
    <row r="2053" spans="1:26" ht="16.5" x14ac:dyDescent="0.35">
      <c r="A2053" s="2" t="str">
        <f ca="1">IFERROR(__xludf.DUMMYFUNCTION("""COMPUTED_VALUE"""),"Sharjah")</f>
        <v>Sharjah</v>
      </c>
      <c r="B2053" s="2" t="str">
        <f ca="1">IFERROR(__xludf.DUMMYFUNCTION("""COMPUTED_VALUE"""),"Al Arooba Building")</f>
        <v>Al Arooba Building</v>
      </c>
      <c r="C2053" s="2"/>
      <c r="D2053" s="2" t="str">
        <f ca="1">IFERROR(__xludf.DUMMYFUNCTION("""COMPUTED_VALUE"""),"Sharjah&gt;Al Mareija&gt;Al Arooba Building")</f>
        <v>Sharjah&gt;Al Mareija&gt;Al Arooba Building</v>
      </c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</row>
    <row r="2054" spans="1:26" ht="16.5" x14ac:dyDescent="0.35">
      <c r="A2054" s="2" t="str">
        <f ca="1">IFERROR(__xludf.DUMMYFUNCTION("""COMPUTED_VALUE"""),"Sharjah")</f>
        <v>Sharjah</v>
      </c>
      <c r="B2054" s="2" t="str">
        <f ca="1">IFERROR(__xludf.DUMMYFUNCTION("""COMPUTED_VALUE"""),"Saif Zone (Sharjah International Airport Free Zone)")</f>
        <v>Saif Zone (Sharjah International Airport Free Zone)</v>
      </c>
      <c r="C2054" s="2"/>
      <c r="D2054" s="2" t="str">
        <f ca="1">IFERROR(__xludf.DUMMYFUNCTION("""COMPUTED_VALUE"""),"Sharjah&gt;Saif Zone (Sharjah International Airport Free Zone)")</f>
        <v>Sharjah&gt;Saif Zone (Sharjah International Airport Free Zone)</v>
      </c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</row>
    <row r="2055" spans="1:26" ht="16.5" x14ac:dyDescent="0.35">
      <c r="A2055" s="2" t="str">
        <f ca="1">IFERROR(__xludf.DUMMYFUNCTION("""COMPUTED_VALUE"""),"Sharjah")</f>
        <v>Sharjah</v>
      </c>
      <c r="B2055" s="2" t="str">
        <f ca="1">IFERROR(__xludf.DUMMYFUNCTION("""COMPUTED_VALUE"""),"Al Qadisiya")</f>
        <v>Al Qadisiya</v>
      </c>
      <c r="C2055" s="2" t="str">
        <f ca="1">IFERROR(__xludf.DUMMYFUNCTION("""COMPUTED_VALUE"""),"Neighbourhood")</f>
        <v>Neighbourhood</v>
      </c>
      <c r="D2055" s="2" t="str">
        <f ca="1">IFERROR(__xludf.DUMMYFUNCTION("""COMPUTED_VALUE"""),"Sharjah&gt;Al Qadisiya")</f>
        <v>Sharjah&gt;Al Qadisiya</v>
      </c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</row>
    <row r="2056" spans="1:26" ht="16.5" x14ac:dyDescent="0.35">
      <c r="A2056" s="2" t="str">
        <f ca="1">IFERROR(__xludf.DUMMYFUNCTION("""COMPUTED_VALUE"""),"Sharjah")</f>
        <v>Sharjah</v>
      </c>
      <c r="B2056" s="2" t="str">
        <f ca="1">IFERROR(__xludf.DUMMYFUNCTION("""COMPUTED_VALUE"""),"Al Hazannah")</f>
        <v>Al Hazannah</v>
      </c>
      <c r="C2056" s="2" t="str">
        <f ca="1">IFERROR(__xludf.DUMMYFUNCTION("""COMPUTED_VALUE"""),"Neighbourhood")</f>
        <v>Neighbourhood</v>
      </c>
      <c r="D2056" s="2" t="str">
        <f ca="1">IFERROR(__xludf.DUMMYFUNCTION("""COMPUTED_VALUE"""),"Sharjah&gt;Al Hazannah")</f>
        <v>Sharjah&gt;Al Hazannah</v>
      </c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</row>
    <row r="2057" spans="1:26" ht="16.5" x14ac:dyDescent="0.35">
      <c r="A2057" s="2" t="str">
        <f ca="1">IFERROR(__xludf.DUMMYFUNCTION("""COMPUTED_VALUE"""),"Sharjah")</f>
        <v>Sharjah</v>
      </c>
      <c r="B2057" s="2" t="str">
        <f ca="1">IFERROR(__xludf.DUMMYFUNCTION("""COMPUTED_VALUE"""),"Expo Building")</f>
        <v>Expo Building</v>
      </c>
      <c r="C2057" s="2" t="str">
        <f ca="1">IFERROR(__xludf.DUMMYFUNCTION("""COMPUTED_VALUE"""),"Building")</f>
        <v>Building</v>
      </c>
      <c r="D2057" s="2" t="str">
        <f ca="1">IFERROR(__xludf.DUMMYFUNCTION("""COMPUTED_VALUE"""),"Sharjah&gt;Al Khan&gt;Expo Building")</f>
        <v>Sharjah&gt;Al Khan&gt;Expo Building</v>
      </c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</row>
    <row r="2058" spans="1:26" ht="16.5" x14ac:dyDescent="0.35">
      <c r="A2058" s="2" t="str">
        <f ca="1">IFERROR(__xludf.DUMMYFUNCTION("""COMPUTED_VALUE"""),"Sharjah")</f>
        <v>Sharjah</v>
      </c>
      <c r="B2058" s="2" t="str">
        <f ca="1">IFERROR(__xludf.DUMMYFUNCTION("""COMPUTED_VALUE"""),"Al Ikhlas Tower")</f>
        <v>Al Ikhlas Tower</v>
      </c>
      <c r="C2058" s="2" t="str">
        <f ca="1">IFERROR(__xludf.DUMMYFUNCTION("""COMPUTED_VALUE"""),"Building")</f>
        <v>Building</v>
      </c>
      <c r="D2058" s="2" t="str">
        <f ca="1">IFERROR(__xludf.DUMMYFUNCTION("""COMPUTED_VALUE"""),"Sharjah&gt;Al Khan&gt;Al Ikhlas Tower")</f>
        <v>Sharjah&gt;Al Khan&gt;Al Ikhlas Tower</v>
      </c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</row>
    <row r="2059" spans="1:26" ht="16.5" x14ac:dyDescent="0.35">
      <c r="A2059" s="2" t="str">
        <f ca="1">IFERROR(__xludf.DUMMYFUNCTION("""COMPUTED_VALUE"""),"Sharjah")</f>
        <v>Sharjah</v>
      </c>
      <c r="B2059" s="2" t="str">
        <f ca="1">IFERROR(__xludf.DUMMYFUNCTION("""COMPUTED_VALUE"""),"Narjes Tower")</f>
        <v>Narjes Tower</v>
      </c>
      <c r="C2059" s="2" t="str">
        <f ca="1">IFERROR(__xludf.DUMMYFUNCTION("""COMPUTED_VALUE"""),"Building")</f>
        <v>Building</v>
      </c>
      <c r="D2059" s="2" t="str">
        <f ca="1">IFERROR(__xludf.DUMMYFUNCTION("""COMPUTED_VALUE"""),"Sharjah&gt;Al Khan&gt;Narjes Tower")</f>
        <v>Sharjah&gt;Al Khan&gt;Narjes Tower</v>
      </c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</row>
    <row r="2060" spans="1:26" ht="16.5" x14ac:dyDescent="0.35">
      <c r="A2060" s="2" t="str">
        <f ca="1">IFERROR(__xludf.DUMMYFUNCTION("""COMPUTED_VALUE"""),"Sharjah")</f>
        <v>Sharjah</v>
      </c>
      <c r="B2060" s="2" t="str">
        <f ca="1">IFERROR(__xludf.DUMMYFUNCTION("""COMPUTED_VALUE"""),"Awqaf Building")</f>
        <v>Awqaf Building</v>
      </c>
      <c r="C2060" s="2" t="str">
        <f ca="1">IFERROR(__xludf.DUMMYFUNCTION("""COMPUTED_VALUE"""),"Building")</f>
        <v>Building</v>
      </c>
      <c r="D2060" s="2" t="str">
        <f ca="1">IFERROR(__xludf.DUMMYFUNCTION("""COMPUTED_VALUE"""),"Sharjah&gt;Al Khan&gt;Awqaf Building")</f>
        <v>Sharjah&gt;Al Khan&gt;Awqaf Building</v>
      </c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</row>
    <row r="2061" spans="1:26" ht="16.5" x14ac:dyDescent="0.35">
      <c r="A2061" s="2" t="str">
        <f ca="1">IFERROR(__xludf.DUMMYFUNCTION("""COMPUTED_VALUE"""),"Sharjah")</f>
        <v>Sharjah</v>
      </c>
      <c r="B2061" s="2" t="str">
        <f ca="1">IFERROR(__xludf.DUMMYFUNCTION("""COMPUTED_VALUE"""),"Al Majaz Building")</f>
        <v>Al Majaz Building</v>
      </c>
      <c r="C2061" s="2"/>
      <c r="D2061" s="2" t="str">
        <f ca="1">IFERROR(__xludf.DUMMYFUNCTION("""COMPUTED_VALUE"""),"Sharjah&gt;Al Majaz&gt;Al Majaz 2&gt;Al Majaz Building")</f>
        <v>Sharjah&gt;Al Majaz&gt;Al Majaz 2&gt;Al Majaz Building</v>
      </c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</row>
    <row r="2062" spans="1:26" ht="16.5" x14ac:dyDescent="0.35">
      <c r="A2062" s="2" t="str">
        <f ca="1">IFERROR(__xludf.DUMMYFUNCTION("""COMPUTED_VALUE"""),"Sharjah")</f>
        <v>Sharjah</v>
      </c>
      <c r="B2062" s="2" t="str">
        <f ca="1">IFERROR(__xludf.DUMMYFUNCTION("""COMPUTED_VALUE"""),"Faraj Mohammed And Faraj Sons Building")</f>
        <v>Faraj Mohammed And Faraj Sons Building</v>
      </c>
      <c r="C2062" s="2"/>
      <c r="D2062" s="2" t="str">
        <f ca="1">IFERROR(__xludf.DUMMYFUNCTION("""COMPUTED_VALUE"""),"Sharjah&gt;Al Majaz&gt;Al Majaz 2&gt;Faraj Mohammed And Faraj Sons Building")</f>
        <v>Sharjah&gt;Al Majaz&gt;Al Majaz 2&gt;Faraj Mohammed And Faraj Sons Building</v>
      </c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</row>
    <row r="2063" spans="1:26" ht="16.5" x14ac:dyDescent="0.35">
      <c r="A2063" s="2" t="str">
        <f ca="1">IFERROR(__xludf.DUMMYFUNCTION("""COMPUTED_VALUE"""),"Sharjah")</f>
        <v>Sharjah</v>
      </c>
      <c r="B2063" s="2" t="str">
        <f ca="1">IFERROR(__xludf.DUMMYFUNCTION("""COMPUTED_VALUE"""),"Elite Tower")</f>
        <v>Elite Tower</v>
      </c>
      <c r="C2063" s="2"/>
      <c r="D2063" s="2" t="str">
        <f ca="1">IFERROR(__xludf.DUMMYFUNCTION("""COMPUTED_VALUE"""),"Sharjah&gt;Al Majaz&gt;Al Majaz 3&gt;Elite Tower")</f>
        <v>Sharjah&gt;Al Majaz&gt;Al Majaz 3&gt;Elite Tower</v>
      </c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</row>
    <row r="2064" spans="1:26" ht="16.5" x14ac:dyDescent="0.35">
      <c r="A2064" s="2" t="str">
        <f ca="1">IFERROR(__xludf.DUMMYFUNCTION("""COMPUTED_VALUE"""),"Sharjah")</f>
        <v>Sharjah</v>
      </c>
      <c r="B2064" s="2" t="str">
        <f ca="1">IFERROR(__xludf.DUMMYFUNCTION("""COMPUTED_VALUE"""),"Al Mawarid Tower")</f>
        <v>Al Mawarid Tower</v>
      </c>
      <c r="C2064" s="2"/>
      <c r="D2064" s="2" t="str">
        <f ca="1">IFERROR(__xludf.DUMMYFUNCTION("""COMPUTED_VALUE"""),"Sharjah&gt;Al Majaz&gt;Al Majaz 3&gt;Al Mawarid Tower")</f>
        <v>Sharjah&gt;Al Majaz&gt;Al Majaz 3&gt;Al Mawarid Tower</v>
      </c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</row>
    <row r="2065" spans="1:26" ht="16.5" x14ac:dyDescent="0.35">
      <c r="A2065" s="2" t="str">
        <f ca="1">IFERROR(__xludf.DUMMYFUNCTION("""COMPUTED_VALUE"""),"Sharjah")</f>
        <v>Sharjah</v>
      </c>
      <c r="B2065" s="2" t="str">
        <f ca="1">IFERROR(__xludf.DUMMYFUNCTION("""COMPUTED_VALUE"""),"Retaj Building")</f>
        <v>Retaj Building</v>
      </c>
      <c r="C2065" s="2"/>
      <c r="D2065" s="2" t="str">
        <f ca="1">IFERROR(__xludf.DUMMYFUNCTION("""COMPUTED_VALUE"""),"Sharjah&gt;Al Majaz&gt;Al Majaz 3&gt;Retaj Building")</f>
        <v>Sharjah&gt;Al Majaz&gt;Al Majaz 3&gt;Retaj Building</v>
      </c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</row>
    <row r="2066" spans="1:26" ht="16.5" x14ac:dyDescent="0.35">
      <c r="A2066" s="2" t="str">
        <f ca="1">IFERROR(__xludf.DUMMYFUNCTION("""COMPUTED_VALUE"""),"Sharjah")</f>
        <v>Sharjah</v>
      </c>
      <c r="B2066" s="2" t="str">
        <f ca="1">IFERROR(__xludf.DUMMYFUNCTION("""COMPUTED_VALUE"""),"Al Reem Plaza")</f>
        <v>Al Reem Plaza</v>
      </c>
      <c r="C2066" s="2" t="str">
        <f ca="1">IFERROR(__xludf.DUMMYFUNCTION("""COMPUTED_VALUE"""),"Building")</f>
        <v>Building</v>
      </c>
      <c r="D2066" s="2" t="str">
        <f ca="1">IFERROR(__xludf.DUMMYFUNCTION("""COMPUTED_VALUE"""),"Sharjah&gt;Al Majaz&gt;Al Majaz 1&gt;Al Reem Plaza")</f>
        <v>Sharjah&gt;Al Majaz&gt;Al Majaz 1&gt;Al Reem Plaza</v>
      </c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</row>
    <row r="2067" spans="1:26" ht="16.5" x14ac:dyDescent="0.35">
      <c r="A2067" s="2" t="str">
        <f ca="1">IFERROR(__xludf.DUMMYFUNCTION("""COMPUTED_VALUE"""),"Sharjah")</f>
        <v>Sharjah</v>
      </c>
      <c r="B2067" s="2" t="str">
        <f ca="1">IFERROR(__xludf.DUMMYFUNCTION("""COMPUTED_VALUE"""),"Al Sehma")</f>
        <v>Al Sehma</v>
      </c>
      <c r="C2067" s="2" t="str">
        <f ca="1">IFERROR(__xludf.DUMMYFUNCTION("""COMPUTED_VALUE"""),"Neighbourhood")</f>
        <v>Neighbourhood</v>
      </c>
      <c r="D2067" s="2" t="str">
        <f ca="1">IFERROR(__xludf.DUMMYFUNCTION("""COMPUTED_VALUE"""),"Sharjah&gt;Al Sehma")</f>
        <v>Sharjah&gt;Al Sehma</v>
      </c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</row>
    <row r="2068" spans="1:26" ht="16.5" x14ac:dyDescent="0.35">
      <c r="A2068" s="2" t="str">
        <f ca="1">IFERROR(__xludf.DUMMYFUNCTION("""COMPUTED_VALUE"""),"Sharjah")</f>
        <v>Sharjah</v>
      </c>
      <c r="B2068" s="2" t="str">
        <f ca="1">IFERROR(__xludf.DUMMYFUNCTION("""COMPUTED_VALUE"""),"Al Safa Plaza B")</f>
        <v>Al Safa Plaza B</v>
      </c>
      <c r="C2068" s="2" t="str">
        <f ca="1">IFERROR(__xludf.DUMMYFUNCTION("""COMPUTED_VALUE"""),"Building")</f>
        <v>Building</v>
      </c>
      <c r="D2068" s="2" t="str">
        <f ca="1">IFERROR(__xludf.DUMMYFUNCTION("""COMPUTED_VALUE"""),"Sharjah&gt;Al Taawun&gt;Al Safa Plaza B")</f>
        <v>Sharjah&gt;Al Taawun&gt;Al Safa Plaza B</v>
      </c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</row>
    <row r="2069" spans="1:26" ht="16.5" x14ac:dyDescent="0.35">
      <c r="A2069" s="2" t="str">
        <f ca="1">IFERROR(__xludf.DUMMYFUNCTION("""COMPUTED_VALUE"""),"Sharjah")</f>
        <v>Sharjah</v>
      </c>
      <c r="B2069" s="2" t="str">
        <f ca="1">IFERROR(__xludf.DUMMYFUNCTION("""COMPUTED_VALUE"""),"Al Khayal Plaza")</f>
        <v>Al Khayal Plaza</v>
      </c>
      <c r="C2069" s="2" t="str">
        <f ca="1">IFERROR(__xludf.DUMMYFUNCTION("""COMPUTED_VALUE"""),"Building")</f>
        <v>Building</v>
      </c>
      <c r="D2069" s="2" t="str">
        <f ca="1">IFERROR(__xludf.DUMMYFUNCTION("""COMPUTED_VALUE"""),"Sharjah&gt;Al Taawun&gt;Al Khayal Plaza")</f>
        <v>Sharjah&gt;Al Taawun&gt;Al Khayal Plaza</v>
      </c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</row>
    <row r="2070" spans="1:26" ht="16.5" x14ac:dyDescent="0.35">
      <c r="A2070" s="2" t="str">
        <f ca="1">IFERROR(__xludf.DUMMYFUNCTION("""COMPUTED_VALUE"""),"Sharjah")</f>
        <v>Sharjah</v>
      </c>
      <c r="B2070" s="2" t="str">
        <f ca="1">IFERROR(__xludf.DUMMYFUNCTION("""COMPUTED_VALUE"""),"Al Qassimiya Building")</f>
        <v>Al Qassimiya Building</v>
      </c>
      <c r="C2070" s="2"/>
      <c r="D2070" s="2" t="str">
        <f ca="1">IFERROR(__xludf.DUMMYFUNCTION("""COMPUTED_VALUE"""),"Sharjah&gt;Al Qasimia&gt;Al Nad&gt;Al Qassimiya Building")</f>
        <v>Sharjah&gt;Al Qasimia&gt;Al Nad&gt;Al Qassimiya Building</v>
      </c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</row>
    <row r="2071" spans="1:26" ht="16.5" x14ac:dyDescent="0.35">
      <c r="A2071" s="2" t="str">
        <f ca="1">IFERROR(__xludf.DUMMYFUNCTION("""COMPUTED_VALUE"""),"Sharjah")</f>
        <v>Sharjah</v>
      </c>
      <c r="B2071" s="2" t="str">
        <f ca="1">IFERROR(__xludf.DUMMYFUNCTION("""COMPUTED_VALUE"""),"Comfort Building")</f>
        <v>Comfort Building</v>
      </c>
      <c r="C2071" s="2"/>
      <c r="D2071" s="2" t="str">
        <f ca="1">IFERROR(__xludf.DUMMYFUNCTION("""COMPUTED_VALUE"""),"Sharjah&gt;Al Qasimia&gt;Al Nad&gt;Comfort Building")</f>
        <v>Sharjah&gt;Al Qasimia&gt;Al Nad&gt;Comfort Building</v>
      </c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</row>
    <row r="2072" spans="1:26" ht="16.5" x14ac:dyDescent="0.35">
      <c r="A2072" s="2" t="str">
        <f ca="1">IFERROR(__xludf.DUMMYFUNCTION("""COMPUTED_VALUE"""),"Sharjah")</f>
        <v>Sharjah</v>
      </c>
      <c r="B2072" s="2" t="str">
        <f ca="1">IFERROR(__xludf.DUMMYFUNCTION("""COMPUTED_VALUE"""),"Al Bustan Tower")</f>
        <v>Al Bustan Tower</v>
      </c>
      <c r="C2072" s="2"/>
      <c r="D2072" s="2" t="str">
        <f ca="1">IFERROR(__xludf.DUMMYFUNCTION("""COMPUTED_VALUE"""),"Sharjah&gt;Al Qasimia&gt;Al Nad&gt;Al Bustan Tower")</f>
        <v>Sharjah&gt;Al Qasimia&gt;Al Nad&gt;Al Bustan Tower</v>
      </c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</row>
    <row r="2073" spans="1:26" ht="16.5" x14ac:dyDescent="0.35">
      <c r="A2073" s="2" t="str">
        <f ca="1">IFERROR(__xludf.DUMMYFUNCTION("""COMPUTED_VALUE"""),"Sharjah")</f>
        <v>Sharjah</v>
      </c>
      <c r="B2073" s="2" t="str">
        <f ca="1">IFERROR(__xludf.DUMMYFUNCTION("""COMPUTED_VALUE"""),"Absan Building")</f>
        <v>Absan Building</v>
      </c>
      <c r="C2073" s="2"/>
      <c r="D2073" s="2" t="str">
        <f ca="1">IFERROR(__xludf.DUMMYFUNCTION("""COMPUTED_VALUE"""),"Sharjah&gt;Al Nabba&gt;Absan Building")</f>
        <v>Sharjah&gt;Al Nabba&gt;Absan Building</v>
      </c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</row>
    <row r="2074" spans="1:26" ht="16.5" x14ac:dyDescent="0.35">
      <c r="A2074" s="2" t="str">
        <f ca="1">IFERROR(__xludf.DUMMYFUNCTION("""COMPUTED_VALUE"""),"Sharjah")</f>
        <v>Sharjah</v>
      </c>
      <c r="B2074" s="2" t="str">
        <f ca="1">IFERROR(__xludf.DUMMYFUNCTION("""COMPUTED_VALUE"""),"Sulayman Building")</f>
        <v>Sulayman Building</v>
      </c>
      <c r="C2074" s="2"/>
      <c r="D2074" s="2" t="str">
        <f ca="1">IFERROR(__xludf.DUMMYFUNCTION("""COMPUTED_VALUE"""),"Sharjah&gt;Al Nabba&gt;Sulayman Building")</f>
        <v>Sharjah&gt;Al Nabba&gt;Sulayman Building</v>
      </c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</row>
    <row r="2075" spans="1:26" ht="16.5" x14ac:dyDescent="0.35">
      <c r="A2075" s="2" t="str">
        <f ca="1">IFERROR(__xludf.DUMMYFUNCTION("""COMPUTED_VALUE"""),"Sharjah")</f>
        <v>Sharjah</v>
      </c>
      <c r="B2075" s="2" t="str">
        <f ca="1">IFERROR(__xludf.DUMMYFUNCTION("""COMPUTED_VALUE"""),"Five Star Residential Towers")</f>
        <v>Five Star Residential Towers</v>
      </c>
      <c r="C2075" s="2" t="str">
        <f ca="1">IFERROR(__xludf.DUMMYFUNCTION("""COMPUTED_VALUE"""),"Building")</f>
        <v>Building</v>
      </c>
      <c r="D2075" s="2" t="str">
        <f ca="1">IFERROR(__xludf.DUMMYFUNCTION("""COMPUTED_VALUE"""),"Sharjah&gt;Industrial Area&gt;Industrial Area 1&gt;Five Star Residential Towers")</f>
        <v>Sharjah&gt;Industrial Area&gt;Industrial Area 1&gt;Five Star Residential Towers</v>
      </c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</row>
    <row r="2076" spans="1:26" ht="16.5" x14ac:dyDescent="0.35">
      <c r="A2076" s="2" t="str">
        <f ca="1">IFERROR(__xludf.DUMMYFUNCTION("""COMPUTED_VALUE"""),"Sharjah")</f>
        <v>Sharjah</v>
      </c>
      <c r="B2076" s="2" t="str">
        <f ca="1">IFERROR(__xludf.DUMMYFUNCTION("""COMPUTED_VALUE"""),"RD 5")</f>
        <v>RD 5</v>
      </c>
      <c r="C2076" s="2" t="str">
        <f ca="1">IFERROR(__xludf.DUMMYFUNCTION("""COMPUTED_VALUE"""),"Building")</f>
        <v>Building</v>
      </c>
      <c r="D2076" s="2" t="str">
        <f ca="1">IFERROR(__xludf.DUMMYFUNCTION("""COMPUTED_VALUE"""),"Sharjah&gt;Muwaileh&gt;Al Mamsha&gt;Souks Residential&gt;RD 5")</f>
        <v>Sharjah&gt;Muwaileh&gt;Al Mamsha&gt;Souks Residential&gt;RD 5</v>
      </c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</row>
    <row r="2077" spans="1:26" ht="16.5" x14ac:dyDescent="0.35">
      <c r="A2077" s="2" t="str">
        <f ca="1">IFERROR(__xludf.DUMMYFUNCTION("""COMPUTED_VALUE"""),"Sharjah")</f>
        <v>Sharjah</v>
      </c>
      <c r="B2077" s="2" t="str">
        <f ca="1">IFERROR(__xludf.DUMMYFUNCTION("""COMPUTED_VALUE"""),"Sawa 2")</f>
        <v>Sawa 2</v>
      </c>
      <c r="C2077" s="2" t="str">
        <f ca="1">IFERROR(__xludf.DUMMYFUNCTION("""COMPUTED_VALUE"""),"Building")</f>
        <v>Building</v>
      </c>
      <c r="D2077" s="2" t="str">
        <f ca="1">IFERROR(__xludf.DUMMYFUNCTION("""COMPUTED_VALUE"""),"Sharjah&gt;Muwaileh&gt;Al Mamsha&gt;Sawa&gt;Sawa 2")</f>
        <v>Sharjah&gt;Muwaileh&gt;Al Mamsha&gt;Sawa&gt;Sawa 2</v>
      </c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</row>
    <row r="2078" spans="1:26" ht="16.5" x14ac:dyDescent="0.35">
      <c r="A2078" s="2" t="str">
        <f ca="1">IFERROR(__xludf.DUMMYFUNCTION("""COMPUTED_VALUE"""),"Sharjah")</f>
        <v>Sharjah</v>
      </c>
      <c r="B2078" s="2" t="str">
        <f ca="1">IFERROR(__xludf.DUMMYFUNCTION("""COMPUTED_VALUE"""),"Delhi Private School Sharjah")</f>
        <v>Delhi Private School Sharjah</v>
      </c>
      <c r="C2078" s="2" t="str">
        <f ca="1">IFERROR(__xludf.DUMMYFUNCTION("""COMPUTED_VALUE"""),"School")</f>
        <v>School</v>
      </c>
      <c r="D2078" s="2" t="str">
        <f ca="1">IFERROR(__xludf.DUMMYFUNCTION("""COMPUTED_VALUE"""),"Sharjah&gt;Muwaileh Commercial&gt;Delhi Private School Sharjah")</f>
        <v>Sharjah&gt;Muwaileh Commercial&gt;Delhi Private School Sharjah</v>
      </c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</row>
    <row r="2079" spans="1:26" ht="16.5" x14ac:dyDescent="0.35">
      <c r="A2079" s="2" t="str">
        <f ca="1">IFERROR(__xludf.DUMMYFUNCTION("""COMPUTED_VALUE"""),"Sharjah")</f>
        <v>Sharjah</v>
      </c>
      <c r="B2079" s="2" t="str">
        <f ca="1">IFERROR(__xludf.DUMMYFUNCTION("""COMPUTED_VALUE"""),"Building 4")</f>
        <v>Building 4</v>
      </c>
      <c r="C2079" s="2" t="str">
        <f ca="1">IFERROR(__xludf.DUMMYFUNCTION("""COMPUTED_VALUE"""),"Building")</f>
        <v>Building</v>
      </c>
      <c r="D2079" s="2" t="str">
        <f ca="1">IFERROR(__xludf.DUMMYFUNCTION("""COMPUTED_VALUE"""),"Sharjah&gt;Muwaileh Commercial&gt;Muweileh Community&gt;Building 4")</f>
        <v>Sharjah&gt;Muwaileh Commercial&gt;Muweileh Community&gt;Building 4</v>
      </c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</row>
    <row r="2080" spans="1:26" ht="16.5" x14ac:dyDescent="0.35">
      <c r="A2080" s="2" t="str">
        <f ca="1">IFERROR(__xludf.DUMMYFUNCTION("""COMPUTED_VALUE"""),"Sharjah")</f>
        <v>Sharjah</v>
      </c>
      <c r="B2080" s="2" t="str">
        <f ca="1">IFERROR(__xludf.DUMMYFUNCTION("""COMPUTED_VALUE"""),"Olfah 8")</f>
        <v>Olfah 8</v>
      </c>
      <c r="C2080" s="2" t="str">
        <f ca="1">IFERROR(__xludf.DUMMYFUNCTION("""COMPUTED_VALUE"""),"Building")</f>
        <v>Building</v>
      </c>
      <c r="D2080" s="2" t="str">
        <f ca="1">IFERROR(__xludf.DUMMYFUNCTION("""COMPUTED_VALUE"""),"Sharjah&gt;Muwaileh Commercial&gt;Olfah&gt;Olfah 8")</f>
        <v>Sharjah&gt;Muwaileh Commercial&gt;Olfah&gt;Olfah 8</v>
      </c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</row>
    <row r="2081" spans="1:26" ht="16.5" x14ac:dyDescent="0.35">
      <c r="A2081" s="2" t="str">
        <f ca="1">IFERROR(__xludf.DUMMYFUNCTION("""COMPUTED_VALUE"""),"Sharjah")</f>
        <v>Sharjah</v>
      </c>
      <c r="B2081" s="2" t="str">
        <f ca="1">IFERROR(__xludf.DUMMYFUNCTION("""COMPUTED_VALUE"""),"Asma Building")</f>
        <v>Asma Building</v>
      </c>
      <c r="C2081" s="2" t="str">
        <f ca="1">IFERROR(__xludf.DUMMYFUNCTION("""COMPUTED_VALUE"""),"Building")</f>
        <v>Building</v>
      </c>
      <c r="D2081" s="2" t="str">
        <f ca="1">IFERROR(__xludf.DUMMYFUNCTION("""COMPUTED_VALUE"""),"Sharjah&gt;Muwaileh Commercial&gt;Asma Building")</f>
        <v>Sharjah&gt;Muwaileh Commercial&gt;Asma Building</v>
      </c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</row>
    <row r="2082" spans="1:26" ht="16.5" x14ac:dyDescent="0.35">
      <c r="A2082" s="2" t="str">
        <f ca="1">IFERROR(__xludf.DUMMYFUNCTION("""COMPUTED_VALUE"""),"Al Ain")</f>
        <v>Al Ain</v>
      </c>
      <c r="B2082" s="2" t="str">
        <f ca="1">IFERROR(__xludf.DUMMYFUNCTION("""COMPUTED_VALUE"""),"Sheikh Saif Building")</f>
        <v>Sheikh Saif Building</v>
      </c>
      <c r="C2082" s="2" t="str">
        <f ca="1">IFERROR(__xludf.DUMMYFUNCTION("""COMPUTED_VALUE"""),"Building")</f>
        <v>Building</v>
      </c>
      <c r="D2082" s="2" t="str">
        <f ca="1">IFERROR(__xludf.DUMMYFUNCTION("""COMPUTED_VALUE"""),"Al Ain&gt;Central District&gt;Sheikh Saif Building")</f>
        <v>Al Ain&gt;Central District&gt;Sheikh Saif Building</v>
      </c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</row>
    <row r="2083" spans="1:26" ht="16.5" x14ac:dyDescent="0.35">
      <c r="A2083" s="2" t="str">
        <f ca="1">IFERROR(__xludf.DUMMYFUNCTION("""COMPUTED_VALUE"""),"Al Ain")</f>
        <v>Al Ain</v>
      </c>
      <c r="B2083" s="2" t="str">
        <f ca="1">IFERROR(__xludf.DUMMYFUNCTION("""COMPUTED_VALUE"""),"Darul Huda Islamic School")</f>
        <v>Darul Huda Islamic School</v>
      </c>
      <c r="C2083" s="2" t="str">
        <f ca="1">IFERROR(__xludf.DUMMYFUNCTION("""COMPUTED_VALUE"""),"School")</f>
        <v>School</v>
      </c>
      <c r="D2083" s="2" t="str">
        <f ca="1">IFERROR(__xludf.DUMMYFUNCTION("""COMPUTED_VALUE"""),"Al Ain&gt;Al Muwaiji&gt;Darul Huda Islamic School")</f>
        <v>Al Ain&gt;Al Muwaiji&gt;Darul Huda Islamic School</v>
      </c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</row>
    <row r="2084" spans="1:26" ht="16.5" x14ac:dyDescent="0.35">
      <c r="A2084" s="2" t="str">
        <f ca="1">IFERROR(__xludf.DUMMYFUNCTION("""COMPUTED_VALUE"""),"Al Ain")</f>
        <v>Al Ain</v>
      </c>
      <c r="B2084" s="2" t="str">
        <f ca="1">IFERROR(__xludf.DUMMYFUNCTION("""COMPUTED_VALUE"""),"Al Misbah")</f>
        <v>Al Misbah</v>
      </c>
      <c r="C2084" s="2" t="str">
        <f ca="1">IFERROR(__xludf.DUMMYFUNCTION("""COMPUTED_VALUE"""),"Neighbourhood")</f>
        <v>Neighbourhood</v>
      </c>
      <c r="D2084" s="2" t="str">
        <f ca="1">IFERROR(__xludf.DUMMYFUNCTION("""COMPUTED_VALUE"""),"Al Ain&gt;Hili&gt;Al Misbah")</f>
        <v>Al Ain&gt;Hili&gt;Al Misbah</v>
      </c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</row>
    <row r="2085" spans="1:26" ht="16.5" x14ac:dyDescent="0.35">
      <c r="A2085" s="2" t="str">
        <f ca="1">IFERROR(__xludf.DUMMYFUNCTION("""COMPUTED_VALUE"""),"Al Ain")</f>
        <v>Al Ain</v>
      </c>
      <c r="B2085" s="2" t="str">
        <f ca="1">IFERROR(__xludf.DUMMYFUNCTION("""COMPUTED_VALUE"""),"Al Sorooj")</f>
        <v>Al Sorooj</v>
      </c>
      <c r="C2085" s="2"/>
      <c r="D2085" s="2" t="str">
        <f ca="1">IFERROR(__xludf.DUMMYFUNCTION("""COMPUTED_VALUE"""),"Al Ain&gt;Al Sorooj")</f>
        <v>Al Ain&gt;Al Sorooj</v>
      </c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</row>
    <row r="2086" spans="1:26" ht="16.5" x14ac:dyDescent="0.35">
      <c r="A2086" s="2" t="str">
        <f ca="1">IFERROR(__xludf.DUMMYFUNCTION("""COMPUTED_VALUE"""),"Al Ain")</f>
        <v>Al Ain</v>
      </c>
      <c r="B2086" s="2" t="str">
        <f ca="1">IFERROR(__xludf.DUMMYFUNCTION("""COMPUTED_VALUE"""),"Ibn Khaldoon Islamic School Al Yahar")</f>
        <v>Ibn Khaldoon Islamic School Al Yahar</v>
      </c>
      <c r="C2086" s="2" t="str">
        <f ca="1">IFERROR(__xludf.DUMMYFUNCTION("""COMPUTED_VALUE"""),"School")</f>
        <v>School</v>
      </c>
      <c r="D2086" s="2" t="str">
        <f ca="1">IFERROR(__xludf.DUMMYFUNCTION("""COMPUTED_VALUE"""),"Al Ain&gt;Al Aamerah&gt;Ibn Khaldoon Islamic School Al Yahar")</f>
        <v>Al Ain&gt;Al Aamerah&gt;Ibn Khaldoon Islamic School Al Yahar</v>
      </c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</row>
    <row r="2087" spans="1:26" ht="16.5" x14ac:dyDescent="0.35">
      <c r="A2087" s="2" t="str">
        <f ca="1">IFERROR(__xludf.DUMMYFUNCTION("""COMPUTED_VALUE"""),"Al Ain")</f>
        <v>Al Ain</v>
      </c>
      <c r="B2087" s="2" t="str">
        <f ca="1">IFERROR(__xludf.DUMMYFUNCTION("""COMPUTED_VALUE"""),"Al Sarouj")</f>
        <v>Al Sarouj</v>
      </c>
      <c r="C2087" s="2" t="str">
        <f ca="1">IFERROR(__xludf.DUMMYFUNCTION("""COMPUTED_VALUE"""),"Neighbourhood")</f>
        <v>Neighbourhood</v>
      </c>
      <c r="D2087" s="2" t="str">
        <f ca="1">IFERROR(__xludf.DUMMYFUNCTION("""COMPUTED_VALUE"""),"Al Ain&gt;Al Sarouj")</f>
        <v>Al Ain&gt;Al Sarouj</v>
      </c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</row>
    <row r="2088" spans="1:26" ht="16.5" x14ac:dyDescent="0.35">
      <c r="A2088" s="2" t="str">
        <f ca="1">IFERROR(__xludf.DUMMYFUNCTION("""COMPUTED_VALUE"""),"Ras Al Khaimah")</f>
        <v>Ras Al Khaimah</v>
      </c>
      <c r="B2088" s="2" t="str">
        <f ca="1">IFERROR(__xludf.DUMMYFUNCTION("""COMPUTED_VALUE"""),"Gateway II Residences")</f>
        <v>Gateway II Residences</v>
      </c>
      <c r="C2088" s="2" t="str">
        <f ca="1">IFERROR(__xludf.DUMMYFUNCTION("""COMPUTED_VALUE"""),"Building")</f>
        <v>Building</v>
      </c>
      <c r="D2088" s="2" t="str">
        <f ca="1">IFERROR(__xludf.DUMMYFUNCTION("""COMPUTED_VALUE"""),"Ras Al Khaimah&gt;Mina Al Arab&gt;Hayat Island&gt;Gateway II Residences")</f>
        <v>Ras Al Khaimah&gt;Mina Al Arab&gt;Hayat Island&gt;Gateway II Residences</v>
      </c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</row>
    <row r="2089" spans="1:26" ht="16.5" x14ac:dyDescent="0.35">
      <c r="A2089" s="2" t="str">
        <f ca="1">IFERROR(__xludf.DUMMYFUNCTION("""COMPUTED_VALUE"""),"Ras Al Khaimah")</f>
        <v>Ras Al Khaimah</v>
      </c>
      <c r="B2089" s="2" t="str">
        <f ca="1">IFERROR(__xludf.DUMMYFUNCTION("""COMPUTED_VALUE"""),"Fiji")</f>
        <v>Fiji</v>
      </c>
      <c r="C2089" s="2"/>
      <c r="D2089" s="2" t="str">
        <f ca="1">IFERROR(__xludf.DUMMYFUNCTION("""COMPUTED_VALUE"""),"Ras Al Khaimah&gt;Al Marjan Island&gt;Pacific&gt;Fiji")</f>
        <v>Ras Al Khaimah&gt;Al Marjan Island&gt;Pacific&gt;Fiji</v>
      </c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</row>
    <row r="2090" spans="1:26" ht="16.5" x14ac:dyDescent="0.35">
      <c r="A2090" s="2" t="str">
        <f ca="1">IFERROR(__xludf.DUMMYFUNCTION("""COMPUTED_VALUE"""),"Ras Al Khaimah")</f>
        <v>Ras Al Khaimah</v>
      </c>
      <c r="B2090" s="2" t="str">
        <f ca="1">IFERROR(__xludf.DUMMYFUNCTION("""COMPUTED_VALUE"""),"Aqua Arc")</f>
        <v>Aqua Arc</v>
      </c>
      <c r="C2090" s="2" t="str">
        <f ca="1">IFERROR(__xludf.DUMMYFUNCTION("""COMPUTED_VALUE"""),"Building")</f>
        <v>Building</v>
      </c>
      <c r="D2090" s="2" t="str">
        <f ca="1">IFERROR(__xludf.DUMMYFUNCTION("""COMPUTED_VALUE"""),"Ras Al Khaimah&gt;Al Marjan Island&gt;Aqua Arc")</f>
        <v>Ras Al Khaimah&gt;Al Marjan Island&gt;Aqua Arc</v>
      </c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</row>
    <row r="2091" spans="1:26" ht="16.5" x14ac:dyDescent="0.35">
      <c r="A2091" s="2" t="str">
        <f ca="1">IFERROR(__xludf.DUMMYFUNCTION("""COMPUTED_VALUE"""),"Ras Al Khaimah")</f>
        <v>Ras Al Khaimah</v>
      </c>
      <c r="B2091" s="2" t="str">
        <f ca="1">IFERROR(__xludf.DUMMYFUNCTION("""COMPUTED_VALUE"""),"Soleva")</f>
        <v>Soleva</v>
      </c>
      <c r="C2091" s="2" t="str">
        <f ca="1">IFERROR(__xludf.DUMMYFUNCTION("""COMPUTED_VALUE"""),"Building")</f>
        <v>Building</v>
      </c>
      <c r="D2091" s="2" t="str">
        <f ca="1">IFERROR(__xludf.DUMMYFUNCTION("""COMPUTED_VALUE"""),"Ras Al Khaimah&gt;Al Marjan Island&gt;Soleva")</f>
        <v>Ras Al Khaimah&gt;Al Marjan Island&gt;Soleva</v>
      </c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</row>
    <row r="2092" spans="1:26" ht="16.5" x14ac:dyDescent="0.35">
      <c r="A2092" s="2" t="str">
        <f ca="1">IFERROR(__xludf.DUMMYFUNCTION("""COMPUTED_VALUE"""),"Ras Al Khaimah")</f>
        <v>Ras Al Khaimah</v>
      </c>
      <c r="B2092" s="2" t="str">
        <f ca="1">IFERROR(__xludf.DUMMYFUNCTION("""COMPUTED_VALUE"""),"Al Hamra Village Type B Villas")</f>
        <v>Al Hamra Village Type B Villas</v>
      </c>
      <c r="C2092" s="2"/>
      <c r="D2092" s="2" t="str">
        <f ca="1">IFERROR(__xludf.DUMMYFUNCTION("""COMPUTED_VALUE"""),"Ras Al Khaimah&gt;Al Hamra Village&gt;Al Hamra Village Type B Villas")</f>
        <v>Ras Al Khaimah&gt;Al Hamra Village&gt;Al Hamra Village Type B Villas</v>
      </c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</row>
    <row r="2093" spans="1:26" ht="16.5" x14ac:dyDescent="0.35">
      <c r="A2093" s="2" t="str">
        <f ca="1">IFERROR(__xludf.DUMMYFUNCTION("""COMPUTED_VALUE"""),"Ras Al Khaimah")</f>
        <v>Ras Al Khaimah</v>
      </c>
      <c r="B2093" s="2" t="str">
        <f ca="1">IFERROR(__xludf.DUMMYFUNCTION("""COMPUTED_VALUE"""),"Little Treasures Nursery")</f>
        <v>Little Treasures Nursery</v>
      </c>
      <c r="C2093" s="2" t="str">
        <f ca="1">IFERROR(__xludf.DUMMYFUNCTION("""COMPUTED_VALUE"""),"Nursery")</f>
        <v>Nursery</v>
      </c>
      <c r="D2093" s="2" t="str">
        <f ca="1">IFERROR(__xludf.DUMMYFUNCTION("""COMPUTED_VALUE"""),"Ras Al Khaimah&gt;Aljazeera Al Hamra&gt;Little Treasures Nursery")</f>
        <v>Ras Al Khaimah&gt;Aljazeera Al Hamra&gt;Little Treasures Nursery</v>
      </c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</row>
    <row r="2094" spans="1:26" ht="16.5" x14ac:dyDescent="0.35">
      <c r="A2094" s="2" t="str">
        <f ca="1">IFERROR(__xludf.DUMMYFUNCTION("""COMPUTED_VALUE"""),"Ras Al Khaimah")</f>
        <v>Ras Al Khaimah</v>
      </c>
      <c r="B2094" s="2" t="str">
        <f ca="1">IFERROR(__xludf.DUMMYFUNCTION("""COMPUTED_VALUE"""),"Khuzam")</f>
        <v>Khuzam</v>
      </c>
      <c r="C2094" s="2" t="str">
        <f ca="1">IFERROR(__xludf.DUMMYFUNCTION("""COMPUTED_VALUE"""),"Neighbourhood")</f>
        <v>Neighbourhood</v>
      </c>
      <c r="D2094" s="2" t="str">
        <f ca="1">IFERROR(__xludf.DUMMYFUNCTION("""COMPUTED_VALUE"""),"Ras Al Khaimah&gt;Khuzam")</f>
        <v>Ras Al Khaimah&gt;Khuzam</v>
      </c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</row>
    <row r="2095" spans="1:26" ht="16.5" x14ac:dyDescent="0.35">
      <c r="A2095" s="2" t="str">
        <f ca="1">IFERROR(__xludf.DUMMYFUNCTION("""COMPUTED_VALUE"""),"Ras Al Khaimah")</f>
        <v>Ras Al Khaimah</v>
      </c>
      <c r="B2095" s="2" t="str">
        <f ca="1">IFERROR(__xludf.DUMMYFUNCTION("""COMPUTED_VALUE"""),"Al Mataf")</f>
        <v>Al Mataf</v>
      </c>
      <c r="C2095" s="2" t="str">
        <f ca="1">IFERROR(__xludf.DUMMYFUNCTION("""COMPUTED_VALUE"""),"Neighbourhood")</f>
        <v>Neighbourhood</v>
      </c>
      <c r="D2095" s="2" t="str">
        <f ca="1">IFERROR(__xludf.DUMMYFUNCTION("""COMPUTED_VALUE"""),"Ras Al Khaimah&gt;Al Mataf")</f>
        <v>Ras Al Khaimah&gt;Al Mataf</v>
      </c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</row>
    <row r="2096" spans="1:26" ht="16.5" x14ac:dyDescent="0.35">
      <c r="A2096" s="2" t="str">
        <f ca="1">IFERROR(__xludf.DUMMYFUNCTION("""COMPUTED_VALUE"""),"Ras Al Khaimah")</f>
        <v>Ras Al Khaimah</v>
      </c>
      <c r="B2096" s="2" t="str">
        <f ca="1">IFERROR(__xludf.DUMMYFUNCTION("""COMPUTED_VALUE"""),"Al Hamraniyah")</f>
        <v>Al Hamraniyah</v>
      </c>
      <c r="C2096" s="2" t="str">
        <f ca="1">IFERROR(__xludf.DUMMYFUNCTION("""COMPUTED_VALUE"""),"Neighbourhood")</f>
        <v>Neighbourhood</v>
      </c>
      <c r="D2096" s="2" t="str">
        <f ca="1">IFERROR(__xludf.DUMMYFUNCTION("""COMPUTED_VALUE"""),"Ras Al Khaimah&gt;Al Hamraniyah")</f>
        <v>Ras Al Khaimah&gt;Al Hamraniyah</v>
      </c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</row>
    <row r="2097" spans="1:26" ht="16.5" x14ac:dyDescent="0.35">
      <c r="A2097" s="2" t="str">
        <f ca="1">IFERROR(__xludf.DUMMYFUNCTION("""COMPUTED_VALUE"""),"Umm Al Quwain")</f>
        <v>Umm Al Quwain</v>
      </c>
      <c r="B2097" s="2" t="str">
        <f ca="1">IFERROR(__xludf.DUMMYFUNCTION("""COMPUTED_VALUE"""),"Al Hawiyah")</f>
        <v>Al Hawiyah</v>
      </c>
      <c r="C2097" s="2" t="str">
        <f ca="1">IFERROR(__xludf.DUMMYFUNCTION("""COMPUTED_VALUE"""),"Neighbourhood")</f>
        <v>Neighbourhood</v>
      </c>
      <c r="D2097" s="2" t="str">
        <f ca="1">IFERROR(__xludf.DUMMYFUNCTION("""COMPUTED_VALUE"""),"Umm Al Quwain&gt;Al Hawiyah")</f>
        <v>Umm Al Quwain&gt;Al Hawiyah</v>
      </c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</row>
    <row r="2098" spans="1:26" ht="16.5" x14ac:dyDescent="0.35">
      <c r="A2098" s="2" t="str">
        <f ca="1">IFERROR(__xludf.DUMMYFUNCTION("""COMPUTED_VALUE"""),"Umm Al Quwain")</f>
        <v>Umm Al Quwain</v>
      </c>
      <c r="B2098" s="2" t="str">
        <f ca="1">IFERROR(__xludf.DUMMYFUNCTION("""COMPUTED_VALUE"""),"Sobha Aquamont Tower B")</f>
        <v>Sobha Aquamont Tower B</v>
      </c>
      <c r="C2098" s="2" t="str">
        <f ca="1">IFERROR(__xludf.DUMMYFUNCTION("""COMPUTED_VALUE"""),"Building")</f>
        <v>Building</v>
      </c>
      <c r="D2098" s="2" t="str">
        <f ca="1">IFERROR(__xludf.DUMMYFUNCTION("""COMPUTED_VALUE"""),"Umm Al Quwain&gt;Old Town Area&gt;Sobha Aquamont&gt;Sobha Aquamont Tower B")</f>
        <v>Umm Al Quwain&gt;Old Town Area&gt;Sobha Aquamont&gt;Sobha Aquamont Tower B</v>
      </c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</row>
    <row r="2099" spans="1:26" ht="16.5" x14ac:dyDescent="0.35">
      <c r="A2099" s="2" t="str">
        <f ca="1">IFERROR(__xludf.DUMMYFUNCTION("""COMPUTED_VALUE"""),"Umm Al Quwain")</f>
        <v>Umm Al Quwain</v>
      </c>
      <c r="B2099" s="2" t="str">
        <f ca="1">IFERROR(__xludf.DUMMYFUNCTION("""COMPUTED_VALUE"""),"Coral Beach Villas")</f>
        <v>Coral Beach Villas</v>
      </c>
      <c r="C2099" s="2" t="str">
        <f ca="1">IFERROR(__xludf.DUMMYFUNCTION("""COMPUTED_VALUE"""),"Neighbourhood")</f>
        <v>Neighbourhood</v>
      </c>
      <c r="D2099" s="2" t="str">
        <f ca="1">IFERROR(__xludf.DUMMYFUNCTION("""COMPUTED_VALUE"""),"Umm Al Quwain&gt;Al Seanneeah&gt;Sobha Siniya Island&gt;Coral Beach Villas")</f>
        <v>Umm Al Quwain&gt;Al Seanneeah&gt;Sobha Siniya Island&gt;Coral Beach Villas</v>
      </c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</row>
    <row r="2100" spans="1:26" ht="16.5" x14ac:dyDescent="0.35">
      <c r="A2100" s="2" t="str">
        <f ca="1">IFERROR(__xludf.DUMMYFUNCTION("""COMPUTED_VALUE"""),"Umm Al Quwain")</f>
        <v>Umm Al Quwain</v>
      </c>
      <c r="B2100" s="2" t="str">
        <f ca="1">IFERROR(__xludf.DUMMYFUNCTION("""COMPUTED_VALUE"""),"Pristine Beach Residences Tower D")</f>
        <v>Pristine Beach Residences Tower D</v>
      </c>
      <c r="C2100" s="2" t="str">
        <f ca="1">IFERROR(__xludf.DUMMYFUNCTION("""COMPUTED_VALUE"""),"Building")</f>
        <v>Building</v>
      </c>
      <c r="D2100" s="2" t="str">
        <f ca="1">IFERROR(__xludf.DUMMYFUNCTION("""COMPUTED_VALUE"""),"Umm Al Quwain&gt;Al Seanneeah&gt;Sobha Siniya Island&gt;Pristine Beach Residences&gt;Pristine Beach Residences Tower D")</f>
        <v>Umm Al Quwain&gt;Al Seanneeah&gt;Sobha Siniya Island&gt;Pristine Beach Residences&gt;Pristine Beach Residences Tower D</v>
      </c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</row>
    <row r="2101" spans="1:26" ht="16.5" x14ac:dyDescent="0.35">
      <c r="A2101" s="2" t="str">
        <f ca="1">IFERROR(__xludf.DUMMYFUNCTION("""COMPUTED_VALUE"""),"Fujairah")</f>
        <v>Fujairah</v>
      </c>
      <c r="B2101" s="2" t="str">
        <f ca="1">IFERROR(__xludf.DUMMYFUNCTION("""COMPUTED_VALUE"""),"Mohammed Bin Zayed City")</f>
        <v>Mohammed Bin Zayed City</v>
      </c>
      <c r="C2101" s="2" t="str">
        <f ca="1">IFERROR(__xludf.DUMMYFUNCTION("""COMPUTED_VALUE"""),"Neighbourhood")</f>
        <v>Neighbourhood</v>
      </c>
      <c r="D2101" s="2" t="str">
        <f ca="1">IFERROR(__xludf.DUMMYFUNCTION("""COMPUTED_VALUE"""),"Fujairah&gt;Al Hayl&gt;Mohammed Bin Zayed City")</f>
        <v>Fujairah&gt;Al Hayl&gt;Mohammed Bin Zayed City</v>
      </c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</row>
    <row r="2102" spans="1:26" ht="16.5" x14ac:dyDescent="0.35">
      <c r="A2102" s="2" t="str">
        <f ca="1">IFERROR(__xludf.DUMMYFUNCTION("""COMPUTED_VALUE"""),"Fujairah")</f>
        <v>Fujairah</v>
      </c>
      <c r="B2102" s="2" t="str">
        <f ca="1">IFERROR(__xludf.DUMMYFUNCTION("""COMPUTED_VALUE"""),"Gurfah Area")</f>
        <v>Gurfah Area</v>
      </c>
      <c r="C2102" s="2" t="str">
        <f ca="1">IFERROR(__xludf.DUMMYFUNCTION("""COMPUTED_VALUE"""),"Neighbourhood")</f>
        <v>Neighbourhood</v>
      </c>
      <c r="D2102" s="2" t="str">
        <f ca="1">IFERROR(__xludf.DUMMYFUNCTION("""COMPUTED_VALUE"""),"Fujairah&gt;Gurfah Area")</f>
        <v>Fujairah&gt;Gurfah Area</v>
      </c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</row>
    <row r="2103" spans="1:26" ht="16.5" x14ac:dyDescent="0.35">
      <c r="A2103" s="2" t="str">
        <f ca="1">IFERROR(__xludf.DUMMYFUNCTION("""COMPUTED_VALUE"""),"Dubai")</f>
        <v>Dubai</v>
      </c>
      <c r="B2103" s="2" t="str">
        <f ca="1">IFERROR(__xludf.DUMMYFUNCTION("""COMPUTED_VALUE"""),"Dunecrest American School")</f>
        <v>Dunecrest American School</v>
      </c>
      <c r="C2103" s="2" t="str">
        <f ca="1">IFERROR(__xludf.DUMMYFUNCTION("""COMPUTED_VALUE"""),"School")</f>
        <v>School</v>
      </c>
      <c r="D2103" s="2" t="str">
        <f ca="1">IFERROR(__xludf.DUMMYFUNCTION("""COMPUTED_VALUE"""),"Dubai&gt;Dubailand&gt;Dunecrest American School")</f>
        <v>Dubai&gt;Dubailand&gt;Dunecrest American School</v>
      </c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</row>
    <row r="2104" spans="1:26" ht="16.5" x14ac:dyDescent="0.35">
      <c r="A2104" s="2" t="str">
        <f ca="1">IFERROR(__xludf.DUMMYFUNCTION("""COMPUTED_VALUE"""),"Dubai")</f>
        <v>Dubai</v>
      </c>
      <c r="B2104" s="2" t="str">
        <f ca="1">IFERROR(__xludf.DUMMYFUNCTION("""COMPUTED_VALUE"""),"La Rosa 5")</f>
        <v>La Rosa 5</v>
      </c>
      <c r="C2104" s="2" t="str">
        <f ca="1">IFERROR(__xludf.DUMMYFUNCTION("""COMPUTED_VALUE"""),"Neighbourhood")</f>
        <v>Neighbourhood</v>
      </c>
      <c r="D2104" s="2" t="str">
        <f ca="1">IFERROR(__xludf.DUMMYFUNCTION("""COMPUTED_VALUE"""),"Dubai&gt;Dubailand&gt;Villanova&gt;La Rosa&gt;La Rosa 5")</f>
        <v>Dubai&gt;Dubailand&gt;Villanova&gt;La Rosa&gt;La Rosa 5</v>
      </c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</row>
    <row r="2105" spans="1:26" ht="16.5" x14ac:dyDescent="0.35">
      <c r="A2105" s="2" t="str">
        <f ca="1">IFERROR(__xludf.DUMMYFUNCTION("""COMPUTED_VALUE"""),"Dubai")</f>
        <v>Dubai</v>
      </c>
      <c r="B2105" s="2" t="str">
        <f ca="1">IFERROR(__xludf.DUMMYFUNCTION("""COMPUTED_VALUE"""),"Cassia 4")</f>
        <v>Cassia 4</v>
      </c>
      <c r="C2105" s="2" t="str">
        <f ca="1">IFERROR(__xludf.DUMMYFUNCTION("""COMPUTED_VALUE"""),"Neighbourhood")</f>
        <v>Neighbourhood</v>
      </c>
      <c r="D2105" s="2" t="str">
        <f ca="1">IFERROR(__xludf.DUMMYFUNCTION("""COMPUTED_VALUE"""),"Dubai&gt;Dubailand&gt;The Wilds&gt;Cassia 4")</f>
        <v>Dubai&gt;Dubailand&gt;The Wilds&gt;Cassia 4</v>
      </c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</row>
    <row r="2106" spans="1:26" ht="16.5" x14ac:dyDescent="0.35">
      <c r="A2106" s="2" t="str">
        <f ca="1">IFERROR(__xludf.DUMMYFUNCTION("""COMPUTED_VALUE"""),"Dubai")</f>
        <v>Dubai</v>
      </c>
      <c r="B2106" s="2" t="str">
        <f ca="1">IFERROR(__xludf.DUMMYFUNCTION("""COMPUTED_VALUE"""),"Marco Polo Tower")</f>
        <v>Marco Polo Tower</v>
      </c>
      <c r="C2106" s="2" t="str">
        <f ca="1">IFERROR(__xludf.DUMMYFUNCTION("""COMPUTED_VALUE"""),"Building")</f>
        <v>Building</v>
      </c>
      <c r="D2106" s="2" t="str">
        <f ca="1">IFERROR(__xludf.DUMMYFUNCTION("""COMPUTED_VALUE"""),"Dubai&gt;Living Legends&gt;Marco Polo Tower")</f>
        <v>Dubai&gt;Living Legends&gt;Marco Polo Tower</v>
      </c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</row>
    <row r="2107" spans="1:26" ht="16.5" x14ac:dyDescent="0.35">
      <c r="A2107" s="2" t="str">
        <f ca="1">IFERROR(__xludf.DUMMYFUNCTION("""COMPUTED_VALUE"""),"Dubai")</f>
        <v>Dubai</v>
      </c>
      <c r="B2107" s="2" t="str">
        <f ca="1">IFERROR(__xludf.DUMMYFUNCTION("""COMPUTED_VALUE"""),"Abdulla Al Fahed 2 Building")</f>
        <v>Abdulla Al Fahed 2 Building</v>
      </c>
      <c r="C2107" s="2" t="str">
        <f ca="1">IFERROR(__xludf.DUMMYFUNCTION("""COMPUTED_VALUE"""),"Building")</f>
        <v>Building</v>
      </c>
      <c r="D2107" s="2" t="str">
        <f ca="1">IFERROR(__xludf.DUMMYFUNCTION("""COMPUTED_VALUE"""),"Dubai&gt;Al Qusais&gt;Al Qusais Residential Area&gt;Al Qusais 2&gt;Abdulla Al Fahed 2 Building")</f>
        <v>Dubai&gt;Al Qusais&gt;Al Qusais Residential Area&gt;Al Qusais 2&gt;Abdulla Al Fahed 2 Building</v>
      </c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</row>
    <row r="2108" spans="1:26" ht="16.5" x14ac:dyDescent="0.35">
      <c r="A2108" s="2" t="str">
        <f ca="1">IFERROR(__xludf.DUMMYFUNCTION("""COMPUTED_VALUE"""),"Dubai")</f>
        <v>Dubai</v>
      </c>
      <c r="B2108" s="2" t="str">
        <f ca="1">IFERROR(__xludf.DUMMYFUNCTION("""COMPUTED_VALUE"""),"Beige Building")</f>
        <v>Beige Building</v>
      </c>
      <c r="C2108" s="2" t="str">
        <f ca="1">IFERROR(__xludf.DUMMYFUNCTION("""COMPUTED_VALUE"""),"Building")</f>
        <v>Building</v>
      </c>
      <c r="D2108" s="2" t="str">
        <f ca="1">IFERROR(__xludf.DUMMYFUNCTION("""COMPUTED_VALUE"""),"Dubai&gt;Al Qusais&gt;Al Qusais Residential Area&gt;Al Qusais 1&gt;Beige Building")</f>
        <v>Dubai&gt;Al Qusais&gt;Al Qusais Residential Area&gt;Al Qusais 1&gt;Beige Building</v>
      </c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</row>
    <row r="2109" spans="1:26" ht="16.5" x14ac:dyDescent="0.35">
      <c r="A2109" s="2" t="str">
        <f ca="1">IFERROR(__xludf.DUMMYFUNCTION("""COMPUTED_VALUE"""),"Dubai")</f>
        <v>Dubai</v>
      </c>
      <c r="B2109" s="2" t="str">
        <f ca="1">IFERROR(__xludf.DUMMYFUNCTION("""COMPUTED_VALUE"""),"The Alpha School, Dubai")</f>
        <v>The Alpha School, Dubai</v>
      </c>
      <c r="C2109" s="2" t="str">
        <f ca="1">IFERROR(__xludf.DUMMYFUNCTION("""COMPUTED_VALUE"""),"School")</f>
        <v>School</v>
      </c>
      <c r="D2109" s="2" t="str">
        <f ca="1">IFERROR(__xludf.DUMMYFUNCTION("""COMPUTED_VALUE"""),"Dubai&gt;Al Qusais&gt;Al Qusais Residential Area&gt;Al Qusais 3&gt;The Alpha School, Dubai")</f>
        <v>Dubai&gt;Al Qusais&gt;Al Qusais Residential Area&gt;Al Qusais 3&gt;The Alpha School, Dubai</v>
      </c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</row>
    <row r="2110" spans="1:26" ht="16.5" x14ac:dyDescent="0.35">
      <c r="A2110" s="2" t="str">
        <f ca="1">IFERROR(__xludf.DUMMYFUNCTION("""COMPUTED_VALUE"""),"Dubai")</f>
        <v>Dubai</v>
      </c>
      <c r="B2110" s="2" t="str">
        <f ca="1">IFERROR(__xludf.DUMMYFUNCTION("""COMPUTED_VALUE"""),"Al Qusais Industrial 2")</f>
        <v>Al Qusais Industrial 2</v>
      </c>
      <c r="C2110" s="2" t="str">
        <f ca="1">IFERROR(__xludf.DUMMYFUNCTION("""COMPUTED_VALUE"""),"Neighbourhood")</f>
        <v>Neighbourhood</v>
      </c>
      <c r="D2110" s="2" t="str">
        <f ca="1">IFERROR(__xludf.DUMMYFUNCTION("""COMPUTED_VALUE"""),"Dubai&gt;Al Qusais&gt;Al Qusais Industrial Area&gt;Al Qusais Industrial 2")</f>
        <v>Dubai&gt;Al Qusais&gt;Al Qusais Industrial Area&gt;Al Qusais Industrial 2</v>
      </c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</row>
    <row r="2111" spans="1:26" ht="16.5" x14ac:dyDescent="0.35">
      <c r="A2111" s="2" t="str">
        <f ca="1">IFERROR(__xludf.DUMMYFUNCTION("""COMPUTED_VALUE"""),"Dubai")</f>
        <v>Dubai</v>
      </c>
      <c r="B2111" s="2" t="str">
        <f ca="1">IFERROR(__xludf.DUMMYFUNCTION("""COMPUTED_VALUE"""),"Palace Residences")</f>
        <v>Palace Residences</v>
      </c>
      <c r="C2111" s="2" t="str">
        <f ca="1">IFERROR(__xludf.DUMMYFUNCTION("""COMPUTED_VALUE"""),"Cluster")</f>
        <v>Cluster</v>
      </c>
      <c r="D2111" s="2" t="str">
        <f ca="1">IFERROR(__xludf.DUMMYFUNCTION("""COMPUTED_VALUE"""),"Dubai&gt;Dubai Hills Estate&gt;Park Heights&gt;Palace Residences")</f>
        <v>Dubai&gt;Dubai Hills Estate&gt;Park Heights&gt;Palace Residences</v>
      </c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</row>
    <row r="2112" spans="1:26" ht="16.5" x14ac:dyDescent="0.35">
      <c r="A2112" s="2" t="str">
        <f ca="1">IFERROR(__xludf.DUMMYFUNCTION("""COMPUTED_VALUE"""),"Dubai")</f>
        <v>Dubai</v>
      </c>
      <c r="B2112" s="2" t="str">
        <f ca="1">IFERROR(__xludf.DUMMYFUNCTION("""COMPUTED_VALUE"""),"Gardenia Residence")</f>
        <v>Gardenia Residence</v>
      </c>
      <c r="C2112" s="2" t="str">
        <f ca="1">IFERROR(__xludf.DUMMYFUNCTION("""COMPUTED_VALUE"""),"Cluster")</f>
        <v>Cluster</v>
      </c>
      <c r="D2112" s="2" t="str">
        <f ca="1">IFERROR(__xludf.DUMMYFUNCTION("""COMPUTED_VALUE"""),"Dubai&gt;Dubai Hills Estate&gt;Gardenia Residence")</f>
        <v>Dubai&gt;Dubai Hills Estate&gt;Gardenia Residence</v>
      </c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</row>
    <row r="2113" spans="1:26" ht="16.5" x14ac:dyDescent="0.35">
      <c r="A2113" s="2" t="str">
        <f ca="1">IFERROR(__xludf.DUMMYFUNCTION("""COMPUTED_VALUE"""),"Dubai")</f>
        <v>Dubai</v>
      </c>
      <c r="B2113" s="2" t="str">
        <f ca="1">IFERROR(__xludf.DUMMYFUNCTION("""COMPUTED_VALUE"""),"Park Horizon Tower 1")</f>
        <v>Park Horizon Tower 1</v>
      </c>
      <c r="C2113" s="2" t="str">
        <f ca="1">IFERROR(__xludf.DUMMYFUNCTION("""COMPUTED_VALUE"""),"Building")</f>
        <v>Building</v>
      </c>
      <c r="D2113" s="2" t="str">
        <f ca="1">IFERROR(__xludf.DUMMYFUNCTION("""COMPUTED_VALUE"""),"Dubai&gt;Dubai Hills Estate&gt;Park Horizon&gt;Park Horizon Tower 1")</f>
        <v>Dubai&gt;Dubai Hills Estate&gt;Park Horizon&gt;Park Horizon Tower 1</v>
      </c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</row>
    <row r="2114" spans="1:26" ht="16.5" x14ac:dyDescent="0.35">
      <c r="A2114" s="2" t="str">
        <f ca="1">IFERROR(__xludf.DUMMYFUNCTION("""COMPUTED_VALUE"""),"Dubai")</f>
        <v>Dubai</v>
      </c>
      <c r="B2114" s="2" t="str">
        <f ca="1">IFERROR(__xludf.DUMMYFUNCTION("""COMPUTED_VALUE"""),"Park Lane Building 1")</f>
        <v>Park Lane Building 1</v>
      </c>
      <c r="C2114" s="2" t="str">
        <f ca="1">IFERROR(__xludf.DUMMYFUNCTION("""COMPUTED_VALUE"""),"Building")</f>
        <v>Building</v>
      </c>
      <c r="D2114" s="2" t="str">
        <f ca="1">IFERROR(__xludf.DUMMYFUNCTION("""COMPUTED_VALUE"""),"Dubai&gt;Dubai Hills Estate&gt;Park Lane&gt;Park Lane Building 1")</f>
        <v>Dubai&gt;Dubai Hills Estate&gt;Park Lane&gt;Park Lane Building 1</v>
      </c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</row>
    <row r="2115" spans="1:26" ht="16.5" x14ac:dyDescent="0.35">
      <c r="A2115" s="2" t="str">
        <f ca="1">IFERROR(__xludf.DUMMYFUNCTION("""COMPUTED_VALUE"""),"Dubai")</f>
        <v>Dubai</v>
      </c>
      <c r="B2115" s="2" t="str">
        <f ca="1">IFERROR(__xludf.DUMMYFUNCTION("""COMPUTED_VALUE"""),"Al Muraqqabat")</f>
        <v>Al Muraqqabat</v>
      </c>
      <c r="C2115" s="2" t="str">
        <f ca="1">IFERROR(__xludf.DUMMYFUNCTION("""COMPUTED_VALUE"""),"Neighbourhood")</f>
        <v>Neighbourhood</v>
      </c>
      <c r="D2115" s="2" t="str">
        <f ca="1">IFERROR(__xludf.DUMMYFUNCTION("""COMPUTED_VALUE"""),"Dubai&gt;Deira&gt;Al Muraqqabat")</f>
        <v>Dubai&gt;Deira&gt;Al Muraqqabat</v>
      </c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</row>
    <row r="2116" spans="1:26" ht="16.5" x14ac:dyDescent="0.35">
      <c r="A2116" s="2" t="str">
        <f ca="1">IFERROR(__xludf.DUMMYFUNCTION("""COMPUTED_VALUE"""),"Dubai")</f>
        <v>Dubai</v>
      </c>
      <c r="B2116" s="2" t="str">
        <f ca="1">IFERROR(__xludf.DUMMYFUNCTION("""COMPUTED_VALUE"""),"Juma Al Majid Block C")</f>
        <v>Juma Al Majid Block C</v>
      </c>
      <c r="C2116" s="2" t="str">
        <f ca="1">IFERROR(__xludf.DUMMYFUNCTION("""COMPUTED_VALUE"""),"Building")</f>
        <v>Building</v>
      </c>
      <c r="D2116" s="2" t="str">
        <f ca="1">IFERROR(__xludf.DUMMYFUNCTION("""COMPUTED_VALUE"""),"Dubai&gt;Deira&gt;Al Muraqqabat&gt;Juma Al Majid Building&gt;Juma Al Majid Block C")</f>
        <v>Dubai&gt;Deira&gt;Al Muraqqabat&gt;Juma Al Majid Building&gt;Juma Al Majid Block C</v>
      </c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</row>
    <row r="2117" spans="1:26" ht="16.5" x14ac:dyDescent="0.35">
      <c r="A2117" s="2" t="str">
        <f ca="1">IFERROR(__xludf.DUMMYFUNCTION("""COMPUTED_VALUE"""),"Dubai")</f>
        <v>Dubai</v>
      </c>
      <c r="B2117" s="2" t="str">
        <f ca="1">IFERROR(__xludf.DUMMYFUNCTION("""COMPUTED_VALUE"""),"Awadh Ahmad Muhammad Al Jazaeri Building")</f>
        <v>Awadh Ahmad Muhammad Al Jazaeri Building</v>
      </c>
      <c r="C2117" s="2" t="str">
        <f ca="1">IFERROR(__xludf.DUMMYFUNCTION("""COMPUTED_VALUE"""),"Building")</f>
        <v>Building</v>
      </c>
      <c r="D2117" s="2" t="str">
        <f ca="1">IFERROR(__xludf.DUMMYFUNCTION("""COMPUTED_VALUE"""),"Dubai&gt;Deira&gt;Al Muraqqabat&gt;Awadh Ahmad Muhammad Al Jazaeri Building")</f>
        <v>Dubai&gt;Deira&gt;Al Muraqqabat&gt;Awadh Ahmad Muhammad Al Jazaeri Building</v>
      </c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</row>
    <row r="2118" spans="1:26" ht="16.5" x14ac:dyDescent="0.35">
      <c r="A2118" s="2" t="str">
        <f ca="1">IFERROR(__xludf.DUMMYFUNCTION("""COMPUTED_VALUE"""),"Dubai")</f>
        <v>Dubai</v>
      </c>
      <c r="B2118" s="2" t="str">
        <f ca="1">IFERROR(__xludf.DUMMYFUNCTION("""COMPUTED_VALUE"""),"Abdulwahed Bin Shabib Proptery 154 Building")</f>
        <v>Abdulwahed Bin Shabib Proptery 154 Building</v>
      </c>
      <c r="C2118" s="2" t="str">
        <f ca="1">IFERROR(__xludf.DUMMYFUNCTION("""COMPUTED_VALUE"""),"Building")</f>
        <v>Building</v>
      </c>
      <c r="D2118" s="2" t="str">
        <f ca="1">IFERROR(__xludf.DUMMYFUNCTION("""COMPUTED_VALUE"""),"Dubai&gt;Deira&gt;Ayal Nasir&gt;Abdulwahed Bin Shabib Proptery 154 Building")</f>
        <v>Dubai&gt;Deira&gt;Ayal Nasir&gt;Abdulwahed Bin Shabib Proptery 154 Building</v>
      </c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</row>
    <row r="2119" spans="1:26" ht="16.5" x14ac:dyDescent="0.35">
      <c r="A2119" s="2" t="str">
        <f ca="1">IFERROR(__xludf.DUMMYFUNCTION("""COMPUTED_VALUE"""),"Dubai")</f>
        <v>Dubai</v>
      </c>
      <c r="B2119" s="2" t="str">
        <f ca="1">IFERROR(__xludf.DUMMYFUNCTION("""COMPUTED_VALUE"""),"Zakhir Business Center")</f>
        <v>Zakhir Business Center</v>
      </c>
      <c r="C2119" s="2" t="str">
        <f ca="1">IFERROR(__xludf.DUMMYFUNCTION("""COMPUTED_VALUE"""),"Building")</f>
        <v>Building</v>
      </c>
      <c r="D2119" s="2" t="str">
        <f ca="1">IFERROR(__xludf.DUMMYFUNCTION("""COMPUTED_VALUE"""),"Dubai&gt;Deira&gt;Hor Al Anz&gt;Hor Al Anz East&gt;Zakhir Business Center")</f>
        <v>Dubai&gt;Deira&gt;Hor Al Anz&gt;Hor Al Anz East&gt;Zakhir Business Center</v>
      </c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</row>
    <row r="2120" spans="1:26" ht="16.5" x14ac:dyDescent="0.35">
      <c r="A2120" s="2" t="str">
        <f ca="1">IFERROR(__xludf.DUMMYFUNCTION("""COMPUTED_VALUE"""),"Dubai")</f>
        <v>Dubai</v>
      </c>
      <c r="B2120" s="2" t="str">
        <f ca="1">IFERROR(__xludf.DUMMYFUNCTION("""COMPUTED_VALUE"""),"Mahmoud Radwan Building")</f>
        <v>Mahmoud Radwan Building</v>
      </c>
      <c r="C2120" s="2" t="str">
        <f ca="1">IFERROR(__xludf.DUMMYFUNCTION("""COMPUTED_VALUE"""),"Building")</f>
        <v>Building</v>
      </c>
      <c r="D2120" s="2" t="str">
        <f ca="1">IFERROR(__xludf.DUMMYFUNCTION("""COMPUTED_VALUE"""),"Dubai&gt;Deira&gt;Al Muteena&gt;Mahmoud Radwan Building")</f>
        <v>Dubai&gt;Deira&gt;Al Muteena&gt;Mahmoud Radwan Building</v>
      </c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</row>
    <row r="2121" spans="1:26" ht="16.5" x14ac:dyDescent="0.35">
      <c r="A2121" s="2" t="str">
        <f ca="1">IFERROR(__xludf.DUMMYFUNCTION("""COMPUTED_VALUE"""),"Dubai")</f>
        <v>Dubai</v>
      </c>
      <c r="B2121" s="2" t="str">
        <f ca="1">IFERROR(__xludf.DUMMYFUNCTION("""COMPUTED_VALUE"""),"Mohammed Abdul Rahman Al Bahar Building")</f>
        <v>Mohammed Abdul Rahman Al Bahar Building</v>
      </c>
      <c r="C2121" s="2" t="str">
        <f ca="1">IFERROR(__xludf.DUMMYFUNCTION("""COMPUTED_VALUE"""),"Building")</f>
        <v>Building</v>
      </c>
      <c r="D2121" s="2" t="str">
        <f ca="1">IFERROR(__xludf.DUMMYFUNCTION("""COMPUTED_VALUE"""),"Dubai&gt;Deira&gt;Al Khabaisi&gt;Mohammed Abdul Rahman Al Bahar Building")</f>
        <v>Dubai&gt;Deira&gt;Al Khabaisi&gt;Mohammed Abdul Rahman Al Bahar Building</v>
      </c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</row>
    <row r="2122" spans="1:26" ht="16.5" x14ac:dyDescent="0.35">
      <c r="A2122" s="2" t="str">
        <f ca="1">IFERROR(__xludf.DUMMYFUNCTION("""COMPUTED_VALUE"""),"Dubai")</f>
        <v>Dubai</v>
      </c>
      <c r="B2122" s="2" t="str">
        <f ca="1">IFERROR(__xludf.DUMMYFUNCTION("""COMPUTED_VALUE"""),"Sherina Plaza")</f>
        <v>Sherina Plaza</v>
      </c>
      <c r="C2122" s="2" t="str">
        <f ca="1">IFERROR(__xludf.DUMMYFUNCTION("""COMPUTED_VALUE"""),"Cluster")</f>
        <v>Cluster</v>
      </c>
      <c r="D2122" s="2" t="str">
        <f ca="1">IFERROR(__xludf.DUMMYFUNCTION("""COMPUTED_VALUE"""),"Dubai&gt;Deira&gt;Deira Enrichment Project&gt;Sherina Plaza")</f>
        <v>Dubai&gt;Deira&gt;Deira Enrichment Project&gt;Sherina Plaza</v>
      </c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</row>
    <row r="2123" spans="1:26" ht="16.5" x14ac:dyDescent="0.35">
      <c r="A2123" s="2" t="str">
        <f ca="1">IFERROR(__xludf.DUMMYFUNCTION("""COMPUTED_VALUE"""),"Dubai")</f>
        <v>Dubai</v>
      </c>
      <c r="B2123" s="2" t="str">
        <f ca="1">IFERROR(__xludf.DUMMYFUNCTION("""COMPUTED_VALUE"""),"Shamma Plaza")</f>
        <v>Shamma Plaza</v>
      </c>
      <c r="C2123" s="2" t="str">
        <f ca="1">IFERROR(__xludf.DUMMYFUNCTION("""COMPUTED_VALUE"""),"Cluster")</f>
        <v>Cluster</v>
      </c>
      <c r="D2123" s="2" t="str">
        <f ca="1">IFERROR(__xludf.DUMMYFUNCTION("""COMPUTED_VALUE"""),"Dubai&gt;Deira&gt;Deira Enrichment Project&gt;Shamma Plaza")</f>
        <v>Dubai&gt;Deira&gt;Deira Enrichment Project&gt;Shamma Plaza</v>
      </c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</row>
    <row r="2124" spans="1:26" ht="16.5" x14ac:dyDescent="0.35">
      <c r="A2124" s="2" t="str">
        <f ca="1">IFERROR(__xludf.DUMMYFUNCTION("""COMPUTED_VALUE"""),"Dubai")</f>
        <v>Dubai</v>
      </c>
      <c r="B2124" s="2" t="str">
        <f ca="1">IFERROR(__xludf.DUMMYFUNCTION("""COMPUTED_VALUE"""),"Naif Building 6")</f>
        <v>Naif Building 6</v>
      </c>
      <c r="C2124" s="2" t="str">
        <f ca="1">IFERROR(__xludf.DUMMYFUNCTION("""COMPUTED_VALUE"""),"Building")</f>
        <v>Building</v>
      </c>
      <c r="D2124" s="2" t="str">
        <f ca="1">IFERROR(__xludf.DUMMYFUNCTION("""COMPUTED_VALUE"""),"Dubai&gt;Deira&gt;Naif&gt;Naif Building 6")</f>
        <v>Dubai&gt;Deira&gt;Naif&gt;Naif Building 6</v>
      </c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</row>
    <row r="2125" spans="1:26" ht="16.5" x14ac:dyDescent="0.35">
      <c r="A2125" s="2" t="str">
        <f ca="1">IFERROR(__xludf.DUMMYFUNCTION("""COMPUTED_VALUE"""),"Dubai")</f>
        <v>Dubai</v>
      </c>
      <c r="B2125" s="2" t="str">
        <f ca="1">IFERROR(__xludf.DUMMYFUNCTION("""COMPUTED_VALUE"""),"Abdulwahed Bin Shabib Building 25")</f>
        <v>Abdulwahed Bin Shabib Building 25</v>
      </c>
      <c r="C2125" s="2" t="str">
        <f ca="1">IFERROR(__xludf.DUMMYFUNCTION("""COMPUTED_VALUE"""),"Building")</f>
        <v>Building</v>
      </c>
      <c r="D2125" s="2" t="str">
        <f ca="1">IFERROR(__xludf.DUMMYFUNCTION("""COMPUTED_VALUE"""),"Dubai&gt;Deira&gt;Al Murar&gt;Abdulwahed Bin Shabib Building 25")</f>
        <v>Dubai&gt;Deira&gt;Al Murar&gt;Abdulwahed Bin Shabib Building 25</v>
      </c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</row>
    <row r="2126" spans="1:26" ht="16.5" x14ac:dyDescent="0.35">
      <c r="A2126" s="2" t="str">
        <f ca="1">IFERROR(__xludf.DUMMYFUNCTION("""COMPUTED_VALUE"""),"Dubai")</f>
        <v>Dubai</v>
      </c>
      <c r="B2126" s="2" t="str">
        <f ca="1">IFERROR(__xludf.DUMMYFUNCTION("""COMPUTED_VALUE"""),"Al Baraha Family Residence")</f>
        <v>Al Baraha Family Residence</v>
      </c>
      <c r="C2126" s="2" t="str">
        <f ca="1">IFERROR(__xludf.DUMMYFUNCTION("""COMPUTED_VALUE"""),"Building")</f>
        <v>Building</v>
      </c>
      <c r="D2126" s="2" t="str">
        <f ca="1">IFERROR(__xludf.DUMMYFUNCTION("""COMPUTED_VALUE"""),"Dubai&gt;Deira&gt;Al Baraha&gt;Al Baraha Family Residence")</f>
        <v>Dubai&gt;Deira&gt;Al Baraha&gt;Al Baraha Family Residence</v>
      </c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</row>
    <row r="2127" spans="1:26" ht="16.5" x14ac:dyDescent="0.35">
      <c r="A2127" s="2" t="str">
        <f ca="1">IFERROR(__xludf.DUMMYFUNCTION("""COMPUTED_VALUE"""),"Dubai")</f>
        <v>Dubai</v>
      </c>
      <c r="B2127" s="2" t="str">
        <f ca="1">IFERROR(__xludf.DUMMYFUNCTION("""COMPUTED_VALUE"""),"Business Avenue Tower")</f>
        <v>Business Avenue Tower</v>
      </c>
      <c r="C2127" s="2" t="str">
        <f ca="1">IFERROR(__xludf.DUMMYFUNCTION("""COMPUTED_VALUE"""),"Building")</f>
        <v>Building</v>
      </c>
      <c r="D2127" s="2" t="str">
        <f ca="1">IFERROR(__xludf.DUMMYFUNCTION("""COMPUTED_VALUE"""),"Dubai&gt;Deira&gt;Port Saeed&gt;Business Avenue Tower")</f>
        <v>Dubai&gt;Deira&gt;Port Saeed&gt;Business Avenue Tower</v>
      </c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</row>
    <row r="2128" spans="1:26" ht="16.5" x14ac:dyDescent="0.35">
      <c r="A2128" s="2" t="str">
        <f ca="1">IFERROR(__xludf.DUMMYFUNCTION("""COMPUTED_VALUE"""),"Dubai")</f>
        <v>Dubai</v>
      </c>
      <c r="B2128" s="2" t="str">
        <f ca="1">IFERROR(__xludf.DUMMYFUNCTION("""COMPUTED_VALUE"""),"Al Shamsi Building 02")</f>
        <v>Al Shamsi Building 02</v>
      </c>
      <c r="C2128" s="2" t="str">
        <f ca="1">IFERROR(__xludf.DUMMYFUNCTION("""COMPUTED_VALUE"""),"Building")</f>
        <v>Building</v>
      </c>
      <c r="D2128" s="2" t="str">
        <f ca="1">IFERROR(__xludf.DUMMYFUNCTION("""COMPUTED_VALUE"""),"Dubai&gt;Deira&gt;Port Saeed&gt;Al Shamsi Building 02")</f>
        <v>Dubai&gt;Deira&gt;Port Saeed&gt;Al Shamsi Building 02</v>
      </c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</row>
    <row r="2129" spans="1:26" ht="16.5" x14ac:dyDescent="0.35">
      <c r="A2129" s="2" t="str">
        <f ca="1">IFERROR(__xludf.DUMMYFUNCTION("""COMPUTED_VALUE"""),"Dubai")</f>
        <v>Dubai</v>
      </c>
      <c r="B2129" s="2" t="str">
        <f ca="1">IFERROR(__xludf.DUMMYFUNCTION("""COMPUTED_VALUE"""),"DAMAC Business Tower")</f>
        <v>DAMAC Business Tower</v>
      </c>
      <c r="C2129" s="2" t="str">
        <f ca="1">IFERROR(__xludf.DUMMYFUNCTION("""COMPUTED_VALUE"""),"Building")</f>
        <v>Building</v>
      </c>
      <c r="D2129" s="2" t="str">
        <f ca="1">IFERROR(__xludf.DUMMYFUNCTION("""COMPUTED_VALUE"""),"Dubai&gt;Business Bay&gt;DAMAC Business Tower")</f>
        <v>Dubai&gt;Business Bay&gt;DAMAC Business Tower</v>
      </c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</row>
    <row r="2130" spans="1:26" ht="16.5" x14ac:dyDescent="0.35">
      <c r="A2130" s="2" t="str">
        <f ca="1">IFERROR(__xludf.DUMMYFUNCTION("""COMPUTED_VALUE"""),"Dubai")</f>
        <v>Dubai</v>
      </c>
      <c r="B2130" s="2" t="str">
        <f ca="1">IFERROR(__xludf.DUMMYFUNCTION("""COMPUTED_VALUE"""),"Executive Tower J")</f>
        <v>Executive Tower J</v>
      </c>
      <c r="C2130" s="2" t="str">
        <f ca="1">IFERROR(__xludf.DUMMYFUNCTION("""COMPUTED_VALUE"""),"Building")</f>
        <v>Building</v>
      </c>
      <c r="D2130" s="2" t="str">
        <f ca="1">IFERROR(__xludf.DUMMYFUNCTION("""COMPUTED_VALUE"""),"Dubai&gt;Business Bay&gt;Executive Towers&gt;Executive Tower J")</f>
        <v>Dubai&gt;Business Bay&gt;Executive Towers&gt;Executive Tower J</v>
      </c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</row>
    <row r="2131" spans="1:26" ht="16.5" x14ac:dyDescent="0.35">
      <c r="A2131" s="2" t="str">
        <f ca="1">IFERROR(__xludf.DUMMYFUNCTION("""COMPUTED_VALUE"""),"Dubai")</f>
        <v>Dubai</v>
      </c>
      <c r="B2131" s="2" t="str">
        <f ca="1">IFERROR(__xludf.DUMMYFUNCTION("""COMPUTED_VALUE"""),"Bay Square 9")</f>
        <v>Bay Square 9</v>
      </c>
      <c r="C2131" s="2" t="str">
        <f ca="1">IFERROR(__xludf.DUMMYFUNCTION("""COMPUTED_VALUE"""),"Building")</f>
        <v>Building</v>
      </c>
      <c r="D2131" s="2" t="str">
        <f ca="1">IFERROR(__xludf.DUMMYFUNCTION("""COMPUTED_VALUE"""),"Dubai&gt;Business Bay&gt;Bay Square&gt;Bay Square 9")</f>
        <v>Dubai&gt;Business Bay&gt;Bay Square&gt;Bay Square 9</v>
      </c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</row>
    <row r="2132" spans="1:26" ht="16.5" x14ac:dyDescent="0.35">
      <c r="A2132" s="2" t="str">
        <f ca="1">IFERROR(__xludf.DUMMYFUNCTION("""COMPUTED_VALUE"""),"Dubai")</f>
        <v>Dubai</v>
      </c>
      <c r="B2132" s="2" t="str">
        <f ca="1">IFERROR(__xludf.DUMMYFUNCTION("""COMPUTED_VALUE"""),"Royal Continental Suites")</f>
        <v>Royal Continental Suites</v>
      </c>
      <c r="C2132" s="2" t="str">
        <f ca="1">IFERROR(__xludf.DUMMYFUNCTION("""COMPUTED_VALUE"""),"Building")</f>
        <v>Building</v>
      </c>
      <c r="D2132" s="2" t="str">
        <f ca="1">IFERROR(__xludf.DUMMYFUNCTION("""COMPUTED_VALUE"""),"Dubai&gt;Business Bay&gt;Royal Continental Suites")</f>
        <v>Dubai&gt;Business Bay&gt;Royal Continental Suites</v>
      </c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</row>
    <row r="2133" spans="1:26" ht="16.5" x14ac:dyDescent="0.35">
      <c r="A2133" s="2" t="str">
        <f ca="1">IFERROR(__xludf.DUMMYFUNCTION("""COMPUTED_VALUE"""),"Dubai")</f>
        <v>Dubai</v>
      </c>
      <c r="B2133" s="2" t="str">
        <f ca="1">IFERROR(__xludf.DUMMYFUNCTION("""COMPUTED_VALUE"""),"Tower D")</f>
        <v>Tower D</v>
      </c>
      <c r="C2133" s="2" t="str">
        <f ca="1">IFERROR(__xludf.DUMMYFUNCTION("""COMPUTED_VALUE"""),"Building")</f>
        <v>Building</v>
      </c>
      <c r="D2133" s="2" t="str">
        <f ca="1">IFERROR(__xludf.DUMMYFUNCTION("""COMPUTED_VALUE"""),"Dubai&gt;Business Bay&gt;DAMAC Towers by Paramount Hotels and Resorts&gt;Tower D")</f>
        <v>Dubai&gt;Business Bay&gt;DAMAC Towers by Paramount Hotels and Resorts&gt;Tower D</v>
      </c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</row>
    <row r="2134" spans="1:26" ht="16.5" x14ac:dyDescent="0.35">
      <c r="A2134" s="2" t="str">
        <f ca="1">IFERROR(__xludf.DUMMYFUNCTION("""COMPUTED_VALUE"""),"Dubai")</f>
        <v>Dubai</v>
      </c>
      <c r="B2134" s="2" t="str">
        <f ca="1">IFERROR(__xludf.DUMMYFUNCTION("""COMPUTED_VALUE"""),"15 Northside")</f>
        <v>15 Northside</v>
      </c>
      <c r="C2134" s="2" t="str">
        <f ca="1">IFERROR(__xludf.DUMMYFUNCTION("""COMPUTED_VALUE"""),"Cluster")</f>
        <v>Cluster</v>
      </c>
      <c r="D2134" s="2" t="str">
        <f ca="1">IFERROR(__xludf.DUMMYFUNCTION("""COMPUTED_VALUE"""),"Dubai&gt;Business Bay&gt;15 Northside")</f>
        <v>Dubai&gt;Business Bay&gt;15 Northside</v>
      </c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</row>
    <row r="2135" spans="1:26" ht="16.5" x14ac:dyDescent="0.35">
      <c r="A2135" s="2" t="str">
        <f ca="1">IFERROR(__xludf.DUMMYFUNCTION("""COMPUTED_VALUE"""),"Dubai")</f>
        <v>Dubai</v>
      </c>
      <c r="B2135" s="2" t="str">
        <f ca="1">IFERROR(__xludf.DUMMYFUNCTION("""COMPUTED_VALUE"""),"Hotel Indigo")</f>
        <v>Hotel Indigo</v>
      </c>
      <c r="C2135" s="2" t="str">
        <f ca="1">IFERROR(__xludf.DUMMYFUNCTION("""COMPUTED_VALUE"""),"Building")</f>
        <v>Building</v>
      </c>
      <c r="D2135" s="2" t="str">
        <f ca="1">IFERROR(__xludf.DUMMYFUNCTION("""COMPUTED_VALUE"""),"Dubai&gt;Business Bay&gt;Hotel Indigo")</f>
        <v>Dubai&gt;Business Bay&gt;Hotel Indigo</v>
      </c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</row>
    <row r="2136" spans="1:26" ht="16.5" x14ac:dyDescent="0.35">
      <c r="A2136" s="2" t="str">
        <f ca="1">IFERROR(__xludf.DUMMYFUNCTION("""COMPUTED_VALUE"""),"Dubai")</f>
        <v>Dubai</v>
      </c>
      <c r="B2136" s="2" t="str">
        <f ca="1">IFERROR(__xludf.DUMMYFUNCTION("""COMPUTED_VALUE"""),"Volante 2")</f>
        <v>Volante 2</v>
      </c>
      <c r="C2136" s="2" t="str">
        <f ca="1">IFERROR(__xludf.DUMMYFUNCTION("""COMPUTED_VALUE"""),"Building")</f>
        <v>Building</v>
      </c>
      <c r="D2136" s="2" t="str">
        <f ca="1">IFERROR(__xludf.DUMMYFUNCTION("""COMPUTED_VALUE"""),"Dubai&gt;Business Bay&gt;Volante 2")</f>
        <v>Dubai&gt;Business Bay&gt;Volante 2</v>
      </c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</row>
    <row r="2137" spans="1:26" ht="16.5" x14ac:dyDescent="0.35">
      <c r="A2137" s="2" t="str">
        <f ca="1">IFERROR(__xludf.DUMMYFUNCTION("""COMPUTED_VALUE"""),"Dubai")</f>
        <v>Dubai</v>
      </c>
      <c r="B2137" s="2" t="str">
        <f ca="1">IFERROR(__xludf.DUMMYFUNCTION("""COMPUTED_VALUE"""),"Rove Home Marasi Drive")</f>
        <v>Rove Home Marasi Drive</v>
      </c>
      <c r="C2137" s="2" t="str">
        <f ca="1">IFERROR(__xludf.DUMMYFUNCTION("""COMPUTED_VALUE"""),"Building")</f>
        <v>Building</v>
      </c>
      <c r="D2137" s="2" t="str">
        <f ca="1">IFERROR(__xludf.DUMMYFUNCTION("""COMPUTED_VALUE"""),"Dubai&gt;Business Bay&gt;Rove Home Marasi Drive")</f>
        <v>Dubai&gt;Business Bay&gt;Rove Home Marasi Drive</v>
      </c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</row>
    <row r="2138" spans="1:26" ht="16.5" x14ac:dyDescent="0.35">
      <c r="A2138" s="2" t="str">
        <f ca="1">IFERROR(__xludf.DUMMYFUNCTION("""COMPUTED_VALUE"""),"Dubai")</f>
        <v>Dubai</v>
      </c>
      <c r="B2138" s="2" t="str">
        <f ca="1">IFERROR(__xludf.DUMMYFUNCTION("""COMPUTED_VALUE"""),"Wedyan The Canal")</f>
        <v>Wedyan The Canal</v>
      </c>
      <c r="C2138" s="2" t="str">
        <f ca="1">IFERROR(__xludf.DUMMYFUNCTION("""COMPUTED_VALUE"""),"Building")</f>
        <v>Building</v>
      </c>
      <c r="D2138" s="2" t="str">
        <f ca="1">IFERROR(__xludf.DUMMYFUNCTION("""COMPUTED_VALUE"""),"Dubai&gt;Business Bay&gt;Wedyan The Canal")</f>
        <v>Dubai&gt;Business Bay&gt;Wedyan The Canal</v>
      </c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</row>
    <row r="2139" spans="1:26" ht="16.5" x14ac:dyDescent="0.35">
      <c r="A2139" s="2" t="str">
        <f ca="1">IFERROR(__xludf.DUMMYFUNCTION("""COMPUTED_VALUE"""),"Dubai")</f>
        <v>Dubai</v>
      </c>
      <c r="B2139" s="2" t="str">
        <f ca="1">IFERROR(__xludf.DUMMYFUNCTION("""COMPUTED_VALUE"""),"District 8L")</f>
        <v>District 8L</v>
      </c>
      <c r="C2139" s="2" t="str">
        <f ca="1">IFERROR(__xludf.DUMMYFUNCTION("""COMPUTED_VALUE"""),"Neighbourhood")</f>
        <v>Neighbourhood</v>
      </c>
      <c r="D2139" s="2" t="str">
        <f ca="1">IFERROR(__xludf.DUMMYFUNCTION("""COMPUTED_VALUE"""),"Dubai&gt;Jumeirah Village Triangle (JVT)&gt;JVT District 8&gt;District 8L")</f>
        <v>Dubai&gt;Jumeirah Village Triangle (JVT)&gt;JVT District 8&gt;District 8L</v>
      </c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</row>
    <row r="2140" spans="1:26" ht="16.5" x14ac:dyDescent="0.35">
      <c r="A2140" s="2" t="str">
        <f ca="1">IFERROR(__xludf.DUMMYFUNCTION("""COMPUTED_VALUE"""),"Dubai")</f>
        <v>Dubai</v>
      </c>
      <c r="B2140" s="2" t="str">
        <f ca="1">IFERROR(__xludf.DUMMYFUNCTION("""COMPUTED_VALUE"""),"District 9E")</f>
        <v>District 9E</v>
      </c>
      <c r="C2140" s="2" t="str">
        <f ca="1">IFERROR(__xludf.DUMMYFUNCTION("""COMPUTED_VALUE"""),"Neighbourhood")</f>
        <v>Neighbourhood</v>
      </c>
      <c r="D2140" s="2" t="str">
        <f ca="1">IFERROR(__xludf.DUMMYFUNCTION("""COMPUTED_VALUE"""),"Dubai&gt;Jumeirah Village Triangle (JVT)&gt;JVT District 9&gt;District 9E")</f>
        <v>Dubai&gt;Jumeirah Village Triangle (JVT)&gt;JVT District 9&gt;District 9E</v>
      </c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</row>
    <row r="2141" spans="1:26" ht="16.5" x14ac:dyDescent="0.35">
      <c r="A2141" s="2" t="str">
        <f ca="1">IFERROR(__xludf.DUMMYFUNCTION("""COMPUTED_VALUE"""),"Dubai")</f>
        <v>Dubai</v>
      </c>
      <c r="B2141" s="2" t="str">
        <f ca="1">IFERROR(__xludf.DUMMYFUNCTION("""COMPUTED_VALUE"""),"Binghatti Flare Tower 2")</f>
        <v>Binghatti Flare Tower 2</v>
      </c>
      <c r="C2141" s="2" t="str">
        <f ca="1">IFERROR(__xludf.DUMMYFUNCTION("""COMPUTED_VALUE"""),"Building")</f>
        <v>Building</v>
      </c>
      <c r="D2141" s="2" t="str">
        <f ca="1">IFERROR(__xludf.DUMMYFUNCTION("""COMPUTED_VALUE"""),"Dubai&gt;Jumeirah Village Triangle (JVT)&gt;JVT District 2&gt;Binghatti Flare&gt;Binghatti Flare Tower 2")</f>
        <v>Dubai&gt;Jumeirah Village Triangle (JVT)&gt;JVT District 2&gt;Binghatti Flare&gt;Binghatti Flare Tower 2</v>
      </c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</row>
    <row r="2142" spans="1:26" ht="16.5" x14ac:dyDescent="0.35">
      <c r="A2142" s="2" t="str">
        <f ca="1">IFERROR(__xludf.DUMMYFUNCTION("""COMPUTED_VALUE"""),"Dubai")</f>
        <v>Dubai</v>
      </c>
      <c r="B2142" s="2" t="str">
        <f ca="1">IFERROR(__xludf.DUMMYFUNCTION("""COMPUTED_VALUE"""),"Emerald Vision Tower")</f>
        <v>Emerald Vision Tower</v>
      </c>
      <c r="C2142" s="2" t="str">
        <f ca="1">IFERROR(__xludf.DUMMYFUNCTION("""COMPUTED_VALUE"""),"Building")</f>
        <v>Building</v>
      </c>
      <c r="D2142" s="2" t="str">
        <f ca="1">IFERROR(__xludf.DUMMYFUNCTION("""COMPUTED_VALUE"""),"Dubai&gt;Jumeirah Village Triangle (JVT)&gt;JVT District 1&gt;Emerald Vision Tower")</f>
        <v>Dubai&gt;Jumeirah Village Triangle (JVT)&gt;JVT District 1&gt;Emerald Vision Tower</v>
      </c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</row>
    <row r="2143" spans="1:26" ht="16.5" x14ac:dyDescent="0.35">
      <c r="A2143" s="2" t="str">
        <f ca="1">IFERROR(__xludf.DUMMYFUNCTION("""COMPUTED_VALUE"""),"Dubai")</f>
        <v>Dubai</v>
      </c>
      <c r="B2143" s="2" t="str">
        <f ca="1">IFERROR(__xludf.DUMMYFUNCTION("""COMPUTED_VALUE"""),"District 4H")</f>
        <v>District 4H</v>
      </c>
      <c r="C2143" s="2" t="str">
        <f ca="1">IFERROR(__xludf.DUMMYFUNCTION("""COMPUTED_VALUE"""),"Neighbourhood")</f>
        <v>Neighbourhood</v>
      </c>
      <c r="D2143" s="2" t="str">
        <f ca="1">IFERROR(__xludf.DUMMYFUNCTION("""COMPUTED_VALUE"""),"Dubai&gt;Jumeirah Village Triangle (JVT)&gt;JVT District 4&gt;District 4H")</f>
        <v>Dubai&gt;Jumeirah Village Triangle (JVT)&gt;JVT District 4&gt;District 4H</v>
      </c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</row>
    <row r="2144" spans="1:26" ht="16.5" x14ac:dyDescent="0.35">
      <c r="A2144" s="2" t="str">
        <f ca="1">IFERROR(__xludf.DUMMYFUNCTION("""COMPUTED_VALUE"""),"Dubai")</f>
        <v>Dubai</v>
      </c>
      <c r="B2144" s="2" t="str">
        <f ca="1">IFERROR(__xludf.DUMMYFUNCTION("""COMPUTED_VALUE"""),"Magnolia Residence")</f>
        <v>Magnolia Residence</v>
      </c>
      <c r="C2144" s="2" t="str">
        <f ca="1">IFERROR(__xludf.DUMMYFUNCTION("""COMPUTED_VALUE"""),"Building")</f>
        <v>Building</v>
      </c>
      <c r="D2144" s="2" t="str">
        <f ca="1">IFERROR(__xludf.DUMMYFUNCTION("""COMPUTED_VALUE"""),"Dubai&gt;Jumeirah Village Triangle (JVT)&gt;JVT District 3&gt;Magnolia Residence")</f>
        <v>Dubai&gt;Jumeirah Village Triangle (JVT)&gt;JVT District 3&gt;Magnolia Residence</v>
      </c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</row>
    <row r="2145" spans="1:26" ht="16.5" x14ac:dyDescent="0.35">
      <c r="A2145" s="2" t="str">
        <f ca="1">IFERROR(__xludf.DUMMYFUNCTION("""COMPUTED_VALUE"""),"Dubai")</f>
        <v>Dubai</v>
      </c>
      <c r="B2145" s="2" t="str">
        <f ca="1">IFERROR(__xludf.DUMMYFUNCTION("""COMPUTED_VALUE"""),"Al Ramth 03")</f>
        <v>Al Ramth 03</v>
      </c>
      <c r="C2145" s="2" t="str">
        <f ca="1">IFERROR(__xludf.DUMMYFUNCTION("""COMPUTED_VALUE"""),"Building")</f>
        <v>Building</v>
      </c>
      <c r="D2145" s="2" t="str">
        <f ca="1">IFERROR(__xludf.DUMMYFUNCTION("""COMPUTED_VALUE"""),"Dubai&gt;Remraam&gt;Al Ramth&gt;Al Ramth 03")</f>
        <v>Dubai&gt;Remraam&gt;Al Ramth&gt;Al Ramth 03</v>
      </c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</row>
    <row r="2146" spans="1:26" ht="16.5" x14ac:dyDescent="0.35">
      <c r="A2146" s="2" t="str">
        <f ca="1">IFERROR(__xludf.DUMMYFUNCTION("""COMPUTED_VALUE"""),"Dubai")</f>
        <v>Dubai</v>
      </c>
      <c r="B2146" s="2" t="str">
        <f ca="1">IFERROR(__xludf.DUMMYFUNCTION("""COMPUTED_VALUE"""),"Al Thamam 55")</f>
        <v>Al Thamam 55</v>
      </c>
      <c r="C2146" s="2" t="str">
        <f ca="1">IFERROR(__xludf.DUMMYFUNCTION("""COMPUTED_VALUE"""),"Building")</f>
        <v>Building</v>
      </c>
      <c r="D2146" s="2" t="str">
        <f ca="1">IFERROR(__xludf.DUMMYFUNCTION("""COMPUTED_VALUE"""),"Dubai&gt;Remraam&gt;Al Thamam&gt;Al Thamam 55")</f>
        <v>Dubai&gt;Remraam&gt;Al Thamam&gt;Al Thamam 55</v>
      </c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</row>
    <row r="2147" spans="1:26" ht="16.5" x14ac:dyDescent="0.35">
      <c r="A2147" s="2" t="str">
        <f ca="1">IFERROR(__xludf.DUMMYFUNCTION("""COMPUTED_VALUE"""),"Dubai")</f>
        <v>Dubai</v>
      </c>
      <c r="B2147" s="2" t="str">
        <f ca="1">IFERROR(__xludf.DUMMYFUNCTION("""COMPUTED_VALUE"""),"Al Thamam 38")</f>
        <v>Al Thamam 38</v>
      </c>
      <c r="C2147" s="2" t="str">
        <f ca="1">IFERROR(__xludf.DUMMYFUNCTION("""COMPUTED_VALUE"""),"Building")</f>
        <v>Building</v>
      </c>
      <c r="D2147" s="2" t="str">
        <f ca="1">IFERROR(__xludf.DUMMYFUNCTION("""COMPUTED_VALUE"""),"Dubai&gt;Remraam&gt;Al Thamam&gt;Al Thamam 38")</f>
        <v>Dubai&gt;Remraam&gt;Al Thamam&gt;Al Thamam 38</v>
      </c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</row>
    <row r="2148" spans="1:26" ht="16.5" x14ac:dyDescent="0.35">
      <c r="A2148" s="2" t="str">
        <f ca="1">IFERROR(__xludf.DUMMYFUNCTION("""COMPUTED_VALUE"""),"Dubai")</f>
        <v>Dubai</v>
      </c>
      <c r="B2148" s="2" t="str">
        <f ca="1">IFERROR(__xludf.DUMMYFUNCTION("""COMPUTED_VALUE"""),"Al Yousifi Tower")</f>
        <v>Al Yousifi Tower</v>
      </c>
      <c r="C2148" s="2" t="str">
        <f ca="1">IFERROR(__xludf.DUMMYFUNCTION("""COMPUTED_VALUE"""),"Building")</f>
        <v>Building</v>
      </c>
      <c r="D2148" s="2" t="str">
        <f ca="1">IFERROR(__xludf.DUMMYFUNCTION("""COMPUTED_VALUE"""),"Dubai&gt;Jumeirah Village Circle (JVC)&gt;JVC District 12&gt;Al Yousifi Tower")</f>
        <v>Dubai&gt;Jumeirah Village Circle (JVC)&gt;JVC District 12&gt;Al Yousifi Tower</v>
      </c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</row>
    <row r="2149" spans="1:26" ht="16.5" x14ac:dyDescent="0.35">
      <c r="A2149" s="2" t="str">
        <f ca="1">IFERROR(__xludf.DUMMYFUNCTION("""COMPUTED_VALUE"""),"Dubai")</f>
        <v>Dubai</v>
      </c>
      <c r="B2149" s="2" t="str">
        <f ca="1">IFERROR(__xludf.DUMMYFUNCTION("""COMPUTED_VALUE"""),"Nakheel Townhouse")</f>
        <v>Nakheel Townhouse</v>
      </c>
      <c r="C2149" s="2" t="str">
        <f ca="1">IFERROR(__xludf.DUMMYFUNCTION("""COMPUTED_VALUE"""),"Neighbourhood")</f>
        <v>Neighbourhood</v>
      </c>
      <c r="D2149" s="2" t="str">
        <f ca="1">IFERROR(__xludf.DUMMYFUNCTION("""COMPUTED_VALUE"""),"Dubai&gt;Jumeirah Village Circle (JVC)&gt;JVC District 12&gt;Nakheel Townhouse")</f>
        <v>Dubai&gt;Jumeirah Village Circle (JVC)&gt;JVC District 12&gt;Nakheel Townhouse</v>
      </c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</row>
    <row r="2150" spans="1:26" ht="16.5" x14ac:dyDescent="0.35">
      <c r="A2150" s="2" t="str">
        <f ca="1">IFERROR(__xludf.DUMMYFUNCTION("""COMPUTED_VALUE"""),"Dubai")</f>
        <v>Dubai</v>
      </c>
      <c r="B2150" s="2" t="str">
        <f ca="1">IFERROR(__xludf.DUMMYFUNCTION("""COMPUTED_VALUE"""),"Cubix Residences")</f>
        <v>Cubix Residences</v>
      </c>
      <c r="C2150" s="2" t="str">
        <f ca="1">IFERROR(__xludf.DUMMYFUNCTION("""COMPUTED_VALUE"""),"Building")</f>
        <v>Building</v>
      </c>
      <c r="D2150" s="2" t="str">
        <f ca="1">IFERROR(__xludf.DUMMYFUNCTION("""COMPUTED_VALUE"""),"Dubai&gt;Jumeirah Village Circle (JVC)&gt;JVC District 12&gt;Cubix Residences")</f>
        <v>Dubai&gt;Jumeirah Village Circle (JVC)&gt;JVC District 12&gt;Cubix Residences</v>
      </c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</row>
    <row r="2151" spans="1:26" ht="16.5" x14ac:dyDescent="0.35">
      <c r="A2151" s="2" t="str">
        <f ca="1">IFERROR(__xludf.DUMMYFUNCTION("""COMPUTED_VALUE"""),"Dubai")</f>
        <v>Dubai</v>
      </c>
      <c r="B2151" s="2" t="str">
        <f ca="1">IFERROR(__xludf.DUMMYFUNCTION("""COMPUTED_VALUE"""),"Knightsbridge Court")</f>
        <v>Knightsbridge Court</v>
      </c>
      <c r="C2151" s="2" t="str">
        <f ca="1">IFERROR(__xludf.DUMMYFUNCTION("""COMPUTED_VALUE"""),"Building")</f>
        <v>Building</v>
      </c>
      <c r="D2151" s="2" t="str">
        <f ca="1">IFERROR(__xludf.DUMMYFUNCTION("""COMPUTED_VALUE"""),"Dubai&gt;Jumeirah Village Circle (JVC)&gt;JVC District 13&gt;Knightsbridge Court")</f>
        <v>Dubai&gt;Jumeirah Village Circle (JVC)&gt;JVC District 13&gt;Knightsbridge Court</v>
      </c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</row>
    <row r="2152" spans="1:26" ht="16.5" x14ac:dyDescent="0.35">
      <c r="A2152" s="2" t="str">
        <f ca="1">IFERROR(__xludf.DUMMYFUNCTION("""COMPUTED_VALUE"""),"Dubai")</f>
        <v>Dubai</v>
      </c>
      <c r="B2152" s="2" t="str">
        <f ca="1">IFERROR(__xludf.DUMMYFUNCTION("""COMPUTED_VALUE"""),"The Ghaf Tree")</f>
        <v>The Ghaf Tree</v>
      </c>
      <c r="C2152" s="2" t="str">
        <f ca="1">IFERROR(__xludf.DUMMYFUNCTION("""COMPUTED_VALUE"""),"Neighbourhood")</f>
        <v>Neighbourhood</v>
      </c>
      <c r="D2152" s="2" t="str">
        <f ca="1">IFERROR(__xludf.DUMMYFUNCTION("""COMPUTED_VALUE"""),"Dubai&gt;Jumeirah Village Circle (JVC)&gt;JVC District 13&gt;The Ghaf Tree")</f>
        <v>Dubai&gt;Jumeirah Village Circle (JVC)&gt;JVC District 13&gt;The Ghaf Tree</v>
      </c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</row>
    <row r="2153" spans="1:26" ht="16.5" x14ac:dyDescent="0.35">
      <c r="A2153" s="2" t="str">
        <f ca="1">IFERROR(__xludf.DUMMYFUNCTION("""COMPUTED_VALUE"""),"Dubai")</f>
        <v>Dubai</v>
      </c>
      <c r="B2153" s="2" t="str">
        <f ca="1">IFERROR(__xludf.DUMMYFUNCTION("""COMPUTED_VALUE"""),"Ozone1 Residence")</f>
        <v>Ozone1 Residence</v>
      </c>
      <c r="C2153" s="2" t="str">
        <f ca="1">IFERROR(__xludf.DUMMYFUNCTION("""COMPUTED_VALUE"""),"Building")</f>
        <v>Building</v>
      </c>
      <c r="D2153" s="2" t="str">
        <f ca="1">IFERROR(__xludf.DUMMYFUNCTION("""COMPUTED_VALUE"""),"Dubai&gt;Jumeirah Village Circle (JVC)&gt;JVC District 13&gt;Ozone1 Residence")</f>
        <v>Dubai&gt;Jumeirah Village Circle (JVC)&gt;JVC District 13&gt;Ozone1 Residence</v>
      </c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</row>
    <row r="2154" spans="1:26" ht="16.5" x14ac:dyDescent="0.35">
      <c r="A2154" s="2" t="str">
        <f ca="1">IFERROR(__xludf.DUMMYFUNCTION("""COMPUTED_VALUE"""),"Dubai")</f>
        <v>Dubai</v>
      </c>
      <c r="B2154" s="2" t="str">
        <f ca="1">IFERROR(__xludf.DUMMYFUNCTION("""COMPUTED_VALUE"""),"Skyhills Residence 2")</f>
        <v>Skyhills Residence 2</v>
      </c>
      <c r="C2154" s="2" t="str">
        <f ca="1">IFERROR(__xludf.DUMMYFUNCTION("""COMPUTED_VALUE"""),"Building")</f>
        <v>Building</v>
      </c>
      <c r="D2154" s="2" t="str">
        <f ca="1">IFERROR(__xludf.DUMMYFUNCTION("""COMPUTED_VALUE"""),"Dubai&gt;Jumeirah Village Circle (JVC)&gt;JVC District 18&gt;Skyhills Residence 2")</f>
        <v>Dubai&gt;Jumeirah Village Circle (JVC)&gt;JVC District 18&gt;Skyhills Residence 2</v>
      </c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</row>
    <row r="2155" spans="1:26" ht="16.5" x14ac:dyDescent="0.35">
      <c r="A2155" s="2" t="str">
        <f ca="1">IFERROR(__xludf.DUMMYFUNCTION("""COMPUTED_VALUE"""),"Dubai")</f>
        <v>Dubai</v>
      </c>
      <c r="B2155" s="2" t="str">
        <f ca="1">IFERROR(__xludf.DUMMYFUNCTION("""COMPUTED_VALUE"""),"Somerset Mews")</f>
        <v>Somerset Mews</v>
      </c>
      <c r="C2155" s="2" t="str">
        <f ca="1">IFERROR(__xludf.DUMMYFUNCTION("""COMPUTED_VALUE"""),"Neighbourhood")</f>
        <v>Neighbourhood</v>
      </c>
      <c r="D2155" s="2" t="str">
        <f ca="1">IFERROR(__xludf.DUMMYFUNCTION("""COMPUTED_VALUE"""),"Dubai&gt;Jumeirah Village Circle (JVC)&gt;JVC District 10&gt;Somerset Mews")</f>
        <v>Dubai&gt;Jumeirah Village Circle (JVC)&gt;JVC District 10&gt;Somerset Mews</v>
      </c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</row>
    <row r="2156" spans="1:26" ht="16.5" x14ac:dyDescent="0.35">
      <c r="A2156" s="2" t="str">
        <f ca="1">IFERROR(__xludf.DUMMYFUNCTION("""COMPUTED_VALUE"""),"Dubai")</f>
        <v>Dubai</v>
      </c>
      <c r="B2156" s="2" t="str">
        <f ca="1">IFERROR(__xludf.DUMMYFUNCTION("""COMPUTED_VALUE"""),"R &amp; R Tower")</f>
        <v>R &amp; R Tower</v>
      </c>
      <c r="C2156" s="2" t="str">
        <f ca="1">IFERROR(__xludf.DUMMYFUNCTION("""COMPUTED_VALUE"""),"Building")</f>
        <v>Building</v>
      </c>
      <c r="D2156" s="2" t="str">
        <f ca="1">IFERROR(__xludf.DUMMYFUNCTION("""COMPUTED_VALUE"""),"Dubai&gt;Jumeirah Village Circle (JVC)&gt;JVC District 10&gt;R &amp; R Tower")</f>
        <v>Dubai&gt;Jumeirah Village Circle (JVC)&gt;JVC District 10&gt;R &amp; R Tower</v>
      </c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</row>
    <row r="2157" spans="1:26" ht="16.5" x14ac:dyDescent="0.35">
      <c r="A2157" s="2" t="str">
        <f ca="1">IFERROR(__xludf.DUMMYFUNCTION("""COMPUTED_VALUE"""),"Dubai")</f>
        <v>Dubai</v>
      </c>
      <c r="B2157" s="2" t="str">
        <f ca="1">IFERROR(__xludf.DUMMYFUNCTION("""COMPUTED_VALUE"""),"Westar Les Castelets")</f>
        <v>Westar Les Castelets</v>
      </c>
      <c r="C2157" s="2" t="str">
        <f ca="1">IFERROR(__xludf.DUMMYFUNCTION("""COMPUTED_VALUE"""),"Neighbourhood")</f>
        <v>Neighbourhood</v>
      </c>
      <c r="D2157" s="2" t="str">
        <f ca="1">IFERROR(__xludf.DUMMYFUNCTION("""COMPUTED_VALUE"""),"Dubai&gt;Jumeirah Village Circle (JVC)&gt;JVC District 10&gt;Westar Les Castelets")</f>
        <v>Dubai&gt;Jumeirah Village Circle (JVC)&gt;JVC District 10&gt;Westar Les Castelets</v>
      </c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</row>
    <row r="2158" spans="1:26" ht="16.5" x14ac:dyDescent="0.35">
      <c r="A2158" s="2" t="str">
        <f ca="1">IFERROR(__xludf.DUMMYFUNCTION("""COMPUTED_VALUE"""),"Dubai")</f>
        <v>Dubai</v>
      </c>
      <c r="B2158" s="2" t="str">
        <f ca="1">IFERROR(__xludf.DUMMYFUNCTION("""COMPUTED_VALUE"""),"Eco Fusion Tower")</f>
        <v>Eco Fusion Tower</v>
      </c>
      <c r="C2158" s="2" t="str">
        <f ca="1">IFERROR(__xludf.DUMMYFUNCTION("""COMPUTED_VALUE"""),"Building")</f>
        <v>Building</v>
      </c>
      <c r="D2158" s="2" t="str">
        <f ca="1">IFERROR(__xludf.DUMMYFUNCTION("""COMPUTED_VALUE"""),"Dubai&gt;Jumeirah Village Circle (JVC)&gt;JVC District 10&gt;Eco Fusion Tower")</f>
        <v>Dubai&gt;Jumeirah Village Circle (JVC)&gt;JVC District 10&gt;Eco Fusion Tower</v>
      </c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</row>
    <row r="2159" spans="1:26" ht="16.5" x14ac:dyDescent="0.35">
      <c r="A2159" s="2" t="str">
        <f ca="1">IFERROR(__xludf.DUMMYFUNCTION("""COMPUTED_VALUE"""),"Dubai")</f>
        <v>Dubai</v>
      </c>
      <c r="B2159" s="2" t="str">
        <f ca="1">IFERROR(__xludf.DUMMYFUNCTION("""COMPUTED_VALUE"""),"Alef Noon Residence")</f>
        <v>Alef Noon Residence</v>
      </c>
      <c r="C2159" s="2" t="str">
        <f ca="1">IFERROR(__xludf.DUMMYFUNCTION("""COMPUTED_VALUE"""),"Building")</f>
        <v>Building</v>
      </c>
      <c r="D2159" s="2" t="str">
        <f ca="1">IFERROR(__xludf.DUMMYFUNCTION("""COMPUTED_VALUE"""),"Dubai&gt;Jumeirah Village Circle (JVC)&gt;JVC District 16&gt;Alef Noon Residence")</f>
        <v>Dubai&gt;Jumeirah Village Circle (JVC)&gt;JVC District 16&gt;Alef Noon Residence</v>
      </c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</row>
    <row r="2160" spans="1:26" ht="16.5" x14ac:dyDescent="0.35">
      <c r="A2160" s="2" t="str">
        <f ca="1">IFERROR(__xludf.DUMMYFUNCTION("""COMPUTED_VALUE"""),"Dubai")</f>
        <v>Dubai</v>
      </c>
      <c r="B2160" s="2" t="str">
        <f ca="1">IFERROR(__xludf.DUMMYFUNCTION("""COMPUTED_VALUE"""),"Orchid Park")</f>
        <v>Orchid Park</v>
      </c>
      <c r="C2160" s="2" t="str">
        <f ca="1">IFERROR(__xludf.DUMMYFUNCTION("""COMPUTED_VALUE"""),"Neighbourhood")</f>
        <v>Neighbourhood</v>
      </c>
      <c r="D2160" s="2" t="str">
        <f ca="1">IFERROR(__xludf.DUMMYFUNCTION("""COMPUTED_VALUE"""),"Dubai&gt;Jumeirah Village Circle (JVC)&gt;JVC District 15&gt;Orchid Park")</f>
        <v>Dubai&gt;Jumeirah Village Circle (JVC)&gt;JVC District 15&gt;Orchid Park</v>
      </c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</row>
    <row r="2161" spans="1:26" ht="16.5" x14ac:dyDescent="0.35">
      <c r="A2161" s="2" t="str">
        <f ca="1">IFERROR(__xludf.DUMMYFUNCTION("""COMPUTED_VALUE"""),"Dubai")</f>
        <v>Dubai</v>
      </c>
      <c r="B2161" s="2" t="str">
        <f ca="1">IFERROR(__xludf.DUMMYFUNCTION("""COMPUTED_VALUE"""),"Binghatti Emerald")</f>
        <v>Binghatti Emerald</v>
      </c>
      <c r="C2161" s="2" t="str">
        <f ca="1">IFERROR(__xludf.DUMMYFUNCTION("""COMPUTED_VALUE"""),"Building")</f>
        <v>Building</v>
      </c>
      <c r="D2161" s="2" t="str">
        <f ca="1">IFERROR(__xludf.DUMMYFUNCTION("""COMPUTED_VALUE"""),"Dubai&gt;Jumeirah Village Circle (JVC)&gt;JVC District 15&gt;Binghatti Emerald")</f>
        <v>Dubai&gt;Jumeirah Village Circle (JVC)&gt;JVC District 15&gt;Binghatti Emerald</v>
      </c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</row>
    <row r="2162" spans="1:26" ht="16.5" x14ac:dyDescent="0.35">
      <c r="A2162" s="2" t="str">
        <f ca="1">IFERROR(__xludf.DUMMYFUNCTION("""COMPUTED_VALUE"""),"Dubai")</f>
        <v>Dubai</v>
      </c>
      <c r="B2162" s="2" t="str">
        <f ca="1">IFERROR(__xludf.DUMMYFUNCTION("""COMPUTED_VALUE"""),"The Icon Casa")</f>
        <v>The Icon Casa</v>
      </c>
      <c r="C2162" s="2" t="str">
        <f ca="1">IFERROR(__xludf.DUMMYFUNCTION("""COMPUTED_VALUE"""),"Building")</f>
        <v>Building</v>
      </c>
      <c r="D2162" s="2" t="str">
        <f ca="1">IFERROR(__xludf.DUMMYFUNCTION("""COMPUTED_VALUE"""),"Dubai&gt;Jumeirah Village Circle (JVC)&gt;JVC District 11&gt;The Icon Casa")</f>
        <v>Dubai&gt;Jumeirah Village Circle (JVC)&gt;JVC District 11&gt;The Icon Casa</v>
      </c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</row>
    <row r="2163" spans="1:26" ht="16.5" x14ac:dyDescent="0.35">
      <c r="A2163" s="2" t="str">
        <f ca="1">IFERROR(__xludf.DUMMYFUNCTION("""COMPUTED_VALUE"""),"Dubai")</f>
        <v>Dubai</v>
      </c>
      <c r="B2163" s="2" t="str">
        <f ca="1">IFERROR(__xludf.DUMMYFUNCTION("""COMPUTED_VALUE"""),"Burj Residency")</f>
        <v>Burj Residency</v>
      </c>
      <c r="C2163" s="2" t="str">
        <f ca="1">IFERROR(__xludf.DUMMYFUNCTION("""COMPUTED_VALUE"""),"Building")</f>
        <v>Building</v>
      </c>
      <c r="D2163" s="2" t="str">
        <f ca="1">IFERROR(__xludf.DUMMYFUNCTION("""COMPUTED_VALUE"""),"Dubai&gt;Jumeirah Village Circle (JVC)&gt;JVC District 11&gt;Burj Residency")</f>
        <v>Dubai&gt;Jumeirah Village Circle (JVC)&gt;JVC District 11&gt;Burj Residency</v>
      </c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</row>
    <row r="2164" spans="1:26" ht="16.5" x14ac:dyDescent="0.35">
      <c r="A2164" s="2" t="str">
        <f ca="1">IFERROR(__xludf.DUMMYFUNCTION("""COMPUTED_VALUE"""),"Dubai")</f>
        <v>Dubai</v>
      </c>
      <c r="B2164" s="2" t="str">
        <f ca="1">IFERROR(__xludf.DUMMYFUNCTION("""COMPUTED_VALUE"""),"Binghatti Galaxy")</f>
        <v>Binghatti Galaxy</v>
      </c>
      <c r="C2164" s="2" t="str">
        <f ca="1">IFERROR(__xludf.DUMMYFUNCTION("""COMPUTED_VALUE"""),"Cluster")</f>
        <v>Cluster</v>
      </c>
      <c r="D2164" s="2" t="str">
        <f ca="1">IFERROR(__xludf.DUMMYFUNCTION("""COMPUTED_VALUE"""),"Dubai&gt;Jumeirah Village Circle (JVC)&gt;JVC District 11&gt;Binghatti Galaxy")</f>
        <v>Dubai&gt;Jumeirah Village Circle (JVC)&gt;JVC District 11&gt;Binghatti Galaxy</v>
      </c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</row>
    <row r="2165" spans="1:26" ht="16.5" x14ac:dyDescent="0.35">
      <c r="A2165" s="2" t="str">
        <f ca="1">IFERROR(__xludf.DUMMYFUNCTION("""COMPUTED_VALUE"""),"Dubai")</f>
        <v>Dubai</v>
      </c>
      <c r="B2165" s="2" t="str">
        <f ca="1">IFERROR(__xludf.DUMMYFUNCTION("""COMPUTED_VALUE"""),"Auresta Tower")</f>
        <v>Auresta Tower</v>
      </c>
      <c r="C2165" s="2" t="str">
        <f ca="1">IFERROR(__xludf.DUMMYFUNCTION("""COMPUTED_VALUE"""),"Building")</f>
        <v>Building</v>
      </c>
      <c r="D2165" s="2" t="str">
        <f ca="1">IFERROR(__xludf.DUMMYFUNCTION("""COMPUTED_VALUE"""),"Dubai&gt;Jumeirah Village Circle (JVC)&gt;JVC District 11&gt;Auresta Tower")</f>
        <v>Dubai&gt;Jumeirah Village Circle (JVC)&gt;JVC District 11&gt;Auresta Tower</v>
      </c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</row>
    <row r="2166" spans="1:26" ht="16.5" x14ac:dyDescent="0.35">
      <c r="A2166" s="2" t="str">
        <f ca="1">IFERROR(__xludf.DUMMYFUNCTION("""COMPUTED_VALUE"""),"Dubai")</f>
        <v>Dubai</v>
      </c>
      <c r="B2166" s="2" t="str">
        <f ca="1">IFERROR(__xludf.DUMMYFUNCTION("""COMPUTED_VALUE"""),"Oxford Building")</f>
        <v>Oxford Building</v>
      </c>
      <c r="C2166" s="2" t="str">
        <f ca="1">IFERROR(__xludf.DUMMYFUNCTION("""COMPUTED_VALUE"""),"Building")</f>
        <v>Building</v>
      </c>
      <c r="D2166" s="2" t="str">
        <f ca="1">IFERROR(__xludf.DUMMYFUNCTION("""COMPUTED_VALUE"""),"Dubai&gt;Jumeirah Village Circle (JVC)&gt;JVC District 14&gt;Oxford Building")</f>
        <v>Dubai&gt;Jumeirah Village Circle (JVC)&gt;JVC District 14&gt;Oxford Building</v>
      </c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</row>
    <row r="2167" spans="1:26" ht="16.5" x14ac:dyDescent="0.35">
      <c r="A2167" s="2" t="str">
        <f ca="1">IFERROR(__xludf.DUMMYFUNCTION("""COMPUTED_VALUE"""),"Dubai")</f>
        <v>Dubai</v>
      </c>
      <c r="B2167" s="2" t="str">
        <f ca="1">IFERROR(__xludf.DUMMYFUNCTION("""COMPUTED_VALUE"""),"Luxor by Imtiaz")</f>
        <v>Luxor by Imtiaz</v>
      </c>
      <c r="C2167" s="2" t="str">
        <f ca="1">IFERROR(__xludf.DUMMYFUNCTION("""COMPUTED_VALUE"""),"Building")</f>
        <v>Building</v>
      </c>
      <c r="D2167" s="2" t="str">
        <f ca="1">IFERROR(__xludf.DUMMYFUNCTION("""COMPUTED_VALUE"""),"Dubai&gt;Jumeirah Village Circle (JVC)&gt;JVC District 14&gt;Luxor by Imtiaz")</f>
        <v>Dubai&gt;Jumeirah Village Circle (JVC)&gt;JVC District 14&gt;Luxor by Imtiaz</v>
      </c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</row>
    <row r="2168" spans="1:26" ht="16.5" x14ac:dyDescent="0.35">
      <c r="A2168" s="2" t="str">
        <f ca="1">IFERROR(__xludf.DUMMYFUNCTION("""COMPUTED_VALUE"""),"Dubai")</f>
        <v>Dubai</v>
      </c>
      <c r="B2168" s="2" t="str">
        <f ca="1">IFERROR(__xludf.DUMMYFUNCTION("""COMPUTED_VALUE"""),"The Aquila School")</f>
        <v>The Aquila School</v>
      </c>
      <c r="C2168" s="2" t="str">
        <f ca="1">IFERROR(__xludf.DUMMYFUNCTION("""COMPUTED_VALUE"""),"School")</f>
        <v>School</v>
      </c>
      <c r="D2168" s="2" t="str">
        <f ca="1">IFERROR(__xludf.DUMMYFUNCTION("""COMPUTED_VALUE"""),"Dubai&gt;Dubai Land Residence Complex&gt;The Aquila School")</f>
        <v>Dubai&gt;Dubai Land Residence Complex&gt;The Aquila School</v>
      </c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</row>
    <row r="2169" spans="1:26" ht="16.5" x14ac:dyDescent="0.35">
      <c r="A2169" s="2" t="str">
        <f ca="1">IFERROR(__xludf.DUMMYFUNCTION("""COMPUTED_VALUE"""),"Dubai")</f>
        <v>Dubai</v>
      </c>
      <c r="B2169" s="2" t="str">
        <f ca="1">IFERROR(__xludf.DUMMYFUNCTION("""COMPUTED_VALUE"""),"4Direction Residence 1")</f>
        <v>4Direction Residence 1</v>
      </c>
      <c r="C2169" s="2" t="str">
        <f ca="1">IFERROR(__xludf.DUMMYFUNCTION("""COMPUTED_VALUE"""),"Building")</f>
        <v>Building</v>
      </c>
      <c r="D2169" s="2" t="str">
        <f ca="1">IFERROR(__xludf.DUMMYFUNCTION("""COMPUTED_VALUE"""),"Dubai&gt;Dubai Land Residence Complex&gt;4Direction Residence 1")</f>
        <v>Dubai&gt;Dubai Land Residence Complex&gt;4Direction Residence 1</v>
      </c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</row>
    <row r="2170" spans="1:26" ht="16.5" x14ac:dyDescent="0.35">
      <c r="A2170" s="2" t="str">
        <f ca="1">IFERROR(__xludf.DUMMYFUNCTION("""COMPUTED_VALUE"""),"Dubai")</f>
        <v>Dubai</v>
      </c>
      <c r="B2170" s="2" t="str">
        <f ca="1">IFERROR(__xludf.DUMMYFUNCTION("""COMPUTED_VALUE"""),"Saif Bin Sharaf Building")</f>
        <v>Saif Bin Sharaf Building</v>
      </c>
      <c r="C2170" s="2" t="str">
        <f ca="1">IFERROR(__xludf.DUMMYFUNCTION("""COMPUTED_VALUE"""),"Building")</f>
        <v>Building</v>
      </c>
      <c r="D2170" s="2" t="str">
        <f ca="1">IFERROR(__xludf.DUMMYFUNCTION("""COMPUTED_VALUE"""),"Dubai&gt;Dubai Land Residence Complex&gt;Saif Bin Sharaf Building")</f>
        <v>Dubai&gt;Dubai Land Residence Complex&gt;Saif Bin Sharaf Building</v>
      </c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</row>
    <row r="2171" spans="1:26" ht="16.5" x14ac:dyDescent="0.35">
      <c r="A2171" s="2" t="str">
        <f ca="1">IFERROR(__xludf.DUMMYFUNCTION("""COMPUTED_VALUE"""),"Dubai")</f>
        <v>Dubai</v>
      </c>
      <c r="B2171" s="2" t="str">
        <f ca="1">IFERROR(__xludf.DUMMYFUNCTION("""COMPUTED_VALUE"""),"Cove Edition Residence 2 by Imtiaz")</f>
        <v>Cove Edition Residence 2 by Imtiaz</v>
      </c>
      <c r="C2171" s="2" t="str">
        <f ca="1">IFERROR(__xludf.DUMMYFUNCTION("""COMPUTED_VALUE"""),"Building")</f>
        <v>Building</v>
      </c>
      <c r="D2171" s="2" t="str">
        <f ca="1">IFERROR(__xludf.DUMMYFUNCTION("""COMPUTED_VALUE"""),"Dubai&gt;Dubai Land Residence Complex&gt;Cove Edition Residence 2 by Imtiaz")</f>
        <v>Dubai&gt;Dubai Land Residence Complex&gt;Cove Edition Residence 2 by Imtiaz</v>
      </c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</row>
    <row r="2172" spans="1:26" ht="16.5" x14ac:dyDescent="0.35">
      <c r="A2172" s="2" t="str">
        <f ca="1">IFERROR(__xludf.DUMMYFUNCTION("""COMPUTED_VALUE"""),"Dubai")</f>
        <v>Dubai</v>
      </c>
      <c r="B2172" s="2" t="str">
        <f ca="1">IFERROR(__xludf.DUMMYFUNCTION("""COMPUTED_VALUE"""),"Arib Collection")</f>
        <v>Arib Collection</v>
      </c>
      <c r="C2172" s="2" t="str">
        <f ca="1">IFERROR(__xludf.DUMMYFUNCTION("""COMPUTED_VALUE"""),"Building")</f>
        <v>Building</v>
      </c>
      <c r="D2172" s="2" t="str">
        <f ca="1">IFERROR(__xludf.DUMMYFUNCTION("""COMPUTED_VALUE"""),"Dubai&gt;Dubai Land Residence Complex&gt;Arib Collection")</f>
        <v>Dubai&gt;Dubai Land Residence Complex&gt;Arib Collection</v>
      </c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</row>
    <row r="2173" spans="1:26" ht="16.5" x14ac:dyDescent="0.35">
      <c r="A2173" s="2" t="str">
        <f ca="1">IFERROR(__xludf.DUMMYFUNCTION("""COMPUTED_VALUE"""),"Dubai")</f>
        <v>Dubai</v>
      </c>
      <c r="B2173" s="2" t="str">
        <f ca="1">IFERROR(__xludf.DUMMYFUNCTION("""COMPUTED_VALUE"""),"Terrace Apartments")</f>
        <v>Terrace Apartments</v>
      </c>
      <c r="C2173" s="2" t="str">
        <f ca="1">IFERROR(__xludf.DUMMYFUNCTION("""COMPUTED_VALUE"""),"Building")</f>
        <v>Building</v>
      </c>
      <c r="D2173" s="2" t="str">
        <f ca="1">IFERROR(__xludf.DUMMYFUNCTION("""COMPUTED_VALUE"""),"Dubai&gt;Mirdif&gt;Uptown Mirdif&gt;Terrace Apartments")</f>
        <v>Dubai&gt;Mirdif&gt;Uptown Mirdif&gt;Terrace Apartments</v>
      </c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</row>
    <row r="2174" spans="1:26" ht="16.5" x14ac:dyDescent="0.35">
      <c r="A2174" s="2" t="str">
        <f ca="1">IFERROR(__xludf.DUMMYFUNCTION("""COMPUTED_VALUE"""),"Dubai")</f>
        <v>Dubai</v>
      </c>
      <c r="B2174" s="2" t="str">
        <f ca="1">IFERROR(__xludf.DUMMYFUNCTION("""COMPUTED_VALUE"""),"Central Building")</f>
        <v>Central Building</v>
      </c>
      <c r="C2174" s="2" t="str">
        <f ca="1">IFERROR(__xludf.DUMMYFUNCTION("""COMPUTED_VALUE"""),"Building")</f>
        <v>Building</v>
      </c>
      <c r="D2174" s="2" t="str">
        <f ca="1">IFERROR(__xludf.DUMMYFUNCTION("""COMPUTED_VALUE"""),"Dubai&gt;Mirdif&gt;Central Building")</f>
        <v>Dubai&gt;Mirdif&gt;Central Building</v>
      </c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</row>
    <row r="2175" spans="1:26" ht="16.5" x14ac:dyDescent="0.35">
      <c r="A2175" s="2" t="str">
        <f ca="1">IFERROR(__xludf.DUMMYFUNCTION("""COMPUTED_VALUE"""),"Dubai")</f>
        <v>Dubai</v>
      </c>
      <c r="B2175" s="2" t="str">
        <f ca="1">IFERROR(__xludf.DUMMYFUNCTION("""COMPUTED_VALUE"""),"Deema 1")</f>
        <v>Deema 1</v>
      </c>
      <c r="C2175" s="2" t="str">
        <f ca="1">IFERROR(__xludf.DUMMYFUNCTION("""COMPUTED_VALUE"""),"Neighbourhood")</f>
        <v>Neighbourhood</v>
      </c>
      <c r="D2175" s="2" t="str">
        <f ca="1">IFERROR(__xludf.DUMMYFUNCTION("""COMPUTED_VALUE"""),"Dubai&gt;The Lakes&gt;Deema&gt;Deema 1")</f>
        <v>Dubai&gt;The Lakes&gt;Deema&gt;Deema 1</v>
      </c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</row>
    <row r="2176" spans="1:26" ht="16.5" x14ac:dyDescent="0.35">
      <c r="A2176" s="2" t="str">
        <f ca="1">IFERROR(__xludf.DUMMYFUNCTION("""COMPUTED_VALUE"""),"Dubai")</f>
        <v>Dubai</v>
      </c>
      <c r="B2176" s="2" t="str">
        <f ca="1">IFERROR(__xludf.DUMMYFUNCTION("""COMPUTED_VALUE"""),"Dubai Autism Center")</f>
        <v>Dubai Autism Center</v>
      </c>
      <c r="C2176" s="2" t="str">
        <f ca="1">IFERROR(__xludf.DUMMYFUNCTION("""COMPUTED_VALUE"""),"Building")</f>
        <v>Building</v>
      </c>
      <c r="D2176" s="2" t="str">
        <f ca="1">IFERROR(__xludf.DUMMYFUNCTION("""COMPUTED_VALUE"""),"Dubai&gt;Al Garhoud&gt;Dubai Autism Center")</f>
        <v>Dubai&gt;Al Garhoud&gt;Dubai Autism Center</v>
      </c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</row>
    <row r="2177" spans="1:26" ht="16.5" x14ac:dyDescent="0.35">
      <c r="A2177" s="2" t="str">
        <f ca="1">IFERROR(__xludf.DUMMYFUNCTION("""COMPUTED_VALUE"""),"Dubai")</f>
        <v>Dubai</v>
      </c>
      <c r="B2177" s="2" t="str">
        <f ca="1">IFERROR(__xludf.DUMMYFUNCTION("""COMPUTED_VALUE"""),"Tower 1")</f>
        <v>Tower 1</v>
      </c>
      <c r="C2177" s="2" t="str">
        <f ca="1">IFERROR(__xludf.DUMMYFUNCTION("""COMPUTED_VALUE"""),"Building")</f>
        <v>Building</v>
      </c>
      <c r="D2177" s="2" t="str">
        <f ca="1">IFERROR(__xludf.DUMMYFUNCTION("""COMPUTED_VALUE"""),"Dubai&gt;Al Garhoud&gt;Garhoud Towers&gt;Tower 1")</f>
        <v>Dubai&gt;Al Garhoud&gt;Garhoud Towers&gt;Tower 1</v>
      </c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</row>
    <row r="2178" spans="1:26" ht="16.5" x14ac:dyDescent="0.35">
      <c r="A2178" s="2" t="str">
        <f ca="1">IFERROR(__xludf.DUMMYFUNCTION("""COMPUTED_VALUE"""),"Dubai")</f>
        <v>Dubai</v>
      </c>
      <c r="B2178" s="2" t="str">
        <f ca="1">IFERROR(__xludf.DUMMYFUNCTION("""COMPUTED_VALUE"""),"City 4 Building")</f>
        <v>City 4 Building</v>
      </c>
      <c r="C2178" s="2" t="str">
        <f ca="1">IFERROR(__xludf.DUMMYFUNCTION("""COMPUTED_VALUE"""),"Building")</f>
        <v>Building</v>
      </c>
      <c r="D2178" s="2" t="str">
        <f ca="1">IFERROR(__xludf.DUMMYFUNCTION("""COMPUTED_VALUE"""),"Dubai&gt;Al Garhoud&gt;City 4 Building")</f>
        <v>Dubai&gt;Al Garhoud&gt;City 4 Building</v>
      </c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</row>
    <row r="2179" spans="1:26" ht="16.5" x14ac:dyDescent="0.35">
      <c r="A2179" s="2" t="str">
        <f ca="1">IFERROR(__xludf.DUMMYFUNCTION("""COMPUTED_VALUE"""),"Dubai")</f>
        <v>Dubai</v>
      </c>
      <c r="B2179" s="2" t="str">
        <f ca="1">IFERROR(__xludf.DUMMYFUNCTION("""COMPUTED_VALUE"""),"Cluster 23")</f>
        <v>Cluster 23</v>
      </c>
      <c r="C2179" s="2" t="str">
        <f ca="1">IFERROR(__xludf.DUMMYFUNCTION("""COMPUTED_VALUE"""),"Neighbourhood")</f>
        <v>Neighbourhood</v>
      </c>
      <c r="D2179" s="2" t="str">
        <f ca="1">IFERROR(__xludf.DUMMYFUNCTION("""COMPUTED_VALUE"""),"Dubai&gt;Jumeirah Islands&gt;Cluster 23")</f>
        <v>Dubai&gt;Jumeirah Islands&gt;Cluster 23</v>
      </c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</row>
    <row r="2180" spans="1:26" ht="16.5" x14ac:dyDescent="0.35">
      <c r="A2180" s="2" t="str">
        <f ca="1">IFERROR(__xludf.DUMMYFUNCTION("""COMPUTED_VALUE"""),"Dubai")</f>
        <v>Dubai</v>
      </c>
      <c r="B2180" s="2" t="str">
        <f ca="1">IFERROR(__xludf.DUMMYFUNCTION("""COMPUTED_VALUE"""),"Jumeirah Islands Mansions Villas")</f>
        <v>Jumeirah Islands Mansions Villas</v>
      </c>
      <c r="C2180" s="2" t="str">
        <f ca="1">IFERROR(__xludf.DUMMYFUNCTION("""COMPUTED_VALUE"""),"Neighbourhood")</f>
        <v>Neighbourhood</v>
      </c>
      <c r="D2180" s="2" t="str">
        <f ca="1">IFERROR(__xludf.DUMMYFUNCTION("""COMPUTED_VALUE"""),"Dubai&gt;Jumeirah Islands&gt;Jumeirah Islands Mansions Villas")</f>
        <v>Dubai&gt;Jumeirah Islands&gt;Jumeirah Islands Mansions Villas</v>
      </c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</row>
    <row r="2181" spans="1:26" ht="16.5" x14ac:dyDescent="0.35">
      <c r="A2181" s="2" t="str">
        <f ca="1">IFERROR(__xludf.DUMMYFUNCTION("""COMPUTED_VALUE"""),"Dubai")</f>
        <v>Dubai</v>
      </c>
      <c r="B2181" s="2" t="str">
        <f ca="1">IFERROR(__xludf.DUMMYFUNCTION("""COMPUTED_VALUE"""),"Union Residence 1 Building B")</f>
        <v>Union Residence 1 Building B</v>
      </c>
      <c r="C2181" s="2" t="str">
        <f ca="1">IFERROR(__xludf.DUMMYFUNCTION("""COMPUTED_VALUE"""),"Building")</f>
        <v>Building</v>
      </c>
      <c r="D2181" s="2" t="str">
        <f ca="1">IFERROR(__xludf.DUMMYFUNCTION("""COMPUTED_VALUE"""),"Dubai&gt;Green Community&gt;Union Residence 1&gt;Union Residence 1 Building B")</f>
        <v>Dubai&gt;Green Community&gt;Union Residence 1&gt;Union Residence 1 Building B</v>
      </c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</row>
    <row r="2182" spans="1:26" ht="16.5" x14ac:dyDescent="0.35">
      <c r="A2182" s="2" t="str">
        <f ca="1">IFERROR(__xludf.DUMMYFUNCTION("""COMPUTED_VALUE"""),"Dubai")</f>
        <v>Dubai</v>
      </c>
      <c r="B2182" s="2" t="str">
        <f ca="1">IFERROR(__xludf.DUMMYFUNCTION("""COMPUTED_VALUE"""),"Northwest Apartments 5")</f>
        <v>Northwest Apartments 5</v>
      </c>
      <c r="C2182" s="2" t="str">
        <f ca="1">IFERROR(__xludf.DUMMYFUNCTION("""COMPUTED_VALUE"""),"Building")</f>
        <v>Building</v>
      </c>
      <c r="D2182" s="2" t="str">
        <f ca="1">IFERROR(__xludf.DUMMYFUNCTION("""COMPUTED_VALUE"""),"Dubai&gt;Green Community&gt;Green Community West&gt;Northwest Garden Apartments&gt;Northwest Apartments 5")</f>
        <v>Dubai&gt;Green Community&gt;Green Community West&gt;Northwest Garden Apartments&gt;Northwest Apartments 5</v>
      </c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</row>
    <row r="2183" spans="1:26" ht="16.5" x14ac:dyDescent="0.35">
      <c r="A2183" s="2" t="str">
        <f ca="1">IFERROR(__xludf.DUMMYFUNCTION("""COMPUTED_VALUE"""),"Dubai")</f>
        <v>Dubai</v>
      </c>
      <c r="B2183" s="2" t="str">
        <f ca="1">IFERROR(__xludf.DUMMYFUNCTION("""COMPUTED_VALUE"""),"Grand Horizon 2")</f>
        <v>Grand Horizon 2</v>
      </c>
      <c r="C2183" s="2" t="str">
        <f ca="1">IFERROR(__xludf.DUMMYFUNCTION("""COMPUTED_VALUE"""),"Building")</f>
        <v>Building</v>
      </c>
      <c r="D2183" s="2" t="str">
        <f ca="1">IFERROR(__xludf.DUMMYFUNCTION("""COMPUTED_VALUE"""),"Dubai&gt;Dubai Sports City&gt;Grand Horizon&gt;Grand Horizon 2")</f>
        <v>Dubai&gt;Dubai Sports City&gt;Grand Horizon&gt;Grand Horizon 2</v>
      </c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</row>
    <row r="2184" spans="1:26" ht="16.5" x14ac:dyDescent="0.35">
      <c r="A2184" s="2" t="str">
        <f ca="1">IFERROR(__xludf.DUMMYFUNCTION("""COMPUTED_VALUE"""),"Dubai")</f>
        <v>Dubai</v>
      </c>
      <c r="B2184" s="2" t="str">
        <f ca="1">IFERROR(__xludf.DUMMYFUNCTION("""COMPUTED_VALUE"""),"Zenith Towers")</f>
        <v>Zenith Towers</v>
      </c>
      <c r="C2184" s="2" t="str">
        <f ca="1">IFERROR(__xludf.DUMMYFUNCTION("""COMPUTED_VALUE"""),"Cluster")</f>
        <v>Cluster</v>
      </c>
      <c r="D2184" s="2" t="str">
        <f ca="1">IFERROR(__xludf.DUMMYFUNCTION("""COMPUTED_VALUE"""),"Dubai&gt;Dubai Sports City&gt;Zenith Towers")</f>
        <v>Dubai&gt;Dubai Sports City&gt;Zenith Towers</v>
      </c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</row>
    <row r="2185" spans="1:26" ht="16.5" x14ac:dyDescent="0.35">
      <c r="A2185" s="2" t="str">
        <f ca="1">IFERROR(__xludf.DUMMYFUNCTION("""COMPUTED_VALUE"""),"Dubai")</f>
        <v>Dubai</v>
      </c>
      <c r="B2185" s="2" t="str">
        <f ca="1">IFERROR(__xludf.DUMMYFUNCTION("""COMPUTED_VALUE"""),"Binghatti Haven")</f>
        <v>Binghatti Haven</v>
      </c>
      <c r="C2185" s="2" t="str">
        <f ca="1">IFERROR(__xludf.DUMMYFUNCTION("""COMPUTED_VALUE"""),"Building")</f>
        <v>Building</v>
      </c>
      <c r="D2185" s="2" t="str">
        <f ca="1">IFERROR(__xludf.DUMMYFUNCTION("""COMPUTED_VALUE"""),"Dubai&gt;Dubai Sports City&gt;Binghatti Haven")</f>
        <v>Dubai&gt;Dubai Sports City&gt;Binghatti Haven</v>
      </c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</row>
    <row r="2186" spans="1:26" ht="16.5" x14ac:dyDescent="0.35">
      <c r="A2186" s="2" t="str">
        <f ca="1">IFERROR(__xludf.DUMMYFUNCTION("""COMPUTED_VALUE"""),"Dubai")</f>
        <v>Dubai</v>
      </c>
      <c r="B2186" s="2" t="str">
        <f ca="1">IFERROR(__xludf.DUMMYFUNCTION("""COMPUTED_VALUE"""),"Vega")</f>
        <v>Vega</v>
      </c>
      <c r="C2186" s="2" t="str">
        <f ca="1">IFERROR(__xludf.DUMMYFUNCTION("""COMPUTED_VALUE"""),"Building")</f>
        <v>Building</v>
      </c>
      <c r="D2186" s="2" t="str">
        <f ca="1">IFERROR(__xludf.DUMMYFUNCTION("""COMPUTED_VALUE"""),"Dubai&gt;Dubai Sports City&gt;Vega")</f>
        <v>Dubai&gt;Dubai Sports City&gt;Vega</v>
      </c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</row>
    <row r="2187" spans="1:26" ht="16.5" x14ac:dyDescent="0.35">
      <c r="A2187" s="2" t="str">
        <f ca="1">IFERROR(__xludf.DUMMYFUNCTION("""COMPUTED_VALUE"""),"Dubai")</f>
        <v>Dubai</v>
      </c>
      <c r="B2187" s="2" t="str">
        <f ca="1">IFERROR(__xludf.DUMMYFUNCTION("""COMPUTED_VALUE"""),"Al Kaabi Building")</f>
        <v>Al Kaabi Building</v>
      </c>
      <c r="C2187" s="2" t="str">
        <f ca="1">IFERROR(__xludf.DUMMYFUNCTION("""COMPUTED_VALUE"""),"Building")</f>
        <v>Building</v>
      </c>
      <c r="D2187" s="2" t="str">
        <f ca="1">IFERROR(__xludf.DUMMYFUNCTION("""COMPUTED_VALUE"""),"Dubai&gt;Al Nahda (Dubai)&gt;Al Nahda 1&gt;Al Kaabi Building")</f>
        <v>Dubai&gt;Al Nahda (Dubai)&gt;Al Nahda 1&gt;Al Kaabi Building</v>
      </c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</row>
    <row r="2188" spans="1:26" ht="16.5" x14ac:dyDescent="0.35">
      <c r="A2188" s="2" t="str">
        <f ca="1">IFERROR(__xludf.DUMMYFUNCTION("""COMPUTED_VALUE"""),"Dubai")</f>
        <v>Dubai</v>
      </c>
      <c r="B2188" s="2" t="str">
        <f ca="1">IFERROR(__xludf.DUMMYFUNCTION("""COMPUTED_VALUE"""),"Al Nahda 2")</f>
        <v>Al Nahda 2</v>
      </c>
      <c r="C2188" s="2" t="str">
        <f ca="1">IFERROR(__xludf.DUMMYFUNCTION("""COMPUTED_VALUE"""),"Neighbourhood")</f>
        <v>Neighbourhood</v>
      </c>
      <c r="D2188" s="2" t="str">
        <f ca="1">IFERROR(__xludf.DUMMYFUNCTION("""COMPUTED_VALUE"""),"Dubai&gt;Al Nahda (Dubai)&gt;Al Nahda 2")</f>
        <v>Dubai&gt;Al Nahda (Dubai)&gt;Al Nahda 2</v>
      </c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</row>
    <row r="2189" spans="1:26" ht="16.5" x14ac:dyDescent="0.35">
      <c r="A2189" s="2" t="str">
        <f ca="1">IFERROR(__xludf.DUMMYFUNCTION("""COMPUTED_VALUE"""),"Dubai")</f>
        <v>Dubai</v>
      </c>
      <c r="B2189" s="2" t="str">
        <f ca="1">IFERROR(__xludf.DUMMYFUNCTION("""COMPUTED_VALUE"""),"Dana Residence")</f>
        <v>Dana Residence</v>
      </c>
      <c r="C2189" s="2" t="str">
        <f ca="1">IFERROR(__xludf.DUMMYFUNCTION("""COMPUTED_VALUE"""),"Building")</f>
        <v>Building</v>
      </c>
      <c r="D2189" s="2" t="str">
        <f ca="1">IFERROR(__xludf.DUMMYFUNCTION("""COMPUTED_VALUE"""),"Dubai&gt;Al Nahda (Dubai)&gt;Al Nahda 2&gt;Dana Residence")</f>
        <v>Dubai&gt;Al Nahda (Dubai)&gt;Al Nahda 2&gt;Dana Residence</v>
      </c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</row>
    <row r="2190" spans="1:26" ht="16.5" x14ac:dyDescent="0.35">
      <c r="A2190" s="2" t="str">
        <f ca="1">IFERROR(__xludf.DUMMYFUNCTION("""COMPUTED_VALUE"""),"Dubai")</f>
        <v>Dubai</v>
      </c>
      <c r="B2190" s="2" t="str">
        <f ca="1">IFERROR(__xludf.DUMMYFUNCTION("""COMPUTED_VALUE"""),"Al Jabri Tower 2")</f>
        <v>Al Jabri Tower 2</v>
      </c>
      <c r="C2190" s="2" t="str">
        <f ca="1">IFERROR(__xludf.DUMMYFUNCTION("""COMPUTED_VALUE"""),"Building")</f>
        <v>Building</v>
      </c>
      <c r="D2190" s="2" t="str">
        <f ca="1">IFERROR(__xludf.DUMMYFUNCTION("""COMPUTED_VALUE"""),"Dubai&gt;Al Nahda (Dubai)&gt;Al Nahda 2&gt;Al Jabri Tower 2")</f>
        <v>Dubai&gt;Al Nahda (Dubai)&gt;Al Nahda 2&gt;Al Jabri Tower 2</v>
      </c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</row>
    <row r="2191" spans="1:26" ht="16.5" x14ac:dyDescent="0.35">
      <c r="A2191" s="2" t="str">
        <f ca="1">IFERROR(__xludf.DUMMYFUNCTION("""COMPUTED_VALUE"""),"Dubai")</f>
        <v>Dubai</v>
      </c>
      <c r="B2191" s="2" t="str">
        <f ca="1">IFERROR(__xludf.DUMMYFUNCTION("""COMPUTED_VALUE"""),"Bait Al Khair Building")</f>
        <v>Bait Al Khair Building</v>
      </c>
      <c r="C2191" s="2" t="str">
        <f ca="1">IFERROR(__xludf.DUMMYFUNCTION("""COMPUTED_VALUE"""),"Building")</f>
        <v>Building</v>
      </c>
      <c r="D2191" s="2" t="str">
        <f ca="1">IFERROR(__xludf.DUMMYFUNCTION("""COMPUTED_VALUE"""),"Dubai&gt;Al Nahda (Dubai)&gt;Al Nahda 2&gt;Bait Al Khair Building")</f>
        <v>Dubai&gt;Al Nahda (Dubai)&gt;Al Nahda 2&gt;Bait Al Khair Building</v>
      </c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</row>
    <row r="2192" spans="1:26" ht="16.5" x14ac:dyDescent="0.35">
      <c r="A2192" s="2" t="str">
        <f ca="1">IFERROR(__xludf.DUMMYFUNCTION("""COMPUTED_VALUE"""),"Dubai")</f>
        <v>Dubai</v>
      </c>
      <c r="B2192" s="2" t="str">
        <f ca="1">IFERROR(__xludf.DUMMYFUNCTION("""COMPUTED_VALUE"""),"Maryam Salem Khalfan Building")</f>
        <v>Maryam Salem Khalfan Building</v>
      </c>
      <c r="C2192" s="2" t="str">
        <f ca="1">IFERROR(__xludf.DUMMYFUNCTION("""COMPUTED_VALUE"""),"Building")</f>
        <v>Building</v>
      </c>
      <c r="D2192" s="2" t="str">
        <f ca="1">IFERROR(__xludf.DUMMYFUNCTION("""COMPUTED_VALUE"""),"Dubai&gt;Al Nahda (Dubai)&gt;Al Nahda 2&gt;Maryam Salem Khalfan Building")</f>
        <v>Dubai&gt;Al Nahda (Dubai)&gt;Al Nahda 2&gt;Maryam Salem Khalfan Building</v>
      </c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</row>
    <row r="2193" spans="1:26" ht="16.5" x14ac:dyDescent="0.35">
      <c r="A2193" s="2" t="str">
        <f ca="1">IFERROR(__xludf.DUMMYFUNCTION("""COMPUTED_VALUE"""),"Dubai")</f>
        <v>Dubai</v>
      </c>
      <c r="B2193" s="2" t="str">
        <f ca="1">IFERROR(__xludf.DUMMYFUNCTION("""COMPUTED_VALUE"""),"Regional Small")</f>
        <v>Regional Small</v>
      </c>
      <c r="C2193" s="2" t="str">
        <f ca="1">IFERROR(__xludf.DUMMYFUNCTION("""COMPUTED_VALUE"""),"Neighbourhood")</f>
        <v>Neighbourhood</v>
      </c>
      <c r="D2193" s="2" t="str">
        <f ca="1">IFERROR(__xludf.DUMMYFUNCTION("""COMPUTED_VALUE"""),"Dubai&gt;Jumeirah Park&gt;Regional&gt;Regional Small")</f>
        <v>Dubai&gt;Jumeirah Park&gt;Regional&gt;Regional Small</v>
      </c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</row>
    <row r="2194" spans="1:26" ht="16.5" x14ac:dyDescent="0.35">
      <c r="A2194" s="2" t="str">
        <f ca="1">IFERROR(__xludf.DUMMYFUNCTION("""COMPUTED_VALUE"""),"Dubai")</f>
        <v>Dubai</v>
      </c>
      <c r="B2194" s="2" t="str">
        <f ca="1">IFERROR(__xludf.DUMMYFUNCTION("""COMPUTED_VALUE"""),"Lagoon Views 10")</f>
        <v>Lagoon Views 10</v>
      </c>
      <c r="C2194" s="2" t="str">
        <f ca="1">IFERROR(__xludf.DUMMYFUNCTION("""COMPUTED_VALUE"""),"Building")</f>
        <v>Building</v>
      </c>
      <c r="D2194" s="2" t="str">
        <f ca="1">IFERROR(__xludf.DUMMYFUNCTION("""COMPUTED_VALUE"""),"Dubai&gt;DAMAC Lagoons&gt;Lagoon Views&gt;Lagoon Views 10")</f>
        <v>Dubai&gt;DAMAC Lagoons&gt;Lagoon Views&gt;Lagoon Views 10</v>
      </c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</row>
    <row r="2195" spans="1:26" ht="16.5" x14ac:dyDescent="0.35">
      <c r="A2195" s="2" t="str">
        <f ca="1">IFERROR(__xludf.DUMMYFUNCTION("""COMPUTED_VALUE"""),"Dubai")</f>
        <v>Dubai</v>
      </c>
      <c r="B2195" s="2" t="str">
        <f ca="1">IFERROR(__xludf.DUMMYFUNCTION("""COMPUTED_VALUE"""),"SAS 4 Building")</f>
        <v>SAS 4 Building</v>
      </c>
      <c r="C2195" s="2" t="str">
        <f ca="1">IFERROR(__xludf.DUMMYFUNCTION("""COMPUTED_VALUE"""),"Building")</f>
        <v>Building</v>
      </c>
      <c r="D2195" s="2" t="str">
        <f ca="1">IFERROR(__xludf.DUMMYFUNCTION("""COMPUTED_VALUE"""),"Dubai&gt;Liwan 2&gt;SAS 4 Building")</f>
        <v>Dubai&gt;Liwan 2&gt;SAS 4 Building</v>
      </c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</row>
    <row r="2196" spans="1:26" ht="16.5" x14ac:dyDescent="0.35">
      <c r="A2196" s="2" t="str">
        <f ca="1">IFERROR(__xludf.DUMMYFUNCTION("""COMPUTED_VALUE"""),"Dubai")</f>
        <v>Dubai</v>
      </c>
      <c r="B2196" s="2" t="str">
        <f ca="1">IFERROR(__xludf.DUMMYFUNCTION("""COMPUTED_VALUE"""),"Al Athbah")</f>
        <v>Al Athbah</v>
      </c>
      <c r="C2196" s="2" t="str">
        <f ca="1">IFERROR(__xludf.DUMMYFUNCTION("""COMPUTED_VALUE"""),"Neighbourhood")</f>
        <v>Neighbourhood</v>
      </c>
      <c r="D2196" s="2" t="str">
        <f ca="1">IFERROR(__xludf.DUMMYFUNCTION("""COMPUTED_VALUE"""),"Dubai&gt;Al Athbah")</f>
        <v>Dubai&gt;Al Athbah</v>
      </c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</row>
    <row r="2197" spans="1:26" ht="16.5" x14ac:dyDescent="0.35">
      <c r="A2197" s="2" t="str">
        <f ca="1">IFERROR(__xludf.DUMMYFUNCTION("""COMPUTED_VALUE"""),"Dubai")</f>
        <v>Dubai</v>
      </c>
      <c r="B2197" s="2" t="str">
        <f ca="1">IFERROR(__xludf.DUMMYFUNCTION("""COMPUTED_VALUE"""),"Lotus Residence 8")</f>
        <v>Lotus Residence 8</v>
      </c>
      <c r="C2197" s="2" t="str">
        <f ca="1">IFERROR(__xludf.DUMMYFUNCTION("""COMPUTED_VALUE"""),"Building")</f>
        <v>Building</v>
      </c>
      <c r="D2197" s="2" t="str">
        <f ca="1">IFERROR(__xludf.DUMMYFUNCTION("""COMPUTED_VALUE"""),"Dubai&gt;Dubai Investment Park (DIP)&gt;Dubai Investment Park 1&gt;Lotus Residence&gt;Lotus Residence 8")</f>
        <v>Dubai&gt;Dubai Investment Park (DIP)&gt;Dubai Investment Park 1&gt;Lotus Residence&gt;Lotus Residence 8</v>
      </c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</row>
    <row r="2198" spans="1:26" ht="16.5" x14ac:dyDescent="0.35">
      <c r="A2198" s="2" t="str">
        <f ca="1">IFERROR(__xludf.DUMMYFUNCTION("""COMPUTED_VALUE"""),"Dubai")</f>
        <v>Dubai</v>
      </c>
      <c r="B2198" s="2" t="str">
        <f ca="1">IFERROR(__xludf.DUMMYFUNCTION("""COMPUTED_VALUE"""),"Jebel Ali Shopping Centre")</f>
        <v>Jebel Ali Shopping Centre</v>
      </c>
      <c r="C2198" s="2" t="str">
        <f ca="1">IFERROR(__xludf.DUMMYFUNCTION("""COMPUTED_VALUE"""),"Building")</f>
        <v>Building</v>
      </c>
      <c r="D2198" s="2" t="str">
        <f ca="1">IFERROR(__xludf.DUMMYFUNCTION("""COMPUTED_VALUE"""),"Dubai&gt;Dubai Investment Park (DIP)&gt;Dubai Investment Park 1&gt;Jebel Ali Shopping Centre")</f>
        <v>Dubai&gt;Dubai Investment Park (DIP)&gt;Dubai Investment Park 1&gt;Jebel Ali Shopping Centre</v>
      </c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</row>
    <row r="2199" spans="1:26" ht="16.5" x14ac:dyDescent="0.35">
      <c r="A2199" s="2" t="str">
        <f ca="1">IFERROR(__xludf.DUMMYFUNCTION("""COMPUTED_VALUE"""),"Dubai")</f>
        <v>Dubai</v>
      </c>
      <c r="B2199" s="2" t="str">
        <f ca="1">IFERROR(__xludf.DUMMYFUNCTION("""COMPUTED_VALUE"""),"European Business Center")</f>
        <v>European Business Center</v>
      </c>
      <c r="C2199" s="2" t="str">
        <f ca="1">IFERROR(__xludf.DUMMYFUNCTION("""COMPUTED_VALUE"""),"Building")</f>
        <v>Building</v>
      </c>
      <c r="D2199" s="2" t="str">
        <f ca="1">IFERROR(__xludf.DUMMYFUNCTION("""COMPUTED_VALUE"""),"Dubai&gt;Dubai Investment Park (DIP)&gt;European Business Center")</f>
        <v>Dubai&gt;Dubai Investment Park (DIP)&gt;European Business Center</v>
      </c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</row>
    <row r="2200" spans="1:26" ht="16.5" x14ac:dyDescent="0.35">
      <c r="A2200" s="2" t="str">
        <f ca="1">IFERROR(__xludf.DUMMYFUNCTION("""COMPUTED_VALUE"""),"Dubai")</f>
        <v>Dubai</v>
      </c>
      <c r="B2200" s="2" t="str">
        <f ca="1">IFERROR(__xludf.DUMMYFUNCTION("""COMPUTED_VALUE"""),"Ritaj Block H")</f>
        <v>Ritaj Block H</v>
      </c>
      <c r="C2200" s="2" t="str">
        <f ca="1">IFERROR(__xludf.DUMMYFUNCTION("""COMPUTED_VALUE"""),"Building")</f>
        <v>Building</v>
      </c>
      <c r="D2200" s="2" t="str">
        <f ca="1">IFERROR(__xludf.DUMMYFUNCTION("""COMPUTED_VALUE"""),"Dubai&gt;Dubai Investment Park (DIP)&gt;Dubai Investment Park 2&gt;Ritaj (Residential Complex)&gt;Ritaj Block H")</f>
        <v>Dubai&gt;Dubai Investment Park (DIP)&gt;Dubai Investment Park 2&gt;Ritaj (Residential Complex)&gt;Ritaj Block H</v>
      </c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</row>
    <row r="2201" spans="1:26" ht="16.5" x14ac:dyDescent="0.35">
      <c r="A2201" s="2" t="str">
        <f ca="1">IFERROR(__xludf.DUMMYFUNCTION("""COMPUTED_VALUE"""),"Dubai")</f>
        <v>Dubai</v>
      </c>
      <c r="B2201" s="2" t="str">
        <f ca="1">IFERROR(__xludf.DUMMYFUNCTION("""COMPUTED_VALUE"""),"Schon Business Park")</f>
        <v>Schon Business Park</v>
      </c>
      <c r="C2201" s="2" t="str">
        <f ca="1">IFERROR(__xludf.DUMMYFUNCTION("""COMPUTED_VALUE"""),"Building")</f>
        <v>Building</v>
      </c>
      <c r="D2201" s="2" t="str">
        <f ca="1">IFERROR(__xludf.DUMMYFUNCTION("""COMPUTED_VALUE"""),"Dubai&gt;Dubai Investment Park (DIP)&gt;Schon Business Park")</f>
        <v>Dubai&gt;Dubai Investment Park (DIP)&gt;Schon Business Park</v>
      </c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</row>
    <row r="2202" spans="1:26" ht="16.5" x14ac:dyDescent="0.35">
      <c r="A2202" s="2" t="str">
        <f ca="1">IFERROR(__xludf.DUMMYFUNCTION("""COMPUTED_VALUE"""),"Dubai")</f>
        <v>Dubai</v>
      </c>
      <c r="B2202" s="2" t="str">
        <f ca="1">IFERROR(__xludf.DUMMYFUNCTION("""COMPUTED_VALUE"""),"Marine 3")</f>
        <v>Marine 3</v>
      </c>
      <c r="C2202" s="2" t="str">
        <f ca="1">IFERROR(__xludf.DUMMYFUNCTION("""COMPUTED_VALUE"""),"Building")</f>
        <v>Building</v>
      </c>
      <c r="D2202" s="2" t="str">
        <f ca="1">IFERROR(__xludf.DUMMYFUNCTION("""COMPUTED_VALUE"""),"Dubai&gt;Dubai Investment Park (DIP)&gt;DAMAC Riverside&gt;Riverside Views&gt;Marine 3")</f>
        <v>Dubai&gt;Dubai Investment Park (DIP)&gt;DAMAC Riverside&gt;Riverside Views&gt;Marine 3</v>
      </c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</row>
    <row r="2203" spans="1:26" ht="16.5" x14ac:dyDescent="0.35">
      <c r="A2203" s="2" t="str">
        <f ca="1">IFERROR(__xludf.DUMMYFUNCTION("""COMPUTED_VALUE"""),"Dubai")</f>
        <v>Dubai</v>
      </c>
      <c r="B2203" s="2" t="str">
        <f ca="1">IFERROR(__xludf.DUMMYFUNCTION("""COMPUTED_VALUE"""),"Paradise View 1")</f>
        <v>Paradise View 1</v>
      </c>
      <c r="C2203" s="2" t="str">
        <f ca="1">IFERROR(__xludf.DUMMYFUNCTION("""COMPUTED_VALUE"""),"Building")</f>
        <v>Building</v>
      </c>
      <c r="D2203" s="2" t="str">
        <f ca="1">IFERROR(__xludf.DUMMYFUNCTION("""COMPUTED_VALUE"""),"Dubai&gt;Majan&gt;Paradise View 1")</f>
        <v>Dubai&gt;Majan&gt;Paradise View 1</v>
      </c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</row>
    <row r="2204" spans="1:26" ht="16.5" x14ac:dyDescent="0.35">
      <c r="A2204" s="2" t="str">
        <f ca="1">IFERROR(__xludf.DUMMYFUNCTION("""COMPUTED_VALUE"""),"Dubai")</f>
        <v>Dubai</v>
      </c>
      <c r="B2204" s="2" t="str">
        <f ca="1">IFERROR(__xludf.DUMMYFUNCTION("""COMPUTED_VALUE"""),"Novi 1 Residences")</f>
        <v>Novi 1 Residences</v>
      </c>
      <c r="C2204" s="2" t="str">
        <f ca="1">IFERROR(__xludf.DUMMYFUNCTION("""COMPUTED_VALUE"""),"Building")</f>
        <v>Building</v>
      </c>
      <c r="D2204" s="2" t="str">
        <f ca="1">IFERROR(__xludf.DUMMYFUNCTION("""COMPUTED_VALUE"""),"Dubai&gt;Majan&gt;Novi 1 Residences")</f>
        <v>Dubai&gt;Majan&gt;Novi 1 Residences</v>
      </c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</row>
    <row r="2205" spans="1:26" ht="16.5" x14ac:dyDescent="0.35">
      <c r="A2205" s="2" t="str">
        <f ca="1">IFERROR(__xludf.DUMMYFUNCTION("""COMPUTED_VALUE"""),"Dubai")</f>
        <v>Dubai</v>
      </c>
      <c r="B2205" s="2" t="str">
        <f ca="1">IFERROR(__xludf.DUMMYFUNCTION("""COMPUTED_VALUE"""),"Amak Building J434")</f>
        <v>Amak Building J434</v>
      </c>
      <c r="C2205" s="2" t="str">
        <f ca="1">IFERROR(__xludf.DUMMYFUNCTION("""COMPUTED_VALUE"""),"Building")</f>
        <v>Building</v>
      </c>
      <c r="D2205" s="2" t="str">
        <f ca="1">IFERROR(__xludf.DUMMYFUNCTION("""COMPUTED_VALUE"""),"Dubai&gt;Majan&gt;Amak Building J434")</f>
        <v>Dubai&gt;Majan&gt;Amak Building J434</v>
      </c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</row>
    <row r="2206" spans="1:26" ht="16.5" x14ac:dyDescent="0.35">
      <c r="A2206" s="2" t="str">
        <f ca="1">IFERROR(__xludf.DUMMYFUNCTION("""COMPUTED_VALUE"""),"Dubai")</f>
        <v>Dubai</v>
      </c>
      <c r="B2206" s="2" t="str">
        <f ca="1">IFERROR(__xludf.DUMMYFUNCTION("""COMPUTED_VALUE"""),"Mareva 2 The Oasis")</f>
        <v>Mareva 2 The Oasis</v>
      </c>
      <c r="C2206" s="2" t="str">
        <f ca="1">IFERROR(__xludf.DUMMYFUNCTION("""COMPUTED_VALUE"""),"Neighbourhood")</f>
        <v>Neighbourhood</v>
      </c>
      <c r="D2206" s="2" t="str">
        <f ca="1">IFERROR(__xludf.DUMMYFUNCTION("""COMPUTED_VALUE"""),"Dubai&gt;The Oasis by Emaar&gt;Mareva 2 The Oasis")</f>
        <v>Dubai&gt;The Oasis by Emaar&gt;Mareva 2 The Oasis</v>
      </c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</row>
    <row r="2207" spans="1:26" ht="16.5" x14ac:dyDescent="0.35">
      <c r="A2207" s="2" t="str">
        <f ca="1">IFERROR(__xludf.DUMMYFUNCTION("""COMPUTED_VALUE"""),"Dubai")</f>
        <v>Dubai</v>
      </c>
      <c r="B2207" s="2" t="str">
        <f ca="1">IFERROR(__xludf.DUMMYFUNCTION("""COMPUTED_VALUE"""),"The Hive Block A")</f>
        <v>The Hive Block A</v>
      </c>
      <c r="C2207" s="2" t="str">
        <f ca="1">IFERROR(__xludf.DUMMYFUNCTION("""COMPUTED_VALUE"""),"Building")</f>
        <v>Building</v>
      </c>
      <c r="D2207" s="2" t="str">
        <f ca="1">IFERROR(__xludf.DUMMYFUNCTION("""COMPUTED_VALUE"""),"Dubai&gt;Dubai Studio City&gt;The Hive&gt;The Hive Block A")</f>
        <v>Dubai&gt;Dubai Studio City&gt;The Hive&gt;The Hive Block A</v>
      </c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</row>
    <row r="2208" spans="1:26" ht="16.5" x14ac:dyDescent="0.35">
      <c r="A2208" s="2" t="str">
        <f ca="1">IFERROR(__xludf.DUMMYFUNCTION("""COMPUTED_VALUE"""),"Dubai")</f>
        <v>Dubai</v>
      </c>
      <c r="B2208" s="2" t="str">
        <f ca="1">IFERROR(__xludf.DUMMYFUNCTION("""COMPUTED_VALUE"""),"BS-10")</f>
        <v>BS-10</v>
      </c>
      <c r="C2208" s="2" t="str">
        <f ca="1">IFERROR(__xludf.DUMMYFUNCTION("""COMPUTED_VALUE"""),"Building")</f>
        <v>Building</v>
      </c>
      <c r="D2208" s="2" t="str">
        <f ca="1">IFERROR(__xludf.DUMMYFUNCTION("""COMPUTED_VALUE"""),"Dubai&gt;Dubai Studio City&gt;Boutique Studios&gt;BS-10")</f>
        <v>Dubai&gt;Dubai Studio City&gt;Boutique Studios&gt;BS-10</v>
      </c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</row>
    <row r="2209" spans="1:26" ht="16.5" x14ac:dyDescent="0.35">
      <c r="A2209" s="2" t="str">
        <f ca="1">IFERROR(__xludf.DUMMYFUNCTION("""COMPUTED_VALUE"""),"Dubai")</f>
        <v>Dubai</v>
      </c>
      <c r="B2209" s="2" t="str">
        <f ca="1">IFERROR(__xludf.DUMMYFUNCTION("""COMPUTED_VALUE"""),"Hartland Greens Building 3")</f>
        <v>Hartland Greens Building 3</v>
      </c>
      <c r="C2209" s="2" t="str">
        <f ca="1">IFERROR(__xludf.DUMMYFUNCTION("""COMPUTED_VALUE"""),"Building")</f>
        <v>Building</v>
      </c>
      <c r="D2209" s="2" t="str">
        <f ca="1">IFERROR(__xludf.DUMMYFUNCTION("""COMPUTED_VALUE"""),"Dubai&gt;Sobha Hartland&gt;Hartland Greens&gt;Hartland Greens Building 3")</f>
        <v>Dubai&gt;Sobha Hartland&gt;Hartland Greens&gt;Hartland Greens Building 3</v>
      </c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</row>
    <row r="2210" spans="1:26" ht="16.5" x14ac:dyDescent="0.35">
      <c r="A2210" s="2" t="str">
        <f ca="1">IFERROR(__xludf.DUMMYFUNCTION("""COMPUTED_VALUE"""),"Dubai")</f>
        <v>Dubai</v>
      </c>
      <c r="B2210" s="2" t="str">
        <f ca="1">IFERROR(__xludf.DUMMYFUNCTION("""COMPUTED_VALUE"""),"The Crest Tower C")</f>
        <v>The Crest Tower C</v>
      </c>
      <c r="C2210" s="2" t="str">
        <f ca="1">IFERROR(__xludf.DUMMYFUNCTION("""COMPUTED_VALUE"""),"Building")</f>
        <v>Building</v>
      </c>
      <c r="D2210" s="2" t="str">
        <f ca="1">IFERROR(__xludf.DUMMYFUNCTION("""COMPUTED_VALUE"""),"Dubai&gt;Sobha Hartland&gt;The Crest&gt;The Crest Tower C")</f>
        <v>Dubai&gt;Sobha Hartland&gt;The Crest&gt;The Crest Tower C</v>
      </c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</row>
    <row r="2211" spans="1:26" ht="16.5" x14ac:dyDescent="0.35">
      <c r="A2211" s="2" t="str">
        <f ca="1">IFERROR(__xludf.DUMMYFUNCTION("""COMPUTED_VALUE"""),"Dubai")</f>
        <v>Dubai</v>
      </c>
      <c r="B2211" s="2" t="str">
        <f ca="1">IFERROR(__xludf.DUMMYFUNCTION("""COMPUTED_VALUE"""),"Jumeirah Heights F")</f>
        <v>Jumeirah Heights F</v>
      </c>
      <c r="C2211" s="2" t="str">
        <f ca="1">IFERROR(__xludf.DUMMYFUNCTION("""COMPUTED_VALUE"""),"Building")</f>
        <v>Building</v>
      </c>
      <c r="D2211" s="2" t="str">
        <f ca="1">IFERROR(__xludf.DUMMYFUNCTION("""COMPUTED_VALUE"""),"Dubai&gt;Jumeirah Heights&gt;Jumeirah Heights F")</f>
        <v>Dubai&gt;Jumeirah Heights&gt;Jumeirah Heights F</v>
      </c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</row>
    <row r="2212" spans="1:26" ht="16.5" x14ac:dyDescent="0.35">
      <c r="A2212" s="2" t="str">
        <f ca="1">IFERROR(__xludf.DUMMYFUNCTION("""COMPUTED_VALUE"""),"Dubai")</f>
        <v>Dubai</v>
      </c>
      <c r="B2212" s="2" t="str">
        <f ca="1">IFERROR(__xludf.DUMMYFUNCTION("""COMPUTED_VALUE"""),"Expo Valley Views Building 3")</f>
        <v>Expo Valley Views Building 3</v>
      </c>
      <c r="C2212" s="2" t="str">
        <f ca="1">IFERROR(__xludf.DUMMYFUNCTION("""COMPUTED_VALUE"""),"Building")</f>
        <v>Building</v>
      </c>
      <c r="D2212" s="2" t="str">
        <f ca="1">IFERROR(__xludf.DUMMYFUNCTION("""COMPUTED_VALUE"""),"Dubai&gt;Expo City&gt;Expo Valley&gt;Expo Valley Views&gt;Expo Valley Views Building 3")</f>
        <v>Dubai&gt;Expo City&gt;Expo Valley&gt;Expo Valley Views&gt;Expo Valley Views Building 3</v>
      </c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</row>
    <row r="2213" spans="1:26" ht="16.5" x14ac:dyDescent="0.35">
      <c r="A2213" s="2" t="str">
        <f ca="1">IFERROR(__xludf.DUMMYFUNCTION("""COMPUTED_VALUE"""),"Dubai")</f>
        <v>Dubai</v>
      </c>
      <c r="B2213" s="2" t="str">
        <f ca="1">IFERROR(__xludf.DUMMYFUNCTION("""COMPUTED_VALUE"""),"Marbella Resort Hotel Vignette Collection")</f>
        <v>Marbella Resort Hotel Vignette Collection</v>
      </c>
      <c r="C2213" s="2" t="str">
        <f ca="1">IFERROR(__xludf.DUMMYFUNCTION("""COMPUTED_VALUE"""),"Building")</f>
        <v>Building</v>
      </c>
      <c r="D2213" s="2" t="str">
        <f ca="1">IFERROR(__xludf.DUMMYFUNCTION("""COMPUTED_VALUE"""),"Dubai&gt;The World Islands&gt;The Heart of Europe&gt;Marbella Resort Hotel Vignette Collection")</f>
        <v>Dubai&gt;The World Islands&gt;The Heart of Europe&gt;Marbella Resort Hotel Vignette Collection</v>
      </c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</row>
    <row r="2214" spans="1:26" ht="16.5" x14ac:dyDescent="0.35">
      <c r="A2214" s="2" t="str">
        <f ca="1">IFERROR(__xludf.DUMMYFUNCTION("""COMPUTED_VALUE"""),"Dubai")</f>
        <v>Dubai</v>
      </c>
      <c r="B2214" s="2" t="str">
        <f ca="1">IFERROR(__xludf.DUMMYFUNCTION("""COMPUTED_VALUE"""),"Al O'shoosh")</f>
        <v>Al O'shoosh</v>
      </c>
      <c r="C2214" s="2" t="str">
        <f ca="1">IFERROR(__xludf.DUMMYFUNCTION("""COMPUTED_VALUE"""),"Neighbourhood")</f>
        <v>Neighbourhood</v>
      </c>
      <c r="D2214" s="2" t="str">
        <f ca="1">IFERROR(__xludf.DUMMYFUNCTION("""COMPUTED_VALUE"""),"Dubai&gt;Al O'shoosh")</f>
        <v>Dubai&gt;Al O'shoosh</v>
      </c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</row>
    <row r="2215" spans="1:26" ht="16.5" x14ac:dyDescent="0.35">
      <c r="A2215" s="2" t="str">
        <f ca="1">IFERROR(__xludf.DUMMYFUNCTION("""COMPUTED_VALUE"""),"Dubai")</f>
        <v>Dubai</v>
      </c>
      <c r="B2215" s="2" t="str">
        <f ca="1">IFERROR(__xludf.DUMMYFUNCTION("""COMPUTED_VALUE"""),"Foundry")</f>
        <v>Foundry</v>
      </c>
      <c r="C2215" s="2" t="str">
        <f ca="1">IFERROR(__xludf.DUMMYFUNCTION("""COMPUTED_VALUE"""),"Building")</f>
        <v>Building</v>
      </c>
      <c r="D2215" s="2" t="str">
        <f ca="1">IFERROR(__xludf.DUMMYFUNCTION("""COMPUTED_VALUE"""),"Dubai&gt;Athlon by Aldar&gt;Rise by Athlon&gt;Foundry")</f>
        <v>Dubai&gt;Athlon by Aldar&gt;Rise by Athlon&gt;Foundry</v>
      </c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</row>
    <row r="2216" spans="1:26" ht="16.5" x14ac:dyDescent="0.35">
      <c r="A2216" s="2" t="str">
        <f ca="1">IFERROR(__xludf.DUMMYFUNCTION("""COMPUTED_VALUE"""),"Dubai")</f>
        <v>Dubai</v>
      </c>
      <c r="B2216" s="2" t="str">
        <f ca="1">IFERROR(__xludf.DUMMYFUNCTION("""COMPUTED_VALUE"""),"Distrikt")</f>
        <v>Distrikt</v>
      </c>
      <c r="C2216" s="2" t="str">
        <f ca="1">IFERROR(__xludf.DUMMYFUNCTION("""COMPUTED_VALUE"""),"Cluster")</f>
        <v>Cluster</v>
      </c>
      <c r="D2216" s="2" t="str">
        <f ca="1">IFERROR(__xludf.DUMMYFUNCTION("""COMPUTED_VALUE"""),"Dubai&gt;Ghaf Woods&gt;Distrikt")</f>
        <v>Dubai&gt;Ghaf Woods&gt;Distrikt</v>
      </c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</row>
    <row r="2217" spans="1:26" ht="16.5" x14ac:dyDescent="0.35">
      <c r="A2217" s="2" t="str">
        <f ca="1">IFERROR(__xludf.DUMMYFUNCTION("""COMPUTED_VALUE"""),"Dubai")</f>
        <v>Dubai</v>
      </c>
      <c r="B2217" s="2" t="str">
        <f ca="1">IFERROR(__xludf.DUMMYFUNCTION("""COMPUTED_VALUE"""),"Jebel Ali Village Nursery JBR")</f>
        <v>Jebel Ali Village Nursery JBR</v>
      </c>
      <c r="C2217" s="2" t="str">
        <f ca="1">IFERROR(__xludf.DUMMYFUNCTION("""COMPUTED_VALUE"""),"Nursery")</f>
        <v>Nursery</v>
      </c>
      <c r="D2217" s="2" t="str">
        <f ca="1">IFERROR(__xludf.DUMMYFUNCTION("""COMPUTED_VALUE"""),"Dubai&gt;Jumeirah Beach Residence (JBR)&gt;Jebel Ali Village Nursery JBR")</f>
        <v>Dubai&gt;Jumeirah Beach Residence (JBR)&gt;Jebel Ali Village Nursery JBR</v>
      </c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</row>
    <row r="2218" spans="1:26" ht="16.5" x14ac:dyDescent="0.35">
      <c r="A2218" s="2" t="str">
        <f ca="1">IFERROR(__xludf.DUMMYFUNCTION("""COMPUTED_VALUE"""),"Dubai")</f>
        <v>Dubai</v>
      </c>
      <c r="B2218" s="2" t="str">
        <f ca="1">IFERROR(__xludf.DUMMYFUNCTION("""COMPUTED_VALUE"""),"Murjan 3")</f>
        <v>Murjan 3</v>
      </c>
      <c r="C2218" s="2" t="str">
        <f ca="1">IFERROR(__xludf.DUMMYFUNCTION("""COMPUTED_VALUE"""),"Building")</f>
        <v>Building</v>
      </c>
      <c r="D2218" s="2" t="str">
        <f ca="1">IFERROR(__xludf.DUMMYFUNCTION("""COMPUTED_VALUE"""),"Dubai&gt;Jumeirah Beach Residence (JBR)&gt;Murjan&gt;Murjan 3")</f>
        <v>Dubai&gt;Jumeirah Beach Residence (JBR)&gt;Murjan&gt;Murjan 3</v>
      </c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</row>
    <row r="2219" spans="1:26" ht="16.5" x14ac:dyDescent="0.35">
      <c r="A2219" s="2" t="str">
        <f ca="1">IFERROR(__xludf.DUMMYFUNCTION("""COMPUTED_VALUE"""),"Dubai")</f>
        <v>Dubai</v>
      </c>
      <c r="B2219" s="2" t="str">
        <f ca="1">IFERROR(__xludf.DUMMYFUNCTION("""COMPUTED_VALUE"""),"Amwaj 1")</f>
        <v>Amwaj 1</v>
      </c>
      <c r="C2219" s="2" t="str">
        <f ca="1">IFERROR(__xludf.DUMMYFUNCTION("""COMPUTED_VALUE"""),"Building")</f>
        <v>Building</v>
      </c>
      <c r="D2219" s="2" t="str">
        <f ca="1">IFERROR(__xludf.DUMMYFUNCTION("""COMPUTED_VALUE"""),"Dubai&gt;Jumeirah Beach Residence (JBR)&gt;Amwaj&gt;Amwaj 1")</f>
        <v>Dubai&gt;Jumeirah Beach Residence (JBR)&gt;Amwaj&gt;Amwaj 1</v>
      </c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</row>
    <row r="2220" spans="1:26" ht="16.5" x14ac:dyDescent="0.35">
      <c r="A2220" s="2" t="str">
        <f ca="1">IFERROR(__xludf.DUMMYFUNCTION("""COMPUTED_VALUE"""),"Dubai")</f>
        <v>Dubai</v>
      </c>
      <c r="B2220" s="2" t="str">
        <f ca="1">IFERROR(__xludf.DUMMYFUNCTION("""COMPUTED_VALUE"""),"Barbados")</f>
        <v>Barbados</v>
      </c>
      <c r="C2220" s="2" t="str">
        <f ca="1">IFERROR(__xludf.DUMMYFUNCTION("""COMPUTED_VALUE"""),"Neighbourhood")</f>
        <v>Neighbourhood</v>
      </c>
      <c r="D2220" s="2" t="str">
        <f ca="1">IFERROR(__xludf.DUMMYFUNCTION("""COMPUTED_VALUE"""),"Dubai&gt;DAMAC Islands 2&gt;Barbados")</f>
        <v>Dubai&gt;DAMAC Islands 2&gt;Barbados</v>
      </c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</row>
    <row r="2221" spans="1:26" ht="16.5" x14ac:dyDescent="0.35">
      <c r="A2221" s="2" t="str">
        <f ca="1">IFERROR(__xludf.DUMMYFUNCTION("""COMPUTED_VALUE"""),"Dubai")</f>
        <v>Dubai</v>
      </c>
      <c r="B2221" s="2" t="str">
        <f ca="1">IFERROR(__xludf.DUMMYFUNCTION("""COMPUTED_VALUE"""),"Building 25")</f>
        <v>Building 25</v>
      </c>
      <c r="C2221" s="2" t="str">
        <f ca="1">IFERROR(__xludf.DUMMYFUNCTION("""COMPUTED_VALUE"""),"Building")</f>
        <v>Building</v>
      </c>
      <c r="D2221" s="2" t="str">
        <f ca="1">IFERROR(__xludf.DUMMYFUNCTION("""COMPUTED_VALUE"""),"Dubai&gt;Al Wasl&gt;City Walk&gt;Building 25")</f>
        <v>Dubai&gt;Al Wasl&gt;City Walk&gt;Building 25</v>
      </c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</row>
    <row r="2222" spans="1:26" ht="16.5" x14ac:dyDescent="0.35">
      <c r="A2222" s="2" t="str">
        <f ca="1">IFERROR(__xludf.DUMMYFUNCTION("""COMPUTED_VALUE"""),"Dubai")</f>
        <v>Dubai</v>
      </c>
      <c r="B2222" s="2" t="str">
        <f ca="1">IFERROR(__xludf.DUMMYFUNCTION("""COMPUTED_VALUE"""),"Building 5")</f>
        <v>Building 5</v>
      </c>
      <c r="C2222" s="2" t="str">
        <f ca="1">IFERROR(__xludf.DUMMYFUNCTION("""COMPUTED_VALUE"""),"Building")</f>
        <v>Building</v>
      </c>
      <c r="D2222" s="2" t="str">
        <f ca="1">IFERROR(__xludf.DUMMYFUNCTION("""COMPUTED_VALUE"""),"Dubai&gt;Al Wasl&gt;City Walk&gt;Building 5")</f>
        <v>Dubai&gt;Al Wasl&gt;City Walk&gt;Building 5</v>
      </c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</row>
    <row r="2223" spans="1:26" ht="16.5" x14ac:dyDescent="0.35">
      <c r="A2223" s="2" t="str">
        <f ca="1">IFERROR(__xludf.DUMMYFUNCTION("""COMPUTED_VALUE"""),"Dubai")</f>
        <v>Dubai</v>
      </c>
      <c r="B2223" s="2" t="str">
        <f ca="1">IFERROR(__xludf.DUMMYFUNCTION("""COMPUTED_VALUE"""),"City Walk Crestlane 5 Building A")</f>
        <v>City Walk Crestlane 5 Building A</v>
      </c>
      <c r="C2223" s="2" t="str">
        <f ca="1">IFERROR(__xludf.DUMMYFUNCTION("""COMPUTED_VALUE"""),"Building")</f>
        <v>Building</v>
      </c>
      <c r="D2223" s="2" t="str">
        <f ca="1">IFERROR(__xludf.DUMMYFUNCTION("""COMPUTED_VALUE"""),"Dubai&gt;Al Wasl&gt;City Walk&gt;City Walk Crestlane 5&gt;City Walk Crestlane 5 Building A")</f>
        <v>Dubai&gt;Al Wasl&gt;City Walk&gt;City Walk Crestlane 5&gt;City Walk Crestlane 5 Building A</v>
      </c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</row>
    <row r="2224" spans="1:26" ht="16.5" x14ac:dyDescent="0.35">
      <c r="A2224" s="2" t="str">
        <f ca="1">IFERROR(__xludf.DUMMYFUNCTION("""COMPUTED_VALUE"""),"Dubai")</f>
        <v>Dubai</v>
      </c>
      <c r="B2224" s="2" t="str">
        <f ca="1">IFERROR(__xludf.DUMMYFUNCTION("""COMPUTED_VALUE"""),"Eden House The Park")</f>
        <v>Eden House The Park</v>
      </c>
      <c r="C2224" s="2" t="str">
        <f ca="1">IFERROR(__xludf.DUMMYFUNCTION("""COMPUTED_VALUE"""),"Cluster")</f>
        <v>Cluster</v>
      </c>
      <c r="D2224" s="2" t="str">
        <f ca="1">IFERROR(__xludf.DUMMYFUNCTION("""COMPUTED_VALUE"""),"Dubai&gt;Al Wasl&gt;Eden House The Park")</f>
        <v>Dubai&gt;Al Wasl&gt;Eden House The Park</v>
      </c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</row>
    <row r="2225" spans="1:26" ht="16.5" x14ac:dyDescent="0.35">
      <c r="A2225" s="2" t="str">
        <f ca="1">IFERROR(__xludf.DUMMYFUNCTION("""COMPUTED_VALUE"""),"Dubai")</f>
        <v>Dubai</v>
      </c>
      <c r="B2225" s="2" t="str">
        <f ca="1">IFERROR(__xludf.DUMMYFUNCTION("""COMPUTED_VALUE"""),"Vincitore Benessere")</f>
        <v>Vincitore Benessere</v>
      </c>
      <c r="C2225" s="2" t="str">
        <f ca="1">IFERROR(__xludf.DUMMYFUNCTION("""COMPUTED_VALUE"""),"Building")</f>
        <v>Building</v>
      </c>
      <c r="D2225" s="2" t="str">
        <f ca="1">IFERROR(__xludf.DUMMYFUNCTION("""COMPUTED_VALUE"""),"Dubai&gt;Arjan&gt;Vincitore Benessere")</f>
        <v>Dubai&gt;Arjan&gt;Vincitore Benessere</v>
      </c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</row>
    <row r="2226" spans="1:26" ht="16.5" x14ac:dyDescent="0.35">
      <c r="A2226" s="2" t="str">
        <f ca="1">IFERROR(__xludf.DUMMYFUNCTION("""COMPUTED_VALUE"""),"Dubai")</f>
        <v>Dubai</v>
      </c>
      <c r="B2226" s="2" t="str">
        <f ca="1">IFERROR(__xludf.DUMMYFUNCTION("""COMPUTED_VALUE"""),"Syann Park")</f>
        <v>Syann Park</v>
      </c>
      <c r="C2226" s="2" t="str">
        <f ca="1">IFERROR(__xludf.DUMMYFUNCTION("""COMPUTED_VALUE"""),"Cluster")</f>
        <v>Cluster</v>
      </c>
      <c r="D2226" s="2" t="str">
        <f ca="1">IFERROR(__xludf.DUMMYFUNCTION("""COMPUTED_VALUE"""),"Dubai&gt;Arjan&gt;Syann Park")</f>
        <v>Dubai&gt;Arjan&gt;Syann Park</v>
      </c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</row>
    <row r="2227" spans="1:26" ht="16.5" x14ac:dyDescent="0.35">
      <c r="A2227" s="2" t="str">
        <f ca="1">IFERROR(__xludf.DUMMYFUNCTION("""COMPUTED_VALUE"""),"Dubai")</f>
        <v>Dubai</v>
      </c>
      <c r="B2227" s="2" t="str">
        <f ca="1">IFERROR(__xludf.DUMMYFUNCTION("""COMPUTED_VALUE"""),"The Light Commercial Tower")</f>
        <v>The Light Commercial Tower</v>
      </c>
      <c r="C2227" s="2" t="str">
        <f ca="1">IFERROR(__xludf.DUMMYFUNCTION("""COMPUTED_VALUE"""),"Building")</f>
        <v>Building</v>
      </c>
      <c r="D2227" s="2" t="str">
        <f ca="1">IFERROR(__xludf.DUMMYFUNCTION("""COMPUTED_VALUE"""),"Dubai&gt;Arjan&gt;The Light Commercial Tower")</f>
        <v>Dubai&gt;Arjan&gt;The Light Commercial Tower</v>
      </c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</row>
    <row r="2228" spans="1:26" ht="16.5" x14ac:dyDescent="0.35">
      <c r="A2228" s="2" t="str">
        <f ca="1">IFERROR(__xludf.DUMMYFUNCTION("""COMPUTED_VALUE"""),"Dubai")</f>
        <v>Dubai</v>
      </c>
      <c r="B2228" s="2" t="str">
        <f ca="1">IFERROR(__xludf.DUMMYFUNCTION("""COMPUTED_VALUE"""),"Al Telal Residence 21")</f>
        <v>Al Telal Residence 21</v>
      </c>
      <c r="C2228" s="2" t="str">
        <f ca="1">IFERROR(__xludf.DUMMYFUNCTION("""COMPUTED_VALUE"""),"Building")</f>
        <v>Building</v>
      </c>
      <c r="D2228" s="2" t="str">
        <f ca="1">IFERROR(__xludf.DUMMYFUNCTION("""COMPUTED_VALUE"""),"Dubai&gt;Arjan&gt;Al Telal Residence 21")</f>
        <v>Dubai&gt;Arjan&gt;Al Telal Residence 21</v>
      </c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</row>
    <row r="2229" spans="1:26" ht="16.5" x14ac:dyDescent="0.35">
      <c r="A2229" s="2" t="str">
        <f ca="1">IFERROR(__xludf.DUMMYFUNCTION("""COMPUTED_VALUE"""),"Dubai")</f>
        <v>Dubai</v>
      </c>
      <c r="B2229" s="2" t="str">
        <f ca="1">IFERROR(__xludf.DUMMYFUNCTION("""COMPUTED_VALUE"""),"Skylines of Arjan Tower A")</f>
        <v>Skylines of Arjan Tower A</v>
      </c>
      <c r="C2229" s="2" t="str">
        <f ca="1">IFERROR(__xludf.DUMMYFUNCTION("""COMPUTED_VALUE"""),"Building")</f>
        <v>Building</v>
      </c>
      <c r="D2229" s="2" t="str">
        <f ca="1">IFERROR(__xludf.DUMMYFUNCTION("""COMPUTED_VALUE"""),"Dubai&gt;Arjan&gt;Skylines of Arjan&gt;Skylines of Arjan Tower A")</f>
        <v>Dubai&gt;Arjan&gt;Skylines of Arjan&gt;Skylines of Arjan Tower A</v>
      </c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</row>
    <row r="2230" spans="1:26" ht="16.5" x14ac:dyDescent="0.35">
      <c r="A2230" s="2" t="str">
        <f ca="1">IFERROR(__xludf.DUMMYFUNCTION("""COMPUTED_VALUE"""),"Dubai")</f>
        <v>Dubai</v>
      </c>
      <c r="B2230" s="2" t="str">
        <f ca="1">IFERROR(__xludf.DUMMYFUNCTION("""COMPUTED_VALUE"""),"Signature Accommodation")</f>
        <v>Signature Accommodation</v>
      </c>
      <c r="C2230" s="2" t="str">
        <f ca="1">IFERROR(__xludf.DUMMYFUNCTION("""COMPUTED_VALUE"""),"Building")</f>
        <v>Building</v>
      </c>
      <c r="D2230" s="2" t="str">
        <f ca="1">IFERROR(__xludf.DUMMYFUNCTION("""COMPUTED_VALUE"""),"Dubai&gt;Arjan&gt;Signature Accommodation")</f>
        <v>Dubai&gt;Arjan&gt;Signature Accommodation</v>
      </c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</row>
    <row r="2231" spans="1:26" ht="16.5" x14ac:dyDescent="0.35">
      <c r="A2231" s="2" t="str">
        <f ca="1">IFERROR(__xludf.DUMMYFUNCTION("""COMPUTED_VALUE"""),"Dubai")</f>
        <v>Dubai</v>
      </c>
      <c r="B2231" s="2" t="str">
        <f ca="1">IFERROR(__xludf.DUMMYFUNCTION("""COMPUTED_VALUE"""),"Indigo Central 2")</f>
        <v>Indigo Central 2</v>
      </c>
      <c r="C2231" s="2" t="str">
        <f ca="1">IFERROR(__xludf.DUMMYFUNCTION("""COMPUTED_VALUE"""),"Building")</f>
        <v>Building</v>
      </c>
      <c r="D2231" s="2" t="str">
        <f ca="1">IFERROR(__xludf.DUMMYFUNCTION("""COMPUTED_VALUE"""),"Dubai&gt;Al Safa&gt;Al Safa 2&gt;Indigo Central 2")</f>
        <v>Dubai&gt;Al Safa&gt;Al Safa 2&gt;Indigo Central 2</v>
      </c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</row>
    <row r="2232" spans="1:26" ht="16.5" x14ac:dyDescent="0.35">
      <c r="A2232" s="2" t="str">
        <f ca="1">IFERROR(__xludf.DUMMYFUNCTION("""COMPUTED_VALUE"""),"Dubai")</f>
        <v>Dubai</v>
      </c>
      <c r="B2232" s="2" t="str">
        <f ca="1">IFERROR(__xludf.DUMMYFUNCTION("""COMPUTED_VALUE"""),"CNN Building")</f>
        <v>CNN Building</v>
      </c>
      <c r="C2232" s="2" t="str">
        <f ca="1">IFERROR(__xludf.DUMMYFUNCTION("""COMPUTED_VALUE"""),"Building")</f>
        <v>Building</v>
      </c>
      <c r="D2232" s="2" t="str">
        <f ca="1">IFERROR(__xludf.DUMMYFUNCTION("""COMPUTED_VALUE"""),"Dubai&gt;Dubai Media City&gt;CNN Building")</f>
        <v>Dubai&gt;Dubai Media City&gt;CNN Building</v>
      </c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</row>
    <row r="2233" spans="1:26" ht="16.5" x14ac:dyDescent="0.35">
      <c r="A2233" s="2" t="str">
        <f ca="1">IFERROR(__xludf.DUMMYFUNCTION("""COMPUTED_VALUE"""),"Abu Dhabi")</f>
        <v>Abu Dhabi</v>
      </c>
      <c r="B2233" s="2" t="str">
        <f ca="1">IFERROR(__xludf.DUMMYFUNCTION("""COMPUTED_VALUE"""),"Beachfront Seaside Estate")</f>
        <v>Beachfront Seaside Estate</v>
      </c>
      <c r="C2233" s="2" t="str">
        <f ca="1">IFERROR(__xludf.DUMMYFUNCTION("""COMPUTED_VALUE"""),"Neighbourhood")</f>
        <v>Neighbourhood</v>
      </c>
      <c r="D2233" s="2" t="str">
        <f ca="1">IFERROR(__xludf.DUMMYFUNCTION("""COMPUTED_VALUE"""),"Abu Dhabi&gt;Nurai Island&gt;Beachfront Residences&gt;Beachfront Seaside Estate")</f>
        <v>Abu Dhabi&gt;Nurai Island&gt;Beachfront Residences&gt;Beachfront Seaside Estate</v>
      </c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</row>
    <row r="2234" spans="1:26" ht="16.5" x14ac:dyDescent="0.35">
      <c r="A2234" s="2" t="str">
        <f ca="1">IFERROR(__xludf.DUMMYFUNCTION("""COMPUTED_VALUE"""),"Abu Dhabi")</f>
        <v>Abu Dhabi</v>
      </c>
      <c r="B2234" s="2" t="str">
        <f ca="1">IFERROR(__xludf.DUMMYFUNCTION("""COMPUTED_VALUE"""),"Al Bateen Plaza")</f>
        <v>Al Bateen Plaza</v>
      </c>
      <c r="C2234" s="2" t="str">
        <f ca="1">IFERROR(__xludf.DUMMYFUNCTION("""COMPUTED_VALUE"""),"Building")</f>
        <v>Building</v>
      </c>
      <c r="D2234" s="2" t="str">
        <f ca="1">IFERROR(__xludf.DUMMYFUNCTION("""COMPUTED_VALUE"""),"Abu Dhabi&gt;Al Bateen&gt;Al Bateen Plaza")</f>
        <v>Abu Dhabi&gt;Al Bateen&gt;Al Bateen Plaza</v>
      </c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</row>
    <row r="2235" spans="1:26" ht="16.5" x14ac:dyDescent="0.35">
      <c r="A2235" s="2" t="str">
        <f ca="1">IFERROR(__xludf.DUMMYFUNCTION("""COMPUTED_VALUE"""),"Abu Dhabi")</f>
        <v>Abu Dhabi</v>
      </c>
      <c r="B2235" s="2" t="str">
        <f ca="1">IFERROR(__xludf.DUMMYFUNCTION("""COMPUTED_VALUE"""),"Jasmine Tower")</f>
        <v>Jasmine Tower</v>
      </c>
      <c r="C2235" s="2" t="str">
        <f ca="1">IFERROR(__xludf.DUMMYFUNCTION("""COMPUTED_VALUE"""),"Building")</f>
        <v>Building</v>
      </c>
      <c r="D2235" s="2" t="str">
        <f ca="1">IFERROR(__xludf.DUMMYFUNCTION("""COMPUTED_VALUE"""),"Abu Dhabi&gt;Airport Street&gt;Jasmine Tower")</f>
        <v>Abu Dhabi&gt;Airport Street&gt;Jasmine Tower</v>
      </c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</row>
    <row r="2236" spans="1:26" ht="16.5" x14ac:dyDescent="0.35">
      <c r="A2236" s="2" t="str">
        <f ca="1">IFERROR(__xludf.DUMMYFUNCTION("""COMPUTED_VALUE"""),"Abu Dhabi")</f>
        <v>Abu Dhabi</v>
      </c>
      <c r="B2236" s="2" t="str">
        <f ca="1">IFERROR(__xludf.DUMMYFUNCTION("""COMPUTED_VALUE"""),"Khalifa Residential Complex B Building 2")</f>
        <v>Khalifa Residential Complex B Building 2</v>
      </c>
      <c r="C2236" s="2" t="str">
        <f ca="1">IFERROR(__xludf.DUMMYFUNCTION("""COMPUTED_VALUE"""),"Building")</f>
        <v>Building</v>
      </c>
      <c r="D2236" s="2" t="str">
        <f ca="1">IFERROR(__xludf.DUMMYFUNCTION("""COMPUTED_VALUE"""),"Abu Dhabi&gt;Tourist Club Area (TCA)&gt;Khalifa Residential Complex B&gt;Khalifa Residential Complex B Building 2")</f>
        <v>Abu Dhabi&gt;Tourist Club Area (TCA)&gt;Khalifa Residential Complex B&gt;Khalifa Residential Complex B Building 2</v>
      </c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</row>
    <row r="2237" spans="1:26" ht="16.5" x14ac:dyDescent="0.35">
      <c r="A2237" s="2" t="str">
        <f ca="1">IFERROR(__xludf.DUMMYFUNCTION("""COMPUTED_VALUE"""),"Abu Dhabi")</f>
        <v>Abu Dhabi</v>
      </c>
      <c r="B2237" s="2" t="str">
        <f ca="1">IFERROR(__xludf.DUMMYFUNCTION("""COMPUTED_VALUE"""),"Al Manhal International Private School")</f>
        <v>Al Manhal International Private School</v>
      </c>
      <c r="C2237" s="2" t="str">
        <f ca="1">IFERROR(__xludf.DUMMYFUNCTION("""COMPUTED_VALUE"""),"School")</f>
        <v>School</v>
      </c>
      <c r="D2237" s="2" t="str">
        <f ca="1">IFERROR(__xludf.DUMMYFUNCTION("""COMPUTED_VALUE"""),"Abu Dhabi&gt;Al Mushrif&gt;Al Manhal International Private School")</f>
        <v>Abu Dhabi&gt;Al Mushrif&gt;Al Manhal International Private School</v>
      </c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</row>
    <row r="2238" spans="1:26" ht="16.5" x14ac:dyDescent="0.35">
      <c r="A2238" s="2" t="str">
        <f ca="1">IFERROR(__xludf.DUMMYFUNCTION("""COMPUTED_VALUE"""),"Abu Dhabi")</f>
        <v>Abu Dhabi</v>
      </c>
      <c r="B2238" s="2" t="str">
        <f ca="1">IFERROR(__xludf.DUMMYFUNCTION("""COMPUTED_VALUE"""),"MBK Al Qurm Compound")</f>
        <v>MBK Al Qurm Compound</v>
      </c>
      <c r="C2238" s="2" t="str">
        <f ca="1">IFERROR(__xludf.DUMMYFUNCTION("""COMPUTED_VALUE"""),"Neighbourhood")</f>
        <v>Neighbourhood</v>
      </c>
      <c r="D2238" s="2" t="str">
        <f ca="1">IFERROR(__xludf.DUMMYFUNCTION("""COMPUTED_VALUE"""),"Abu Dhabi&gt;Al Muntazah&gt;MBK Al Qurm Compound")</f>
        <v>Abu Dhabi&gt;Al Muntazah&gt;MBK Al Qurm Compound</v>
      </c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</row>
    <row r="2239" spans="1:26" ht="16.5" x14ac:dyDescent="0.35">
      <c r="A2239" s="2" t="str">
        <f ca="1">IFERROR(__xludf.DUMMYFUNCTION("""COMPUTED_VALUE"""),"Abu Dhabi")</f>
        <v>Abu Dhabi</v>
      </c>
      <c r="B2239" s="2" t="str">
        <f ca="1">IFERROR(__xludf.DUMMYFUNCTION("""COMPUTED_VALUE"""),"Shangri-La Hotel")</f>
        <v>Shangri-La Hotel</v>
      </c>
      <c r="C2239" s="2" t="str">
        <f ca="1">IFERROR(__xludf.DUMMYFUNCTION("""COMPUTED_VALUE"""),"Building")</f>
        <v>Building</v>
      </c>
      <c r="D2239" s="2" t="str">
        <f ca="1">IFERROR(__xludf.DUMMYFUNCTION("""COMPUTED_VALUE"""),"Abu Dhabi&gt;Rabdan&gt;Qaryat Al Beri&gt;Shangri-La Hotel")</f>
        <v>Abu Dhabi&gt;Rabdan&gt;Qaryat Al Beri&gt;Shangri-La Hotel</v>
      </c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</row>
    <row r="2240" spans="1:26" ht="16.5" x14ac:dyDescent="0.35">
      <c r="A2240" s="2" t="str">
        <f ca="1">IFERROR(__xludf.DUMMYFUNCTION("""COMPUTED_VALUE"""),"Abu Dhabi")</f>
        <v>Abu Dhabi</v>
      </c>
      <c r="B2240" s="2" t="str">
        <f ca="1">IFERROR(__xludf.DUMMYFUNCTION("""COMPUTED_VALUE"""),"Royal Park")</f>
        <v>Royal Park</v>
      </c>
      <c r="C2240" s="2" t="str">
        <f ca="1">IFERROR(__xludf.DUMMYFUNCTION("""COMPUTED_VALUE"""),"Cluster")</f>
        <v>Cluster</v>
      </c>
      <c r="D2240" s="2" t="str">
        <f ca="1">IFERROR(__xludf.DUMMYFUNCTION("""COMPUTED_VALUE"""),"Abu Dhabi&gt;Masdar City&gt;Royal Park")</f>
        <v>Abu Dhabi&gt;Masdar City&gt;Royal Park</v>
      </c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</row>
    <row r="2241" spans="1:26" ht="16.5" x14ac:dyDescent="0.35">
      <c r="A2241" s="2" t="str">
        <f ca="1">IFERROR(__xludf.DUMMYFUNCTION("""COMPUTED_VALUE"""),"Abu Dhabi")</f>
        <v>Abu Dhabi</v>
      </c>
      <c r="B2241" s="2" t="str">
        <f ca="1">IFERROR(__xludf.DUMMYFUNCTION("""COMPUTED_VALUE"""),"Al Muna Academy")</f>
        <v>Al Muna Academy</v>
      </c>
      <c r="C2241" s="2" t="str">
        <f ca="1">IFERROR(__xludf.DUMMYFUNCTION("""COMPUTED_VALUE"""),"School")</f>
        <v>School</v>
      </c>
      <c r="D2241" s="2" t="str">
        <f ca="1">IFERROR(__xludf.DUMMYFUNCTION("""COMPUTED_VALUE"""),"Abu Dhabi&gt;Al Danah&gt;Al Muna Academy")</f>
        <v>Abu Dhabi&gt;Al Danah&gt;Al Muna Academy</v>
      </c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</row>
    <row r="2242" spans="1:26" ht="16.5" x14ac:dyDescent="0.35">
      <c r="A2242" s="2" t="str">
        <f ca="1">IFERROR(__xludf.DUMMYFUNCTION("""COMPUTED_VALUE"""),"Abu Dhabi")</f>
        <v>Abu Dhabi</v>
      </c>
      <c r="B2242" s="2" t="str">
        <f ca="1">IFERROR(__xludf.DUMMYFUNCTION("""COMPUTED_VALUE"""),"Sowwah Square Tower 3")</f>
        <v>Sowwah Square Tower 3</v>
      </c>
      <c r="C2242" s="2" t="str">
        <f ca="1">IFERROR(__xludf.DUMMYFUNCTION("""COMPUTED_VALUE"""),"Building")</f>
        <v>Building</v>
      </c>
      <c r="D2242" s="2" t="str">
        <f ca="1">IFERROR(__xludf.DUMMYFUNCTION("""COMPUTED_VALUE"""),"Abu Dhabi&gt;Al Maryah Island&gt;Sowwah Square&gt;Sowwah Square Tower 3")</f>
        <v>Abu Dhabi&gt;Al Maryah Island&gt;Sowwah Square&gt;Sowwah Square Tower 3</v>
      </c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</row>
    <row r="2243" spans="1:26" ht="16.5" x14ac:dyDescent="0.35">
      <c r="A2243" s="2" t="str">
        <f ca="1">IFERROR(__xludf.DUMMYFUNCTION("""COMPUTED_VALUE"""),"Abu Dhabi")</f>
        <v>Abu Dhabi</v>
      </c>
      <c r="B2243" s="2" t="str">
        <f ca="1">IFERROR(__xludf.DUMMYFUNCTION("""COMPUTED_VALUE"""),"Al Qurm")</f>
        <v>Al Qurm</v>
      </c>
      <c r="C2243" s="2" t="str">
        <f ca="1">IFERROR(__xludf.DUMMYFUNCTION("""COMPUTED_VALUE"""),"Neighbourhood")</f>
        <v>Neighbourhood</v>
      </c>
      <c r="D2243" s="2" t="str">
        <f ca="1">IFERROR(__xludf.DUMMYFUNCTION("""COMPUTED_VALUE"""),"Abu Dhabi&gt;Al Qurm")</f>
        <v>Abu Dhabi&gt;Al Qurm</v>
      </c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</row>
    <row r="2244" spans="1:26" ht="16.5" x14ac:dyDescent="0.35">
      <c r="A2244" s="2" t="str">
        <f ca="1">IFERROR(__xludf.DUMMYFUNCTION("""COMPUTED_VALUE"""),"Abu Dhabi")</f>
        <v>Abu Dhabi</v>
      </c>
      <c r="B2244" s="2" t="str">
        <f ca="1">IFERROR(__xludf.DUMMYFUNCTION("""COMPUTED_VALUE"""),"MSH20")</f>
        <v>MSH20</v>
      </c>
      <c r="C2244" s="2" t="str">
        <f ca="1">IFERROR(__xludf.DUMMYFUNCTION("""COMPUTED_VALUE"""),"Neighbourhood")</f>
        <v>Neighbourhood</v>
      </c>
      <c r="D2244" s="2" t="str">
        <f ca="1">IFERROR(__xludf.DUMMYFUNCTION("""COMPUTED_VALUE"""),"Abu Dhabi&gt;Shakhbout City&gt;MSH20")</f>
        <v>Abu Dhabi&gt;Shakhbout City&gt;MSH20</v>
      </c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</row>
    <row r="2245" spans="1:26" ht="16.5" x14ac:dyDescent="0.35">
      <c r="A2245" s="2" t="str">
        <f ca="1">IFERROR(__xludf.DUMMYFUNCTION("""COMPUTED_VALUE"""),"Abu Dhabi")</f>
        <v>Abu Dhabi</v>
      </c>
      <c r="B2245" s="2" t="str">
        <f ca="1">IFERROR(__xludf.DUMMYFUNCTION("""COMPUTED_VALUE"""),"Marsa Al Jubail")</f>
        <v>Marsa Al Jubail</v>
      </c>
      <c r="C2245" s="2" t="str">
        <f ca="1">IFERROR(__xludf.DUMMYFUNCTION("""COMPUTED_VALUE"""),"Neighbourhood")</f>
        <v>Neighbourhood</v>
      </c>
      <c r="D2245" s="2" t="str">
        <f ca="1">IFERROR(__xludf.DUMMYFUNCTION("""COMPUTED_VALUE"""),"Abu Dhabi&gt;Al Jubail Island&gt;Marsa Al Jubail")</f>
        <v>Abu Dhabi&gt;Al Jubail Island&gt;Marsa Al Jubail</v>
      </c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</row>
    <row r="2246" spans="1:26" ht="16.5" x14ac:dyDescent="0.35">
      <c r="A2246" s="2" t="str">
        <f ca="1">IFERROR(__xludf.DUMMYFUNCTION("""COMPUTED_VALUE"""),"Abu Dhabi")</f>
        <v>Abu Dhabi</v>
      </c>
      <c r="B2246" s="2" t="str">
        <f ca="1">IFERROR(__xludf.DUMMYFUNCTION("""COMPUTED_VALUE"""),"Al Saqr Tower")</f>
        <v>Al Saqr Tower</v>
      </c>
      <c r="C2246" s="2" t="str">
        <f ca="1">IFERROR(__xludf.DUMMYFUNCTION("""COMPUTED_VALUE"""),"Building")</f>
        <v>Building</v>
      </c>
      <c r="D2246" s="2" t="str">
        <f ca="1">IFERROR(__xludf.DUMMYFUNCTION("""COMPUTED_VALUE"""),"Abu Dhabi&gt;Al Khubeirah&gt;Al Saqr Tower")</f>
        <v>Abu Dhabi&gt;Al Khubeirah&gt;Al Saqr Tower</v>
      </c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</row>
    <row r="2247" spans="1:26" ht="16.5" x14ac:dyDescent="0.35">
      <c r="A2247" s="2" t="str">
        <f ca="1">IFERROR(__xludf.DUMMYFUNCTION("""COMPUTED_VALUE"""),"Abu Dhabi")</f>
        <v>Abu Dhabi</v>
      </c>
      <c r="B2247" s="2" t="str">
        <f ca="1">IFERROR(__xludf.DUMMYFUNCTION("""COMPUTED_VALUE"""),"Al Jazeera Tower")</f>
        <v>Al Jazeera Tower</v>
      </c>
      <c r="C2247" s="2" t="str">
        <f ca="1">IFERROR(__xludf.DUMMYFUNCTION("""COMPUTED_VALUE"""),"Building")</f>
        <v>Building</v>
      </c>
      <c r="D2247" s="2" t="str">
        <f ca="1">IFERROR(__xludf.DUMMYFUNCTION("""COMPUTED_VALUE"""),"Abu Dhabi&gt;Al Hisn&gt;Al Jazeera Tower")</f>
        <v>Abu Dhabi&gt;Al Hisn&gt;Al Jazeera Tower</v>
      </c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</row>
    <row r="2248" spans="1:26" ht="16.5" x14ac:dyDescent="0.35">
      <c r="A2248" s="2" t="str">
        <f ca="1">IFERROR(__xludf.DUMMYFUNCTION("""COMPUTED_VALUE"""),"Abu Dhabi")</f>
        <v>Abu Dhabi</v>
      </c>
      <c r="B2248" s="2" t="str">
        <f ca="1">IFERROR(__xludf.DUMMYFUNCTION("""COMPUTED_VALUE"""),"Umm Al Nar")</f>
        <v>Umm Al Nar</v>
      </c>
      <c r="C2248" s="2" t="str">
        <f ca="1">IFERROR(__xludf.DUMMYFUNCTION("""COMPUTED_VALUE"""),"Neighbourhood")</f>
        <v>Neighbourhood</v>
      </c>
      <c r="D2248" s="2" t="str">
        <f ca="1">IFERROR(__xludf.DUMMYFUNCTION("""COMPUTED_VALUE"""),"Abu Dhabi&gt;Umm Al Nar")</f>
        <v>Abu Dhabi&gt;Umm Al Nar</v>
      </c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</row>
    <row r="2249" spans="1:26" ht="16.5" x14ac:dyDescent="0.35">
      <c r="A2249" s="2" t="str">
        <f ca="1">IFERROR(__xludf.DUMMYFUNCTION("""COMPUTED_VALUE"""),"Abu Dhabi")</f>
        <v>Abu Dhabi</v>
      </c>
      <c r="B2249" s="2" t="str">
        <f ca="1">IFERROR(__xludf.DUMMYFUNCTION("""COMPUTED_VALUE"""),"The Beach House Tower 4")</f>
        <v>The Beach House Tower 4</v>
      </c>
      <c r="C2249" s="2" t="str">
        <f ca="1">IFERROR(__xludf.DUMMYFUNCTION("""COMPUTED_VALUE"""),"Building")</f>
        <v>Building</v>
      </c>
      <c r="D2249" s="2" t="str">
        <f ca="1">IFERROR(__xludf.DUMMYFUNCTION("""COMPUTED_VALUE"""),"Abu Dhabi&gt;Fahid Island&gt;The Beach House&gt;The Beach House Tower 4")</f>
        <v>Abu Dhabi&gt;Fahid Island&gt;The Beach House&gt;The Beach House Tower 4</v>
      </c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</row>
    <row r="2250" spans="1:26" ht="16.5" x14ac:dyDescent="0.35">
      <c r="A2250" s="2" t="str">
        <f ca="1">IFERROR(__xludf.DUMMYFUNCTION("""COMPUTED_VALUE"""),"Abu Dhabi")</f>
        <v>Abu Dhabi</v>
      </c>
      <c r="B2250" s="2" t="str">
        <f ca="1">IFERROR(__xludf.DUMMYFUNCTION("""COMPUTED_VALUE"""),"RDK Tower 2")</f>
        <v>RDK Tower 2</v>
      </c>
      <c r="C2250" s="2" t="str">
        <f ca="1">IFERROR(__xludf.DUMMYFUNCTION("""COMPUTED_VALUE"""),"Building")</f>
        <v>Building</v>
      </c>
      <c r="D2250" s="2" t="str">
        <f ca="1">IFERROR(__xludf.DUMMYFUNCTION("""COMPUTED_VALUE"""),"Abu Dhabi&gt;Al Reem Island&gt;Najmat Abu Dhabi&gt;RDK Towers&gt;RDK Tower 2")</f>
        <v>Abu Dhabi&gt;Al Reem Island&gt;Najmat Abu Dhabi&gt;RDK Towers&gt;RDK Tower 2</v>
      </c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</row>
    <row r="2251" spans="1:26" ht="16.5" x14ac:dyDescent="0.35">
      <c r="A2251" s="2" t="str">
        <f ca="1">IFERROR(__xludf.DUMMYFUNCTION("""COMPUTED_VALUE"""),"Abu Dhabi")</f>
        <v>Abu Dhabi</v>
      </c>
      <c r="B2251" s="2" t="str">
        <f ca="1">IFERROR(__xludf.DUMMYFUNCTION("""COMPUTED_VALUE"""),"Ocean Terrace Residence")</f>
        <v>Ocean Terrace Residence</v>
      </c>
      <c r="C2251" s="2" t="str">
        <f ca="1">IFERROR(__xludf.DUMMYFUNCTION("""COMPUTED_VALUE"""),"Building")</f>
        <v>Building</v>
      </c>
      <c r="D2251" s="2" t="str">
        <f ca="1">IFERROR(__xludf.DUMMYFUNCTION("""COMPUTED_VALUE"""),"Abu Dhabi&gt;Al Reem Island&gt;Marina Square&gt;Ocean Terrace Residence")</f>
        <v>Abu Dhabi&gt;Al Reem Island&gt;Marina Square&gt;Ocean Terrace Residence</v>
      </c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</row>
    <row r="2252" spans="1:26" ht="16.5" x14ac:dyDescent="0.35">
      <c r="A2252" s="2" t="str">
        <f ca="1">IFERROR(__xludf.DUMMYFUNCTION("""COMPUTED_VALUE"""),"Abu Dhabi")</f>
        <v>Abu Dhabi</v>
      </c>
      <c r="B2252" s="2" t="str">
        <f ca="1">IFERROR(__xludf.DUMMYFUNCTION("""COMPUTED_VALUE"""),"Al Jeel Towers")</f>
        <v>Al Jeel Towers</v>
      </c>
      <c r="C2252" s="2" t="str">
        <f ca="1">IFERROR(__xludf.DUMMYFUNCTION("""COMPUTED_VALUE"""),"Building")</f>
        <v>Building</v>
      </c>
      <c r="D2252" s="2" t="str">
        <f ca="1">IFERROR(__xludf.DUMMYFUNCTION("""COMPUTED_VALUE"""),"Abu Dhabi&gt;Al Reem Island&gt;Shams Abu Dhabi&gt;Al Jeel Towers")</f>
        <v>Abu Dhabi&gt;Al Reem Island&gt;Shams Abu Dhabi&gt;Al Jeel Towers</v>
      </c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</row>
    <row r="2253" spans="1:26" ht="16.5" x14ac:dyDescent="0.35">
      <c r="A2253" s="2" t="str">
        <f ca="1">IFERROR(__xludf.DUMMYFUNCTION("""COMPUTED_VALUE"""),"Abu Dhabi")</f>
        <v>Abu Dhabi</v>
      </c>
      <c r="B2253" s="2" t="str">
        <f ca="1">IFERROR(__xludf.DUMMYFUNCTION("""COMPUTED_VALUE"""),"The Residence Central Park")</f>
        <v>The Residence Central Park</v>
      </c>
      <c r="C2253" s="2" t="str">
        <f ca="1">IFERROR(__xludf.DUMMYFUNCTION("""COMPUTED_VALUE"""),"Building")</f>
        <v>Building</v>
      </c>
      <c r="D2253" s="2" t="str">
        <f ca="1">IFERROR(__xludf.DUMMYFUNCTION("""COMPUTED_VALUE"""),"Abu Dhabi&gt;Al Reem Island&gt;Shams Abu Dhabi&gt;The Residence Central Park")</f>
        <v>Abu Dhabi&gt;Al Reem Island&gt;Shams Abu Dhabi&gt;The Residence Central Park</v>
      </c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</row>
    <row r="2254" spans="1:26" ht="16.5" x14ac:dyDescent="0.35">
      <c r="A2254" s="2" t="str">
        <f ca="1">IFERROR(__xludf.DUMMYFUNCTION("""COMPUTED_VALUE"""),"Abu Dhabi")</f>
        <v>Abu Dhabi</v>
      </c>
      <c r="B2254" s="2" t="str">
        <f ca="1">IFERROR(__xludf.DUMMYFUNCTION("""COMPUTED_VALUE"""),"Hydra 55")</f>
        <v>Hydra 55</v>
      </c>
      <c r="C2254" s="2" t="str">
        <f ca="1">IFERROR(__xludf.DUMMYFUNCTION("""COMPUTED_VALUE"""),"Building")</f>
        <v>Building</v>
      </c>
      <c r="D2254" s="2" t="str">
        <f ca="1">IFERROR(__xludf.DUMMYFUNCTION("""COMPUTED_VALUE"""),"Abu Dhabi&gt;Al Reem Island&gt;City of Lights&gt;Hydra 55")</f>
        <v>Abu Dhabi&gt;Al Reem Island&gt;City of Lights&gt;Hydra 55</v>
      </c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</row>
    <row r="2255" spans="1:26" ht="16.5" x14ac:dyDescent="0.35">
      <c r="A2255" s="2" t="str">
        <f ca="1">IFERROR(__xludf.DUMMYFUNCTION("""COMPUTED_VALUE"""),"Abu Dhabi")</f>
        <v>Abu Dhabi</v>
      </c>
      <c r="B2255" s="2" t="str">
        <f ca="1">IFERROR(__xludf.DUMMYFUNCTION("""COMPUTED_VALUE"""),"Canal Side")</f>
        <v>Canal Side</v>
      </c>
      <c r="C2255" s="2" t="str">
        <f ca="1">IFERROR(__xludf.DUMMYFUNCTION("""COMPUTED_VALUE"""),"Neighbourhood")</f>
        <v>Neighbourhood</v>
      </c>
      <c r="D2255" s="2" t="str">
        <f ca="1">IFERROR(__xludf.DUMMYFUNCTION("""COMPUTED_VALUE"""),"Abu Dhabi&gt;Al Reem Island&gt;Reem Hills&gt;Canal Side")</f>
        <v>Abu Dhabi&gt;Al Reem Island&gt;Reem Hills&gt;Canal Side</v>
      </c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</row>
    <row r="2256" spans="1:26" ht="16.5" x14ac:dyDescent="0.35">
      <c r="A2256" s="2" t="str">
        <f ca="1">IFERROR(__xludf.DUMMYFUNCTION("""COMPUTED_VALUE"""),"Abu Dhabi")</f>
        <v>Abu Dhabi</v>
      </c>
      <c r="B2256" s="2" t="str">
        <f ca="1">IFERROR(__xludf.DUMMYFUNCTION("""COMPUTED_VALUE"""),"Al Diar Towers")</f>
        <v>Al Diar Towers</v>
      </c>
      <c r="C2256" s="2" t="str">
        <f ca="1">IFERROR(__xludf.DUMMYFUNCTION("""COMPUTED_VALUE"""),"Cluster")</f>
        <v>Cluster</v>
      </c>
      <c r="D2256" s="2" t="str">
        <f ca="1">IFERROR(__xludf.DUMMYFUNCTION("""COMPUTED_VALUE"""),"Abu Dhabi&gt;Corniche Road&gt;Al Diar Towers")</f>
        <v>Abu Dhabi&gt;Corniche Road&gt;Al Diar Towers</v>
      </c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</row>
    <row r="2257" spans="1:26" ht="16.5" x14ac:dyDescent="0.35">
      <c r="A2257" s="2" t="str">
        <f ca="1">IFERROR(__xludf.DUMMYFUNCTION("""COMPUTED_VALUE"""),"Abu Dhabi")</f>
        <v>Abu Dhabi</v>
      </c>
      <c r="B2257" s="2" t="str">
        <f ca="1">IFERROR(__xludf.DUMMYFUNCTION("""COMPUTED_VALUE"""),"Khalidiya Building")</f>
        <v>Khalidiya Building</v>
      </c>
      <c r="C2257" s="2" t="str">
        <f ca="1">IFERROR(__xludf.DUMMYFUNCTION("""COMPUTED_VALUE"""),"Building")</f>
        <v>Building</v>
      </c>
      <c r="D2257" s="2" t="str">
        <f ca="1">IFERROR(__xludf.DUMMYFUNCTION("""COMPUTED_VALUE"""),"Abu Dhabi&gt;Al Khalidiyah&gt;Khalidiya Building")</f>
        <v>Abu Dhabi&gt;Al Khalidiyah&gt;Khalidiya Building</v>
      </c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</row>
    <row r="2258" spans="1:26" ht="16.5" x14ac:dyDescent="0.35">
      <c r="A2258" s="2" t="str">
        <f ca="1">IFERROR(__xludf.DUMMYFUNCTION("""COMPUTED_VALUE"""),"Abu Dhabi")</f>
        <v>Abu Dhabi</v>
      </c>
      <c r="B2258" s="2" t="str">
        <f ca="1">IFERROR(__xludf.DUMMYFUNCTION("""COMPUTED_VALUE"""),"Al Jazeera Tower")</f>
        <v>Al Jazeera Tower</v>
      </c>
      <c r="C2258" s="2" t="str">
        <f ca="1">IFERROR(__xludf.DUMMYFUNCTION("""COMPUTED_VALUE"""),"Building")</f>
        <v>Building</v>
      </c>
      <c r="D2258" s="2" t="str">
        <f ca="1">IFERROR(__xludf.DUMMYFUNCTION("""COMPUTED_VALUE"""),"Abu Dhabi&gt;Al Khalidiyah&gt;Khalidiyah Street&gt;Al Jazeera Tower")</f>
        <v>Abu Dhabi&gt;Al Khalidiyah&gt;Khalidiyah Street&gt;Al Jazeera Tower</v>
      </c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</row>
    <row r="2259" spans="1:26" ht="16.5" x14ac:dyDescent="0.35">
      <c r="A2259" s="2" t="str">
        <f ca="1">IFERROR(__xludf.DUMMYFUNCTION("""COMPUTED_VALUE"""),"Abu Dhabi")</f>
        <v>Abu Dhabi</v>
      </c>
      <c r="B2259" s="2" t="str">
        <f ca="1">IFERROR(__xludf.DUMMYFUNCTION("""COMPUTED_VALUE"""),"Complex 8")</f>
        <v>Complex 8</v>
      </c>
      <c r="C2259" s="2" t="str">
        <f ca="1">IFERROR(__xludf.DUMMYFUNCTION("""COMPUTED_VALUE"""),"Neighbourhood")</f>
        <v>Neighbourhood</v>
      </c>
      <c r="D2259" s="2" t="str">
        <f ca="1">IFERROR(__xludf.DUMMYFUNCTION("""COMPUTED_VALUE"""),"Abu Dhabi&gt;Khalifa City&gt;Complex 8")</f>
        <v>Abu Dhabi&gt;Khalifa City&gt;Complex 8</v>
      </c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</row>
    <row r="2260" spans="1:26" ht="16.5" x14ac:dyDescent="0.35">
      <c r="A2260" s="2" t="str">
        <f ca="1">IFERROR(__xludf.DUMMYFUNCTION("""COMPUTED_VALUE"""),"Abu Dhabi")</f>
        <v>Abu Dhabi</v>
      </c>
      <c r="B2260" s="2" t="str">
        <f ca="1">IFERROR(__xludf.DUMMYFUNCTION("""COMPUTED_VALUE"""),"SE24")</f>
        <v>SE24</v>
      </c>
      <c r="C2260" s="2" t="str">
        <f ca="1">IFERROR(__xludf.DUMMYFUNCTION("""COMPUTED_VALUE"""),"Neighbourhood")</f>
        <v>Neighbourhood</v>
      </c>
      <c r="D2260" s="2" t="str">
        <f ca="1">IFERROR(__xludf.DUMMYFUNCTION("""COMPUTED_VALUE"""),"Abu Dhabi&gt;Khalifa City&gt;SE24")</f>
        <v>Abu Dhabi&gt;Khalifa City&gt;SE24</v>
      </c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</row>
    <row r="2261" spans="1:26" ht="16.5" x14ac:dyDescent="0.35">
      <c r="A2261" s="2" t="str">
        <f ca="1">IFERROR(__xludf.DUMMYFUNCTION("""COMPUTED_VALUE"""),"Abu Dhabi")</f>
        <v>Abu Dhabi</v>
      </c>
      <c r="B2261" s="2" t="str">
        <f ca="1">IFERROR(__xludf.DUMMYFUNCTION("""COMPUTED_VALUE"""),"Liwa Tower")</f>
        <v>Liwa Tower</v>
      </c>
      <c r="C2261" s="2" t="str">
        <f ca="1">IFERROR(__xludf.DUMMYFUNCTION("""COMPUTED_VALUE"""),"Building")</f>
        <v>Building</v>
      </c>
      <c r="D2261" s="2" t="str">
        <f ca="1">IFERROR(__xludf.DUMMYFUNCTION("""COMPUTED_VALUE"""),"Abu Dhabi&gt;Al Markaziya&gt;Liwa Tower")</f>
        <v>Abu Dhabi&gt;Al Markaziya&gt;Liwa Tower</v>
      </c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</row>
    <row r="2262" spans="1:26" ht="16.5" x14ac:dyDescent="0.35">
      <c r="A2262" s="2" t="str">
        <f ca="1">IFERROR(__xludf.DUMMYFUNCTION("""COMPUTED_VALUE"""),"Abu Dhabi")</f>
        <v>Abu Dhabi</v>
      </c>
      <c r="B2262" s="2" t="str">
        <f ca="1">IFERROR(__xludf.DUMMYFUNCTION("""COMPUTED_VALUE"""),"Hemaim Community")</f>
        <v>Hemaim Community</v>
      </c>
      <c r="C2262" s="2" t="str">
        <f ca="1">IFERROR(__xludf.DUMMYFUNCTION("""COMPUTED_VALUE"""),"Neighbourhood")</f>
        <v>Neighbourhood</v>
      </c>
      <c r="D2262" s="2" t="str">
        <f ca="1">IFERROR(__xludf.DUMMYFUNCTION("""COMPUTED_VALUE"""),"Abu Dhabi&gt;Al Raha Gardens&gt;Hemaim Community")</f>
        <v>Abu Dhabi&gt;Al Raha Gardens&gt;Hemaim Community</v>
      </c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</row>
    <row r="2263" spans="1:26" ht="16.5" x14ac:dyDescent="0.35">
      <c r="A2263" s="2" t="str">
        <f ca="1">IFERROR(__xludf.DUMMYFUNCTION("""COMPUTED_VALUE"""),"Abu Dhabi")</f>
        <v>Abu Dhabi</v>
      </c>
      <c r="B2263" s="2" t="str">
        <f ca="1">IFERROR(__xludf.DUMMYFUNCTION("""COMPUTED_VALUE"""),"The Arthouse")</f>
        <v>The Arthouse</v>
      </c>
      <c r="C2263" s="2" t="str">
        <f ca="1">IFERROR(__xludf.DUMMYFUNCTION("""COMPUTED_VALUE"""),"Building")</f>
        <v>Building</v>
      </c>
      <c r="D2263" s="2" t="str">
        <f ca="1">IFERROR(__xludf.DUMMYFUNCTION("""COMPUTED_VALUE"""),"Abu Dhabi&gt;Saadiyat Island&gt;Saadiyat Cultural District&gt;The Arthouse")</f>
        <v>Abu Dhabi&gt;Saadiyat Island&gt;Saadiyat Cultural District&gt;The Arthouse</v>
      </c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</row>
    <row r="2264" spans="1:26" ht="16.5" x14ac:dyDescent="0.35">
      <c r="A2264" s="2" t="str">
        <f ca="1">IFERROR(__xludf.DUMMYFUNCTION("""COMPUTED_VALUE"""),"Abu Dhabi")</f>
        <v>Abu Dhabi</v>
      </c>
      <c r="B2264" s="2" t="str">
        <f ca="1">IFERROR(__xludf.DUMMYFUNCTION("""COMPUTED_VALUE"""),"Saadiyat Beach Residences Block 4")</f>
        <v>Saadiyat Beach Residences Block 4</v>
      </c>
      <c r="C2264" s="2" t="str">
        <f ca="1">IFERROR(__xludf.DUMMYFUNCTION("""COMPUTED_VALUE"""),"Building")</f>
        <v>Building</v>
      </c>
      <c r="D2264" s="2" t="str">
        <f ca="1">IFERROR(__xludf.DUMMYFUNCTION("""COMPUTED_VALUE"""),"Abu Dhabi&gt;Saadiyat Island&gt;Saadiyat Beach&gt;Saadiyat Beach Residences&gt;Saadiyat Beach Residences Block 4")</f>
        <v>Abu Dhabi&gt;Saadiyat Island&gt;Saadiyat Beach&gt;Saadiyat Beach Residences&gt;Saadiyat Beach Residences Block 4</v>
      </c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</row>
    <row r="2265" spans="1:26" ht="16.5" x14ac:dyDescent="0.35">
      <c r="A2265" s="2" t="str">
        <f ca="1">IFERROR(__xludf.DUMMYFUNCTION("""COMPUTED_VALUE"""),"Abu Dhabi")</f>
        <v>Abu Dhabi</v>
      </c>
      <c r="B2265" s="2" t="str">
        <f ca="1">IFERROR(__xludf.DUMMYFUNCTION("""COMPUTED_VALUE"""),"Solea")</f>
        <v>Solea</v>
      </c>
      <c r="C2265" s="2" t="str">
        <f ca="1">IFERROR(__xludf.DUMMYFUNCTION("""COMPUTED_VALUE"""),"Cluster")</f>
        <v>Cluster</v>
      </c>
      <c r="D2265" s="2" t="str">
        <f ca="1">IFERROR(__xludf.DUMMYFUNCTION("""COMPUTED_VALUE"""),"Abu Dhabi&gt;Saadiyat Island&gt;Solea")</f>
        <v>Abu Dhabi&gt;Saadiyat Island&gt;Solea</v>
      </c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</row>
    <row r="2266" spans="1:26" ht="16.5" x14ac:dyDescent="0.35">
      <c r="A2266" s="2" t="str">
        <f ca="1">IFERROR(__xludf.DUMMYFUNCTION("""COMPUTED_VALUE"""),"Abu Dhabi")</f>
        <v>Abu Dhabi</v>
      </c>
      <c r="B2266" s="2" t="str">
        <f ca="1">IFERROR(__xludf.DUMMYFUNCTION("""COMPUTED_VALUE"""),"Al Shaleela")</f>
        <v>Al Shaleela</v>
      </c>
      <c r="C2266" s="2" t="str">
        <f ca="1">IFERROR(__xludf.DUMMYFUNCTION("""COMPUTED_VALUE"""),"Neighbourhood")</f>
        <v>Neighbourhood</v>
      </c>
      <c r="D2266" s="2" t="str">
        <f ca="1">IFERROR(__xludf.DUMMYFUNCTION("""COMPUTED_VALUE"""),"Abu Dhabi&gt;Al Raha Beach&gt;Al Shaleela")</f>
        <v>Abu Dhabi&gt;Al Raha Beach&gt;Al Shaleela</v>
      </c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</row>
    <row r="2267" spans="1:26" ht="16.5" x14ac:dyDescent="0.35">
      <c r="A2267" s="2" t="str">
        <f ca="1">IFERROR(__xludf.DUMMYFUNCTION("""COMPUTED_VALUE"""),"Abu Dhabi")</f>
        <v>Abu Dhabi</v>
      </c>
      <c r="B2267" s="2" t="str">
        <f ca="1">IFERROR(__xludf.DUMMYFUNCTION("""COMPUTED_VALUE"""),"Al Maha 1")</f>
        <v>Al Maha 1</v>
      </c>
      <c r="C2267" s="2" t="str">
        <f ca="1">IFERROR(__xludf.DUMMYFUNCTION("""COMPUTED_VALUE"""),"Building")</f>
        <v>Building</v>
      </c>
      <c r="D2267" s="2" t="str">
        <f ca="1">IFERROR(__xludf.DUMMYFUNCTION("""COMPUTED_VALUE"""),"Abu Dhabi&gt;Al Raha Beach&gt;Al Muneera&gt;Al Maha&gt;Al Maha 1")</f>
        <v>Abu Dhabi&gt;Al Raha Beach&gt;Al Muneera&gt;Al Maha&gt;Al Maha 1</v>
      </c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</row>
    <row r="2268" spans="1:26" ht="16.5" x14ac:dyDescent="0.35">
      <c r="A2268" s="2" t="str">
        <f ca="1">IFERROR(__xludf.DUMMYFUNCTION("""COMPUTED_VALUE"""),"Abu Dhabi")</f>
        <v>Abu Dhabi</v>
      </c>
      <c r="B2268" s="2" t="str">
        <f ca="1">IFERROR(__xludf.DUMMYFUNCTION("""COMPUTED_VALUE"""),"Sheikha Yazia Building")</f>
        <v>Sheikha Yazia Building</v>
      </c>
      <c r="C2268" s="2" t="str">
        <f ca="1">IFERROR(__xludf.DUMMYFUNCTION("""COMPUTED_VALUE"""),"Building")</f>
        <v>Building</v>
      </c>
      <c r="D2268" s="2" t="str">
        <f ca="1">IFERROR(__xludf.DUMMYFUNCTION("""COMPUTED_VALUE"""),"Abu Dhabi&gt;Al Raha Beach&gt;Sheikha Yazia Building")</f>
        <v>Abu Dhabi&gt;Al Raha Beach&gt;Sheikha Yazia Building</v>
      </c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</row>
    <row r="2269" spans="1:26" ht="16.5" x14ac:dyDescent="0.35">
      <c r="A2269" s="2" t="str">
        <f ca="1">IFERROR(__xludf.DUMMYFUNCTION("""COMPUTED_VALUE"""),"Abu Dhabi")</f>
        <v>Abu Dhabi</v>
      </c>
      <c r="B2269" s="2" t="str">
        <f ca="1">IFERROR(__xludf.DUMMYFUNCTION("""COMPUTED_VALUE"""),"Blumont Capital Tower")</f>
        <v>Blumont Capital Tower</v>
      </c>
      <c r="C2269" s="2" t="str">
        <f ca="1">IFERROR(__xludf.DUMMYFUNCTION("""COMPUTED_VALUE"""),"Building")</f>
        <v>Building</v>
      </c>
      <c r="D2269" s="2" t="str">
        <f ca="1">IFERROR(__xludf.DUMMYFUNCTION("""COMPUTED_VALUE"""),"Abu Dhabi&gt;Danet Abu Dhabi&gt;Blumont Capital Tower")</f>
        <v>Abu Dhabi&gt;Danet Abu Dhabi&gt;Blumont Capital Tower</v>
      </c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</row>
    <row r="2270" spans="1:26" ht="16.5" x14ac:dyDescent="0.35">
      <c r="A2270" s="2" t="str">
        <f ca="1">IFERROR(__xludf.DUMMYFUNCTION("""COMPUTED_VALUE"""),"Abu Dhabi")</f>
        <v>Abu Dhabi</v>
      </c>
      <c r="B2270" s="2" t="str">
        <f ca="1">IFERROR(__xludf.DUMMYFUNCTION("""COMPUTED_VALUE"""),"Huda Alansary Building")</f>
        <v>Huda Alansary Building</v>
      </c>
      <c r="C2270" s="2"/>
      <c r="D2270" s="2" t="str">
        <f ca="1">IFERROR(__xludf.DUMMYFUNCTION("""COMPUTED_VALUE"""),"Abu Dhabi&gt;Al Salam Street&gt;Huda Alansary Building")</f>
        <v>Abu Dhabi&gt;Al Salam Street&gt;Huda Alansary Building</v>
      </c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</row>
    <row r="2271" spans="1:26" ht="16.5" x14ac:dyDescent="0.35">
      <c r="A2271" s="2" t="str">
        <f ca="1">IFERROR(__xludf.DUMMYFUNCTION("""COMPUTED_VALUE"""),"Abu Dhabi")</f>
        <v>Abu Dhabi</v>
      </c>
      <c r="B2271" s="2" t="str">
        <f ca="1">IFERROR(__xludf.DUMMYFUNCTION("""COMPUTED_VALUE"""),"Zone 1")</f>
        <v>Zone 1</v>
      </c>
      <c r="C2271" s="2" t="str">
        <f ca="1">IFERROR(__xludf.DUMMYFUNCTION("""COMPUTED_VALUE"""),"Neighbourhood")</f>
        <v>Neighbourhood</v>
      </c>
      <c r="D2271" s="2" t="str">
        <f ca="1">IFERROR(__xludf.DUMMYFUNCTION("""COMPUTED_VALUE"""),"Abu Dhabi&gt;Mohamed Bin Zayed City&gt;Zone 1")</f>
        <v>Abu Dhabi&gt;Mohamed Bin Zayed City&gt;Zone 1</v>
      </c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</row>
    <row r="2272" spans="1:26" ht="16.5" x14ac:dyDescent="0.35">
      <c r="A2272" s="2" t="str">
        <f ca="1">IFERROR(__xludf.DUMMYFUNCTION("""COMPUTED_VALUE"""),"Abu Dhabi")</f>
        <v>Abu Dhabi</v>
      </c>
      <c r="B2272" s="2" t="str">
        <f ca="1">IFERROR(__xludf.DUMMYFUNCTION("""COMPUTED_VALUE"""),"Zone 32")</f>
        <v>Zone 32</v>
      </c>
      <c r="C2272" s="2" t="str">
        <f ca="1">IFERROR(__xludf.DUMMYFUNCTION("""COMPUTED_VALUE"""),"Neighbourhood")</f>
        <v>Neighbourhood</v>
      </c>
      <c r="D2272" s="2" t="str">
        <f ca="1">IFERROR(__xludf.DUMMYFUNCTION("""COMPUTED_VALUE"""),"Abu Dhabi&gt;Mohamed Bin Zayed City&gt;Zone 32")</f>
        <v>Abu Dhabi&gt;Mohamed Bin Zayed City&gt;Zone 32</v>
      </c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</row>
    <row r="2273" spans="1:26" ht="16.5" x14ac:dyDescent="0.35">
      <c r="A2273" s="2" t="str">
        <f ca="1">IFERROR(__xludf.DUMMYFUNCTION("""COMPUTED_VALUE"""),"Abu Dhabi")</f>
        <v>Abu Dhabi</v>
      </c>
      <c r="B2273" s="2" t="str">
        <f ca="1">IFERROR(__xludf.DUMMYFUNCTION("""COMPUTED_VALUE"""),"Building 28")</f>
        <v>Building 28</v>
      </c>
      <c r="C2273" s="2" t="str">
        <f ca="1">IFERROR(__xludf.DUMMYFUNCTION("""COMPUTED_VALUE"""),"Building")</f>
        <v>Building</v>
      </c>
      <c r="D2273" s="2" t="str">
        <f ca="1">IFERROR(__xludf.DUMMYFUNCTION("""COMPUTED_VALUE"""),"Abu Dhabi&gt;Al Reef&gt;Al Reef Downtown&gt;Building 28")</f>
        <v>Abu Dhabi&gt;Al Reef&gt;Al Reef Downtown&gt;Building 28</v>
      </c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</row>
    <row r="2274" spans="1:26" ht="16.5" x14ac:dyDescent="0.35">
      <c r="A2274" s="2" t="str">
        <f ca="1">IFERROR(__xludf.DUMMYFUNCTION("""COMPUTED_VALUE"""),"Abu Dhabi")</f>
        <v>Abu Dhabi</v>
      </c>
      <c r="B2274" s="2" t="str">
        <f ca="1">IFERROR(__xludf.DUMMYFUNCTION("""COMPUTED_VALUE"""),"Building 13")</f>
        <v>Building 13</v>
      </c>
      <c r="C2274" s="2" t="str">
        <f ca="1">IFERROR(__xludf.DUMMYFUNCTION("""COMPUTED_VALUE"""),"Building")</f>
        <v>Building</v>
      </c>
      <c r="D2274" s="2" t="str">
        <f ca="1">IFERROR(__xludf.DUMMYFUNCTION("""COMPUTED_VALUE"""),"Abu Dhabi&gt;Al Reef&gt;Al Reef Downtown&gt;Building 13")</f>
        <v>Abu Dhabi&gt;Al Reef&gt;Al Reef Downtown&gt;Building 13</v>
      </c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</row>
    <row r="2275" spans="1:26" ht="16.5" x14ac:dyDescent="0.35">
      <c r="A2275" s="2" t="str">
        <f ca="1">IFERROR(__xludf.DUMMYFUNCTION("""COMPUTED_VALUE"""),"Abu Dhabi")</f>
        <v>Abu Dhabi</v>
      </c>
      <c r="B2275" s="2" t="str">
        <f ca="1">IFERROR(__xludf.DUMMYFUNCTION("""COMPUTED_VALUE"""),"Al Dhafra Tower")</f>
        <v>Al Dhafra Tower</v>
      </c>
      <c r="C2275" s="2" t="str">
        <f ca="1">IFERROR(__xludf.DUMMYFUNCTION("""COMPUTED_VALUE"""),"Building")</f>
        <v>Building</v>
      </c>
      <c r="D2275" s="2" t="str">
        <f ca="1">IFERROR(__xludf.DUMMYFUNCTION("""COMPUTED_VALUE"""),"Abu Dhabi&gt;Sheikh Rashid Bin Saeed Street&gt;Al Dhafra Tower")</f>
        <v>Abu Dhabi&gt;Sheikh Rashid Bin Saeed Street&gt;Al Dhafra Tower</v>
      </c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</row>
    <row r="2276" spans="1:26" ht="16.5" x14ac:dyDescent="0.35">
      <c r="A2276" s="2" t="str">
        <f ca="1">IFERROR(__xludf.DUMMYFUNCTION("""COMPUTED_VALUE"""),"Abu Dhabi")</f>
        <v>Abu Dhabi</v>
      </c>
      <c r="B2276" s="2" t="str">
        <f ca="1">IFERROR(__xludf.DUMMYFUNCTION("""COMPUTED_VALUE"""),"Al Maqtaa")</f>
        <v>Al Maqtaa</v>
      </c>
      <c r="C2276" s="2" t="str">
        <f ca="1">IFERROR(__xludf.DUMMYFUNCTION("""COMPUTED_VALUE"""),"Neighbourhood")</f>
        <v>Neighbourhood</v>
      </c>
      <c r="D2276" s="2" t="str">
        <f ca="1">IFERROR(__xludf.DUMMYFUNCTION("""COMPUTED_VALUE"""),"Abu Dhabi&gt;Al Maqtaa")</f>
        <v>Abu Dhabi&gt;Al Maqtaa</v>
      </c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</row>
    <row r="2277" spans="1:26" ht="16.5" x14ac:dyDescent="0.35">
      <c r="A2277" s="2" t="str">
        <f ca="1">IFERROR(__xludf.DUMMYFUNCTION("""COMPUTED_VALUE"""),"Abu Dhabi")</f>
        <v>Abu Dhabi</v>
      </c>
      <c r="B2277" s="2" t="str">
        <f ca="1">IFERROR(__xludf.DUMMYFUNCTION("""COMPUTED_VALUE"""),"Selina Bay")</f>
        <v>Selina Bay</v>
      </c>
      <c r="C2277" s="2" t="str">
        <f ca="1">IFERROR(__xludf.DUMMYFUNCTION("""COMPUTED_VALUE"""),"Neighbourhood")</f>
        <v>Neighbourhood</v>
      </c>
      <c r="D2277" s="2" t="str">
        <f ca="1">IFERROR(__xludf.DUMMYFUNCTION("""COMPUTED_VALUE"""),"Abu Dhabi&gt;Yas Island&gt;Yas Bay&gt;Selina Bay")</f>
        <v>Abu Dhabi&gt;Yas Island&gt;Yas Bay&gt;Selina Bay</v>
      </c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</row>
    <row r="2278" spans="1:26" ht="16.5" x14ac:dyDescent="0.35">
      <c r="A2278" s="2" t="str">
        <f ca="1">IFERROR(__xludf.DUMMYFUNCTION("""COMPUTED_VALUE"""),"Abu Dhabi")</f>
        <v>Abu Dhabi</v>
      </c>
      <c r="B2278" s="2" t="str">
        <f ca="1">IFERROR(__xludf.DUMMYFUNCTION("""COMPUTED_VALUE"""),"Noya Viva")</f>
        <v>Noya Viva</v>
      </c>
      <c r="C2278" s="2" t="str">
        <f ca="1">IFERROR(__xludf.DUMMYFUNCTION("""COMPUTED_VALUE"""),"Neighbourhood")</f>
        <v>Neighbourhood</v>
      </c>
      <c r="D2278" s="2" t="str">
        <f ca="1">IFERROR(__xludf.DUMMYFUNCTION("""COMPUTED_VALUE"""),"Abu Dhabi&gt;Yas Island&gt;Noya Viva")</f>
        <v>Abu Dhabi&gt;Yas Island&gt;Noya Viva</v>
      </c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</row>
    <row r="2279" spans="1:26" ht="16.5" x14ac:dyDescent="0.35">
      <c r="A2279" s="2" t="str">
        <f ca="1">IFERROR(__xludf.DUMMYFUNCTION("""COMPUTED_VALUE"""),"Abu Dhabi")</f>
        <v>Abu Dhabi</v>
      </c>
      <c r="B2279" s="2" t="str">
        <f ca="1">IFERROR(__xludf.DUMMYFUNCTION("""COMPUTED_VALUE"""),"Yas Living")</f>
        <v>Yas Living</v>
      </c>
      <c r="C2279" s="2" t="str">
        <f ca="1">IFERROR(__xludf.DUMMYFUNCTION("""COMPUTED_VALUE"""),"Cluster")</f>
        <v>Cluster</v>
      </c>
      <c r="D2279" s="2" t="str">
        <f ca="1">IFERROR(__xludf.DUMMYFUNCTION("""COMPUTED_VALUE"""),"Abu Dhabi&gt;Yas Island&gt;Yas Living")</f>
        <v>Abu Dhabi&gt;Yas Island&gt;Yas Living</v>
      </c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</row>
    <row r="2280" spans="1:26" ht="16.5" x14ac:dyDescent="0.35">
      <c r="A2280" s="2" t="str">
        <f ca="1">IFERROR(__xludf.DUMMYFUNCTION("""COMPUTED_VALUE"""),"Abu Dhabi")</f>
        <v>Abu Dhabi</v>
      </c>
      <c r="B2280" s="2" t="str">
        <f ca="1">IFERROR(__xludf.DUMMYFUNCTION("""COMPUTED_VALUE"""),"Fay Al Reeman 1")</f>
        <v>Fay Al Reeman 1</v>
      </c>
      <c r="C2280" s="2" t="str">
        <f ca="1">IFERROR(__xludf.DUMMYFUNCTION("""COMPUTED_VALUE"""),"Neighbourhood")</f>
        <v>Neighbourhood</v>
      </c>
      <c r="D2280" s="2" t="str">
        <f ca="1">IFERROR(__xludf.DUMMYFUNCTION("""COMPUTED_VALUE"""),"Abu Dhabi&gt;Al Shamkha&gt;Al Reeman 2&gt;Fay Al Reeman 1")</f>
        <v>Abu Dhabi&gt;Al Shamkha&gt;Al Reeman 2&gt;Fay Al Reeman 1</v>
      </c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</row>
    <row r="2281" spans="1:26" ht="16.5" x14ac:dyDescent="0.35">
      <c r="A2281" s="2" t="str">
        <f ca="1">IFERROR(__xludf.DUMMYFUNCTION("""COMPUTED_VALUE"""),"Ajman")</f>
        <v>Ajman</v>
      </c>
      <c r="B2281" s="2" t="str">
        <f ca="1">IFERROR(__xludf.DUMMYFUNCTION("""COMPUTED_VALUE"""),"Al Rana Building")</f>
        <v>Al Rana Building</v>
      </c>
      <c r="C2281" s="2"/>
      <c r="D2281" s="2" t="str">
        <f ca="1">IFERROR(__xludf.DUMMYFUNCTION("""COMPUTED_VALUE"""),"Ajman&gt;Ajman Industrial&gt;Ajman Industrial 2&gt;Al Rana Building")</f>
        <v>Ajman&gt;Ajman Industrial&gt;Ajman Industrial 2&gt;Al Rana Building</v>
      </c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</row>
    <row r="2282" spans="1:26" ht="16.5" x14ac:dyDescent="0.35">
      <c r="A2282" s="2" t="str">
        <f ca="1">IFERROR(__xludf.DUMMYFUNCTION("""COMPUTED_VALUE"""),"Ajman")</f>
        <v>Ajman</v>
      </c>
      <c r="B2282" s="2" t="str">
        <f ca="1">IFERROR(__xludf.DUMMYFUNCTION("""COMPUTED_VALUE"""),"Goldcrest Dreams Tower A")</f>
        <v>Goldcrest Dreams Tower A</v>
      </c>
      <c r="C2282" s="2" t="str">
        <f ca="1">IFERROR(__xludf.DUMMYFUNCTION("""COMPUTED_VALUE"""),"Building")</f>
        <v>Building</v>
      </c>
      <c r="D2282" s="2" t="str">
        <f ca="1">IFERROR(__xludf.DUMMYFUNCTION("""COMPUTED_VALUE"""),"Ajman&gt;Emirates City&gt;Goldcrest Dream Towers&gt;Goldcrest Dreams Tower A")</f>
        <v>Ajman&gt;Emirates City&gt;Goldcrest Dream Towers&gt;Goldcrest Dreams Tower A</v>
      </c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</row>
    <row r="2283" spans="1:26" ht="16.5" x14ac:dyDescent="0.35">
      <c r="A2283" s="2" t="str">
        <f ca="1">IFERROR(__xludf.DUMMYFUNCTION("""COMPUTED_VALUE"""),"Ajman")</f>
        <v>Ajman</v>
      </c>
      <c r="B2283" s="2" t="str">
        <f ca="1">IFERROR(__xludf.DUMMYFUNCTION("""COMPUTED_VALUE"""),"Chocolate Tower")</f>
        <v>Chocolate Tower</v>
      </c>
      <c r="C2283" s="2" t="str">
        <f ca="1">IFERROR(__xludf.DUMMYFUNCTION("""COMPUTED_VALUE"""),"Building")</f>
        <v>Building</v>
      </c>
      <c r="D2283" s="2" t="str">
        <f ca="1">IFERROR(__xludf.DUMMYFUNCTION("""COMPUTED_VALUE"""),"Ajman&gt;Emirates City&gt;Chocolate Tower")</f>
        <v>Ajman&gt;Emirates City&gt;Chocolate Tower</v>
      </c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</row>
    <row r="2284" spans="1:26" ht="16.5" x14ac:dyDescent="0.35">
      <c r="A2284" s="2" t="str">
        <f ca="1">IFERROR(__xludf.DUMMYFUNCTION("""COMPUTED_VALUE"""),"Ajman")</f>
        <v>Ajman</v>
      </c>
      <c r="B2284" s="2" t="str">
        <f ca="1">IFERROR(__xludf.DUMMYFUNCTION("""COMPUTED_VALUE"""),"Al Jurf Industrial Area")</f>
        <v>Al Jurf Industrial Area</v>
      </c>
      <c r="C2284" s="2"/>
      <c r="D2284" s="2" t="str">
        <f ca="1">IFERROR(__xludf.DUMMYFUNCTION("""COMPUTED_VALUE"""),"Ajman&gt;Al Jurf&gt;Al Jurf Industrial Area")</f>
        <v>Ajman&gt;Al Jurf&gt;Al Jurf Industrial Area</v>
      </c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</row>
    <row r="2285" spans="1:26" ht="16.5" x14ac:dyDescent="0.35">
      <c r="A2285" s="2" t="str">
        <f ca="1">IFERROR(__xludf.DUMMYFUNCTION("""COMPUTED_VALUE"""),"Ajman")</f>
        <v>Ajman</v>
      </c>
      <c r="B2285" s="2" t="str">
        <f ca="1">IFERROR(__xludf.DUMMYFUNCTION("""COMPUTED_VALUE"""),"Jatropha")</f>
        <v>Jatropha</v>
      </c>
      <c r="C2285" s="2"/>
      <c r="D2285" s="2" t="str">
        <f ca="1">IFERROR(__xludf.DUMMYFUNCTION("""COMPUTED_VALUE"""),"Ajman&gt;Ajman Uptown&gt;Jatropha")</f>
        <v>Ajman&gt;Ajman Uptown&gt;Jatropha</v>
      </c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</row>
    <row r="2286" spans="1:26" ht="16.5" x14ac:dyDescent="0.35">
      <c r="A2286" s="2" t="str">
        <f ca="1">IFERROR(__xludf.DUMMYFUNCTION("""COMPUTED_VALUE"""),"Ajman")</f>
        <v>Ajman</v>
      </c>
      <c r="B2286" s="2" t="str">
        <f ca="1">IFERROR(__xludf.DUMMYFUNCTION("""COMPUTED_VALUE"""),"Falcon A3")</f>
        <v>Falcon A3</v>
      </c>
      <c r="C2286" s="2" t="str">
        <f ca="1">IFERROR(__xludf.DUMMYFUNCTION("""COMPUTED_VALUE"""),"Building")</f>
        <v>Building</v>
      </c>
      <c r="D2286" s="2" t="str">
        <f ca="1">IFERROR(__xludf.DUMMYFUNCTION("""COMPUTED_VALUE"""),"Ajman&gt;Al Rashidiya&gt;Al Rashidiya 2&gt;Falcon Towers&gt;Falcon A3")</f>
        <v>Ajman&gt;Al Rashidiya&gt;Al Rashidiya 2&gt;Falcon Towers&gt;Falcon A3</v>
      </c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</row>
    <row r="2287" spans="1:26" ht="16.5" x14ac:dyDescent="0.35">
      <c r="A2287" s="2" t="str">
        <f ca="1">IFERROR(__xludf.DUMMYFUNCTION("""COMPUTED_VALUE"""),"Ajman")</f>
        <v>Ajman</v>
      </c>
      <c r="B2287" s="2" t="str">
        <f ca="1">IFERROR(__xludf.DUMMYFUNCTION("""COMPUTED_VALUE"""),"Andalus 3 Building")</f>
        <v>Andalus 3 Building</v>
      </c>
      <c r="C2287" s="2" t="str">
        <f ca="1">IFERROR(__xludf.DUMMYFUNCTION("""COMPUTED_VALUE"""),"Building")</f>
        <v>Building</v>
      </c>
      <c r="D2287" s="2" t="str">
        <f ca="1">IFERROR(__xludf.DUMMYFUNCTION("""COMPUTED_VALUE"""),"Ajman&gt;Al Rashidiya&gt;Al Rashidiya 3&gt;Andalus 3 Building")</f>
        <v>Ajman&gt;Al Rashidiya&gt;Al Rashidiya 3&gt;Andalus 3 Building</v>
      </c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</row>
    <row r="2288" spans="1:26" ht="16.5" x14ac:dyDescent="0.35">
      <c r="A2288" s="2" t="str">
        <f ca="1">IFERROR(__xludf.DUMMYFUNCTION("""COMPUTED_VALUE"""),"Ajman")</f>
        <v>Ajman</v>
      </c>
      <c r="B2288" s="2" t="str">
        <f ca="1">IFERROR(__xludf.DUMMYFUNCTION("""COMPUTED_VALUE"""),"Al Helio Downtown")</f>
        <v>Al Helio Downtown</v>
      </c>
      <c r="C2288" s="2" t="str">
        <f ca="1">IFERROR(__xludf.DUMMYFUNCTION("""COMPUTED_VALUE"""),"Neighbourhood")</f>
        <v>Neighbourhood</v>
      </c>
      <c r="D2288" s="2" t="str">
        <f ca="1">IFERROR(__xludf.DUMMYFUNCTION("""COMPUTED_VALUE"""),"Ajman&gt;Al Helio&gt;Al Helio Downtown")</f>
        <v>Ajman&gt;Al Helio&gt;Al Helio Downtown</v>
      </c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</row>
    <row r="2289" spans="1:26" ht="16.5" x14ac:dyDescent="0.35">
      <c r="A2289" s="2" t="str">
        <f ca="1">IFERROR(__xludf.DUMMYFUNCTION("""COMPUTED_VALUE"""),"Ajman")</f>
        <v>Ajman</v>
      </c>
      <c r="B2289" s="2" t="str">
        <f ca="1">IFERROR(__xludf.DUMMYFUNCTION("""COMPUTED_VALUE"""),"Liberty Residences")</f>
        <v>Liberty Residences</v>
      </c>
      <c r="C2289" s="2"/>
      <c r="D2289" s="2" t="str">
        <f ca="1">IFERROR(__xludf.DUMMYFUNCTION("""COMPUTED_VALUE"""),"Ajman&gt;Emirates Lake Towers&gt;Liberty Residences")</f>
        <v>Ajman&gt;Emirates Lake Towers&gt;Liberty Residences</v>
      </c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</row>
    <row r="2290" spans="1:26" ht="16.5" x14ac:dyDescent="0.35">
      <c r="A2290" s="2" t="str">
        <f ca="1">IFERROR(__xludf.DUMMYFUNCTION("""COMPUTED_VALUE"""),"Ajman")</f>
        <v>Ajman</v>
      </c>
      <c r="B2290" s="2" t="str">
        <f ca="1">IFERROR(__xludf.DUMMYFUNCTION("""COMPUTED_VALUE"""),"Golf Estates")</f>
        <v>Golf Estates</v>
      </c>
      <c r="C2290" s="2" t="str">
        <f ca="1">IFERROR(__xludf.DUMMYFUNCTION("""COMPUTED_VALUE"""),"Neighbourhood")</f>
        <v>Neighbourhood</v>
      </c>
      <c r="D2290" s="2" t="str">
        <f ca="1">IFERROR(__xludf.DUMMYFUNCTION("""COMPUTED_VALUE"""),"Ajman&gt;Al Zorah&gt;Golf Estates")</f>
        <v>Ajman&gt;Al Zorah&gt;Golf Estates</v>
      </c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</row>
    <row r="2291" spans="1:26" ht="16.5" x14ac:dyDescent="0.35">
      <c r="A2291" s="2" t="str">
        <f ca="1">IFERROR(__xludf.DUMMYFUNCTION("""COMPUTED_VALUE"""),"Ajman")</f>
        <v>Ajman</v>
      </c>
      <c r="B2291" s="2" t="str">
        <f ca="1">IFERROR(__xludf.DUMMYFUNCTION("""COMPUTED_VALUE"""),"Highfield Towers")</f>
        <v>Highfield Towers</v>
      </c>
      <c r="C2291" s="2" t="str">
        <f ca="1">IFERROR(__xludf.DUMMYFUNCTION("""COMPUTED_VALUE"""),"Building")</f>
        <v>Building</v>
      </c>
      <c r="D2291" s="2" t="str">
        <f ca="1">IFERROR(__xludf.DUMMYFUNCTION("""COMPUTED_VALUE"""),"Ajman&gt;Al Humaid City&gt;Highfield Towers")</f>
        <v>Ajman&gt;Al Humaid City&gt;Highfield Towers</v>
      </c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</row>
    <row r="2292" spans="1:26" ht="16.5" x14ac:dyDescent="0.35">
      <c r="A2292" s="2" t="str">
        <f ca="1">IFERROR(__xludf.DUMMYFUNCTION("""COMPUTED_VALUE"""),"Ajman")</f>
        <v>Ajman</v>
      </c>
      <c r="B2292" s="2" t="str">
        <f ca="1">IFERROR(__xludf.DUMMYFUNCTION("""COMPUTED_VALUE"""),"Conqueror Tower")</f>
        <v>Conqueror Tower</v>
      </c>
      <c r="C2292" s="2" t="str">
        <f ca="1">IFERROR(__xludf.DUMMYFUNCTION("""COMPUTED_VALUE"""),"Building")</f>
        <v>Building</v>
      </c>
      <c r="D2292" s="2" t="str">
        <f ca="1">IFERROR(__xludf.DUMMYFUNCTION("""COMPUTED_VALUE"""),"Ajman&gt;Sheikh Maktoum Bin Rashid Street&gt;Conqueror Tower")</f>
        <v>Ajman&gt;Sheikh Maktoum Bin Rashid Street&gt;Conqueror Tower</v>
      </c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</row>
    <row r="2293" spans="1:26" ht="16.5" x14ac:dyDescent="0.35">
      <c r="A2293" s="2" t="str">
        <f ca="1">IFERROR(__xludf.DUMMYFUNCTION("""COMPUTED_VALUE"""),"Ajman")</f>
        <v>Ajman</v>
      </c>
      <c r="B2293" s="2" t="str">
        <f ca="1">IFERROR(__xludf.DUMMYFUNCTION("""COMPUTED_VALUE"""),"Al Rand Tower")</f>
        <v>Al Rand Tower</v>
      </c>
      <c r="C2293" s="2"/>
      <c r="D2293" s="2" t="str">
        <f ca="1">IFERROR(__xludf.DUMMYFUNCTION("""COMPUTED_VALUE"""),"Ajman&gt;Al Nuaimiya&gt;Al Nuaimiya 3&gt;Al Rand Tower")</f>
        <v>Ajman&gt;Al Nuaimiya&gt;Al Nuaimiya 3&gt;Al Rand Tower</v>
      </c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</row>
    <row r="2294" spans="1:26" ht="16.5" x14ac:dyDescent="0.35">
      <c r="A2294" s="2" t="str">
        <f ca="1">IFERROR(__xludf.DUMMYFUNCTION("""COMPUTED_VALUE"""),"Ajman")</f>
        <v>Ajman</v>
      </c>
      <c r="B2294" s="2" t="str">
        <f ca="1">IFERROR(__xludf.DUMMYFUNCTION("""COMPUTED_VALUE"""),"Ajman Creek Towers")</f>
        <v>Ajman Creek Towers</v>
      </c>
      <c r="C2294" s="2" t="str">
        <f ca="1">IFERROR(__xludf.DUMMYFUNCTION("""COMPUTED_VALUE"""),"Building")</f>
        <v>Building</v>
      </c>
      <c r="D2294" s="2" t="str">
        <f ca="1">IFERROR(__xludf.DUMMYFUNCTION("""COMPUTED_VALUE"""),"Ajman&gt;Ajman Free Zone&gt;Ajman Creek Towers")</f>
        <v>Ajman&gt;Ajman Free Zone&gt;Ajman Creek Towers</v>
      </c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</row>
    <row r="2295" spans="1:26" ht="16.5" x14ac:dyDescent="0.35">
      <c r="A2295" s="2" t="str">
        <f ca="1">IFERROR(__xludf.DUMMYFUNCTION("""COMPUTED_VALUE"""),"Sharjah")</f>
        <v>Sharjah</v>
      </c>
      <c r="B2295" s="2" t="str">
        <f ca="1">IFERROR(__xludf.DUMMYFUNCTION("""COMPUTED_VALUE"""),"Al Reef Tower")</f>
        <v>Al Reef Tower</v>
      </c>
      <c r="C2295" s="2" t="str">
        <f ca="1">IFERROR(__xludf.DUMMYFUNCTION("""COMPUTED_VALUE"""),"Building")</f>
        <v>Building</v>
      </c>
      <c r="D2295" s="2" t="str">
        <f ca="1">IFERROR(__xludf.DUMMYFUNCTION("""COMPUTED_VALUE"""),"Sharjah&gt;Al Nahda (Sharjah)&gt;Al Reef Tower")</f>
        <v>Sharjah&gt;Al Nahda (Sharjah)&gt;Al Reef Tower</v>
      </c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</row>
    <row r="2296" spans="1:26" ht="16.5" x14ac:dyDescent="0.35">
      <c r="A2296" s="2" t="str">
        <f ca="1">IFERROR(__xludf.DUMMYFUNCTION("""COMPUTED_VALUE"""),"Sharjah")</f>
        <v>Sharjah</v>
      </c>
      <c r="B2296" s="2" t="str">
        <f ca="1">IFERROR(__xludf.DUMMYFUNCTION("""COMPUTED_VALUE"""),"Garden Plaza Building")</f>
        <v>Garden Plaza Building</v>
      </c>
      <c r="C2296" s="2"/>
      <c r="D2296" s="2" t="str">
        <f ca="1">IFERROR(__xludf.DUMMYFUNCTION("""COMPUTED_VALUE"""),"Sharjah&gt;Al Nahda (Sharjah)&gt;Garden Plaza Building")</f>
        <v>Sharjah&gt;Al Nahda (Sharjah)&gt;Garden Plaza Building</v>
      </c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</row>
    <row r="2297" spans="1:26" ht="16.5" x14ac:dyDescent="0.35">
      <c r="A2297" s="2" t="str">
        <f ca="1">IFERROR(__xludf.DUMMYFUNCTION("""COMPUTED_VALUE"""),"Sharjah")</f>
        <v>Sharjah</v>
      </c>
      <c r="B2297" s="2" t="str">
        <f ca="1">IFERROR(__xludf.DUMMYFUNCTION("""COMPUTED_VALUE"""),"Beynuna tower")</f>
        <v>Beynuna tower</v>
      </c>
      <c r="C2297" s="2"/>
      <c r="D2297" s="2" t="str">
        <f ca="1">IFERROR(__xludf.DUMMYFUNCTION("""COMPUTED_VALUE"""),"Sharjah&gt;Al Nahda (Sharjah)&gt;Beynuna tower")</f>
        <v>Sharjah&gt;Al Nahda (Sharjah)&gt;Beynuna tower</v>
      </c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</row>
    <row r="2298" spans="1:26" ht="16.5" x14ac:dyDescent="0.35">
      <c r="A2298" s="2" t="str">
        <f ca="1">IFERROR(__xludf.DUMMYFUNCTION("""COMPUTED_VALUE"""),"Sharjah")</f>
        <v>Sharjah</v>
      </c>
      <c r="B2298" s="2" t="str">
        <f ca="1">IFERROR(__xludf.DUMMYFUNCTION("""COMPUTED_VALUE"""),"Al Jazeri Building")</f>
        <v>Al Jazeri Building</v>
      </c>
      <c r="C2298" s="2" t="str">
        <f ca="1">IFERROR(__xludf.DUMMYFUNCTION("""COMPUTED_VALUE"""),"Building")</f>
        <v>Building</v>
      </c>
      <c r="D2298" s="2" t="str">
        <f ca="1">IFERROR(__xludf.DUMMYFUNCTION("""COMPUTED_VALUE"""),"Sharjah&gt;Al Nahda (Sharjah)&gt;Al Jazeri Building")</f>
        <v>Sharjah&gt;Al Nahda (Sharjah)&gt;Al Jazeri Building</v>
      </c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</row>
    <row r="2299" spans="1:26" ht="16.5" x14ac:dyDescent="0.35">
      <c r="A2299" s="2" t="str">
        <f ca="1">IFERROR(__xludf.DUMMYFUNCTION("""COMPUTED_VALUE"""),"Sharjah")</f>
        <v>Sharjah</v>
      </c>
      <c r="B2299" s="2" t="str">
        <f ca="1">IFERROR(__xludf.DUMMYFUNCTION("""COMPUTED_VALUE"""),"Al Thamayel Residential Complex")</f>
        <v>Al Thamayel Residential Complex</v>
      </c>
      <c r="C2299" s="2"/>
      <c r="D2299" s="2" t="str">
        <f ca="1">IFERROR(__xludf.DUMMYFUNCTION("""COMPUTED_VALUE"""),"Sharjah&gt;Al Atain&gt;Al Thamayel Residential Complex")</f>
        <v>Sharjah&gt;Al Atain&gt;Al Thamayel Residential Complex</v>
      </c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</row>
    <row r="2300" spans="1:26" ht="16.5" x14ac:dyDescent="0.35">
      <c r="A2300" s="2" t="str">
        <f ca="1">IFERROR(__xludf.DUMMYFUNCTION("""COMPUTED_VALUE"""),"Sharjah")</f>
        <v>Sharjah</v>
      </c>
      <c r="B2300" s="2" t="str">
        <f ca="1">IFERROR(__xludf.DUMMYFUNCTION("""COMPUTED_VALUE"""),"The Solo 1")</f>
        <v>The Solo 1</v>
      </c>
      <c r="C2300" s="2" t="str">
        <f ca="1">IFERROR(__xludf.DUMMYFUNCTION("""COMPUTED_VALUE"""),"Building")</f>
        <v>Building</v>
      </c>
      <c r="D2300" s="2" t="str">
        <f ca="1">IFERROR(__xludf.DUMMYFUNCTION("""COMPUTED_VALUE"""),"Sharjah&gt;Aljada&gt;East Village&gt;The Solo&gt;The Solo 1")</f>
        <v>Sharjah&gt;Aljada&gt;East Village&gt;The Solo&gt;The Solo 1</v>
      </c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</row>
    <row r="2301" spans="1:26" ht="16.5" x14ac:dyDescent="0.35">
      <c r="A2301" s="2" t="str">
        <f ca="1">IFERROR(__xludf.DUMMYFUNCTION("""COMPUTED_VALUE"""),"Sharjah")</f>
        <v>Sharjah</v>
      </c>
      <c r="B2301" s="2" t="str">
        <f ca="1">IFERROR(__xludf.DUMMYFUNCTION("""COMPUTED_VALUE"""),"Areej Apartments")</f>
        <v>Areej Apartments</v>
      </c>
      <c r="C2301" s="2" t="str">
        <f ca="1">IFERROR(__xludf.DUMMYFUNCTION("""COMPUTED_VALUE"""),"Cluster")</f>
        <v>Cluster</v>
      </c>
      <c r="D2301" s="2" t="str">
        <f ca="1">IFERROR(__xludf.DUMMYFUNCTION("""COMPUTED_VALUE"""),"Sharjah&gt;Aljada&gt;Areej Apartments")</f>
        <v>Sharjah&gt;Aljada&gt;Areej Apartments</v>
      </c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</row>
    <row r="2302" spans="1:26" ht="16.5" x14ac:dyDescent="0.35">
      <c r="A2302" s="2" t="str">
        <f ca="1">IFERROR(__xludf.DUMMYFUNCTION("""COMPUTED_VALUE"""),"Sharjah")</f>
        <v>Sharjah</v>
      </c>
      <c r="B2302" s="2" t="str">
        <f ca="1">IFERROR(__xludf.DUMMYFUNCTION("""COMPUTED_VALUE"""),"Arrow")</f>
        <v>Arrow</v>
      </c>
      <c r="C2302" s="2" t="str">
        <f ca="1">IFERROR(__xludf.DUMMYFUNCTION("""COMPUTED_VALUE"""),"Building")</f>
        <v>Building</v>
      </c>
      <c r="D2302" s="2" t="str">
        <f ca="1">IFERROR(__xludf.DUMMYFUNCTION("""COMPUTED_VALUE"""),"Sharjah&gt;Aljada&gt;Arada Central Business District&gt;Arrow")</f>
        <v>Sharjah&gt;Aljada&gt;Arada Central Business District&gt;Arrow</v>
      </c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</row>
    <row r="2303" spans="1:26" ht="16.5" x14ac:dyDescent="0.35">
      <c r="A2303" s="2" t="str">
        <f ca="1">IFERROR(__xludf.DUMMYFUNCTION("""COMPUTED_VALUE"""),"Sharjah")</f>
        <v>Sharjah</v>
      </c>
      <c r="B2303" s="2" t="str">
        <f ca="1">IFERROR(__xludf.DUMMYFUNCTION("""COMPUTED_VALUE"""),"SBS B1 Building")</f>
        <v>SBS B1 Building</v>
      </c>
      <c r="C2303" s="2" t="str">
        <f ca="1">IFERROR(__xludf.DUMMYFUNCTION("""COMPUTED_VALUE"""),"Building")</f>
        <v>Building</v>
      </c>
      <c r="D2303" s="2" t="str">
        <f ca="1">IFERROR(__xludf.DUMMYFUNCTION("""COMPUTED_VALUE"""),"Sharjah&gt;Abu Shagara&gt;SBS B1 Building")</f>
        <v>Sharjah&gt;Abu Shagara&gt;SBS B1 Building</v>
      </c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</row>
    <row r="2304" spans="1:26" ht="16.5" x14ac:dyDescent="0.35">
      <c r="A2304" s="2" t="str">
        <f ca="1">IFERROR(__xludf.DUMMYFUNCTION("""COMPUTED_VALUE"""),"Sharjah")</f>
        <v>Sharjah</v>
      </c>
      <c r="B2304" s="2" t="str">
        <f ca="1">IFERROR(__xludf.DUMMYFUNCTION("""COMPUTED_VALUE"""),"Khalfan Building")</f>
        <v>Khalfan Building</v>
      </c>
      <c r="C2304" s="2"/>
      <c r="D2304" s="2" t="str">
        <f ca="1">IFERROR(__xludf.DUMMYFUNCTION("""COMPUTED_VALUE"""),"Sharjah&gt;Abu Shagara&gt;Khalfan Building")</f>
        <v>Sharjah&gt;Abu Shagara&gt;Khalfan Building</v>
      </c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</row>
    <row r="2305" spans="1:26" ht="16.5" x14ac:dyDescent="0.35">
      <c r="A2305" s="2" t="str">
        <f ca="1">IFERROR(__xludf.DUMMYFUNCTION("""COMPUTED_VALUE"""),"Sharjah")</f>
        <v>Sharjah</v>
      </c>
      <c r="B2305" s="2" t="str">
        <f ca="1">IFERROR(__xludf.DUMMYFUNCTION("""COMPUTED_VALUE"""),"Industrial Area")</f>
        <v>Industrial Area</v>
      </c>
      <c r="C2305" s="2" t="str">
        <f ca="1">IFERROR(__xludf.DUMMYFUNCTION("""COMPUTED_VALUE"""),"Neighbourhood")</f>
        <v>Neighbourhood</v>
      </c>
      <c r="D2305" s="2" t="str">
        <f ca="1">IFERROR(__xludf.DUMMYFUNCTION("""COMPUTED_VALUE"""),"Sharjah&gt;Al Mamzar&gt;Umm Al Qura Tower&gt;Industrial Area")</f>
        <v>Sharjah&gt;Al Mamzar&gt;Umm Al Qura Tower&gt;Industrial Area</v>
      </c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</row>
    <row r="2306" spans="1:26" ht="16.5" x14ac:dyDescent="0.35">
      <c r="A2306" s="2" t="str">
        <f ca="1">IFERROR(__xludf.DUMMYFUNCTION("""COMPUTED_VALUE"""),"Sharjah")</f>
        <v>Sharjah</v>
      </c>
      <c r="B2306" s="2" t="str">
        <f ca="1">IFERROR(__xludf.DUMMYFUNCTION("""COMPUTED_VALUE"""),"Al Arooba Building")</f>
        <v>Al Arooba Building</v>
      </c>
      <c r="C2306" s="2" t="str">
        <f ca="1">IFERROR(__xludf.DUMMYFUNCTION("""COMPUTED_VALUE"""),"Building")</f>
        <v>Building</v>
      </c>
      <c r="D2306" s="2" t="str">
        <f ca="1">IFERROR(__xludf.DUMMYFUNCTION("""COMPUTED_VALUE"""),"Sharjah&gt;Al Ghuwair&gt;Al Arooba Building")</f>
        <v>Sharjah&gt;Al Ghuwair&gt;Al Arooba Building</v>
      </c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</row>
    <row r="2307" spans="1:26" ht="16.5" x14ac:dyDescent="0.35">
      <c r="A2307" s="2" t="str">
        <f ca="1">IFERROR(__xludf.DUMMYFUNCTION("""COMPUTED_VALUE"""),"Sharjah")</f>
        <v>Sharjah</v>
      </c>
      <c r="B2307" s="2" t="str">
        <f ca="1">IFERROR(__xludf.DUMMYFUNCTION("""COMPUTED_VALUE"""),"Dawha School")</f>
        <v>Dawha School</v>
      </c>
      <c r="C2307" s="2" t="str">
        <f ca="1">IFERROR(__xludf.DUMMYFUNCTION("""COMPUTED_VALUE"""),"School")</f>
        <v>School</v>
      </c>
      <c r="D2307" s="2" t="str">
        <f ca="1">IFERROR(__xludf.DUMMYFUNCTION("""COMPUTED_VALUE"""),"Sharjah&gt;Al Azra&gt;Dawha School")</f>
        <v>Sharjah&gt;Al Azra&gt;Dawha School</v>
      </c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</row>
    <row r="2308" spans="1:26" ht="16.5" x14ac:dyDescent="0.35">
      <c r="A2308" s="2" t="str">
        <f ca="1">IFERROR(__xludf.DUMMYFUNCTION("""COMPUTED_VALUE"""),"Sharjah")</f>
        <v>Sharjah</v>
      </c>
      <c r="B2308" s="2" t="str">
        <f ca="1">IFERROR(__xludf.DUMMYFUNCTION("""COMPUTED_VALUE"""),"Al Yarmook")</f>
        <v>Al Yarmook</v>
      </c>
      <c r="C2308" s="2" t="str">
        <f ca="1">IFERROR(__xludf.DUMMYFUNCTION("""COMPUTED_VALUE"""),"Neighbourhood")</f>
        <v>Neighbourhood</v>
      </c>
      <c r="D2308" s="2" t="str">
        <f ca="1">IFERROR(__xludf.DUMMYFUNCTION("""COMPUTED_VALUE"""),"Sharjah&gt;Al Yarmook")</f>
        <v>Sharjah&gt;Al Yarmook</v>
      </c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</row>
    <row r="2309" spans="1:26" ht="16.5" x14ac:dyDescent="0.35">
      <c r="A2309" s="2" t="str">
        <f ca="1">IFERROR(__xludf.DUMMYFUNCTION("""COMPUTED_VALUE"""),"Sharjah")</f>
        <v>Sharjah</v>
      </c>
      <c r="B2309" s="2" t="str">
        <f ca="1">IFERROR(__xludf.DUMMYFUNCTION("""COMPUTED_VALUE"""),"Al Dhahri Building")</f>
        <v>Al Dhahri Building</v>
      </c>
      <c r="C2309" s="2" t="str">
        <f ca="1">IFERROR(__xludf.DUMMYFUNCTION("""COMPUTED_VALUE"""),"Building")</f>
        <v>Building</v>
      </c>
      <c r="D2309" s="2" t="str">
        <f ca="1">IFERROR(__xludf.DUMMYFUNCTION("""COMPUTED_VALUE"""),"Sharjah&gt;Al Shuwaihean&gt;Al Dhahri Building")</f>
        <v>Sharjah&gt;Al Shuwaihean&gt;Al Dhahri Building</v>
      </c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</row>
    <row r="2310" spans="1:26" ht="16.5" x14ac:dyDescent="0.35">
      <c r="A2310" s="2" t="str">
        <f ca="1">IFERROR(__xludf.DUMMYFUNCTION("""COMPUTED_VALUE"""),"Sharjah")</f>
        <v>Sharjah</v>
      </c>
      <c r="B2310" s="2" t="str">
        <f ca="1">IFERROR(__xludf.DUMMYFUNCTION("""COMPUTED_VALUE"""),"British Orchard Nursery Samnan")</f>
        <v>British Orchard Nursery Samnan</v>
      </c>
      <c r="C2310" s="2" t="str">
        <f ca="1">IFERROR(__xludf.DUMMYFUNCTION("""COMPUTED_VALUE"""),"Nursery")</f>
        <v>Nursery</v>
      </c>
      <c r="D2310" s="2" t="str">
        <f ca="1">IFERROR(__xludf.DUMMYFUNCTION("""COMPUTED_VALUE"""),"Sharjah&gt;Samnan&gt;British Orchard Nursery Samnan")</f>
        <v>Sharjah&gt;Samnan&gt;British Orchard Nursery Samnan</v>
      </c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</row>
    <row r="2311" spans="1:26" ht="16.5" x14ac:dyDescent="0.35">
      <c r="A2311" s="2" t="str">
        <f ca="1">IFERROR(__xludf.DUMMYFUNCTION("""COMPUTED_VALUE"""),"Sharjah")</f>
        <v>Sharjah</v>
      </c>
      <c r="B2311" s="2" t="str">
        <f ca="1">IFERROR(__xludf.DUMMYFUNCTION("""COMPUTED_VALUE"""),"Sharjah Private School")</f>
        <v>Sharjah Private School</v>
      </c>
      <c r="C2311" s="2" t="str">
        <f ca="1">IFERROR(__xludf.DUMMYFUNCTION("""COMPUTED_VALUE"""),"School")</f>
        <v>School</v>
      </c>
      <c r="D2311" s="2" t="str">
        <f ca="1">IFERROR(__xludf.DUMMYFUNCTION("""COMPUTED_VALUE"""),"Sharjah&gt;Al Abar&gt;Sharjah Private School")</f>
        <v>Sharjah&gt;Al Abar&gt;Sharjah Private School</v>
      </c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</row>
    <row r="2312" spans="1:26" ht="16.5" x14ac:dyDescent="0.35">
      <c r="A2312" s="2" t="str">
        <f ca="1">IFERROR(__xludf.DUMMYFUNCTION("""COMPUTED_VALUE"""),"Sharjah")</f>
        <v>Sharjah</v>
      </c>
      <c r="B2312" s="2" t="str">
        <f ca="1">IFERROR(__xludf.DUMMYFUNCTION("""COMPUTED_VALUE"""),"Al Ghafia")</f>
        <v>Al Ghafia</v>
      </c>
      <c r="C2312" s="2" t="str">
        <f ca="1">IFERROR(__xludf.DUMMYFUNCTION("""COMPUTED_VALUE"""),"Neighbourhood")</f>
        <v>Neighbourhood</v>
      </c>
      <c r="D2312" s="2" t="str">
        <f ca="1">IFERROR(__xludf.DUMMYFUNCTION("""COMPUTED_VALUE"""),"Sharjah&gt;Al Ghafia")</f>
        <v>Sharjah&gt;Al Ghafia</v>
      </c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</row>
    <row r="2313" spans="1:26" ht="16.5" x14ac:dyDescent="0.35">
      <c r="A2313" s="2" t="str">
        <f ca="1">IFERROR(__xludf.DUMMYFUNCTION("""COMPUTED_VALUE"""),"Sharjah")</f>
        <v>Sharjah</v>
      </c>
      <c r="B2313" s="2" t="str">
        <f ca="1">IFERROR(__xludf.DUMMYFUNCTION("""COMPUTED_VALUE"""),"Dar Al Aman 33 B")</f>
        <v>Dar Al Aman 33 B</v>
      </c>
      <c r="C2313" s="2"/>
      <c r="D2313" s="2" t="str">
        <f ca="1">IFERROR(__xludf.DUMMYFUNCTION("""COMPUTED_VALUE"""),"Sharjah&gt;Bu Tina&gt;Dar Al Aman 33 B")</f>
        <v>Sharjah&gt;Bu Tina&gt;Dar Al Aman 33 B</v>
      </c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</row>
    <row r="2314" spans="1:26" ht="16.5" x14ac:dyDescent="0.35">
      <c r="A2314" s="2" t="str">
        <f ca="1">IFERROR(__xludf.DUMMYFUNCTION("""COMPUTED_VALUE"""),"Sharjah")</f>
        <v>Sharjah</v>
      </c>
      <c r="B2314" s="2" t="str">
        <f ca="1">IFERROR(__xludf.DUMMYFUNCTION("""COMPUTED_VALUE"""),"Danat Al Khan Tower")</f>
        <v>Danat Al Khan Tower</v>
      </c>
      <c r="C2314" s="2" t="str">
        <f ca="1">IFERROR(__xludf.DUMMYFUNCTION("""COMPUTED_VALUE"""),"Building")</f>
        <v>Building</v>
      </c>
      <c r="D2314" s="2" t="str">
        <f ca="1">IFERROR(__xludf.DUMMYFUNCTION("""COMPUTED_VALUE"""),"Sharjah&gt;Al Khan&gt;Danat Al Khan Tower")</f>
        <v>Sharjah&gt;Al Khan&gt;Danat Al Khan Tower</v>
      </c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</row>
    <row r="2315" spans="1:26" ht="16.5" x14ac:dyDescent="0.35">
      <c r="A2315" s="2" t="str">
        <f ca="1">IFERROR(__xludf.DUMMYFUNCTION("""COMPUTED_VALUE"""),"Sharjah")</f>
        <v>Sharjah</v>
      </c>
      <c r="B2315" s="2" t="str">
        <f ca="1">IFERROR(__xludf.DUMMYFUNCTION("""COMPUTED_VALUE"""),"Petrofac")</f>
        <v>Petrofac</v>
      </c>
      <c r="C2315" s="2"/>
      <c r="D2315" s="2" t="str">
        <f ca="1">IFERROR(__xludf.DUMMYFUNCTION("""COMPUTED_VALUE"""),"Sharjah&gt;Al Khan&gt;Petrofac")</f>
        <v>Sharjah&gt;Al Khan&gt;Petrofac</v>
      </c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</row>
    <row r="2316" spans="1:26" ht="16.5" x14ac:dyDescent="0.35">
      <c r="A2316" s="2" t="str">
        <f ca="1">IFERROR(__xludf.DUMMYFUNCTION("""COMPUTED_VALUE"""),"Sharjah")</f>
        <v>Sharjah</v>
      </c>
      <c r="B2316" s="2" t="str">
        <f ca="1">IFERROR(__xludf.DUMMYFUNCTION("""COMPUTED_VALUE"""),"Suha Tower")</f>
        <v>Suha Tower</v>
      </c>
      <c r="C2316" s="2"/>
      <c r="D2316" s="2" t="str">
        <f ca="1">IFERROR(__xludf.DUMMYFUNCTION("""COMPUTED_VALUE"""),"Sharjah&gt;Al Khan&gt;Suha Tower")</f>
        <v>Sharjah&gt;Al Khan&gt;Suha Tower</v>
      </c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</row>
    <row r="2317" spans="1:26" ht="16.5" x14ac:dyDescent="0.35">
      <c r="A2317" s="2" t="str">
        <f ca="1">IFERROR(__xludf.DUMMYFUNCTION("""COMPUTED_VALUE"""),"Sharjah")</f>
        <v>Sharjah</v>
      </c>
      <c r="B2317" s="2" t="str">
        <f ca="1">IFERROR(__xludf.DUMMYFUNCTION("""COMPUTED_VALUE"""),"Style Tower")</f>
        <v>Style Tower</v>
      </c>
      <c r="C2317" s="2" t="str">
        <f ca="1">IFERROR(__xludf.DUMMYFUNCTION("""COMPUTED_VALUE"""),"Building")</f>
        <v>Building</v>
      </c>
      <c r="D2317" s="2" t="str">
        <f ca="1">IFERROR(__xludf.DUMMYFUNCTION("""COMPUTED_VALUE"""),"Sharjah&gt;Al Khan&gt;Style Tower")</f>
        <v>Sharjah&gt;Al Khan&gt;Style Tower</v>
      </c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</row>
    <row r="2318" spans="1:26" ht="16.5" x14ac:dyDescent="0.35">
      <c r="A2318" s="2" t="str">
        <f ca="1">IFERROR(__xludf.DUMMYFUNCTION("""COMPUTED_VALUE"""),"Sharjah")</f>
        <v>Sharjah</v>
      </c>
      <c r="B2318" s="2" t="str">
        <f ca="1">IFERROR(__xludf.DUMMYFUNCTION("""COMPUTED_VALUE"""),"Al Manazeel Al Arabi")</f>
        <v>Al Manazeel Al Arabi</v>
      </c>
      <c r="C2318" s="2"/>
      <c r="D2318" s="2" t="str">
        <f ca="1">IFERROR(__xludf.DUMMYFUNCTION("""COMPUTED_VALUE"""),"Sharjah&gt;Al Majaz&gt;Al Majaz 2&gt;Al Manazeel Al Arabi")</f>
        <v>Sharjah&gt;Al Majaz&gt;Al Majaz 2&gt;Al Manazeel Al Arabi</v>
      </c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</row>
    <row r="2319" spans="1:26" ht="16.5" x14ac:dyDescent="0.35">
      <c r="A2319" s="2" t="str">
        <f ca="1">IFERROR(__xludf.DUMMYFUNCTION("""COMPUTED_VALUE"""),"Sharjah")</f>
        <v>Sharjah</v>
      </c>
      <c r="B2319" s="2" t="str">
        <f ca="1">IFERROR(__xludf.DUMMYFUNCTION("""COMPUTED_VALUE"""),"Dar Al Khan")</f>
        <v>Dar Al Khan</v>
      </c>
      <c r="C2319" s="2"/>
      <c r="D2319" s="2" t="str">
        <f ca="1">IFERROR(__xludf.DUMMYFUNCTION("""COMPUTED_VALUE"""),"Sharjah&gt;Al Majaz&gt;Al Majaz 2&gt;Dar Al Khan")</f>
        <v>Sharjah&gt;Al Majaz&gt;Al Majaz 2&gt;Dar Al Khan</v>
      </c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</row>
    <row r="2320" spans="1:26" ht="16.5" x14ac:dyDescent="0.35">
      <c r="A2320" s="2" t="str">
        <f ca="1">IFERROR(__xludf.DUMMYFUNCTION("""COMPUTED_VALUE"""),"Sharjah")</f>
        <v>Sharjah</v>
      </c>
      <c r="B2320" s="2" t="str">
        <f ca="1">IFERROR(__xludf.DUMMYFUNCTION("""COMPUTED_VALUE"""),"Alsilver Building")</f>
        <v>Alsilver Building</v>
      </c>
      <c r="C2320" s="2" t="str">
        <f ca="1">IFERROR(__xludf.DUMMYFUNCTION("""COMPUTED_VALUE"""),"Building")</f>
        <v>Building</v>
      </c>
      <c r="D2320" s="2" t="str">
        <f ca="1">IFERROR(__xludf.DUMMYFUNCTION("""COMPUTED_VALUE"""),"Sharjah&gt;Al Majaz&gt;Al Majaz 2&gt;Alsilver Building")</f>
        <v>Sharjah&gt;Al Majaz&gt;Al Majaz 2&gt;Alsilver Building</v>
      </c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</row>
    <row r="2321" spans="1:26" ht="16.5" x14ac:dyDescent="0.35">
      <c r="A2321" s="2" t="str">
        <f ca="1">IFERROR(__xludf.DUMMYFUNCTION("""COMPUTED_VALUE"""),"Sharjah")</f>
        <v>Sharjah</v>
      </c>
      <c r="B2321" s="2" t="str">
        <f ca="1">IFERROR(__xludf.DUMMYFUNCTION("""COMPUTED_VALUE"""),"Al Majaz Tower")</f>
        <v>Al Majaz Tower</v>
      </c>
      <c r="C2321" s="2"/>
      <c r="D2321" s="2" t="str">
        <f ca="1">IFERROR(__xludf.DUMMYFUNCTION("""COMPUTED_VALUE"""),"Sharjah&gt;Al Majaz&gt;Al Majaz 3&gt;Al Majaz Tower")</f>
        <v>Sharjah&gt;Al Majaz&gt;Al Majaz 3&gt;Al Majaz Tower</v>
      </c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</row>
    <row r="2322" spans="1:26" ht="16.5" x14ac:dyDescent="0.35">
      <c r="A2322" s="2" t="str">
        <f ca="1">IFERROR(__xludf.DUMMYFUNCTION("""COMPUTED_VALUE"""),"Sharjah")</f>
        <v>Sharjah</v>
      </c>
      <c r="B2322" s="2" t="str">
        <f ca="1">IFERROR(__xludf.DUMMYFUNCTION("""COMPUTED_VALUE"""),"Mubarak Al Hasawi")</f>
        <v>Mubarak Al Hasawi</v>
      </c>
      <c r="C2322" s="2"/>
      <c r="D2322" s="2" t="str">
        <f ca="1">IFERROR(__xludf.DUMMYFUNCTION("""COMPUTED_VALUE"""),"Sharjah&gt;Al Majaz&gt;Al Majaz 3&gt;Mubarak Al Hasawi")</f>
        <v>Sharjah&gt;Al Majaz&gt;Al Majaz 3&gt;Mubarak Al Hasawi</v>
      </c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</row>
    <row r="2323" spans="1:26" ht="16.5" x14ac:dyDescent="0.35">
      <c r="A2323" s="2" t="str">
        <f ca="1">IFERROR(__xludf.DUMMYFUNCTION("""COMPUTED_VALUE"""),"Sharjah")</f>
        <v>Sharjah</v>
      </c>
      <c r="B2323" s="2" t="str">
        <f ca="1">IFERROR(__xludf.DUMMYFUNCTION("""COMPUTED_VALUE"""),"Al Madar building")</f>
        <v>Al Madar building</v>
      </c>
      <c r="C2323" s="2"/>
      <c r="D2323" s="2" t="str">
        <f ca="1">IFERROR(__xludf.DUMMYFUNCTION("""COMPUTED_VALUE"""),"Sharjah&gt;Al Majaz&gt;Al Majaz 1&gt;Al Madar building")</f>
        <v>Sharjah&gt;Al Majaz&gt;Al Majaz 1&gt;Al Madar building</v>
      </c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</row>
    <row r="2324" spans="1:26" ht="16.5" x14ac:dyDescent="0.35">
      <c r="A2324" s="2" t="str">
        <f ca="1">IFERROR(__xludf.DUMMYFUNCTION("""COMPUTED_VALUE"""),"Sharjah")</f>
        <v>Sharjah</v>
      </c>
      <c r="B2324" s="2" t="str">
        <f ca="1">IFERROR(__xludf.DUMMYFUNCTION("""COMPUTED_VALUE"""),"Al Riqaibah")</f>
        <v>Al Riqaibah</v>
      </c>
      <c r="C2324" s="2" t="str">
        <f ca="1">IFERROR(__xludf.DUMMYFUNCTION("""COMPUTED_VALUE"""),"Neighbourhood")</f>
        <v>Neighbourhood</v>
      </c>
      <c r="D2324" s="2" t="str">
        <f ca="1">IFERROR(__xludf.DUMMYFUNCTION("""COMPUTED_VALUE"""),"Sharjah&gt;Al Riqaibah")</f>
        <v>Sharjah&gt;Al Riqaibah</v>
      </c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</row>
    <row r="2325" spans="1:26" ht="16.5" x14ac:dyDescent="0.35">
      <c r="A2325" s="2" t="str">
        <f ca="1">IFERROR(__xludf.DUMMYFUNCTION("""COMPUTED_VALUE"""),"Sharjah")</f>
        <v>Sharjah</v>
      </c>
      <c r="B2325" s="2" t="str">
        <f ca="1">IFERROR(__xludf.DUMMYFUNCTION("""COMPUTED_VALUE"""),"Al Habtoor Tower")</f>
        <v>Al Habtoor Tower</v>
      </c>
      <c r="C2325" s="2" t="str">
        <f ca="1">IFERROR(__xludf.DUMMYFUNCTION("""COMPUTED_VALUE"""),"Building")</f>
        <v>Building</v>
      </c>
      <c r="D2325" s="2" t="str">
        <f ca="1">IFERROR(__xludf.DUMMYFUNCTION("""COMPUTED_VALUE"""),"Sharjah&gt;Al Taawun&gt;Al Habtoor Tower")</f>
        <v>Sharjah&gt;Al Taawun&gt;Al Habtoor Tower</v>
      </c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</row>
    <row r="2326" spans="1:26" ht="16.5" x14ac:dyDescent="0.35">
      <c r="A2326" s="2" t="str">
        <f ca="1">IFERROR(__xludf.DUMMYFUNCTION("""COMPUTED_VALUE"""),"Sharjah")</f>
        <v>Sharjah</v>
      </c>
      <c r="B2326" s="2" t="str">
        <f ca="1">IFERROR(__xludf.DUMMYFUNCTION("""COMPUTED_VALUE"""),"Jazary 1")</f>
        <v>Jazary 1</v>
      </c>
      <c r="C2326" s="2" t="str">
        <f ca="1">IFERROR(__xludf.DUMMYFUNCTION("""COMPUTED_VALUE"""),"Building")</f>
        <v>Building</v>
      </c>
      <c r="D2326" s="2" t="str">
        <f ca="1">IFERROR(__xludf.DUMMYFUNCTION("""COMPUTED_VALUE"""),"Sharjah&gt;Al Taawun&gt;Jazary 1")</f>
        <v>Sharjah&gt;Al Taawun&gt;Jazary 1</v>
      </c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</row>
    <row r="2327" spans="1:26" ht="16.5" x14ac:dyDescent="0.35">
      <c r="A2327" s="2" t="str">
        <f ca="1">IFERROR(__xludf.DUMMYFUNCTION("""COMPUTED_VALUE"""),"Sharjah")</f>
        <v>Sharjah</v>
      </c>
      <c r="B2327" s="2" t="str">
        <f ca="1">IFERROR(__xludf.DUMMYFUNCTION("""COMPUTED_VALUE"""),"Al Marsa Building")</f>
        <v>Al Marsa Building</v>
      </c>
      <c r="C2327" s="2"/>
      <c r="D2327" s="2" t="str">
        <f ca="1">IFERROR(__xludf.DUMMYFUNCTION("""COMPUTED_VALUE"""),"Sharjah&gt;Al Qasimia&gt;Al Nad&gt;Al Marsa Building")</f>
        <v>Sharjah&gt;Al Qasimia&gt;Al Nad&gt;Al Marsa Building</v>
      </c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</row>
    <row r="2328" spans="1:26" ht="16.5" x14ac:dyDescent="0.35">
      <c r="A2328" s="2" t="str">
        <f ca="1">IFERROR(__xludf.DUMMYFUNCTION("""COMPUTED_VALUE"""),"Sharjah")</f>
        <v>Sharjah</v>
      </c>
      <c r="B2328" s="2" t="str">
        <f ca="1">IFERROR(__xludf.DUMMYFUNCTION("""COMPUTED_VALUE"""),"CG Residential")</f>
        <v>CG Residential</v>
      </c>
      <c r="C2328" s="2"/>
      <c r="D2328" s="2" t="str">
        <f ca="1">IFERROR(__xludf.DUMMYFUNCTION("""COMPUTED_VALUE"""),"Sharjah&gt;Al Qasimia&gt;Al Nad&gt;CG Residential")</f>
        <v>Sharjah&gt;Al Qasimia&gt;Al Nad&gt;CG Residential</v>
      </c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</row>
    <row r="2329" spans="1:26" ht="16.5" x14ac:dyDescent="0.35">
      <c r="A2329" s="2" t="str">
        <f ca="1">IFERROR(__xludf.DUMMYFUNCTION("""COMPUTED_VALUE"""),"Sharjah")</f>
        <v>Sharjah</v>
      </c>
      <c r="B2329" s="2" t="str">
        <f ca="1">IFERROR(__xludf.DUMMYFUNCTION("""COMPUTED_VALUE"""),"Thani Bin Essa")</f>
        <v>Thani Bin Essa</v>
      </c>
      <c r="C2329" s="2"/>
      <c r="D2329" s="2" t="str">
        <f ca="1">IFERROR(__xludf.DUMMYFUNCTION("""COMPUTED_VALUE"""),"Sharjah&gt;Al Qasimia&gt;Al Nad&gt;Thani Bin Essa")</f>
        <v>Sharjah&gt;Al Qasimia&gt;Al Nad&gt;Thani Bin Essa</v>
      </c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</row>
    <row r="2330" spans="1:26" ht="16.5" x14ac:dyDescent="0.35">
      <c r="A2330" s="2" t="str">
        <f ca="1">IFERROR(__xludf.DUMMYFUNCTION("""COMPUTED_VALUE"""),"Sharjah")</f>
        <v>Sharjah</v>
      </c>
      <c r="B2330" s="2" t="str">
        <f ca="1">IFERROR(__xludf.DUMMYFUNCTION("""COMPUTED_VALUE"""),"Atlas Building")</f>
        <v>Atlas Building</v>
      </c>
      <c r="C2330" s="2"/>
      <c r="D2330" s="2" t="str">
        <f ca="1">IFERROR(__xludf.DUMMYFUNCTION("""COMPUTED_VALUE"""),"Sharjah&gt;Al Nabba&gt;Atlas Building")</f>
        <v>Sharjah&gt;Al Nabba&gt;Atlas Building</v>
      </c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</row>
    <row r="2331" spans="1:26" ht="16.5" x14ac:dyDescent="0.35">
      <c r="A2331" s="2" t="str">
        <f ca="1">IFERROR(__xludf.DUMMYFUNCTION("""COMPUTED_VALUE"""),"Sharjah")</f>
        <v>Sharjah</v>
      </c>
      <c r="B2331" s="2" t="str">
        <f ca="1">IFERROR(__xludf.DUMMYFUNCTION("""COMPUTED_VALUE"""),"Sony Building")</f>
        <v>Sony Building</v>
      </c>
      <c r="C2331" s="2"/>
      <c r="D2331" s="2" t="str">
        <f ca="1">IFERROR(__xludf.DUMMYFUNCTION("""COMPUTED_VALUE"""),"Sharjah&gt;Al Nabba&gt;Sony Building")</f>
        <v>Sharjah&gt;Al Nabba&gt;Sony Building</v>
      </c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</row>
    <row r="2332" spans="1:26" ht="16.5" x14ac:dyDescent="0.35">
      <c r="A2332" s="2" t="str">
        <f ca="1">IFERROR(__xludf.DUMMYFUNCTION("""COMPUTED_VALUE"""),"Sharjah")</f>
        <v>Sharjah</v>
      </c>
      <c r="B2332" s="2" t="str">
        <f ca="1">IFERROR(__xludf.DUMMYFUNCTION("""COMPUTED_VALUE"""),"Al Wazeer Building")</f>
        <v>Al Wazeer Building</v>
      </c>
      <c r="C2332" s="2" t="str">
        <f ca="1">IFERROR(__xludf.DUMMYFUNCTION("""COMPUTED_VALUE"""),"Building")</f>
        <v>Building</v>
      </c>
      <c r="D2332" s="2" t="str">
        <f ca="1">IFERROR(__xludf.DUMMYFUNCTION("""COMPUTED_VALUE"""),"Sharjah&gt;Industrial Area&gt;Industrial Area 1&gt;Al Wazeer Building")</f>
        <v>Sharjah&gt;Industrial Area&gt;Industrial Area 1&gt;Al Wazeer Building</v>
      </c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</row>
    <row r="2333" spans="1:26" ht="16.5" x14ac:dyDescent="0.35">
      <c r="A2333" s="2" t="str">
        <f ca="1">IFERROR(__xludf.DUMMYFUNCTION("""COMPUTED_VALUE"""),"Sharjah")</f>
        <v>Sharjah</v>
      </c>
      <c r="B2333" s="2" t="str">
        <f ca="1">IFERROR(__xludf.DUMMYFUNCTION("""COMPUTED_VALUE"""),"RD 1")</f>
        <v>RD 1</v>
      </c>
      <c r="C2333" s="2" t="str">
        <f ca="1">IFERROR(__xludf.DUMMYFUNCTION("""COMPUTED_VALUE"""),"Building")</f>
        <v>Building</v>
      </c>
      <c r="D2333" s="2" t="str">
        <f ca="1">IFERROR(__xludf.DUMMYFUNCTION("""COMPUTED_VALUE"""),"Sharjah&gt;Muwaileh&gt;Al Mamsha&gt;Souks Residential&gt;RD 1")</f>
        <v>Sharjah&gt;Muwaileh&gt;Al Mamsha&gt;Souks Residential&gt;RD 1</v>
      </c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</row>
    <row r="2334" spans="1:26" ht="16.5" x14ac:dyDescent="0.35">
      <c r="A2334" s="2" t="str">
        <f ca="1">IFERROR(__xludf.DUMMYFUNCTION("""COMPUTED_VALUE"""),"Sharjah")</f>
        <v>Sharjah</v>
      </c>
      <c r="B2334" s="2" t="str">
        <f ca="1">IFERROR(__xludf.DUMMYFUNCTION("""COMPUTED_VALUE"""),"Sawa")</f>
        <v>Sawa</v>
      </c>
      <c r="C2334" s="2" t="str">
        <f ca="1">IFERROR(__xludf.DUMMYFUNCTION("""COMPUTED_VALUE"""),"Cluster")</f>
        <v>Cluster</v>
      </c>
      <c r="D2334" s="2" t="str">
        <f ca="1">IFERROR(__xludf.DUMMYFUNCTION("""COMPUTED_VALUE"""),"Sharjah&gt;Muwaileh&gt;Al Mamsha&gt;Sawa")</f>
        <v>Sharjah&gt;Muwaileh&gt;Al Mamsha&gt;Sawa</v>
      </c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</row>
    <row r="2335" spans="1:26" ht="16.5" x14ac:dyDescent="0.35">
      <c r="A2335" s="2" t="str">
        <f ca="1">IFERROR(__xludf.DUMMYFUNCTION("""COMPUTED_VALUE"""),"Sharjah")</f>
        <v>Sharjah</v>
      </c>
      <c r="B2335" s="2" t="str">
        <f ca="1">IFERROR(__xludf.DUMMYFUNCTION("""COMPUTED_VALUE"""),"Al Zuhour Private School")</f>
        <v>Al Zuhour Private School</v>
      </c>
      <c r="C2335" s="2" t="str">
        <f ca="1">IFERROR(__xludf.DUMMYFUNCTION("""COMPUTED_VALUE"""),"School")</f>
        <v>School</v>
      </c>
      <c r="D2335" s="2" t="str">
        <f ca="1">IFERROR(__xludf.DUMMYFUNCTION("""COMPUTED_VALUE"""),"Sharjah&gt;Muwaileh Commercial&gt;Al Zuhour Private School")</f>
        <v>Sharjah&gt;Muwaileh Commercial&gt;Al Zuhour Private School</v>
      </c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</row>
    <row r="2336" spans="1:26" ht="16.5" x14ac:dyDescent="0.35">
      <c r="A2336" s="2" t="str">
        <f ca="1">IFERROR(__xludf.DUMMYFUNCTION("""COMPUTED_VALUE"""),"Sharjah")</f>
        <v>Sharjah</v>
      </c>
      <c r="B2336" s="2" t="str">
        <f ca="1">IFERROR(__xludf.DUMMYFUNCTION("""COMPUTED_VALUE"""),"Building 2")</f>
        <v>Building 2</v>
      </c>
      <c r="C2336" s="2" t="str">
        <f ca="1">IFERROR(__xludf.DUMMYFUNCTION("""COMPUTED_VALUE"""),"Building")</f>
        <v>Building</v>
      </c>
      <c r="D2336" s="2" t="str">
        <f ca="1">IFERROR(__xludf.DUMMYFUNCTION("""COMPUTED_VALUE"""),"Sharjah&gt;Muwaileh Commercial&gt;Muweileh Community&gt;Building 2")</f>
        <v>Sharjah&gt;Muwaileh Commercial&gt;Muweileh Community&gt;Building 2</v>
      </c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</row>
    <row r="2337" spans="1:26" ht="16.5" x14ac:dyDescent="0.35">
      <c r="A2337" s="2" t="str">
        <f ca="1">IFERROR(__xludf.DUMMYFUNCTION("""COMPUTED_VALUE"""),"Sharjah")</f>
        <v>Sharjah</v>
      </c>
      <c r="B2337" s="2" t="str">
        <f ca="1">IFERROR(__xludf.DUMMYFUNCTION("""COMPUTED_VALUE"""),"Olfah 6")</f>
        <v>Olfah 6</v>
      </c>
      <c r="C2337" s="2" t="str">
        <f ca="1">IFERROR(__xludf.DUMMYFUNCTION("""COMPUTED_VALUE"""),"Building")</f>
        <v>Building</v>
      </c>
      <c r="D2337" s="2" t="str">
        <f ca="1">IFERROR(__xludf.DUMMYFUNCTION("""COMPUTED_VALUE"""),"Sharjah&gt;Muwaileh Commercial&gt;Olfah&gt;Olfah 6")</f>
        <v>Sharjah&gt;Muwaileh Commercial&gt;Olfah&gt;Olfah 6</v>
      </c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</row>
    <row r="2338" spans="1:26" ht="16.5" x14ac:dyDescent="0.35">
      <c r="A2338" s="2" t="str">
        <f ca="1">IFERROR(__xludf.DUMMYFUNCTION("""COMPUTED_VALUE"""),"Sharjah")</f>
        <v>Sharjah</v>
      </c>
      <c r="B2338" s="2" t="str">
        <f ca="1">IFERROR(__xludf.DUMMYFUNCTION("""COMPUTED_VALUE"""),"Noor Building")</f>
        <v>Noor Building</v>
      </c>
      <c r="C2338" s="2" t="str">
        <f ca="1">IFERROR(__xludf.DUMMYFUNCTION("""COMPUTED_VALUE"""),"Building")</f>
        <v>Building</v>
      </c>
      <c r="D2338" s="2" t="str">
        <f ca="1">IFERROR(__xludf.DUMMYFUNCTION("""COMPUTED_VALUE"""),"Sharjah&gt;Muwaileh Commercial&gt;Noor Building")</f>
        <v>Sharjah&gt;Muwaileh Commercial&gt;Noor Building</v>
      </c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</row>
    <row r="2339" spans="1:26" ht="16.5" x14ac:dyDescent="0.35">
      <c r="A2339" s="2" t="str">
        <f ca="1">IFERROR(__xludf.DUMMYFUNCTION("""COMPUTED_VALUE"""),"Al Ain")</f>
        <v>Al Ain</v>
      </c>
      <c r="B2339" s="2" t="str">
        <f ca="1">IFERROR(__xludf.DUMMYFUNCTION("""COMPUTED_VALUE"""),"Future International School, Al Ain")</f>
        <v>Future International School, Al Ain</v>
      </c>
      <c r="C2339" s="2" t="str">
        <f ca="1">IFERROR(__xludf.DUMMYFUNCTION("""COMPUTED_VALUE"""),"School")</f>
        <v>School</v>
      </c>
      <c r="D2339" s="2" t="str">
        <f ca="1">IFERROR(__xludf.DUMMYFUNCTION("""COMPUTED_VALUE"""),"Al Ain&gt;Central District&gt;Future International School, Al Ain")</f>
        <v>Al Ain&gt;Central District&gt;Future International School, Al Ain</v>
      </c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</row>
    <row r="2340" spans="1:26" ht="16.5" x14ac:dyDescent="0.35">
      <c r="A2340" s="2" t="str">
        <f ca="1">IFERROR(__xludf.DUMMYFUNCTION("""COMPUTED_VALUE"""),"Al Ain")</f>
        <v>Al Ain</v>
      </c>
      <c r="B2340" s="2" t="str">
        <f ca="1">IFERROR(__xludf.DUMMYFUNCTION("""COMPUTED_VALUE"""),"Al Ain English Speaking School")</f>
        <v>Al Ain English Speaking School</v>
      </c>
      <c r="C2340" s="2" t="str">
        <f ca="1">IFERROR(__xludf.DUMMYFUNCTION("""COMPUTED_VALUE"""),"School")</f>
        <v>School</v>
      </c>
      <c r="D2340" s="2" t="str">
        <f ca="1">IFERROR(__xludf.DUMMYFUNCTION("""COMPUTED_VALUE"""),"Al Ain&gt;Al Muwaiji&gt;Al Ain English Speaking School")</f>
        <v>Al Ain&gt;Al Muwaiji&gt;Al Ain English Speaking School</v>
      </c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</row>
    <row r="2341" spans="1:26" ht="16.5" x14ac:dyDescent="0.35">
      <c r="A2341" s="2" t="str">
        <f ca="1">IFERROR(__xludf.DUMMYFUNCTION("""COMPUTED_VALUE"""),"Al Ain")</f>
        <v>Al Ain</v>
      </c>
      <c r="B2341" s="2" t="str">
        <f ca="1">IFERROR(__xludf.DUMMYFUNCTION("""COMPUTED_VALUE"""),"Al Hili Complex")</f>
        <v>Al Hili Complex</v>
      </c>
      <c r="C2341" s="2" t="str">
        <f ca="1">IFERROR(__xludf.DUMMYFUNCTION("""COMPUTED_VALUE"""),"Neighbourhood")</f>
        <v>Neighbourhood</v>
      </c>
      <c r="D2341" s="2" t="str">
        <f ca="1">IFERROR(__xludf.DUMMYFUNCTION("""COMPUTED_VALUE"""),"Al Ain&gt;Hili&gt;Al Hili Complex")</f>
        <v>Al Ain&gt;Hili&gt;Al Hili Complex</v>
      </c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</row>
    <row r="2342" spans="1:26" ht="16.5" x14ac:dyDescent="0.35">
      <c r="A2342" s="2" t="str">
        <f ca="1">IFERROR(__xludf.DUMMYFUNCTION("""COMPUTED_VALUE"""),"Al Ain")</f>
        <v>Al Ain</v>
      </c>
      <c r="B2342" s="2" t="str">
        <f ca="1">IFERROR(__xludf.DUMMYFUNCTION("""COMPUTED_VALUE"""),"Al Mahatta")</f>
        <v>Al Mahatta</v>
      </c>
      <c r="C2342" s="2" t="str">
        <f ca="1">IFERROR(__xludf.DUMMYFUNCTION("""COMPUTED_VALUE"""),"Neighbourhood")</f>
        <v>Neighbourhood</v>
      </c>
      <c r="D2342" s="2" t="str">
        <f ca="1">IFERROR(__xludf.DUMMYFUNCTION("""COMPUTED_VALUE"""),"Al Ain&gt;Al Tiwayya&gt;Al Mahatta")</f>
        <v>Al Ain&gt;Al Tiwayya&gt;Al Mahatta</v>
      </c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</row>
    <row r="2343" spans="1:26" ht="16.5" x14ac:dyDescent="0.35">
      <c r="A2343" s="2" t="str">
        <f ca="1">IFERROR(__xludf.DUMMYFUNCTION("""COMPUTED_VALUE"""),"Al Ain")</f>
        <v>Al Ain</v>
      </c>
      <c r="B2343" s="2" t="str">
        <f ca="1">IFERROR(__xludf.DUMMYFUNCTION("""COMPUTED_VALUE"""),"Al Aamerah")</f>
        <v>Al Aamerah</v>
      </c>
      <c r="C2343" s="2" t="str">
        <f ca="1">IFERROR(__xludf.DUMMYFUNCTION("""COMPUTED_VALUE"""),"Neighbourhood")</f>
        <v>Neighbourhood</v>
      </c>
      <c r="D2343" s="2" t="str">
        <f ca="1">IFERROR(__xludf.DUMMYFUNCTION("""COMPUTED_VALUE"""),"Al Ain&gt;Al Aamerah")</f>
        <v>Al Ain&gt;Al Aamerah</v>
      </c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</row>
    <row r="2344" spans="1:26" ht="16.5" x14ac:dyDescent="0.35">
      <c r="A2344" s="2" t="str">
        <f ca="1">IFERROR(__xludf.DUMMYFUNCTION("""COMPUTED_VALUE"""),"Al Ain")</f>
        <v>Al Ain</v>
      </c>
      <c r="B2344" s="2" t="str">
        <f ca="1">IFERROR(__xludf.DUMMYFUNCTION("""COMPUTED_VALUE"""),"Al Iqabiyyah")</f>
        <v>Al Iqabiyyah</v>
      </c>
      <c r="C2344" s="2" t="str">
        <f ca="1">IFERROR(__xludf.DUMMYFUNCTION("""COMPUTED_VALUE"""),"Neighbourhood")</f>
        <v>Neighbourhood</v>
      </c>
      <c r="D2344" s="2" t="str">
        <f ca="1">IFERROR(__xludf.DUMMYFUNCTION("""COMPUTED_VALUE"""),"Al Ain&gt;Al Iqabiyyah")</f>
        <v>Al Ain&gt;Al Iqabiyyah</v>
      </c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</row>
    <row r="2345" spans="1:26" ht="16.5" x14ac:dyDescent="0.35">
      <c r="A2345" s="2" t="str">
        <f ca="1">IFERROR(__xludf.DUMMYFUNCTION("""COMPUTED_VALUE"""),"Ras Al Khaimah")</f>
        <v>Ras Al Khaimah</v>
      </c>
      <c r="B2345" s="2" t="str">
        <f ca="1">IFERROR(__xludf.DUMMYFUNCTION("""COMPUTED_VALUE"""),"Marbella Villas")</f>
        <v>Marbella Villas</v>
      </c>
      <c r="C2345" s="2" t="str">
        <f ca="1">IFERROR(__xludf.DUMMYFUNCTION("""COMPUTED_VALUE"""),"Neighbourhood")</f>
        <v>Neighbourhood</v>
      </c>
      <c r="D2345" s="2" t="str">
        <f ca="1">IFERROR(__xludf.DUMMYFUNCTION("""COMPUTED_VALUE"""),"Ras Al Khaimah&gt;Mina Al Arab&gt;Hayat Island&gt;Marbella Villas")</f>
        <v>Ras Al Khaimah&gt;Mina Al Arab&gt;Hayat Island&gt;Marbella Villas</v>
      </c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</row>
    <row r="2346" spans="1:26" ht="16.5" x14ac:dyDescent="0.35">
      <c r="A2346" s="2" t="str">
        <f ca="1">IFERROR(__xludf.DUMMYFUNCTION("""COMPUTED_VALUE"""),"Ras Al Khaimah")</f>
        <v>Ras Al Khaimah</v>
      </c>
      <c r="B2346" s="2" t="str">
        <f ca="1">IFERROR(__xludf.DUMMYFUNCTION("""COMPUTED_VALUE"""),"Pacific Bora Bora")</f>
        <v>Pacific Bora Bora</v>
      </c>
      <c r="C2346" s="2" t="str">
        <f ca="1">IFERROR(__xludf.DUMMYFUNCTION("""COMPUTED_VALUE"""),"Building")</f>
        <v>Building</v>
      </c>
      <c r="D2346" s="2" t="str">
        <f ca="1">IFERROR(__xludf.DUMMYFUNCTION("""COMPUTED_VALUE"""),"Ras Al Khaimah&gt;Al Marjan Island&gt;Pacific&gt;Pacific Bora Bora")</f>
        <v>Ras Al Khaimah&gt;Al Marjan Island&gt;Pacific&gt;Pacific Bora Bora</v>
      </c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</row>
    <row r="2347" spans="1:26" ht="16.5" x14ac:dyDescent="0.35">
      <c r="A2347" s="2" t="str">
        <f ca="1">IFERROR(__xludf.DUMMYFUNCTION("""COMPUTED_VALUE"""),"Ras Al Khaimah")</f>
        <v>Ras Al Khaimah</v>
      </c>
      <c r="B2347" s="2" t="str">
        <f ca="1">IFERROR(__xludf.DUMMYFUNCTION("""COMPUTED_VALUE"""),"Park Beach Residence 1")</f>
        <v>Park Beach Residence 1</v>
      </c>
      <c r="C2347" s="2" t="str">
        <f ca="1">IFERROR(__xludf.DUMMYFUNCTION("""COMPUTED_VALUE"""),"Building")</f>
        <v>Building</v>
      </c>
      <c r="D2347" s="2" t="str">
        <f ca="1">IFERROR(__xludf.DUMMYFUNCTION("""COMPUTED_VALUE"""),"Ras Al Khaimah&gt;Al Marjan Island&gt;Park Beach Residences&gt;Park Beach Residence 1")</f>
        <v>Ras Al Khaimah&gt;Al Marjan Island&gt;Park Beach Residences&gt;Park Beach Residence 1</v>
      </c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</row>
    <row r="2348" spans="1:26" ht="16.5" x14ac:dyDescent="0.35">
      <c r="A2348" s="2" t="str">
        <f ca="1">IFERROR(__xludf.DUMMYFUNCTION("""COMPUTED_VALUE"""),"Ras Al Khaimah")</f>
        <v>Ras Al Khaimah</v>
      </c>
      <c r="B2348" s="2" t="str">
        <f ca="1">IFERROR(__xludf.DUMMYFUNCTION("""COMPUTED_VALUE"""),"Fairmont Residences")</f>
        <v>Fairmont Residences</v>
      </c>
      <c r="C2348" s="2" t="str">
        <f ca="1">IFERROR(__xludf.DUMMYFUNCTION("""COMPUTED_VALUE"""),"Building")</f>
        <v>Building</v>
      </c>
      <c r="D2348" s="2" t="str">
        <f ca="1">IFERROR(__xludf.DUMMYFUNCTION("""COMPUTED_VALUE"""),"Ras Al Khaimah&gt;Al Marjan Island&gt;Fairmont Residences")</f>
        <v>Ras Al Khaimah&gt;Al Marjan Island&gt;Fairmont Residences</v>
      </c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</row>
    <row r="2349" spans="1:26" ht="16.5" x14ac:dyDescent="0.35">
      <c r="A2349" s="2" t="str">
        <f ca="1">IFERROR(__xludf.DUMMYFUNCTION("""COMPUTED_VALUE"""),"Ras Al Khaimah")</f>
        <v>Ras Al Khaimah</v>
      </c>
      <c r="B2349" s="2" t="str">
        <f ca="1">IFERROR(__xludf.DUMMYFUNCTION("""COMPUTED_VALUE"""),"Al Hamra Village Type C Villas")</f>
        <v>Al Hamra Village Type C Villas</v>
      </c>
      <c r="C2349" s="2"/>
      <c r="D2349" s="2" t="str">
        <f ca="1">IFERROR(__xludf.DUMMYFUNCTION("""COMPUTED_VALUE"""),"Ras Al Khaimah&gt;Al Hamra Village&gt;Al Hamra Village Type C Villas")</f>
        <v>Ras Al Khaimah&gt;Al Hamra Village&gt;Al Hamra Village Type C Villas</v>
      </c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</row>
    <row r="2350" spans="1:26" ht="16.5" x14ac:dyDescent="0.35">
      <c r="A2350" s="2" t="str">
        <f ca="1">IFERROR(__xludf.DUMMYFUNCTION("""COMPUTED_VALUE"""),"Ras Al Khaimah")</f>
        <v>Ras Al Khaimah</v>
      </c>
      <c r="B2350" s="2" t="str">
        <f ca="1">IFERROR(__xludf.DUMMYFUNCTION("""COMPUTED_VALUE"""),"Yasmin Village Building 12")</f>
        <v>Yasmin Village Building 12</v>
      </c>
      <c r="C2350" s="2" t="str">
        <f ca="1">IFERROR(__xludf.DUMMYFUNCTION("""COMPUTED_VALUE"""),"Building")</f>
        <v>Building</v>
      </c>
      <c r="D2350" s="2" t="str">
        <f ca="1">IFERROR(__xludf.DUMMYFUNCTION("""COMPUTED_VALUE"""),"Ras Al Khaimah&gt;Yasmin Village&gt;Yasmin Village Building 12")</f>
        <v>Ras Al Khaimah&gt;Yasmin Village&gt;Yasmin Village Building 12</v>
      </c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</row>
    <row r="2351" spans="1:26" ht="16.5" x14ac:dyDescent="0.35">
      <c r="A2351" s="2" t="str">
        <f ca="1">IFERROR(__xludf.DUMMYFUNCTION("""COMPUTED_VALUE"""),"Ras Al Khaimah")</f>
        <v>Ras Al Khaimah</v>
      </c>
      <c r="B2351" s="2" t="str">
        <f ca="1">IFERROR(__xludf.DUMMYFUNCTION("""COMPUTED_VALUE"""),"Al Sabkha")</f>
        <v>Al Sabkha</v>
      </c>
      <c r="C2351" s="2"/>
      <c r="D2351" s="2" t="str">
        <f ca="1">IFERROR(__xludf.DUMMYFUNCTION("""COMPUTED_VALUE"""),"Ras Al Khaimah&gt;Al Sabkha")</f>
        <v>Ras Al Khaimah&gt;Al Sabkha</v>
      </c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</row>
    <row r="2352" spans="1:26" ht="16.5" x14ac:dyDescent="0.35">
      <c r="A2352" s="2" t="str">
        <f ca="1">IFERROR(__xludf.DUMMYFUNCTION("""COMPUTED_VALUE"""),"Ras Al Khaimah")</f>
        <v>Ras Al Khaimah</v>
      </c>
      <c r="B2352" s="2" t="str">
        <f ca="1">IFERROR(__xludf.DUMMYFUNCTION("""COMPUTED_VALUE"""),"Al Jeer")</f>
        <v>Al Jeer</v>
      </c>
      <c r="C2352" s="2" t="str">
        <f ca="1">IFERROR(__xludf.DUMMYFUNCTION("""COMPUTED_VALUE"""),"Neighbourhood")</f>
        <v>Neighbourhood</v>
      </c>
      <c r="D2352" s="2" t="str">
        <f ca="1">IFERROR(__xludf.DUMMYFUNCTION("""COMPUTED_VALUE"""),"Ras Al Khaimah&gt;Al Jeer")</f>
        <v>Ras Al Khaimah&gt;Al Jeer</v>
      </c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</row>
    <row r="2353" spans="1:26" ht="16.5" x14ac:dyDescent="0.35">
      <c r="A2353" s="2" t="str">
        <f ca="1">IFERROR(__xludf.DUMMYFUNCTION("""COMPUTED_VALUE"""),"Ras Al Khaimah")</f>
        <v>Ras Al Khaimah</v>
      </c>
      <c r="B2353" s="2" t="str">
        <f ca="1">IFERROR(__xludf.DUMMYFUNCTION("""COMPUTED_VALUE"""),"Wadi bih")</f>
        <v>Wadi bih</v>
      </c>
      <c r="C2353" s="2"/>
      <c r="D2353" s="2" t="str">
        <f ca="1">IFERROR(__xludf.DUMMYFUNCTION("""COMPUTED_VALUE"""),"Ras Al Khaimah&gt;Wadi bih")</f>
        <v>Ras Al Khaimah&gt;Wadi bih</v>
      </c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</row>
    <row r="2354" spans="1:26" ht="16.5" x14ac:dyDescent="0.35">
      <c r="A2354" s="2" t="str">
        <f ca="1">IFERROR(__xludf.DUMMYFUNCTION("""COMPUTED_VALUE"""),"Umm Al Quwain")</f>
        <v>Umm Al Quwain</v>
      </c>
      <c r="B2354" s="2" t="str">
        <f ca="1">IFERROR(__xludf.DUMMYFUNCTION("""COMPUTED_VALUE"""),"Emirates Modern Industrial Area")</f>
        <v>Emirates Modern Industrial Area</v>
      </c>
      <c r="C2354" s="2" t="str">
        <f ca="1">IFERROR(__xludf.DUMMYFUNCTION("""COMPUTED_VALUE"""),"Neighbourhood")</f>
        <v>Neighbourhood</v>
      </c>
      <c r="D2354" s="2" t="str">
        <f ca="1">IFERROR(__xludf.DUMMYFUNCTION("""COMPUTED_VALUE"""),"Umm Al Quwain&gt;Emirates Modern Industrial Area")</f>
        <v>Umm Al Quwain&gt;Emirates Modern Industrial Area</v>
      </c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</row>
    <row r="2355" spans="1:26" ht="16.5" x14ac:dyDescent="0.35">
      <c r="A2355" s="2" t="str">
        <f ca="1">IFERROR(__xludf.DUMMYFUNCTION("""COMPUTED_VALUE"""),"Umm Al Quwain")</f>
        <v>Umm Al Quwain</v>
      </c>
      <c r="B2355" s="2" t="str">
        <f ca="1">IFERROR(__xludf.DUMMYFUNCTION("""COMPUTED_VALUE"""),"Sobha Aquamont")</f>
        <v>Sobha Aquamont</v>
      </c>
      <c r="C2355" s="2" t="str">
        <f ca="1">IFERROR(__xludf.DUMMYFUNCTION("""COMPUTED_VALUE"""),"Cluster")</f>
        <v>Cluster</v>
      </c>
      <c r="D2355" s="2" t="str">
        <f ca="1">IFERROR(__xludf.DUMMYFUNCTION("""COMPUTED_VALUE"""),"Umm Al Quwain&gt;Old Town Area&gt;Sobha Aquamont")</f>
        <v>Umm Al Quwain&gt;Old Town Area&gt;Sobha Aquamont</v>
      </c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</row>
    <row r="2356" spans="1:26" ht="16.5" x14ac:dyDescent="0.35">
      <c r="A2356" s="2" t="str">
        <f ca="1">IFERROR(__xludf.DUMMYFUNCTION("""COMPUTED_VALUE"""),"Umm Al Quwain")</f>
        <v>Umm Al Quwain</v>
      </c>
      <c r="B2356" s="2" t="str">
        <f ca="1">IFERROR(__xludf.DUMMYFUNCTION("""COMPUTED_VALUE"""),"Aquamarine Beach Residences Tower B")</f>
        <v>Aquamarine Beach Residences Tower B</v>
      </c>
      <c r="C2356" s="2" t="str">
        <f ca="1">IFERROR(__xludf.DUMMYFUNCTION("""COMPUTED_VALUE"""),"Building")</f>
        <v>Building</v>
      </c>
      <c r="D2356" s="2" t="str">
        <f ca="1">IFERROR(__xludf.DUMMYFUNCTION("""COMPUTED_VALUE"""),"Umm Al Quwain&gt;Al Seanneeah&gt;Sobha Siniya Island&gt;Aquamarine Beach Residences&gt;Aquamarine Beach Residences Tower B")</f>
        <v>Umm Al Quwain&gt;Al Seanneeah&gt;Sobha Siniya Island&gt;Aquamarine Beach Residences&gt;Aquamarine Beach Residences Tower B</v>
      </c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</row>
    <row r="2357" spans="1:26" ht="16.5" x14ac:dyDescent="0.35">
      <c r="A2357" s="2" t="str">
        <f ca="1">IFERROR(__xludf.DUMMYFUNCTION("""COMPUTED_VALUE"""),"Umm Al Quwain")</f>
        <v>Umm Al Quwain</v>
      </c>
      <c r="B2357" s="2" t="str">
        <f ca="1">IFERROR(__xludf.DUMMYFUNCTION("""COMPUTED_VALUE"""),"Pristine Beach Residences Tower B")</f>
        <v>Pristine Beach Residences Tower B</v>
      </c>
      <c r="C2357" s="2" t="str">
        <f ca="1">IFERROR(__xludf.DUMMYFUNCTION("""COMPUTED_VALUE"""),"Building")</f>
        <v>Building</v>
      </c>
      <c r="D2357" s="2" t="str">
        <f ca="1">IFERROR(__xludf.DUMMYFUNCTION("""COMPUTED_VALUE"""),"Umm Al Quwain&gt;Al Seanneeah&gt;Sobha Siniya Island&gt;Pristine Beach Residences&gt;Pristine Beach Residences Tower B")</f>
        <v>Umm Al Quwain&gt;Al Seanneeah&gt;Sobha Siniya Island&gt;Pristine Beach Residences&gt;Pristine Beach Residences Tower B</v>
      </c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</row>
    <row r="2358" spans="1:26" ht="16.5" x14ac:dyDescent="0.35">
      <c r="A2358" s="2" t="str">
        <f ca="1">IFERROR(__xludf.DUMMYFUNCTION("""COMPUTED_VALUE"""),"Fujairah")</f>
        <v>Fujairah</v>
      </c>
      <c r="B2358" s="2" t="str">
        <f ca="1">IFERROR(__xludf.DUMMYFUNCTION("""COMPUTED_VALUE"""),"Al Hayl")</f>
        <v>Al Hayl</v>
      </c>
      <c r="C2358" s="2"/>
      <c r="D2358" s="2" t="str">
        <f ca="1">IFERROR(__xludf.DUMMYFUNCTION("""COMPUTED_VALUE"""),"Fujairah&gt;Al Hayl")</f>
        <v>Fujairah&gt;Al Hayl</v>
      </c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</row>
    <row r="2359" spans="1:26" ht="16.5" x14ac:dyDescent="0.35">
      <c r="A2359" s="2" t="str">
        <f ca="1">IFERROR(__xludf.DUMMYFUNCTION("""COMPUTED_VALUE"""),"Fujairah")</f>
        <v>Fujairah</v>
      </c>
      <c r="B2359" s="2" t="str">
        <f ca="1">IFERROR(__xludf.DUMMYFUNCTION("""COMPUTED_VALUE"""),"Al Mahatta")</f>
        <v>Al Mahatta</v>
      </c>
      <c r="C2359" s="2"/>
      <c r="D2359" s="2" t="str">
        <f ca="1">IFERROR(__xludf.DUMMYFUNCTION("""COMPUTED_VALUE"""),"Fujairah&gt;Al Mahatta")</f>
        <v>Fujairah&gt;Al Mahatta</v>
      </c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</row>
    <row r="2360" spans="1:26" ht="16.5" x14ac:dyDescent="0.35">
      <c r="A2360" s="2" t="str">
        <f ca="1">IFERROR(__xludf.DUMMYFUNCTION("""COMPUTED_VALUE"""),"Al Napoca")</f>
        <v>Al Napoca</v>
      </c>
      <c r="B2360" s="2" t="str">
        <f ca="1">IFERROR(__xludf.DUMMYFUNCTION("""COMPUTED_VALUE"""),"Sanity One")</f>
        <v>Sanity One</v>
      </c>
      <c r="C2360" s="2" t="str">
        <f ca="1">IFERROR(__xludf.DUMMYFUNCTION("""COMPUTED_VALUE"""),"Country")</f>
        <v>Country</v>
      </c>
      <c r="D2360" s="2" t="str">
        <f ca="1">IFERROR(__xludf.DUMMYFUNCTION("""COMPUTED_VALUE"""),"Al Napoca&gt;Johar&gt;Sanity One")</f>
        <v>Al Napoca&gt;Johar&gt;Sanity One</v>
      </c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</row>
    <row r="2361" spans="1:26" ht="16.5" x14ac:dyDescent="0.35">
      <c r="A2361" s="2" t="str">
        <f ca="1">IFERROR(__xludf.DUMMYFUNCTION("""COMPUTED_VALUE"""),"Dubai")</f>
        <v>Dubai</v>
      </c>
      <c r="B2361" s="2" t="str">
        <f ca="1">IFERROR(__xludf.DUMMYFUNCTION("""COMPUTED_VALUE"""),"Ras Al Khor Industrial")</f>
        <v>Ras Al Khor Industrial</v>
      </c>
      <c r="C2361" s="2" t="str">
        <f ca="1">IFERROR(__xludf.DUMMYFUNCTION("""COMPUTED_VALUE"""),"Neighbourhood")</f>
        <v>Neighbourhood</v>
      </c>
      <c r="D2361" s="2" t="str">
        <f ca="1">IFERROR(__xludf.DUMMYFUNCTION("""COMPUTED_VALUE"""),"Dubai&gt;Ras Al Khor&gt;Ras Al Khor Industrial")</f>
        <v>Dubai&gt;Ras Al Khor&gt;Ras Al Khor Industrial</v>
      </c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</row>
    <row r="2362" spans="1:26" ht="16.5" x14ac:dyDescent="0.35">
      <c r="A2362" s="2" t="str">
        <f ca="1">IFERROR(__xludf.DUMMYFUNCTION("""COMPUTED_VALUE"""),"Dubai")</f>
        <v>Dubai</v>
      </c>
      <c r="B2362" s="2" t="str">
        <f ca="1">IFERROR(__xludf.DUMMYFUNCTION("""COMPUTED_VALUE"""),"Wasl Green Park")</f>
        <v>Wasl Green Park</v>
      </c>
      <c r="C2362" s="2" t="str">
        <f ca="1">IFERROR(__xludf.DUMMYFUNCTION("""COMPUTED_VALUE"""),"Neighbourhood")</f>
        <v>Neighbourhood</v>
      </c>
      <c r="D2362" s="2" t="str">
        <f ca="1">IFERROR(__xludf.DUMMYFUNCTION("""COMPUTED_VALUE"""),"Dubai&gt;Ras Al Khor&gt;Ras Al Khor Industrial&gt;Ras Al Khor Industrial 3&gt;Wasl Green Park")</f>
        <v>Dubai&gt;Ras Al Khor&gt;Ras Al Khor Industrial&gt;Ras Al Khor Industrial 3&gt;Wasl Green Park</v>
      </c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</row>
    <row r="2363" spans="1:26" ht="16.5" x14ac:dyDescent="0.35">
      <c r="A2363" s="2" t="str">
        <f ca="1">IFERROR(__xludf.DUMMYFUNCTION("""COMPUTED_VALUE"""),"Dubai")</f>
        <v>Dubai</v>
      </c>
      <c r="B2363" s="2" t="str">
        <f ca="1">IFERROR(__xludf.DUMMYFUNCTION("""COMPUTED_VALUE"""),"Jafza View 18")</f>
        <v>Jafza View 18</v>
      </c>
      <c r="C2363" s="2" t="str">
        <f ca="1">IFERROR(__xludf.DUMMYFUNCTION("""COMPUTED_VALUE"""),"Building")</f>
        <v>Building</v>
      </c>
      <c r="D2363" s="2" t="str">
        <f ca="1">IFERROR(__xludf.DUMMYFUNCTION("""COMPUTED_VALUE"""),"Dubai&gt;Jebel Ali&gt;Downtown Jebel Ali&gt;Jafza View Towers&gt;Jafza View 18")</f>
        <v>Dubai&gt;Jebel Ali&gt;Downtown Jebel Ali&gt;Jafza View Towers&gt;Jafza View 18</v>
      </c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</row>
    <row r="2364" spans="1:26" ht="16.5" x14ac:dyDescent="0.35">
      <c r="A2364" s="2" t="str">
        <f ca="1">IFERROR(__xludf.DUMMYFUNCTION("""COMPUTED_VALUE"""),"Dubai")</f>
        <v>Dubai</v>
      </c>
      <c r="B2364" s="2" t="str">
        <f ca="1">IFERROR(__xludf.DUMMYFUNCTION("""COMPUTED_VALUE"""),"Festival Plaza")</f>
        <v>Festival Plaza</v>
      </c>
      <c r="C2364" s="2" t="str">
        <f ca="1">IFERROR(__xludf.DUMMYFUNCTION("""COMPUTED_VALUE"""),"Building")</f>
        <v>Building</v>
      </c>
      <c r="D2364" s="2" t="str">
        <f ca="1">IFERROR(__xludf.DUMMYFUNCTION("""COMPUTED_VALUE"""),"Dubai&gt;Jebel Ali&gt;Festival Plaza")</f>
        <v>Dubai&gt;Jebel Ali&gt;Festival Plaza</v>
      </c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</row>
    <row r="2365" spans="1:26" ht="16.5" x14ac:dyDescent="0.35">
      <c r="A2365" s="2" t="str">
        <f ca="1">IFERROR(__xludf.DUMMYFUNCTION("""COMPUTED_VALUE"""),"Dubai")</f>
        <v>Dubai</v>
      </c>
      <c r="B2365" s="2" t="str">
        <f ca="1">IFERROR(__xludf.DUMMYFUNCTION("""COMPUTED_VALUE"""),"Al Awal Building")</f>
        <v>Al Awal Building</v>
      </c>
      <c r="C2365" s="2" t="str">
        <f ca="1">IFERROR(__xludf.DUMMYFUNCTION("""COMPUTED_VALUE"""),"Building")</f>
        <v>Building</v>
      </c>
      <c r="D2365" s="2" t="str">
        <f ca="1">IFERROR(__xludf.DUMMYFUNCTION("""COMPUTED_VALUE"""),"Dubai&gt;Nad Al Hamar&gt;Al Awal Building")</f>
        <v>Dubai&gt;Nad Al Hamar&gt;Al Awal Building</v>
      </c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</row>
    <row r="2366" spans="1:26" ht="16.5" x14ac:dyDescent="0.35">
      <c r="A2366" s="2" t="str">
        <f ca="1">IFERROR(__xludf.DUMMYFUNCTION("""COMPUTED_VALUE"""),"Dubai")</f>
        <v>Dubai</v>
      </c>
      <c r="B2366" s="2" t="str">
        <f ca="1">IFERROR(__xludf.DUMMYFUNCTION("""COMPUTED_VALUE"""),"Dubai National School, Al Barsha")</f>
        <v>Dubai National School, Al Barsha</v>
      </c>
      <c r="C2366" s="2" t="str">
        <f ca="1">IFERROR(__xludf.DUMMYFUNCTION("""COMPUTED_VALUE"""),"School")</f>
        <v>School</v>
      </c>
      <c r="D2366" s="2" t="str">
        <f ca="1">IFERROR(__xludf.DUMMYFUNCTION("""COMPUTED_VALUE"""),"Dubai&gt;Al Barsha&gt;Al Barsha 1&gt;Dubai National School, Al Barsha")</f>
        <v>Dubai&gt;Al Barsha&gt;Al Barsha 1&gt;Dubai National School, Al Barsha</v>
      </c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</row>
    <row r="2367" spans="1:26" ht="16.5" x14ac:dyDescent="0.35">
      <c r="A2367" s="2" t="str">
        <f ca="1">IFERROR(__xludf.DUMMYFUNCTION("""COMPUTED_VALUE"""),"Dubai")</f>
        <v>Dubai</v>
      </c>
      <c r="B2367" s="2" t="str">
        <f ca="1">IFERROR(__xludf.DUMMYFUNCTION("""COMPUTED_VALUE"""),"Saleh Bin Lahej Building 361")</f>
        <v>Saleh Bin Lahej Building 361</v>
      </c>
      <c r="C2367" s="2" t="str">
        <f ca="1">IFERROR(__xludf.DUMMYFUNCTION("""COMPUTED_VALUE"""),"Building")</f>
        <v>Building</v>
      </c>
      <c r="D2367" s="2" t="str">
        <f ca="1">IFERROR(__xludf.DUMMYFUNCTION("""COMPUTED_VALUE"""),"Dubai&gt;Al Barsha&gt;Al Barsha 1&gt;Saleh Bin Lahej Building 361")</f>
        <v>Dubai&gt;Al Barsha&gt;Al Barsha 1&gt;Saleh Bin Lahej Building 361</v>
      </c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</row>
    <row r="2368" spans="1:26" ht="16.5" x14ac:dyDescent="0.35">
      <c r="A2368" s="2" t="str">
        <f ca="1">IFERROR(__xludf.DUMMYFUNCTION("""COMPUTED_VALUE"""),"Dubai")</f>
        <v>Dubai</v>
      </c>
      <c r="B2368" s="2" t="str">
        <f ca="1">IFERROR(__xludf.DUMMYFUNCTION("""COMPUTED_VALUE"""),"Dar Maryam")</f>
        <v>Dar Maryam</v>
      </c>
      <c r="C2368" s="2" t="str">
        <f ca="1">IFERROR(__xludf.DUMMYFUNCTION("""COMPUTED_VALUE"""),"Building")</f>
        <v>Building</v>
      </c>
      <c r="D2368" s="2" t="str">
        <f ca="1">IFERROR(__xludf.DUMMYFUNCTION("""COMPUTED_VALUE"""),"Dubai&gt;Al Barsha&gt;Al Barsha 1&gt;Dar Maryam")</f>
        <v>Dubai&gt;Al Barsha&gt;Al Barsha 1&gt;Dar Maryam</v>
      </c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</row>
    <row r="2369" spans="1:26" ht="16.5" x14ac:dyDescent="0.35">
      <c r="A2369" s="2" t="str">
        <f ca="1">IFERROR(__xludf.DUMMYFUNCTION("""COMPUTED_VALUE"""),"Dubai")</f>
        <v>Dubai</v>
      </c>
      <c r="B2369" s="2" t="str">
        <f ca="1">IFERROR(__xludf.DUMMYFUNCTION("""COMPUTED_VALUE"""),"Bin Shama 2")</f>
        <v>Bin Shama 2</v>
      </c>
      <c r="C2369" s="2" t="str">
        <f ca="1">IFERROR(__xludf.DUMMYFUNCTION("""COMPUTED_VALUE"""),"Building")</f>
        <v>Building</v>
      </c>
      <c r="D2369" s="2" t="str">
        <f ca="1">IFERROR(__xludf.DUMMYFUNCTION("""COMPUTED_VALUE"""),"Dubai&gt;Al Barsha&gt;Al Barsha 1&gt;Bin Shama 2")</f>
        <v>Dubai&gt;Al Barsha&gt;Al Barsha 1&gt;Bin Shama 2</v>
      </c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</row>
    <row r="2370" spans="1:26" ht="16.5" x14ac:dyDescent="0.35">
      <c r="A2370" s="2" t="str">
        <f ca="1">IFERROR(__xludf.DUMMYFUNCTION("""COMPUTED_VALUE"""),"Dubai")</f>
        <v>Dubai</v>
      </c>
      <c r="B2370" s="2" t="str">
        <f ca="1">IFERROR(__xludf.DUMMYFUNCTION("""COMPUTED_VALUE"""),"Al Barsha Twin Tower A")</f>
        <v>Al Barsha Twin Tower A</v>
      </c>
      <c r="C2370" s="2" t="str">
        <f ca="1">IFERROR(__xludf.DUMMYFUNCTION("""COMPUTED_VALUE"""),"Building")</f>
        <v>Building</v>
      </c>
      <c r="D2370" s="2" t="str">
        <f ca="1">IFERROR(__xludf.DUMMYFUNCTION("""COMPUTED_VALUE"""),"Dubai&gt;Al Barsha&gt;Al Barsha 1&gt;Al Barsha Twin Towers&gt;Al Barsha Twin Tower A")</f>
        <v>Dubai&gt;Al Barsha&gt;Al Barsha 1&gt;Al Barsha Twin Towers&gt;Al Barsha Twin Tower A</v>
      </c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</row>
    <row r="2371" spans="1:26" ht="16.5" x14ac:dyDescent="0.35">
      <c r="A2371" s="2" t="str">
        <f ca="1">IFERROR(__xludf.DUMMYFUNCTION("""COMPUTED_VALUE"""),"Dubai")</f>
        <v>Dubai</v>
      </c>
      <c r="B2371" s="2" t="str">
        <f ca="1">IFERROR(__xludf.DUMMYFUNCTION("""COMPUTED_VALUE"""),"City Star Hotel Apartments")</f>
        <v>City Star Hotel Apartments</v>
      </c>
      <c r="C2371" s="2" t="str">
        <f ca="1">IFERROR(__xludf.DUMMYFUNCTION("""COMPUTED_VALUE"""),"Building")</f>
        <v>Building</v>
      </c>
      <c r="D2371" s="2" t="str">
        <f ca="1">IFERROR(__xludf.DUMMYFUNCTION("""COMPUTED_VALUE"""),"Dubai&gt;Al Barsha&gt;Al Barsha 1&gt;City Star Hotel Apartments")</f>
        <v>Dubai&gt;Al Barsha&gt;Al Barsha 1&gt;City Star Hotel Apartments</v>
      </c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</row>
    <row r="2372" spans="1:26" ht="16.5" x14ac:dyDescent="0.35">
      <c r="A2372" s="2" t="str">
        <f ca="1">IFERROR(__xludf.DUMMYFUNCTION("""COMPUTED_VALUE"""),"Dubai")</f>
        <v>Dubai</v>
      </c>
      <c r="B2372" s="2" t="str">
        <f ca="1">IFERROR(__xludf.DUMMYFUNCTION("""COMPUTED_VALUE"""),"Ajyal Building")</f>
        <v>Ajyal Building</v>
      </c>
      <c r="C2372" s="2" t="str">
        <f ca="1">IFERROR(__xludf.DUMMYFUNCTION("""COMPUTED_VALUE"""),"Building")</f>
        <v>Building</v>
      </c>
      <c r="D2372" s="2" t="str">
        <f ca="1">IFERROR(__xludf.DUMMYFUNCTION("""COMPUTED_VALUE"""),"Dubai&gt;Al Barsha&gt;Al Barsha 1&gt;Ajyal Building")</f>
        <v>Dubai&gt;Al Barsha&gt;Al Barsha 1&gt;Ajyal Building</v>
      </c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</row>
    <row r="2373" spans="1:26" ht="16.5" x14ac:dyDescent="0.35">
      <c r="A2373" s="2" t="str">
        <f ca="1">IFERROR(__xludf.DUMMYFUNCTION("""COMPUTED_VALUE"""),"Dubai")</f>
        <v>Dubai</v>
      </c>
      <c r="B2373" s="2" t="str">
        <f ca="1">IFERROR(__xludf.DUMMYFUNCTION("""COMPUTED_VALUE"""),"Al Barsha Boutique Building")</f>
        <v>Al Barsha Boutique Building</v>
      </c>
      <c r="C2373" s="2" t="str">
        <f ca="1">IFERROR(__xludf.DUMMYFUNCTION("""COMPUTED_VALUE"""),"Building")</f>
        <v>Building</v>
      </c>
      <c r="D2373" s="2" t="str">
        <f ca="1">IFERROR(__xludf.DUMMYFUNCTION("""COMPUTED_VALUE"""),"Dubai&gt;Al Barsha&gt;Al Barsha 1&gt;Al Barsha Boutique Building")</f>
        <v>Dubai&gt;Al Barsha&gt;Al Barsha 1&gt;Al Barsha Boutique Building</v>
      </c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</row>
    <row r="2374" spans="1:26" ht="16.5" x14ac:dyDescent="0.35">
      <c r="A2374" s="2" t="str">
        <f ca="1">IFERROR(__xludf.DUMMYFUNCTION("""COMPUTED_VALUE"""),"Dubai")</f>
        <v>Dubai</v>
      </c>
      <c r="B2374" s="2" t="str">
        <f ca="1">IFERROR(__xludf.DUMMYFUNCTION("""COMPUTED_VALUE"""),"Postponed Building")</f>
        <v>Postponed Building</v>
      </c>
      <c r="C2374" s="2" t="str">
        <f ca="1">IFERROR(__xludf.DUMMYFUNCTION("""COMPUTED_VALUE"""),"Building")</f>
        <v>Building</v>
      </c>
      <c r="D2374" s="2" t="str">
        <f ca="1">IFERROR(__xludf.DUMMYFUNCTION("""COMPUTED_VALUE"""),"Dubai&gt;Al Barsha&gt;Al Barsha 1&gt;Postponed Building")</f>
        <v>Dubai&gt;Al Barsha&gt;Al Barsha 1&gt;Postponed Building</v>
      </c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</row>
    <row r="2375" spans="1:26" ht="16.5" x14ac:dyDescent="0.35">
      <c r="A2375" s="2" t="str">
        <f ca="1">IFERROR(__xludf.DUMMYFUNCTION("""COMPUTED_VALUE"""),"Dubai")</f>
        <v>Dubai</v>
      </c>
      <c r="B2375" s="2" t="str">
        <f ca="1">IFERROR(__xludf.DUMMYFUNCTION("""COMPUTED_VALUE"""),"Hessa Building 11")</f>
        <v>Hessa Building 11</v>
      </c>
      <c r="C2375" s="2" t="str">
        <f ca="1">IFERROR(__xludf.DUMMYFUNCTION("""COMPUTED_VALUE"""),"Building")</f>
        <v>Building</v>
      </c>
      <c r="D2375" s="2" t="str">
        <f ca="1">IFERROR(__xludf.DUMMYFUNCTION("""COMPUTED_VALUE"""),"Dubai&gt;Al Barsha&gt;Al Barsha 1&gt;Hessa Building 11")</f>
        <v>Dubai&gt;Al Barsha&gt;Al Barsha 1&gt;Hessa Building 11</v>
      </c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</row>
    <row r="2376" spans="1:26" ht="16.5" x14ac:dyDescent="0.35">
      <c r="A2376" s="2" t="str">
        <f ca="1">IFERROR(__xludf.DUMMYFUNCTION("""COMPUTED_VALUE"""),"Dubai")</f>
        <v>Dubai</v>
      </c>
      <c r="B2376" s="2" t="str">
        <f ca="1">IFERROR(__xludf.DUMMYFUNCTION("""COMPUTED_VALUE"""),"BLVD Heights Tower 1")</f>
        <v>BLVD Heights Tower 1</v>
      </c>
      <c r="C2376" s="2" t="str">
        <f ca="1">IFERROR(__xludf.DUMMYFUNCTION("""COMPUTED_VALUE"""),"Building")</f>
        <v>Building</v>
      </c>
      <c r="D2376" s="2" t="str">
        <f ca="1">IFERROR(__xludf.DUMMYFUNCTION("""COMPUTED_VALUE"""),"Dubai&gt;Downtown Dubai&gt;BLVD Heights&gt;BLVD Heights Tower 1")</f>
        <v>Dubai&gt;Downtown Dubai&gt;BLVD Heights&gt;BLVD Heights Tower 1</v>
      </c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</row>
    <row r="2377" spans="1:26" ht="16.5" x14ac:dyDescent="0.35">
      <c r="A2377" s="2" t="str">
        <f ca="1">IFERROR(__xludf.DUMMYFUNCTION("""COMPUTED_VALUE"""),"Dubai")</f>
        <v>Dubai</v>
      </c>
      <c r="B2377" s="2" t="str">
        <f ca="1">IFERROR(__xludf.DUMMYFUNCTION("""COMPUTED_VALUE"""),"Emaar Square Building 4")</f>
        <v>Emaar Square Building 4</v>
      </c>
      <c r="C2377" s="2" t="str">
        <f ca="1">IFERROR(__xludf.DUMMYFUNCTION("""COMPUTED_VALUE"""),"Building")</f>
        <v>Building</v>
      </c>
      <c r="D2377" s="2" t="str">
        <f ca="1">IFERROR(__xludf.DUMMYFUNCTION("""COMPUTED_VALUE"""),"Dubai&gt;Downtown Dubai&gt;Emaar Square&gt;Emaar Square Building 4")</f>
        <v>Dubai&gt;Downtown Dubai&gt;Emaar Square&gt;Emaar Square Building 4</v>
      </c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</row>
    <row r="2378" spans="1:26" ht="16.5" x14ac:dyDescent="0.35">
      <c r="A2378" s="2" t="str">
        <f ca="1">IFERROR(__xludf.DUMMYFUNCTION("""COMPUTED_VALUE"""),"Dubai")</f>
        <v>Dubai</v>
      </c>
      <c r="B2378" s="2" t="str">
        <f ca="1">IFERROR(__xludf.DUMMYFUNCTION("""COMPUTED_VALUE"""),"Saaha Offices Block C")</f>
        <v>Saaha Offices Block C</v>
      </c>
      <c r="C2378" s="2" t="str">
        <f ca="1">IFERROR(__xludf.DUMMYFUNCTION("""COMPUTED_VALUE"""),"Building")</f>
        <v>Building</v>
      </c>
      <c r="D2378" s="2" t="str">
        <f ca="1">IFERROR(__xludf.DUMMYFUNCTION("""COMPUTED_VALUE"""),"Dubai&gt;Downtown Dubai&gt;The Old Town Island&gt;Al Saaha Offices&gt;Saaha Offices Block C")</f>
        <v>Dubai&gt;Downtown Dubai&gt;The Old Town Island&gt;Al Saaha Offices&gt;Saaha Offices Block C</v>
      </c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</row>
    <row r="2379" spans="1:26" ht="16.5" x14ac:dyDescent="0.35">
      <c r="A2379" s="2" t="str">
        <f ca="1">IFERROR(__xludf.DUMMYFUNCTION("""COMPUTED_VALUE"""),"Dubai")</f>
        <v>Dubai</v>
      </c>
      <c r="B2379" s="2" t="str">
        <f ca="1">IFERROR(__xludf.DUMMYFUNCTION("""COMPUTED_VALUE"""),"Boulevard Point")</f>
        <v>Boulevard Point</v>
      </c>
      <c r="C2379" s="2" t="str">
        <f ca="1">IFERROR(__xludf.DUMMYFUNCTION("""COMPUTED_VALUE"""),"Building")</f>
        <v>Building</v>
      </c>
      <c r="D2379" s="2" t="str">
        <f ca="1">IFERROR(__xludf.DUMMYFUNCTION("""COMPUTED_VALUE"""),"Dubai&gt;Downtown Dubai&gt;Boulevard Point")</f>
        <v>Dubai&gt;Downtown Dubai&gt;Boulevard Point</v>
      </c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</row>
    <row r="2380" spans="1:26" ht="16.5" x14ac:dyDescent="0.35">
      <c r="A2380" s="2" t="str">
        <f ca="1">IFERROR(__xludf.DUMMYFUNCTION("""COMPUTED_VALUE"""),"Dubai")</f>
        <v>Dubai</v>
      </c>
      <c r="B2380" s="2" t="str">
        <f ca="1">IFERROR(__xludf.DUMMYFUNCTION("""COMPUTED_VALUE"""),"Reehan 7")</f>
        <v>Reehan 7</v>
      </c>
      <c r="C2380" s="2" t="str">
        <f ca="1">IFERROR(__xludf.DUMMYFUNCTION("""COMPUTED_VALUE"""),"Building")</f>
        <v>Building</v>
      </c>
      <c r="D2380" s="2" t="str">
        <f ca="1">IFERROR(__xludf.DUMMYFUNCTION("""COMPUTED_VALUE"""),"Dubai&gt;Downtown Dubai&gt;Old Town&gt;Reehan&gt;Reehan 7")</f>
        <v>Dubai&gt;Downtown Dubai&gt;Old Town&gt;Reehan&gt;Reehan 7</v>
      </c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</row>
    <row r="2381" spans="1:26" ht="16.5" x14ac:dyDescent="0.35">
      <c r="A2381" s="2" t="str">
        <f ca="1">IFERROR(__xludf.DUMMYFUNCTION("""COMPUTED_VALUE"""),"Dubai")</f>
        <v>Dubai</v>
      </c>
      <c r="B2381" s="2" t="str">
        <f ca="1">IFERROR(__xludf.DUMMYFUNCTION("""COMPUTED_VALUE"""),"The Heritage Hotel, Autograph Collection")</f>
        <v>The Heritage Hotel, Autograph Collection</v>
      </c>
      <c r="C2381" s="2" t="str">
        <f ca="1">IFERROR(__xludf.DUMMYFUNCTION("""COMPUTED_VALUE"""),"Building")</f>
        <v>Building</v>
      </c>
      <c r="D2381" s="2" t="str">
        <f ca="1">IFERROR(__xludf.DUMMYFUNCTION("""COMPUTED_VALUE"""),"Dubai&gt;Downtown Dubai&gt;The Heritage Hotel, Autograph Collection")</f>
        <v>Dubai&gt;Downtown Dubai&gt;The Heritage Hotel, Autograph Collection</v>
      </c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</row>
    <row r="2382" spans="1:26" ht="16.5" x14ac:dyDescent="0.35">
      <c r="A2382" s="2" t="str">
        <f ca="1">IFERROR(__xludf.DUMMYFUNCTION("""COMPUTED_VALUE"""),"Dubai")</f>
        <v>Dubai</v>
      </c>
      <c r="B2382" s="2" t="str">
        <f ca="1">IFERROR(__xludf.DUMMYFUNCTION("""COMPUTED_VALUE"""),"Binghatti Skyblade")</f>
        <v>Binghatti Skyblade</v>
      </c>
      <c r="C2382" s="2" t="str">
        <f ca="1">IFERROR(__xludf.DUMMYFUNCTION("""COMPUTED_VALUE"""),"Building")</f>
        <v>Building</v>
      </c>
      <c r="D2382" s="2" t="str">
        <f ca="1">IFERROR(__xludf.DUMMYFUNCTION("""COMPUTED_VALUE"""),"Dubai&gt;Downtown Dubai&gt;Binghatti Skyblade")</f>
        <v>Dubai&gt;Downtown Dubai&gt;Binghatti Skyblade</v>
      </c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</row>
    <row r="2383" spans="1:26" ht="16.5" x14ac:dyDescent="0.35">
      <c r="A2383" s="2" t="str">
        <f ca="1">IFERROR(__xludf.DUMMYFUNCTION("""COMPUTED_VALUE"""),"Dubai")</f>
        <v>Dubai</v>
      </c>
      <c r="B2383" s="2" t="str">
        <f ca="1">IFERROR(__xludf.DUMMYFUNCTION("""COMPUTED_VALUE"""),"Mazaya 22")</f>
        <v>Mazaya 22</v>
      </c>
      <c r="C2383" s="2" t="str">
        <f ca="1">IFERROR(__xludf.DUMMYFUNCTION("""COMPUTED_VALUE"""),"Building")</f>
        <v>Building</v>
      </c>
      <c r="D2383" s="2" t="str">
        <f ca="1">IFERROR(__xludf.DUMMYFUNCTION("""COMPUTED_VALUE"""),"Dubai&gt;Liwan&gt;Queue Point&gt;Mazaya 22")</f>
        <v>Dubai&gt;Liwan&gt;Queue Point&gt;Mazaya 22</v>
      </c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</row>
    <row r="2384" spans="1:26" ht="16.5" x14ac:dyDescent="0.35">
      <c r="A2384" s="2" t="str">
        <f ca="1">IFERROR(__xludf.DUMMYFUNCTION("""COMPUTED_VALUE"""),"Dubai")</f>
        <v>Dubai</v>
      </c>
      <c r="B2384" s="2" t="str">
        <f ca="1">IFERROR(__xludf.DUMMYFUNCTION("""COMPUTED_VALUE"""),"Sunrise Boulevard 12")</f>
        <v>Sunrise Boulevard 12</v>
      </c>
      <c r="C2384" s="2" t="str">
        <f ca="1">IFERROR(__xludf.DUMMYFUNCTION("""COMPUTED_VALUE"""),"Neighbourhood")</f>
        <v>Neighbourhood</v>
      </c>
      <c r="D2384" s="2" t="str">
        <f ca="1">IFERROR(__xludf.DUMMYFUNCTION("""COMPUTED_VALUE"""),"Dubai&gt;Liwan&gt;Queue Point&gt;Sunrise Boulevard 12")</f>
        <v>Dubai&gt;Liwan&gt;Queue Point&gt;Sunrise Boulevard 12</v>
      </c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</row>
    <row r="2385" spans="1:26" ht="16.5" x14ac:dyDescent="0.35">
      <c r="A2385" s="2" t="str">
        <f ca="1">IFERROR(__xludf.DUMMYFUNCTION("""COMPUTED_VALUE"""),"Dubai")</f>
        <v>Dubai</v>
      </c>
      <c r="B2385" s="2" t="str">
        <f ca="1">IFERROR(__xludf.DUMMYFUNCTION("""COMPUTED_VALUE"""),"Al Ttay")</f>
        <v>Al Ttay</v>
      </c>
      <c r="C2385" s="2" t="str">
        <f ca="1">IFERROR(__xludf.DUMMYFUNCTION("""COMPUTED_VALUE"""),"Neighbourhood")</f>
        <v>Neighbourhood</v>
      </c>
      <c r="D2385" s="2" t="str">
        <f ca="1">IFERROR(__xludf.DUMMYFUNCTION("""COMPUTED_VALUE"""),"Dubai&gt;Al Khawaneej&gt;Al Ttay")</f>
        <v>Dubai&gt;Al Khawaneej&gt;Al Ttay</v>
      </c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</row>
    <row r="2386" spans="1:26" ht="16.5" x14ac:dyDescent="0.35">
      <c r="A2386" s="2" t="str">
        <f ca="1">IFERROR(__xludf.DUMMYFUNCTION("""COMPUTED_VALUE"""),"Dubai")</f>
        <v>Dubai</v>
      </c>
      <c r="B2386" s="2" t="str">
        <f ca="1">IFERROR(__xludf.DUMMYFUNCTION("""COMPUTED_VALUE"""),"Park Towers")</f>
        <v>Park Towers</v>
      </c>
      <c r="C2386" s="2" t="str">
        <f ca="1">IFERROR(__xludf.DUMMYFUNCTION("""COMPUTED_VALUE"""),"Cluster")</f>
        <v>Cluster</v>
      </c>
      <c r="D2386" s="2" t="str">
        <f ca="1">IFERROR(__xludf.DUMMYFUNCTION("""COMPUTED_VALUE"""),"Dubai&gt;DIFC&gt;Park Towers")</f>
        <v>Dubai&gt;DIFC&gt;Park Towers</v>
      </c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</row>
    <row r="2387" spans="1:26" ht="16.5" x14ac:dyDescent="0.35">
      <c r="A2387" s="2" t="str">
        <f ca="1">IFERROR(__xludf.DUMMYFUNCTION("""COMPUTED_VALUE"""),"Dubai")</f>
        <v>Dubai</v>
      </c>
      <c r="B2387" s="2" t="str">
        <f ca="1">IFERROR(__xludf.DUMMYFUNCTION("""COMPUTED_VALUE"""),"DIFC Heights Tower")</f>
        <v>DIFC Heights Tower</v>
      </c>
      <c r="C2387" s="2" t="str">
        <f ca="1">IFERROR(__xludf.DUMMYFUNCTION("""COMPUTED_VALUE"""),"Building")</f>
        <v>Building</v>
      </c>
      <c r="D2387" s="2" t="str">
        <f ca="1">IFERROR(__xludf.DUMMYFUNCTION("""COMPUTED_VALUE"""),"Dubai&gt;DIFC&gt;DIFC Heights Tower")</f>
        <v>Dubai&gt;DIFC&gt;DIFC Heights Tower</v>
      </c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</row>
    <row r="2388" spans="1:26" ht="16.5" x14ac:dyDescent="0.35">
      <c r="A2388" s="2" t="str">
        <f ca="1">IFERROR(__xludf.DUMMYFUNCTION("""COMPUTED_VALUE"""),"Dubai")</f>
        <v>Dubai</v>
      </c>
      <c r="B2388" s="2" t="str">
        <f ca="1">IFERROR(__xludf.DUMMYFUNCTION("""COMPUTED_VALUE"""),"International School of Arts and Sciences (ISAS)")</f>
        <v>International School of Arts and Sciences (ISAS)</v>
      </c>
      <c r="C2388" s="2" t="str">
        <f ca="1">IFERROR(__xludf.DUMMYFUNCTION("""COMPUTED_VALUE"""),"School")</f>
        <v>School</v>
      </c>
      <c r="D2388" s="2" t="str">
        <f ca="1">IFERROR(__xludf.DUMMYFUNCTION("""COMPUTED_VALUE"""),"Dubai&gt;Al Warqaa&gt;Al Warqaa 1&gt;International School of Arts and Sciences (ISAS)")</f>
        <v>Dubai&gt;Al Warqaa&gt;Al Warqaa 1&gt;International School of Arts and Sciences (ISAS)</v>
      </c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</row>
    <row r="2389" spans="1:26" ht="16.5" x14ac:dyDescent="0.35">
      <c r="A2389" s="2" t="str">
        <f ca="1">IFERROR(__xludf.DUMMYFUNCTION("""COMPUTED_VALUE"""),"Dubai")</f>
        <v>Dubai</v>
      </c>
      <c r="B2389" s="2" t="str">
        <f ca="1">IFERROR(__xludf.DUMMYFUNCTION("""COMPUTED_VALUE"""),"Al Mazyona")</f>
        <v>Al Mazyona</v>
      </c>
      <c r="C2389" s="2" t="str">
        <f ca="1">IFERROR(__xludf.DUMMYFUNCTION("""COMPUTED_VALUE"""),"Building")</f>
        <v>Building</v>
      </c>
      <c r="D2389" s="2" t="str">
        <f ca="1">IFERROR(__xludf.DUMMYFUNCTION("""COMPUTED_VALUE"""),"Dubai&gt;Al Warqaa&gt;Al Warqaa 1&gt;Al Mazyona")</f>
        <v>Dubai&gt;Al Warqaa&gt;Al Warqaa 1&gt;Al Mazyona</v>
      </c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</row>
    <row r="2390" spans="1:26" ht="16.5" x14ac:dyDescent="0.35">
      <c r="A2390" s="2" t="str">
        <f ca="1">IFERROR(__xludf.DUMMYFUNCTION("""COMPUTED_VALUE"""),"Dubai")</f>
        <v>Dubai</v>
      </c>
      <c r="B2390" s="2" t="str">
        <f ca="1">IFERROR(__xludf.DUMMYFUNCTION("""COMPUTED_VALUE"""),"Abdulla Al Falasi 1 Building")</f>
        <v>Abdulla Al Falasi 1 Building</v>
      </c>
      <c r="C2390" s="2" t="str">
        <f ca="1">IFERROR(__xludf.DUMMYFUNCTION("""COMPUTED_VALUE"""),"Building")</f>
        <v>Building</v>
      </c>
      <c r="D2390" s="2" t="str">
        <f ca="1">IFERROR(__xludf.DUMMYFUNCTION("""COMPUTED_VALUE"""),"Dubai&gt;Al Warqaa&gt;Al Warqaa 1&gt;Abdulla Al Falasi 1 Building")</f>
        <v>Dubai&gt;Al Warqaa&gt;Al Warqaa 1&gt;Abdulla Al Falasi 1 Building</v>
      </c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</row>
    <row r="2391" spans="1:26" ht="16.5" x14ac:dyDescent="0.35">
      <c r="A2391" s="2" t="str">
        <f ca="1">IFERROR(__xludf.DUMMYFUNCTION("""COMPUTED_VALUE"""),"Dubai")</f>
        <v>Dubai</v>
      </c>
      <c r="B2391" s="2" t="str">
        <f ca="1">IFERROR(__xludf.DUMMYFUNCTION("""COMPUTED_VALUE"""),"Al Reem Building")</f>
        <v>Al Reem Building</v>
      </c>
      <c r="C2391" s="2" t="str">
        <f ca="1">IFERROR(__xludf.DUMMYFUNCTION("""COMPUTED_VALUE"""),"Building")</f>
        <v>Building</v>
      </c>
      <c r="D2391" s="2" t="str">
        <f ca="1">IFERROR(__xludf.DUMMYFUNCTION("""COMPUTED_VALUE"""),"Dubai&gt;Al Warqaa&gt;Al Warqaa 1&gt;Al Reem Building")</f>
        <v>Dubai&gt;Al Warqaa&gt;Al Warqaa 1&gt;Al Reem Building</v>
      </c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</row>
    <row r="2392" spans="1:26" ht="16.5" x14ac:dyDescent="0.35">
      <c r="A2392" s="2" t="str">
        <f ca="1">IFERROR(__xludf.DUMMYFUNCTION("""COMPUTED_VALUE"""),"Dubai")</f>
        <v>Dubai</v>
      </c>
      <c r="B2392" s="2" t="str">
        <f ca="1">IFERROR(__xludf.DUMMYFUNCTION("""COMPUTED_VALUE"""),"Mazaya Business Avenue")</f>
        <v>Mazaya Business Avenue</v>
      </c>
      <c r="C2392" s="2" t="str">
        <f ca="1">IFERROR(__xludf.DUMMYFUNCTION("""COMPUTED_VALUE"""),"Cluster")</f>
        <v>Cluster</v>
      </c>
      <c r="D2392" s="2" t="str">
        <f ca="1">IFERROR(__xludf.DUMMYFUNCTION("""COMPUTED_VALUE"""),"Dubai&gt;Jumeirah Lake Towers (JLT)&gt;Mazaya Business Avenue")</f>
        <v>Dubai&gt;Jumeirah Lake Towers (JLT)&gt;Mazaya Business Avenue</v>
      </c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</row>
    <row r="2393" spans="1:26" ht="16.5" x14ac:dyDescent="0.35">
      <c r="A2393" s="2" t="str">
        <f ca="1">IFERROR(__xludf.DUMMYFUNCTION("""COMPUTED_VALUE"""),"Dubai")</f>
        <v>Dubai</v>
      </c>
      <c r="B2393" s="2" t="str">
        <f ca="1">IFERROR(__xludf.DUMMYFUNCTION("""COMPUTED_VALUE"""),"JLT Cluster G")</f>
        <v>JLT Cluster G</v>
      </c>
      <c r="C2393" s="2" t="str">
        <f ca="1">IFERROR(__xludf.DUMMYFUNCTION("""COMPUTED_VALUE"""),"Cluster")</f>
        <v>Cluster</v>
      </c>
      <c r="D2393" s="2" t="str">
        <f ca="1">IFERROR(__xludf.DUMMYFUNCTION("""COMPUTED_VALUE"""),"Dubai&gt;Jumeirah Lake Towers (JLT)&gt;JLT Cluster G")</f>
        <v>Dubai&gt;Jumeirah Lake Towers (JLT)&gt;JLT Cluster G</v>
      </c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</row>
    <row r="2394" spans="1:26" ht="16.5" x14ac:dyDescent="0.35">
      <c r="A2394" s="2" t="str">
        <f ca="1">IFERROR(__xludf.DUMMYFUNCTION("""COMPUTED_VALUE"""),"Dubai")</f>
        <v>Dubai</v>
      </c>
      <c r="B2394" s="2" t="str">
        <f ca="1">IFERROR(__xludf.DUMMYFUNCTION("""COMPUTED_VALUE"""),"The Dome")</f>
        <v>The Dome</v>
      </c>
      <c r="C2394" s="2" t="str">
        <f ca="1">IFERROR(__xludf.DUMMYFUNCTION("""COMPUTED_VALUE"""),"Building")</f>
        <v>Building</v>
      </c>
      <c r="D2394" s="2" t="str">
        <f ca="1">IFERROR(__xludf.DUMMYFUNCTION("""COMPUTED_VALUE"""),"Dubai&gt;Jumeirah Lake Towers (JLT)&gt;JLT Cluster N&gt;The Dome")</f>
        <v>Dubai&gt;Jumeirah Lake Towers (JLT)&gt;JLT Cluster N&gt;The Dome</v>
      </c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</row>
    <row r="2395" spans="1:26" ht="16.5" x14ac:dyDescent="0.35">
      <c r="A2395" s="2" t="str">
        <f ca="1">IFERROR(__xludf.DUMMYFUNCTION("""COMPUTED_VALUE"""),"Dubai")</f>
        <v>Dubai</v>
      </c>
      <c r="B2395" s="2" t="str">
        <f ca="1">IFERROR(__xludf.DUMMYFUNCTION("""COMPUTED_VALUE"""),"Learning Ladder Nursery JLT")</f>
        <v>Learning Ladder Nursery JLT</v>
      </c>
      <c r="C2395" s="2" t="str">
        <f ca="1">IFERROR(__xludf.DUMMYFUNCTION("""COMPUTED_VALUE"""),"Nursery")</f>
        <v>Nursery</v>
      </c>
      <c r="D2395" s="2" t="str">
        <f ca="1">IFERROR(__xludf.DUMMYFUNCTION("""COMPUTED_VALUE"""),"Dubai&gt;Jumeirah Lake Towers (JLT)&gt;JLT Cluster V&gt;Learning Ladder Nursery JLT")</f>
        <v>Dubai&gt;Jumeirah Lake Towers (JLT)&gt;JLT Cluster V&gt;Learning Ladder Nursery JLT</v>
      </c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</row>
    <row r="2396" spans="1:26" ht="16.5" x14ac:dyDescent="0.35">
      <c r="A2396" s="2" t="str">
        <f ca="1">IFERROR(__xludf.DUMMYFUNCTION("""COMPUTED_VALUE"""),"Dubai")</f>
        <v>Dubai</v>
      </c>
      <c r="B2396" s="2" t="str">
        <f ca="1">IFERROR(__xludf.DUMMYFUNCTION("""COMPUTED_VALUE"""),"Mercer House")</f>
        <v>Mercer House</v>
      </c>
      <c r="C2396" s="2" t="str">
        <f ca="1">IFERROR(__xludf.DUMMYFUNCTION("""COMPUTED_VALUE"""),"Cluster")</f>
        <v>Cluster</v>
      </c>
      <c r="D2396" s="2" t="str">
        <f ca="1">IFERROR(__xludf.DUMMYFUNCTION("""COMPUTED_VALUE"""),"Dubai&gt;Jumeirah Lake Towers (JLT)&gt;Uptown Dubai&gt;Mercer House")</f>
        <v>Dubai&gt;Jumeirah Lake Towers (JLT)&gt;Uptown Dubai&gt;Mercer House</v>
      </c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</row>
    <row r="2397" spans="1:26" ht="16.5" x14ac:dyDescent="0.35">
      <c r="A2397" s="2" t="str">
        <f ca="1">IFERROR(__xludf.DUMMYFUNCTION("""COMPUTED_VALUE"""),"Dubai")</f>
        <v>Dubai</v>
      </c>
      <c r="B2397" s="2" t="str">
        <f ca="1">IFERROR(__xludf.DUMMYFUNCTION("""COMPUTED_VALUE"""),"Blossom Nursery Arabian Ranches")</f>
        <v>Blossom Nursery Arabian Ranches</v>
      </c>
      <c r="C2397" s="2" t="str">
        <f ca="1">IFERROR(__xludf.DUMMYFUNCTION("""COMPUTED_VALUE"""),"Nursery")</f>
        <v>Nursery</v>
      </c>
      <c r="D2397" s="2" t="str">
        <f ca="1">IFERROR(__xludf.DUMMYFUNCTION("""COMPUTED_VALUE"""),"Dubai&gt;Arabian Ranches 2&gt;Blossom Nursery Arabian Ranches")</f>
        <v>Dubai&gt;Arabian Ranches 2&gt;Blossom Nursery Arabian Ranches</v>
      </c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</row>
    <row r="2398" spans="1:26" ht="16.5" x14ac:dyDescent="0.35">
      <c r="A2398" s="2" t="str">
        <f ca="1">IFERROR(__xludf.DUMMYFUNCTION("""COMPUTED_VALUE"""),"Dubai")</f>
        <v>Dubai</v>
      </c>
      <c r="B2398" s="2" t="str">
        <f ca="1">IFERROR(__xludf.DUMMYFUNCTION("""COMPUTED_VALUE"""),"Al Khair 5")</f>
        <v>Al Khair 5</v>
      </c>
      <c r="C2398" s="2" t="str">
        <f ca="1">IFERROR(__xludf.DUMMYFUNCTION("""COMPUTED_VALUE"""),"Building")</f>
        <v>Building</v>
      </c>
      <c r="D2398" s="2" t="str">
        <f ca="1">IFERROR(__xludf.DUMMYFUNCTION("""COMPUTED_VALUE"""),"Dubai&gt;Al Satwa&gt;Jumeirah Garden City&gt;Al Khair 5")</f>
        <v>Dubai&gt;Al Satwa&gt;Jumeirah Garden City&gt;Al Khair 5</v>
      </c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</row>
    <row r="2399" spans="1:26" ht="16.5" x14ac:dyDescent="0.35">
      <c r="A2399" s="2" t="str">
        <f ca="1">IFERROR(__xludf.DUMMYFUNCTION("""COMPUTED_VALUE"""),"Dubai")</f>
        <v>Dubai</v>
      </c>
      <c r="B2399" s="2" t="str">
        <f ca="1">IFERROR(__xludf.DUMMYFUNCTION("""COMPUTED_VALUE"""),"Al Fahad 9 Building")</f>
        <v>Al Fahad 9 Building</v>
      </c>
      <c r="C2399" s="2" t="str">
        <f ca="1">IFERROR(__xludf.DUMMYFUNCTION("""COMPUTED_VALUE"""),"Building")</f>
        <v>Building</v>
      </c>
      <c r="D2399" s="2" t="str">
        <f ca="1">IFERROR(__xludf.DUMMYFUNCTION("""COMPUTED_VALUE"""),"Dubai&gt;Al Satwa&gt;Jumeirah Garden City&gt;Al Fahad 9 Building")</f>
        <v>Dubai&gt;Al Satwa&gt;Jumeirah Garden City&gt;Al Fahad 9 Building</v>
      </c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</row>
    <row r="2400" spans="1:26" ht="16.5" x14ac:dyDescent="0.35">
      <c r="A2400" s="2" t="str">
        <f ca="1">IFERROR(__xludf.DUMMYFUNCTION("""COMPUTED_VALUE"""),"Dubai")</f>
        <v>Dubai</v>
      </c>
      <c r="B2400" s="2" t="str">
        <f ca="1">IFERROR(__xludf.DUMMYFUNCTION("""COMPUTED_VALUE"""),"Ahmad Mohd Bin Shafar Building 2")</f>
        <v>Ahmad Mohd Bin Shafar Building 2</v>
      </c>
      <c r="C2400" s="2" t="str">
        <f ca="1">IFERROR(__xludf.DUMMYFUNCTION("""COMPUTED_VALUE"""),"Building")</f>
        <v>Building</v>
      </c>
      <c r="D2400" s="2" t="str">
        <f ca="1">IFERROR(__xludf.DUMMYFUNCTION("""COMPUTED_VALUE"""),"Dubai&gt;Al Satwa&gt;Jumeirah Garden City&gt;Ahmad Mohd Bin Shafar Building 2")</f>
        <v>Dubai&gt;Al Satwa&gt;Jumeirah Garden City&gt;Ahmad Mohd Bin Shafar Building 2</v>
      </c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</row>
    <row r="2401" spans="1:26" ht="16.5" x14ac:dyDescent="0.35">
      <c r="A2401" s="2" t="str">
        <f ca="1">IFERROR(__xludf.DUMMYFUNCTION("""COMPUTED_VALUE"""),"Dubai")</f>
        <v>Dubai</v>
      </c>
      <c r="B2401" s="2" t="str">
        <f ca="1">IFERROR(__xludf.DUMMYFUNCTION("""COMPUTED_VALUE"""),"Jad 288 Building B")</f>
        <v>Jad 288 Building B</v>
      </c>
      <c r="C2401" s="2" t="str">
        <f ca="1">IFERROR(__xludf.DUMMYFUNCTION("""COMPUTED_VALUE"""),"Building")</f>
        <v>Building</v>
      </c>
      <c r="D2401" s="2" t="str">
        <f ca="1">IFERROR(__xludf.DUMMYFUNCTION("""COMPUTED_VALUE"""),"Dubai&gt;Al Satwa&gt;Jumeirah Garden City&gt;Jad 288&gt;Jad 288 Building B")</f>
        <v>Dubai&gt;Al Satwa&gt;Jumeirah Garden City&gt;Jad 288&gt;Jad 288 Building B</v>
      </c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</row>
    <row r="2402" spans="1:26" ht="16.5" x14ac:dyDescent="0.35">
      <c r="A2402" s="2" t="str">
        <f ca="1">IFERROR(__xludf.DUMMYFUNCTION("""COMPUTED_VALUE"""),"Dubai")</f>
        <v>Dubai</v>
      </c>
      <c r="B2402" s="2" t="str">
        <f ca="1">IFERROR(__xludf.DUMMYFUNCTION("""COMPUTED_VALUE"""),"The Sustainable City")</f>
        <v>The Sustainable City</v>
      </c>
      <c r="C2402" s="2" t="str">
        <f ca="1">IFERROR(__xludf.DUMMYFUNCTION("""COMPUTED_VALUE"""),"Neighbourhood")</f>
        <v>Neighbourhood</v>
      </c>
      <c r="D2402" s="2" t="str">
        <f ca="1">IFERROR(__xludf.DUMMYFUNCTION("""COMPUTED_VALUE"""),"Dubai&gt;The Sustainable City")</f>
        <v>Dubai&gt;The Sustainable City</v>
      </c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</row>
    <row r="2403" spans="1:26" ht="16.5" x14ac:dyDescent="0.35">
      <c r="A2403" s="2" t="str">
        <f ca="1">IFERROR(__xludf.DUMMYFUNCTION("""COMPUTED_VALUE"""),"Dubai")</f>
        <v>Dubai</v>
      </c>
      <c r="B2403" s="2" t="str">
        <f ca="1">IFERROR(__xludf.DUMMYFUNCTION("""COMPUTED_VALUE"""),"Building 116")</f>
        <v>Building 116</v>
      </c>
      <c r="C2403" s="2" t="str">
        <f ca="1">IFERROR(__xludf.DUMMYFUNCTION("""COMPUTED_VALUE"""),"Building")</f>
        <v>Building</v>
      </c>
      <c r="D2403" s="2" t="str">
        <f ca="1">IFERROR(__xludf.DUMMYFUNCTION("""COMPUTED_VALUE"""),"Dubai&gt;Discovery Gardens&gt;Contemporary&gt;Building 116")</f>
        <v>Dubai&gt;Discovery Gardens&gt;Contemporary&gt;Building 116</v>
      </c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</row>
    <row r="2404" spans="1:26" ht="16.5" x14ac:dyDescent="0.35">
      <c r="A2404" s="2" t="str">
        <f ca="1">IFERROR(__xludf.DUMMYFUNCTION("""COMPUTED_VALUE"""),"Dubai")</f>
        <v>Dubai</v>
      </c>
      <c r="B2404" s="2" t="str">
        <f ca="1">IFERROR(__xludf.DUMMYFUNCTION("""COMPUTED_VALUE"""),"Building 249")</f>
        <v>Building 249</v>
      </c>
      <c r="C2404" s="2" t="str">
        <f ca="1">IFERROR(__xludf.DUMMYFUNCTION("""COMPUTED_VALUE"""),"Building")</f>
        <v>Building</v>
      </c>
      <c r="D2404" s="2" t="str">
        <f ca="1">IFERROR(__xludf.DUMMYFUNCTION("""COMPUTED_VALUE"""),"Dubai&gt;Discovery Gardens&gt;Mesoamerican&gt;Building 249")</f>
        <v>Dubai&gt;Discovery Gardens&gt;Mesoamerican&gt;Building 249</v>
      </c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</row>
    <row r="2405" spans="1:26" ht="16.5" x14ac:dyDescent="0.35">
      <c r="A2405" s="2" t="str">
        <f ca="1">IFERROR(__xludf.DUMMYFUNCTION("""COMPUTED_VALUE"""),"Dubai")</f>
        <v>Dubai</v>
      </c>
      <c r="B2405" s="2" t="str">
        <f ca="1">IFERROR(__xludf.DUMMYFUNCTION("""COMPUTED_VALUE"""),"Building 181")</f>
        <v>Building 181</v>
      </c>
      <c r="C2405" s="2" t="str">
        <f ca="1">IFERROR(__xludf.DUMMYFUNCTION("""COMPUTED_VALUE"""),"Building")</f>
        <v>Building</v>
      </c>
      <c r="D2405" s="2" t="str">
        <f ca="1">IFERROR(__xludf.DUMMYFUNCTION("""COMPUTED_VALUE"""),"Dubai&gt;Discovery Gardens&gt;Mogul&gt;Building 181")</f>
        <v>Dubai&gt;Discovery Gardens&gt;Mogul&gt;Building 181</v>
      </c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</row>
    <row r="2406" spans="1:26" ht="16.5" x14ac:dyDescent="0.35">
      <c r="A2406" s="2" t="str">
        <f ca="1">IFERROR(__xludf.DUMMYFUNCTION("""COMPUTED_VALUE"""),"Dubai")</f>
        <v>Dubai</v>
      </c>
      <c r="B2406" s="2" t="str">
        <f ca="1">IFERROR(__xludf.DUMMYFUNCTION("""COMPUTED_VALUE"""),"Building 13")</f>
        <v>Building 13</v>
      </c>
      <c r="C2406" s="2" t="str">
        <f ca="1">IFERROR(__xludf.DUMMYFUNCTION("""COMPUTED_VALUE"""),"Building")</f>
        <v>Building</v>
      </c>
      <c r="D2406" s="2" t="str">
        <f ca="1">IFERROR(__xludf.DUMMYFUNCTION("""COMPUTED_VALUE"""),"Dubai&gt;Discovery Gardens&gt;Zen Cluster&gt;Building 13")</f>
        <v>Dubai&gt;Discovery Gardens&gt;Zen Cluster&gt;Building 13</v>
      </c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</row>
    <row r="2407" spans="1:26" ht="16.5" x14ac:dyDescent="0.35">
      <c r="A2407" s="2" t="str">
        <f ca="1">IFERROR(__xludf.DUMMYFUNCTION("""COMPUTED_VALUE"""),"Dubai")</f>
        <v>Dubai</v>
      </c>
      <c r="B2407" s="2" t="str">
        <f ca="1">IFERROR(__xludf.DUMMYFUNCTION("""COMPUTED_VALUE"""),"Building 62")</f>
        <v>Building 62</v>
      </c>
      <c r="C2407" s="2" t="str">
        <f ca="1">IFERROR(__xludf.DUMMYFUNCTION("""COMPUTED_VALUE"""),"Building")</f>
        <v>Building</v>
      </c>
      <c r="D2407" s="2" t="str">
        <f ca="1">IFERROR(__xludf.DUMMYFUNCTION("""COMPUTED_VALUE"""),"Dubai&gt;Discovery Gardens&gt;Mediterranean&gt;Building 62")</f>
        <v>Dubai&gt;Discovery Gardens&gt;Mediterranean&gt;Building 62</v>
      </c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</row>
    <row r="2408" spans="1:26" ht="16.5" x14ac:dyDescent="0.35">
      <c r="A2408" s="2" t="str">
        <f ca="1">IFERROR(__xludf.DUMMYFUNCTION("""COMPUTED_VALUE"""),"Dubai")</f>
        <v>Dubai</v>
      </c>
      <c r="B2408" s="2" t="str">
        <f ca="1">IFERROR(__xludf.DUMMYFUNCTION("""COMPUTED_VALUE"""),"Building 52")</f>
        <v>Building 52</v>
      </c>
      <c r="C2408" s="2" t="str">
        <f ca="1">IFERROR(__xludf.DUMMYFUNCTION("""COMPUTED_VALUE"""),"Building")</f>
        <v>Building</v>
      </c>
      <c r="D2408" s="2" t="str">
        <f ca="1">IFERROR(__xludf.DUMMYFUNCTION("""COMPUTED_VALUE"""),"Dubai&gt;Discovery Gardens&gt;Mediterranean&gt;Building 52")</f>
        <v>Dubai&gt;Discovery Gardens&gt;Mediterranean&gt;Building 52</v>
      </c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</row>
    <row r="2409" spans="1:26" ht="16.5" x14ac:dyDescent="0.35">
      <c r="A2409" s="2" t="str">
        <f ca="1">IFERROR(__xludf.DUMMYFUNCTION("""COMPUTED_VALUE"""),"Dubai")</f>
        <v>Dubai</v>
      </c>
      <c r="B2409" s="2" t="str">
        <f ca="1">IFERROR(__xludf.DUMMYFUNCTION("""COMPUTED_VALUE"""),"Building 104")</f>
        <v>Building 104</v>
      </c>
      <c r="C2409" s="2" t="str">
        <f ca="1">IFERROR(__xludf.DUMMYFUNCTION("""COMPUTED_VALUE"""),"Building")</f>
        <v>Building</v>
      </c>
      <c r="D2409" s="2" t="str">
        <f ca="1">IFERROR(__xludf.DUMMYFUNCTION("""COMPUTED_VALUE"""),"Dubai&gt;Discovery Gardens&gt;Mediterranean&gt;Building 104")</f>
        <v>Dubai&gt;Discovery Gardens&gt;Mediterranean&gt;Building 104</v>
      </c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</row>
    <row r="2410" spans="1:26" ht="16.5" x14ac:dyDescent="0.35">
      <c r="A2410" s="2" t="str">
        <f ca="1">IFERROR(__xludf.DUMMYFUNCTION("""COMPUTED_VALUE"""),"Dubai")</f>
        <v>Dubai</v>
      </c>
      <c r="B2410" s="2" t="str">
        <f ca="1">IFERROR(__xludf.DUMMYFUNCTION("""COMPUTED_VALUE"""),"Al Hamri")</f>
        <v>Al Hamri</v>
      </c>
      <c r="C2410" s="2" t="str">
        <f ca="1">IFERROR(__xludf.DUMMYFUNCTION("""COMPUTED_VALUE"""),"Building")</f>
        <v>Building</v>
      </c>
      <c r="D2410" s="2" t="str">
        <f ca="1">IFERROR(__xludf.DUMMYFUNCTION("""COMPUTED_VALUE"""),"Dubai&gt;Palm Jumeirah&gt;Shoreline Apartments&gt;Al Hamri")</f>
        <v>Dubai&gt;Palm Jumeirah&gt;Shoreline Apartments&gt;Al Hamri</v>
      </c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</row>
    <row r="2411" spans="1:26" ht="16.5" x14ac:dyDescent="0.35">
      <c r="A2411" s="2" t="str">
        <f ca="1">IFERROR(__xludf.DUMMYFUNCTION("""COMPUTED_VALUE"""),"Dubai")</f>
        <v>Dubai</v>
      </c>
      <c r="B2411" s="2" t="str">
        <f ca="1">IFERROR(__xludf.DUMMYFUNCTION("""COMPUTED_VALUE"""),"Adagio Hotel Apartments")</f>
        <v>Adagio Hotel Apartments</v>
      </c>
      <c r="C2411" s="2" t="str">
        <f ca="1">IFERROR(__xludf.DUMMYFUNCTION("""COMPUTED_VALUE"""),"Building")</f>
        <v>Building</v>
      </c>
      <c r="D2411" s="2" t="str">
        <f ca="1">IFERROR(__xludf.DUMMYFUNCTION("""COMPUTED_VALUE"""),"Dubai&gt;Palm Jumeirah&gt;Adagio Hotel Apartments")</f>
        <v>Dubai&gt;Palm Jumeirah&gt;Adagio Hotel Apartments</v>
      </c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</row>
    <row r="2412" spans="1:26" ht="16.5" x14ac:dyDescent="0.35">
      <c r="A2412" s="2" t="str">
        <f ca="1">IFERROR(__xludf.DUMMYFUNCTION("""COMPUTED_VALUE"""),"Dubai")</f>
        <v>Dubai</v>
      </c>
      <c r="B2412" s="2" t="str">
        <f ca="1">IFERROR(__xludf.DUMMYFUNCTION("""COMPUTED_VALUE"""),"Golden Mile 3")</f>
        <v>Golden Mile 3</v>
      </c>
      <c r="C2412" s="2" t="str">
        <f ca="1">IFERROR(__xludf.DUMMYFUNCTION("""COMPUTED_VALUE"""),"Building")</f>
        <v>Building</v>
      </c>
      <c r="D2412" s="2" t="str">
        <f ca="1">IFERROR(__xludf.DUMMYFUNCTION("""COMPUTED_VALUE"""),"Dubai&gt;Palm Jumeirah&gt;Golden Mile&gt;Golden Mile 3")</f>
        <v>Dubai&gt;Palm Jumeirah&gt;Golden Mile&gt;Golden Mile 3</v>
      </c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</row>
    <row r="2413" spans="1:26" ht="16.5" x14ac:dyDescent="0.35">
      <c r="A2413" s="2" t="str">
        <f ca="1">IFERROR(__xludf.DUMMYFUNCTION("""COMPUTED_VALUE"""),"Dubai")</f>
        <v>Dubai</v>
      </c>
      <c r="B2413" s="2" t="str">
        <f ca="1">IFERROR(__xludf.DUMMYFUNCTION("""COMPUTED_VALUE"""),"One Crescent")</f>
        <v>One Crescent</v>
      </c>
      <c r="C2413" s="2" t="str">
        <f ca="1">IFERROR(__xludf.DUMMYFUNCTION("""COMPUTED_VALUE"""),"Building")</f>
        <v>Building</v>
      </c>
      <c r="D2413" s="2" t="str">
        <f ca="1">IFERROR(__xludf.DUMMYFUNCTION("""COMPUTED_VALUE"""),"Dubai&gt;Palm Jumeirah&gt;The Crescent&gt;One Crescent")</f>
        <v>Dubai&gt;Palm Jumeirah&gt;The Crescent&gt;One Crescent</v>
      </c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</row>
    <row r="2414" spans="1:26" ht="16.5" x14ac:dyDescent="0.35">
      <c r="A2414" s="2" t="str">
        <f ca="1">IFERROR(__xludf.DUMMYFUNCTION("""COMPUTED_VALUE"""),"Dubai")</f>
        <v>Dubai</v>
      </c>
      <c r="B2414" s="2" t="str">
        <f ca="1">IFERROR(__xludf.DUMMYFUNCTION("""COMPUTED_VALUE"""),"The Palm Beach Towers")</f>
        <v>The Palm Beach Towers</v>
      </c>
      <c r="C2414" s="2" t="str">
        <f ca="1">IFERROR(__xludf.DUMMYFUNCTION("""COMPUTED_VALUE"""),"Cluster")</f>
        <v>Cluster</v>
      </c>
      <c r="D2414" s="2" t="str">
        <f ca="1">IFERROR(__xludf.DUMMYFUNCTION("""COMPUTED_VALUE"""),"Dubai&gt;Palm Jumeirah&gt;The Palm Beach Towers")</f>
        <v>Dubai&gt;Palm Jumeirah&gt;The Palm Beach Towers</v>
      </c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</row>
    <row r="2415" spans="1:26" ht="16.5" x14ac:dyDescent="0.35">
      <c r="A2415" s="2" t="str">
        <f ca="1">IFERROR(__xludf.DUMMYFUNCTION("""COMPUTED_VALUE"""),"Dubai")</f>
        <v>Dubai</v>
      </c>
      <c r="B2415" s="2" t="str">
        <f ca="1">IFERROR(__xludf.DUMMYFUNCTION("""COMPUTED_VALUE"""),"Oceana")</f>
        <v>Oceana</v>
      </c>
      <c r="C2415" s="2" t="str">
        <f ca="1">IFERROR(__xludf.DUMMYFUNCTION("""COMPUTED_VALUE"""),"Cluster")</f>
        <v>Cluster</v>
      </c>
      <c r="D2415" s="2" t="str">
        <f ca="1">IFERROR(__xludf.DUMMYFUNCTION("""COMPUTED_VALUE"""),"Dubai&gt;Palm Jumeirah&gt;Oceana")</f>
        <v>Dubai&gt;Palm Jumeirah&gt;Oceana</v>
      </c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</row>
    <row r="2416" spans="1:26" ht="16.5" x14ac:dyDescent="0.35">
      <c r="A2416" s="2" t="str">
        <f ca="1">IFERROR(__xludf.DUMMYFUNCTION("""COMPUTED_VALUE"""),"Dubai")</f>
        <v>Dubai</v>
      </c>
      <c r="B2416" s="2" t="str">
        <f ca="1">IFERROR(__xludf.DUMMYFUNCTION("""COMPUTED_VALUE"""),"Al Jaddaf")</f>
        <v>Al Jaddaf</v>
      </c>
      <c r="C2416" s="2" t="str">
        <f ca="1">IFERROR(__xludf.DUMMYFUNCTION("""COMPUTED_VALUE"""),"Neighbourhood")</f>
        <v>Neighbourhood</v>
      </c>
      <c r="D2416" s="2" t="str">
        <f ca="1">IFERROR(__xludf.DUMMYFUNCTION("""COMPUTED_VALUE"""),"Dubai&gt;Al Jaddaf")</f>
        <v>Dubai&gt;Al Jaddaf</v>
      </c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</row>
    <row r="2417" spans="1:26" ht="16.5" x14ac:dyDescent="0.35">
      <c r="A2417" s="2" t="str">
        <f ca="1">IFERROR(__xludf.DUMMYFUNCTION("""COMPUTED_VALUE"""),"Dubai")</f>
        <v>Dubai</v>
      </c>
      <c r="B2417" s="2" t="str">
        <f ca="1">IFERROR(__xludf.DUMMYFUNCTION("""COMPUTED_VALUE"""),"O Ten")</f>
        <v>O Ten</v>
      </c>
      <c r="C2417" s="2" t="str">
        <f ca="1">IFERROR(__xludf.DUMMYFUNCTION("""COMPUTED_VALUE"""),"Building")</f>
        <v>Building</v>
      </c>
      <c r="D2417" s="2" t="str">
        <f ca="1">IFERROR(__xludf.DUMMYFUNCTION("""COMPUTED_VALUE"""),"Dubai&gt;Al Jaddaf&gt;Dubai Healthcare City Phase 2&gt;O Ten")</f>
        <v>Dubai&gt;Al Jaddaf&gt;Dubai Healthcare City Phase 2&gt;O Ten</v>
      </c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</row>
    <row r="2418" spans="1:26" ht="16.5" x14ac:dyDescent="0.35">
      <c r="A2418" s="2" t="str">
        <f ca="1">IFERROR(__xludf.DUMMYFUNCTION("""COMPUTED_VALUE"""),"Dubai")</f>
        <v>Dubai</v>
      </c>
      <c r="B2418" s="2" t="str">
        <f ca="1">IFERROR(__xludf.DUMMYFUNCTION("""COMPUTED_VALUE"""),"Palma Building")</f>
        <v>Palma Building</v>
      </c>
      <c r="C2418" s="2" t="str">
        <f ca="1">IFERROR(__xludf.DUMMYFUNCTION("""COMPUTED_VALUE"""),"Building")</f>
        <v>Building</v>
      </c>
      <c r="D2418" s="2" t="str">
        <f ca="1">IFERROR(__xludf.DUMMYFUNCTION("""COMPUTED_VALUE"""),"Dubai&gt;Al Jaddaf&gt;Palma Building")</f>
        <v>Dubai&gt;Al Jaddaf&gt;Palma Building</v>
      </c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</row>
    <row r="2419" spans="1:26" ht="16.5" x14ac:dyDescent="0.35">
      <c r="A2419" s="2" t="str">
        <f ca="1">IFERROR(__xludf.DUMMYFUNCTION("""COMPUTED_VALUE"""),"Dubai")</f>
        <v>Dubai</v>
      </c>
      <c r="B2419" s="2" t="str">
        <f ca="1">IFERROR(__xludf.DUMMYFUNCTION("""COMPUTED_VALUE"""),"Madeira")</f>
        <v>Madeira</v>
      </c>
      <c r="C2419" s="2" t="str">
        <f ca="1">IFERROR(__xludf.DUMMYFUNCTION("""COMPUTED_VALUE"""),"Building")</f>
        <v>Building</v>
      </c>
      <c r="D2419" s="2" t="str">
        <f ca="1">IFERROR(__xludf.DUMMYFUNCTION("""COMPUTED_VALUE"""),"Dubai&gt;Al Jaddaf&gt;Madeira")</f>
        <v>Dubai&gt;Al Jaddaf&gt;Madeira</v>
      </c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</row>
    <row r="2420" spans="1:26" ht="16.5" x14ac:dyDescent="0.35">
      <c r="A2420" s="2" t="str">
        <f ca="1">IFERROR(__xludf.DUMMYFUNCTION("""COMPUTED_VALUE"""),"Dubai")</f>
        <v>Dubai</v>
      </c>
      <c r="B2420" s="2" t="str">
        <f ca="1">IFERROR(__xludf.DUMMYFUNCTION("""COMPUTED_VALUE"""),"The Coral Collection")</f>
        <v>The Coral Collection</v>
      </c>
      <c r="C2420" s="2" t="str">
        <f ca="1">IFERROR(__xludf.DUMMYFUNCTION("""COMPUTED_VALUE"""),"Neighbourhood")</f>
        <v>Neighbourhood</v>
      </c>
      <c r="D2420" s="2" t="str">
        <f ca="1">IFERROR(__xludf.DUMMYFUNCTION("""COMPUTED_VALUE"""),"Dubai&gt;Palm Jebel Ali&gt;Frond N&gt;The Coral Collection")</f>
        <v>Dubai&gt;Palm Jebel Ali&gt;Frond N&gt;The Coral Collection</v>
      </c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</row>
    <row r="2421" spans="1:26" ht="16.5" x14ac:dyDescent="0.35">
      <c r="A2421" s="2" t="str">
        <f ca="1">IFERROR(__xludf.DUMMYFUNCTION("""COMPUTED_VALUE"""),"Dubai")</f>
        <v>Dubai</v>
      </c>
      <c r="B2421" s="2" t="str">
        <f ca="1">IFERROR(__xludf.DUMMYFUNCTION("""COMPUTED_VALUE"""),"Villa Lantana 1")</f>
        <v>Villa Lantana 1</v>
      </c>
      <c r="C2421" s="2" t="str">
        <f ca="1">IFERROR(__xludf.DUMMYFUNCTION("""COMPUTED_VALUE"""),"Neighbourhood")</f>
        <v>Neighbourhood</v>
      </c>
      <c r="D2421" s="2" t="str">
        <f ca="1">IFERROR(__xludf.DUMMYFUNCTION("""COMPUTED_VALUE"""),"Dubai&gt;Dubai Science Park&gt;Villa Lantana&gt;Villa Lantana 1")</f>
        <v>Dubai&gt;Dubai Science Park&gt;Villa Lantana&gt;Villa Lantana 1</v>
      </c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</row>
    <row r="2422" spans="1:26" ht="16.5" x14ac:dyDescent="0.35">
      <c r="A2422" s="2" t="str">
        <f ca="1">IFERROR(__xludf.DUMMYFUNCTION("""COMPUTED_VALUE"""),"Dubai")</f>
        <v>Dubai</v>
      </c>
      <c r="B2422" s="2" t="str">
        <f ca="1">IFERROR(__xludf.DUMMYFUNCTION("""COMPUTED_VALUE"""),"Raffles Nursery Meadows")</f>
        <v>Raffles Nursery Meadows</v>
      </c>
      <c r="C2422" s="2" t="str">
        <f ca="1">IFERROR(__xludf.DUMMYFUNCTION("""COMPUTED_VALUE"""),"Nursery")</f>
        <v>Nursery</v>
      </c>
      <c r="D2422" s="2" t="str">
        <f ca="1">IFERROR(__xludf.DUMMYFUNCTION("""COMPUTED_VALUE"""),"Dubai&gt;The Springs&gt;Raffles Nursery Meadows")</f>
        <v>Dubai&gt;The Springs&gt;Raffles Nursery Meadows</v>
      </c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</row>
    <row r="2423" spans="1:26" ht="16.5" x14ac:dyDescent="0.35">
      <c r="A2423" s="2" t="str">
        <f ca="1">IFERROR(__xludf.DUMMYFUNCTION("""COMPUTED_VALUE"""),"Dubai")</f>
        <v>Dubai</v>
      </c>
      <c r="B2423" s="2" t="str">
        <f ca="1">IFERROR(__xludf.DUMMYFUNCTION("""COMPUTED_VALUE"""),"Hillside Residences 2 Building A")</f>
        <v>Hillside Residences 2 Building A</v>
      </c>
      <c r="C2423" s="2" t="str">
        <f ca="1">IFERROR(__xludf.DUMMYFUNCTION("""COMPUTED_VALUE"""),"Building")</f>
        <v>Building</v>
      </c>
      <c r="D2423" s="2" t="str">
        <f ca="1">IFERROR(__xludf.DUMMYFUNCTION("""COMPUTED_VALUE"""),"Dubai&gt;Wasl Gate&gt;Hillside Residences&gt;Hillside Residences 2&gt;Hillside Residences 2 Building A")</f>
        <v>Dubai&gt;Wasl Gate&gt;Hillside Residences&gt;Hillside Residences 2&gt;Hillside Residences 2 Building A</v>
      </c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</row>
    <row r="2424" spans="1:26" ht="16.5" x14ac:dyDescent="0.35">
      <c r="A2424" s="2" t="str">
        <f ca="1">IFERROR(__xludf.DUMMYFUNCTION("""COMPUTED_VALUE"""),"Dubai")</f>
        <v>Dubai</v>
      </c>
      <c r="B2424" s="2" t="str">
        <f ca="1">IFERROR(__xludf.DUMMYFUNCTION("""COMPUTED_VALUE"""),"Solcasa Residence")</f>
        <v>Solcasa Residence</v>
      </c>
      <c r="C2424" s="2" t="str">
        <f ca="1">IFERROR(__xludf.DUMMYFUNCTION("""COMPUTED_VALUE"""),"Building")</f>
        <v>Building</v>
      </c>
      <c r="D2424" s="2" t="str">
        <f ca="1">IFERROR(__xludf.DUMMYFUNCTION("""COMPUTED_VALUE"""),"Dubai&gt;Nad Al Sheba&gt;Nad Al Sheba 1&gt;Nad Al Sheba Gardens&gt;Nad Al Sheba Gardens 1&gt;Solcasa Residence")</f>
        <v>Dubai&gt;Nad Al Sheba&gt;Nad Al Sheba 1&gt;Nad Al Sheba Gardens&gt;Nad Al Sheba Gardens 1&gt;Solcasa Residence</v>
      </c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</row>
    <row r="2425" spans="1:26" ht="16.5" x14ac:dyDescent="0.35">
      <c r="A2425" s="2" t="str">
        <f ca="1">IFERROR(__xludf.DUMMYFUNCTION("""COMPUTED_VALUE"""),"Dubai")</f>
        <v>Dubai</v>
      </c>
      <c r="B2425" s="2" t="str">
        <f ca="1">IFERROR(__xludf.DUMMYFUNCTION("""COMPUTED_VALUE"""),"Dubai Internet City")</f>
        <v>Dubai Internet City</v>
      </c>
      <c r="C2425" s="2" t="str">
        <f ca="1">IFERROR(__xludf.DUMMYFUNCTION("""COMPUTED_VALUE"""),"Neighbourhood")</f>
        <v>Neighbourhood</v>
      </c>
      <c r="D2425" s="2" t="str">
        <f ca="1">IFERROR(__xludf.DUMMYFUNCTION("""COMPUTED_VALUE"""),"Dubai&gt;Dubai Internet City")</f>
        <v>Dubai&gt;Dubai Internet City</v>
      </c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</row>
    <row r="2426" spans="1:26" ht="16.5" x14ac:dyDescent="0.35">
      <c r="A2426" s="2" t="str">
        <f ca="1">IFERROR(__xludf.DUMMYFUNCTION("""COMPUTED_VALUE"""),"Dubai")</f>
        <v>Dubai</v>
      </c>
      <c r="B2426" s="2" t="str">
        <f ca="1">IFERROR(__xludf.DUMMYFUNCTION("""COMPUTED_VALUE"""),"DIC 13 (HP Building)")</f>
        <v>DIC 13 (HP Building)</v>
      </c>
      <c r="C2426" s="2" t="str">
        <f ca="1">IFERROR(__xludf.DUMMYFUNCTION("""COMPUTED_VALUE"""),"Building")</f>
        <v>Building</v>
      </c>
      <c r="D2426" s="2" t="str">
        <f ca="1">IFERROR(__xludf.DUMMYFUNCTION("""COMPUTED_VALUE"""),"Dubai&gt;Dubai Internet City&gt;DIC&gt;DIC 13 (HP Building)")</f>
        <v>Dubai&gt;Dubai Internet City&gt;DIC&gt;DIC 13 (HP Building)</v>
      </c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</row>
    <row r="2427" spans="1:26" ht="16.5" x14ac:dyDescent="0.35">
      <c r="A2427" s="2" t="str">
        <f ca="1">IFERROR(__xludf.DUMMYFUNCTION("""COMPUTED_VALUE"""),"Dubai")</f>
        <v>Dubai</v>
      </c>
      <c r="B2427" s="3">
        <f ca="1">IFERROR(__xludf.DUMMYFUNCTION("""COMPUTED_VALUE"""),46175)</f>
        <v>46175</v>
      </c>
      <c r="C2427" s="2" t="str">
        <f ca="1">IFERROR(__xludf.DUMMYFUNCTION("""COMPUTED_VALUE"""),"Neighbourhood")</f>
        <v>Neighbourhood</v>
      </c>
      <c r="D2427" s="2" t="str">
        <f ca="1">IFERROR(__xludf.DUMMYFUNCTION("""COMPUTED_VALUE"""),"Dubai&gt;Arabian Ranches 3&gt;June 2")</f>
        <v>Dubai&gt;Arabian Ranches 3&gt;June 2</v>
      </c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</row>
    <row r="2428" spans="1:26" ht="16.5" x14ac:dyDescent="0.35">
      <c r="A2428" s="2" t="str">
        <f ca="1">IFERROR(__xludf.DUMMYFUNCTION("""COMPUTED_VALUE"""),"Dubai")</f>
        <v>Dubai</v>
      </c>
      <c r="B2428" s="2" t="str">
        <f ca="1">IFERROR(__xludf.DUMMYFUNCTION("""COMPUTED_VALUE"""),"Clearpoint")</f>
        <v>Clearpoint</v>
      </c>
      <c r="C2428" s="2" t="str">
        <f ca="1">IFERROR(__xludf.DUMMYFUNCTION("""COMPUTED_VALUE"""),"Cluster")</f>
        <v>Cluster</v>
      </c>
      <c r="D2428" s="2" t="str">
        <f ca="1">IFERROR(__xludf.DUMMYFUNCTION("""COMPUTED_VALUE"""),"Dubai&gt;Mina Rashid&gt;Clearpoint")</f>
        <v>Dubai&gt;Mina Rashid&gt;Clearpoint</v>
      </c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</row>
    <row r="2429" spans="1:26" ht="16.5" x14ac:dyDescent="0.35">
      <c r="A2429" s="2" t="str">
        <f ca="1">IFERROR(__xludf.DUMMYFUNCTION("""COMPUTED_VALUE"""),"Dubai")</f>
        <v>Dubai</v>
      </c>
      <c r="B2429" s="2" t="str">
        <f ca="1">IFERROR(__xludf.DUMMYFUNCTION("""COMPUTED_VALUE"""),"Portside Square Tower 1")</f>
        <v>Portside Square Tower 1</v>
      </c>
      <c r="C2429" s="2" t="str">
        <f ca="1">IFERROR(__xludf.DUMMYFUNCTION("""COMPUTED_VALUE"""),"Building")</f>
        <v>Building</v>
      </c>
      <c r="D2429" s="2" t="str">
        <f ca="1">IFERROR(__xludf.DUMMYFUNCTION("""COMPUTED_VALUE"""),"Dubai&gt;Mina Rashid&gt;Portside Square&gt;Portside Square Tower 1")</f>
        <v>Dubai&gt;Mina Rashid&gt;Portside Square&gt;Portside Square Tower 1</v>
      </c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</row>
    <row r="2430" spans="1:26" ht="16.5" x14ac:dyDescent="0.35">
      <c r="A2430" s="2" t="str">
        <f ca="1">IFERROR(__xludf.DUMMYFUNCTION("""COMPUTED_VALUE"""),"Dubai")</f>
        <v>Dubai</v>
      </c>
      <c r="B2430" s="2" t="str">
        <f ca="1">IFERROR(__xludf.DUMMYFUNCTION("""COMPUTED_VALUE"""),"Venera")</f>
        <v>Venera</v>
      </c>
      <c r="C2430" s="2" t="str">
        <f ca="1">IFERROR(__xludf.DUMMYFUNCTION("""COMPUTED_VALUE"""),"Neighbourhood")</f>
        <v>Neighbourhood</v>
      </c>
      <c r="D2430" s="2" t="str">
        <f ca="1">IFERROR(__xludf.DUMMYFUNCTION("""COMPUTED_VALUE"""),"Dubai&gt;The Valley by Emaar&gt;Venera")</f>
        <v>Dubai&gt;The Valley by Emaar&gt;Venera</v>
      </c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</row>
    <row r="2431" spans="1:26" ht="16.5" x14ac:dyDescent="0.35">
      <c r="A2431" s="2" t="str">
        <f ca="1">IFERROR(__xludf.DUMMYFUNCTION("""COMPUTED_VALUE"""),"Dubai")</f>
        <v>Dubai</v>
      </c>
      <c r="B2431" s="2" t="str">
        <f ca="1">IFERROR(__xludf.DUMMYFUNCTION("""COMPUTED_VALUE"""),"Saheel")</f>
        <v>Saheel</v>
      </c>
      <c r="C2431" s="2" t="str">
        <f ca="1">IFERROR(__xludf.DUMMYFUNCTION("""COMPUTED_VALUE"""),"Neighbourhood")</f>
        <v>Neighbourhood</v>
      </c>
      <c r="D2431" s="2" t="str">
        <f ca="1">IFERROR(__xludf.DUMMYFUNCTION("""COMPUTED_VALUE"""),"Dubai&gt;Arabian Ranches&gt;Saheel")</f>
        <v>Dubai&gt;Arabian Ranches&gt;Saheel</v>
      </c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</row>
    <row r="2432" spans="1:26" ht="16.5" x14ac:dyDescent="0.35">
      <c r="A2432" s="2" t="str">
        <f ca="1">IFERROR(__xludf.DUMMYFUNCTION("""COMPUTED_VALUE"""),"Dubai")</f>
        <v>Dubai</v>
      </c>
      <c r="B2432" s="2" t="str">
        <f ca="1">IFERROR(__xludf.DUMMYFUNCTION("""COMPUTED_VALUE"""),"The Gardens Apartments 6")</f>
        <v>The Gardens Apartments 6</v>
      </c>
      <c r="C2432" s="2" t="str">
        <f ca="1">IFERROR(__xludf.DUMMYFUNCTION("""COMPUTED_VALUE"""),"Building")</f>
        <v>Building</v>
      </c>
      <c r="D2432" s="2" t="str">
        <f ca="1">IFERROR(__xludf.DUMMYFUNCTION("""COMPUTED_VALUE"""),"Dubai&gt;The Gardens&gt;The Gardens Apartments&gt;The Gardens Apartments 6")</f>
        <v>Dubai&gt;The Gardens&gt;The Gardens Apartments&gt;The Gardens Apartments 6</v>
      </c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</row>
    <row r="2433" spans="1:26" ht="16.5" x14ac:dyDescent="0.35">
      <c r="A2433" s="2" t="str">
        <f ca="1">IFERROR(__xludf.DUMMYFUNCTION("""COMPUTED_VALUE"""),"Dubai")</f>
        <v>Dubai</v>
      </c>
      <c r="B2433" s="2" t="str">
        <f ca="1">IFERROR(__xludf.DUMMYFUNCTION("""COMPUTED_VALUE"""),"The Gardens Building 1")</f>
        <v>The Gardens Building 1</v>
      </c>
      <c r="C2433" s="2" t="str">
        <f ca="1">IFERROR(__xludf.DUMMYFUNCTION("""COMPUTED_VALUE"""),"Building")</f>
        <v>Building</v>
      </c>
      <c r="D2433" s="2" t="str">
        <f ca="1">IFERROR(__xludf.DUMMYFUNCTION("""COMPUTED_VALUE"""),"Dubai&gt;The Gardens&gt;The Gardens Building 1")</f>
        <v>Dubai&gt;The Gardens&gt;The Gardens Building 1</v>
      </c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</row>
    <row r="2434" spans="1:26" ht="16.5" x14ac:dyDescent="0.35">
      <c r="A2434" s="2" t="str">
        <f ca="1">IFERROR(__xludf.DUMMYFUNCTION("""COMPUTED_VALUE"""),"Dubai")</f>
        <v>Dubai</v>
      </c>
      <c r="B2434" s="2" t="str">
        <f ca="1">IFERROR(__xludf.DUMMYFUNCTION("""COMPUTED_VALUE"""),"The Gardens Building 99")</f>
        <v>The Gardens Building 99</v>
      </c>
      <c r="C2434" s="2" t="str">
        <f ca="1">IFERROR(__xludf.DUMMYFUNCTION("""COMPUTED_VALUE"""),"Building")</f>
        <v>Building</v>
      </c>
      <c r="D2434" s="2" t="str">
        <f ca="1">IFERROR(__xludf.DUMMYFUNCTION("""COMPUTED_VALUE"""),"Dubai&gt;The Gardens&gt;The Gardens Building 99")</f>
        <v>Dubai&gt;The Gardens&gt;The Gardens Building 99</v>
      </c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</row>
    <row r="2435" spans="1:26" ht="16.5" x14ac:dyDescent="0.35">
      <c r="A2435" s="2" t="str">
        <f ca="1">IFERROR(__xludf.DUMMYFUNCTION("""COMPUTED_VALUE"""),"Dubai")</f>
        <v>Dubai</v>
      </c>
      <c r="B2435" s="2" t="str">
        <f ca="1">IFERROR(__xludf.DUMMYFUNCTION("""COMPUTED_VALUE"""),"The Gardens Building 25")</f>
        <v>The Gardens Building 25</v>
      </c>
      <c r="C2435" s="2" t="str">
        <f ca="1">IFERROR(__xludf.DUMMYFUNCTION("""COMPUTED_VALUE"""),"Building")</f>
        <v>Building</v>
      </c>
      <c r="D2435" s="2" t="str">
        <f ca="1">IFERROR(__xludf.DUMMYFUNCTION("""COMPUTED_VALUE"""),"Dubai&gt;The Gardens&gt;The Gardens Building 25")</f>
        <v>Dubai&gt;The Gardens&gt;The Gardens Building 25</v>
      </c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</row>
    <row r="2436" spans="1:26" ht="16.5" x14ac:dyDescent="0.35">
      <c r="A2436" s="2" t="str">
        <f ca="1">IFERROR(__xludf.DUMMYFUNCTION("""COMPUTED_VALUE"""),"Dubai")</f>
        <v>Dubai</v>
      </c>
      <c r="B2436" s="2" t="str">
        <f ca="1">IFERROR(__xludf.DUMMYFUNCTION("""COMPUTED_VALUE"""),"The Gardens Building 67")</f>
        <v>The Gardens Building 67</v>
      </c>
      <c r="C2436" s="2" t="str">
        <f ca="1">IFERROR(__xludf.DUMMYFUNCTION("""COMPUTED_VALUE"""),"Building")</f>
        <v>Building</v>
      </c>
      <c r="D2436" s="2" t="str">
        <f ca="1">IFERROR(__xludf.DUMMYFUNCTION("""COMPUTED_VALUE"""),"Dubai&gt;The Gardens&gt;The Gardens Building 67")</f>
        <v>Dubai&gt;The Gardens&gt;The Gardens Building 67</v>
      </c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</row>
    <row r="2437" spans="1:26" ht="16.5" x14ac:dyDescent="0.35">
      <c r="A2437" s="2" t="str">
        <f ca="1">IFERROR(__xludf.DUMMYFUNCTION("""COMPUTED_VALUE"""),"Dubai")</f>
        <v>Dubai</v>
      </c>
      <c r="B2437" s="2" t="str">
        <f ca="1">IFERROR(__xludf.DUMMYFUNCTION("""COMPUTED_VALUE"""),"Al Qusais 1")</f>
        <v>Al Qusais 1</v>
      </c>
      <c r="C2437" s="2" t="str">
        <f ca="1">IFERROR(__xludf.DUMMYFUNCTION("""COMPUTED_VALUE"""),"Neighbourhood")</f>
        <v>Neighbourhood</v>
      </c>
      <c r="D2437" s="2" t="str">
        <f ca="1">IFERROR(__xludf.DUMMYFUNCTION("""COMPUTED_VALUE"""),"Dubai&gt;Al Qusais&gt;Al Qusais Residential Area&gt;Al Qusais 1")</f>
        <v>Dubai&gt;Al Qusais&gt;Al Qusais Residential Area&gt;Al Qusais 1</v>
      </c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</row>
    <row r="2438" spans="1:26" ht="16.5" x14ac:dyDescent="0.35">
      <c r="A2438" s="2" t="str">
        <f ca="1">IFERROR(__xludf.DUMMYFUNCTION("""COMPUTED_VALUE"""),"Dubai")</f>
        <v>Dubai</v>
      </c>
      <c r="B2438" s="2" t="str">
        <f ca="1">IFERROR(__xludf.DUMMYFUNCTION("""COMPUTED_VALUE"""),"Rainbow Residence 2")</f>
        <v>Rainbow Residence 2</v>
      </c>
      <c r="C2438" s="2" t="str">
        <f ca="1">IFERROR(__xludf.DUMMYFUNCTION("""COMPUTED_VALUE"""),"Building")</f>
        <v>Building</v>
      </c>
      <c r="D2438" s="2" t="str">
        <f ca="1">IFERROR(__xludf.DUMMYFUNCTION("""COMPUTED_VALUE"""),"Dubai&gt;Al Qusais&gt;Al Qusais Residential Area&gt;Al Qusais 1&gt;Rainbow Residences&gt;Rainbow Residence 2")</f>
        <v>Dubai&gt;Al Qusais&gt;Al Qusais Residential Area&gt;Al Qusais 1&gt;Rainbow Residences&gt;Rainbow Residence 2</v>
      </c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</row>
    <row r="2439" spans="1:26" ht="16.5" x14ac:dyDescent="0.35">
      <c r="A2439" s="2" t="str">
        <f ca="1">IFERROR(__xludf.DUMMYFUNCTION("""COMPUTED_VALUE"""),"Dubai")</f>
        <v>Dubai</v>
      </c>
      <c r="B2439" s="2" t="str">
        <f ca="1">IFERROR(__xludf.DUMMYFUNCTION("""COMPUTED_VALUE"""),"Mona Residence")</f>
        <v>Mona Residence</v>
      </c>
      <c r="C2439" s="2" t="str">
        <f ca="1">IFERROR(__xludf.DUMMYFUNCTION("""COMPUTED_VALUE"""),"Building")</f>
        <v>Building</v>
      </c>
      <c r="D2439" s="2" t="str">
        <f ca="1">IFERROR(__xludf.DUMMYFUNCTION("""COMPUTED_VALUE"""),"Dubai&gt;Al Qusais&gt;Al Qusais Industrial Area&gt;Al Qusais Industrial 5&gt;Mona Residence")</f>
        <v>Dubai&gt;Al Qusais&gt;Al Qusais Industrial Area&gt;Al Qusais Industrial 5&gt;Mona Residence</v>
      </c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</row>
    <row r="2440" spans="1:26" ht="16.5" x14ac:dyDescent="0.35">
      <c r="A2440" s="2" t="str">
        <f ca="1">IFERROR(__xludf.DUMMYFUNCTION("""COMPUTED_VALUE"""),"Dubai")</f>
        <v>Dubai</v>
      </c>
      <c r="B2440" s="2" t="str">
        <f ca="1">IFERROR(__xludf.DUMMYFUNCTION("""COMPUTED_VALUE"""),"Abudlla Al Fahad 3 Building")</f>
        <v>Abudlla Al Fahad 3 Building</v>
      </c>
      <c r="C2440" s="2" t="str">
        <f ca="1">IFERROR(__xludf.DUMMYFUNCTION("""COMPUTED_VALUE"""),"Building")</f>
        <v>Building</v>
      </c>
      <c r="D2440" s="2" t="str">
        <f ca="1">IFERROR(__xludf.DUMMYFUNCTION("""COMPUTED_VALUE"""),"Dubai&gt;Al Qusais&gt;Al Qusais Industrial Area&gt;Al Qusais Industrial 2&gt;Abudlla Al Fahad 3 Building")</f>
        <v>Dubai&gt;Al Qusais&gt;Al Qusais Industrial Area&gt;Al Qusais Industrial 2&gt;Abudlla Al Fahad 3 Building</v>
      </c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</row>
    <row r="2441" spans="1:26" ht="16.5" x14ac:dyDescent="0.35">
      <c r="A2441" s="2" t="str">
        <f ca="1">IFERROR(__xludf.DUMMYFUNCTION("""COMPUTED_VALUE"""),"Dubai")</f>
        <v>Dubai</v>
      </c>
      <c r="B2441" s="2" t="str">
        <f ca="1">IFERROR(__xludf.DUMMYFUNCTION("""COMPUTED_VALUE"""),"Palace Residence Building 3")</f>
        <v>Palace Residence Building 3</v>
      </c>
      <c r="C2441" s="2" t="str">
        <f ca="1">IFERROR(__xludf.DUMMYFUNCTION("""COMPUTED_VALUE"""),"Building")</f>
        <v>Building</v>
      </c>
      <c r="D2441" s="2" t="str">
        <f ca="1">IFERROR(__xludf.DUMMYFUNCTION("""COMPUTED_VALUE"""),"Dubai&gt;Dubai Hills Estate&gt;Park Heights&gt;Palace Residences&gt;Palace Residence Building 3")</f>
        <v>Dubai&gt;Dubai Hills Estate&gt;Park Heights&gt;Palace Residences&gt;Palace Residence Building 3</v>
      </c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</row>
    <row r="2442" spans="1:26" ht="16.5" x14ac:dyDescent="0.35">
      <c r="A2442" s="2" t="str">
        <f ca="1">IFERROR(__xludf.DUMMYFUNCTION("""COMPUTED_VALUE"""),"Dubai")</f>
        <v>Dubai</v>
      </c>
      <c r="B2442" s="2" t="str">
        <f ca="1">IFERROR(__xludf.DUMMYFUNCTION("""COMPUTED_VALUE"""),"Palm Hills")</f>
        <v>Palm Hills</v>
      </c>
      <c r="C2442" s="2" t="str">
        <f ca="1">IFERROR(__xludf.DUMMYFUNCTION("""COMPUTED_VALUE"""),"Neighbourhood")</f>
        <v>Neighbourhood</v>
      </c>
      <c r="D2442" s="2" t="str">
        <f ca="1">IFERROR(__xludf.DUMMYFUNCTION("""COMPUTED_VALUE"""),"Dubai&gt;Dubai Hills Estate&gt;Palm Hills")</f>
        <v>Dubai&gt;Dubai Hills Estate&gt;Palm Hills</v>
      </c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</row>
    <row r="2443" spans="1:26" ht="16.5" x14ac:dyDescent="0.35">
      <c r="A2443" s="2" t="str">
        <f ca="1">IFERROR(__xludf.DUMMYFUNCTION("""COMPUTED_VALUE"""),"Dubai")</f>
        <v>Dubai</v>
      </c>
      <c r="B2443" s="2" t="str">
        <f ca="1">IFERROR(__xludf.DUMMYFUNCTION("""COMPUTED_VALUE"""),"Prive Residences")</f>
        <v>Prive Residences</v>
      </c>
      <c r="C2443" s="2" t="str">
        <f ca="1">IFERROR(__xludf.DUMMYFUNCTION("""COMPUTED_VALUE"""),"Building")</f>
        <v>Building</v>
      </c>
      <c r="D2443" s="2" t="str">
        <f ca="1">IFERROR(__xludf.DUMMYFUNCTION("""COMPUTED_VALUE"""),"Dubai&gt;Dubai Hills Estate&gt;Prive Residences")</f>
        <v>Dubai&gt;Dubai Hills Estate&gt;Prive Residences</v>
      </c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</row>
    <row r="2444" spans="1:26" ht="16.5" x14ac:dyDescent="0.35">
      <c r="A2444" s="2" t="str">
        <f ca="1">IFERROR(__xludf.DUMMYFUNCTION("""COMPUTED_VALUE"""),"Dubai")</f>
        <v>Dubai</v>
      </c>
      <c r="B2444" s="2" t="str">
        <f ca="1">IFERROR(__xludf.DUMMYFUNCTION("""COMPUTED_VALUE"""),"Park Lane Building 4")</f>
        <v>Park Lane Building 4</v>
      </c>
      <c r="C2444" s="2" t="str">
        <f ca="1">IFERROR(__xludf.DUMMYFUNCTION("""COMPUTED_VALUE"""),"Building")</f>
        <v>Building</v>
      </c>
      <c r="D2444" s="2" t="str">
        <f ca="1">IFERROR(__xludf.DUMMYFUNCTION("""COMPUTED_VALUE"""),"Dubai&gt;Dubai Hills Estate&gt;Park Lane&gt;Park Lane Building 4")</f>
        <v>Dubai&gt;Dubai Hills Estate&gt;Park Lane&gt;Park Lane Building 4</v>
      </c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</row>
    <row r="2445" spans="1:26" ht="16.5" x14ac:dyDescent="0.35">
      <c r="A2445" s="2" t="str">
        <f ca="1">IFERROR(__xludf.DUMMYFUNCTION("""COMPUTED_VALUE"""),"Dubai")</f>
        <v>Dubai</v>
      </c>
      <c r="B2445" s="2" t="str">
        <f ca="1">IFERROR(__xludf.DUMMYFUNCTION("""COMPUTED_VALUE"""),"Al Shenqaiti Building 2")</f>
        <v>Al Shenqaiti Building 2</v>
      </c>
      <c r="C2445" s="2" t="str">
        <f ca="1">IFERROR(__xludf.DUMMYFUNCTION("""COMPUTED_VALUE"""),"Building")</f>
        <v>Building</v>
      </c>
      <c r="D2445" s="2" t="str">
        <f ca="1">IFERROR(__xludf.DUMMYFUNCTION("""COMPUTED_VALUE"""),"Dubai&gt;Deira&gt;Al Muraqqabat&gt;Al Shenqaiti Building 2")</f>
        <v>Dubai&gt;Deira&gt;Al Muraqqabat&gt;Al Shenqaiti Building 2</v>
      </c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</row>
    <row r="2446" spans="1:26" ht="16.5" x14ac:dyDescent="0.35">
      <c r="A2446" s="2" t="str">
        <f ca="1">IFERROR(__xludf.DUMMYFUNCTION("""COMPUTED_VALUE"""),"Dubai")</f>
        <v>Dubai</v>
      </c>
      <c r="B2446" s="2" t="str">
        <f ca="1">IFERROR(__xludf.DUMMYFUNCTION("""COMPUTED_VALUE"""),"Al Muraqabat Plaza Hotel Apartments")</f>
        <v>Al Muraqabat Plaza Hotel Apartments</v>
      </c>
      <c r="C2446" s="2" t="str">
        <f ca="1">IFERROR(__xludf.DUMMYFUNCTION("""COMPUTED_VALUE"""),"Building")</f>
        <v>Building</v>
      </c>
      <c r="D2446" s="2" t="str">
        <f ca="1">IFERROR(__xludf.DUMMYFUNCTION("""COMPUTED_VALUE"""),"Dubai&gt;Deira&gt;Al Muraqqabat&gt;Al Muraqabat Plaza Hotel Apartments")</f>
        <v>Dubai&gt;Deira&gt;Al Muraqqabat&gt;Al Muraqabat Plaza Hotel Apartments</v>
      </c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</row>
    <row r="2447" spans="1:26" ht="16.5" x14ac:dyDescent="0.35">
      <c r="A2447" s="2" t="str">
        <f ca="1">IFERROR(__xludf.DUMMYFUNCTION("""COMPUTED_VALUE"""),"Dubai")</f>
        <v>Dubai</v>
      </c>
      <c r="B2447" s="2" t="str">
        <f ca="1">IFERROR(__xludf.DUMMYFUNCTION("""COMPUTED_VALUE"""),"Al Meraikhi Tower 2")</f>
        <v>Al Meraikhi Tower 2</v>
      </c>
      <c r="C2447" s="2" t="str">
        <f ca="1">IFERROR(__xludf.DUMMYFUNCTION("""COMPUTED_VALUE"""),"Building")</f>
        <v>Building</v>
      </c>
      <c r="D2447" s="2" t="str">
        <f ca="1">IFERROR(__xludf.DUMMYFUNCTION("""COMPUTED_VALUE"""),"Dubai&gt;Deira&gt;Riggat Al Buteen&gt;Al Meraikhi Tower 2")</f>
        <v>Dubai&gt;Deira&gt;Riggat Al Buteen&gt;Al Meraikhi Tower 2</v>
      </c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</row>
    <row r="2448" spans="1:26" ht="16.5" x14ac:dyDescent="0.35">
      <c r="A2448" s="2" t="str">
        <f ca="1">IFERROR(__xludf.DUMMYFUNCTION("""COMPUTED_VALUE"""),"Dubai")</f>
        <v>Dubai</v>
      </c>
      <c r="B2448" s="2" t="str">
        <f ca="1">IFERROR(__xludf.DUMMYFUNCTION("""COMPUTED_VALUE"""),"Little Flower English School")</f>
        <v>Little Flower English School</v>
      </c>
      <c r="C2448" s="2" t="str">
        <f ca="1">IFERROR(__xludf.DUMMYFUNCTION("""COMPUTED_VALUE"""),"School")</f>
        <v>School</v>
      </c>
      <c r="D2448" s="2" t="str">
        <f ca="1">IFERROR(__xludf.DUMMYFUNCTION("""COMPUTED_VALUE"""),"Dubai&gt;Deira&gt;Hor Al Anz&gt;Little Flower English School")</f>
        <v>Dubai&gt;Deira&gt;Hor Al Anz&gt;Little Flower English School</v>
      </c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</row>
    <row r="2449" spans="1:26" ht="16.5" x14ac:dyDescent="0.35">
      <c r="A2449" s="2" t="str">
        <f ca="1">IFERROR(__xludf.DUMMYFUNCTION("""COMPUTED_VALUE"""),"Dubai")</f>
        <v>Dubai</v>
      </c>
      <c r="B2449" s="2" t="str">
        <f ca="1">IFERROR(__xludf.DUMMYFUNCTION("""COMPUTED_VALUE"""),"Studio M Arabian Plaza Hotel")</f>
        <v>Studio M Arabian Plaza Hotel</v>
      </c>
      <c r="C2449" s="2" t="str">
        <f ca="1">IFERROR(__xludf.DUMMYFUNCTION("""COMPUTED_VALUE"""),"Building")</f>
        <v>Building</v>
      </c>
      <c r="D2449" s="2" t="str">
        <f ca="1">IFERROR(__xludf.DUMMYFUNCTION("""COMPUTED_VALUE"""),"Dubai&gt;Deira&gt;Hor Al Anz&gt;Hor Al Anz East&gt;Studio M Arabian Plaza Hotel")</f>
        <v>Dubai&gt;Deira&gt;Hor Al Anz&gt;Hor Al Anz East&gt;Studio M Arabian Plaza Hotel</v>
      </c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</row>
    <row r="2450" spans="1:26" ht="16.5" x14ac:dyDescent="0.35">
      <c r="A2450" s="2" t="str">
        <f ca="1">IFERROR(__xludf.DUMMYFUNCTION("""COMPUTED_VALUE"""),"Dubai")</f>
        <v>Dubai</v>
      </c>
      <c r="B2450" s="2" t="str">
        <f ca="1">IFERROR(__xludf.DUMMYFUNCTION("""COMPUTED_VALUE"""),"Bayt Al Muteena 03")</f>
        <v>Bayt Al Muteena 03</v>
      </c>
      <c r="C2450" s="2" t="str">
        <f ca="1">IFERROR(__xludf.DUMMYFUNCTION("""COMPUTED_VALUE"""),"Building")</f>
        <v>Building</v>
      </c>
      <c r="D2450" s="2" t="str">
        <f ca="1">IFERROR(__xludf.DUMMYFUNCTION("""COMPUTED_VALUE"""),"Dubai&gt;Deira&gt;Al Muteena&gt;Bayt Al Muteena 03")</f>
        <v>Dubai&gt;Deira&gt;Al Muteena&gt;Bayt Al Muteena 03</v>
      </c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</row>
    <row r="2451" spans="1:26" ht="16.5" x14ac:dyDescent="0.35">
      <c r="A2451" s="2" t="str">
        <f ca="1">IFERROR(__xludf.DUMMYFUNCTION("""COMPUTED_VALUE"""),"Dubai")</f>
        <v>Dubai</v>
      </c>
      <c r="B2451" s="2" t="str">
        <f ca="1">IFERROR(__xludf.DUMMYFUNCTION("""COMPUTED_VALUE"""),"Al Rigga")</f>
        <v>Al Rigga</v>
      </c>
      <c r="C2451" s="2" t="str">
        <f ca="1">IFERROR(__xludf.DUMMYFUNCTION("""COMPUTED_VALUE"""),"Neighbourhood")</f>
        <v>Neighbourhood</v>
      </c>
      <c r="D2451" s="2" t="str">
        <f ca="1">IFERROR(__xludf.DUMMYFUNCTION("""COMPUTED_VALUE"""),"Dubai&gt;Deira&gt;Al Rigga")</f>
        <v>Dubai&gt;Deira&gt;Al Rigga</v>
      </c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</row>
    <row r="2452" spans="1:26" ht="16.5" x14ac:dyDescent="0.35">
      <c r="A2452" s="2" t="str">
        <f ca="1">IFERROR(__xludf.DUMMYFUNCTION("""COMPUTED_VALUE"""),"Dubai")</f>
        <v>Dubai</v>
      </c>
      <c r="B2452" s="2" t="str">
        <f ca="1">IFERROR(__xludf.DUMMYFUNCTION("""COMPUTED_VALUE"""),"Sherina Plaza 3")</f>
        <v>Sherina Plaza 3</v>
      </c>
      <c r="C2452" s="2" t="str">
        <f ca="1">IFERROR(__xludf.DUMMYFUNCTION("""COMPUTED_VALUE"""),"Building")</f>
        <v>Building</v>
      </c>
      <c r="D2452" s="2" t="str">
        <f ca="1">IFERROR(__xludf.DUMMYFUNCTION("""COMPUTED_VALUE"""),"Dubai&gt;Deira&gt;Deira Enrichment Project&gt;Sherina Plaza&gt;Sherina Plaza 3")</f>
        <v>Dubai&gt;Deira&gt;Deira Enrichment Project&gt;Sherina Plaza&gt;Sherina Plaza 3</v>
      </c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</row>
    <row r="2453" spans="1:26" ht="16.5" x14ac:dyDescent="0.35">
      <c r="A2453" s="2" t="str">
        <f ca="1">IFERROR(__xludf.DUMMYFUNCTION("""COMPUTED_VALUE"""),"Dubai")</f>
        <v>Dubai</v>
      </c>
      <c r="B2453" s="2" t="str">
        <f ca="1">IFERROR(__xludf.DUMMYFUNCTION("""COMPUTED_VALUE"""),"Al Zaina Plaza")</f>
        <v>Al Zaina Plaza</v>
      </c>
      <c r="C2453" s="2" t="str">
        <f ca="1">IFERROR(__xludf.DUMMYFUNCTION("""COMPUTED_VALUE"""),"Building")</f>
        <v>Building</v>
      </c>
      <c r="D2453" s="2" t="str">
        <f ca="1">IFERROR(__xludf.DUMMYFUNCTION("""COMPUTED_VALUE"""),"Dubai&gt;Deira&gt;Deira Enrichment Project&gt;Al Zaina Plaza")</f>
        <v>Dubai&gt;Deira&gt;Deira Enrichment Project&gt;Al Zaina Plaza</v>
      </c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</row>
    <row r="2454" spans="1:26" ht="16.5" x14ac:dyDescent="0.35">
      <c r="A2454" s="2" t="str">
        <f ca="1">IFERROR(__xludf.DUMMYFUNCTION("""COMPUTED_VALUE"""),"Dubai")</f>
        <v>Dubai</v>
      </c>
      <c r="B2454" s="2" t="str">
        <f ca="1">IFERROR(__xludf.DUMMYFUNCTION("""COMPUTED_VALUE"""),"Naif Road")</f>
        <v>Naif Road</v>
      </c>
      <c r="C2454" s="2" t="str">
        <f ca="1">IFERROR(__xludf.DUMMYFUNCTION("""COMPUTED_VALUE"""),"Neighbourhood")</f>
        <v>Neighbourhood</v>
      </c>
      <c r="D2454" s="2" t="str">
        <f ca="1">IFERROR(__xludf.DUMMYFUNCTION("""COMPUTED_VALUE"""),"Dubai&gt;Deira&gt;Naif&gt;Naif Road")</f>
        <v>Dubai&gt;Deira&gt;Naif&gt;Naif Road</v>
      </c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</row>
    <row r="2455" spans="1:26" ht="16.5" x14ac:dyDescent="0.35">
      <c r="A2455" s="2" t="str">
        <f ca="1">IFERROR(__xludf.DUMMYFUNCTION("""COMPUTED_VALUE"""),"Dubai")</f>
        <v>Dubai</v>
      </c>
      <c r="B2455" s="2" t="str">
        <f ca="1">IFERROR(__xludf.DUMMYFUNCTION("""COMPUTED_VALUE"""),"Bin Ghalib Building")</f>
        <v>Bin Ghalib Building</v>
      </c>
      <c r="C2455" s="2" t="str">
        <f ca="1">IFERROR(__xludf.DUMMYFUNCTION("""COMPUTED_VALUE"""),"Building")</f>
        <v>Building</v>
      </c>
      <c r="D2455" s="2" t="str">
        <f ca="1">IFERROR(__xludf.DUMMYFUNCTION("""COMPUTED_VALUE"""),"Dubai&gt;Deira&gt;Al Murar&gt;Bin Ghalib Building")</f>
        <v>Dubai&gt;Deira&gt;Al Murar&gt;Bin Ghalib Building</v>
      </c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</row>
    <row r="2456" spans="1:26" ht="16.5" x14ac:dyDescent="0.35">
      <c r="A2456" s="2" t="str">
        <f ca="1">IFERROR(__xludf.DUMMYFUNCTION("""COMPUTED_VALUE"""),"Dubai")</f>
        <v>Dubai</v>
      </c>
      <c r="B2456" s="2" t="str">
        <f ca="1">IFERROR(__xludf.DUMMYFUNCTION("""COMPUTED_VALUE"""),"BAKS Al Baraha")</f>
        <v>BAKS Al Baraha</v>
      </c>
      <c r="C2456" s="2" t="str">
        <f ca="1">IFERROR(__xludf.DUMMYFUNCTION("""COMPUTED_VALUE"""),"Building")</f>
        <v>Building</v>
      </c>
      <c r="D2456" s="2" t="str">
        <f ca="1">IFERROR(__xludf.DUMMYFUNCTION("""COMPUTED_VALUE"""),"Dubai&gt;Deira&gt;Al Baraha&gt;BAKS Al Baraha")</f>
        <v>Dubai&gt;Deira&gt;Al Baraha&gt;BAKS Al Baraha</v>
      </c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</row>
    <row r="2457" spans="1:26" ht="16.5" x14ac:dyDescent="0.35">
      <c r="A2457" s="2" t="str">
        <f ca="1">IFERROR(__xludf.DUMMYFUNCTION("""COMPUTED_VALUE"""),"Dubai")</f>
        <v>Dubai</v>
      </c>
      <c r="B2457" s="2" t="str">
        <f ca="1">IFERROR(__xludf.DUMMYFUNCTION("""COMPUTED_VALUE"""),"Pullman Dubai Creek City Centre Residences")</f>
        <v>Pullman Dubai Creek City Centre Residences</v>
      </c>
      <c r="C2457" s="2" t="str">
        <f ca="1">IFERROR(__xludf.DUMMYFUNCTION("""COMPUTED_VALUE"""),"Building")</f>
        <v>Building</v>
      </c>
      <c r="D2457" s="2" t="str">
        <f ca="1">IFERROR(__xludf.DUMMYFUNCTION("""COMPUTED_VALUE"""),"Dubai&gt;Deira&gt;Port Saeed&gt;Pullman Dubai Creek City Centre Residences")</f>
        <v>Dubai&gt;Deira&gt;Port Saeed&gt;Pullman Dubai Creek City Centre Residences</v>
      </c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</row>
    <row r="2458" spans="1:26" ht="16.5" x14ac:dyDescent="0.35">
      <c r="A2458" s="2" t="str">
        <f ca="1">IFERROR(__xludf.DUMMYFUNCTION("""COMPUTED_VALUE"""),"Dubai")</f>
        <v>Dubai</v>
      </c>
      <c r="B2458" s="2" t="str">
        <f ca="1">IFERROR(__xludf.DUMMYFUNCTION("""COMPUTED_VALUE"""),"Deira City Tower")</f>
        <v>Deira City Tower</v>
      </c>
      <c r="C2458" s="2" t="str">
        <f ca="1">IFERROR(__xludf.DUMMYFUNCTION("""COMPUTED_VALUE"""),"Building")</f>
        <v>Building</v>
      </c>
      <c r="D2458" s="2" t="str">
        <f ca="1">IFERROR(__xludf.DUMMYFUNCTION("""COMPUTED_VALUE"""),"Dubai&gt;Deira&gt;Port Saeed&gt;Deira City Tower")</f>
        <v>Dubai&gt;Deira&gt;Port Saeed&gt;Deira City Tower</v>
      </c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</row>
    <row r="2459" spans="1:26" ht="16.5" x14ac:dyDescent="0.35">
      <c r="A2459" s="2" t="str">
        <f ca="1">IFERROR(__xludf.DUMMYFUNCTION("""COMPUTED_VALUE"""),"Dubai")</f>
        <v>Dubai</v>
      </c>
      <c r="B2459" s="2" t="str">
        <f ca="1">IFERROR(__xludf.DUMMYFUNCTION("""COMPUTED_VALUE"""),"Safa Two by De Grisogono")</f>
        <v>Safa Two by De Grisogono</v>
      </c>
      <c r="C2459" s="2" t="str">
        <f ca="1">IFERROR(__xludf.DUMMYFUNCTION("""COMPUTED_VALUE"""),"Building")</f>
        <v>Building</v>
      </c>
      <c r="D2459" s="2" t="str">
        <f ca="1">IFERROR(__xludf.DUMMYFUNCTION("""COMPUTED_VALUE"""),"Dubai&gt;Business Bay&gt;Aykon City&gt;Safa Two by De Grisogono")</f>
        <v>Dubai&gt;Business Bay&gt;Aykon City&gt;Safa Two by De Grisogono</v>
      </c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</row>
    <row r="2460" spans="1:26" ht="16.5" x14ac:dyDescent="0.35">
      <c r="A2460" s="2" t="str">
        <f ca="1">IFERROR(__xludf.DUMMYFUNCTION("""COMPUTED_VALUE"""),"Dubai")</f>
        <v>Dubai</v>
      </c>
      <c r="B2460" s="2" t="str">
        <f ca="1">IFERROR(__xludf.DUMMYFUNCTION("""COMPUTED_VALUE"""),"Taj Hotel")</f>
        <v>Taj Hotel</v>
      </c>
      <c r="C2460" s="2" t="str">
        <f ca="1">IFERROR(__xludf.DUMMYFUNCTION("""COMPUTED_VALUE"""),"Building")</f>
        <v>Building</v>
      </c>
      <c r="D2460" s="2" t="str">
        <f ca="1">IFERROR(__xludf.DUMMYFUNCTION("""COMPUTED_VALUE"""),"Dubai&gt;Business Bay&gt;Executive Towers&gt;Taj Hotel")</f>
        <v>Dubai&gt;Business Bay&gt;Executive Towers&gt;Taj Hotel</v>
      </c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</row>
    <row r="2461" spans="1:26" ht="16.5" x14ac:dyDescent="0.35">
      <c r="A2461" s="2" t="str">
        <f ca="1">IFERROR(__xludf.DUMMYFUNCTION("""COMPUTED_VALUE"""),"Dubai")</f>
        <v>Dubai</v>
      </c>
      <c r="B2461" s="2" t="str">
        <f ca="1">IFERROR(__xludf.DUMMYFUNCTION("""COMPUTED_VALUE"""),"Bay Square 4")</f>
        <v>Bay Square 4</v>
      </c>
      <c r="C2461" s="2" t="str">
        <f ca="1">IFERROR(__xludf.DUMMYFUNCTION("""COMPUTED_VALUE"""),"Building")</f>
        <v>Building</v>
      </c>
      <c r="D2461" s="2" t="str">
        <f ca="1">IFERROR(__xludf.DUMMYFUNCTION("""COMPUTED_VALUE"""),"Dubai&gt;Business Bay&gt;Bay Square&gt;Bay Square 4")</f>
        <v>Dubai&gt;Business Bay&gt;Bay Square&gt;Bay Square 4</v>
      </c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</row>
    <row r="2462" spans="1:26" ht="16.5" x14ac:dyDescent="0.35">
      <c r="A2462" s="2" t="str">
        <f ca="1">IFERROR(__xludf.DUMMYFUNCTION("""COMPUTED_VALUE"""),"Dubai")</f>
        <v>Dubai</v>
      </c>
      <c r="B2462" s="2" t="str">
        <f ca="1">IFERROR(__xludf.DUMMYFUNCTION("""COMPUTED_VALUE"""),"Manazel Al Safa")</f>
        <v>Manazel Al Safa</v>
      </c>
      <c r="C2462" s="2" t="str">
        <f ca="1">IFERROR(__xludf.DUMMYFUNCTION("""COMPUTED_VALUE"""),"Building")</f>
        <v>Building</v>
      </c>
      <c r="D2462" s="2" t="str">
        <f ca="1">IFERROR(__xludf.DUMMYFUNCTION("""COMPUTED_VALUE"""),"Dubai&gt;Business Bay&gt;Manazel Al Safa")</f>
        <v>Dubai&gt;Business Bay&gt;Manazel Al Safa</v>
      </c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</row>
    <row r="2463" spans="1:26" ht="16.5" x14ac:dyDescent="0.35">
      <c r="A2463" s="2" t="str">
        <f ca="1">IFERROR(__xludf.DUMMYFUNCTION("""COMPUTED_VALUE"""),"Dubai")</f>
        <v>Dubai</v>
      </c>
      <c r="B2463" s="2" t="str">
        <f ca="1">IFERROR(__xludf.DUMMYFUNCTION("""COMPUTED_VALUE"""),"Merano Tower")</f>
        <v>Merano Tower</v>
      </c>
      <c r="C2463" s="2" t="str">
        <f ca="1">IFERROR(__xludf.DUMMYFUNCTION("""COMPUTED_VALUE"""),"Building")</f>
        <v>Building</v>
      </c>
      <c r="D2463" s="2" t="str">
        <f ca="1">IFERROR(__xludf.DUMMYFUNCTION("""COMPUTED_VALUE"""),"Dubai&gt;Business Bay&gt;Merano Tower")</f>
        <v>Dubai&gt;Business Bay&gt;Merano Tower</v>
      </c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</row>
    <row r="2464" spans="1:26" ht="16.5" x14ac:dyDescent="0.35">
      <c r="A2464" s="2" t="str">
        <f ca="1">IFERROR(__xludf.DUMMYFUNCTION("""COMPUTED_VALUE"""),"Dubai")</f>
        <v>Dubai</v>
      </c>
      <c r="B2464" s="2" t="str">
        <f ca="1">IFERROR(__xludf.DUMMYFUNCTION("""COMPUTED_VALUE"""),"The Skyscraper")</f>
        <v>The Skyscraper</v>
      </c>
      <c r="C2464" s="2" t="str">
        <f ca="1">IFERROR(__xludf.DUMMYFUNCTION("""COMPUTED_VALUE"""),"Building")</f>
        <v>Building</v>
      </c>
      <c r="D2464" s="2" t="str">
        <f ca="1">IFERROR(__xludf.DUMMYFUNCTION("""COMPUTED_VALUE"""),"Dubai&gt;Business Bay&gt;The Skyscraper")</f>
        <v>Dubai&gt;Business Bay&gt;The Skyscraper</v>
      </c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</row>
    <row r="2465" spans="1:26" ht="16.5" x14ac:dyDescent="0.35">
      <c r="A2465" s="2" t="str">
        <f ca="1">IFERROR(__xludf.DUMMYFUNCTION("""COMPUTED_VALUE"""),"Dubai")</f>
        <v>Dubai</v>
      </c>
      <c r="B2465" s="2" t="str">
        <f ca="1">IFERROR(__xludf.DUMMYFUNCTION("""COMPUTED_VALUE"""),"Jumeirah Living Business Bay")</f>
        <v>Jumeirah Living Business Bay</v>
      </c>
      <c r="C2465" s="2" t="str">
        <f ca="1">IFERROR(__xludf.DUMMYFUNCTION("""COMPUTED_VALUE"""),"Building")</f>
        <v>Building</v>
      </c>
      <c r="D2465" s="2" t="str">
        <f ca="1">IFERROR(__xludf.DUMMYFUNCTION("""COMPUTED_VALUE"""),"Dubai&gt;Business Bay&gt;Jumeirah Living Business Bay")</f>
        <v>Dubai&gt;Business Bay&gt;Jumeirah Living Business Bay</v>
      </c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</row>
    <row r="2466" spans="1:26" ht="16.5" x14ac:dyDescent="0.35">
      <c r="A2466" s="2" t="str">
        <f ca="1">IFERROR(__xludf.DUMMYFUNCTION("""COMPUTED_VALUE"""),"Dubai")</f>
        <v>Dubai</v>
      </c>
      <c r="B2466" s="2" t="str">
        <f ca="1">IFERROR(__xludf.DUMMYFUNCTION("""COMPUTED_VALUE"""),"Terraces Marasi Drive")</f>
        <v>Terraces Marasi Drive</v>
      </c>
      <c r="C2466" s="2" t="str">
        <f ca="1">IFERROR(__xludf.DUMMYFUNCTION("""COMPUTED_VALUE"""),"Building")</f>
        <v>Building</v>
      </c>
      <c r="D2466" s="2" t="str">
        <f ca="1">IFERROR(__xludf.DUMMYFUNCTION("""COMPUTED_VALUE"""),"Dubai&gt;Business Bay&gt;Terraces Marasi Drive")</f>
        <v>Dubai&gt;Business Bay&gt;Terraces Marasi Drive</v>
      </c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</row>
    <row r="2467" spans="1:26" ht="16.5" x14ac:dyDescent="0.35">
      <c r="A2467" s="2" t="str">
        <f ca="1">IFERROR(__xludf.DUMMYFUNCTION("""COMPUTED_VALUE"""),"Dubai")</f>
        <v>Dubai</v>
      </c>
      <c r="B2467" s="2" t="str">
        <f ca="1">IFERROR(__xludf.DUMMYFUNCTION("""COMPUTED_VALUE"""),"One by Binghatti")</f>
        <v>One by Binghatti</v>
      </c>
      <c r="C2467" s="2" t="str">
        <f ca="1">IFERROR(__xludf.DUMMYFUNCTION("""COMPUTED_VALUE"""),"Building")</f>
        <v>Building</v>
      </c>
      <c r="D2467" s="2" t="str">
        <f ca="1">IFERROR(__xludf.DUMMYFUNCTION("""COMPUTED_VALUE"""),"Dubai&gt;Business Bay&gt;One by Binghatti")</f>
        <v>Dubai&gt;Business Bay&gt;One by Binghatti</v>
      </c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</row>
    <row r="2468" spans="1:26" ht="16.5" x14ac:dyDescent="0.35">
      <c r="A2468" s="2" t="str">
        <f ca="1">IFERROR(__xludf.DUMMYFUNCTION("""COMPUTED_VALUE"""),"Dubai")</f>
        <v>Dubai</v>
      </c>
      <c r="B2468" s="2" t="str">
        <f ca="1">IFERROR(__xludf.DUMMYFUNCTION("""COMPUTED_VALUE"""),"DAMAC Maison Bay's Edge")</f>
        <v>DAMAC Maison Bay's Edge</v>
      </c>
      <c r="C2468" s="2" t="str">
        <f ca="1">IFERROR(__xludf.DUMMYFUNCTION("""COMPUTED_VALUE"""),"Building")</f>
        <v>Building</v>
      </c>
      <c r="D2468" s="2" t="str">
        <f ca="1">IFERROR(__xludf.DUMMYFUNCTION("""COMPUTED_VALUE"""),"Dubai&gt;Business Bay&gt;DAMAC Maison Bay's Edge")</f>
        <v>Dubai&gt;Business Bay&gt;DAMAC Maison Bay's Edge</v>
      </c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</row>
    <row r="2469" spans="1:26" ht="16.5" x14ac:dyDescent="0.35">
      <c r="A2469" s="2" t="str">
        <f ca="1">IFERROR(__xludf.DUMMYFUNCTION("""COMPUTED_VALUE"""),"Dubai")</f>
        <v>Dubai</v>
      </c>
      <c r="B2469" s="2" t="str">
        <f ca="1">IFERROR(__xludf.DUMMYFUNCTION("""COMPUTED_VALUE"""),"District 8T")</f>
        <v>District 8T</v>
      </c>
      <c r="C2469" s="2" t="str">
        <f ca="1">IFERROR(__xludf.DUMMYFUNCTION("""COMPUTED_VALUE"""),"Neighbourhood")</f>
        <v>Neighbourhood</v>
      </c>
      <c r="D2469" s="2" t="str">
        <f ca="1">IFERROR(__xludf.DUMMYFUNCTION("""COMPUTED_VALUE"""),"Dubai&gt;Jumeirah Village Triangle (JVT)&gt;JVT District 8&gt;District 8T")</f>
        <v>Dubai&gt;Jumeirah Village Triangle (JVT)&gt;JVT District 8&gt;District 8T</v>
      </c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</row>
    <row r="2470" spans="1:26" ht="16.5" x14ac:dyDescent="0.35">
      <c r="A2470" s="2" t="str">
        <f ca="1">IFERROR(__xludf.DUMMYFUNCTION("""COMPUTED_VALUE"""),"Dubai")</f>
        <v>Dubai</v>
      </c>
      <c r="B2470" s="2" t="str">
        <f ca="1">IFERROR(__xludf.DUMMYFUNCTION("""COMPUTED_VALUE"""),"District 9B")</f>
        <v>District 9B</v>
      </c>
      <c r="C2470" s="2" t="str">
        <f ca="1">IFERROR(__xludf.DUMMYFUNCTION("""COMPUTED_VALUE"""),"Neighbourhood")</f>
        <v>Neighbourhood</v>
      </c>
      <c r="D2470" s="2" t="str">
        <f ca="1">IFERROR(__xludf.DUMMYFUNCTION("""COMPUTED_VALUE"""),"Dubai&gt;Jumeirah Village Triangle (JVT)&gt;JVT District 9&gt;District 9B")</f>
        <v>Dubai&gt;Jumeirah Village Triangle (JVT)&gt;JVT District 9&gt;District 9B</v>
      </c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</row>
    <row r="2471" spans="1:26" ht="16.5" x14ac:dyDescent="0.35">
      <c r="A2471" s="2" t="str">
        <f ca="1">IFERROR(__xludf.DUMMYFUNCTION("""COMPUTED_VALUE"""),"Dubai")</f>
        <v>Dubai</v>
      </c>
      <c r="B2471" s="2" t="str">
        <f ca="1">IFERROR(__xludf.DUMMYFUNCTION("""COMPUTED_VALUE"""),"Al Burooj Residence I")</f>
        <v>Al Burooj Residence I</v>
      </c>
      <c r="C2471" s="2" t="str">
        <f ca="1">IFERROR(__xludf.DUMMYFUNCTION("""COMPUTED_VALUE"""),"Neighbourhood")</f>
        <v>Neighbourhood</v>
      </c>
      <c r="D2471" s="2" t="str">
        <f ca="1">IFERROR(__xludf.DUMMYFUNCTION("""COMPUTED_VALUE"""),"Dubai&gt;Jumeirah Village Triangle (JVT)&gt;JVT District 6&gt;Al Burooj Residence I")</f>
        <v>Dubai&gt;Jumeirah Village Triangle (JVT)&gt;JVT District 6&gt;Al Burooj Residence I</v>
      </c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</row>
    <row r="2472" spans="1:26" ht="16.5" x14ac:dyDescent="0.35">
      <c r="A2472" s="2" t="str">
        <f ca="1">IFERROR(__xludf.DUMMYFUNCTION("""COMPUTED_VALUE"""),"Dubai")</f>
        <v>Dubai</v>
      </c>
      <c r="B2472" s="2" t="str">
        <f ca="1">IFERROR(__xludf.DUMMYFUNCTION("""COMPUTED_VALUE"""),"Vivid Tower")</f>
        <v>Vivid Tower</v>
      </c>
      <c r="C2472" s="2" t="str">
        <f ca="1">IFERROR(__xludf.DUMMYFUNCTION("""COMPUTED_VALUE"""),"Building")</f>
        <v>Building</v>
      </c>
      <c r="D2472" s="2" t="str">
        <f ca="1">IFERROR(__xludf.DUMMYFUNCTION("""COMPUTED_VALUE"""),"Dubai&gt;Jumeirah Village Triangle (JVT)&gt;JVT District 1&gt;Vivid Tower")</f>
        <v>Dubai&gt;Jumeirah Village Triangle (JVT)&gt;JVT District 1&gt;Vivid Tower</v>
      </c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</row>
    <row r="2473" spans="1:26" ht="16.5" x14ac:dyDescent="0.35">
      <c r="A2473" s="2" t="str">
        <f ca="1">IFERROR(__xludf.DUMMYFUNCTION("""COMPUTED_VALUE"""),"Dubai")</f>
        <v>Dubai</v>
      </c>
      <c r="B2473" s="2" t="str">
        <f ca="1">IFERROR(__xludf.DUMMYFUNCTION("""COMPUTED_VALUE"""),"Azha Millennium Residences")</f>
        <v>Azha Millennium Residences</v>
      </c>
      <c r="C2473" s="2" t="str">
        <f ca="1">IFERROR(__xludf.DUMMYFUNCTION("""COMPUTED_VALUE"""),"Building")</f>
        <v>Building</v>
      </c>
      <c r="D2473" s="2" t="str">
        <f ca="1">IFERROR(__xludf.DUMMYFUNCTION("""COMPUTED_VALUE"""),"Dubai&gt;Jumeirah Village Triangle (JVT)&gt;JVT District 4&gt;Azha Millennium Residences")</f>
        <v>Dubai&gt;Jumeirah Village Triangle (JVT)&gt;JVT District 4&gt;Azha Millennium Residences</v>
      </c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</row>
    <row r="2474" spans="1:26" ht="16.5" x14ac:dyDescent="0.35">
      <c r="A2474" s="2" t="str">
        <f ca="1">IFERROR(__xludf.DUMMYFUNCTION("""COMPUTED_VALUE"""),"Dubai")</f>
        <v>Dubai</v>
      </c>
      <c r="B2474" s="2" t="str">
        <f ca="1">IFERROR(__xludf.DUMMYFUNCTION("""COMPUTED_VALUE"""),"Remraam")</f>
        <v>Remraam</v>
      </c>
      <c r="C2474" s="2" t="str">
        <f ca="1">IFERROR(__xludf.DUMMYFUNCTION("""COMPUTED_VALUE"""),"Neighbourhood")</f>
        <v>Neighbourhood</v>
      </c>
      <c r="D2474" s="2" t="str">
        <f ca="1">IFERROR(__xludf.DUMMYFUNCTION("""COMPUTED_VALUE"""),"Dubai&gt;Remraam")</f>
        <v>Dubai&gt;Remraam</v>
      </c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</row>
    <row r="2475" spans="1:26" ht="16.5" x14ac:dyDescent="0.35">
      <c r="A2475" s="2" t="str">
        <f ca="1">IFERROR(__xludf.DUMMYFUNCTION("""COMPUTED_VALUE"""),"Dubai")</f>
        <v>Dubai</v>
      </c>
      <c r="B2475" s="2" t="str">
        <f ca="1">IFERROR(__xludf.DUMMYFUNCTION("""COMPUTED_VALUE"""),"Al Ramth 07")</f>
        <v>Al Ramth 07</v>
      </c>
      <c r="C2475" s="2" t="str">
        <f ca="1">IFERROR(__xludf.DUMMYFUNCTION("""COMPUTED_VALUE"""),"Building")</f>
        <v>Building</v>
      </c>
      <c r="D2475" s="2" t="str">
        <f ca="1">IFERROR(__xludf.DUMMYFUNCTION("""COMPUTED_VALUE"""),"Dubai&gt;Remraam&gt;Al Ramth&gt;Al Ramth 07")</f>
        <v>Dubai&gt;Remraam&gt;Al Ramth&gt;Al Ramth 07</v>
      </c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</row>
    <row r="2476" spans="1:26" ht="16.5" x14ac:dyDescent="0.35">
      <c r="A2476" s="2" t="str">
        <f ca="1">IFERROR(__xludf.DUMMYFUNCTION("""COMPUTED_VALUE"""),"Dubai")</f>
        <v>Dubai</v>
      </c>
      <c r="B2476" s="2" t="str">
        <f ca="1">IFERROR(__xludf.DUMMYFUNCTION("""COMPUTED_VALUE"""),"Al Thamam 20")</f>
        <v>Al Thamam 20</v>
      </c>
      <c r="C2476" s="2" t="str">
        <f ca="1">IFERROR(__xludf.DUMMYFUNCTION("""COMPUTED_VALUE"""),"Building")</f>
        <v>Building</v>
      </c>
      <c r="D2476" s="2" t="str">
        <f ca="1">IFERROR(__xludf.DUMMYFUNCTION("""COMPUTED_VALUE"""),"Dubai&gt;Remraam&gt;Al Thamam&gt;Al Thamam 20")</f>
        <v>Dubai&gt;Remraam&gt;Al Thamam&gt;Al Thamam 20</v>
      </c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</row>
    <row r="2477" spans="1:26" ht="16.5" x14ac:dyDescent="0.35">
      <c r="A2477" s="2" t="str">
        <f ca="1">IFERROR(__xludf.DUMMYFUNCTION("""COMPUTED_VALUE"""),"Dubai")</f>
        <v>Dubai</v>
      </c>
      <c r="B2477" s="2" t="str">
        <f ca="1">IFERROR(__xludf.DUMMYFUNCTION("""COMPUTED_VALUE"""),"Empire Residence")</f>
        <v>Empire Residence</v>
      </c>
      <c r="C2477" s="2" t="str">
        <f ca="1">IFERROR(__xludf.DUMMYFUNCTION("""COMPUTED_VALUE"""),"Building")</f>
        <v>Building</v>
      </c>
      <c r="D2477" s="2" t="str">
        <f ca="1">IFERROR(__xludf.DUMMYFUNCTION("""COMPUTED_VALUE"""),"Dubai&gt;Jumeirah Village Circle (JVC)&gt;JVC District 17&gt;Empire Residence")</f>
        <v>Dubai&gt;Jumeirah Village Circle (JVC)&gt;JVC District 17&gt;Empire Residence</v>
      </c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</row>
    <row r="2478" spans="1:26" ht="16.5" x14ac:dyDescent="0.35">
      <c r="A2478" s="2" t="str">
        <f ca="1">IFERROR(__xludf.DUMMYFUNCTION("""COMPUTED_VALUE"""),"Dubai")</f>
        <v>Dubai</v>
      </c>
      <c r="B2478" s="2" t="str">
        <f ca="1">IFERROR(__xludf.DUMMYFUNCTION("""COMPUTED_VALUE"""),"Venus 1")</f>
        <v>Venus 1</v>
      </c>
      <c r="C2478" s="2" t="str">
        <f ca="1">IFERROR(__xludf.DUMMYFUNCTION("""COMPUTED_VALUE"""),"Building")</f>
        <v>Building</v>
      </c>
      <c r="D2478" s="2" t="str">
        <f ca="1">IFERROR(__xludf.DUMMYFUNCTION("""COMPUTED_VALUE"""),"Dubai&gt;Jumeirah Village Circle (JVC)&gt;JVC District 12&gt;Venus 1")</f>
        <v>Dubai&gt;Jumeirah Village Circle (JVC)&gt;JVC District 12&gt;Venus 1</v>
      </c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</row>
    <row r="2479" spans="1:26" ht="16.5" x14ac:dyDescent="0.35">
      <c r="A2479" s="2" t="str">
        <f ca="1">IFERROR(__xludf.DUMMYFUNCTION("""COMPUTED_VALUE"""),"Dubai")</f>
        <v>Dubai</v>
      </c>
      <c r="B2479" s="2" t="str">
        <f ca="1">IFERROR(__xludf.DUMMYFUNCTION("""COMPUTED_VALUE"""),"Lavender 2")</f>
        <v>Lavender 2</v>
      </c>
      <c r="C2479" s="2" t="str">
        <f ca="1">IFERROR(__xludf.DUMMYFUNCTION("""COMPUTED_VALUE"""),"Building")</f>
        <v>Building</v>
      </c>
      <c r="D2479" s="2" t="str">
        <f ca="1">IFERROR(__xludf.DUMMYFUNCTION("""COMPUTED_VALUE"""),"Dubai&gt;Jumeirah Village Circle (JVC)&gt;JVC District 12&gt;Emirates Gardens&gt;Lavender 2")</f>
        <v>Dubai&gt;Jumeirah Village Circle (JVC)&gt;JVC District 12&gt;Emirates Gardens&gt;Lavender 2</v>
      </c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</row>
    <row r="2480" spans="1:26" ht="16.5" x14ac:dyDescent="0.35">
      <c r="A2480" s="2" t="str">
        <f ca="1">IFERROR(__xludf.DUMMYFUNCTION("""COMPUTED_VALUE"""),"Dubai")</f>
        <v>Dubai</v>
      </c>
      <c r="B2480" s="2" t="str">
        <f ca="1">IFERROR(__xludf.DUMMYFUNCTION("""COMPUTED_VALUE"""),"Sapphire 32")</f>
        <v>Sapphire 32</v>
      </c>
      <c r="C2480" s="2" t="str">
        <f ca="1">IFERROR(__xludf.DUMMYFUNCTION("""COMPUTED_VALUE"""),"Building")</f>
        <v>Building</v>
      </c>
      <c r="D2480" s="2" t="str">
        <f ca="1">IFERROR(__xludf.DUMMYFUNCTION("""COMPUTED_VALUE"""),"Dubai&gt;Jumeirah Village Circle (JVC)&gt;JVC District 12&gt;Sapphire 32")</f>
        <v>Dubai&gt;Jumeirah Village Circle (JVC)&gt;JVC District 12&gt;Sapphire 32</v>
      </c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</row>
    <row r="2481" spans="1:26" ht="16.5" x14ac:dyDescent="0.35">
      <c r="A2481" s="2" t="str">
        <f ca="1">IFERROR(__xludf.DUMMYFUNCTION("""COMPUTED_VALUE"""),"Dubai")</f>
        <v>Dubai</v>
      </c>
      <c r="B2481" s="2" t="str">
        <f ca="1">IFERROR(__xludf.DUMMYFUNCTION("""COMPUTED_VALUE"""),"Prime Business Centre B")</f>
        <v>Prime Business Centre B</v>
      </c>
      <c r="C2481" s="2" t="str">
        <f ca="1">IFERROR(__xludf.DUMMYFUNCTION("""COMPUTED_VALUE"""),"Building")</f>
        <v>Building</v>
      </c>
      <c r="D2481" s="2" t="str">
        <f ca="1">IFERROR(__xludf.DUMMYFUNCTION("""COMPUTED_VALUE"""),"Dubai&gt;Jumeirah Village Circle (JVC)&gt;JVC District 13&gt;Prime Business Centre&gt;Prime Business Centre B")</f>
        <v>Dubai&gt;Jumeirah Village Circle (JVC)&gt;JVC District 13&gt;Prime Business Centre&gt;Prime Business Centre B</v>
      </c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</row>
    <row r="2482" spans="1:26" ht="16.5" x14ac:dyDescent="0.35">
      <c r="A2482" s="2" t="str">
        <f ca="1">IFERROR(__xludf.DUMMYFUNCTION("""COMPUTED_VALUE"""),"Dubai")</f>
        <v>Dubai</v>
      </c>
      <c r="B2482" s="2" t="str">
        <f ca="1">IFERROR(__xludf.DUMMYFUNCTION("""COMPUTED_VALUE"""),"Westar Reflections")</f>
        <v>Westar Reflections</v>
      </c>
      <c r="C2482" s="2" t="str">
        <f ca="1">IFERROR(__xludf.DUMMYFUNCTION("""COMPUTED_VALUE"""),"Neighbourhood")</f>
        <v>Neighbourhood</v>
      </c>
      <c r="D2482" s="2" t="str">
        <f ca="1">IFERROR(__xludf.DUMMYFUNCTION("""COMPUTED_VALUE"""),"Dubai&gt;Jumeirah Village Circle (JVC)&gt;JVC District 13&gt;Westar Reflections")</f>
        <v>Dubai&gt;Jumeirah Village Circle (JVC)&gt;JVC District 13&gt;Westar Reflections</v>
      </c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</row>
    <row r="2483" spans="1:26" ht="16.5" x14ac:dyDescent="0.35">
      <c r="A2483" s="2" t="str">
        <f ca="1">IFERROR(__xludf.DUMMYFUNCTION("""COMPUTED_VALUE"""),"Dubai")</f>
        <v>Dubai</v>
      </c>
      <c r="B2483" s="2" t="str">
        <f ca="1">IFERROR(__xludf.DUMMYFUNCTION("""COMPUTED_VALUE"""),"Parkwood Villas 1")</f>
        <v>Parkwood Villas 1</v>
      </c>
      <c r="C2483" s="2" t="str">
        <f ca="1">IFERROR(__xludf.DUMMYFUNCTION("""COMPUTED_VALUE"""),"Neighbourhood")</f>
        <v>Neighbourhood</v>
      </c>
      <c r="D2483" s="2" t="str">
        <f ca="1">IFERROR(__xludf.DUMMYFUNCTION("""COMPUTED_VALUE"""),"Dubai&gt;Jumeirah Village Circle (JVC)&gt;JVC District 13&gt;Parkwood Villas 1")</f>
        <v>Dubai&gt;Jumeirah Village Circle (JVC)&gt;JVC District 13&gt;Parkwood Villas 1</v>
      </c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</row>
    <row r="2484" spans="1:26" ht="16.5" x14ac:dyDescent="0.35">
      <c r="A2484" s="2" t="str">
        <f ca="1">IFERROR(__xludf.DUMMYFUNCTION("""COMPUTED_VALUE"""),"Dubai")</f>
        <v>Dubai</v>
      </c>
      <c r="B2484" s="2" t="str">
        <f ca="1">IFERROR(__xludf.DUMMYFUNCTION("""COMPUTED_VALUE"""),"Westwood Grande by Imtiaz")</f>
        <v>Westwood Grande by Imtiaz</v>
      </c>
      <c r="C2484" s="2" t="str">
        <f ca="1">IFERROR(__xludf.DUMMYFUNCTION("""COMPUTED_VALUE"""),"Building")</f>
        <v>Building</v>
      </c>
      <c r="D2484" s="2" t="str">
        <f ca="1">IFERROR(__xludf.DUMMYFUNCTION("""COMPUTED_VALUE"""),"Dubai&gt;Jumeirah Village Circle (JVC)&gt;JVC District 18&gt;Westwood Grande by Imtiaz")</f>
        <v>Dubai&gt;Jumeirah Village Circle (JVC)&gt;JVC District 18&gt;Westwood Grande by Imtiaz</v>
      </c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</row>
    <row r="2485" spans="1:26" ht="16.5" x14ac:dyDescent="0.35">
      <c r="A2485" s="2" t="str">
        <f ca="1">IFERROR(__xludf.DUMMYFUNCTION("""COMPUTED_VALUE"""),"Dubai")</f>
        <v>Dubai</v>
      </c>
      <c r="B2485" s="2" t="str">
        <f ca="1">IFERROR(__xludf.DUMMYFUNCTION("""COMPUTED_VALUE"""),"Aurion Residence")</f>
        <v>Aurion Residence</v>
      </c>
      <c r="C2485" s="2" t="str">
        <f ca="1">IFERROR(__xludf.DUMMYFUNCTION("""COMPUTED_VALUE"""),"Building")</f>
        <v>Building</v>
      </c>
      <c r="D2485" s="2" t="str">
        <f ca="1">IFERROR(__xludf.DUMMYFUNCTION("""COMPUTED_VALUE"""),"Dubai&gt;Jumeirah Village Circle (JVC)&gt;JVC District 10&gt;Aurion Residence")</f>
        <v>Dubai&gt;Jumeirah Village Circle (JVC)&gt;JVC District 10&gt;Aurion Residence</v>
      </c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</row>
    <row r="2486" spans="1:26" ht="16.5" x14ac:dyDescent="0.35">
      <c r="A2486" s="2" t="str">
        <f ca="1">IFERROR(__xludf.DUMMYFUNCTION("""COMPUTED_VALUE"""),"Dubai")</f>
        <v>Dubai</v>
      </c>
      <c r="B2486" s="2" t="str">
        <f ca="1">IFERROR(__xludf.DUMMYFUNCTION("""COMPUTED_VALUE"""),"Siena 2")</f>
        <v>Siena 2</v>
      </c>
      <c r="C2486" s="2" t="str">
        <f ca="1">IFERROR(__xludf.DUMMYFUNCTION("""COMPUTED_VALUE"""),"Building")</f>
        <v>Building</v>
      </c>
      <c r="D2486" s="2" t="str">
        <f ca="1">IFERROR(__xludf.DUMMYFUNCTION("""COMPUTED_VALUE"""),"Dubai&gt;Jumeirah Village Circle (JVC)&gt;JVC District 10&gt;Tuscan Residence&gt;Siena&gt;Siena 2")</f>
        <v>Dubai&gt;Jumeirah Village Circle (JVC)&gt;JVC District 10&gt;Tuscan Residence&gt;Siena&gt;Siena 2</v>
      </c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</row>
    <row r="2487" spans="1:26" ht="16.5" x14ac:dyDescent="0.35">
      <c r="A2487" s="2" t="str">
        <f ca="1">IFERROR(__xludf.DUMMYFUNCTION("""COMPUTED_VALUE"""),"Dubai")</f>
        <v>Dubai</v>
      </c>
      <c r="B2487" s="2" t="str">
        <f ca="1">IFERROR(__xludf.DUMMYFUNCTION("""COMPUTED_VALUE"""),"Stonehenge Residences")</f>
        <v>Stonehenge Residences</v>
      </c>
      <c r="C2487" s="2" t="str">
        <f ca="1">IFERROR(__xludf.DUMMYFUNCTION("""COMPUTED_VALUE"""),"Building")</f>
        <v>Building</v>
      </c>
      <c r="D2487" s="2" t="str">
        <f ca="1">IFERROR(__xludf.DUMMYFUNCTION("""COMPUTED_VALUE"""),"Dubai&gt;Jumeirah Village Circle (JVC)&gt;JVC District 10&gt;Stonehenge Residences")</f>
        <v>Dubai&gt;Jumeirah Village Circle (JVC)&gt;JVC District 10&gt;Stonehenge Residences</v>
      </c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</row>
    <row r="2488" spans="1:26" ht="16.5" x14ac:dyDescent="0.35">
      <c r="A2488" s="2" t="str">
        <f ca="1">IFERROR(__xludf.DUMMYFUNCTION("""COMPUTED_VALUE"""),"Dubai")</f>
        <v>Dubai</v>
      </c>
      <c r="B2488" s="2" t="str">
        <f ca="1">IFERROR(__xludf.DUMMYFUNCTION("""COMPUTED_VALUE"""),"Floarea Skies")</f>
        <v>Floarea Skies</v>
      </c>
      <c r="C2488" s="2" t="str">
        <f ca="1">IFERROR(__xludf.DUMMYFUNCTION("""COMPUTED_VALUE"""),"Building")</f>
        <v>Building</v>
      </c>
      <c r="D2488" s="2" t="str">
        <f ca="1">IFERROR(__xludf.DUMMYFUNCTION("""COMPUTED_VALUE"""),"Dubai&gt;Jumeirah Village Circle (JVC)&gt;JVC District 10&gt;Floarea Skies")</f>
        <v>Dubai&gt;Jumeirah Village Circle (JVC)&gt;JVC District 10&gt;Floarea Skies</v>
      </c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</row>
    <row r="2489" spans="1:26" ht="16.5" x14ac:dyDescent="0.35">
      <c r="A2489" s="2" t="str">
        <f ca="1">IFERROR(__xludf.DUMMYFUNCTION("""COMPUTED_VALUE"""),"Dubai")</f>
        <v>Dubai</v>
      </c>
      <c r="B2489" s="2" t="str">
        <f ca="1">IFERROR(__xludf.DUMMYFUNCTION("""COMPUTED_VALUE"""),"The Vybe")</f>
        <v>The Vybe</v>
      </c>
      <c r="C2489" s="2" t="str">
        <f ca="1">IFERROR(__xludf.DUMMYFUNCTION("""COMPUTED_VALUE"""),"Building")</f>
        <v>Building</v>
      </c>
      <c r="D2489" s="2" t="str">
        <f ca="1">IFERROR(__xludf.DUMMYFUNCTION("""COMPUTED_VALUE"""),"Dubai&gt;Jumeirah Village Circle (JVC)&gt;JVC District 16&gt;The Vybe")</f>
        <v>Dubai&gt;Jumeirah Village Circle (JVC)&gt;JVC District 16&gt;The Vybe</v>
      </c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</row>
    <row r="2490" spans="1:26" ht="16.5" x14ac:dyDescent="0.35">
      <c r="A2490" s="2" t="str">
        <f ca="1">IFERROR(__xludf.DUMMYFUNCTION("""COMPUTED_VALUE"""),"Dubai")</f>
        <v>Dubai</v>
      </c>
      <c r="B2490" s="2" t="str">
        <f ca="1">IFERROR(__xludf.DUMMYFUNCTION("""COMPUTED_VALUE"""),"Oxford Boulevard")</f>
        <v>Oxford Boulevard</v>
      </c>
      <c r="C2490" s="2" t="str">
        <f ca="1">IFERROR(__xludf.DUMMYFUNCTION("""COMPUTED_VALUE"""),"Building")</f>
        <v>Building</v>
      </c>
      <c r="D2490" s="2" t="str">
        <f ca="1">IFERROR(__xludf.DUMMYFUNCTION("""COMPUTED_VALUE"""),"Dubai&gt;Jumeirah Village Circle (JVC)&gt;JVC District 15&gt;Oxford Boulevard")</f>
        <v>Dubai&gt;Jumeirah Village Circle (JVC)&gt;JVC District 15&gt;Oxford Boulevard</v>
      </c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</row>
    <row r="2491" spans="1:26" ht="16.5" x14ac:dyDescent="0.35">
      <c r="A2491" s="2" t="str">
        <f ca="1">IFERROR(__xludf.DUMMYFUNCTION("""COMPUTED_VALUE"""),"Dubai")</f>
        <v>Dubai</v>
      </c>
      <c r="B2491" s="2" t="str">
        <f ca="1">IFERROR(__xludf.DUMMYFUNCTION("""COMPUTED_VALUE"""),"Beverly Residence 2")</f>
        <v>Beverly Residence 2</v>
      </c>
      <c r="C2491" s="2" t="str">
        <f ca="1">IFERROR(__xludf.DUMMYFUNCTION("""COMPUTED_VALUE"""),"Building")</f>
        <v>Building</v>
      </c>
      <c r="D2491" s="2" t="str">
        <f ca="1">IFERROR(__xludf.DUMMYFUNCTION("""COMPUTED_VALUE"""),"Dubai&gt;Jumeirah Village Circle (JVC)&gt;JVC District 15&gt;Beverly Residence 2")</f>
        <v>Dubai&gt;Jumeirah Village Circle (JVC)&gt;JVC District 15&gt;Beverly Residence 2</v>
      </c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</row>
    <row r="2492" spans="1:26" ht="16.5" x14ac:dyDescent="0.35">
      <c r="A2492" s="2" t="str">
        <f ca="1">IFERROR(__xludf.DUMMYFUNCTION("""COMPUTED_VALUE"""),"Dubai")</f>
        <v>Dubai</v>
      </c>
      <c r="B2492" s="2" t="str">
        <f ca="1">IFERROR(__xludf.DUMMYFUNCTION("""COMPUTED_VALUE"""),"Al Amir Villas")</f>
        <v>Al Amir Villas</v>
      </c>
      <c r="C2492" s="2" t="str">
        <f ca="1">IFERROR(__xludf.DUMMYFUNCTION("""COMPUTED_VALUE"""),"Neighbourhood")</f>
        <v>Neighbourhood</v>
      </c>
      <c r="D2492" s="2" t="str">
        <f ca="1">IFERROR(__xludf.DUMMYFUNCTION("""COMPUTED_VALUE"""),"Dubai&gt;Jumeirah Village Circle (JVC)&gt;JVC District 11&gt;Al Amir Villas")</f>
        <v>Dubai&gt;Jumeirah Village Circle (JVC)&gt;JVC District 11&gt;Al Amir Villas</v>
      </c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</row>
    <row r="2493" spans="1:26" ht="16.5" x14ac:dyDescent="0.35">
      <c r="A2493" s="2" t="str">
        <f ca="1">IFERROR(__xludf.DUMMYFUNCTION("""COMPUTED_VALUE"""),"Dubai")</f>
        <v>Dubai</v>
      </c>
      <c r="B2493" s="2" t="str">
        <f ca="1">IFERROR(__xludf.DUMMYFUNCTION("""COMPUTED_VALUE"""),"Maison VI")</f>
        <v>Maison VI</v>
      </c>
      <c r="C2493" s="2" t="str">
        <f ca="1">IFERROR(__xludf.DUMMYFUNCTION("""COMPUTED_VALUE"""),"Building")</f>
        <v>Building</v>
      </c>
      <c r="D2493" s="2" t="str">
        <f ca="1">IFERROR(__xludf.DUMMYFUNCTION("""COMPUTED_VALUE"""),"Dubai&gt;Jumeirah Village Circle (JVC)&gt;JVC District 11&gt;Maison VI")</f>
        <v>Dubai&gt;Jumeirah Village Circle (JVC)&gt;JVC District 11&gt;Maison VI</v>
      </c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</row>
    <row r="2494" spans="1:26" ht="16.5" x14ac:dyDescent="0.35">
      <c r="A2494" s="2" t="str">
        <f ca="1">IFERROR(__xludf.DUMMYFUNCTION("""COMPUTED_VALUE"""),"Dubai")</f>
        <v>Dubai</v>
      </c>
      <c r="B2494" s="2" t="str">
        <f ca="1">IFERROR(__xludf.DUMMYFUNCTION("""COMPUTED_VALUE"""),"Roma Residences by JRP")</f>
        <v>Roma Residences by JRP</v>
      </c>
      <c r="C2494" s="2" t="str">
        <f ca="1">IFERROR(__xludf.DUMMYFUNCTION("""COMPUTED_VALUE"""),"Building")</f>
        <v>Building</v>
      </c>
      <c r="D2494" s="2" t="str">
        <f ca="1">IFERROR(__xludf.DUMMYFUNCTION("""COMPUTED_VALUE"""),"Dubai&gt;Jumeirah Village Circle (JVC)&gt;JVC District 11&gt;Roma Residences by JRP")</f>
        <v>Dubai&gt;Jumeirah Village Circle (JVC)&gt;JVC District 11&gt;Roma Residences by JRP</v>
      </c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</row>
    <row r="2495" spans="1:26" ht="16.5" x14ac:dyDescent="0.35">
      <c r="A2495" s="2" t="str">
        <f ca="1">IFERROR(__xludf.DUMMYFUNCTION("""COMPUTED_VALUE"""),"Dubai")</f>
        <v>Dubai</v>
      </c>
      <c r="B2495" s="2" t="str">
        <f ca="1">IFERROR(__xludf.DUMMYFUNCTION("""COMPUTED_VALUE"""),"Ibis Jumeirah Village Circle")</f>
        <v>Ibis Jumeirah Village Circle</v>
      </c>
      <c r="C2495" s="2" t="str">
        <f ca="1">IFERROR(__xludf.DUMMYFUNCTION("""COMPUTED_VALUE"""),"Building")</f>
        <v>Building</v>
      </c>
      <c r="D2495" s="2" t="str">
        <f ca="1">IFERROR(__xludf.DUMMYFUNCTION("""COMPUTED_VALUE"""),"Dubai&gt;Jumeirah Village Circle (JVC)&gt;JVC District 11&gt;Ibis Jumeirah Village Circle")</f>
        <v>Dubai&gt;Jumeirah Village Circle (JVC)&gt;JVC District 11&gt;Ibis Jumeirah Village Circle</v>
      </c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</row>
    <row r="2496" spans="1:26" ht="16.5" x14ac:dyDescent="0.35">
      <c r="A2496" s="2" t="str">
        <f ca="1">IFERROR(__xludf.DUMMYFUNCTION("""COMPUTED_VALUE"""),"Dubai")</f>
        <v>Dubai</v>
      </c>
      <c r="B2496" s="2" t="str">
        <f ca="1">IFERROR(__xludf.DUMMYFUNCTION("""COMPUTED_VALUE"""),"Heilbronn Villas")</f>
        <v>Heilbronn Villas</v>
      </c>
      <c r="C2496" s="2" t="str">
        <f ca="1">IFERROR(__xludf.DUMMYFUNCTION("""COMPUTED_VALUE"""),"Neighbourhood")</f>
        <v>Neighbourhood</v>
      </c>
      <c r="D2496" s="2" t="str">
        <f ca="1">IFERROR(__xludf.DUMMYFUNCTION("""COMPUTED_VALUE"""),"Dubai&gt;Jumeirah Village Circle (JVC)&gt;JVC District 14&gt;Heilbronn Villas")</f>
        <v>Dubai&gt;Jumeirah Village Circle (JVC)&gt;JVC District 14&gt;Heilbronn Villas</v>
      </c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</row>
    <row r="2497" spans="1:26" ht="16.5" x14ac:dyDescent="0.35">
      <c r="A2497" s="2" t="str">
        <f ca="1">IFERROR(__xludf.DUMMYFUNCTION("""COMPUTED_VALUE"""),"Dubai")</f>
        <v>Dubai</v>
      </c>
      <c r="B2497" s="2" t="str">
        <f ca="1">IFERROR(__xludf.DUMMYFUNCTION("""COMPUTED_VALUE"""),"Aintree Townhouses")</f>
        <v>Aintree Townhouses</v>
      </c>
      <c r="C2497" s="2" t="str">
        <f ca="1">IFERROR(__xludf.DUMMYFUNCTION("""COMPUTED_VALUE"""),"Neighbourhood")</f>
        <v>Neighbourhood</v>
      </c>
      <c r="D2497" s="2" t="str">
        <f ca="1">IFERROR(__xludf.DUMMYFUNCTION("""COMPUTED_VALUE"""),"Dubai&gt;Jumeirah Village Circle (JVC)&gt;JVC District 14&gt;Aintree Townhouses")</f>
        <v>Dubai&gt;Jumeirah Village Circle (JVC)&gt;JVC District 14&gt;Aintree Townhouses</v>
      </c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</row>
    <row r="2498" spans="1:26" ht="16.5" x14ac:dyDescent="0.35">
      <c r="A2498" s="2" t="str">
        <f ca="1">IFERROR(__xludf.DUMMYFUNCTION("""COMPUTED_VALUE"""),"Dubai")</f>
        <v>Dubai</v>
      </c>
      <c r="B2498" s="2" t="str">
        <f ca="1">IFERROR(__xludf.DUMMYFUNCTION("""COMPUTED_VALUE"""),"Nuaimi Residence")</f>
        <v>Nuaimi Residence</v>
      </c>
      <c r="C2498" s="2" t="str">
        <f ca="1">IFERROR(__xludf.DUMMYFUNCTION("""COMPUTED_VALUE"""),"Building")</f>
        <v>Building</v>
      </c>
      <c r="D2498" s="2" t="str">
        <f ca="1">IFERROR(__xludf.DUMMYFUNCTION("""COMPUTED_VALUE"""),"Dubai&gt;Dubai Land Residence Complex&gt;Nuaimi Residence")</f>
        <v>Dubai&gt;Dubai Land Residence Complex&gt;Nuaimi Residence</v>
      </c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</row>
    <row r="2499" spans="1:26" ht="16.5" x14ac:dyDescent="0.35">
      <c r="A2499" s="2" t="str">
        <f ca="1">IFERROR(__xludf.DUMMYFUNCTION("""COMPUTED_VALUE"""),"Dubai")</f>
        <v>Dubai</v>
      </c>
      <c r="B2499" s="2" t="str">
        <f ca="1">IFERROR(__xludf.DUMMYFUNCTION("""COMPUTED_VALUE"""),"Phoenix Tower")</f>
        <v>Phoenix Tower</v>
      </c>
      <c r="C2499" s="2" t="str">
        <f ca="1">IFERROR(__xludf.DUMMYFUNCTION("""COMPUTED_VALUE"""),"Building")</f>
        <v>Building</v>
      </c>
      <c r="D2499" s="2" t="str">
        <f ca="1">IFERROR(__xludf.DUMMYFUNCTION("""COMPUTED_VALUE"""),"Dubai&gt;Dubai Land Residence Complex&gt;Phoenix Tower")</f>
        <v>Dubai&gt;Dubai Land Residence Complex&gt;Phoenix Tower</v>
      </c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</row>
    <row r="2500" spans="1:26" ht="16.5" x14ac:dyDescent="0.35">
      <c r="A2500" s="2" t="str">
        <f ca="1">IFERROR(__xludf.DUMMYFUNCTION("""COMPUTED_VALUE"""),"Dubai")</f>
        <v>Dubai</v>
      </c>
      <c r="B2500" s="2" t="str">
        <f ca="1">IFERROR(__xludf.DUMMYFUNCTION("""COMPUTED_VALUE"""),"Etlala Residence 2")</f>
        <v>Etlala Residence 2</v>
      </c>
      <c r="C2500" s="2" t="str">
        <f ca="1">IFERROR(__xludf.DUMMYFUNCTION("""COMPUTED_VALUE"""),"Building")</f>
        <v>Building</v>
      </c>
      <c r="D2500" s="2" t="str">
        <f ca="1">IFERROR(__xludf.DUMMYFUNCTION("""COMPUTED_VALUE"""),"Dubai&gt;Dubai Land Residence Complex&gt;Etlala Residence 2")</f>
        <v>Dubai&gt;Dubai Land Residence Complex&gt;Etlala Residence 2</v>
      </c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</row>
    <row r="2501" spans="1:26" ht="16.5" x14ac:dyDescent="0.35">
      <c r="A2501" s="2" t="str">
        <f ca="1">IFERROR(__xludf.DUMMYFUNCTION("""COMPUTED_VALUE"""),"Dubai")</f>
        <v>Dubai</v>
      </c>
      <c r="B2501" s="2" t="str">
        <f ca="1">IFERROR(__xludf.DUMMYFUNCTION("""COMPUTED_VALUE"""),"AG Ark Tower")</f>
        <v>AG Ark Tower</v>
      </c>
      <c r="C2501" s="2" t="str">
        <f ca="1">IFERROR(__xludf.DUMMYFUNCTION("""COMPUTED_VALUE"""),"Building")</f>
        <v>Building</v>
      </c>
      <c r="D2501" s="2" t="str">
        <f ca="1">IFERROR(__xludf.DUMMYFUNCTION("""COMPUTED_VALUE"""),"Dubai&gt;Dubai Land Residence Complex&gt;AG Ark Tower")</f>
        <v>Dubai&gt;Dubai Land Residence Complex&gt;AG Ark Tower</v>
      </c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</row>
    <row r="2502" spans="1:26" ht="16.5" x14ac:dyDescent="0.35">
      <c r="A2502" s="2" t="str">
        <f ca="1">IFERROR(__xludf.DUMMYFUNCTION("""COMPUTED_VALUE"""),"Dubai")</f>
        <v>Dubai</v>
      </c>
      <c r="B2502" s="2" t="str">
        <f ca="1">IFERROR(__xludf.DUMMYFUNCTION("""COMPUTED_VALUE"""),"Coventry Gardens 2")</f>
        <v>Coventry Gardens 2</v>
      </c>
      <c r="C2502" s="2" t="str">
        <f ca="1">IFERROR(__xludf.DUMMYFUNCTION("""COMPUTED_VALUE"""),"Building")</f>
        <v>Building</v>
      </c>
      <c r="D2502" s="2" t="str">
        <f ca="1">IFERROR(__xludf.DUMMYFUNCTION("""COMPUTED_VALUE"""),"Dubai&gt;Dubai Land Residence Complex&gt;Coventry Gardens 2")</f>
        <v>Dubai&gt;Dubai Land Residence Complex&gt;Coventry Gardens 2</v>
      </c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</row>
    <row r="2503" spans="1:26" ht="16.5" x14ac:dyDescent="0.35">
      <c r="A2503" s="2" t="str">
        <f ca="1">IFERROR(__xludf.DUMMYFUNCTION("""COMPUTED_VALUE"""),"Dubai")</f>
        <v>Dubai</v>
      </c>
      <c r="B2503" s="2" t="str">
        <f ca="1">IFERROR(__xludf.DUMMYFUNCTION("""COMPUTED_VALUE"""),"Mushrif Village")</f>
        <v>Mushrif Village</v>
      </c>
      <c r="C2503" s="2" t="str">
        <f ca="1">IFERROR(__xludf.DUMMYFUNCTION("""COMPUTED_VALUE"""),"Neighbourhood")</f>
        <v>Neighbourhood</v>
      </c>
      <c r="D2503" s="2" t="str">
        <f ca="1">IFERROR(__xludf.DUMMYFUNCTION("""COMPUTED_VALUE"""),"Dubai&gt;Mirdif&gt;Mushrif Village")</f>
        <v>Dubai&gt;Mirdif&gt;Mushrif Village</v>
      </c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</row>
    <row r="2504" spans="1:26" ht="16.5" x14ac:dyDescent="0.35">
      <c r="A2504" s="2" t="str">
        <f ca="1">IFERROR(__xludf.DUMMYFUNCTION("""COMPUTED_VALUE"""),"Dubai")</f>
        <v>Dubai</v>
      </c>
      <c r="B2504" s="2" t="str">
        <f ca="1">IFERROR(__xludf.DUMMYFUNCTION("""COMPUTED_VALUE"""),"Mirdif City Center")</f>
        <v>Mirdif City Center</v>
      </c>
      <c r="C2504" s="2" t="str">
        <f ca="1">IFERROR(__xludf.DUMMYFUNCTION("""COMPUTED_VALUE"""),"Building")</f>
        <v>Building</v>
      </c>
      <c r="D2504" s="2" t="str">
        <f ca="1">IFERROR(__xludf.DUMMYFUNCTION("""COMPUTED_VALUE"""),"Dubai&gt;Mirdif&gt;Mirdif City Center")</f>
        <v>Dubai&gt;Mirdif&gt;Mirdif City Center</v>
      </c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</row>
    <row r="2505" spans="1:26" ht="16.5" x14ac:dyDescent="0.35">
      <c r="A2505" s="2" t="str">
        <f ca="1">IFERROR(__xludf.DUMMYFUNCTION("""COMPUTED_VALUE"""),"Dubai")</f>
        <v>Dubai</v>
      </c>
      <c r="B2505" s="2" t="str">
        <f ca="1">IFERROR(__xludf.DUMMYFUNCTION("""COMPUTED_VALUE"""),"Deema 4")</f>
        <v>Deema 4</v>
      </c>
      <c r="C2505" s="2" t="str">
        <f ca="1">IFERROR(__xludf.DUMMYFUNCTION("""COMPUTED_VALUE"""),"Neighbourhood")</f>
        <v>Neighbourhood</v>
      </c>
      <c r="D2505" s="2" t="str">
        <f ca="1">IFERROR(__xludf.DUMMYFUNCTION("""COMPUTED_VALUE"""),"Dubai&gt;The Lakes&gt;Deema&gt;Deema 4")</f>
        <v>Dubai&gt;The Lakes&gt;Deema&gt;Deema 4</v>
      </c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</row>
    <row r="2506" spans="1:26" ht="16.5" x14ac:dyDescent="0.35">
      <c r="A2506" s="2" t="str">
        <f ca="1">IFERROR(__xludf.DUMMYFUNCTION("""COMPUTED_VALUE"""),"Dubai")</f>
        <v>Dubai</v>
      </c>
      <c r="B2506" s="2" t="str">
        <f ca="1">IFERROR(__xludf.DUMMYFUNCTION("""COMPUTED_VALUE"""),"UAE Enterprises Building")</f>
        <v>UAE Enterprises Building</v>
      </c>
      <c r="C2506" s="2" t="str">
        <f ca="1">IFERROR(__xludf.DUMMYFUNCTION("""COMPUTED_VALUE"""),"Building")</f>
        <v>Building</v>
      </c>
      <c r="D2506" s="2" t="str">
        <f ca="1">IFERROR(__xludf.DUMMYFUNCTION("""COMPUTED_VALUE"""),"Dubai&gt;Al Garhoud&gt;Airport Road Area&gt;UAE Enterprises Building")</f>
        <v>Dubai&gt;Al Garhoud&gt;Airport Road Area&gt;UAE Enterprises Building</v>
      </c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</row>
    <row r="2507" spans="1:26" ht="16.5" x14ac:dyDescent="0.35">
      <c r="A2507" s="2" t="str">
        <f ca="1">IFERROR(__xludf.DUMMYFUNCTION("""COMPUTED_VALUE"""),"Dubai")</f>
        <v>Dubai</v>
      </c>
      <c r="B2507" s="2" t="str">
        <f ca="1">IFERROR(__xludf.DUMMYFUNCTION("""COMPUTED_VALUE"""),"Red Avenue")</f>
        <v>Red Avenue</v>
      </c>
      <c r="C2507" s="2" t="str">
        <f ca="1">IFERROR(__xludf.DUMMYFUNCTION("""COMPUTED_VALUE"""),"Building")</f>
        <v>Building</v>
      </c>
      <c r="D2507" s="2" t="str">
        <f ca="1">IFERROR(__xludf.DUMMYFUNCTION("""COMPUTED_VALUE"""),"Dubai&gt;Al Garhoud&gt;Red Avenue")</f>
        <v>Dubai&gt;Al Garhoud&gt;Red Avenue</v>
      </c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</row>
    <row r="2508" spans="1:26" ht="16.5" x14ac:dyDescent="0.35">
      <c r="A2508" s="2" t="str">
        <f ca="1">IFERROR(__xludf.DUMMYFUNCTION("""COMPUTED_VALUE"""),"Dubai")</f>
        <v>Dubai</v>
      </c>
      <c r="B2508" s="2" t="str">
        <f ca="1">IFERROR(__xludf.DUMMYFUNCTION("""COMPUTED_VALUE"""),"Amna House")</f>
        <v>Amna House</v>
      </c>
      <c r="C2508" s="2" t="str">
        <f ca="1">IFERROR(__xludf.DUMMYFUNCTION("""COMPUTED_VALUE"""),"Building")</f>
        <v>Building</v>
      </c>
      <c r="D2508" s="2" t="str">
        <f ca="1">IFERROR(__xludf.DUMMYFUNCTION("""COMPUTED_VALUE"""),"Dubai&gt;Al Garhoud&gt;Amna House")</f>
        <v>Dubai&gt;Al Garhoud&gt;Amna House</v>
      </c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</row>
    <row r="2509" spans="1:26" ht="16.5" x14ac:dyDescent="0.35">
      <c r="A2509" s="2" t="str">
        <f ca="1">IFERROR(__xludf.DUMMYFUNCTION("""COMPUTED_VALUE"""),"Dubai")</f>
        <v>Dubai</v>
      </c>
      <c r="B2509" s="2" t="str">
        <f ca="1">IFERROR(__xludf.DUMMYFUNCTION("""COMPUTED_VALUE"""),"Hercules Tower")</f>
        <v>Hercules Tower</v>
      </c>
      <c r="C2509" s="2" t="str">
        <f ca="1">IFERROR(__xludf.DUMMYFUNCTION("""COMPUTED_VALUE"""),"Building")</f>
        <v>Building</v>
      </c>
      <c r="D2509" s="2" t="str">
        <f ca="1">IFERROR(__xludf.DUMMYFUNCTION("""COMPUTED_VALUE"""),"Dubai&gt;Living Legends&gt;Hercules Tower")</f>
        <v>Dubai&gt;Living Legends&gt;Hercules Tower</v>
      </c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</row>
    <row r="2510" spans="1:26" ht="16.5" x14ac:dyDescent="0.35">
      <c r="A2510" s="2" t="str">
        <f ca="1">IFERROR(__xludf.DUMMYFUNCTION("""COMPUTED_VALUE"""),"Dubai")</f>
        <v>Dubai</v>
      </c>
      <c r="B2510" s="2" t="str">
        <f ca="1">IFERROR(__xludf.DUMMYFUNCTION("""COMPUTED_VALUE"""),"Shaikha Mhara Al Qusais Building")</f>
        <v>Shaikha Mhara Al Qusais Building</v>
      </c>
      <c r="C2510" s="2" t="str">
        <f ca="1">IFERROR(__xludf.DUMMYFUNCTION("""COMPUTED_VALUE"""),"Building")</f>
        <v>Building</v>
      </c>
      <c r="D2510" s="2" t="str">
        <f ca="1">IFERROR(__xludf.DUMMYFUNCTION("""COMPUTED_VALUE"""),"Dubai&gt;Al Qusais&gt;Al Qusais Residential Area&gt;Al Qusais 2&gt;Shaikha Mhara Al Qusais Building")</f>
        <v>Dubai&gt;Al Qusais&gt;Al Qusais Residential Area&gt;Al Qusais 2&gt;Shaikha Mhara Al Qusais Building</v>
      </c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</row>
    <row r="2511" spans="1:26" ht="16.5" x14ac:dyDescent="0.35">
      <c r="A2511" s="2" t="str">
        <f ca="1">IFERROR(__xludf.DUMMYFUNCTION("""COMPUTED_VALUE"""),"Dubai")</f>
        <v>Dubai</v>
      </c>
      <c r="B2511" s="2" t="str">
        <f ca="1">IFERROR(__xludf.DUMMYFUNCTION("""COMPUTED_VALUE"""),"Rainbow Residences")</f>
        <v>Rainbow Residences</v>
      </c>
      <c r="C2511" s="2" t="str">
        <f ca="1">IFERROR(__xludf.DUMMYFUNCTION("""COMPUTED_VALUE"""),"Cluster")</f>
        <v>Cluster</v>
      </c>
      <c r="D2511" s="2" t="str">
        <f ca="1">IFERROR(__xludf.DUMMYFUNCTION("""COMPUTED_VALUE"""),"Dubai&gt;Al Qusais&gt;Al Qusais Residential Area&gt;Al Qusais 1&gt;Rainbow Residences")</f>
        <v>Dubai&gt;Al Qusais&gt;Al Qusais Residential Area&gt;Al Qusais 1&gt;Rainbow Residences</v>
      </c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</row>
    <row r="2512" spans="1:26" ht="16.5" x14ac:dyDescent="0.35">
      <c r="A2512" s="2" t="str">
        <f ca="1">IFERROR(__xludf.DUMMYFUNCTION("""COMPUTED_VALUE"""),"Dubai")</f>
        <v>Dubai</v>
      </c>
      <c r="B2512" s="2" t="str">
        <f ca="1">IFERROR(__xludf.DUMMYFUNCTION("""COMPUTED_VALUE"""),"Al Qusais Industrial Area")</f>
        <v>Al Qusais Industrial Area</v>
      </c>
      <c r="C2512" s="2" t="str">
        <f ca="1">IFERROR(__xludf.DUMMYFUNCTION("""COMPUTED_VALUE"""),"Neighbourhood")</f>
        <v>Neighbourhood</v>
      </c>
      <c r="D2512" s="2" t="str">
        <f ca="1">IFERROR(__xludf.DUMMYFUNCTION("""COMPUTED_VALUE"""),"Dubai&gt;Al Qusais&gt;Al Qusais Industrial Area")</f>
        <v>Dubai&gt;Al Qusais&gt;Al Qusais Industrial Area</v>
      </c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</row>
    <row r="2513" spans="1:26" ht="16.5" x14ac:dyDescent="0.35">
      <c r="A2513" s="2" t="str">
        <f ca="1">IFERROR(__xludf.DUMMYFUNCTION("""COMPUTED_VALUE"""),"Dubai")</f>
        <v>Dubai</v>
      </c>
      <c r="B2513" s="2" t="str">
        <f ca="1">IFERROR(__xludf.DUMMYFUNCTION("""COMPUTED_VALUE"""),"Al Zarouni Building")</f>
        <v>Al Zarouni Building</v>
      </c>
      <c r="C2513" s="2" t="str">
        <f ca="1">IFERROR(__xludf.DUMMYFUNCTION("""COMPUTED_VALUE"""),"Building")</f>
        <v>Building</v>
      </c>
      <c r="D2513" s="2" t="str">
        <f ca="1">IFERROR(__xludf.DUMMYFUNCTION("""COMPUTED_VALUE"""),"Dubai&gt;Al Qusais&gt;Al Qusais Industrial Area&gt;Al Qusais Industrial 2&gt;Al Zarouni Building")</f>
        <v>Dubai&gt;Al Qusais&gt;Al Qusais Industrial Area&gt;Al Qusais Industrial 2&gt;Al Zarouni Building</v>
      </c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</row>
    <row r="2514" spans="1:26" ht="16.5" x14ac:dyDescent="0.35">
      <c r="A2514" s="2" t="str">
        <f ca="1">IFERROR(__xludf.DUMMYFUNCTION("""COMPUTED_VALUE"""),"Dubai")</f>
        <v>Dubai</v>
      </c>
      <c r="B2514" s="2" t="str">
        <f ca="1">IFERROR(__xludf.DUMMYFUNCTION("""COMPUTED_VALUE"""),"Palace Residence Building 1")</f>
        <v>Palace Residence Building 1</v>
      </c>
      <c r="C2514" s="2" t="str">
        <f ca="1">IFERROR(__xludf.DUMMYFUNCTION("""COMPUTED_VALUE"""),"Building")</f>
        <v>Building</v>
      </c>
      <c r="D2514" s="2" t="str">
        <f ca="1">IFERROR(__xludf.DUMMYFUNCTION("""COMPUTED_VALUE"""),"Dubai&gt;Dubai Hills Estate&gt;Park Heights&gt;Palace Residences&gt;Palace Residence Building 1")</f>
        <v>Dubai&gt;Dubai Hills Estate&gt;Park Heights&gt;Palace Residences&gt;Palace Residence Building 1</v>
      </c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</row>
    <row r="2515" spans="1:26" ht="16.5" x14ac:dyDescent="0.35">
      <c r="A2515" s="2" t="str">
        <f ca="1">IFERROR(__xludf.DUMMYFUNCTION("""COMPUTED_VALUE"""),"Dubai")</f>
        <v>Dubai</v>
      </c>
      <c r="B2515" s="2" t="str">
        <f ca="1">IFERROR(__xludf.DUMMYFUNCTION("""COMPUTED_VALUE"""),"Gardenia Block A")</f>
        <v>Gardenia Block A</v>
      </c>
      <c r="C2515" s="2" t="str">
        <f ca="1">IFERROR(__xludf.DUMMYFUNCTION("""COMPUTED_VALUE"""),"Building")</f>
        <v>Building</v>
      </c>
      <c r="D2515" s="2" t="str">
        <f ca="1">IFERROR(__xludf.DUMMYFUNCTION("""COMPUTED_VALUE"""),"Dubai&gt;Dubai Hills Estate&gt;Gardenia Residence&gt;Gardenia Block A")</f>
        <v>Dubai&gt;Dubai Hills Estate&gt;Gardenia Residence&gt;Gardenia Block A</v>
      </c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</row>
    <row r="2516" spans="1:26" ht="16.5" x14ac:dyDescent="0.35">
      <c r="A2516" s="2" t="str">
        <f ca="1">IFERROR(__xludf.DUMMYFUNCTION("""COMPUTED_VALUE"""),"Dubai")</f>
        <v>Dubai</v>
      </c>
      <c r="B2516" s="2" t="str">
        <f ca="1">IFERROR(__xludf.DUMMYFUNCTION("""COMPUTED_VALUE"""),"Park Horizon Tower 2")</f>
        <v>Park Horizon Tower 2</v>
      </c>
      <c r="C2516" s="2" t="str">
        <f ca="1">IFERROR(__xludf.DUMMYFUNCTION("""COMPUTED_VALUE"""),"Building")</f>
        <v>Building</v>
      </c>
      <c r="D2516" s="2" t="str">
        <f ca="1">IFERROR(__xludf.DUMMYFUNCTION("""COMPUTED_VALUE"""),"Dubai&gt;Dubai Hills Estate&gt;Park Horizon&gt;Park Horizon Tower 2")</f>
        <v>Dubai&gt;Dubai Hills Estate&gt;Park Horizon&gt;Park Horizon Tower 2</v>
      </c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</row>
    <row r="2517" spans="1:26" ht="16.5" x14ac:dyDescent="0.35">
      <c r="A2517" s="2" t="str">
        <f ca="1">IFERROR(__xludf.DUMMYFUNCTION("""COMPUTED_VALUE"""),"Dubai")</f>
        <v>Dubai</v>
      </c>
      <c r="B2517" s="2" t="str">
        <f ca="1">IFERROR(__xludf.DUMMYFUNCTION("""COMPUTED_VALUE"""),"Park Lane Building 2")</f>
        <v>Park Lane Building 2</v>
      </c>
      <c r="C2517" s="2" t="str">
        <f ca="1">IFERROR(__xludf.DUMMYFUNCTION("""COMPUTED_VALUE"""),"Building")</f>
        <v>Building</v>
      </c>
      <c r="D2517" s="2" t="str">
        <f ca="1">IFERROR(__xludf.DUMMYFUNCTION("""COMPUTED_VALUE"""),"Dubai&gt;Dubai Hills Estate&gt;Park Lane&gt;Park Lane Building 2")</f>
        <v>Dubai&gt;Dubai Hills Estate&gt;Park Lane&gt;Park Lane Building 2</v>
      </c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</row>
    <row r="2518" spans="1:26" ht="16.5" x14ac:dyDescent="0.35">
      <c r="A2518" s="2" t="str">
        <f ca="1">IFERROR(__xludf.DUMMYFUNCTION("""COMPUTED_VALUE"""),"Dubai")</f>
        <v>Dubai</v>
      </c>
      <c r="B2518" s="2" t="str">
        <f ca="1">IFERROR(__xludf.DUMMYFUNCTION("""COMPUTED_VALUE"""),"Swissotel Living Al Ghurair")</f>
        <v>Swissotel Living Al Ghurair</v>
      </c>
      <c r="C2518" s="2" t="str">
        <f ca="1">IFERROR(__xludf.DUMMYFUNCTION("""COMPUTED_VALUE"""),"Building")</f>
        <v>Building</v>
      </c>
      <c r="D2518" s="2" t="str">
        <f ca="1">IFERROR(__xludf.DUMMYFUNCTION("""COMPUTED_VALUE"""),"Dubai&gt;Deira&gt;Al Muraqqabat&gt;Swissotel Living Al Ghurair")</f>
        <v>Dubai&gt;Deira&gt;Al Muraqqabat&gt;Swissotel Living Al Ghurair</v>
      </c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</row>
    <row r="2519" spans="1:26" ht="16.5" x14ac:dyDescent="0.35">
      <c r="A2519" s="2" t="str">
        <f ca="1">IFERROR(__xludf.DUMMYFUNCTION("""COMPUTED_VALUE"""),"Dubai")</f>
        <v>Dubai</v>
      </c>
      <c r="B2519" s="2" t="str">
        <f ca="1">IFERROR(__xludf.DUMMYFUNCTION("""COMPUTED_VALUE"""),"Juma Al Majid Block D")</f>
        <v>Juma Al Majid Block D</v>
      </c>
      <c r="C2519" s="2" t="str">
        <f ca="1">IFERROR(__xludf.DUMMYFUNCTION("""COMPUTED_VALUE"""),"Building")</f>
        <v>Building</v>
      </c>
      <c r="D2519" s="2" t="str">
        <f ca="1">IFERROR(__xludf.DUMMYFUNCTION("""COMPUTED_VALUE"""),"Dubai&gt;Deira&gt;Al Muraqqabat&gt;Juma Al Majid Building&gt;Juma Al Majid Block D")</f>
        <v>Dubai&gt;Deira&gt;Al Muraqqabat&gt;Juma Al Majid Building&gt;Juma Al Majid Block D</v>
      </c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</row>
    <row r="2520" spans="1:26" ht="16.5" x14ac:dyDescent="0.35">
      <c r="A2520" s="2" t="str">
        <f ca="1">IFERROR(__xludf.DUMMYFUNCTION("""COMPUTED_VALUE"""),"Dubai")</f>
        <v>Dubai</v>
      </c>
      <c r="B2520" s="2" t="str">
        <f ca="1">IFERROR(__xludf.DUMMYFUNCTION("""COMPUTED_VALUE"""),"Riggat Al Buteen")</f>
        <v>Riggat Al Buteen</v>
      </c>
      <c r="C2520" s="2" t="str">
        <f ca="1">IFERROR(__xludf.DUMMYFUNCTION("""COMPUTED_VALUE"""),"Neighbourhood")</f>
        <v>Neighbourhood</v>
      </c>
      <c r="D2520" s="2" t="str">
        <f ca="1">IFERROR(__xludf.DUMMYFUNCTION("""COMPUTED_VALUE"""),"Dubai&gt;Deira&gt;Riggat Al Buteen")</f>
        <v>Dubai&gt;Deira&gt;Riggat Al Buteen</v>
      </c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</row>
    <row r="2521" spans="1:26" ht="16.5" x14ac:dyDescent="0.35">
      <c r="A2521" s="2" t="str">
        <f ca="1">IFERROR(__xludf.DUMMYFUNCTION("""COMPUTED_VALUE"""),"Dubai")</f>
        <v>Dubai</v>
      </c>
      <c r="B2521" s="2" t="str">
        <f ca="1">IFERROR(__xludf.DUMMYFUNCTION("""COMPUTED_VALUE"""),"Hamda Building 1")</f>
        <v>Hamda Building 1</v>
      </c>
      <c r="C2521" s="2" t="str">
        <f ca="1">IFERROR(__xludf.DUMMYFUNCTION("""COMPUTED_VALUE"""),"Building")</f>
        <v>Building</v>
      </c>
      <c r="D2521" s="2" t="str">
        <f ca="1">IFERROR(__xludf.DUMMYFUNCTION("""COMPUTED_VALUE"""),"Dubai&gt;Deira&gt;Ayal Nasir&gt;Hamda Building 1")</f>
        <v>Dubai&gt;Deira&gt;Ayal Nasir&gt;Hamda Building 1</v>
      </c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</row>
    <row r="2522" spans="1:26" ht="16.5" x14ac:dyDescent="0.35">
      <c r="A2522" s="2" t="str">
        <f ca="1">IFERROR(__xludf.DUMMYFUNCTION("""COMPUTED_VALUE"""),"Dubai")</f>
        <v>Dubai</v>
      </c>
      <c r="B2522" s="2" t="str">
        <f ca="1">IFERROR(__xludf.DUMMYFUNCTION("""COMPUTED_VALUE"""),"Ibrahim Bin Salah Building")</f>
        <v>Ibrahim Bin Salah Building</v>
      </c>
      <c r="C2522" s="2" t="str">
        <f ca="1">IFERROR(__xludf.DUMMYFUNCTION("""COMPUTED_VALUE"""),"Building")</f>
        <v>Building</v>
      </c>
      <c r="D2522" s="2" t="str">
        <f ca="1">IFERROR(__xludf.DUMMYFUNCTION("""COMPUTED_VALUE"""),"Dubai&gt;Deira&gt;Hor Al Anz&gt;Hor Al Anz East&gt;Ibrahim Bin Salah Building")</f>
        <v>Dubai&gt;Deira&gt;Hor Al Anz&gt;Hor Al Anz East&gt;Ibrahim Bin Salah Building</v>
      </c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</row>
    <row r="2523" spans="1:26" ht="16.5" x14ac:dyDescent="0.35">
      <c r="A2523" s="2" t="str">
        <f ca="1">IFERROR(__xludf.DUMMYFUNCTION("""COMPUTED_VALUE"""),"Dubai")</f>
        <v>Dubai</v>
      </c>
      <c r="B2523" s="2" t="str">
        <f ca="1">IFERROR(__xludf.DUMMYFUNCTION("""COMPUTED_VALUE"""),"Bayt Al Muteena 01")</f>
        <v>Bayt Al Muteena 01</v>
      </c>
      <c r="C2523" s="2" t="str">
        <f ca="1">IFERROR(__xludf.DUMMYFUNCTION("""COMPUTED_VALUE"""),"Building")</f>
        <v>Building</v>
      </c>
      <c r="D2523" s="2" t="str">
        <f ca="1">IFERROR(__xludf.DUMMYFUNCTION("""COMPUTED_VALUE"""),"Dubai&gt;Deira&gt;Al Muteena&gt;Bayt Al Muteena 01")</f>
        <v>Dubai&gt;Deira&gt;Al Muteena&gt;Bayt Al Muteena 01</v>
      </c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</row>
    <row r="2524" spans="1:26" ht="16.5" x14ac:dyDescent="0.35">
      <c r="A2524" s="2" t="str">
        <f ca="1">IFERROR(__xludf.DUMMYFUNCTION("""COMPUTED_VALUE"""),"Dubai")</f>
        <v>Dubai</v>
      </c>
      <c r="B2524" s="2" t="str">
        <f ca="1">IFERROR(__xludf.DUMMYFUNCTION("""COMPUTED_VALUE"""),"Al Khabeesi Showroom Building")</f>
        <v>Al Khabeesi Showroom Building</v>
      </c>
      <c r="C2524" s="2" t="str">
        <f ca="1">IFERROR(__xludf.DUMMYFUNCTION("""COMPUTED_VALUE"""),"Building")</f>
        <v>Building</v>
      </c>
      <c r="D2524" s="2" t="str">
        <f ca="1">IFERROR(__xludf.DUMMYFUNCTION("""COMPUTED_VALUE"""),"Dubai&gt;Deira&gt;Al Khabaisi&gt;Al Khabeesi Showroom Building")</f>
        <v>Dubai&gt;Deira&gt;Al Khabaisi&gt;Al Khabeesi Showroom Building</v>
      </c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</row>
    <row r="2525" spans="1:26" ht="16.5" x14ac:dyDescent="0.35">
      <c r="A2525" s="2" t="str">
        <f ca="1">IFERROR(__xludf.DUMMYFUNCTION("""COMPUTED_VALUE"""),"Dubai")</f>
        <v>Dubai</v>
      </c>
      <c r="B2525" s="2" t="str">
        <f ca="1">IFERROR(__xludf.DUMMYFUNCTION("""COMPUTED_VALUE"""),"Sherina Plaza 1")</f>
        <v>Sherina Plaza 1</v>
      </c>
      <c r="C2525" s="2" t="str">
        <f ca="1">IFERROR(__xludf.DUMMYFUNCTION("""COMPUTED_VALUE"""),"Building")</f>
        <v>Building</v>
      </c>
      <c r="D2525" s="2" t="str">
        <f ca="1">IFERROR(__xludf.DUMMYFUNCTION("""COMPUTED_VALUE"""),"Dubai&gt;Deira&gt;Deira Enrichment Project&gt;Sherina Plaza&gt;Sherina Plaza 1")</f>
        <v>Dubai&gt;Deira&gt;Deira Enrichment Project&gt;Sherina Plaza&gt;Sherina Plaza 1</v>
      </c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</row>
    <row r="2526" spans="1:26" ht="16.5" x14ac:dyDescent="0.35">
      <c r="A2526" s="2" t="str">
        <f ca="1">IFERROR(__xludf.DUMMYFUNCTION("""COMPUTED_VALUE"""),"Dubai")</f>
        <v>Dubai</v>
      </c>
      <c r="B2526" s="2" t="str">
        <f ca="1">IFERROR(__xludf.DUMMYFUNCTION("""COMPUTED_VALUE"""),"Shamma Plaza 1")</f>
        <v>Shamma Plaza 1</v>
      </c>
      <c r="C2526" s="2" t="str">
        <f ca="1">IFERROR(__xludf.DUMMYFUNCTION("""COMPUTED_VALUE"""),"Building")</f>
        <v>Building</v>
      </c>
      <c r="D2526" s="2" t="str">
        <f ca="1">IFERROR(__xludf.DUMMYFUNCTION("""COMPUTED_VALUE"""),"Dubai&gt;Deira&gt;Deira Enrichment Project&gt;Shamma Plaza&gt;Shamma Plaza 1")</f>
        <v>Dubai&gt;Deira&gt;Deira Enrichment Project&gt;Shamma Plaza&gt;Shamma Plaza 1</v>
      </c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</row>
    <row r="2527" spans="1:26" ht="16.5" x14ac:dyDescent="0.35">
      <c r="A2527" s="2" t="str">
        <f ca="1">IFERROR(__xludf.DUMMYFUNCTION("""COMPUTED_VALUE"""),"Dubai")</f>
        <v>Dubai</v>
      </c>
      <c r="B2527" s="2" t="str">
        <f ca="1">IFERROR(__xludf.DUMMYFUNCTION("""COMPUTED_VALUE"""),"Naif Building 7")</f>
        <v>Naif Building 7</v>
      </c>
      <c r="C2527" s="2" t="str">
        <f ca="1">IFERROR(__xludf.DUMMYFUNCTION("""COMPUTED_VALUE"""),"Building")</f>
        <v>Building</v>
      </c>
      <c r="D2527" s="2" t="str">
        <f ca="1">IFERROR(__xludf.DUMMYFUNCTION("""COMPUTED_VALUE"""),"Dubai&gt;Deira&gt;Naif&gt;Naif Building 7")</f>
        <v>Dubai&gt;Deira&gt;Naif&gt;Naif Building 7</v>
      </c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</row>
    <row r="2528" spans="1:26" ht="16.5" x14ac:dyDescent="0.35">
      <c r="A2528" s="2" t="str">
        <f ca="1">IFERROR(__xludf.DUMMYFUNCTION("""COMPUTED_VALUE"""),"Dubai")</f>
        <v>Dubai</v>
      </c>
      <c r="B2528" s="2" t="str">
        <f ca="1">IFERROR(__xludf.DUMMYFUNCTION("""COMPUTED_VALUE"""),"Al Burhan Residence")</f>
        <v>Al Burhan Residence</v>
      </c>
      <c r="C2528" s="2" t="str">
        <f ca="1">IFERROR(__xludf.DUMMYFUNCTION("""COMPUTED_VALUE"""),"Building")</f>
        <v>Building</v>
      </c>
      <c r="D2528" s="2" t="str">
        <f ca="1">IFERROR(__xludf.DUMMYFUNCTION("""COMPUTED_VALUE"""),"Dubai&gt;Deira&gt;Al Murar&gt;Al Burhan Residence")</f>
        <v>Dubai&gt;Deira&gt;Al Murar&gt;Al Burhan Residence</v>
      </c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</row>
    <row r="2529" spans="1:26" ht="16.5" x14ac:dyDescent="0.35">
      <c r="A2529" s="2" t="str">
        <f ca="1">IFERROR(__xludf.DUMMYFUNCTION("""COMPUTED_VALUE"""),"Dubai")</f>
        <v>Dubai</v>
      </c>
      <c r="B2529" s="2" t="str">
        <f ca="1">IFERROR(__xludf.DUMMYFUNCTION("""COMPUTED_VALUE"""),"Hussain Habib Hussain Sajwani Building")</f>
        <v>Hussain Habib Hussain Sajwani Building</v>
      </c>
      <c r="C2529" s="2" t="str">
        <f ca="1">IFERROR(__xludf.DUMMYFUNCTION("""COMPUTED_VALUE"""),"Building")</f>
        <v>Building</v>
      </c>
      <c r="D2529" s="2" t="str">
        <f ca="1">IFERROR(__xludf.DUMMYFUNCTION("""COMPUTED_VALUE"""),"Dubai&gt;Deira&gt;Al Baraha&gt;Hussain Habib Hussain Sajwani Building")</f>
        <v>Dubai&gt;Deira&gt;Al Baraha&gt;Hussain Habib Hussain Sajwani Building</v>
      </c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</row>
    <row r="2530" spans="1:26" ht="16.5" x14ac:dyDescent="0.35">
      <c r="A2530" s="2" t="str">
        <f ca="1">IFERROR(__xludf.DUMMYFUNCTION("""COMPUTED_VALUE"""),"Dubai")</f>
        <v>Dubai</v>
      </c>
      <c r="B2530" s="2" t="str">
        <f ca="1">IFERROR(__xludf.DUMMYFUNCTION("""COMPUTED_VALUE"""),"Somewhere Hotel Apartments")</f>
        <v>Somewhere Hotel Apartments</v>
      </c>
      <c r="C2530" s="2" t="str">
        <f ca="1">IFERROR(__xludf.DUMMYFUNCTION("""COMPUTED_VALUE"""),"Building")</f>
        <v>Building</v>
      </c>
      <c r="D2530" s="2" t="str">
        <f ca="1">IFERROR(__xludf.DUMMYFUNCTION("""COMPUTED_VALUE"""),"Dubai&gt;Deira&gt;Port Saeed&gt;Somewhere Hotel Apartments")</f>
        <v>Dubai&gt;Deira&gt;Port Saeed&gt;Somewhere Hotel Apartments</v>
      </c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</row>
    <row r="2531" spans="1:26" ht="16.5" x14ac:dyDescent="0.35">
      <c r="A2531" s="2" t="str">
        <f ca="1">IFERROR(__xludf.DUMMYFUNCTION("""COMPUTED_VALUE"""),"Dubai")</f>
        <v>Dubai</v>
      </c>
      <c r="B2531" s="2" t="str">
        <f ca="1">IFERROR(__xludf.DUMMYFUNCTION("""COMPUTED_VALUE"""),"Water View Executive Apartment")</f>
        <v>Water View Executive Apartment</v>
      </c>
      <c r="C2531" s="2" t="str">
        <f ca="1">IFERROR(__xludf.DUMMYFUNCTION("""COMPUTED_VALUE"""),"Building")</f>
        <v>Building</v>
      </c>
      <c r="D2531" s="2" t="str">
        <f ca="1">IFERROR(__xludf.DUMMYFUNCTION("""COMPUTED_VALUE"""),"Dubai&gt;Deira&gt;Port Saeed&gt;Water View Executive Apartment")</f>
        <v>Dubai&gt;Deira&gt;Port Saeed&gt;Water View Executive Apartment</v>
      </c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</row>
    <row r="2532" spans="1:26" ht="16.5" x14ac:dyDescent="0.35">
      <c r="A2532" s="2" t="str">
        <f ca="1">IFERROR(__xludf.DUMMYFUNCTION("""COMPUTED_VALUE"""),"Dubai")</f>
        <v>Dubai</v>
      </c>
      <c r="B2532" s="2" t="str">
        <f ca="1">IFERROR(__xludf.DUMMYFUNCTION("""COMPUTED_VALUE"""),"West Bay Tower")</f>
        <v>West Bay Tower</v>
      </c>
      <c r="C2532" s="2" t="str">
        <f ca="1">IFERROR(__xludf.DUMMYFUNCTION("""COMPUTED_VALUE"""),"Building")</f>
        <v>Building</v>
      </c>
      <c r="D2532" s="2" t="str">
        <f ca="1">IFERROR(__xludf.DUMMYFUNCTION("""COMPUTED_VALUE"""),"Dubai&gt;Business Bay&gt;West Bay Tower")</f>
        <v>Dubai&gt;Business Bay&gt;West Bay Tower</v>
      </c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</row>
    <row r="2533" spans="1:26" ht="16.5" x14ac:dyDescent="0.35">
      <c r="A2533" s="2" t="str">
        <f ca="1">IFERROR(__xludf.DUMMYFUNCTION("""COMPUTED_VALUE"""),"Dubai")</f>
        <v>Dubai</v>
      </c>
      <c r="B2533" s="2" t="str">
        <f ca="1">IFERROR(__xludf.DUMMYFUNCTION("""COMPUTED_VALUE"""),"Executive Tower K")</f>
        <v>Executive Tower K</v>
      </c>
      <c r="C2533" s="2" t="str">
        <f ca="1">IFERROR(__xludf.DUMMYFUNCTION("""COMPUTED_VALUE"""),"Building")</f>
        <v>Building</v>
      </c>
      <c r="D2533" s="2" t="str">
        <f ca="1">IFERROR(__xludf.DUMMYFUNCTION("""COMPUTED_VALUE"""),"Dubai&gt;Business Bay&gt;Executive Towers&gt;Executive Tower K")</f>
        <v>Dubai&gt;Business Bay&gt;Executive Towers&gt;Executive Tower K</v>
      </c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</row>
    <row r="2534" spans="1:26" ht="16.5" x14ac:dyDescent="0.35">
      <c r="A2534" s="2" t="str">
        <f ca="1">IFERROR(__xludf.DUMMYFUNCTION("""COMPUTED_VALUE"""),"Dubai")</f>
        <v>Dubai</v>
      </c>
      <c r="B2534" s="2" t="str">
        <f ca="1">IFERROR(__xludf.DUMMYFUNCTION("""COMPUTED_VALUE"""),"DoubleTree by Hilton")</f>
        <v>DoubleTree by Hilton</v>
      </c>
      <c r="C2534" s="2" t="str">
        <f ca="1">IFERROR(__xludf.DUMMYFUNCTION("""COMPUTED_VALUE"""),"Building")</f>
        <v>Building</v>
      </c>
      <c r="D2534" s="2" t="str">
        <f ca="1">IFERROR(__xludf.DUMMYFUNCTION("""COMPUTED_VALUE"""),"Dubai&gt;Business Bay&gt;Bay Square&gt;DoubleTree by Hilton")</f>
        <v>Dubai&gt;Business Bay&gt;Bay Square&gt;DoubleTree by Hilton</v>
      </c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</row>
    <row r="2535" spans="1:26" ht="16.5" x14ac:dyDescent="0.35">
      <c r="A2535" s="2" t="str">
        <f ca="1">IFERROR(__xludf.DUMMYFUNCTION("""COMPUTED_VALUE"""),"Dubai")</f>
        <v>Dubai</v>
      </c>
      <c r="B2535" s="2" t="str">
        <f ca="1">IFERROR(__xludf.DUMMYFUNCTION("""COMPUTED_VALUE"""),"Millennium Central Downtown")</f>
        <v>Millennium Central Downtown</v>
      </c>
      <c r="C2535" s="2" t="str">
        <f ca="1">IFERROR(__xludf.DUMMYFUNCTION("""COMPUTED_VALUE"""),"Building")</f>
        <v>Building</v>
      </c>
      <c r="D2535" s="2" t="str">
        <f ca="1">IFERROR(__xludf.DUMMYFUNCTION("""COMPUTED_VALUE"""),"Dubai&gt;Business Bay&gt;Millennium Central Downtown")</f>
        <v>Dubai&gt;Business Bay&gt;Millennium Central Downtown</v>
      </c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</row>
    <row r="2536" spans="1:26" ht="16.5" x14ac:dyDescent="0.35">
      <c r="A2536" s="2" t="str">
        <f ca="1">IFERROR(__xludf.DUMMYFUNCTION("""COMPUTED_VALUE"""),"Dubai")</f>
        <v>Dubai</v>
      </c>
      <c r="B2536" s="2" t="str">
        <f ca="1">IFERROR(__xludf.DUMMYFUNCTION("""COMPUTED_VALUE"""),"Tower A")</f>
        <v>Tower A</v>
      </c>
      <c r="C2536" s="2" t="str">
        <f ca="1">IFERROR(__xludf.DUMMYFUNCTION("""COMPUTED_VALUE"""),"Building")</f>
        <v>Building</v>
      </c>
      <c r="D2536" s="2" t="str">
        <f ca="1">IFERROR(__xludf.DUMMYFUNCTION("""COMPUTED_VALUE"""),"Dubai&gt;Business Bay&gt;DAMAC Towers by Paramount Hotels and Resorts&gt;Tower A")</f>
        <v>Dubai&gt;Business Bay&gt;DAMAC Towers by Paramount Hotels and Resorts&gt;Tower A</v>
      </c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</row>
    <row r="2537" spans="1:26" ht="16.5" x14ac:dyDescent="0.35">
      <c r="A2537" s="2" t="str">
        <f ca="1">IFERROR(__xludf.DUMMYFUNCTION("""COMPUTED_VALUE"""),"Dubai")</f>
        <v>Dubai</v>
      </c>
      <c r="B2537" s="2" t="str">
        <f ca="1">IFERROR(__xludf.DUMMYFUNCTION("""COMPUTED_VALUE"""),"15 Northside Tower 1")</f>
        <v>15 Northside Tower 1</v>
      </c>
      <c r="C2537" s="2" t="str">
        <f ca="1">IFERROR(__xludf.DUMMYFUNCTION("""COMPUTED_VALUE"""),"Building")</f>
        <v>Building</v>
      </c>
      <c r="D2537" s="2" t="str">
        <f ca="1">IFERROR(__xludf.DUMMYFUNCTION("""COMPUTED_VALUE"""),"Dubai&gt;Business Bay&gt;15 Northside&gt;15 Northside Tower 1")</f>
        <v>Dubai&gt;Business Bay&gt;15 Northside&gt;15 Northside Tower 1</v>
      </c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</row>
    <row r="2538" spans="1:26" ht="16.5" x14ac:dyDescent="0.35">
      <c r="A2538" s="2" t="str">
        <f ca="1">IFERROR(__xludf.DUMMYFUNCTION("""COMPUTED_VALUE"""),"Dubai")</f>
        <v>Dubai</v>
      </c>
      <c r="B2538" s="2" t="str">
        <f ca="1">IFERROR(__xludf.DUMMYFUNCTION("""COMPUTED_VALUE"""),"Dolphin Tower")</f>
        <v>Dolphin Tower</v>
      </c>
      <c r="C2538" s="2" t="str">
        <f ca="1">IFERROR(__xludf.DUMMYFUNCTION("""COMPUTED_VALUE"""),"Building")</f>
        <v>Building</v>
      </c>
      <c r="D2538" s="2" t="str">
        <f ca="1">IFERROR(__xludf.DUMMYFUNCTION("""COMPUTED_VALUE"""),"Dubai&gt;Business Bay&gt;Dolphin Tower")</f>
        <v>Dubai&gt;Business Bay&gt;Dolphin Tower</v>
      </c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</row>
    <row r="2539" spans="1:26" ht="16.5" x14ac:dyDescent="0.35">
      <c r="A2539" s="2" t="str">
        <f ca="1">IFERROR(__xludf.DUMMYFUNCTION("""COMPUTED_VALUE"""),"Dubai")</f>
        <v>Dubai</v>
      </c>
      <c r="B2539" s="2" t="str">
        <f ca="1">IFERROR(__xludf.DUMMYFUNCTION("""COMPUTED_VALUE"""),"Tiger Sky Tower")</f>
        <v>Tiger Sky Tower</v>
      </c>
      <c r="C2539" s="2" t="str">
        <f ca="1">IFERROR(__xludf.DUMMYFUNCTION("""COMPUTED_VALUE"""),"Building")</f>
        <v>Building</v>
      </c>
      <c r="D2539" s="2" t="str">
        <f ca="1">IFERROR(__xludf.DUMMYFUNCTION("""COMPUTED_VALUE"""),"Dubai&gt;Business Bay&gt;Tiger Sky Tower")</f>
        <v>Dubai&gt;Business Bay&gt;Tiger Sky Tower</v>
      </c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</row>
    <row r="2540" spans="1:26" ht="16.5" x14ac:dyDescent="0.35">
      <c r="A2540" s="2" t="str">
        <f ca="1">IFERROR(__xludf.DUMMYFUNCTION("""COMPUTED_VALUE"""),"Dubai")</f>
        <v>Dubai</v>
      </c>
      <c r="B2540" s="2" t="str">
        <f ca="1">IFERROR(__xludf.DUMMYFUNCTION("""COMPUTED_VALUE"""),"Staybridge Suites Dubai Business Bay")</f>
        <v>Staybridge Suites Dubai Business Bay</v>
      </c>
      <c r="C2540" s="2" t="str">
        <f ca="1">IFERROR(__xludf.DUMMYFUNCTION("""COMPUTED_VALUE"""),"Building")</f>
        <v>Building</v>
      </c>
      <c r="D2540" s="2" t="str">
        <f ca="1">IFERROR(__xludf.DUMMYFUNCTION("""COMPUTED_VALUE"""),"Dubai&gt;Business Bay&gt;Staybridge Suites Dubai Business Bay")</f>
        <v>Dubai&gt;Business Bay&gt;Staybridge Suites Dubai Business Bay</v>
      </c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</row>
    <row r="2541" spans="1:26" ht="16.5" x14ac:dyDescent="0.35">
      <c r="A2541" s="2" t="str">
        <f ca="1">IFERROR(__xludf.DUMMYFUNCTION("""COMPUTED_VALUE"""),"Dubai")</f>
        <v>Dubai</v>
      </c>
      <c r="B2541" s="2" t="str">
        <f ca="1">IFERROR(__xludf.DUMMYFUNCTION("""COMPUTED_VALUE"""),"Bayswater Tower")</f>
        <v>Bayswater Tower</v>
      </c>
      <c r="C2541" s="2" t="str">
        <f ca="1">IFERROR(__xludf.DUMMYFUNCTION("""COMPUTED_VALUE"""),"Building")</f>
        <v>Building</v>
      </c>
      <c r="D2541" s="2" t="str">
        <f ca="1">IFERROR(__xludf.DUMMYFUNCTION("""COMPUTED_VALUE"""),"Dubai&gt;Business Bay&gt;Bayswater Tower")</f>
        <v>Dubai&gt;Business Bay&gt;Bayswater Tower</v>
      </c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</row>
    <row r="2542" spans="1:26" ht="16.5" x14ac:dyDescent="0.35">
      <c r="A2542" s="2" t="str">
        <f ca="1">IFERROR(__xludf.DUMMYFUNCTION("""COMPUTED_VALUE"""),"Dubai")</f>
        <v>Dubai</v>
      </c>
      <c r="B2542" s="2" t="str">
        <f ca="1">IFERROR(__xludf.DUMMYFUNCTION("""COMPUTED_VALUE"""),"District 8B")</f>
        <v>District 8B</v>
      </c>
      <c r="C2542" s="2" t="str">
        <f ca="1">IFERROR(__xludf.DUMMYFUNCTION("""COMPUTED_VALUE"""),"Neighbourhood")</f>
        <v>Neighbourhood</v>
      </c>
      <c r="D2542" s="2" t="str">
        <f ca="1">IFERROR(__xludf.DUMMYFUNCTION("""COMPUTED_VALUE"""),"Dubai&gt;Jumeirah Village Triangle (JVT)&gt;JVT District 8&gt;District 8B")</f>
        <v>Dubai&gt;Jumeirah Village Triangle (JVT)&gt;JVT District 8&gt;District 8B</v>
      </c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</row>
    <row r="2543" spans="1:26" ht="16.5" x14ac:dyDescent="0.35">
      <c r="A2543" s="2" t="str">
        <f ca="1">IFERROR(__xludf.DUMMYFUNCTION("""COMPUTED_VALUE"""),"Dubai")</f>
        <v>Dubai</v>
      </c>
      <c r="B2543" s="2" t="str">
        <f ca="1">IFERROR(__xludf.DUMMYFUNCTION("""COMPUTED_VALUE"""),"District 9C")</f>
        <v>District 9C</v>
      </c>
      <c r="C2543" s="2" t="str">
        <f ca="1">IFERROR(__xludf.DUMMYFUNCTION("""COMPUTED_VALUE"""),"Neighbourhood")</f>
        <v>Neighbourhood</v>
      </c>
      <c r="D2543" s="2" t="str">
        <f ca="1">IFERROR(__xludf.DUMMYFUNCTION("""COMPUTED_VALUE"""),"Dubai&gt;Jumeirah Village Triangle (JVT)&gt;JVT District 9&gt;District 9C")</f>
        <v>Dubai&gt;Jumeirah Village Triangle (JVT)&gt;JVT District 9&gt;District 9C</v>
      </c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</row>
    <row r="2544" spans="1:26" ht="16.5" x14ac:dyDescent="0.35">
      <c r="A2544" s="2" t="str">
        <f ca="1">IFERROR(__xludf.DUMMYFUNCTION("""COMPUTED_VALUE"""),"Dubai")</f>
        <v>Dubai</v>
      </c>
      <c r="B2544" s="2" t="str">
        <f ca="1">IFERROR(__xludf.DUMMYFUNCTION("""COMPUTED_VALUE"""),"S1lva Park Living")</f>
        <v>S1lva Park Living</v>
      </c>
      <c r="C2544" s="2" t="str">
        <f ca="1">IFERROR(__xludf.DUMMYFUNCTION("""COMPUTED_VALUE"""),"Building")</f>
        <v>Building</v>
      </c>
      <c r="D2544" s="2" t="str">
        <f ca="1">IFERROR(__xludf.DUMMYFUNCTION("""COMPUTED_VALUE"""),"Dubai&gt;Jumeirah Village Triangle (JVT)&gt;JVT District 2&gt;S1lva Park Living")</f>
        <v>Dubai&gt;Jumeirah Village Triangle (JVT)&gt;JVT District 2&gt;S1lva Park Living</v>
      </c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</row>
    <row r="2545" spans="1:26" ht="16.5" x14ac:dyDescent="0.35">
      <c r="A2545" s="2" t="str">
        <f ca="1">IFERROR(__xludf.DUMMYFUNCTION("""COMPUTED_VALUE"""),"Dubai")</f>
        <v>Dubai</v>
      </c>
      <c r="B2545" s="2" t="str">
        <f ca="1">IFERROR(__xludf.DUMMYFUNCTION("""COMPUTED_VALUE"""),"Maya 5")</f>
        <v>Maya 5</v>
      </c>
      <c r="C2545" s="2" t="str">
        <f ca="1">IFERROR(__xludf.DUMMYFUNCTION("""COMPUTED_VALUE"""),"Building")</f>
        <v>Building</v>
      </c>
      <c r="D2545" s="2" t="str">
        <f ca="1">IFERROR(__xludf.DUMMYFUNCTION("""COMPUTED_VALUE"""),"Dubai&gt;Jumeirah Village Triangle (JVT)&gt;JVT District 1&gt;Maya 5")</f>
        <v>Dubai&gt;Jumeirah Village Triangle (JVT)&gt;JVT District 1&gt;Maya 5</v>
      </c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</row>
    <row r="2546" spans="1:26" ht="16.5" x14ac:dyDescent="0.35">
      <c r="A2546" s="2" t="str">
        <f ca="1">IFERROR(__xludf.DUMMYFUNCTION("""COMPUTED_VALUE"""),"Dubai")</f>
        <v>Dubai</v>
      </c>
      <c r="B2546" s="2" t="str">
        <f ca="1">IFERROR(__xludf.DUMMYFUNCTION("""COMPUTED_VALUE"""),"W1NNER Tower")</f>
        <v>W1NNER Tower</v>
      </c>
      <c r="C2546" s="2" t="str">
        <f ca="1">IFERROR(__xludf.DUMMYFUNCTION("""COMPUTED_VALUE"""),"Building")</f>
        <v>Building</v>
      </c>
      <c r="D2546" s="2" t="str">
        <f ca="1">IFERROR(__xludf.DUMMYFUNCTION("""COMPUTED_VALUE"""),"Dubai&gt;Jumeirah Village Triangle (JVT)&gt;JVT District 4&gt;W1NNER Tower")</f>
        <v>Dubai&gt;Jumeirah Village Triangle (JVT)&gt;JVT District 4&gt;W1NNER Tower</v>
      </c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</row>
    <row r="2547" spans="1:26" ht="16.5" x14ac:dyDescent="0.35">
      <c r="A2547" s="2" t="str">
        <f ca="1">IFERROR(__xludf.DUMMYFUNCTION("""COMPUTED_VALUE"""),"Dubai")</f>
        <v>Dubai</v>
      </c>
      <c r="B2547" s="2" t="str">
        <f ca="1">IFERROR(__xludf.DUMMYFUNCTION("""COMPUTED_VALUE"""),"Elaris Sky")</f>
        <v>Elaris Sky</v>
      </c>
      <c r="C2547" s="2" t="str">
        <f ca="1">IFERROR(__xludf.DUMMYFUNCTION("""COMPUTED_VALUE"""),"Building")</f>
        <v>Building</v>
      </c>
      <c r="D2547" s="2" t="str">
        <f ca="1">IFERROR(__xludf.DUMMYFUNCTION("""COMPUTED_VALUE"""),"Dubai&gt;Jumeirah Village Triangle (JVT)&gt;JVT District 3&gt;Elaris Sky")</f>
        <v>Dubai&gt;Jumeirah Village Triangle (JVT)&gt;JVT District 3&gt;Elaris Sky</v>
      </c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</row>
    <row r="2548" spans="1:26" ht="16.5" x14ac:dyDescent="0.35">
      <c r="A2548" s="2" t="str">
        <f ca="1">IFERROR(__xludf.DUMMYFUNCTION("""COMPUTED_VALUE"""),"Dubai")</f>
        <v>Dubai</v>
      </c>
      <c r="B2548" s="2" t="str">
        <f ca="1">IFERROR(__xludf.DUMMYFUNCTION("""COMPUTED_VALUE"""),"Al Ramth 41")</f>
        <v>Al Ramth 41</v>
      </c>
      <c r="C2548" s="2" t="str">
        <f ca="1">IFERROR(__xludf.DUMMYFUNCTION("""COMPUTED_VALUE"""),"Building")</f>
        <v>Building</v>
      </c>
      <c r="D2548" s="2" t="str">
        <f ca="1">IFERROR(__xludf.DUMMYFUNCTION("""COMPUTED_VALUE"""),"Dubai&gt;Remraam&gt;Al Ramth&gt;Al Ramth 41")</f>
        <v>Dubai&gt;Remraam&gt;Al Ramth&gt;Al Ramth 41</v>
      </c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</row>
    <row r="2549" spans="1:26" ht="16.5" x14ac:dyDescent="0.35">
      <c r="A2549" s="2" t="str">
        <f ca="1">IFERROR(__xludf.DUMMYFUNCTION("""COMPUTED_VALUE"""),"Dubai")</f>
        <v>Dubai</v>
      </c>
      <c r="B2549" s="2" t="str">
        <f ca="1">IFERROR(__xludf.DUMMYFUNCTION("""COMPUTED_VALUE"""),"Al Thamam 47")</f>
        <v>Al Thamam 47</v>
      </c>
      <c r="C2549" s="2" t="str">
        <f ca="1">IFERROR(__xludf.DUMMYFUNCTION("""COMPUTED_VALUE"""),"Building")</f>
        <v>Building</v>
      </c>
      <c r="D2549" s="2" t="str">
        <f ca="1">IFERROR(__xludf.DUMMYFUNCTION("""COMPUTED_VALUE"""),"Dubai&gt;Remraam&gt;Al Thamam&gt;Al Thamam 47")</f>
        <v>Dubai&gt;Remraam&gt;Al Thamam&gt;Al Thamam 47</v>
      </c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</row>
    <row r="2550" spans="1:26" ht="16.5" x14ac:dyDescent="0.35">
      <c r="A2550" s="2" t="str">
        <f ca="1">IFERROR(__xludf.DUMMYFUNCTION("""COMPUTED_VALUE"""),"Dubai")</f>
        <v>Dubai</v>
      </c>
      <c r="B2550" s="2" t="str">
        <f ca="1">IFERROR(__xludf.DUMMYFUNCTION("""COMPUTED_VALUE"""),"Jumeirah Village Circle (JVC)")</f>
        <v>Jumeirah Village Circle (JVC)</v>
      </c>
      <c r="C2550" s="2" t="str">
        <f ca="1">IFERROR(__xludf.DUMMYFUNCTION("""COMPUTED_VALUE"""),"Neighbourhood")</f>
        <v>Neighbourhood</v>
      </c>
      <c r="D2550" s="2" t="str">
        <f ca="1">IFERROR(__xludf.DUMMYFUNCTION("""COMPUTED_VALUE"""),"Dubai&gt;Jumeirah Village Circle (JVC)")</f>
        <v>Dubai&gt;Jumeirah Village Circle (JVC)</v>
      </c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</row>
    <row r="2551" spans="1:26" ht="16.5" x14ac:dyDescent="0.35">
      <c r="A2551" s="2" t="str">
        <f ca="1">IFERROR(__xludf.DUMMYFUNCTION("""COMPUTED_VALUE"""),"Dubai")</f>
        <v>Dubai</v>
      </c>
      <c r="B2551" s="2" t="str">
        <f ca="1">IFERROR(__xludf.DUMMYFUNCTION("""COMPUTED_VALUE"""),"Regina Tower")</f>
        <v>Regina Tower</v>
      </c>
      <c r="C2551" s="2" t="str">
        <f ca="1">IFERROR(__xludf.DUMMYFUNCTION("""COMPUTED_VALUE"""),"Building")</f>
        <v>Building</v>
      </c>
      <c r="D2551" s="2" t="str">
        <f ca="1">IFERROR(__xludf.DUMMYFUNCTION("""COMPUTED_VALUE"""),"Dubai&gt;Jumeirah Village Circle (JVC)&gt;JVC District 12&gt;Regina Tower")</f>
        <v>Dubai&gt;Jumeirah Village Circle (JVC)&gt;JVC District 12&gt;Regina Tower</v>
      </c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</row>
    <row r="2552" spans="1:26" ht="16.5" x14ac:dyDescent="0.35">
      <c r="A2552" s="2" t="str">
        <f ca="1">IFERROR(__xludf.DUMMYFUNCTION("""COMPUTED_VALUE"""),"Dubai")</f>
        <v>Dubai</v>
      </c>
      <c r="B2552" s="2" t="str">
        <f ca="1">IFERROR(__xludf.DUMMYFUNCTION("""COMPUTED_VALUE"""),"Emirates Gardens")</f>
        <v>Emirates Gardens</v>
      </c>
      <c r="C2552" s="2" t="str">
        <f ca="1">IFERROR(__xludf.DUMMYFUNCTION("""COMPUTED_VALUE"""),"Cluster")</f>
        <v>Cluster</v>
      </c>
      <c r="D2552" s="2" t="str">
        <f ca="1">IFERROR(__xludf.DUMMYFUNCTION("""COMPUTED_VALUE"""),"Dubai&gt;Jumeirah Village Circle (JVC)&gt;JVC District 12&gt;Emirates Gardens")</f>
        <v>Dubai&gt;Jumeirah Village Circle (JVC)&gt;JVC District 12&gt;Emirates Gardens</v>
      </c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</row>
    <row r="2553" spans="1:26" ht="16.5" x14ac:dyDescent="0.35">
      <c r="A2553" s="2" t="str">
        <f ca="1">IFERROR(__xludf.DUMMYFUNCTION("""COMPUTED_VALUE"""),"Dubai")</f>
        <v>Dubai</v>
      </c>
      <c r="B2553" s="2" t="str">
        <f ca="1">IFERROR(__xludf.DUMMYFUNCTION("""COMPUTED_VALUE"""),"Novem 1")</f>
        <v>Novem 1</v>
      </c>
      <c r="C2553" s="2" t="str">
        <f ca="1">IFERROR(__xludf.DUMMYFUNCTION("""COMPUTED_VALUE"""),"Building")</f>
        <v>Building</v>
      </c>
      <c r="D2553" s="2" t="str">
        <f ca="1">IFERROR(__xludf.DUMMYFUNCTION("""COMPUTED_VALUE"""),"Dubai&gt;Jumeirah Village Circle (JVC)&gt;JVC District 12&gt;Novem 1")</f>
        <v>Dubai&gt;Jumeirah Village Circle (JVC)&gt;JVC District 12&gt;Novem 1</v>
      </c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</row>
    <row r="2554" spans="1:26" ht="16.5" x14ac:dyDescent="0.35">
      <c r="A2554" s="2" t="str">
        <f ca="1">IFERROR(__xludf.DUMMYFUNCTION("""COMPUTED_VALUE"""),"Dubai")</f>
        <v>Dubai</v>
      </c>
      <c r="B2554" s="2" t="str">
        <f ca="1">IFERROR(__xludf.DUMMYFUNCTION("""COMPUTED_VALUE"""),"Prime Business Centre")</f>
        <v>Prime Business Centre</v>
      </c>
      <c r="C2554" s="2" t="str">
        <f ca="1">IFERROR(__xludf.DUMMYFUNCTION("""COMPUTED_VALUE"""),"Cluster")</f>
        <v>Cluster</v>
      </c>
      <c r="D2554" s="2" t="str">
        <f ca="1">IFERROR(__xludf.DUMMYFUNCTION("""COMPUTED_VALUE"""),"Dubai&gt;Jumeirah Village Circle (JVC)&gt;JVC District 13&gt;Prime Business Centre")</f>
        <v>Dubai&gt;Jumeirah Village Circle (JVC)&gt;JVC District 13&gt;Prime Business Centre</v>
      </c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</row>
    <row r="2555" spans="1:26" ht="16.5" x14ac:dyDescent="0.35">
      <c r="A2555" s="2" t="str">
        <f ca="1">IFERROR(__xludf.DUMMYFUNCTION("""COMPUTED_VALUE"""),"Dubai")</f>
        <v>Dubai</v>
      </c>
      <c r="B2555" s="2" t="str">
        <f ca="1">IFERROR(__xludf.DUMMYFUNCTION("""COMPUTED_VALUE"""),"Binghatti Venus")</f>
        <v>Binghatti Venus</v>
      </c>
      <c r="C2555" s="2" t="str">
        <f ca="1">IFERROR(__xludf.DUMMYFUNCTION("""COMPUTED_VALUE"""),"Building")</f>
        <v>Building</v>
      </c>
      <c r="D2555" s="2" t="str">
        <f ca="1">IFERROR(__xludf.DUMMYFUNCTION("""COMPUTED_VALUE"""),"Dubai&gt;Jumeirah Village Circle (JVC)&gt;JVC District 13&gt;Binghatti Venus")</f>
        <v>Dubai&gt;Jumeirah Village Circle (JVC)&gt;JVC District 13&gt;Binghatti Venus</v>
      </c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</row>
    <row r="2556" spans="1:26" ht="16.5" x14ac:dyDescent="0.35">
      <c r="A2556" s="2" t="str">
        <f ca="1">IFERROR(__xludf.DUMMYFUNCTION("""COMPUTED_VALUE"""),"Dubai")</f>
        <v>Dubai</v>
      </c>
      <c r="B2556" s="2" t="str">
        <f ca="1">IFERROR(__xludf.DUMMYFUNCTION("""COMPUTED_VALUE"""),"Binghatti Phoenix")</f>
        <v>Binghatti Phoenix</v>
      </c>
      <c r="C2556" s="2" t="str">
        <f ca="1">IFERROR(__xludf.DUMMYFUNCTION("""COMPUTED_VALUE"""),"Building")</f>
        <v>Building</v>
      </c>
      <c r="D2556" s="2" t="str">
        <f ca="1">IFERROR(__xludf.DUMMYFUNCTION("""COMPUTED_VALUE"""),"Dubai&gt;Jumeirah Village Circle (JVC)&gt;JVC District 13&gt;Binghatti Phoenix")</f>
        <v>Dubai&gt;Jumeirah Village Circle (JVC)&gt;JVC District 13&gt;Binghatti Phoenix</v>
      </c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</row>
    <row r="2557" spans="1:26" ht="16.5" x14ac:dyDescent="0.35">
      <c r="A2557" s="2" t="str">
        <f ca="1">IFERROR(__xludf.DUMMYFUNCTION("""COMPUTED_VALUE"""),"Dubai")</f>
        <v>Dubai</v>
      </c>
      <c r="B2557" s="2" t="str">
        <f ca="1">IFERROR(__xludf.DUMMYFUNCTION("""COMPUTED_VALUE"""),"Emerald Tower")</f>
        <v>Emerald Tower</v>
      </c>
      <c r="C2557" s="2" t="str">
        <f ca="1">IFERROR(__xludf.DUMMYFUNCTION("""COMPUTED_VALUE"""),"Building")</f>
        <v>Building</v>
      </c>
      <c r="D2557" s="2" t="str">
        <f ca="1">IFERROR(__xludf.DUMMYFUNCTION("""COMPUTED_VALUE"""),"Dubai&gt;Jumeirah Village Circle (JVC)&gt;JVC District 18&gt;Emerald Tower")</f>
        <v>Dubai&gt;Jumeirah Village Circle (JVC)&gt;JVC District 18&gt;Emerald Tower</v>
      </c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</row>
    <row r="2558" spans="1:26" ht="16.5" x14ac:dyDescent="0.35">
      <c r="A2558" s="2" t="str">
        <f ca="1">IFERROR(__xludf.DUMMYFUNCTION("""COMPUTED_VALUE"""),"Dubai")</f>
        <v>Dubai</v>
      </c>
      <c r="B2558" s="2" t="str">
        <f ca="1">IFERROR(__xludf.DUMMYFUNCTION("""COMPUTED_VALUE"""),"Oxford Residence 2")</f>
        <v>Oxford Residence 2</v>
      </c>
      <c r="C2558" s="2" t="str">
        <f ca="1">IFERROR(__xludf.DUMMYFUNCTION("""COMPUTED_VALUE"""),"Building")</f>
        <v>Building</v>
      </c>
      <c r="D2558" s="2" t="str">
        <f ca="1">IFERROR(__xludf.DUMMYFUNCTION("""COMPUTED_VALUE"""),"Dubai&gt;Jumeirah Village Circle (JVC)&gt;JVC District 10&gt;Oxford Residence 2")</f>
        <v>Dubai&gt;Jumeirah Village Circle (JVC)&gt;JVC District 10&gt;Oxford Residence 2</v>
      </c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</row>
    <row r="2559" spans="1:26" ht="16.5" x14ac:dyDescent="0.35">
      <c r="A2559" s="2" t="str">
        <f ca="1">IFERROR(__xludf.DUMMYFUNCTION("""COMPUTED_VALUE"""),"Dubai")</f>
        <v>Dubai</v>
      </c>
      <c r="B2559" s="2" t="str">
        <f ca="1">IFERROR(__xludf.DUMMYFUNCTION("""COMPUTED_VALUE"""),"Tuscan Residence")</f>
        <v>Tuscan Residence</v>
      </c>
      <c r="C2559" s="2" t="str">
        <f ca="1">IFERROR(__xludf.DUMMYFUNCTION("""COMPUTED_VALUE"""),"Cluster")</f>
        <v>Cluster</v>
      </c>
      <c r="D2559" s="2" t="str">
        <f ca="1">IFERROR(__xludf.DUMMYFUNCTION("""COMPUTED_VALUE"""),"Dubai&gt;Jumeirah Village Circle (JVC)&gt;JVC District 10&gt;Tuscan Residence")</f>
        <v>Dubai&gt;Jumeirah Village Circle (JVC)&gt;JVC District 10&gt;Tuscan Residence</v>
      </c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</row>
    <row r="2560" spans="1:26" ht="16.5" x14ac:dyDescent="0.35">
      <c r="A2560" s="2" t="str">
        <f ca="1">IFERROR(__xludf.DUMMYFUNCTION("""COMPUTED_VALUE"""),"Dubai")</f>
        <v>Dubai</v>
      </c>
      <c r="B2560" s="2" t="str">
        <f ca="1">IFERROR(__xludf.DUMMYFUNCTION("""COMPUTED_VALUE"""),"Sofitel Hotel Staff Residency")</f>
        <v>Sofitel Hotel Staff Residency</v>
      </c>
      <c r="C2560" s="2" t="str">
        <f ca="1">IFERROR(__xludf.DUMMYFUNCTION("""COMPUTED_VALUE"""),"Building")</f>
        <v>Building</v>
      </c>
      <c r="D2560" s="2" t="str">
        <f ca="1">IFERROR(__xludf.DUMMYFUNCTION("""COMPUTED_VALUE"""),"Dubai&gt;Jumeirah Village Circle (JVC)&gt;JVC District 10&gt;Sofitel Hotel Staff Residency")</f>
        <v>Dubai&gt;Jumeirah Village Circle (JVC)&gt;JVC District 10&gt;Sofitel Hotel Staff Residency</v>
      </c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</row>
    <row r="2561" spans="1:26" ht="16.5" x14ac:dyDescent="0.35">
      <c r="A2561" s="2" t="str">
        <f ca="1">IFERROR(__xludf.DUMMYFUNCTION("""COMPUTED_VALUE"""),"Dubai")</f>
        <v>Dubai</v>
      </c>
      <c r="B2561" s="2" t="str">
        <f ca="1">IFERROR(__xludf.DUMMYFUNCTION("""COMPUTED_VALUE"""),"Azur Line Residences")</f>
        <v>Azur Line Residences</v>
      </c>
      <c r="C2561" s="2" t="str">
        <f ca="1">IFERROR(__xludf.DUMMYFUNCTION("""COMPUTED_VALUE"""),"Building")</f>
        <v>Building</v>
      </c>
      <c r="D2561" s="2" t="str">
        <f ca="1">IFERROR(__xludf.DUMMYFUNCTION("""COMPUTED_VALUE"""),"Dubai&gt;Jumeirah Village Circle (JVC)&gt;JVC District 10&gt;Azur Line Residences")</f>
        <v>Dubai&gt;Jumeirah Village Circle (JVC)&gt;JVC District 10&gt;Azur Line Residences</v>
      </c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</row>
    <row r="2562" spans="1:26" ht="16.5" x14ac:dyDescent="0.35">
      <c r="A2562" s="2" t="str">
        <f ca="1">IFERROR(__xludf.DUMMYFUNCTION("""COMPUTED_VALUE"""),"Dubai")</f>
        <v>Dubai</v>
      </c>
      <c r="B2562" s="2" t="str">
        <f ca="1">IFERROR(__xludf.DUMMYFUNCTION("""COMPUTED_VALUE"""),"Rise Residences")</f>
        <v>Rise Residences</v>
      </c>
      <c r="C2562" s="2" t="str">
        <f ca="1">IFERROR(__xludf.DUMMYFUNCTION("""COMPUTED_VALUE"""),"Building")</f>
        <v>Building</v>
      </c>
      <c r="D2562" s="2" t="str">
        <f ca="1">IFERROR(__xludf.DUMMYFUNCTION("""COMPUTED_VALUE"""),"Dubai&gt;Jumeirah Village Circle (JVC)&gt;JVC District 16&gt;Rise Residences")</f>
        <v>Dubai&gt;Jumeirah Village Circle (JVC)&gt;JVC District 16&gt;Rise Residences</v>
      </c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</row>
    <row r="2563" spans="1:26" ht="16.5" x14ac:dyDescent="0.35">
      <c r="A2563" s="2" t="str">
        <f ca="1">IFERROR(__xludf.DUMMYFUNCTION("""COMPUTED_VALUE"""),"Dubai")</f>
        <v>Dubai</v>
      </c>
      <c r="B2563" s="2" t="str">
        <f ca="1">IFERROR(__xludf.DUMMYFUNCTION("""COMPUTED_VALUE"""),"Shaksy Villas")</f>
        <v>Shaksy Villas</v>
      </c>
      <c r="C2563" s="2" t="str">
        <f ca="1">IFERROR(__xludf.DUMMYFUNCTION("""COMPUTED_VALUE"""),"Neighbourhood")</f>
        <v>Neighbourhood</v>
      </c>
      <c r="D2563" s="2" t="str">
        <f ca="1">IFERROR(__xludf.DUMMYFUNCTION("""COMPUTED_VALUE"""),"Dubai&gt;Jumeirah Village Circle (JVC)&gt;JVC District 15&gt;Shaksy Villas")</f>
        <v>Dubai&gt;Jumeirah Village Circle (JVC)&gt;JVC District 15&gt;Shaksy Villas</v>
      </c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</row>
    <row r="2564" spans="1:26" ht="16.5" x14ac:dyDescent="0.35">
      <c r="A2564" s="2" t="str">
        <f ca="1">IFERROR(__xludf.DUMMYFUNCTION("""COMPUTED_VALUE"""),"Dubai")</f>
        <v>Dubai</v>
      </c>
      <c r="B2564" s="2" t="str">
        <f ca="1">IFERROR(__xludf.DUMMYFUNCTION("""COMPUTED_VALUE"""),"Binghatti Onyx")</f>
        <v>Binghatti Onyx</v>
      </c>
      <c r="C2564" s="2" t="str">
        <f ca="1">IFERROR(__xludf.DUMMYFUNCTION("""COMPUTED_VALUE"""),"Building")</f>
        <v>Building</v>
      </c>
      <c r="D2564" s="2" t="str">
        <f ca="1">IFERROR(__xludf.DUMMYFUNCTION("""COMPUTED_VALUE"""),"Dubai&gt;Jumeirah Village Circle (JVC)&gt;JVC District 15&gt;Binghatti Onyx")</f>
        <v>Dubai&gt;Jumeirah Village Circle (JVC)&gt;JVC District 15&gt;Binghatti Onyx</v>
      </c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</row>
    <row r="2565" spans="1:26" ht="16.5" x14ac:dyDescent="0.35">
      <c r="A2565" s="2" t="str">
        <f ca="1">IFERROR(__xludf.DUMMYFUNCTION("""COMPUTED_VALUE"""),"Dubai")</f>
        <v>Dubai</v>
      </c>
      <c r="B2565" s="2" t="str">
        <f ca="1">IFERROR(__xludf.DUMMYFUNCTION("""COMPUTED_VALUE"""),"Penta Villas")</f>
        <v>Penta Villas</v>
      </c>
      <c r="C2565" s="2" t="str">
        <f ca="1">IFERROR(__xludf.DUMMYFUNCTION("""COMPUTED_VALUE"""),"Neighbourhood")</f>
        <v>Neighbourhood</v>
      </c>
      <c r="D2565" s="2" t="str">
        <f ca="1">IFERROR(__xludf.DUMMYFUNCTION("""COMPUTED_VALUE"""),"Dubai&gt;Jumeirah Village Circle (JVC)&gt;JVC District 11&gt;Penta Villas")</f>
        <v>Dubai&gt;Jumeirah Village Circle (JVC)&gt;JVC District 11&gt;Penta Villas</v>
      </c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</row>
    <row r="2566" spans="1:26" ht="16.5" x14ac:dyDescent="0.35">
      <c r="A2566" s="2" t="str">
        <f ca="1">IFERROR(__xludf.DUMMYFUNCTION("""COMPUTED_VALUE"""),"Dubai")</f>
        <v>Dubai</v>
      </c>
      <c r="B2566" s="2" t="str">
        <f ca="1">IFERROR(__xludf.DUMMYFUNCTION("""COMPUTED_VALUE"""),"MK Residence")</f>
        <v>MK Residence</v>
      </c>
      <c r="C2566" s="2" t="str">
        <f ca="1">IFERROR(__xludf.DUMMYFUNCTION("""COMPUTED_VALUE"""),"Building")</f>
        <v>Building</v>
      </c>
      <c r="D2566" s="2" t="str">
        <f ca="1">IFERROR(__xludf.DUMMYFUNCTION("""COMPUTED_VALUE"""),"Dubai&gt;Jumeirah Village Circle (JVC)&gt;JVC District 11&gt;MK Residence")</f>
        <v>Dubai&gt;Jumeirah Village Circle (JVC)&gt;JVC District 11&gt;MK Residence</v>
      </c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</row>
    <row r="2567" spans="1:26" ht="16.5" x14ac:dyDescent="0.35">
      <c r="A2567" s="2" t="str">
        <f ca="1">IFERROR(__xludf.DUMMYFUNCTION("""COMPUTED_VALUE"""),"Dubai")</f>
        <v>Dubai</v>
      </c>
      <c r="B2567" s="2" t="str">
        <f ca="1">IFERROR(__xludf.DUMMYFUNCTION("""COMPUTED_VALUE"""),"Binghatti Galaxy Tower A")</f>
        <v>Binghatti Galaxy Tower A</v>
      </c>
      <c r="C2567" s="2" t="str">
        <f ca="1">IFERROR(__xludf.DUMMYFUNCTION("""COMPUTED_VALUE"""),"Building")</f>
        <v>Building</v>
      </c>
      <c r="D2567" s="2" t="str">
        <f ca="1">IFERROR(__xludf.DUMMYFUNCTION("""COMPUTED_VALUE"""),"Dubai&gt;Jumeirah Village Circle (JVC)&gt;JVC District 11&gt;Binghatti Galaxy&gt;Binghatti Galaxy Tower A")</f>
        <v>Dubai&gt;Jumeirah Village Circle (JVC)&gt;JVC District 11&gt;Binghatti Galaxy&gt;Binghatti Galaxy Tower A</v>
      </c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</row>
    <row r="2568" spans="1:26" ht="16.5" x14ac:dyDescent="0.35">
      <c r="A2568" s="2" t="str">
        <f ca="1">IFERROR(__xludf.DUMMYFUNCTION("""COMPUTED_VALUE"""),"Dubai")</f>
        <v>Dubai</v>
      </c>
      <c r="B2568" s="2" t="str">
        <f ca="1">IFERROR(__xludf.DUMMYFUNCTION("""COMPUTED_VALUE"""),"S.S. Lootah Residence")</f>
        <v>S.S. Lootah Residence</v>
      </c>
      <c r="C2568" s="2" t="str">
        <f ca="1">IFERROR(__xludf.DUMMYFUNCTION("""COMPUTED_VALUE"""),"Building")</f>
        <v>Building</v>
      </c>
      <c r="D2568" s="2" t="str">
        <f ca="1">IFERROR(__xludf.DUMMYFUNCTION("""COMPUTED_VALUE"""),"Dubai&gt;Jumeirah Village Circle (JVC)&gt;JVC District 11&gt;S.S. Lootah Residence")</f>
        <v>Dubai&gt;Jumeirah Village Circle (JVC)&gt;JVC District 11&gt;S.S. Lootah Residence</v>
      </c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</row>
    <row r="2569" spans="1:26" ht="16.5" x14ac:dyDescent="0.35">
      <c r="A2569" s="2" t="str">
        <f ca="1">IFERROR(__xludf.DUMMYFUNCTION("""COMPUTED_VALUE"""),"Dubai")</f>
        <v>Dubai</v>
      </c>
      <c r="B2569" s="2" t="str">
        <f ca="1">IFERROR(__xludf.DUMMYFUNCTION("""COMPUTED_VALUE"""),"O2 Tower")</f>
        <v>O2 Tower</v>
      </c>
      <c r="C2569" s="2" t="str">
        <f ca="1">IFERROR(__xludf.DUMMYFUNCTION("""COMPUTED_VALUE"""),"Building")</f>
        <v>Building</v>
      </c>
      <c r="D2569" s="2" t="str">
        <f ca="1">IFERROR(__xludf.DUMMYFUNCTION("""COMPUTED_VALUE"""),"Dubai&gt;Jumeirah Village Circle (JVC)&gt;JVC District 14&gt;O2 Tower")</f>
        <v>Dubai&gt;Jumeirah Village Circle (JVC)&gt;JVC District 14&gt;O2 Tower</v>
      </c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</row>
    <row r="2570" spans="1:26" ht="16.5" x14ac:dyDescent="0.35">
      <c r="A2570" s="2" t="str">
        <f ca="1">IFERROR(__xludf.DUMMYFUNCTION("""COMPUTED_VALUE"""),"Dubai")</f>
        <v>Dubai</v>
      </c>
      <c r="B2570" s="2" t="str">
        <f ca="1">IFERROR(__xludf.DUMMYFUNCTION("""COMPUTED_VALUE"""),"Marwa Homes 3")</f>
        <v>Marwa Homes 3</v>
      </c>
      <c r="C2570" s="2" t="str">
        <f ca="1">IFERROR(__xludf.DUMMYFUNCTION("""COMPUTED_VALUE"""),"Neighbourhood")</f>
        <v>Neighbourhood</v>
      </c>
      <c r="D2570" s="2" t="str">
        <f ca="1">IFERROR(__xludf.DUMMYFUNCTION("""COMPUTED_VALUE"""),"Dubai&gt;Jumeirah Village Circle (JVC)&gt;JVC District 14&gt;Marwa Homes 3")</f>
        <v>Dubai&gt;Jumeirah Village Circle (JVC)&gt;JVC District 14&gt;Marwa Homes 3</v>
      </c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</row>
    <row r="2571" spans="1:26" ht="16.5" x14ac:dyDescent="0.35">
      <c r="A2571" s="2" t="str">
        <f ca="1">IFERROR(__xludf.DUMMYFUNCTION("""COMPUTED_VALUE"""),"Dubai")</f>
        <v>Dubai</v>
      </c>
      <c r="B2571" s="2" t="str">
        <f ca="1">IFERROR(__xludf.DUMMYFUNCTION("""COMPUTED_VALUE"""),"Chubby Cheeks Dubailand")</f>
        <v>Chubby Cheeks Dubailand</v>
      </c>
      <c r="C2571" s="2" t="str">
        <f ca="1">IFERROR(__xludf.DUMMYFUNCTION("""COMPUTED_VALUE"""),"Nursery")</f>
        <v>Nursery</v>
      </c>
      <c r="D2571" s="2" t="str">
        <f ca="1">IFERROR(__xludf.DUMMYFUNCTION("""COMPUTED_VALUE"""),"Dubai&gt;Dubai Land Residence Complex&gt;Chubby Cheeks Dubailand")</f>
        <v>Dubai&gt;Dubai Land Residence Complex&gt;Chubby Cheeks Dubailand</v>
      </c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</row>
    <row r="2572" spans="1:26" ht="16.5" x14ac:dyDescent="0.35">
      <c r="A2572" s="2" t="str">
        <f ca="1">IFERROR(__xludf.DUMMYFUNCTION("""COMPUTED_VALUE"""),"Dubai")</f>
        <v>Dubai</v>
      </c>
      <c r="B2572" s="2" t="str">
        <f ca="1">IFERROR(__xludf.DUMMYFUNCTION("""COMPUTED_VALUE"""),"Solitaire Cascades")</f>
        <v>Solitaire Cascades</v>
      </c>
      <c r="C2572" s="2" t="str">
        <f ca="1">IFERROR(__xludf.DUMMYFUNCTION("""COMPUTED_VALUE"""),"Building")</f>
        <v>Building</v>
      </c>
      <c r="D2572" s="2" t="str">
        <f ca="1">IFERROR(__xludf.DUMMYFUNCTION("""COMPUTED_VALUE"""),"Dubai&gt;Dubai Land Residence Complex&gt;Solitaire Cascades")</f>
        <v>Dubai&gt;Dubai Land Residence Complex&gt;Solitaire Cascades</v>
      </c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</row>
    <row r="2573" spans="1:26" ht="16.5" x14ac:dyDescent="0.35">
      <c r="A2573" s="2" t="str">
        <f ca="1">IFERROR(__xludf.DUMMYFUNCTION("""COMPUTED_VALUE"""),"Dubai")</f>
        <v>Dubai</v>
      </c>
      <c r="B2573" s="2" t="str">
        <f ca="1">IFERROR(__xludf.DUMMYFUNCTION("""COMPUTED_VALUE"""),"Al Faris Building")</f>
        <v>Al Faris Building</v>
      </c>
      <c r="C2573" s="2" t="str">
        <f ca="1">IFERROR(__xludf.DUMMYFUNCTION("""COMPUTED_VALUE"""),"Building")</f>
        <v>Building</v>
      </c>
      <c r="D2573" s="2" t="str">
        <f ca="1">IFERROR(__xludf.DUMMYFUNCTION("""COMPUTED_VALUE"""),"Dubai&gt;Dubai Land Residence Complex&gt;Al Faris Building")</f>
        <v>Dubai&gt;Dubai Land Residence Complex&gt;Al Faris Building</v>
      </c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</row>
    <row r="2574" spans="1:26" ht="16.5" x14ac:dyDescent="0.35">
      <c r="A2574" s="2" t="str">
        <f ca="1">IFERROR(__xludf.DUMMYFUNCTION("""COMPUTED_VALUE"""),"Dubai")</f>
        <v>Dubai</v>
      </c>
      <c r="B2574" s="2" t="str">
        <f ca="1">IFERROR(__xludf.DUMMYFUNCTION("""COMPUTED_VALUE"""),"Terra Tower")</f>
        <v>Terra Tower</v>
      </c>
      <c r="C2574" s="2" t="str">
        <f ca="1">IFERROR(__xludf.DUMMYFUNCTION("""COMPUTED_VALUE"""),"Building")</f>
        <v>Building</v>
      </c>
      <c r="D2574" s="2" t="str">
        <f ca="1">IFERROR(__xludf.DUMMYFUNCTION("""COMPUTED_VALUE"""),"Dubai&gt;Dubai Land Residence Complex&gt;Terra Tower")</f>
        <v>Dubai&gt;Dubai Land Residence Complex&gt;Terra Tower</v>
      </c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</row>
    <row r="2575" spans="1:26" ht="16.5" x14ac:dyDescent="0.35">
      <c r="A2575" s="2" t="str">
        <f ca="1">IFERROR(__xludf.DUMMYFUNCTION("""COMPUTED_VALUE"""),"Dubai")</f>
        <v>Dubai</v>
      </c>
      <c r="B2575" s="2" t="str">
        <f ca="1">IFERROR(__xludf.DUMMYFUNCTION("""COMPUTED_VALUE"""),"The Corner")</f>
        <v>The Corner</v>
      </c>
      <c r="C2575" s="2" t="str">
        <f ca="1">IFERROR(__xludf.DUMMYFUNCTION("""COMPUTED_VALUE"""),"Building")</f>
        <v>Building</v>
      </c>
      <c r="D2575" s="2" t="str">
        <f ca="1">IFERROR(__xludf.DUMMYFUNCTION("""COMPUTED_VALUE"""),"Dubai&gt;Dubai Land Residence Complex&gt;The Corner")</f>
        <v>Dubai&gt;Dubai Land Residence Complex&gt;The Corner</v>
      </c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</row>
    <row r="2576" spans="1:26" ht="16.5" x14ac:dyDescent="0.35">
      <c r="A2576" s="2" t="str">
        <f ca="1">IFERROR(__xludf.DUMMYFUNCTION("""COMPUTED_VALUE"""),"Dubai")</f>
        <v>Dubai</v>
      </c>
      <c r="B2576" s="2" t="str">
        <f ca="1">IFERROR(__xludf.DUMMYFUNCTION("""COMPUTED_VALUE"""),"Gate Apartments")</f>
        <v>Gate Apartments</v>
      </c>
      <c r="C2576" s="2" t="str">
        <f ca="1">IFERROR(__xludf.DUMMYFUNCTION("""COMPUTED_VALUE"""),"Building")</f>
        <v>Building</v>
      </c>
      <c r="D2576" s="2" t="str">
        <f ca="1">IFERROR(__xludf.DUMMYFUNCTION("""COMPUTED_VALUE"""),"Dubai&gt;Mirdif&gt;Uptown Mirdif&gt;Gate Apartments")</f>
        <v>Dubai&gt;Mirdif&gt;Uptown Mirdif&gt;Gate Apartments</v>
      </c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</row>
    <row r="2577" spans="1:26" ht="16.5" x14ac:dyDescent="0.35">
      <c r="A2577" s="2" t="str">
        <f ca="1">IFERROR(__xludf.DUMMYFUNCTION("""COMPUTED_VALUE"""),"Dubai")</f>
        <v>Dubai</v>
      </c>
      <c r="B2577" s="2" t="str">
        <f ca="1">IFERROR(__xludf.DUMMYFUNCTION("""COMPUTED_VALUE"""),"Mirdif Mall")</f>
        <v>Mirdif Mall</v>
      </c>
      <c r="C2577" s="2" t="str">
        <f ca="1">IFERROR(__xludf.DUMMYFUNCTION("""COMPUTED_VALUE"""),"Building")</f>
        <v>Building</v>
      </c>
      <c r="D2577" s="2" t="str">
        <f ca="1">IFERROR(__xludf.DUMMYFUNCTION("""COMPUTED_VALUE"""),"Dubai&gt;Mirdif&gt;Mirdif Mall")</f>
        <v>Dubai&gt;Mirdif&gt;Mirdif Mall</v>
      </c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</row>
    <row r="2578" spans="1:26" ht="16.5" x14ac:dyDescent="0.35">
      <c r="A2578" s="2" t="str">
        <f ca="1">IFERROR(__xludf.DUMMYFUNCTION("""COMPUTED_VALUE"""),"Dubai")</f>
        <v>Dubai</v>
      </c>
      <c r="B2578" s="2" t="str">
        <f ca="1">IFERROR(__xludf.DUMMYFUNCTION("""COMPUTED_VALUE"""),"Deema 2")</f>
        <v>Deema 2</v>
      </c>
      <c r="C2578" s="2" t="str">
        <f ca="1">IFERROR(__xludf.DUMMYFUNCTION("""COMPUTED_VALUE"""),"Neighbourhood")</f>
        <v>Neighbourhood</v>
      </c>
      <c r="D2578" s="2" t="str">
        <f ca="1">IFERROR(__xludf.DUMMYFUNCTION("""COMPUTED_VALUE"""),"Dubai&gt;The Lakes&gt;Deema&gt;Deema 2")</f>
        <v>Dubai&gt;The Lakes&gt;Deema&gt;Deema 2</v>
      </c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</row>
    <row r="2579" spans="1:26" ht="16.5" x14ac:dyDescent="0.35">
      <c r="A2579" s="2" t="str">
        <f ca="1">IFERROR(__xludf.DUMMYFUNCTION("""COMPUTED_VALUE"""),"Dubai")</f>
        <v>Dubai</v>
      </c>
      <c r="B2579" s="2" t="str">
        <f ca="1">IFERROR(__xludf.DUMMYFUNCTION("""COMPUTED_VALUE"""),"Bin Thani Avenue Building")</f>
        <v>Bin Thani Avenue Building</v>
      </c>
      <c r="C2579" s="2" t="str">
        <f ca="1">IFERROR(__xludf.DUMMYFUNCTION("""COMPUTED_VALUE"""),"Building")</f>
        <v>Building</v>
      </c>
      <c r="D2579" s="2" t="str">
        <f ca="1">IFERROR(__xludf.DUMMYFUNCTION("""COMPUTED_VALUE"""),"Dubai&gt;Al Garhoud&gt;Bin Thani Avenue Building")</f>
        <v>Dubai&gt;Al Garhoud&gt;Bin Thani Avenue Building</v>
      </c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</row>
    <row r="2580" spans="1:26" ht="16.5" x14ac:dyDescent="0.35">
      <c r="A2580" s="2" t="str">
        <f ca="1">IFERROR(__xludf.DUMMYFUNCTION("""COMPUTED_VALUE"""),"Dubai")</f>
        <v>Dubai</v>
      </c>
      <c r="B2580" s="2" t="str">
        <f ca="1">IFERROR(__xludf.DUMMYFUNCTION("""COMPUTED_VALUE"""),"Cluster 26")</f>
        <v>Cluster 26</v>
      </c>
      <c r="C2580" s="2" t="str">
        <f ca="1">IFERROR(__xludf.DUMMYFUNCTION("""COMPUTED_VALUE"""),"Neighbourhood")</f>
        <v>Neighbourhood</v>
      </c>
      <c r="D2580" s="2" t="str">
        <f ca="1">IFERROR(__xludf.DUMMYFUNCTION("""COMPUTED_VALUE"""),"Dubai&gt;Jumeirah Islands&gt;Cluster 26")</f>
        <v>Dubai&gt;Jumeirah Islands&gt;Cluster 26</v>
      </c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</row>
    <row r="2581" spans="1:26" ht="16.5" x14ac:dyDescent="0.35">
      <c r="A2581" s="2" t="str">
        <f ca="1">IFERROR(__xludf.DUMMYFUNCTION("""COMPUTED_VALUE"""),"Dubai")</f>
        <v>Dubai</v>
      </c>
      <c r="B2581" s="2" t="str">
        <f ca="1">IFERROR(__xludf.DUMMYFUNCTION("""COMPUTED_VALUE"""),"Islamic Cluster")</f>
        <v>Islamic Cluster</v>
      </c>
      <c r="C2581" s="2" t="str">
        <f ca="1">IFERROR(__xludf.DUMMYFUNCTION("""COMPUTED_VALUE"""),"Cluster")</f>
        <v>Cluster</v>
      </c>
      <c r="D2581" s="2" t="str">
        <f ca="1">IFERROR(__xludf.DUMMYFUNCTION("""COMPUTED_VALUE"""),"Dubai&gt;Jumeirah Islands&gt;Islamic Cluster")</f>
        <v>Dubai&gt;Jumeirah Islands&gt;Islamic Cluster</v>
      </c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</row>
    <row r="2582" spans="1:26" ht="16.5" x14ac:dyDescent="0.35">
      <c r="A2582" s="2" t="str">
        <f ca="1">IFERROR(__xludf.DUMMYFUNCTION("""COMPUTED_VALUE"""),"Dubai")</f>
        <v>Dubai</v>
      </c>
      <c r="B2582" s="2" t="str">
        <f ca="1">IFERROR(__xludf.DUMMYFUNCTION("""COMPUTED_VALUE"""),"Lake Apartments C")</f>
        <v>Lake Apartments C</v>
      </c>
      <c r="C2582" s="2" t="str">
        <f ca="1">IFERROR(__xludf.DUMMYFUNCTION("""COMPUTED_VALUE"""),"Building")</f>
        <v>Building</v>
      </c>
      <c r="D2582" s="2" t="str">
        <f ca="1">IFERROR(__xludf.DUMMYFUNCTION("""COMPUTED_VALUE"""),"Dubai&gt;Green Community&gt;Lake Apartments&gt;Lake Apartments C")</f>
        <v>Dubai&gt;Green Community&gt;Lake Apartments&gt;Lake Apartments C</v>
      </c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</row>
    <row r="2583" spans="1:26" ht="16.5" x14ac:dyDescent="0.35">
      <c r="A2583" s="2" t="str">
        <f ca="1">IFERROR(__xludf.DUMMYFUNCTION("""COMPUTED_VALUE"""),"Dubai")</f>
        <v>Dubai</v>
      </c>
      <c r="B2583" s="2" t="str">
        <f ca="1">IFERROR(__xludf.DUMMYFUNCTION("""COMPUTED_VALUE"""),"Northwest Apartments 7")</f>
        <v>Northwest Apartments 7</v>
      </c>
      <c r="C2583" s="2" t="str">
        <f ca="1">IFERROR(__xludf.DUMMYFUNCTION("""COMPUTED_VALUE"""),"Building")</f>
        <v>Building</v>
      </c>
      <c r="D2583" s="2" t="str">
        <f ca="1">IFERROR(__xludf.DUMMYFUNCTION("""COMPUTED_VALUE"""),"Dubai&gt;Green Community&gt;Green Community West&gt;Northwest Garden Apartments&gt;Northwest Apartments 7")</f>
        <v>Dubai&gt;Green Community&gt;Green Community West&gt;Northwest Garden Apartments&gt;Northwest Apartments 7</v>
      </c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</row>
    <row r="2584" spans="1:26" ht="16.5" x14ac:dyDescent="0.35">
      <c r="A2584" s="2" t="str">
        <f ca="1">IFERROR(__xludf.DUMMYFUNCTION("""COMPUTED_VALUE"""),"Dubai")</f>
        <v>Dubai</v>
      </c>
      <c r="B2584" s="2" t="str">
        <f ca="1">IFERROR(__xludf.DUMMYFUNCTION("""COMPUTED_VALUE"""),"Red Residence")</f>
        <v>Red Residence</v>
      </c>
      <c r="C2584" s="2" t="str">
        <f ca="1">IFERROR(__xludf.DUMMYFUNCTION("""COMPUTED_VALUE"""),"Building")</f>
        <v>Building</v>
      </c>
      <c r="D2584" s="2" t="str">
        <f ca="1">IFERROR(__xludf.DUMMYFUNCTION("""COMPUTED_VALUE"""),"Dubai&gt;Dubai Sports City&gt;Red Residence")</f>
        <v>Dubai&gt;Dubai Sports City&gt;Red Residence</v>
      </c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</row>
    <row r="2585" spans="1:26" ht="16.5" x14ac:dyDescent="0.35">
      <c r="A2585" s="2" t="str">
        <f ca="1">IFERROR(__xludf.DUMMYFUNCTION("""COMPUTED_VALUE"""),"Dubai")</f>
        <v>Dubai</v>
      </c>
      <c r="B2585" s="2" t="str">
        <f ca="1">IFERROR(__xludf.DUMMYFUNCTION("""COMPUTED_VALUE"""),"Profile Residence")</f>
        <v>Profile Residence</v>
      </c>
      <c r="C2585" s="2" t="str">
        <f ca="1">IFERROR(__xludf.DUMMYFUNCTION("""COMPUTED_VALUE"""),"Building")</f>
        <v>Building</v>
      </c>
      <c r="D2585" s="2" t="str">
        <f ca="1">IFERROR(__xludf.DUMMYFUNCTION("""COMPUTED_VALUE"""),"Dubai&gt;Dubai Sports City&gt;Profile Residence")</f>
        <v>Dubai&gt;Dubai Sports City&gt;Profile Residence</v>
      </c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</row>
    <row r="2586" spans="1:26" ht="16.5" x14ac:dyDescent="0.35">
      <c r="A2586" s="2" t="str">
        <f ca="1">IFERROR(__xludf.DUMMYFUNCTION("""COMPUTED_VALUE"""),"Dubai")</f>
        <v>Dubai</v>
      </c>
      <c r="B2586" s="2" t="str">
        <f ca="1">IFERROR(__xludf.DUMMYFUNCTION("""COMPUTED_VALUE"""),"Mars Residences")</f>
        <v>Mars Residences</v>
      </c>
      <c r="C2586" s="2" t="str">
        <f ca="1">IFERROR(__xludf.DUMMYFUNCTION("""COMPUTED_VALUE"""),"Building")</f>
        <v>Building</v>
      </c>
      <c r="D2586" s="2" t="str">
        <f ca="1">IFERROR(__xludf.DUMMYFUNCTION("""COMPUTED_VALUE"""),"Dubai&gt;Dubai Sports City&gt;Mars Residences")</f>
        <v>Dubai&gt;Dubai Sports City&gt;Mars Residences</v>
      </c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</row>
    <row r="2587" spans="1:26" ht="16.5" x14ac:dyDescent="0.35">
      <c r="A2587" s="2" t="str">
        <f ca="1">IFERROR(__xludf.DUMMYFUNCTION("""COMPUTED_VALUE"""),"Dubai")</f>
        <v>Dubai</v>
      </c>
      <c r="B2587" s="2" t="str">
        <f ca="1">IFERROR(__xludf.DUMMYFUNCTION("""COMPUTED_VALUE"""),"Verde by Vision")</f>
        <v>Verde by Vision</v>
      </c>
      <c r="C2587" s="2" t="str">
        <f ca="1">IFERROR(__xludf.DUMMYFUNCTION("""COMPUTED_VALUE"""),"Building")</f>
        <v>Building</v>
      </c>
      <c r="D2587" s="2" t="str">
        <f ca="1">IFERROR(__xludf.DUMMYFUNCTION("""COMPUTED_VALUE"""),"Dubai&gt;Dubai Sports City&gt;Verde by Vision")</f>
        <v>Dubai&gt;Dubai Sports City&gt;Verde by Vision</v>
      </c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</row>
    <row r="2588" spans="1:26" ht="16.5" x14ac:dyDescent="0.35">
      <c r="A2588" s="2" t="str">
        <f ca="1">IFERROR(__xludf.DUMMYFUNCTION("""COMPUTED_VALUE"""),"Dubai")</f>
        <v>Dubai</v>
      </c>
      <c r="B2588" s="2" t="str">
        <f ca="1">IFERROR(__xludf.DUMMYFUNCTION("""COMPUTED_VALUE"""),"Al Rawda Tower")</f>
        <v>Al Rawda Tower</v>
      </c>
      <c r="C2588" s="2" t="str">
        <f ca="1">IFERROR(__xludf.DUMMYFUNCTION("""COMPUTED_VALUE"""),"Building")</f>
        <v>Building</v>
      </c>
      <c r="D2588" s="2" t="str">
        <f ca="1">IFERROR(__xludf.DUMMYFUNCTION("""COMPUTED_VALUE"""),"Dubai&gt;Al Nahda (Dubai)&gt;Al Nahda 1&gt;Al Rawda Tower")</f>
        <v>Dubai&gt;Al Nahda (Dubai)&gt;Al Nahda 1&gt;Al Rawda Tower</v>
      </c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</row>
    <row r="2589" spans="1:26" ht="16.5" x14ac:dyDescent="0.35">
      <c r="A2589" s="2" t="str">
        <f ca="1">IFERROR(__xludf.DUMMYFUNCTION("""COMPUTED_VALUE"""),"Dubai")</f>
        <v>Dubai</v>
      </c>
      <c r="B2589" s="2" t="str">
        <f ca="1">IFERROR(__xludf.DUMMYFUNCTION("""COMPUTED_VALUE"""),"MSB Private School")</f>
        <v>MSB Private School</v>
      </c>
      <c r="C2589" s="2" t="str">
        <f ca="1">IFERROR(__xludf.DUMMYFUNCTION("""COMPUTED_VALUE"""),"School")</f>
        <v>School</v>
      </c>
      <c r="D2589" s="2" t="str">
        <f ca="1">IFERROR(__xludf.DUMMYFUNCTION("""COMPUTED_VALUE"""),"Dubai&gt;Al Nahda (Dubai)&gt;Al Nahda 2&gt;MSB Private School")</f>
        <v>Dubai&gt;Al Nahda (Dubai)&gt;Al Nahda 2&gt;MSB Private School</v>
      </c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</row>
    <row r="2590" spans="1:26" ht="16.5" x14ac:dyDescent="0.35">
      <c r="A2590" s="2" t="str">
        <f ca="1">IFERROR(__xludf.DUMMYFUNCTION("""COMPUTED_VALUE"""),"Dubai")</f>
        <v>Dubai</v>
      </c>
      <c r="B2590" s="2" t="str">
        <f ca="1">IFERROR(__xludf.DUMMYFUNCTION("""COMPUTED_VALUE"""),"Lootah Apartment 3")</f>
        <v>Lootah Apartment 3</v>
      </c>
      <c r="C2590" s="2" t="str">
        <f ca="1">IFERROR(__xludf.DUMMYFUNCTION("""COMPUTED_VALUE"""),"Building")</f>
        <v>Building</v>
      </c>
      <c r="D2590" s="2" t="str">
        <f ca="1">IFERROR(__xludf.DUMMYFUNCTION("""COMPUTED_VALUE"""),"Dubai&gt;Al Nahda (Dubai)&gt;Al Nahda 2&gt;Lootah Apartment 3")</f>
        <v>Dubai&gt;Al Nahda (Dubai)&gt;Al Nahda 2&gt;Lootah Apartment 3</v>
      </c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</row>
    <row r="2591" spans="1:26" ht="16.5" x14ac:dyDescent="0.35">
      <c r="A2591" s="2" t="str">
        <f ca="1">IFERROR(__xludf.DUMMYFUNCTION("""COMPUTED_VALUE"""),"Dubai")</f>
        <v>Dubai</v>
      </c>
      <c r="B2591" s="2" t="str">
        <f ca="1">IFERROR(__xludf.DUMMYFUNCTION("""COMPUTED_VALUE"""),"Dugail House")</f>
        <v>Dugail House</v>
      </c>
      <c r="C2591" s="2" t="str">
        <f ca="1">IFERROR(__xludf.DUMMYFUNCTION("""COMPUTED_VALUE"""),"Building")</f>
        <v>Building</v>
      </c>
      <c r="D2591" s="2" t="str">
        <f ca="1">IFERROR(__xludf.DUMMYFUNCTION("""COMPUTED_VALUE"""),"Dubai&gt;Al Nahda (Dubai)&gt;Al Nahda 2&gt;Dugail House")</f>
        <v>Dubai&gt;Al Nahda (Dubai)&gt;Al Nahda 2&gt;Dugail House</v>
      </c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</row>
    <row r="2592" spans="1:26" ht="16.5" x14ac:dyDescent="0.35">
      <c r="A2592" s="2" t="str">
        <f ca="1">IFERROR(__xludf.DUMMYFUNCTION("""COMPUTED_VALUE"""),"Dubai")</f>
        <v>Dubai</v>
      </c>
      <c r="B2592" s="2" t="str">
        <f ca="1">IFERROR(__xludf.DUMMYFUNCTION("""COMPUTED_VALUE"""),"Al Nahda Residency")</f>
        <v>Al Nahda Residency</v>
      </c>
      <c r="C2592" s="2" t="str">
        <f ca="1">IFERROR(__xludf.DUMMYFUNCTION("""COMPUTED_VALUE"""),"Building")</f>
        <v>Building</v>
      </c>
      <c r="D2592" s="2" t="str">
        <f ca="1">IFERROR(__xludf.DUMMYFUNCTION("""COMPUTED_VALUE"""),"Dubai&gt;Al Nahda (Dubai)&gt;Al Nahda 2&gt;Al Nahda Residency")</f>
        <v>Dubai&gt;Al Nahda (Dubai)&gt;Al Nahda 2&gt;Al Nahda Residency</v>
      </c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</row>
    <row r="2593" spans="1:26" ht="16.5" x14ac:dyDescent="0.35">
      <c r="A2593" s="2" t="str">
        <f ca="1">IFERROR(__xludf.DUMMYFUNCTION("""COMPUTED_VALUE"""),"Dubai")</f>
        <v>Dubai</v>
      </c>
      <c r="B2593" s="2" t="str">
        <f ca="1">IFERROR(__xludf.DUMMYFUNCTION("""COMPUTED_VALUE"""),"Al Serkal Building")</f>
        <v>Al Serkal Building</v>
      </c>
      <c r="C2593" s="2" t="str">
        <f ca="1">IFERROR(__xludf.DUMMYFUNCTION("""COMPUTED_VALUE"""),"Building")</f>
        <v>Building</v>
      </c>
      <c r="D2593" s="2" t="str">
        <f ca="1">IFERROR(__xludf.DUMMYFUNCTION("""COMPUTED_VALUE"""),"Dubai&gt;Al Nahda (Dubai)&gt;Al Nahda 2&gt;Al Serkal Building")</f>
        <v>Dubai&gt;Al Nahda (Dubai)&gt;Al Nahda 2&gt;Al Serkal Building</v>
      </c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</row>
    <row r="2594" spans="1:26" ht="16.5" x14ac:dyDescent="0.35">
      <c r="A2594" s="2" t="str">
        <f ca="1">IFERROR(__xludf.DUMMYFUNCTION("""COMPUTED_VALUE"""),"Dubai")</f>
        <v>Dubai</v>
      </c>
      <c r="B2594" s="2" t="str">
        <f ca="1">IFERROR(__xludf.DUMMYFUNCTION("""COMPUTED_VALUE"""),"Santorini")</f>
        <v>Santorini</v>
      </c>
      <c r="C2594" s="2" t="str">
        <f ca="1">IFERROR(__xludf.DUMMYFUNCTION("""COMPUTED_VALUE"""),"Neighbourhood")</f>
        <v>Neighbourhood</v>
      </c>
      <c r="D2594" s="2" t="str">
        <f ca="1">IFERROR(__xludf.DUMMYFUNCTION("""COMPUTED_VALUE"""),"Dubai&gt;DAMAC Lagoons&gt;Santorini")</f>
        <v>Dubai&gt;DAMAC Lagoons&gt;Santorini</v>
      </c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</row>
    <row r="2595" spans="1:26" ht="16.5" x14ac:dyDescent="0.35">
      <c r="A2595" s="2" t="str">
        <f ca="1">IFERROR(__xludf.DUMMYFUNCTION("""COMPUTED_VALUE"""),"Dubai")</f>
        <v>Dubai</v>
      </c>
      <c r="B2595" s="2" t="str">
        <f ca="1">IFERROR(__xludf.DUMMYFUNCTION("""COMPUTED_VALUE"""),"Lagoon Views 13")</f>
        <v>Lagoon Views 13</v>
      </c>
      <c r="C2595" s="2" t="str">
        <f ca="1">IFERROR(__xludf.DUMMYFUNCTION("""COMPUTED_VALUE"""),"Building")</f>
        <v>Building</v>
      </c>
      <c r="D2595" s="2" t="str">
        <f ca="1">IFERROR(__xludf.DUMMYFUNCTION("""COMPUTED_VALUE"""),"Dubai&gt;DAMAC Lagoons&gt;Lagoon Views&gt;Lagoon Views 13")</f>
        <v>Dubai&gt;DAMAC Lagoons&gt;Lagoon Views&gt;Lagoon Views 13</v>
      </c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</row>
    <row r="2596" spans="1:26" ht="16.5" x14ac:dyDescent="0.35">
      <c r="A2596" s="2" t="str">
        <f ca="1">IFERROR(__xludf.DUMMYFUNCTION("""COMPUTED_VALUE"""),"Dubai")</f>
        <v>Dubai</v>
      </c>
      <c r="B2596" s="2" t="str">
        <f ca="1">IFERROR(__xludf.DUMMYFUNCTION("""COMPUTED_VALUE"""),"Rami Residence 1")</f>
        <v>Rami Residence 1</v>
      </c>
      <c r="C2596" s="2" t="str">
        <f ca="1">IFERROR(__xludf.DUMMYFUNCTION("""COMPUTED_VALUE"""),"Building")</f>
        <v>Building</v>
      </c>
      <c r="D2596" s="2" t="str">
        <f ca="1">IFERROR(__xludf.DUMMYFUNCTION("""COMPUTED_VALUE"""),"Dubai&gt;Liwan 2&gt;Rami Residence 1")</f>
        <v>Dubai&gt;Liwan 2&gt;Rami Residence 1</v>
      </c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</row>
    <row r="2597" spans="1:26" ht="16.5" x14ac:dyDescent="0.35">
      <c r="A2597" s="2" t="str">
        <f ca="1">IFERROR(__xludf.DUMMYFUNCTION("""COMPUTED_VALUE"""),"Dubai")</f>
        <v>Dubai</v>
      </c>
      <c r="B2597" s="2" t="str">
        <f ca="1">IFERROR(__xludf.DUMMYFUNCTION("""COMPUTED_VALUE"""),"Umm Al Daman")</f>
        <v>Umm Al Daman</v>
      </c>
      <c r="C2597" s="2" t="str">
        <f ca="1">IFERROR(__xludf.DUMMYFUNCTION("""COMPUTED_VALUE"""),"Neighbourhood")</f>
        <v>Neighbourhood</v>
      </c>
      <c r="D2597" s="2" t="str">
        <f ca="1">IFERROR(__xludf.DUMMYFUNCTION("""COMPUTED_VALUE"""),"Dubai&gt;Umm Al Daman")</f>
        <v>Dubai&gt;Umm Al Daman</v>
      </c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</row>
    <row r="2598" spans="1:26" ht="16.5" x14ac:dyDescent="0.35">
      <c r="A2598" s="2" t="str">
        <f ca="1">IFERROR(__xludf.DUMMYFUNCTION("""COMPUTED_VALUE"""),"Dubai")</f>
        <v>Dubai</v>
      </c>
      <c r="B2598" s="2" t="str">
        <f ca="1">IFERROR(__xludf.DUMMYFUNCTION("""COMPUTED_VALUE"""),"Verdana")</f>
        <v>Verdana</v>
      </c>
      <c r="C2598" s="2" t="str">
        <f ca="1">IFERROR(__xludf.DUMMYFUNCTION("""COMPUTED_VALUE"""),"Neighbourhood")</f>
        <v>Neighbourhood</v>
      </c>
      <c r="D2598" s="2" t="str">
        <f ca="1">IFERROR(__xludf.DUMMYFUNCTION("""COMPUTED_VALUE"""),"Dubai&gt;Dubai Investment Park (DIP)&gt;Dubai Investment Park 1&gt;Verdana")</f>
        <v>Dubai&gt;Dubai Investment Park (DIP)&gt;Dubai Investment Park 1&gt;Verdana</v>
      </c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</row>
    <row r="2599" spans="1:26" ht="16.5" x14ac:dyDescent="0.35">
      <c r="A2599" s="2" t="str">
        <f ca="1">IFERROR(__xludf.DUMMYFUNCTION("""COMPUTED_VALUE"""),"Dubai")</f>
        <v>Dubai</v>
      </c>
      <c r="B2599" s="2" t="str">
        <f ca="1">IFERROR(__xludf.DUMMYFUNCTION("""COMPUTED_VALUE"""),"Palmon Group 2")</f>
        <v>Palmon Group 2</v>
      </c>
      <c r="C2599" s="2" t="str">
        <f ca="1">IFERROR(__xludf.DUMMYFUNCTION("""COMPUTED_VALUE"""),"Building")</f>
        <v>Building</v>
      </c>
      <c r="D2599" s="2" t="str">
        <f ca="1">IFERROR(__xludf.DUMMYFUNCTION("""COMPUTED_VALUE"""),"Dubai&gt;Dubai Investment Park (DIP)&gt;Dubai Investment Park 1&gt;Palmon FZC Staff Accommodation&gt;Palmon Group 2")</f>
        <v>Dubai&gt;Dubai Investment Park (DIP)&gt;Dubai Investment Park 1&gt;Palmon FZC Staff Accommodation&gt;Palmon Group 2</v>
      </c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</row>
    <row r="2600" spans="1:26" ht="16.5" x14ac:dyDescent="0.35">
      <c r="A2600" s="2" t="str">
        <f ca="1">IFERROR(__xludf.DUMMYFUNCTION("""COMPUTED_VALUE"""),"Dubai")</f>
        <v>Dubai</v>
      </c>
      <c r="B2600" s="2" t="str">
        <f ca="1">IFERROR(__xludf.DUMMYFUNCTION("""COMPUTED_VALUE"""),"RDK 1190 Building")</f>
        <v>RDK 1190 Building</v>
      </c>
      <c r="C2600" s="2" t="str">
        <f ca="1">IFERROR(__xludf.DUMMYFUNCTION("""COMPUTED_VALUE"""),"Building")</f>
        <v>Building</v>
      </c>
      <c r="D2600" s="2" t="str">
        <f ca="1">IFERROR(__xludf.DUMMYFUNCTION("""COMPUTED_VALUE"""),"Dubai&gt;Dubai Investment Park (DIP)&gt;RDK 1190 Building")</f>
        <v>Dubai&gt;Dubai Investment Park (DIP)&gt;RDK 1190 Building</v>
      </c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</row>
    <row r="2601" spans="1:26" ht="16.5" x14ac:dyDescent="0.35">
      <c r="A2601" s="2" t="str">
        <f ca="1">IFERROR(__xludf.DUMMYFUNCTION("""COMPUTED_VALUE"""),"Dubai")</f>
        <v>Dubai</v>
      </c>
      <c r="B2601" s="2" t="str">
        <f ca="1">IFERROR(__xludf.DUMMYFUNCTION("""COMPUTED_VALUE"""),"Ritaj Block M")</f>
        <v>Ritaj Block M</v>
      </c>
      <c r="C2601" s="2" t="str">
        <f ca="1">IFERROR(__xludf.DUMMYFUNCTION("""COMPUTED_VALUE"""),"Building")</f>
        <v>Building</v>
      </c>
      <c r="D2601" s="2" t="str">
        <f ca="1">IFERROR(__xludf.DUMMYFUNCTION("""COMPUTED_VALUE"""),"Dubai&gt;Dubai Investment Park (DIP)&gt;Dubai Investment Park 2&gt;Ritaj (Residential Complex)&gt;Ritaj Block M")</f>
        <v>Dubai&gt;Dubai Investment Park (DIP)&gt;Dubai Investment Park 2&gt;Ritaj (Residential Complex)&gt;Ritaj Block M</v>
      </c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</row>
    <row r="2602" spans="1:26" ht="16.5" x14ac:dyDescent="0.35">
      <c r="A2602" s="2" t="str">
        <f ca="1">IFERROR(__xludf.DUMMYFUNCTION("""COMPUTED_VALUE"""),"Dubai")</f>
        <v>Dubai</v>
      </c>
      <c r="B2602" s="2" t="str">
        <f ca="1">IFERROR(__xludf.DUMMYFUNCTION("""COMPUTED_VALUE"""),"Arjumand Building")</f>
        <v>Arjumand Building</v>
      </c>
      <c r="C2602" s="2" t="str">
        <f ca="1">IFERROR(__xludf.DUMMYFUNCTION("""COMPUTED_VALUE"""),"Building")</f>
        <v>Building</v>
      </c>
      <c r="D2602" s="2" t="str">
        <f ca="1">IFERROR(__xludf.DUMMYFUNCTION("""COMPUTED_VALUE"""),"Dubai&gt;Dubai Investment Park (DIP)&gt;Arjumand Building")</f>
        <v>Dubai&gt;Dubai Investment Park (DIP)&gt;Arjumand Building</v>
      </c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</row>
    <row r="2603" spans="1:26" ht="16.5" x14ac:dyDescent="0.35">
      <c r="A2603" s="2" t="str">
        <f ca="1">IFERROR(__xludf.DUMMYFUNCTION("""COMPUTED_VALUE"""),"Dubai")</f>
        <v>Dubai</v>
      </c>
      <c r="B2603" s="2" t="str">
        <f ca="1">IFERROR(__xludf.DUMMYFUNCTION("""COMPUTED_VALUE"""),"Capri 2")</f>
        <v>Capri 2</v>
      </c>
      <c r="C2603" s="2" t="str">
        <f ca="1">IFERROR(__xludf.DUMMYFUNCTION("""COMPUTED_VALUE"""),"Building")</f>
        <v>Building</v>
      </c>
      <c r="D2603" s="2" t="str">
        <f ca="1">IFERROR(__xludf.DUMMYFUNCTION("""COMPUTED_VALUE"""),"Dubai&gt;Dubai Investment Park (DIP)&gt;DAMAC Riverside&gt;Riverside Views&gt;Capri 2")</f>
        <v>Dubai&gt;Dubai Investment Park (DIP)&gt;DAMAC Riverside&gt;Riverside Views&gt;Capri 2</v>
      </c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</row>
    <row r="2604" spans="1:26" ht="16.5" x14ac:dyDescent="0.35">
      <c r="A2604" s="2" t="str">
        <f ca="1">IFERROR(__xludf.DUMMYFUNCTION("""COMPUTED_VALUE"""),"Dubai")</f>
        <v>Dubai</v>
      </c>
      <c r="B2604" s="2" t="str">
        <f ca="1">IFERROR(__xludf.DUMMYFUNCTION("""COMPUTED_VALUE"""),"Sooma Residence")</f>
        <v>Sooma Residence</v>
      </c>
      <c r="C2604" s="2" t="str">
        <f ca="1">IFERROR(__xludf.DUMMYFUNCTION("""COMPUTED_VALUE"""),"Building")</f>
        <v>Building</v>
      </c>
      <c r="D2604" s="2" t="str">
        <f ca="1">IFERROR(__xludf.DUMMYFUNCTION("""COMPUTED_VALUE"""),"Dubai&gt;Majan&gt;Sooma Residence")</f>
        <v>Dubai&gt;Majan&gt;Sooma Residence</v>
      </c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</row>
    <row r="2605" spans="1:26" ht="16.5" x14ac:dyDescent="0.35">
      <c r="A2605" s="2" t="str">
        <f ca="1">IFERROR(__xludf.DUMMYFUNCTION("""COMPUTED_VALUE"""),"Dubai")</f>
        <v>Dubai</v>
      </c>
      <c r="B2605" s="2" t="str">
        <f ca="1">IFERROR(__xludf.DUMMYFUNCTION("""COMPUTED_VALUE"""),"Tulip Oasis 8")</f>
        <v>Tulip Oasis 8</v>
      </c>
      <c r="C2605" s="2" t="str">
        <f ca="1">IFERROR(__xludf.DUMMYFUNCTION("""COMPUTED_VALUE"""),"Building")</f>
        <v>Building</v>
      </c>
      <c r="D2605" s="2" t="str">
        <f ca="1">IFERROR(__xludf.DUMMYFUNCTION("""COMPUTED_VALUE"""),"Dubai&gt;Majan&gt;Tulip Oasis 8")</f>
        <v>Dubai&gt;Majan&gt;Tulip Oasis 8</v>
      </c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</row>
    <row r="2606" spans="1:26" ht="16.5" x14ac:dyDescent="0.35">
      <c r="A2606" s="2" t="str">
        <f ca="1">IFERROR(__xludf.DUMMYFUNCTION("""COMPUTED_VALUE"""),"Dubai")</f>
        <v>Dubai</v>
      </c>
      <c r="B2606" s="2" t="str">
        <f ca="1">IFERROR(__xludf.DUMMYFUNCTION("""COMPUTED_VALUE"""),"Tulip Oasis 11")</f>
        <v>Tulip Oasis 11</v>
      </c>
      <c r="C2606" s="2" t="str">
        <f ca="1">IFERROR(__xludf.DUMMYFUNCTION("""COMPUTED_VALUE"""),"Building")</f>
        <v>Building</v>
      </c>
      <c r="D2606" s="2" t="str">
        <f ca="1">IFERROR(__xludf.DUMMYFUNCTION("""COMPUTED_VALUE"""),"Dubai&gt;Majan&gt;Tulip Oasis 11")</f>
        <v>Dubai&gt;Majan&gt;Tulip Oasis 11</v>
      </c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</row>
    <row r="2607" spans="1:26" ht="16.5" x14ac:dyDescent="0.35">
      <c r="A2607" s="2" t="str">
        <f ca="1">IFERROR(__xludf.DUMMYFUNCTION("""COMPUTED_VALUE"""),"Dubai")</f>
        <v>Dubai</v>
      </c>
      <c r="B2607" s="2" t="str">
        <f ca="1">IFERROR(__xludf.DUMMYFUNCTION("""COMPUTED_VALUE"""),"Al Thanyah 2")</f>
        <v>Al Thanyah 2</v>
      </c>
      <c r="C2607" s="2" t="str">
        <f ca="1">IFERROR(__xludf.DUMMYFUNCTION("""COMPUTED_VALUE"""),"Neighbourhood")</f>
        <v>Neighbourhood</v>
      </c>
      <c r="D2607" s="2" t="str">
        <f ca="1">IFERROR(__xludf.DUMMYFUNCTION("""COMPUTED_VALUE"""),"Dubai&gt;Al Thanyah 2")</f>
        <v>Dubai&gt;Al Thanyah 2</v>
      </c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</row>
    <row r="2608" spans="1:26" ht="16.5" x14ac:dyDescent="0.35">
      <c r="A2608" s="2" t="str">
        <f ca="1">IFERROR(__xludf.DUMMYFUNCTION("""COMPUTED_VALUE"""),"Dubai")</f>
        <v>Dubai</v>
      </c>
      <c r="B2608" s="2" t="str">
        <f ca="1">IFERROR(__xludf.DUMMYFUNCTION("""COMPUTED_VALUE"""),"Olivara Residences")</f>
        <v>Olivara Residences</v>
      </c>
      <c r="C2608" s="2" t="str">
        <f ca="1">IFERROR(__xludf.DUMMYFUNCTION("""COMPUTED_VALUE"""),"Cluster")</f>
        <v>Cluster</v>
      </c>
      <c r="D2608" s="2" t="str">
        <f ca="1">IFERROR(__xludf.DUMMYFUNCTION("""COMPUTED_VALUE"""),"Dubai&gt;Dubai Studio City&gt;Olivara Residences")</f>
        <v>Dubai&gt;Dubai Studio City&gt;Olivara Residences</v>
      </c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</row>
    <row r="2609" spans="1:26" ht="16.5" x14ac:dyDescent="0.35">
      <c r="A2609" s="2" t="str">
        <f ca="1">IFERROR(__xludf.DUMMYFUNCTION("""COMPUTED_VALUE"""),"Dubai")</f>
        <v>Dubai</v>
      </c>
      <c r="B2609" s="2" t="str">
        <f ca="1">IFERROR(__xludf.DUMMYFUNCTION("""COMPUTED_VALUE"""),"BS-13")</f>
        <v>BS-13</v>
      </c>
      <c r="C2609" s="2" t="str">
        <f ca="1">IFERROR(__xludf.DUMMYFUNCTION("""COMPUTED_VALUE"""),"Building")</f>
        <v>Building</v>
      </c>
      <c r="D2609" s="2" t="str">
        <f ca="1">IFERROR(__xludf.DUMMYFUNCTION("""COMPUTED_VALUE"""),"Dubai&gt;Dubai Studio City&gt;Boutique Studios&gt;BS-13")</f>
        <v>Dubai&gt;Dubai Studio City&gt;Boutique Studios&gt;BS-13</v>
      </c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</row>
    <row r="2610" spans="1:26" ht="16.5" x14ac:dyDescent="0.35">
      <c r="A2610" s="2" t="str">
        <f ca="1">IFERROR(__xludf.DUMMYFUNCTION("""COMPUTED_VALUE"""),"Dubai")</f>
        <v>Dubai</v>
      </c>
      <c r="B2610" s="2" t="str">
        <f ca="1">IFERROR(__xludf.DUMMYFUNCTION("""COMPUTED_VALUE"""),"Sobha Hartland Estates")</f>
        <v>Sobha Hartland Estates</v>
      </c>
      <c r="C2610" s="2" t="str">
        <f ca="1">IFERROR(__xludf.DUMMYFUNCTION("""COMPUTED_VALUE"""),"Neighbourhood")</f>
        <v>Neighbourhood</v>
      </c>
      <c r="D2610" s="2" t="str">
        <f ca="1">IFERROR(__xludf.DUMMYFUNCTION("""COMPUTED_VALUE"""),"Dubai&gt;Sobha Hartland&gt;Sobha Hartland Estates")</f>
        <v>Dubai&gt;Sobha Hartland&gt;Sobha Hartland Estates</v>
      </c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</row>
    <row r="2611" spans="1:26" ht="16.5" x14ac:dyDescent="0.35">
      <c r="A2611" s="2" t="str">
        <f ca="1">IFERROR(__xludf.DUMMYFUNCTION("""COMPUTED_VALUE"""),"Dubai")</f>
        <v>Dubai</v>
      </c>
      <c r="B2611" s="2" t="str">
        <f ca="1">IFERROR(__xludf.DUMMYFUNCTION("""COMPUTED_VALUE"""),"Berkeley Place")</f>
        <v>Berkeley Place</v>
      </c>
      <c r="C2611" s="2" t="str">
        <f ca="1">IFERROR(__xludf.DUMMYFUNCTION("""COMPUTED_VALUE"""),"Building")</f>
        <v>Building</v>
      </c>
      <c r="D2611" s="2" t="str">
        <f ca="1">IFERROR(__xludf.DUMMYFUNCTION("""COMPUTED_VALUE"""),"Dubai&gt;Sobha Hartland&gt;Berkeley Place")</f>
        <v>Dubai&gt;Sobha Hartland&gt;Berkeley Place</v>
      </c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</row>
    <row r="2612" spans="1:26" ht="16.5" x14ac:dyDescent="0.35">
      <c r="A2612" s="2" t="str">
        <f ca="1">IFERROR(__xludf.DUMMYFUNCTION("""COMPUTED_VALUE"""),"Dubai")</f>
        <v>Dubai</v>
      </c>
      <c r="B2612" s="2" t="str">
        <f ca="1">IFERROR(__xludf.DUMMYFUNCTION("""COMPUTED_VALUE"""),"Expo City")</f>
        <v>Expo City</v>
      </c>
      <c r="C2612" s="2" t="str">
        <f ca="1">IFERROR(__xludf.DUMMYFUNCTION("""COMPUTED_VALUE"""),"Neighbourhood")</f>
        <v>Neighbourhood</v>
      </c>
      <c r="D2612" s="2" t="str">
        <f ca="1">IFERROR(__xludf.DUMMYFUNCTION("""COMPUTED_VALUE"""),"Dubai&gt;Expo City")</f>
        <v>Dubai&gt;Expo City</v>
      </c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</row>
    <row r="2613" spans="1:26" ht="16.5" x14ac:dyDescent="0.35">
      <c r="A2613" s="2" t="str">
        <f ca="1">IFERROR(__xludf.DUMMYFUNCTION("""COMPUTED_VALUE"""),"Dubai")</f>
        <v>Dubai</v>
      </c>
      <c r="B2613" s="2" t="str">
        <f ca="1">IFERROR(__xludf.DUMMYFUNCTION("""COMPUTED_VALUE"""),"Expo Valley Views Building 6")</f>
        <v>Expo Valley Views Building 6</v>
      </c>
      <c r="C2613" s="2" t="str">
        <f ca="1">IFERROR(__xludf.DUMMYFUNCTION("""COMPUTED_VALUE"""),"Building")</f>
        <v>Building</v>
      </c>
      <c r="D2613" s="2" t="str">
        <f ca="1">IFERROR(__xludf.DUMMYFUNCTION("""COMPUTED_VALUE"""),"Dubai&gt;Expo City&gt;Expo Valley&gt;Expo Valley Views&gt;Expo Valley Views Building 6")</f>
        <v>Dubai&gt;Expo City&gt;Expo Valley&gt;Expo Valley Views&gt;Expo Valley Views Building 6</v>
      </c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</row>
    <row r="2614" spans="1:26" ht="16.5" x14ac:dyDescent="0.35">
      <c r="A2614" s="2" t="str">
        <f ca="1">IFERROR(__xludf.DUMMYFUNCTION("""COMPUTED_VALUE"""),"Dubai")</f>
        <v>Dubai</v>
      </c>
      <c r="B2614" s="2" t="str">
        <f ca="1">IFERROR(__xludf.DUMMYFUNCTION("""COMPUTED_VALUE"""),"Venezuela Island")</f>
        <v>Venezuela Island</v>
      </c>
      <c r="C2614" s="2" t="str">
        <f ca="1">IFERROR(__xludf.DUMMYFUNCTION("""COMPUTED_VALUE"""),"Neighbourhood")</f>
        <v>Neighbourhood</v>
      </c>
      <c r="D2614" s="2" t="str">
        <f ca="1">IFERROR(__xludf.DUMMYFUNCTION("""COMPUTED_VALUE"""),"Dubai&gt;The World Islands&gt;Venezuela Island")</f>
        <v>Dubai&gt;The World Islands&gt;Venezuela Island</v>
      </c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</row>
    <row r="2615" spans="1:26" ht="16.5" x14ac:dyDescent="0.35">
      <c r="A2615" s="2" t="str">
        <f ca="1">IFERROR(__xludf.DUMMYFUNCTION("""COMPUTED_VALUE"""),"Dubai")</f>
        <v>Dubai</v>
      </c>
      <c r="B2615" s="2" t="str">
        <f ca="1">IFERROR(__xludf.DUMMYFUNCTION("""COMPUTED_VALUE"""),"Remah")</f>
        <v>Remah</v>
      </c>
      <c r="C2615" s="2" t="str">
        <f ca="1">IFERROR(__xludf.DUMMYFUNCTION("""COMPUTED_VALUE"""),"Neighbourhood")</f>
        <v>Neighbourhood</v>
      </c>
      <c r="D2615" s="2" t="str">
        <f ca="1">IFERROR(__xludf.DUMMYFUNCTION("""COMPUTED_VALUE"""),"Dubai&gt;Remah")</f>
        <v>Dubai&gt;Remah</v>
      </c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</row>
    <row r="2616" spans="1:26" ht="16.5" x14ac:dyDescent="0.35">
      <c r="A2616" s="2" t="str">
        <f ca="1">IFERROR(__xludf.DUMMYFUNCTION("""COMPUTED_VALUE"""),"Dubai")</f>
        <v>Dubai</v>
      </c>
      <c r="B2616" s="2" t="str">
        <f ca="1">IFERROR(__xludf.DUMMYFUNCTION("""COMPUTED_VALUE"""),"Neon")</f>
        <v>Neon</v>
      </c>
      <c r="C2616" s="2" t="str">
        <f ca="1">IFERROR(__xludf.DUMMYFUNCTION("""COMPUTED_VALUE"""),"Building")</f>
        <v>Building</v>
      </c>
      <c r="D2616" s="2" t="str">
        <f ca="1">IFERROR(__xludf.DUMMYFUNCTION("""COMPUTED_VALUE"""),"Dubai&gt;Athlon by Aldar&gt;Rise by Athlon&gt;Neon")</f>
        <v>Dubai&gt;Athlon by Aldar&gt;Rise by Athlon&gt;Neon</v>
      </c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</row>
    <row r="2617" spans="1:26" ht="16.5" x14ac:dyDescent="0.35">
      <c r="A2617" s="2" t="str">
        <f ca="1">IFERROR(__xludf.DUMMYFUNCTION("""COMPUTED_VALUE"""),"Dubai")</f>
        <v>Dubai</v>
      </c>
      <c r="B2617" s="2" t="str">
        <f ca="1">IFERROR(__xludf.DUMMYFUNCTION("""COMPUTED_VALUE"""),"Distrikt 3")</f>
        <v>Distrikt 3</v>
      </c>
      <c r="C2617" s="2" t="str">
        <f ca="1">IFERROR(__xludf.DUMMYFUNCTION("""COMPUTED_VALUE"""),"Building")</f>
        <v>Building</v>
      </c>
      <c r="D2617" s="2" t="str">
        <f ca="1">IFERROR(__xludf.DUMMYFUNCTION("""COMPUTED_VALUE"""),"Dubai&gt;Ghaf Woods&gt;Distrikt&gt;Distrikt 3")</f>
        <v>Dubai&gt;Ghaf Woods&gt;Distrikt&gt;Distrikt 3</v>
      </c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</row>
    <row r="2618" spans="1:26" ht="16.5" x14ac:dyDescent="0.35">
      <c r="A2618" s="2" t="str">
        <f ca="1">IFERROR(__xludf.DUMMYFUNCTION("""COMPUTED_VALUE"""),"Dubai")</f>
        <v>Dubai</v>
      </c>
      <c r="B2618" s="2" t="str">
        <f ca="1">IFERROR(__xludf.DUMMYFUNCTION("""COMPUTED_VALUE"""),"Shams 2")</f>
        <v>Shams 2</v>
      </c>
      <c r="C2618" s="2" t="str">
        <f ca="1">IFERROR(__xludf.DUMMYFUNCTION("""COMPUTED_VALUE"""),"Building")</f>
        <v>Building</v>
      </c>
      <c r="D2618" s="2" t="str">
        <f ca="1">IFERROR(__xludf.DUMMYFUNCTION("""COMPUTED_VALUE"""),"Dubai&gt;Jumeirah Beach Residence (JBR)&gt;Shams&gt;Shams 2")</f>
        <v>Dubai&gt;Jumeirah Beach Residence (JBR)&gt;Shams&gt;Shams 2</v>
      </c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</row>
    <row r="2619" spans="1:26" ht="16.5" x14ac:dyDescent="0.35">
      <c r="A2619" s="2" t="str">
        <f ca="1">IFERROR(__xludf.DUMMYFUNCTION("""COMPUTED_VALUE"""),"Dubai")</f>
        <v>Dubai</v>
      </c>
      <c r="B2619" s="2" t="str">
        <f ca="1">IFERROR(__xludf.DUMMYFUNCTION("""COMPUTED_VALUE"""),"Sadaf")</f>
        <v>Sadaf</v>
      </c>
      <c r="C2619" s="2" t="str">
        <f ca="1">IFERROR(__xludf.DUMMYFUNCTION("""COMPUTED_VALUE"""),"Cluster")</f>
        <v>Cluster</v>
      </c>
      <c r="D2619" s="2" t="str">
        <f ca="1">IFERROR(__xludf.DUMMYFUNCTION("""COMPUTED_VALUE"""),"Dubai&gt;Jumeirah Beach Residence (JBR)&gt;Sadaf")</f>
        <v>Dubai&gt;Jumeirah Beach Residence (JBR)&gt;Sadaf</v>
      </c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</row>
    <row r="2620" spans="1:26" ht="16.5" x14ac:dyDescent="0.35">
      <c r="A2620" s="2" t="str">
        <f ca="1">IFERROR(__xludf.DUMMYFUNCTION("""COMPUTED_VALUE"""),"Dubai")</f>
        <v>Dubai</v>
      </c>
      <c r="B2620" s="2" t="str">
        <f ca="1">IFERROR(__xludf.DUMMYFUNCTION("""COMPUTED_VALUE"""),"Al Fattan Marine Towers")</f>
        <v>Al Fattan Marine Towers</v>
      </c>
      <c r="C2620" s="2" t="str">
        <f ca="1">IFERROR(__xludf.DUMMYFUNCTION("""COMPUTED_VALUE"""),"Cluster")</f>
        <v>Cluster</v>
      </c>
      <c r="D2620" s="2" t="str">
        <f ca="1">IFERROR(__xludf.DUMMYFUNCTION("""COMPUTED_VALUE"""),"Dubai&gt;Jumeirah Beach Residence (JBR)&gt;Al Fattan Marine Towers")</f>
        <v>Dubai&gt;Jumeirah Beach Residence (JBR)&gt;Al Fattan Marine Towers</v>
      </c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</row>
    <row r="2621" spans="1:26" ht="16.5" x14ac:dyDescent="0.35">
      <c r="A2621" s="2" t="str">
        <f ca="1">IFERROR(__xludf.DUMMYFUNCTION("""COMPUTED_VALUE"""),"Dubai")</f>
        <v>Dubai</v>
      </c>
      <c r="B2621" s="2" t="str">
        <f ca="1">IFERROR(__xludf.DUMMYFUNCTION("""COMPUTED_VALUE"""),"Barbados 2")</f>
        <v>Barbados 2</v>
      </c>
      <c r="C2621" s="2" t="str">
        <f ca="1">IFERROR(__xludf.DUMMYFUNCTION("""COMPUTED_VALUE"""),"Neighbourhood")</f>
        <v>Neighbourhood</v>
      </c>
      <c r="D2621" s="2" t="str">
        <f ca="1">IFERROR(__xludf.DUMMYFUNCTION("""COMPUTED_VALUE"""),"Dubai&gt;DAMAC Islands 2&gt;Barbados 2")</f>
        <v>Dubai&gt;DAMAC Islands 2&gt;Barbados 2</v>
      </c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</row>
    <row r="2622" spans="1:26" ht="16.5" x14ac:dyDescent="0.35">
      <c r="A2622" s="2" t="str">
        <f ca="1">IFERROR(__xludf.DUMMYFUNCTION("""COMPUTED_VALUE"""),"Dubai")</f>
        <v>Dubai</v>
      </c>
      <c r="B2622" s="2" t="str">
        <f ca="1">IFERROR(__xludf.DUMMYFUNCTION("""COMPUTED_VALUE"""),"Building 18B")</f>
        <v>Building 18B</v>
      </c>
      <c r="C2622" s="2" t="str">
        <f ca="1">IFERROR(__xludf.DUMMYFUNCTION("""COMPUTED_VALUE"""),"Building")</f>
        <v>Building</v>
      </c>
      <c r="D2622" s="2" t="str">
        <f ca="1">IFERROR(__xludf.DUMMYFUNCTION("""COMPUTED_VALUE"""),"Dubai&gt;Al Wasl&gt;City Walk&gt;Building 18B")</f>
        <v>Dubai&gt;Al Wasl&gt;City Walk&gt;Building 18B</v>
      </c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</row>
    <row r="2623" spans="1:26" ht="16.5" x14ac:dyDescent="0.35">
      <c r="A2623" s="2" t="str">
        <f ca="1">IFERROR(__xludf.DUMMYFUNCTION("""COMPUTED_VALUE"""),"Dubai")</f>
        <v>Dubai</v>
      </c>
      <c r="B2623" s="2" t="str">
        <f ca="1">IFERROR(__xludf.DUMMYFUNCTION("""COMPUTED_VALUE"""),"Building 21A")</f>
        <v>Building 21A</v>
      </c>
      <c r="C2623" s="2" t="str">
        <f ca="1">IFERROR(__xludf.DUMMYFUNCTION("""COMPUTED_VALUE"""),"Building")</f>
        <v>Building</v>
      </c>
      <c r="D2623" s="2" t="str">
        <f ca="1">IFERROR(__xludf.DUMMYFUNCTION("""COMPUTED_VALUE"""),"Dubai&gt;Al Wasl&gt;City Walk&gt;Building 21A")</f>
        <v>Dubai&gt;Al Wasl&gt;City Walk&gt;Building 21A</v>
      </c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</row>
    <row r="2624" spans="1:26" ht="16.5" x14ac:dyDescent="0.35">
      <c r="A2624" s="2" t="str">
        <f ca="1">IFERROR(__xludf.DUMMYFUNCTION("""COMPUTED_VALUE"""),"Dubai")</f>
        <v>Dubai</v>
      </c>
      <c r="B2624" s="2" t="str">
        <f ca="1">IFERROR(__xludf.DUMMYFUNCTION("""COMPUTED_VALUE"""),"City Walk Crestlane 4 Building A")</f>
        <v>City Walk Crestlane 4 Building A</v>
      </c>
      <c r="C2624" s="2" t="str">
        <f ca="1">IFERROR(__xludf.DUMMYFUNCTION("""COMPUTED_VALUE"""),"Building")</f>
        <v>Building</v>
      </c>
      <c r="D2624" s="2" t="str">
        <f ca="1">IFERROR(__xludf.DUMMYFUNCTION("""COMPUTED_VALUE"""),"Dubai&gt;Al Wasl&gt;City Walk&gt;City Walk Crestlane 4&gt;City Walk Crestlane 4 Building A")</f>
        <v>Dubai&gt;Al Wasl&gt;City Walk&gt;City Walk Crestlane 4&gt;City Walk Crestlane 4 Building A</v>
      </c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</row>
    <row r="2625" spans="1:26" ht="16.5" x14ac:dyDescent="0.35">
      <c r="A2625" s="2" t="str">
        <f ca="1">IFERROR(__xludf.DUMMYFUNCTION("""COMPUTED_VALUE"""),"Dubai")</f>
        <v>Dubai</v>
      </c>
      <c r="B2625" s="2" t="str">
        <f ca="1">IFERROR(__xludf.DUMMYFUNCTION("""COMPUTED_VALUE"""),"Eden House The Park Building C")</f>
        <v>Eden House The Park Building C</v>
      </c>
      <c r="C2625" s="2" t="str">
        <f ca="1">IFERROR(__xludf.DUMMYFUNCTION("""COMPUTED_VALUE"""),"Building")</f>
        <v>Building</v>
      </c>
      <c r="D2625" s="2" t="str">
        <f ca="1">IFERROR(__xludf.DUMMYFUNCTION("""COMPUTED_VALUE"""),"Dubai&gt;Al Wasl&gt;Eden House The Park&gt;Eden House The Park Building C")</f>
        <v>Dubai&gt;Al Wasl&gt;Eden House The Park&gt;Eden House The Park Building C</v>
      </c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</row>
    <row r="2626" spans="1:26" ht="16.5" x14ac:dyDescent="0.35">
      <c r="A2626" s="2" t="str">
        <f ca="1">IFERROR(__xludf.DUMMYFUNCTION("""COMPUTED_VALUE"""),"Dubai")</f>
        <v>Dubai</v>
      </c>
      <c r="B2626" s="2" t="str">
        <f ca="1">IFERROR(__xludf.DUMMYFUNCTION("""COMPUTED_VALUE"""),"Q Gardens Boutique Residences Block A")</f>
        <v>Q Gardens Boutique Residences Block A</v>
      </c>
      <c r="C2626" s="2" t="str">
        <f ca="1">IFERROR(__xludf.DUMMYFUNCTION("""COMPUTED_VALUE"""),"Building")</f>
        <v>Building</v>
      </c>
      <c r="D2626" s="2" t="str">
        <f ca="1">IFERROR(__xludf.DUMMYFUNCTION("""COMPUTED_VALUE"""),"Dubai&gt;Arjan&gt;Q Gardens Boutique Residences&gt;Q Gardens Boutique Residences Block A")</f>
        <v>Dubai&gt;Arjan&gt;Q Gardens Boutique Residences&gt;Q Gardens Boutique Residences Block A</v>
      </c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</row>
    <row r="2627" spans="1:26" ht="16.5" x14ac:dyDescent="0.35">
      <c r="A2627" s="2" t="str">
        <f ca="1">IFERROR(__xludf.DUMMYFUNCTION("""COMPUTED_VALUE"""),"Dubai")</f>
        <v>Dubai</v>
      </c>
      <c r="B2627" s="2" t="str">
        <f ca="1">IFERROR(__xludf.DUMMYFUNCTION("""COMPUTED_VALUE"""),"Diamond Business Centre 1")</f>
        <v>Diamond Business Centre 1</v>
      </c>
      <c r="C2627" s="2" t="str">
        <f ca="1">IFERROR(__xludf.DUMMYFUNCTION("""COMPUTED_VALUE"""),"Building")</f>
        <v>Building</v>
      </c>
      <c r="D2627" s="2" t="str">
        <f ca="1">IFERROR(__xludf.DUMMYFUNCTION("""COMPUTED_VALUE"""),"Dubai&gt;Arjan&gt;Diamond Business Centre&gt;Diamond Business Centre 1")</f>
        <v>Dubai&gt;Arjan&gt;Diamond Business Centre&gt;Diamond Business Centre 1</v>
      </c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</row>
    <row r="2628" spans="1:26" ht="16.5" x14ac:dyDescent="0.35">
      <c r="A2628" s="2" t="str">
        <f ca="1">IFERROR(__xludf.DUMMYFUNCTION("""COMPUTED_VALUE"""),"Dubai")</f>
        <v>Dubai</v>
      </c>
      <c r="B2628" s="2" t="str">
        <f ca="1">IFERROR(__xludf.DUMMYFUNCTION("""COMPUTED_VALUE"""),"The Wings B")</f>
        <v>The Wings B</v>
      </c>
      <c r="C2628" s="2" t="str">
        <f ca="1">IFERROR(__xludf.DUMMYFUNCTION("""COMPUTED_VALUE"""),"Building")</f>
        <v>Building</v>
      </c>
      <c r="D2628" s="2" t="str">
        <f ca="1">IFERROR(__xludf.DUMMYFUNCTION("""COMPUTED_VALUE"""),"Dubai&gt;Arjan&gt;The Wings&gt;The Wings B")</f>
        <v>Dubai&gt;Arjan&gt;The Wings&gt;The Wings B</v>
      </c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</row>
    <row r="2629" spans="1:26" ht="16.5" x14ac:dyDescent="0.35">
      <c r="A2629" s="2" t="str">
        <f ca="1">IFERROR(__xludf.DUMMYFUNCTION("""COMPUTED_VALUE"""),"Dubai")</f>
        <v>Dubai</v>
      </c>
      <c r="B2629" s="2" t="str">
        <f ca="1">IFERROR(__xludf.DUMMYFUNCTION("""COMPUTED_VALUE"""),"Vincitore Volare")</f>
        <v>Vincitore Volare</v>
      </c>
      <c r="C2629" s="2" t="str">
        <f ca="1">IFERROR(__xludf.DUMMYFUNCTION("""COMPUTED_VALUE"""),"Building")</f>
        <v>Building</v>
      </c>
      <c r="D2629" s="2" t="str">
        <f ca="1">IFERROR(__xludf.DUMMYFUNCTION("""COMPUTED_VALUE"""),"Dubai&gt;Arjan&gt;Vincitore Volare")</f>
        <v>Dubai&gt;Arjan&gt;Vincitore Volare</v>
      </c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</row>
    <row r="2630" spans="1:26" ht="16.5" x14ac:dyDescent="0.35">
      <c r="A2630" s="2" t="str">
        <f ca="1">IFERROR(__xludf.DUMMYFUNCTION("""COMPUTED_VALUE"""),"Dubai")</f>
        <v>Dubai</v>
      </c>
      <c r="B2630" s="2" t="str">
        <f ca="1">IFERROR(__xludf.DUMMYFUNCTION("""COMPUTED_VALUE"""),"Skylines of Arjan Tower D")</f>
        <v>Skylines of Arjan Tower D</v>
      </c>
      <c r="C2630" s="2" t="str">
        <f ca="1">IFERROR(__xludf.DUMMYFUNCTION("""COMPUTED_VALUE"""),"Building")</f>
        <v>Building</v>
      </c>
      <c r="D2630" s="2" t="str">
        <f ca="1">IFERROR(__xludf.DUMMYFUNCTION("""COMPUTED_VALUE"""),"Dubai&gt;Arjan&gt;Skylines of Arjan&gt;Skylines of Arjan Tower D")</f>
        <v>Dubai&gt;Arjan&gt;Skylines of Arjan&gt;Skylines of Arjan Tower D</v>
      </c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</row>
    <row r="2631" spans="1:26" ht="16.5" x14ac:dyDescent="0.35">
      <c r="A2631" s="2" t="str">
        <f ca="1">IFERROR(__xludf.DUMMYFUNCTION("""COMPUTED_VALUE"""),"Dubai")</f>
        <v>Dubai</v>
      </c>
      <c r="B2631" s="2" t="str">
        <f ca="1">IFERROR(__xludf.DUMMYFUNCTION("""COMPUTED_VALUE"""),"Aria Gardens")</f>
        <v>Aria Gardens</v>
      </c>
      <c r="C2631" s="2" t="str">
        <f ca="1">IFERROR(__xludf.DUMMYFUNCTION("""COMPUTED_VALUE"""),"Cluster")</f>
        <v>Cluster</v>
      </c>
      <c r="D2631" s="2" t="str">
        <f ca="1">IFERROR(__xludf.DUMMYFUNCTION("""COMPUTED_VALUE"""),"Dubai&gt;Arjan&gt;Aria Gardens")</f>
        <v>Dubai&gt;Arjan&gt;Aria Gardens</v>
      </c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</row>
    <row r="2632" spans="1:26" ht="16.5" x14ac:dyDescent="0.35">
      <c r="A2632" s="2" t="str">
        <f ca="1">IFERROR(__xludf.DUMMYFUNCTION("""COMPUTED_VALUE"""),"Dubai")</f>
        <v>Dubai</v>
      </c>
      <c r="B2632" s="2" t="str">
        <f ca="1">IFERROR(__xludf.DUMMYFUNCTION("""COMPUTED_VALUE"""),"Al Ittihad Private School Jumeira")</f>
        <v>Al Ittihad Private School Jumeira</v>
      </c>
      <c r="C2632" s="2" t="str">
        <f ca="1">IFERROR(__xludf.DUMMYFUNCTION("""COMPUTED_VALUE"""),"School")</f>
        <v>School</v>
      </c>
      <c r="D2632" s="2" t="str">
        <f ca="1">IFERROR(__xludf.DUMMYFUNCTION("""COMPUTED_VALUE"""),"Dubai&gt;Al Safa&gt;Al Safa 1&gt;Al Ittihad Private School Jumeira")</f>
        <v>Dubai&gt;Al Safa&gt;Al Safa 1&gt;Al Ittihad Private School Jumeira</v>
      </c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</row>
    <row r="2633" spans="1:26" ht="16.5" x14ac:dyDescent="0.35">
      <c r="A2633" s="2" t="str">
        <f ca="1">IFERROR(__xludf.DUMMYFUNCTION("""COMPUTED_VALUE"""),"Dubai")</f>
        <v>Dubai</v>
      </c>
      <c r="B2633" s="2" t="str">
        <f ca="1">IFERROR(__xludf.DUMMYFUNCTION("""COMPUTED_VALUE"""),"DMC 4")</f>
        <v>DMC 4</v>
      </c>
      <c r="C2633" s="2" t="str">
        <f ca="1">IFERROR(__xludf.DUMMYFUNCTION("""COMPUTED_VALUE"""),"Building")</f>
        <v>Building</v>
      </c>
      <c r="D2633" s="2" t="str">
        <f ca="1">IFERROR(__xludf.DUMMYFUNCTION("""COMPUTED_VALUE"""),"Dubai&gt;Dubai Media City&gt;DMC 4")</f>
        <v>Dubai&gt;Dubai Media City&gt;DMC 4</v>
      </c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</row>
    <row r="2634" spans="1:26" ht="16.5" x14ac:dyDescent="0.35">
      <c r="A2634" s="2" t="str">
        <f ca="1">IFERROR(__xludf.DUMMYFUNCTION("""COMPUTED_VALUE"""),"Abu Dhabi")</f>
        <v>Abu Dhabi</v>
      </c>
      <c r="B2634" s="2" t="str">
        <f ca="1">IFERROR(__xludf.DUMMYFUNCTION("""COMPUTED_VALUE"""),"Al Nahda National School for Boys, Abu Dhabi")</f>
        <v>Al Nahda National School for Boys, Abu Dhabi</v>
      </c>
      <c r="C2634" s="2" t="str">
        <f ca="1">IFERROR(__xludf.DUMMYFUNCTION("""COMPUTED_VALUE"""),"School")</f>
        <v>School</v>
      </c>
      <c r="D2634" s="2" t="str">
        <f ca="1">IFERROR(__xludf.DUMMYFUNCTION("""COMPUTED_VALUE"""),"Abu Dhabi&gt;Al Nahyan&gt;Al Nahda National School for Boys, Abu Dhabi")</f>
        <v>Abu Dhabi&gt;Al Nahyan&gt;Al Nahda National School for Boys, Abu Dhabi</v>
      </c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</row>
    <row r="2635" spans="1:26" ht="16.5" x14ac:dyDescent="0.35">
      <c r="A2635" s="2" t="str">
        <f ca="1">IFERROR(__xludf.DUMMYFUNCTION("""COMPUTED_VALUE"""),"Abu Dhabi")</f>
        <v>Abu Dhabi</v>
      </c>
      <c r="B2635" s="2" t="str">
        <f ca="1">IFERROR(__xludf.DUMMYFUNCTION("""COMPUTED_VALUE"""),"Al Bateen Wharf")</f>
        <v>Al Bateen Wharf</v>
      </c>
      <c r="C2635" s="2" t="str">
        <f ca="1">IFERROR(__xludf.DUMMYFUNCTION("""COMPUTED_VALUE"""),"Neighbourhood")</f>
        <v>Neighbourhood</v>
      </c>
      <c r="D2635" s="2" t="str">
        <f ca="1">IFERROR(__xludf.DUMMYFUNCTION("""COMPUTED_VALUE"""),"Abu Dhabi&gt;Al Bateen&gt;Al Bateen Wharf")</f>
        <v>Abu Dhabi&gt;Al Bateen&gt;Al Bateen Wharf</v>
      </c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</row>
    <row r="2636" spans="1:26" ht="16.5" x14ac:dyDescent="0.35">
      <c r="A2636" s="2" t="str">
        <f ca="1">IFERROR(__xludf.DUMMYFUNCTION("""COMPUTED_VALUE"""),"Abu Dhabi")</f>
        <v>Abu Dhabi</v>
      </c>
      <c r="B2636" s="2" t="str">
        <f ca="1">IFERROR(__xludf.DUMMYFUNCTION("""COMPUTED_VALUE"""),"Al Odaid Office Tower")</f>
        <v>Al Odaid Office Tower</v>
      </c>
      <c r="C2636" s="2"/>
      <c r="D2636" s="2" t="str">
        <f ca="1">IFERROR(__xludf.DUMMYFUNCTION("""COMPUTED_VALUE"""),"Abu Dhabi&gt;Airport Street&gt;Al Odaid Office Tower")</f>
        <v>Abu Dhabi&gt;Airport Street&gt;Al Odaid Office Tower</v>
      </c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</row>
    <row r="2637" spans="1:26" ht="16.5" x14ac:dyDescent="0.35">
      <c r="A2637" s="2" t="str">
        <f ca="1">IFERROR(__xludf.DUMMYFUNCTION("""COMPUTED_VALUE"""),"Abu Dhabi")</f>
        <v>Abu Dhabi</v>
      </c>
      <c r="B2637" s="2" t="str">
        <f ca="1">IFERROR(__xludf.DUMMYFUNCTION("""COMPUTED_VALUE"""),"Khalifa Residential Complex B Building 5")</f>
        <v>Khalifa Residential Complex B Building 5</v>
      </c>
      <c r="C2637" s="2" t="str">
        <f ca="1">IFERROR(__xludf.DUMMYFUNCTION("""COMPUTED_VALUE"""),"Building")</f>
        <v>Building</v>
      </c>
      <c r="D2637" s="2" t="str">
        <f ca="1">IFERROR(__xludf.DUMMYFUNCTION("""COMPUTED_VALUE"""),"Abu Dhabi&gt;Tourist Club Area (TCA)&gt;Khalifa Residential Complex B&gt;Khalifa Residential Complex B Building 5")</f>
        <v>Abu Dhabi&gt;Tourist Club Area (TCA)&gt;Khalifa Residential Complex B&gt;Khalifa Residential Complex B Building 5</v>
      </c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</row>
    <row r="2638" spans="1:26" ht="16.5" x14ac:dyDescent="0.35">
      <c r="A2638" s="2" t="str">
        <f ca="1">IFERROR(__xludf.DUMMYFUNCTION("""COMPUTED_VALUE"""),"Abu Dhabi")</f>
        <v>Abu Dhabi</v>
      </c>
      <c r="B2638" s="2" t="str">
        <f ca="1">IFERROR(__xludf.DUMMYFUNCTION("""COMPUTED_VALUE"""),"Odyssey Nursery Mushrif")</f>
        <v>Odyssey Nursery Mushrif</v>
      </c>
      <c r="C2638" s="2" t="str">
        <f ca="1">IFERROR(__xludf.DUMMYFUNCTION("""COMPUTED_VALUE"""),"Nursery")</f>
        <v>Nursery</v>
      </c>
      <c r="D2638" s="2" t="str">
        <f ca="1">IFERROR(__xludf.DUMMYFUNCTION("""COMPUTED_VALUE"""),"Abu Dhabi&gt;Al Mushrif&gt;Odyssey Nursery Mushrif")</f>
        <v>Abu Dhabi&gt;Al Mushrif&gt;Odyssey Nursery Mushrif</v>
      </c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</row>
    <row r="2639" spans="1:26" ht="16.5" x14ac:dyDescent="0.35">
      <c r="A2639" s="2" t="str">
        <f ca="1">IFERROR(__xludf.DUMMYFUNCTION("""COMPUTED_VALUE"""),"Abu Dhabi")</f>
        <v>Abu Dhabi</v>
      </c>
      <c r="B2639" s="2" t="str">
        <f ca="1">IFERROR(__xludf.DUMMYFUNCTION("""COMPUTED_VALUE"""),"Faya at Bloom Gardens")</f>
        <v>Faya at Bloom Gardens</v>
      </c>
      <c r="C2639" s="2" t="str">
        <f ca="1">IFERROR(__xludf.DUMMYFUNCTION("""COMPUTED_VALUE"""),"Neighbourhood")</f>
        <v>Neighbourhood</v>
      </c>
      <c r="D2639" s="2" t="str">
        <f ca="1">IFERROR(__xludf.DUMMYFUNCTION("""COMPUTED_VALUE"""),"Abu Dhabi&gt;Al Muntazah&gt;Bloom Gardens&gt;Faya at Bloom Gardens")</f>
        <v>Abu Dhabi&gt;Al Muntazah&gt;Bloom Gardens&gt;Faya at Bloom Gardens</v>
      </c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</row>
    <row r="2640" spans="1:26" ht="16.5" x14ac:dyDescent="0.35">
      <c r="A2640" s="2" t="str">
        <f ca="1">IFERROR(__xludf.DUMMYFUNCTION("""COMPUTED_VALUE"""),"Abu Dhabi")</f>
        <v>Abu Dhabi</v>
      </c>
      <c r="B2640" s="2" t="str">
        <f ca="1">IFERROR(__xludf.DUMMYFUNCTION("""COMPUTED_VALUE"""),"Global Indian International School, Abu Dhabi")</f>
        <v>Global Indian International School, Abu Dhabi</v>
      </c>
      <c r="C2640" s="2" t="str">
        <f ca="1">IFERROR(__xludf.DUMMYFUNCTION("""COMPUTED_VALUE"""),"School")</f>
        <v>School</v>
      </c>
      <c r="D2640" s="2" t="str">
        <f ca="1">IFERROR(__xludf.DUMMYFUNCTION("""COMPUTED_VALUE"""),"Abu Dhabi&gt;Baniyas&gt;Global Indian International School, Abu Dhabi")</f>
        <v>Abu Dhabi&gt;Baniyas&gt;Global Indian International School, Abu Dhabi</v>
      </c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</row>
    <row r="2641" spans="1:26" ht="16.5" x14ac:dyDescent="0.35">
      <c r="A2641" s="2" t="str">
        <f ca="1">IFERROR(__xludf.DUMMYFUNCTION("""COMPUTED_VALUE"""),"Abu Dhabi")</f>
        <v>Abu Dhabi</v>
      </c>
      <c r="B2641" s="2" t="str">
        <f ca="1">IFERROR(__xludf.DUMMYFUNCTION("""COMPUTED_VALUE"""),"Cluster C")</f>
        <v>Cluster C</v>
      </c>
      <c r="C2641" s="2" t="str">
        <f ca="1">IFERROR(__xludf.DUMMYFUNCTION("""COMPUTED_VALUE"""),"Building")</f>
        <v>Building</v>
      </c>
      <c r="D2641" s="2" t="str">
        <f ca="1">IFERROR(__xludf.DUMMYFUNCTION("""COMPUTED_VALUE"""),"Abu Dhabi&gt;Masdar City&gt;Royal Park&gt;Cluster C")</f>
        <v>Abu Dhabi&gt;Masdar City&gt;Royal Park&gt;Cluster C</v>
      </c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</row>
    <row r="2642" spans="1:26" ht="16.5" x14ac:dyDescent="0.35">
      <c r="A2642" s="2" t="str">
        <f ca="1">IFERROR(__xludf.DUMMYFUNCTION("""COMPUTED_VALUE"""),"Abu Dhabi")</f>
        <v>Abu Dhabi</v>
      </c>
      <c r="B2642" s="2" t="str">
        <f ca="1">IFERROR(__xludf.DUMMYFUNCTION("""COMPUTED_VALUE"""),"Islamiya English School, Abu Dhabi")</f>
        <v>Islamiya English School, Abu Dhabi</v>
      </c>
      <c r="C2642" s="2" t="str">
        <f ca="1">IFERROR(__xludf.DUMMYFUNCTION("""COMPUTED_VALUE"""),"School")</f>
        <v>School</v>
      </c>
      <c r="D2642" s="2" t="str">
        <f ca="1">IFERROR(__xludf.DUMMYFUNCTION("""COMPUTED_VALUE"""),"Abu Dhabi&gt;Al Danah&gt;Islamiya English School, Abu Dhabi")</f>
        <v>Abu Dhabi&gt;Al Danah&gt;Islamiya English School, Abu Dhabi</v>
      </c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</row>
    <row r="2643" spans="1:26" ht="16.5" x14ac:dyDescent="0.35">
      <c r="A2643" s="2" t="str">
        <f ca="1">IFERROR(__xludf.DUMMYFUNCTION("""COMPUTED_VALUE"""),"Abu Dhabi")</f>
        <v>Abu Dhabi</v>
      </c>
      <c r="B2643" s="2" t="str">
        <f ca="1">IFERROR(__xludf.DUMMYFUNCTION("""COMPUTED_VALUE"""),"Al Hilal Bank Tower")</f>
        <v>Al Hilal Bank Tower</v>
      </c>
      <c r="C2643" s="2" t="str">
        <f ca="1">IFERROR(__xludf.DUMMYFUNCTION("""COMPUTED_VALUE"""),"Building")</f>
        <v>Building</v>
      </c>
      <c r="D2643" s="2" t="str">
        <f ca="1">IFERROR(__xludf.DUMMYFUNCTION("""COMPUTED_VALUE"""),"Abu Dhabi&gt;Al Maryah Island&gt;Al Hilal Bank Tower")</f>
        <v>Abu Dhabi&gt;Al Maryah Island&gt;Al Hilal Bank Tower</v>
      </c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</row>
    <row r="2644" spans="1:26" ht="16.5" x14ac:dyDescent="0.35">
      <c r="A2644" s="2" t="str">
        <f ca="1">IFERROR(__xludf.DUMMYFUNCTION("""COMPUTED_VALUE"""),"Abu Dhabi")</f>
        <v>Abu Dhabi</v>
      </c>
      <c r="B2644" s="2" t="str">
        <f ca="1">IFERROR(__xludf.DUMMYFUNCTION("""COMPUTED_VALUE"""),"Al Gurm Resort")</f>
        <v>Al Gurm Resort</v>
      </c>
      <c r="C2644" s="2" t="str">
        <f ca="1">IFERROR(__xludf.DUMMYFUNCTION("""COMPUTED_VALUE"""),"Neighbourhood")</f>
        <v>Neighbourhood</v>
      </c>
      <c r="D2644" s="2" t="str">
        <f ca="1">IFERROR(__xludf.DUMMYFUNCTION("""COMPUTED_VALUE"""),"Abu Dhabi&gt;Al Qurm&gt;Al Gurm Resort")</f>
        <v>Abu Dhabi&gt;Al Qurm&gt;Al Gurm Resort</v>
      </c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</row>
    <row r="2645" spans="1:26" ht="16.5" x14ac:dyDescent="0.35">
      <c r="A2645" s="2" t="str">
        <f ca="1">IFERROR(__xludf.DUMMYFUNCTION("""COMPUTED_VALUE"""),"Abu Dhabi")</f>
        <v>Abu Dhabi</v>
      </c>
      <c r="B2645" s="2" t="str">
        <f ca="1">IFERROR(__xludf.DUMMYFUNCTION("""COMPUTED_VALUE"""),"MSH23")</f>
        <v>MSH23</v>
      </c>
      <c r="C2645" s="2" t="str">
        <f ca="1">IFERROR(__xludf.DUMMYFUNCTION("""COMPUTED_VALUE"""),"Neighbourhood")</f>
        <v>Neighbourhood</v>
      </c>
      <c r="D2645" s="2" t="str">
        <f ca="1">IFERROR(__xludf.DUMMYFUNCTION("""COMPUTED_VALUE"""),"Abu Dhabi&gt;Shakhbout City&gt;MSH23")</f>
        <v>Abu Dhabi&gt;Shakhbout City&gt;MSH23</v>
      </c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</row>
    <row r="2646" spans="1:26" ht="16.5" x14ac:dyDescent="0.35">
      <c r="A2646" s="2" t="str">
        <f ca="1">IFERROR(__xludf.DUMMYFUNCTION("""COMPUTED_VALUE"""),"Abu Dhabi")</f>
        <v>Abu Dhabi</v>
      </c>
      <c r="B2646" s="2" t="str">
        <f ca="1">IFERROR(__xludf.DUMMYFUNCTION("""COMPUTED_VALUE"""),"Ain Al Maha")</f>
        <v>Ain Al Maha</v>
      </c>
      <c r="C2646" s="2" t="str">
        <f ca="1">IFERROR(__xludf.DUMMYFUNCTION("""COMPUTED_VALUE"""),"Neighbourhood")</f>
        <v>Neighbourhood</v>
      </c>
      <c r="D2646" s="2" t="str">
        <f ca="1">IFERROR(__xludf.DUMMYFUNCTION("""COMPUTED_VALUE"""),"Abu Dhabi&gt;Al Jubail Island&gt;Ain Al Maha")</f>
        <v>Abu Dhabi&gt;Al Jubail Island&gt;Ain Al Maha</v>
      </c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</row>
    <row r="2647" spans="1:26" ht="16.5" x14ac:dyDescent="0.35">
      <c r="A2647" s="2" t="str">
        <f ca="1">IFERROR(__xludf.DUMMYFUNCTION("""COMPUTED_VALUE"""),"Abu Dhabi")</f>
        <v>Abu Dhabi</v>
      </c>
      <c r="B2647" s="2" t="str">
        <f ca="1">IFERROR(__xludf.DUMMYFUNCTION("""COMPUTED_VALUE"""),"Asma Majid Al Futtaim Building")</f>
        <v>Asma Majid Al Futtaim Building</v>
      </c>
      <c r="C2647" s="2"/>
      <c r="D2647" s="2" t="str">
        <f ca="1">IFERROR(__xludf.DUMMYFUNCTION("""COMPUTED_VALUE"""),"Abu Dhabi&gt;Defence Street&gt;Asma Majid Al Futtaim Building")</f>
        <v>Abu Dhabi&gt;Defence Street&gt;Asma Majid Al Futtaim Building</v>
      </c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</row>
    <row r="2648" spans="1:26" ht="16.5" x14ac:dyDescent="0.35">
      <c r="A2648" s="2" t="str">
        <f ca="1">IFERROR(__xludf.DUMMYFUNCTION("""COMPUTED_VALUE"""),"Abu Dhabi")</f>
        <v>Abu Dhabi</v>
      </c>
      <c r="B2648" s="2" t="str">
        <f ca="1">IFERROR(__xludf.DUMMYFUNCTION("""COMPUTED_VALUE"""),"Baynuna Tower 2")</f>
        <v>Baynuna Tower 2</v>
      </c>
      <c r="C2648" s="2" t="str">
        <f ca="1">IFERROR(__xludf.DUMMYFUNCTION("""COMPUTED_VALUE"""),"Building")</f>
        <v>Building</v>
      </c>
      <c r="D2648" s="2" t="str">
        <f ca="1">IFERROR(__xludf.DUMMYFUNCTION("""COMPUTED_VALUE"""),"Abu Dhabi&gt;Al Hisn&gt;Baynuna Tower 2")</f>
        <v>Abu Dhabi&gt;Al Hisn&gt;Baynuna Tower 2</v>
      </c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</row>
    <row r="2649" spans="1:26" ht="16.5" x14ac:dyDescent="0.35">
      <c r="A2649" s="2" t="str">
        <f ca="1">IFERROR(__xludf.DUMMYFUNCTION("""COMPUTED_VALUE"""),"Abu Dhabi")</f>
        <v>Abu Dhabi</v>
      </c>
      <c r="B2649" s="2" t="str">
        <f ca="1">IFERROR(__xludf.DUMMYFUNCTION("""COMPUTED_VALUE"""),"SHM12")</f>
        <v>SHM12</v>
      </c>
      <c r="C2649" s="2" t="str">
        <f ca="1">IFERROR(__xludf.DUMMYFUNCTION("""COMPUTED_VALUE"""),"Neighbourhood")</f>
        <v>Neighbourhood</v>
      </c>
      <c r="D2649" s="2" t="str">
        <f ca="1">IFERROR(__xludf.DUMMYFUNCTION("""COMPUTED_VALUE"""),"Abu Dhabi&gt;Al Shawamekh&gt;SHM12")</f>
        <v>Abu Dhabi&gt;Al Shawamekh&gt;SHM12</v>
      </c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</row>
    <row r="2650" spans="1:26" ht="16.5" x14ac:dyDescent="0.35">
      <c r="A2650" s="2" t="str">
        <f ca="1">IFERROR(__xludf.DUMMYFUNCTION("""COMPUTED_VALUE"""),"Abu Dhabi")</f>
        <v>Abu Dhabi</v>
      </c>
      <c r="B2650" s="2" t="str">
        <f ca="1">IFERROR(__xludf.DUMMYFUNCTION("""COMPUTED_VALUE"""),"The Beach House Tower 7")</f>
        <v>The Beach House Tower 7</v>
      </c>
      <c r="C2650" s="2" t="str">
        <f ca="1">IFERROR(__xludf.DUMMYFUNCTION("""COMPUTED_VALUE"""),"Building")</f>
        <v>Building</v>
      </c>
      <c r="D2650" s="2" t="str">
        <f ca="1">IFERROR(__xludf.DUMMYFUNCTION("""COMPUTED_VALUE"""),"Abu Dhabi&gt;Fahid Island&gt;The Beach House&gt;The Beach House Tower 7")</f>
        <v>Abu Dhabi&gt;Fahid Island&gt;The Beach House&gt;The Beach House Tower 7</v>
      </c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</row>
    <row r="2651" spans="1:26" ht="16.5" x14ac:dyDescent="0.35">
      <c r="A2651" s="2" t="str">
        <f ca="1">IFERROR(__xludf.DUMMYFUNCTION("""COMPUTED_VALUE"""),"Abu Dhabi")</f>
        <v>Abu Dhabi</v>
      </c>
      <c r="B2651" s="2" t="str">
        <f ca="1">IFERROR(__xludf.DUMMYFUNCTION("""COMPUTED_VALUE"""),"Marina Bay By DAMAC")</f>
        <v>Marina Bay By DAMAC</v>
      </c>
      <c r="C2651" s="2" t="str">
        <f ca="1">IFERROR(__xludf.DUMMYFUNCTION("""COMPUTED_VALUE"""),"Building")</f>
        <v>Building</v>
      </c>
      <c r="D2651" s="2" t="str">
        <f ca="1">IFERROR(__xludf.DUMMYFUNCTION("""COMPUTED_VALUE"""),"Abu Dhabi&gt;Al Reem Island&gt;Najmat Abu Dhabi&gt;Marina Bay By DAMAC")</f>
        <v>Abu Dhabi&gt;Al Reem Island&gt;Najmat Abu Dhabi&gt;Marina Bay By DAMAC</v>
      </c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</row>
    <row r="2652" spans="1:26" ht="16.5" x14ac:dyDescent="0.35">
      <c r="A2652" s="2" t="str">
        <f ca="1">IFERROR(__xludf.DUMMYFUNCTION("""COMPUTED_VALUE"""),"Abu Dhabi")</f>
        <v>Abu Dhabi</v>
      </c>
      <c r="B2652" s="2" t="str">
        <f ca="1">IFERROR(__xludf.DUMMYFUNCTION("""COMPUTED_VALUE"""),"Marina Heights")</f>
        <v>Marina Heights</v>
      </c>
      <c r="C2652" s="2" t="str">
        <f ca="1">IFERROR(__xludf.DUMMYFUNCTION("""COMPUTED_VALUE"""),"Cluster")</f>
        <v>Cluster</v>
      </c>
      <c r="D2652" s="2" t="str">
        <f ca="1">IFERROR(__xludf.DUMMYFUNCTION("""COMPUTED_VALUE"""),"Abu Dhabi&gt;Al Reem Island&gt;Marina Square&gt;Marina Heights")</f>
        <v>Abu Dhabi&gt;Al Reem Island&gt;Marina Square&gt;Marina Heights</v>
      </c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</row>
    <row r="2653" spans="1:26" ht="16.5" x14ac:dyDescent="0.35">
      <c r="A2653" s="2" t="str">
        <f ca="1">IFERROR(__xludf.DUMMYFUNCTION("""COMPUTED_VALUE"""),"Abu Dhabi")</f>
        <v>Abu Dhabi</v>
      </c>
      <c r="B2653" s="2" t="str">
        <f ca="1">IFERROR(__xludf.DUMMYFUNCTION("""COMPUTED_VALUE"""),"Redwood Montessori Nursery Al Reem Island")</f>
        <v>Redwood Montessori Nursery Al Reem Island</v>
      </c>
      <c r="C2653" s="2" t="str">
        <f ca="1">IFERROR(__xludf.DUMMYFUNCTION("""COMPUTED_VALUE"""),"Nursery")</f>
        <v>Nursery</v>
      </c>
      <c r="D2653" s="2" t="str">
        <f ca="1">IFERROR(__xludf.DUMMYFUNCTION("""COMPUTED_VALUE"""),"Abu Dhabi&gt;Al Reem Island&gt;Shams Abu Dhabi&gt;Shams Gate District&gt;Redwood Montessori Nursery Al Reem Island")</f>
        <v>Abu Dhabi&gt;Al Reem Island&gt;Shams Abu Dhabi&gt;Shams Gate District&gt;Redwood Montessori Nursery Al Reem Island</v>
      </c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</row>
    <row r="2654" spans="1:26" ht="16.5" x14ac:dyDescent="0.35">
      <c r="A2654" s="2" t="str">
        <f ca="1">IFERROR(__xludf.DUMMYFUNCTION("""COMPUTED_VALUE"""),"Abu Dhabi")</f>
        <v>Abu Dhabi</v>
      </c>
      <c r="B2654" s="2" t="str">
        <f ca="1">IFERROR(__xludf.DUMMYFUNCTION("""COMPUTED_VALUE"""),"One Reem Island")</f>
        <v>One Reem Island</v>
      </c>
      <c r="C2654" s="2" t="str">
        <f ca="1">IFERROR(__xludf.DUMMYFUNCTION("""COMPUTED_VALUE"""),"Building")</f>
        <v>Building</v>
      </c>
      <c r="D2654" s="2" t="str">
        <f ca="1">IFERROR(__xludf.DUMMYFUNCTION("""COMPUTED_VALUE"""),"Abu Dhabi&gt;Al Reem Island&gt;Shams Abu Dhabi&gt;One Reem Island")</f>
        <v>Abu Dhabi&gt;Al Reem Island&gt;Shams Abu Dhabi&gt;One Reem Island</v>
      </c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</row>
    <row r="2655" spans="1:26" ht="16.5" x14ac:dyDescent="0.35">
      <c r="A2655" s="2" t="str">
        <f ca="1">IFERROR(__xludf.DUMMYFUNCTION("""COMPUTED_VALUE"""),"Abu Dhabi")</f>
        <v>Abu Dhabi</v>
      </c>
      <c r="B2655" s="2" t="str">
        <f ca="1">IFERROR(__xludf.DUMMYFUNCTION("""COMPUTED_VALUE"""),"Radiant Viewz 1")</f>
        <v>Radiant Viewz 1</v>
      </c>
      <c r="C2655" s="2" t="str">
        <f ca="1">IFERROR(__xludf.DUMMYFUNCTION("""COMPUTED_VALUE"""),"Building")</f>
        <v>Building</v>
      </c>
      <c r="D2655" s="2" t="str">
        <f ca="1">IFERROR(__xludf.DUMMYFUNCTION("""COMPUTED_VALUE"""),"Abu Dhabi&gt;Al Reem Island&gt;City of Lights&gt;Radiant Square&gt;Radiant Viewz 1")</f>
        <v>Abu Dhabi&gt;Al Reem Island&gt;City of Lights&gt;Radiant Square&gt;Radiant Viewz 1</v>
      </c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</row>
    <row r="2656" spans="1:26" ht="16.5" x14ac:dyDescent="0.35">
      <c r="A2656" s="2" t="str">
        <f ca="1">IFERROR(__xludf.DUMMYFUNCTION("""COMPUTED_VALUE"""),"Abu Dhabi")</f>
        <v>Abu Dhabi</v>
      </c>
      <c r="B2656" s="2" t="str">
        <f ca="1">IFERROR(__xludf.DUMMYFUNCTION("""COMPUTED_VALUE"""),"Makany")</f>
        <v>Makany</v>
      </c>
      <c r="C2656" s="2" t="str">
        <f ca="1">IFERROR(__xludf.DUMMYFUNCTION("""COMPUTED_VALUE"""),"Building")</f>
        <v>Building</v>
      </c>
      <c r="D2656" s="2" t="str">
        <f ca="1">IFERROR(__xludf.DUMMYFUNCTION("""COMPUTED_VALUE"""),"Abu Dhabi&gt;Al Reem Island&gt;Reem Hills&gt;Makany")</f>
        <v>Abu Dhabi&gt;Al Reem Island&gt;Reem Hills&gt;Makany</v>
      </c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</row>
    <row r="2657" spans="1:26" ht="16.5" x14ac:dyDescent="0.35">
      <c r="A2657" s="2" t="str">
        <f ca="1">IFERROR(__xludf.DUMMYFUNCTION("""COMPUTED_VALUE"""),"Abu Dhabi")</f>
        <v>Abu Dhabi</v>
      </c>
      <c r="B2657" s="2" t="str">
        <f ca="1">IFERROR(__xludf.DUMMYFUNCTION("""COMPUTED_VALUE"""),"Silver Tower")</f>
        <v>Silver Tower</v>
      </c>
      <c r="C2657" s="2" t="str">
        <f ca="1">IFERROR(__xludf.DUMMYFUNCTION("""COMPUTED_VALUE"""),"Building")</f>
        <v>Building</v>
      </c>
      <c r="D2657" s="2" t="str">
        <f ca="1">IFERROR(__xludf.DUMMYFUNCTION("""COMPUTED_VALUE"""),"Abu Dhabi&gt;Corniche Road&gt;Silver Tower")</f>
        <v>Abu Dhabi&gt;Corniche Road&gt;Silver Tower</v>
      </c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</row>
    <row r="2658" spans="1:26" ht="16.5" x14ac:dyDescent="0.35">
      <c r="A2658" s="2" t="str">
        <f ca="1">IFERROR(__xludf.DUMMYFUNCTION("""COMPUTED_VALUE"""),"Abu Dhabi")</f>
        <v>Abu Dhabi</v>
      </c>
      <c r="B2658" s="2" t="str">
        <f ca="1">IFERROR(__xludf.DUMMYFUNCTION("""COMPUTED_VALUE"""),"ZADCO Complex")</f>
        <v>ZADCO Complex</v>
      </c>
      <c r="C2658" s="2" t="str">
        <f ca="1">IFERROR(__xludf.DUMMYFUNCTION("""COMPUTED_VALUE"""),"Cluster")</f>
        <v>Cluster</v>
      </c>
      <c r="D2658" s="2" t="str">
        <f ca="1">IFERROR(__xludf.DUMMYFUNCTION("""COMPUTED_VALUE"""),"Abu Dhabi&gt;Al Khalidiyah&gt;ZADCO Complex")</f>
        <v>Abu Dhabi&gt;Al Khalidiyah&gt;ZADCO Complex</v>
      </c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</row>
    <row r="2659" spans="1:26" ht="16.5" x14ac:dyDescent="0.35">
      <c r="A2659" s="2" t="str">
        <f ca="1">IFERROR(__xludf.DUMMYFUNCTION("""COMPUTED_VALUE"""),"Abu Dhabi")</f>
        <v>Abu Dhabi</v>
      </c>
      <c r="B2659" s="2" t="str">
        <f ca="1">IFERROR(__xludf.DUMMYFUNCTION("""COMPUTED_VALUE"""),"Sheikha Salama Tower")</f>
        <v>Sheikha Salama Tower</v>
      </c>
      <c r="C2659" s="2" t="str">
        <f ca="1">IFERROR(__xludf.DUMMYFUNCTION("""COMPUTED_VALUE"""),"Building")</f>
        <v>Building</v>
      </c>
      <c r="D2659" s="2" t="str">
        <f ca="1">IFERROR(__xludf.DUMMYFUNCTION("""COMPUTED_VALUE"""),"Abu Dhabi&gt;Al Khalidiyah&gt;Khalidiyah Street&gt;Sheikha Salama Tower")</f>
        <v>Abu Dhabi&gt;Al Khalidiyah&gt;Khalidiyah Street&gt;Sheikha Salama Tower</v>
      </c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</row>
    <row r="2660" spans="1:26" ht="16.5" x14ac:dyDescent="0.35">
      <c r="A2660" s="2" t="str">
        <f ca="1">IFERROR(__xludf.DUMMYFUNCTION("""COMPUTED_VALUE"""),"Abu Dhabi")</f>
        <v>Abu Dhabi</v>
      </c>
      <c r="B2660" s="2" t="str">
        <f ca="1">IFERROR(__xludf.DUMMYFUNCTION("""COMPUTED_VALUE"""),"18 Villas Complex")</f>
        <v>18 Villas Complex</v>
      </c>
      <c r="C2660" s="2" t="str">
        <f ca="1">IFERROR(__xludf.DUMMYFUNCTION("""COMPUTED_VALUE"""),"Neighbourhood")</f>
        <v>Neighbourhood</v>
      </c>
      <c r="D2660" s="2" t="str">
        <f ca="1">IFERROR(__xludf.DUMMYFUNCTION("""COMPUTED_VALUE"""),"Abu Dhabi&gt;Khalifa City&gt;18 Villas Complex")</f>
        <v>Abu Dhabi&gt;Khalifa City&gt;18 Villas Complex</v>
      </c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</row>
    <row r="2661" spans="1:26" ht="16.5" x14ac:dyDescent="0.35">
      <c r="A2661" s="2" t="str">
        <f ca="1">IFERROR(__xludf.DUMMYFUNCTION("""COMPUTED_VALUE"""),"Abu Dhabi")</f>
        <v>Abu Dhabi</v>
      </c>
      <c r="B2661" s="2" t="str">
        <f ca="1">IFERROR(__xludf.DUMMYFUNCTION("""COMPUTED_VALUE"""),"SW14")</f>
        <v>SW14</v>
      </c>
      <c r="C2661" s="2" t="str">
        <f ca="1">IFERROR(__xludf.DUMMYFUNCTION("""COMPUTED_VALUE"""),"Neighbourhood")</f>
        <v>Neighbourhood</v>
      </c>
      <c r="D2661" s="2" t="str">
        <f ca="1">IFERROR(__xludf.DUMMYFUNCTION("""COMPUTED_VALUE"""),"Abu Dhabi&gt;Khalifa City&gt;SW14")</f>
        <v>Abu Dhabi&gt;Khalifa City&gt;SW14</v>
      </c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</row>
    <row r="2662" spans="1:26" ht="16.5" x14ac:dyDescent="0.35">
      <c r="A2662" s="2" t="str">
        <f ca="1">IFERROR(__xludf.DUMMYFUNCTION("""COMPUTED_VALUE"""),"Abu Dhabi")</f>
        <v>Abu Dhabi</v>
      </c>
      <c r="B2662" s="2" t="str">
        <f ca="1">IFERROR(__xludf.DUMMYFUNCTION("""COMPUTED_VALUE"""),"Bin Butti Al Qubaisi Tower")</f>
        <v>Bin Butti Al Qubaisi Tower</v>
      </c>
      <c r="C2662" s="2" t="str">
        <f ca="1">IFERROR(__xludf.DUMMYFUNCTION("""COMPUTED_VALUE"""),"Building")</f>
        <v>Building</v>
      </c>
      <c r="D2662" s="2" t="str">
        <f ca="1">IFERROR(__xludf.DUMMYFUNCTION("""COMPUTED_VALUE"""),"Abu Dhabi&gt;Al Markaziya&gt;Bin Butti Al Qubaisi Tower")</f>
        <v>Abu Dhabi&gt;Al Markaziya&gt;Bin Butti Al Qubaisi Tower</v>
      </c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</row>
    <row r="2663" spans="1:26" ht="16.5" x14ac:dyDescent="0.35">
      <c r="A2663" s="2" t="str">
        <f ca="1">IFERROR(__xludf.DUMMYFUNCTION("""COMPUTED_VALUE"""),"Abu Dhabi")</f>
        <v>Abu Dhabi</v>
      </c>
      <c r="B2663" s="2" t="str">
        <f ca="1">IFERROR(__xludf.DUMMYFUNCTION("""COMPUTED_VALUE"""),"Al Mariah Community")</f>
        <v>Al Mariah Community</v>
      </c>
      <c r="C2663" s="2" t="str">
        <f ca="1">IFERROR(__xludf.DUMMYFUNCTION("""COMPUTED_VALUE"""),"Neighbourhood")</f>
        <v>Neighbourhood</v>
      </c>
      <c r="D2663" s="2" t="str">
        <f ca="1">IFERROR(__xludf.DUMMYFUNCTION("""COMPUTED_VALUE"""),"Abu Dhabi&gt;Al Raha Gardens&gt;Al Mariah Community")</f>
        <v>Abu Dhabi&gt;Al Raha Gardens&gt;Al Mariah Community</v>
      </c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</row>
    <row r="2664" spans="1:26" ht="16.5" x14ac:dyDescent="0.35">
      <c r="A2664" s="2" t="str">
        <f ca="1">IFERROR(__xludf.DUMMYFUNCTION("""COMPUTED_VALUE"""),"Abu Dhabi")</f>
        <v>Abu Dhabi</v>
      </c>
      <c r="B2664" s="2" t="str">
        <f ca="1">IFERROR(__xludf.DUMMYFUNCTION("""COMPUTED_VALUE"""),"Mamsha Gardens Building 2")</f>
        <v>Mamsha Gardens Building 2</v>
      </c>
      <c r="C2664" s="2" t="str">
        <f ca="1">IFERROR(__xludf.DUMMYFUNCTION("""COMPUTED_VALUE"""),"Building")</f>
        <v>Building</v>
      </c>
      <c r="D2664" s="2" t="str">
        <f ca="1">IFERROR(__xludf.DUMMYFUNCTION("""COMPUTED_VALUE"""),"Abu Dhabi&gt;Saadiyat Island&gt;Saadiyat Cultural District&gt;Mamsha Gardens&gt;Mamsha Gardens Building 2")</f>
        <v>Abu Dhabi&gt;Saadiyat Island&gt;Saadiyat Cultural District&gt;Mamsha Gardens&gt;Mamsha Gardens Building 2</v>
      </c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</row>
    <row r="2665" spans="1:26" ht="16.5" x14ac:dyDescent="0.35">
      <c r="A2665" s="2" t="str">
        <f ca="1">IFERROR(__xludf.DUMMYFUNCTION("""COMPUTED_VALUE"""),"Abu Dhabi")</f>
        <v>Abu Dhabi</v>
      </c>
      <c r="B2665" s="2" t="str">
        <f ca="1">IFERROR(__xludf.DUMMYFUNCTION("""COMPUTED_VALUE"""),"Saadiyat Beach Residences Block 1")</f>
        <v>Saadiyat Beach Residences Block 1</v>
      </c>
      <c r="C2665" s="2" t="str">
        <f ca="1">IFERROR(__xludf.DUMMYFUNCTION("""COMPUTED_VALUE"""),"Building")</f>
        <v>Building</v>
      </c>
      <c r="D2665" s="2" t="str">
        <f ca="1">IFERROR(__xludf.DUMMYFUNCTION("""COMPUTED_VALUE"""),"Abu Dhabi&gt;Saadiyat Island&gt;Saadiyat Beach&gt;Saadiyat Beach Residences&gt;Saadiyat Beach Residences Block 1")</f>
        <v>Abu Dhabi&gt;Saadiyat Island&gt;Saadiyat Beach&gt;Saadiyat Beach Residences&gt;Saadiyat Beach Residences Block 1</v>
      </c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</row>
    <row r="2666" spans="1:26" ht="16.5" x14ac:dyDescent="0.35">
      <c r="A2666" s="2" t="str">
        <f ca="1">IFERROR(__xludf.DUMMYFUNCTION("""COMPUTED_VALUE"""),"Abu Dhabi")</f>
        <v>Abu Dhabi</v>
      </c>
      <c r="B2666" s="2" t="str">
        <f ca="1">IFERROR(__xludf.DUMMYFUNCTION("""COMPUTED_VALUE"""),"Solea Building C")</f>
        <v>Solea Building C</v>
      </c>
      <c r="C2666" s="2" t="str">
        <f ca="1">IFERROR(__xludf.DUMMYFUNCTION("""COMPUTED_VALUE"""),"Building")</f>
        <v>Building</v>
      </c>
      <c r="D2666" s="2" t="str">
        <f ca="1">IFERROR(__xludf.DUMMYFUNCTION("""COMPUTED_VALUE"""),"Abu Dhabi&gt;Saadiyat Island&gt;Solea&gt;Solea Building C")</f>
        <v>Abu Dhabi&gt;Saadiyat Island&gt;Solea&gt;Solea Building C</v>
      </c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</row>
    <row r="2667" spans="1:26" ht="16.5" x14ac:dyDescent="0.35">
      <c r="A2667" s="2" t="str">
        <f ca="1">IFERROR(__xludf.DUMMYFUNCTION("""COMPUTED_VALUE"""),"Abu Dhabi")</f>
        <v>Abu Dhabi</v>
      </c>
      <c r="B2667" s="2" t="str">
        <f ca="1">IFERROR(__xludf.DUMMYFUNCTION("""COMPUTED_VALUE"""),"Mira Residence")</f>
        <v>Mira Residence</v>
      </c>
      <c r="C2667" s="2" t="str">
        <f ca="1">IFERROR(__xludf.DUMMYFUNCTION("""COMPUTED_VALUE"""),"Cluster")</f>
        <v>Cluster</v>
      </c>
      <c r="D2667" s="2" t="str">
        <f ca="1">IFERROR(__xludf.DUMMYFUNCTION("""COMPUTED_VALUE"""),"Abu Dhabi&gt;Al Raha Beach&gt;Mira Residence")</f>
        <v>Abu Dhabi&gt;Al Raha Beach&gt;Mira Residence</v>
      </c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</row>
    <row r="2668" spans="1:26" ht="16.5" x14ac:dyDescent="0.35">
      <c r="A2668" s="2" t="str">
        <f ca="1">IFERROR(__xludf.DUMMYFUNCTION("""COMPUTED_VALUE"""),"Abu Dhabi")</f>
        <v>Abu Dhabi</v>
      </c>
      <c r="B2668" s="2" t="str">
        <f ca="1">IFERROR(__xludf.DUMMYFUNCTION("""COMPUTED_VALUE"""),"Al Sana 1")</f>
        <v>Al Sana 1</v>
      </c>
      <c r="C2668" s="2" t="str">
        <f ca="1">IFERROR(__xludf.DUMMYFUNCTION("""COMPUTED_VALUE"""),"Building")</f>
        <v>Building</v>
      </c>
      <c r="D2668" s="2" t="str">
        <f ca="1">IFERROR(__xludf.DUMMYFUNCTION("""COMPUTED_VALUE"""),"Abu Dhabi&gt;Al Raha Beach&gt;Al Muneera&gt;Al Sana&gt;Al Sana 1")</f>
        <v>Abu Dhabi&gt;Al Raha Beach&gt;Al Muneera&gt;Al Sana&gt;Al Sana 1</v>
      </c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</row>
    <row r="2669" spans="1:26" ht="16.5" x14ac:dyDescent="0.35">
      <c r="A2669" s="2" t="str">
        <f ca="1">IFERROR(__xludf.DUMMYFUNCTION("""COMPUTED_VALUE"""),"Abu Dhabi")</f>
        <v>Abu Dhabi</v>
      </c>
      <c r="B2669" s="2" t="str">
        <f ca="1">IFERROR(__xludf.DUMMYFUNCTION("""COMPUTED_VALUE"""),"Amwaj 2")</f>
        <v>Amwaj 2</v>
      </c>
      <c r="C2669" s="2" t="str">
        <f ca="1">IFERROR(__xludf.DUMMYFUNCTION("""COMPUTED_VALUE"""),"Building")</f>
        <v>Building</v>
      </c>
      <c r="D2669" s="2" t="str">
        <f ca="1">IFERROR(__xludf.DUMMYFUNCTION("""COMPUTED_VALUE"""),"Abu Dhabi&gt;Al Raha Beach&gt;Amwaj&gt;Amwaj 2")</f>
        <v>Abu Dhabi&gt;Al Raha Beach&gt;Amwaj&gt;Amwaj 2</v>
      </c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</row>
    <row r="2670" spans="1:26" ht="16.5" x14ac:dyDescent="0.35">
      <c r="A2670" s="2" t="str">
        <f ca="1">IFERROR(__xludf.DUMMYFUNCTION("""COMPUTED_VALUE"""),"Abu Dhabi")</f>
        <v>Abu Dhabi</v>
      </c>
      <c r="B2670" s="2" t="str">
        <f ca="1">IFERROR(__xludf.DUMMYFUNCTION("""COMPUTED_VALUE"""),"Al Rayan Tower")</f>
        <v>Al Rayan Tower</v>
      </c>
      <c r="C2670" s="2" t="str">
        <f ca="1">IFERROR(__xludf.DUMMYFUNCTION("""COMPUTED_VALUE"""),"Building")</f>
        <v>Building</v>
      </c>
      <c r="D2670" s="2" t="str">
        <f ca="1">IFERROR(__xludf.DUMMYFUNCTION("""COMPUTED_VALUE"""),"Abu Dhabi&gt;Danet Abu Dhabi&gt;Al Rayan Tower")</f>
        <v>Abu Dhabi&gt;Danet Abu Dhabi&gt;Al Rayan Tower</v>
      </c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</row>
    <row r="2671" spans="1:26" ht="16.5" x14ac:dyDescent="0.35">
      <c r="A2671" s="2" t="str">
        <f ca="1">IFERROR(__xludf.DUMMYFUNCTION("""COMPUTED_VALUE"""),"Abu Dhabi")</f>
        <v>Abu Dhabi</v>
      </c>
      <c r="B2671" s="2" t="str">
        <f ca="1">IFERROR(__xludf.DUMMYFUNCTION("""COMPUTED_VALUE"""),"The Cambridge High School, Abu Dhabi")</f>
        <v>The Cambridge High School, Abu Dhabi</v>
      </c>
      <c r="C2671" s="2" t="str">
        <f ca="1">IFERROR(__xludf.DUMMYFUNCTION("""COMPUTED_VALUE"""),"School")</f>
        <v>School</v>
      </c>
      <c r="D2671" s="2" t="str">
        <f ca="1">IFERROR(__xludf.DUMMYFUNCTION("""COMPUTED_VALUE"""),"Abu Dhabi&gt;Mohamed Bin Zayed City&gt;The Cambridge High School, Abu Dhabi")</f>
        <v>Abu Dhabi&gt;Mohamed Bin Zayed City&gt;The Cambridge High School, Abu Dhabi</v>
      </c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</row>
    <row r="2672" spans="1:26" ht="16.5" x14ac:dyDescent="0.35">
      <c r="A2672" s="2" t="str">
        <f ca="1">IFERROR(__xludf.DUMMYFUNCTION("""COMPUTED_VALUE"""),"Abu Dhabi")</f>
        <v>Abu Dhabi</v>
      </c>
      <c r="B2672" s="2" t="str">
        <f ca="1">IFERROR(__xludf.DUMMYFUNCTION("""COMPUTED_VALUE"""),"Zone 27")</f>
        <v>Zone 27</v>
      </c>
      <c r="C2672" s="2" t="str">
        <f ca="1">IFERROR(__xludf.DUMMYFUNCTION("""COMPUTED_VALUE"""),"Neighbourhood")</f>
        <v>Neighbourhood</v>
      </c>
      <c r="D2672" s="2" t="str">
        <f ca="1">IFERROR(__xludf.DUMMYFUNCTION("""COMPUTED_VALUE"""),"Abu Dhabi&gt;Mohamed Bin Zayed City&gt;Zone 27")</f>
        <v>Abu Dhabi&gt;Mohamed Bin Zayed City&gt;Zone 27</v>
      </c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</row>
    <row r="2673" spans="1:26" ht="16.5" x14ac:dyDescent="0.35">
      <c r="A2673" s="2" t="str">
        <f ca="1">IFERROR(__xludf.DUMMYFUNCTION("""COMPUTED_VALUE"""),"Abu Dhabi")</f>
        <v>Abu Dhabi</v>
      </c>
      <c r="B2673" s="2" t="str">
        <f ca="1">IFERROR(__xludf.DUMMYFUNCTION("""COMPUTED_VALUE"""),"Zone 18")</f>
        <v>Zone 18</v>
      </c>
      <c r="C2673" s="2" t="str">
        <f ca="1">IFERROR(__xludf.DUMMYFUNCTION("""COMPUTED_VALUE"""),"Neighbourhood")</f>
        <v>Neighbourhood</v>
      </c>
      <c r="D2673" s="2" t="str">
        <f ca="1">IFERROR(__xludf.DUMMYFUNCTION("""COMPUTED_VALUE"""),"Abu Dhabi&gt;Mohamed Bin Zayed City&gt;Zone 18")</f>
        <v>Abu Dhabi&gt;Mohamed Bin Zayed City&gt;Zone 18</v>
      </c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</row>
    <row r="2674" spans="1:26" ht="16.5" x14ac:dyDescent="0.35">
      <c r="A2674" s="2" t="str">
        <f ca="1">IFERROR(__xludf.DUMMYFUNCTION("""COMPUTED_VALUE"""),"Abu Dhabi")</f>
        <v>Abu Dhabi</v>
      </c>
      <c r="B2674" s="2" t="str">
        <f ca="1">IFERROR(__xludf.DUMMYFUNCTION("""COMPUTED_VALUE"""),"Building 4")</f>
        <v>Building 4</v>
      </c>
      <c r="C2674" s="2" t="str">
        <f ca="1">IFERROR(__xludf.DUMMYFUNCTION("""COMPUTED_VALUE"""),"Building")</f>
        <v>Building</v>
      </c>
      <c r="D2674" s="2" t="str">
        <f ca="1">IFERROR(__xludf.DUMMYFUNCTION("""COMPUTED_VALUE"""),"Abu Dhabi&gt;Al Reef&gt;Al Reef Downtown&gt;Building 4")</f>
        <v>Abu Dhabi&gt;Al Reef&gt;Al Reef Downtown&gt;Building 4</v>
      </c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</row>
    <row r="2675" spans="1:26" ht="16.5" x14ac:dyDescent="0.35">
      <c r="A2675" s="2" t="str">
        <f ca="1">IFERROR(__xludf.DUMMYFUNCTION("""COMPUTED_VALUE"""),"Abu Dhabi")</f>
        <v>Abu Dhabi</v>
      </c>
      <c r="B2675" s="2" t="str">
        <f ca="1">IFERROR(__xludf.DUMMYFUNCTION("""COMPUTED_VALUE"""),"Al Reef Villas")</f>
        <v>Al Reef Villas</v>
      </c>
      <c r="C2675" s="2" t="str">
        <f ca="1">IFERROR(__xludf.DUMMYFUNCTION("""COMPUTED_VALUE"""),"Neighbourhood")</f>
        <v>Neighbourhood</v>
      </c>
      <c r="D2675" s="2" t="str">
        <f ca="1">IFERROR(__xludf.DUMMYFUNCTION("""COMPUTED_VALUE"""),"Abu Dhabi&gt;Al Reef&gt;Al Reef Villas")</f>
        <v>Abu Dhabi&gt;Al Reef&gt;Al Reef Villas</v>
      </c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</row>
    <row r="2676" spans="1:26" ht="16.5" x14ac:dyDescent="0.35">
      <c r="A2676" s="2" t="str">
        <f ca="1">IFERROR(__xludf.DUMMYFUNCTION("""COMPUTED_VALUE"""),"Abu Dhabi")</f>
        <v>Abu Dhabi</v>
      </c>
      <c r="B2676" s="2" t="str">
        <f ca="1">IFERROR(__xludf.DUMMYFUNCTION("""COMPUTED_VALUE"""),"Garden View Tower")</f>
        <v>Garden View Tower</v>
      </c>
      <c r="C2676" s="2" t="str">
        <f ca="1">IFERROR(__xludf.DUMMYFUNCTION("""COMPUTED_VALUE"""),"Building")</f>
        <v>Building</v>
      </c>
      <c r="D2676" s="2" t="str">
        <f ca="1">IFERROR(__xludf.DUMMYFUNCTION("""COMPUTED_VALUE"""),"Abu Dhabi&gt;Sheikh Khalifa Bin Zayed Street&gt;Garden View Tower")</f>
        <v>Abu Dhabi&gt;Sheikh Khalifa Bin Zayed Street&gt;Garden View Tower</v>
      </c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</row>
    <row r="2677" spans="1:26" ht="16.5" x14ac:dyDescent="0.35">
      <c r="A2677" s="2" t="str">
        <f ca="1">IFERROR(__xludf.DUMMYFUNCTION("""COMPUTED_VALUE"""),"Abu Dhabi")</f>
        <v>Abu Dhabi</v>
      </c>
      <c r="B2677" s="2" t="str">
        <f ca="1">IFERROR(__xludf.DUMMYFUNCTION("""COMPUTED_VALUE"""),"The Ritz-Carlton")</f>
        <v>The Ritz-Carlton</v>
      </c>
      <c r="C2677" s="2" t="str">
        <f ca="1">IFERROR(__xludf.DUMMYFUNCTION("""COMPUTED_VALUE"""),"Building")</f>
        <v>Building</v>
      </c>
      <c r="D2677" s="2" t="str">
        <f ca="1">IFERROR(__xludf.DUMMYFUNCTION("""COMPUTED_VALUE"""),"Abu Dhabi&gt;Al Maqtaa&gt;The Ritz-Carlton")</f>
        <v>Abu Dhabi&gt;Al Maqtaa&gt;The Ritz-Carlton</v>
      </c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</row>
    <row r="2678" spans="1:26" ht="16.5" x14ac:dyDescent="0.35">
      <c r="A2678" s="2" t="str">
        <f ca="1">IFERROR(__xludf.DUMMYFUNCTION("""COMPUTED_VALUE"""),"Abu Dhabi")</f>
        <v>Abu Dhabi</v>
      </c>
      <c r="B2678" s="2" t="str">
        <f ca="1">IFERROR(__xludf.DUMMYFUNCTION("""COMPUTED_VALUE"""),"Bab Al Qasr Residence 31")</f>
        <v>Bab Al Qasr Residence 31</v>
      </c>
      <c r="C2678" s="2" t="str">
        <f ca="1">IFERROR(__xludf.DUMMYFUNCTION("""COMPUTED_VALUE"""),"Building")</f>
        <v>Building</v>
      </c>
      <c r="D2678" s="2" t="str">
        <f ca="1">IFERROR(__xludf.DUMMYFUNCTION("""COMPUTED_VALUE"""),"Abu Dhabi&gt;Yas Island&gt;Yas Bay&gt;Bab Al Qasr Residence 31")</f>
        <v>Abu Dhabi&gt;Yas Island&gt;Yas Bay&gt;Bab Al Qasr Residence 31</v>
      </c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</row>
    <row r="2679" spans="1:26" ht="16.5" x14ac:dyDescent="0.35">
      <c r="A2679" s="2" t="str">
        <f ca="1">IFERROR(__xludf.DUMMYFUNCTION("""COMPUTED_VALUE"""),"Abu Dhabi")</f>
        <v>Abu Dhabi</v>
      </c>
      <c r="B2679" s="2" t="str">
        <f ca="1">IFERROR(__xludf.DUMMYFUNCTION("""COMPUTED_VALUE"""),"Views A")</f>
        <v>Views A</v>
      </c>
      <c r="C2679" s="2" t="str">
        <f ca="1">IFERROR(__xludf.DUMMYFUNCTION("""COMPUTED_VALUE"""),"Building")</f>
        <v>Building</v>
      </c>
      <c r="D2679" s="2" t="str">
        <f ca="1">IFERROR(__xludf.DUMMYFUNCTION("""COMPUTED_VALUE"""),"Abu Dhabi&gt;Yas Island&gt;Yas Golf Collection&gt;Views A")</f>
        <v>Abu Dhabi&gt;Yas Island&gt;Yas Golf Collection&gt;Views A</v>
      </c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</row>
    <row r="2680" spans="1:26" ht="16.5" x14ac:dyDescent="0.35">
      <c r="A2680" s="2" t="str">
        <f ca="1">IFERROR(__xludf.DUMMYFUNCTION("""COMPUTED_VALUE"""),"Abu Dhabi")</f>
        <v>Abu Dhabi</v>
      </c>
      <c r="B2680" s="2" t="str">
        <f ca="1">IFERROR(__xludf.DUMMYFUNCTION("""COMPUTED_VALUE"""),"Yas Living III")</f>
        <v>Yas Living III</v>
      </c>
      <c r="C2680" s="2" t="str">
        <f ca="1">IFERROR(__xludf.DUMMYFUNCTION("""COMPUTED_VALUE"""),"Building")</f>
        <v>Building</v>
      </c>
      <c r="D2680" s="2" t="str">
        <f ca="1">IFERROR(__xludf.DUMMYFUNCTION("""COMPUTED_VALUE"""),"Abu Dhabi&gt;Yas Island&gt;Yas Living&gt;Yas Living III")</f>
        <v>Abu Dhabi&gt;Yas Island&gt;Yas Living&gt;Yas Living III</v>
      </c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</row>
    <row r="2681" spans="1:26" ht="16.5" x14ac:dyDescent="0.35">
      <c r="A2681" s="2" t="str">
        <f ca="1">IFERROR(__xludf.DUMMYFUNCTION("""COMPUTED_VALUE"""),"Abu Dhabi")</f>
        <v>Abu Dhabi</v>
      </c>
      <c r="B2681" s="2" t="str">
        <f ca="1">IFERROR(__xludf.DUMMYFUNCTION("""COMPUTED_VALUE"""),"SH12")</f>
        <v>SH12</v>
      </c>
      <c r="C2681" s="2" t="str">
        <f ca="1">IFERROR(__xludf.DUMMYFUNCTION("""COMPUTED_VALUE"""),"Neighbourhood")</f>
        <v>Neighbourhood</v>
      </c>
      <c r="D2681" s="2" t="str">
        <f ca="1">IFERROR(__xludf.DUMMYFUNCTION("""COMPUTED_VALUE"""),"Abu Dhabi&gt;Al Shamkha&gt;SH12")</f>
        <v>Abu Dhabi&gt;Al Shamkha&gt;SH12</v>
      </c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</row>
    <row r="2682" spans="1:26" ht="16.5" x14ac:dyDescent="0.35">
      <c r="A2682" s="2" t="str">
        <f ca="1">IFERROR(__xludf.DUMMYFUNCTION("""COMPUTED_VALUE"""),"Ajman")</f>
        <v>Ajman</v>
      </c>
      <c r="B2682" s="2" t="str">
        <f ca="1">IFERROR(__xludf.DUMMYFUNCTION("""COMPUTED_VALUE"""),"Frontline International Private School, Ajman")</f>
        <v>Frontline International Private School, Ajman</v>
      </c>
      <c r="C2682" s="2" t="str">
        <f ca="1">IFERROR(__xludf.DUMMYFUNCTION("""COMPUTED_VALUE"""),"School")</f>
        <v>School</v>
      </c>
      <c r="D2682" s="2" t="str">
        <f ca="1">IFERROR(__xludf.DUMMYFUNCTION("""COMPUTED_VALUE"""),"Ajman&gt;Al Tallah 1&gt;Frontline International Private School, Ajman")</f>
        <v>Ajman&gt;Al Tallah 1&gt;Frontline International Private School, Ajman</v>
      </c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</row>
    <row r="2683" spans="1:26" ht="16.5" x14ac:dyDescent="0.35">
      <c r="A2683" s="2" t="str">
        <f ca="1">IFERROR(__xludf.DUMMYFUNCTION("""COMPUTED_VALUE"""),"Ajman")</f>
        <v>Ajman</v>
      </c>
      <c r="B2683" s="2" t="str">
        <f ca="1">IFERROR(__xludf.DUMMYFUNCTION("""COMPUTED_VALUE"""),"Goldcrest Dreams Tower D")</f>
        <v>Goldcrest Dreams Tower D</v>
      </c>
      <c r="C2683" s="2" t="str">
        <f ca="1">IFERROR(__xludf.DUMMYFUNCTION("""COMPUTED_VALUE"""),"Building")</f>
        <v>Building</v>
      </c>
      <c r="D2683" s="2" t="str">
        <f ca="1">IFERROR(__xludf.DUMMYFUNCTION("""COMPUTED_VALUE"""),"Ajman&gt;Emirates City&gt;Goldcrest Dream Towers&gt;Goldcrest Dreams Tower D")</f>
        <v>Ajman&gt;Emirates City&gt;Goldcrest Dream Towers&gt;Goldcrest Dreams Tower D</v>
      </c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</row>
    <row r="2684" spans="1:26" ht="16.5" x14ac:dyDescent="0.35">
      <c r="A2684" s="2" t="str">
        <f ca="1">IFERROR(__xludf.DUMMYFUNCTION("""COMPUTED_VALUE"""),"Ajman")</f>
        <v>Ajman</v>
      </c>
      <c r="B2684" s="2" t="str">
        <f ca="1">IFERROR(__xludf.DUMMYFUNCTION("""COMPUTED_VALUE"""),"Goldcrest Business Heights")</f>
        <v>Goldcrest Business Heights</v>
      </c>
      <c r="C2684" s="2"/>
      <c r="D2684" s="2" t="str">
        <f ca="1">IFERROR(__xludf.DUMMYFUNCTION("""COMPUTED_VALUE"""),"Ajman&gt;Emirates City&gt;Goldcrest Business Heights")</f>
        <v>Ajman&gt;Emirates City&gt;Goldcrest Business Heights</v>
      </c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</row>
    <row r="2685" spans="1:26" ht="16.5" x14ac:dyDescent="0.35">
      <c r="A2685" s="2" t="str">
        <f ca="1">IFERROR(__xludf.DUMMYFUNCTION("""COMPUTED_VALUE"""),"Ajman")</f>
        <v>Ajman</v>
      </c>
      <c r="B2685" s="2" t="str">
        <f ca="1">IFERROR(__xludf.DUMMYFUNCTION("""COMPUTED_VALUE"""),"Pure Gold Mirage")</f>
        <v>Pure Gold Mirage</v>
      </c>
      <c r="C2685" s="2" t="str">
        <f ca="1">IFERROR(__xludf.DUMMYFUNCTION("""COMPUTED_VALUE"""),"Building")</f>
        <v>Building</v>
      </c>
      <c r="D2685" s="2" t="str">
        <f ca="1">IFERROR(__xludf.DUMMYFUNCTION("""COMPUTED_VALUE"""),"Ajman&gt;Al Jurf&gt;Al Jurf Industrial Area&gt;Al Jurf Industrial 3&gt;Pure Gold Mirage")</f>
        <v>Ajman&gt;Al Jurf&gt;Al Jurf Industrial Area&gt;Al Jurf Industrial 3&gt;Pure Gold Mirage</v>
      </c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</row>
    <row r="2686" spans="1:26" ht="16.5" x14ac:dyDescent="0.35">
      <c r="A2686" s="2" t="str">
        <f ca="1">IFERROR(__xludf.DUMMYFUNCTION("""COMPUTED_VALUE"""),"Ajman")</f>
        <v>Ajman</v>
      </c>
      <c r="B2686" s="2" t="str">
        <f ca="1">IFERROR(__xludf.DUMMYFUNCTION("""COMPUTED_VALUE"""),"Dahlia")</f>
        <v>Dahlia</v>
      </c>
      <c r="C2686" s="2"/>
      <c r="D2686" s="2" t="str">
        <f ca="1">IFERROR(__xludf.DUMMYFUNCTION("""COMPUTED_VALUE"""),"Ajman&gt;Ajman Uptown&gt;Dahlia")</f>
        <v>Ajman&gt;Ajman Uptown&gt;Dahlia</v>
      </c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</row>
    <row r="2687" spans="1:26" ht="16.5" x14ac:dyDescent="0.35">
      <c r="A2687" s="2" t="str">
        <f ca="1">IFERROR(__xludf.DUMMYFUNCTION("""COMPUTED_VALUE"""),"Ajman")</f>
        <v>Ajman</v>
      </c>
      <c r="B2687" s="2" t="str">
        <f ca="1">IFERROR(__xludf.DUMMYFUNCTION("""COMPUTED_VALUE"""),"Falcon A6")</f>
        <v>Falcon A6</v>
      </c>
      <c r="C2687" s="2" t="str">
        <f ca="1">IFERROR(__xludf.DUMMYFUNCTION("""COMPUTED_VALUE"""),"Building")</f>
        <v>Building</v>
      </c>
      <c r="D2687" s="2" t="str">
        <f ca="1">IFERROR(__xludf.DUMMYFUNCTION("""COMPUTED_VALUE"""),"Ajman&gt;Al Rashidiya&gt;Al Rashidiya 2&gt;Falcon Towers&gt;Falcon A6")</f>
        <v>Ajman&gt;Al Rashidiya&gt;Al Rashidiya 2&gt;Falcon Towers&gt;Falcon A6</v>
      </c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</row>
    <row r="2688" spans="1:26" ht="16.5" x14ac:dyDescent="0.35">
      <c r="A2688" s="2" t="str">
        <f ca="1">IFERROR(__xludf.DUMMYFUNCTION("""COMPUTED_VALUE"""),"Ajman")</f>
        <v>Ajman</v>
      </c>
      <c r="B2688" s="2" t="str">
        <f ca="1">IFERROR(__xludf.DUMMYFUNCTION("""COMPUTED_VALUE"""),"Ajman Clock Tower")</f>
        <v>Ajman Clock Tower</v>
      </c>
      <c r="C2688" s="2"/>
      <c r="D2688" s="2" t="str">
        <f ca="1">IFERROR(__xludf.DUMMYFUNCTION("""COMPUTED_VALUE"""),"Ajman&gt;Al Rashidiya&gt;Ajman Clock Tower")</f>
        <v>Ajman&gt;Al Rashidiya&gt;Ajman Clock Tower</v>
      </c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</row>
    <row r="2689" spans="1:26" ht="16.5" x14ac:dyDescent="0.35">
      <c r="A2689" s="2" t="str">
        <f ca="1">IFERROR(__xludf.DUMMYFUNCTION("""COMPUTED_VALUE"""),"Ajman")</f>
        <v>Ajman</v>
      </c>
      <c r="B2689" s="2" t="str">
        <f ca="1">IFERROR(__xludf.DUMMYFUNCTION("""COMPUTED_VALUE"""),"Aida Tower 2")</f>
        <v>Aida Tower 2</v>
      </c>
      <c r="C2689" s="2" t="str">
        <f ca="1">IFERROR(__xludf.DUMMYFUNCTION("""COMPUTED_VALUE"""),"Building")</f>
        <v>Building</v>
      </c>
      <c r="D2689" s="2" t="str">
        <f ca="1">IFERROR(__xludf.DUMMYFUNCTION("""COMPUTED_VALUE"""),"Ajman&gt;Musherief&gt;Aida Tower 2")</f>
        <v>Ajman&gt;Musherief&gt;Aida Tower 2</v>
      </c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</row>
    <row r="2690" spans="1:26" ht="16.5" x14ac:dyDescent="0.35">
      <c r="A2690" s="2" t="str">
        <f ca="1">IFERROR(__xludf.DUMMYFUNCTION("""COMPUTED_VALUE"""),"Ajman")</f>
        <v>Ajman</v>
      </c>
      <c r="B2690" s="2" t="str">
        <f ca="1">IFERROR(__xludf.DUMMYFUNCTION("""COMPUTED_VALUE"""),"Global City Tower")</f>
        <v>Global City Tower</v>
      </c>
      <c r="C2690" s="2" t="str">
        <f ca="1">IFERROR(__xludf.DUMMYFUNCTION("""COMPUTED_VALUE"""),"Building")</f>
        <v>Building</v>
      </c>
      <c r="D2690" s="2" t="str">
        <f ca="1">IFERROR(__xludf.DUMMYFUNCTION("""COMPUTED_VALUE"""),"Ajman&gt;Marmooka City&gt;Global City Tower")</f>
        <v>Ajman&gt;Marmooka City&gt;Global City Tower</v>
      </c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</row>
    <row r="2691" spans="1:26" ht="16.5" x14ac:dyDescent="0.35">
      <c r="A2691" s="2" t="str">
        <f ca="1">IFERROR(__xludf.DUMMYFUNCTION("""COMPUTED_VALUE"""),"Ajman")</f>
        <v>Ajman</v>
      </c>
      <c r="B2691" s="2" t="str">
        <f ca="1">IFERROR(__xludf.DUMMYFUNCTION("""COMPUTED_VALUE"""),"Seaside Hills Residence")</f>
        <v>Seaside Hills Residence</v>
      </c>
      <c r="C2691" s="2" t="str">
        <f ca="1">IFERROR(__xludf.DUMMYFUNCTION("""COMPUTED_VALUE"""),"Neighbourhood")</f>
        <v>Neighbourhood</v>
      </c>
      <c r="D2691" s="2" t="str">
        <f ca="1">IFERROR(__xludf.DUMMYFUNCTION("""COMPUTED_VALUE"""),"Ajman&gt;Al Zorah&gt;The Shores&gt;Seaside Hills Residence")</f>
        <v>Ajman&gt;Al Zorah&gt;The Shores&gt;Seaside Hills Residence</v>
      </c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</row>
    <row r="2692" spans="1:26" ht="16.5" x14ac:dyDescent="0.35">
      <c r="A2692" s="2" t="str">
        <f ca="1">IFERROR(__xludf.DUMMYFUNCTION("""COMPUTED_VALUE"""),"Ajman")</f>
        <v>Ajman</v>
      </c>
      <c r="B2692" s="2" t="str">
        <f ca="1">IFERROR(__xludf.DUMMYFUNCTION("""COMPUTED_VALUE"""),"Humaid Gate Tower")</f>
        <v>Humaid Gate Tower</v>
      </c>
      <c r="C2692" s="2" t="str">
        <f ca="1">IFERROR(__xludf.DUMMYFUNCTION("""COMPUTED_VALUE"""),"Building")</f>
        <v>Building</v>
      </c>
      <c r="D2692" s="2" t="str">
        <f ca="1">IFERROR(__xludf.DUMMYFUNCTION("""COMPUTED_VALUE"""),"Ajman&gt;Al Humaid City&gt;Humaid Gate Tower")</f>
        <v>Ajman&gt;Al Humaid City&gt;Humaid Gate Tower</v>
      </c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</row>
    <row r="2693" spans="1:26" ht="16.5" x14ac:dyDescent="0.35">
      <c r="A2693" s="2" t="str">
        <f ca="1">IFERROR(__xludf.DUMMYFUNCTION("""COMPUTED_VALUE"""),"Ajman")</f>
        <v>Ajman</v>
      </c>
      <c r="B2693" s="2" t="str">
        <f ca="1">IFERROR(__xludf.DUMMYFUNCTION("""COMPUTED_VALUE"""),"Al Noor Tower Ajman")</f>
        <v>Al Noor Tower Ajman</v>
      </c>
      <c r="C2693" s="2"/>
      <c r="D2693" s="2" t="str">
        <f ca="1">IFERROR(__xludf.DUMMYFUNCTION("""COMPUTED_VALUE"""),"Ajman&gt;Al Noor Tower Ajman")</f>
        <v>Ajman&gt;Al Noor Tower Ajman</v>
      </c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</row>
    <row r="2694" spans="1:26" ht="16.5" x14ac:dyDescent="0.35">
      <c r="A2694" s="2" t="str">
        <f ca="1">IFERROR(__xludf.DUMMYFUNCTION("""COMPUTED_VALUE"""),"Ajman")</f>
        <v>Ajman</v>
      </c>
      <c r="B2694" s="2" t="str">
        <f ca="1">IFERROR(__xludf.DUMMYFUNCTION("""COMPUTED_VALUE"""),"Al Eman 1 Building")</f>
        <v>Al Eman 1 Building</v>
      </c>
      <c r="C2694" s="2" t="str">
        <f ca="1">IFERROR(__xludf.DUMMYFUNCTION("""COMPUTED_VALUE"""),"Building")</f>
        <v>Building</v>
      </c>
      <c r="D2694" s="2" t="str">
        <f ca="1">IFERROR(__xludf.DUMMYFUNCTION("""COMPUTED_VALUE"""),"Ajman&gt;Al Nuaimiya&gt;Al Nuaimiya 3&gt;Al Eman 1 Building")</f>
        <v>Ajman&gt;Al Nuaimiya&gt;Al Nuaimiya 3&gt;Al Eman 1 Building</v>
      </c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</row>
    <row r="2695" spans="1:26" ht="16.5" x14ac:dyDescent="0.35">
      <c r="A2695" s="2" t="str">
        <f ca="1">IFERROR(__xludf.DUMMYFUNCTION("""COMPUTED_VALUE"""),"Sharjah")</f>
        <v>Sharjah</v>
      </c>
      <c r="B2695" s="2" t="str">
        <f ca="1">IFERROR(__xludf.DUMMYFUNCTION("""COMPUTED_VALUE"""),"Art Tower")</f>
        <v>Art Tower</v>
      </c>
      <c r="C2695" s="2" t="str">
        <f ca="1">IFERROR(__xludf.DUMMYFUNCTION("""COMPUTED_VALUE"""),"Building")</f>
        <v>Building</v>
      </c>
      <c r="D2695" s="2" t="str">
        <f ca="1">IFERROR(__xludf.DUMMYFUNCTION("""COMPUTED_VALUE"""),"Sharjah&gt;Al Nahda (Sharjah)&gt;Art Tower")</f>
        <v>Sharjah&gt;Al Nahda (Sharjah)&gt;Art Tower</v>
      </c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</row>
    <row r="2696" spans="1:26" ht="16.5" x14ac:dyDescent="0.35">
      <c r="A2696" s="2" t="str">
        <f ca="1">IFERROR(__xludf.DUMMYFUNCTION("""COMPUTED_VALUE"""),"Sharjah")</f>
        <v>Sharjah</v>
      </c>
      <c r="B2696" s="2" t="str">
        <f ca="1">IFERROR(__xludf.DUMMYFUNCTION("""COMPUTED_VALUE"""),"Nasser Humaid Al Shaiba Building")</f>
        <v>Nasser Humaid Al Shaiba Building</v>
      </c>
      <c r="C2696" s="2"/>
      <c r="D2696" s="2" t="str">
        <f ca="1">IFERROR(__xludf.DUMMYFUNCTION("""COMPUTED_VALUE"""),"Sharjah&gt;Al Nahda (Sharjah)&gt;Nasser Humaid Al Shaiba Building")</f>
        <v>Sharjah&gt;Al Nahda (Sharjah)&gt;Nasser Humaid Al Shaiba Building</v>
      </c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</row>
    <row r="2697" spans="1:26" ht="16.5" x14ac:dyDescent="0.35">
      <c r="A2697" s="2" t="str">
        <f ca="1">IFERROR(__xludf.DUMMYFUNCTION("""COMPUTED_VALUE"""),"Sharjah")</f>
        <v>Sharjah</v>
      </c>
      <c r="B2697" s="2" t="str">
        <f ca="1">IFERROR(__xludf.DUMMYFUNCTION("""COMPUTED_VALUE"""),"Al Shiba Tower")</f>
        <v>Al Shiba Tower</v>
      </c>
      <c r="C2697" s="2"/>
      <c r="D2697" s="2" t="str">
        <f ca="1">IFERROR(__xludf.DUMMYFUNCTION("""COMPUTED_VALUE"""),"Sharjah&gt;Al Nahda (Sharjah)&gt;Al Shiba Tower")</f>
        <v>Sharjah&gt;Al Nahda (Sharjah)&gt;Al Shiba Tower</v>
      </c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</row>
    <row r="2698" spans="1:26" ht="16.5" x14ac:dyDescent="0.35">
      <c r="A2698" s="2" t="str">
        <f ca="1">IFERROR(__xludf.DUMMYFUNCTION("""COMPUTED_VALUE"""),"Sharjah")</f>
        <v>Sharjah</v>
      </c>
      <c r="B2698" s="2" t="str">
        <f ca="1">IFERROR(__xludf.DUMMYFUNCTION("""COMPUTED_VALUE"""),"Corniche Madina Building")</f>
        <v>Corniche Madina Building</v>
      </c>
      <c r="C2698" s="2"/>
      <c r="D2698" s="2" t="str">
        <f ca="1">IFERROR(__xludf.DUMMYFUNCTION("""COMPUTED_VALUE"""),"Sharjah&gt;Al Nahda (Sharjah)&gt;Corniche Madina Building")</f>
        <v>Sharjah&gt;Al Nahda (Sharjah)&gt;Corniche Madina Building</v>
      </c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</row>
    <row r="2699" spans="1:26" ht="16.5" x14ac:dyDescent="0.35">
      <c r="A2699" s="2" t="str">
        <f ca="1">IFERROR(__xludf.DUMMYFUNCTION("""COMPUTED_VALUE"""),"Sharjah")</f>
        <v>Sharjah</v>
      </c>
      <c r="B2699" s="2" t="str">
        <f ca="1">IFERROR(__xludf.DUMMYFUNCTION("""COMPUTED_VALUE"""),"Al Nahda Plaza")</f>
        <v>Al Nahda Plaza</v>
      </c>
      <c r="C2699" s="2" t="str">
        <f ca="1">IFERROR(__xludf.DUMMYFUNCTION("""COMPUTED_VALUE"""),"Building")</f>
        <v>Building</v>
      </c>
      <c r="D2699" s="2" t="str">
        <f ca="1">IFERROR(__xludf.DUMMYFUNCTION("""COMPUTED_VALUE"""),"Sharjah&gt;Al Nahda (Sharjah)&gt;Al Nahda Plaza")</f>
        <v>Sharjah&gt;Al Nahda (Sharjah)&gt;Al Nahda Plaza</v>
      </c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</row>
    <row r="2700" spans="1:26" ht="16.5" x14ac:dyDescent="0.35">
      <c r="A2700" s="2" t="str">
        <f ca="1">IFERROR(__xludf.DUMMYFUNCTION("""COMPUTED_VALUE"""),"Sharjah")</f>
        <v>Sharjah</v>
      </c>
      <c r="B2700" s="2" t="str">
        <f ca="1">IFERROR(__xludf.DUMMYFUNCTION("""COMPUTED_VALUE"""),"Al Juraina 1")</f>
        <v>Al Juraina 1</v>
      </c>
      <c r="C2700" s="2"/>
      <c r="D2700" s="2" t="str">
        <f ca="1">IFERROR(__xludf.DUMMYFUNCTION("""COMPUTED_VALUE"""),"Sharjah&gt;Al Juraina&gt;Al Juraina 1")</f>
        <v>Sharjah&gt;Al Juraina&gt;Al Juraina 1</v>
      </c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</row>
    <row r="2701" spans="1:26" ht="16.5" x14ac:dyDescent="0.35">
      <c r="A2701" s="2" t="str">
        <f ca="1">IFERROR(__xludf.DUMMYFUNCTION("""COMPUTED_VALUE"""),"Sharjah")</f>
        <v>Sharjah</v>
      </c>
      <c r="B2701" s="2" t="str">
        <f ca="1">IFERROR(__xludf.DUMMYFUNCTION("""COMPUTED_VALUE"""),"The Solo 4")</f>
        <v>The Solo 4</v>
      </c>
      <c r="C2701" s="2" t="str">
        <f ca="1">IFERROR(__xludf.DUMMYFUNCTION("""COMPUTED_VALUE"""),"Building")</f>
        <v>Building</v>
      </c>
      <c r="D2701" s="2" t="str">
        <f ca="1">IFERROR(__xludf.DUMMYFUNCTION("""COMPUTED_VALUE"""),"Sharjah&gt;Aljada&gt;East Village&gt;The Solo&gt;The Solo 4")</f>
        <v>Sharjah&gt;Aljada&gt;East Village&gt;The Solo&gt;The Solo 4</v>
      </c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</row>
    <row r="2702" spans="1:26" ht="16.5" x14ac:dyDescent="0.35">
      <c r="A2702" s="2" t="str">
        <f ca="1">IFERROR(__xludf.DUMMYFUNCTION("""COMPUTED_VALUE"""),"Sharjah")</f>
        <v>Sharjah</v>
      </c>
      <c r="B2702" s="2" t="str">
        <f ca="1">IFERROR(__xludf.DUMMYFUNCTION("""COMPUTED_VALUE"""),"Areej 3")</f>
        <v>Areej 3</v>
      </c>
      <c r="C2702" s="2" t="str">
        <f ca="1">IFERROR(__xludf.DUMMYFUNCTION("""COMPUTED_VALUE"""),"Building")</f>
        <v>Building</v>
      </c>
      <c r="D2702" s="2" t="str">
        <f ca="1">IFERROR(__xludf.DUMMYFUNCTION("""COMPUTED_VALUE"""),"Sharjah&gt;Aljada&gt;Areej Apartments&gt;Areej 3")</f>
        <v>Sharjah&gt;Aljada&gt;Areej Apartments&gt;Areej 3</v>
      </c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</row>
    <row r="2703" spans="1:26" ht="16.5" x14ac:dyDescent="0.35">
      <c r="A2703" s="2" t="str">
        <f ca="1">IFERROR(__xludf.DUMMYFUNCTION("""COMPUTED_VALUE"""),"Sharjah")</f>
        <v>Sharjah</v>
      </c>
      <c r="B2703" s="2" t="str">
        <f ca="1">IFERROR(__xludf.DUMMYFUNCTION("""COMPUTED_VALUE"""),"Wave")</f>
        <v>Wave</v>
      </c>
      <c r="C2703" s="2" t="str">
        <f ca="1">IFERROR(__xludf.DUMMYFUNCTION("""COMPUTED_VALUE"""),"Building")</f>
        <v>Building</v>
      </c>
      <c r="D2703" s="2" t="str">
        <f ca="1">IFERROR(__xludf.DUMMYFUNCTION("""COMPUTED_VALUE"""),"Sharjah&gt;Aljada&gt;Arada Central Business District&gt;Wave")</f>
        <v>Sharjah&gt;Aljada&gt;Arada Central Business District&gt;Wave</v>
      </c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</row>
    <row r="2704" spans="1:26" ht="16.5" x14ac:dyDescent="0.35">
      <c r="A2704" s="2" t="str">
        <f ca="1">IFERROR(__xludf.DUMMYFUNCTION("""COMPUTED_VALUE"""),"Sharjah")</f>
        <v>Sharjah</v>
      </c>
      <c r="B2704" s="2" t="str">
        <f ca="1">IFERROR(__xludf.DUMMYFUNCTION("""COMPUTED_VALUE"""),"SBS B7 Building")</f>
        <v>SBS B7 Building</v>
      </c>
      <c r="C2704" s="2"/>
      <c r="D2704" s="2" t="str">
        <f ca="1">IFERROR(__xludf.DUMMYFUNCTION("""COMPUTED_VALUE"""),"Sharjah&gt;Abu Shagara&gt;SBS B7 Building")</f>
        <v>Sharjah&gt;Abu Shagara&gt;SBS B7 Building</v>
      </c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</row>
    <row r="2705" spans="1:26" ht="16.5" x14ac:dyDescent="0.35">
      <c r="A2705" s="2" t="str">
        <f ca="1">IFERROR(__xludf.DUMMYFUNCTION("""COMPUTED_VALUE"""),"Sharjah")</f>
        <v>Sharjah</v>
      </c>
      <c r="B2705" s="2" t="str">
        <f ca="1">IFERROR(__xludf.DUMMYFUNCTION("""COMPUTED_VALUE"""),"Al Amira Residence")</f>
        <v>Al Amira Residence</v>
      </c>
      <c r="C2705" s="2" t="str">
        <f ca="1">IFERROR(__xludf.DUMMYFUNCTION("""COMPUTED_VALUE"""),"Building")</f>
        <v>Building</v>
      </c>
      <c r="D2705" s="2" t="str">
        <f ca="1">IFERROR(__xludf.DUMMYFUNCTION("""COMPUTED_VALUE"""),"Sharjah&gt;Abu Shagara&gt;Al Amira Residence")</f>
        <v>Sharjah&gt;Abu Shagara&gt;Al Amira Residence</v>
      </c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</row>
    <row r="2706" spans="1:26" ht="16.5" x14ac:dyDescent="0.35">
      <c r="A2706" s="2" t="str">
        <f ca="1">IFERROR(__xludf.DUMMYFUNCTION("""COMPUTED_VALUE"""),"Sharjah")</f>
        <v>Sharjah</v>
      </c>
      <c r="B2706" s="2" t="str">
        <f ca="1">IFERROR(__xludf.DUMMYFUNCTION("""COMPUTED_VALUE"""),"Shadow Tower")</f>
        <v>Shadow Tower</v>
      </c>
      <c r="C2706" s="2" t="str">
        <f ca="1">IFERROR(__xludf.DUMMYFUNCTION("""COMPUTED_VALUE"""),"Building")</f>
        <v>Building</v>
      </c>
      <c r="D2706" s="2" t="str">
        <f ca="1">IFERROR(__xludf.DUMMYFUNCTION("""COMPUTED_VALUE"""),"Sharjah&gt;Al Mamzar&gt;Shadow Tower")</f>
        <v>Sharjah&gt;Al Mamzar&gt;Shadow Tower</v>
      </c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</row>
    <row r="2707" spans="1:26" ht="16.5" x14ac:dyDescent="0.35">
      <c r="A2707" s="2" t="str">
        <f ca="1">IFERROR(__xludf.DUMMYFUNCTION("""COMPUTED_VALUE"""),"Sharjah")</f>
        <v>Sharjah</v>
      </c>
      <c r="B2707" s="2" t="str">
        <f ca="1">IFERROR(__xludf.DUMMYFUNCTION("""COMPUTED_VALUE"""),"Plaza Building")</f>
        <v>Plaza Building</v>
      </c>
      <c r="C2707" s="2" t="str">
        <f ca="1">IFERROR(__xludf.DUMMYFUNCTION("""COMPUTED_VALUE"""),"Building")</f>
        <v>Building</v>
      </c>
      <c r="D2707" s="2" t="str">
        <f ca="1">IFERROR(__xludf.DUMMYFUNCTION("""COMPUTED_VALUE"""),"Sharjah&gt;Al Ghuwair&gt;Plaza Building")</f>
        <v>Sharjah&gt;Al Ghuwair&gt;Plaza Building</v>
      </c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</row>
    <row r="2708" spans="1:26" ht="16.5" x14ac:dyDescent="0.35">
      <c r="A2708" s="2" t="str">
        <f ca="1">IFERROR(__xludf.DUMMYFUNCTION("""COMPUTED_VALUE"""),"Sharjah")</f>
        <v>Sharjah</v>
      </c>
      <c r="B2708" s="2" t="str">
        <f ca="1">IFERROR(__xludf.DUMMYFUNCTION("""COMPUTED_VALUE"""),"New Indian Model School Sharjah")</f>
        <v>New Indian Model School Sharjah</v>
      </c>
      <c r="C2708" s="2" t="str">
        <f ca="1">IFERROR(__xludf.DUMMYFUNCTION("""COMPUTED_VALUE"""),"School")</f>
        <v>School</v>
      </c>
      <c r="D2708" s="2" t="str">
        <f ca="1">IFERROR(__xludf.DUMMYFUNCTION("""COMPUTED_VALUE"""),"Sharjah&gt;Al Azra&gt;New Indian Model School Sharjah")</f>
        <v>Sharjah&gt;Al Azra&gt;New Indian Model School Sharjah</v>
      </c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</row>
    <row r="2709" spans="1:26" ht="16.5" x14ac:dyDescent="0.35">
      <c r="A2709" s="2" t="str">
        <f ca="1">IFERROR(__xludf.DUMMYFUNCTION("""COMPUTED_VALUE"""),"Sharjah")</f>
        <v>Sharjah</v>
      </c>
      <c r="B2709" s="2" t="str">
        <f ca="1">IFERROR(__xludf.DUMMYFUNCTION("""COMPUTED_VALUE"""),"Thani Yarmook Building")</f>
        <v>Thani Yarmook Building</v>
      </c>
      <c r="C2709" s="2" t="str">
        <f ca="1">IFERROR(__xludf.DUMMYFUNCTION("""COMPUTED_VALUE"""),"Building")</f>
        <v>Building</v>
      </c>
      <c r="D2709" s="2" t="str">
        <f ca="1">IFERROR(__xludf.DUMMYFUNCTION("""COMPUTED_VALUE"""),"Sharjah&gt;Al Yarmook&gt;Thani Yarmook Building")</f>
        <v>Sharjah&gt;Al Yarmook&gt;Thani Yarmook Building</v>
      </c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</row>
    <row r="2710" spans="1:26" ht="16.5" x14ac:dyDescent="0.35">
      <c r="A2710" s="2" t="str">
        <f ca="1">IFERROR(__xludf.DUMMYFUNCTION("""COMPUTED_VALUE"""),"Sharjah")</f>
        <v>Sharjah</v>
      </c>
      <c r="B2710" s="2" t="str">
        <f ca="1">IFERROR(__xludf.DUMMYFUNCTION("""COMPUTED_VALUE"""),"Al Sharq")</f>
        <v>Al Sharq</v>
      </c>
      <c r="C2710" s="2"/>
      <c r="D2710" s="2" t="str">
        <f ca="1">IFERROR(__xludf.DUMMYFUNCTION("""COMPUTED_VALUE"""),"Sharjah&gt;Al Sharq")</f>
        <v>Sharjah&gt;Al Sharq</v>
      </c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</row>
    <row r="2711" spans="1:26" ht="16.5" x14ac:dyDescent="0.35">
      <c r="A2711" s="2" t="str">
        <f ca="1">IFERROR(__xludf.DUMMYFUNCTION("""COMPUTED_VALUE"""),"Sharjah")</f>
        <v>Sharjah</v>
      </c>
      <c r="B2711" s="2" t="str">
        <f ca="1">IFERROR(__xludf.DUMMYFUNCTION("""COMPUTED_VALUE"""),"The Residence VH")</f>
        <v>The Residence VH</v>
      </c>
      <c r="C2711" s="2"/>
      <c r="D2711" s="2" t="str">
        <f ca="1">IFERROR(__xludf.DUMMYFUNCTION("""COMPUTED_VALUE"""),"Sharjah&gt;Al Mareija&gt;The Residence VH")</f>
        <v>Sharjah&gt;Al Mareija&gt;The Residence VH</v>
      </c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</row>
    <row r="2712" spans="1:26" ht="16.5" x14ac:dyDescent="0.35">
      <c r="A2712" s="2" t="str">
        <f ca="1">IFERROR(__xludf.DUMMYFUNCTION("""COMPUTED_VALUE"""),"Sharjah")</f>
        <v>Sharjah</v>
      </c>
      <c r="B2712" s="2" t="str">
        <f ca="1">IFERROR(__xludf.DUMMYFUNCTION("""COMPUTED_VALUE"""),"Al Khezamia")</f>
        <v>Al Khezamia</v>
      </c>
      <c r="C2712" s="2" t="str">
        <f ca="1">IFERROR(__xludf.DUMMYFUNCTION("""COMPUTED_VALUE"""),"Neighbourhood")</f>
        <v>Neighbourhood</v>
      </c>
      <c r="D2712" s="2" t="str">
        <f ca="1">IFERROR(__xludf.DUMMYFUNCTION("""COMPUTED_VALUE"""),"Sharjah&gt;Al Khezamia")</f>
        <v>Sharjah&gt;Al Khezamia</v>
      </c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</row>
    <row r="2713" spans="1:26" ht="16.5" x14ac:dyDescent="0.35">
      <c r="A2713" s="2" t="str">
        <f ca="1">IFERROR(__xludf.DUMMYFUNCTION("""COMPUTED_VALUE"""),"Sharjah")</f>
        <v>Sharjah</v>
      </c>
      <c r="B2713" s="2" t="str">
        <f ca="1">IFERROR(__xludf.DUMMYFUNCTION("""COMPUTED_VALUE"""),"AL Basateen")</f>
        <v>AL Basateen</v>
      </c>
      <c r="C2713" s="2"/>
      <c r="D2713" s="2" t="str">
        <f ca="1">IFERROR(__xludf.DUMMYFUNCTION("""COMPUTED_VALUE"""),"Sharjah&gt;Al Qadisiya&gt;AL Basateen")</f>
        <v>Sharjah&gt;Al Qadisiya&gt;AL Basateen</v>
      </c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</row>
    <row r="2714" spans="1:26" ht="16.5" x14ac:dyDescent="0.35">
      <c r="A2714" s="2" t="str">
        <f ca="1">IFERROR(__xludf.DUMMYFUNCTION("""COMPUTED_VALUE"""),"Sharjah")</f>
        <v>Sharjah</v>
      </c>
      <c r="B2714" s="2" t="str">
        <f ca="1">IFERROR(__xludf.DUMMYFUNCTION("""COMPUTED_VALUE"""),"Al Khalid Lake Trail")</f>
        <v>Al Khalid Lake Trail</v>
      </c>
      <c r="C2714" s="2"/>
      <c r="D2714" s="2" t="str">
        <f ca="1">IFERROR(__xludf.DUMMYFUNCTION("""COMPUTED_VALUE"""),"Sharjah&gt;Al Khalid Lake Trail")</f>
        <v>Sharjah&gt;Al Khalid Lake Trail</v>
      </c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</row>
    <row r="2715" spans="1:26" ht="16.5" x14ac:dyDescent="0.35">
      <c r="A2715" s="2" t="str">
        <f ca="1">IFERROR(__xludf.DUMMYFUNCTION("""COMPUTED_VALUE"""),"Sharjah")</f>
        <v>Sharjah</v>
      </c>
      <c r="B2715" s="2" t="str">
        <f ca="1">IFERROR(__xludf.DUMMYFUNCTION("""COMPUTED_VALUE"""),"Asas Tower")</f>
        <v>Asas Tower</v>
      </c>
      <c r="C2715" s="2" t="str">
        <f ca="1">IFERROR(__xludf.DUMMYFUNCTION("""COMPUTED_VALUE"""),"Building")</f>
        <v>Building</v>
      </c>
      <c r="D2715" s="2" t="str">
        <f ca="1">IFERROR(__xludf.DUMMYFUNCTION("""COMPUTED_VALUE"""),"Sharjah&gt;Al Khan&gt;Asas Tower")</f>
        <v>Sharjah&gt;Al Khan&gt;Asas Tower</v>
      </c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</row>
    <row r="2716" spans="1:26" ht="16.5" x14ac:dyDescent="0.35">
      <c r="A2716" s="2" t="str">
        <f ca="1">IFERROR(__xludf.DUMMYFUNCTION("""COMPUTED_VALUE"""),"Sharjah")</f>
        <v>Sharjah</v>
      </c>
      <c r="B2716" s="2" t="str">
        <f ca="1">IFERROR(__xludf.DUMMYFUNCTION("""COMPUTED_VALUE"""),"Palm Tower 1")</f>
        <v>Palm Tower 1</v>
      </c>
      <c r="C2716" s="2"/>
      <c r="D2716" s="2" t="str">
        <f ca="1">IFERROR(__xludf.DUMMYFUNCTION("""COMPUTED_VALUE"""),"Sharjah&gt;Al Khan&gt;Palm Tower 1")</f>
        <v>Sharjah&gt;Al Khan&gt;Palm Tower 1</v>
      </c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</row>
    <row r="2717" spans="1:26" ht="16.5" x14ac:dyDescent="0.35">
      <c r="A2717" s="2" t="str">
        <f ca="1">IFERROR(__xludf.DUMMYFUNCTION("""COMPUTED_VALUE"""),"Sharjah")</f>
        <v>Sharjah</v>
      </c>
      <c r="B2717" s="2" t="str">
        <f ca="1">IFERROR(__xludf.DUMMYFUNCTION("""COMPUTED_VALUE"""),"Al Burj Tower")</f>
        <v>Al Burj Tower</v>
      </c>
      <c r="C2717" s="2"/>
      <c r="D2717" s="2" t="str">
        <f ca="1">IFERROR(__xludf.DUMMYFUNCTION("""COMPUTED_VALUE"""),"Sharjah&gt;Al Khan&gt;Al Burj Tower")</f>
        <v>Sharjah&gt;Al Khan&gt;Al Burj Tower</v>
      </c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</row>
    <row r="2718" spans="1:26" ht="16.5" x14ac:dyDescent="0.35">
      <c r="A2718" s="2" t="str">
        <f ca="1">IFERROR(__xludf.DUMMYFUNCTION("""COMPUTED_VALUE"""),"Sharjah")</f>
        <v>Sharjah</v>
      </c>
      <c r="B2718" s="2" t="str">
        <f ca="1">IFERROR(__xludf.DUMMYFUNCTION("""COMPUTED_VALUE"""),"W Tower")</f>
        <v>W Tower</v>
      </c>
      <c r="C2718" s="2"/>
      <c r="D2718" s="2" t="str">
        <f ca="1">IFERROR(__xludf.DUMMYFUNCTION("""COMPUTED_VALUE"""),"Sharjah&gt;Al Khan&gt;W Tower")</f>
        <v>Sharjah&gt;Al Khan&gt;W Tower</v>
      </c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</row>
    <row r="2719" spans="1:26" ht="16.5" x14ac:dyDescent="0.35">
      <c r="A2719" s="2" t="str">
        <f ca="1">IFERROR(__xludf.DUMMYFUNCTION("""COMPUTED_VALUE"""),"Sharjah")</f>
        <v>Sharjah</v>
      </c>
      <c r="B2719" s="2" t="str">
        <f ca="1">IFERROR(__xludf.DUMMYFUNCTION("""COMPUTED_VALUE"""),"Al Noor Tower Sharjah")</f>
        <v>Al Noor Tower Sharjah</v>
      </c>
      <c r="C2719" s="2"/>
      <c r="D2719" s="2" t="str">
        <f ca="1">IFERROR(__xludf.DUMMYFUNCTION("""COMPUTED_VALUE"""),"Sharjah&gt;Al Majaz&gt;Al Majaz 2&gt;Al Noor Tower Sharjah")</f>
        <v>Sharjah&gt;Al Majaz&gt;Al Majaz 2&gt;Al Noor Tower Sharjah</v>
      </c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</row>
    <row r="2720" spans="1:26" ht="16.5" x14ac:dyDescent="0.35">
      <c r="A2720" s="2" t="str">
        <f ca="1">IFERROR(__xludf.DUMMYFUNCTION("""COMPUTED_VALUE"""),"Sharjah")</f>
        <v>Sharjah</v>
      </c>
      <c r="B2720" s="2" t="str">
        <f ca="1">IFERROR(__xludf.DUMMYFUNCTION("""COMPUTED_VALUE"""),"Ghadeer Building")</f>
        <v>Ghadeer Building</v>
      </c>
      <c r="C2720" s="2"/>
      <c r="D2720" s="2" t="str">
        <f ca="1">IFERROR(__xludf.DUMMYFUNCTION("""COMPUTED_VALUE"""),"Sharjah&gt;Al Majaz&gt;Al Majaz 2&gt;Ghadeer Building")</f>
        <v>Sharjah&gt;Al Majaz&gt;Al Majaz 2&gt;Ghadeer Building</v>
      </c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</row>
    <row r="2721" spans="1:26" ht="16.5" x14ac:dyDescent="0.35">
      <c r="A2721" s="2" t="str">
        <f ca="1">IFERROR(__xludf.DUMMYFUNCTION("""COMPUTED_VALUE"""),"Sharjah")</f>
        <v>Sharjah</v>
      </c>
      <c r="B2721" s="2" t="str">
        <f ca="1">IFERROR(__xludf.DUMMYFUNCTION("""COMPUTED_VALUE"""),"Bin Dhaen Tower")</f>
        <v>Bin Dhaen Tower</v>
      </c>
      <c r="C2721" s="2"/>
      <c r="D2721" s="2" t="str">
        <f ca="1">IFERROR(__xludf.DUMMYFUNCTION("""COMPUTED_VALUE"""),"Sharjah&gt;Al Majaz&gt;Al Majaz 3&gt;Bin Dhaen Tower")</f>
        <v>Sharjah&gt;Al Majaz&gt;Al Majaz 3&gt;Bin Dhaen Tower</v>
      </c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</row>
    <row r="2722" spans="1:26" ht="16.5" x14ac:dyDescent="0.35">
      <c r="A2722" s="2" t="str">
        <f ca="1">IFERROR(__xludf.DUMMYFUNCTION("""COMPUTED_VALUE"""),"Sharjah")</f>
        <v>Sharjah</v>
      </c>
      <c r="B2722" s="2" t="str">
        <f ca="1">IFERROR(__xludf.DUMMYFUNCTION("""COMPUTED_VALUE"""),"Al Midfa")</f>
        <v>Al Midfa</v>
      </c>
      <c r="C2722" s="2"/>
      <c r="D2722" s="2" t="str">
        <f ca="1">IFERROR(__xludf.DUMMYFUNCTION("""COMPUTED_VALUE"""),"Sharjah&gt;Al Majaz&gt;Al Majaz 3&gt;Al Midfa")</f>
        <v>Sharjah&gt;Al Majaz&gt;Al Majaz 3&gt;Al Midfa</v>
      </c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</row>
    <row r="2723" spans="1:26" ht="16.5" x14ac:dyDescent="0.35">
      <c r="A2723" s="2" t="str">
        <f ca="1">IFERROR(__xludf.DUMMYFUNCTION("""COMPUTED_VALUE"""),"Sharjah")</f>
        <v>Sharjah</v>
      </c>
      <c r="B2723" s="2" t="str">
        <f ca="1">IFERROR(__xludf.DUMMYFUNCTION("""COMPUTED_VALUE"""),"Riviera Building")</f>
        <v>Riviera Building</v>
      </c>
      <c r="C2723" s="2" t="str">
        <f ca="1">IFERROR(__xludf.DUMMYFUNCTION("""COMPUTED_VALUE"""),"Building")</f>
        <v>Building</v>
      </c>
      <c r="D2723" s="2" t="str">
        <f ca="1">IFERROR(__xludf.DUMMYFUNCTION("""COMPUTED_VALUE"""),"Sharjah&gt;Al Majaz&gt;Al Majaz 3&gt;Riviera Building")</f>
        <v>Sharjah&gt;Al Majaz&gt;Al Majaz 3&gt;Riviera Building</v>
      </c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</row>
    <row r="2724" spans="1:26" ht="16.5" x14ac:dyDescent="0.35">
      <c r="A2724" s="2" t="str">
        <f ca="1">IFERROR(__xludf.DUMMYFUNCTION("""COMPUTED_VALUE"""),"Sharjah")</f>
        <v>Sharjah</v>
      </c>
      <c r="B2724" s="2" t="str">
        <f ca="1">IFERROR(__xludf.DUMMYFUNCTION("""COMPUTED_VALUE"""),"Al Sarka Building")</f>
        <v>Al Sarka Building</v>
      </c>
      <c r="C2724" s="2"/>
      <c r="D2724" s="2" t="str">
        <f ca="1">IFERROR(__xludf.DUMMYFUNCTION("""COMPUTED_VALUE"""),"Sharjah&gt;Al Majaz&gt;Al Majaz 1&gt;Al Sarka Building")</f>
        <v>Sharjah&gt;Al Majaz&gt;Al Majaz 1&gt;Al Sarka Building</v>
      </c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</row>
    <row r="2725" spans="1:26" ht="16.5" x14ac:dyDescent="0.35">
      <c r="A2725" s="2" t="str">
        <f ca="1">IFERROR(__xludf.DUMMYFUNCTION("""COMPUTED_VALUE"""),"Sharjah")</f>
        <v>Sharjah</v>
      </c>
      <c r="B2725" s="2" t="str">
        <f ca="1">IFERROR(__xludf.DUMMYFUNCTION("""COMPUTED_VALUE"""),"Masaar 2")</f>
        <v>Masaar 2</v>
      </c>
      <c r="C2725" s="2" t="str">
        <f ca="1">IFERROR(__xludf.DUMMYFUNCTION("""COMPUTED_VALUE"""),"Neighbourhood")</f>
        <v>Neighbourhood</v>
      </c>
      <c r="D2725" s="2" t="str">
        <f ca="1">IFERROR(__xludf.DUMMYFUNCTION("""COMPUTED_VALUE"""),"Sharjah&gt;Al Sehma&gt;Masaar 2")</f>
        <v>Sharjah&gt;Al Sehma&gt;Masaar 2</v>
      </c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</row>
    <row r="2726" spans="1:26" ht="16.5" x14ac:dyDescent="0.35">
      <c r="A2726" s="2" t="str">
        <f ca="1">IFERROR(__xludf.DUMMYFUNCTION("""COMPUTED_VALUE"""),"Sharjah")</f>
        <v>Sharjah</v>
      </c>
      <c r="B2726" s="2" t="str">
        <f ca="1">IFERROR(__xludf.DUMMYFUNCTION("""COMPUTED_VALUE"""),"Tiger 5 Building")</f>
        <v>Tiger 5 Building</v>
      </c>
      <c r="C2726" s="2"/>
      <c r="D2726" s="2" t="str">
        <f ca="1">IFERROR(__xludf.DUMMYFUNCTION("""COMPUTED_VALUE"""),"Sharjah&gt;Al Taawun&gt;Tiger 5 Building")</f>
        <v>Sharjah&gt;Al Taawun&gt;Tiger 5 Building</v>
      </c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</row>
    <row r="2727" spans="1:26" ht="16.5" x14ac:dyDescent="0.35">
      <c r="A2727" s="2" t="str">
        <f ca="1">IFERROR(__xludf.DUMMYFUNCTION("""COMPUTED_VALUE"""),"Sharjah")</f>
        <v>Sharjah</v>
      </c>
      <c r="B2727" s="2" t="str">
        <f ca="1">IFERROR(__xludf.DUMMYFUNCTION("""COMPUTED_VALUE"""),"Zakhir Tower 1")</f>
        <v>Zakhir Tower 1</v>
      </c>
      <c r="C2727" s="2" t="str">
        <f ca="1">IFERROR(__xludf.DUMMYFUNCTION("""COMPUTED_VALUE"""),"Building")</f>
        <v>Building</v>
      </c>
      <c r="D2727" s="2" t="str">
        <f ca="1">IFERROR(__xludf.DUMMYFUNCTION("""COMPUTED_VALUE"""),"Sharjah&gt;Al Taawun&gt;Zakhir Tower 1")</f>
        <v>Sharjah&gt;Al Taawun&gt;Zakhir Tower 1</v>
      </c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</row>
    <row r="2728" spans="1:26" ht="16.5" x14ac:dyDescent="0.35">
      <c r="A2728" s="2" t="str">
        <f ca="1">IFERROR(__xludf.DUMMYFUNCTION("""COMPUTED_VALUE"""),"Sharjah")</f>
        <v>Sharjah</v>
      </c>
      <c r="B2728" s="2" t="str">
        <f ca="1">IFERROR(__xludf.DUMMYFUNCTION("""COMPUTED_VALUE"""),"Al Ittihad Tower")</f>
        <v>Al Ittihad Tower</v>
      </c>
      <c r="C2728" s="2"/>
      <c r="D2728" s="2" t="str">
        <f ca="1">IFERROR(__xludf.DUMMYFUNCTION("""COMPUTED_VALUE"""),"Sharjah&gt;Al Qasimia&gt;Al Nad&gt;Al Ittihad Tower")</f>
        <v>Sharjah&gt;Al Qasimia&gt;Al Nad&gt;Al Ittihad Tower</v>
      </c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</row>
    <row r="2729" spans="1:26" ht="16.5" x14ac:dyDescent="0.35">
      <c r="A2729" s="2" t="str">
        <f ca="1">IFERROR(__xludf.DUMMYFUNCTION("""COMPUTED_VALUE"""),"Sharjah")</f>
        <v>Sharjah</v>
      </c>
      <c r="B2729" s="2" t="str">
        <f ca="1">IFERROR(__xludf.DUMMYFUNCTION("""COMPUTED_VALUE"""),"Crystal Plaza Hotel")</f>
        <v>Crystal Plaza Hotel</v>
      </c>
      <c r="C2729" s="2"/>
      <c r="D2729" s="2" t="str">
        <f ca="1">IFERROR(__xludf.DUMMYFUNCTION("""COMPUTED_VALUE"""),"Sharjah&gt;Al Qasimia&gt;Al Nad&gt;Crystal Plaza Hotel")</f>
        <v>Sharjah&gt;Al Qasimia&gt;Al Nad&gt;Crystal Plaza Hotel</v>
      </c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</row>
    <row r="2730" spans="1:26" ht="16.5" x14ac:dyDescent="0.35">
      <c r="A2730" s="2" t="str">
        <f ca="1">IFERROR(__xludf.DUMMYFUNCTION("""COMPUTED_VALUE"""),"Sharjah")</f>
        <v>Sharjah</v>
      </c>
      <c r="B2730" s="2" t="str">
        <f ca="1">IFERROR(__xludf.DUMMYFUNCTION("""COMPUTED_VALUE"""),"Lootah Al Qassimia")</f>
        <v>Lootah Al Qassimia</v>
      </c>
      <c r="C2730" s="2" t="str">
        <f ca="1">IFERROR(__xludf.DUMMYFUNCTION("""COMPUTED_VALUE"""),"Building")</f>
        <v>Building</v>
      </c>
      <c r="D2730" s="2" t="str">
        <f ca="1">IFERROR(__xludf.DUMMYFUNCTION("""COMPUTED_VALUE"""),"Sharjah&gt;Al Qasimia&gt;Al Nad&gt;Lootah Al Qassimia")</f>
        <v>Sharjah&gt;Al Qasimia&gt;Al Nad&gt;Lootah Al Qassimia</v>
      </c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</row>
    <row r="2731" spans="1:26" ht="16.5" x14ac:dyDescent="0.35">
      <c r="A2731" s="2" t="str">
        <f ca="1">IFERROR(__xludf.DUMMYFUNCTION("""COMPUTED_VALUE"""),"Sharjah")</f>
        <v>Sharjah</v>
      </c>
      <c r="B2731" s="2" t="str">
        <f ca="1">IFERROR(__xludf.DUMMYFUNCTION("""COMPUTED_VALUE"""),"Al Dar Hotel")</f>
        <v>Al Dar Hotel</v>
      </c>
      <c r="C2731" s="2" t="str">
        <f ca="1">IFERROR(__xludf.DUMMYFUNCTION("""COMPUTED_VALUE"""),"Building")</f>
        <v>Building</v>
      </c>
      <c r="D2731" s="2" t="str">
        <f ca="1">IFERROR(__xludf.DUMMYFUNCTION("""COMPUTED_VALUE"""),"Sharjah&gt;Al Nabba&gt;Al Dar Hotel")</f>
        <v>Sharjah&gt;Al Nabba&gt;Al Dar Hotel</v>
      </c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</row>
    <row r="2732" spans="1:26" ht="16.5" x14ac:dyDescent="0.35">
      <c r="A2732" s="2" t="str">
        <f ca="1">IFERROR(__xludf.DUMMYFUNCTION("""COMPUTED_VALUE"""),"Sharjah")</f>
        <v>Sharjah</v>
      </c>
      <c r="B2732" s="2" t="str">
        <f ca="1">IFERROR(__xludf.DUMMYFUNCTION("""COMPUTED_VALUE"""),"Swiss Belhotel Sharjah")</f>
        <v>Swiss Belhotel Sharjah</v>
      </c>
      <c r="C2732" s="2"/>
      <c r="D2732" s="2" t="str">
        <f ca="1">IFERROR(__xludf.DUMMYFUNCTION("""COMPUTED_VALUE"""),"Sharjah&gt;Al Nabba&gt;Swiss Belhotel Sharjah")</f>
        <v>Sharjah&gt;Al Nabba&gt;Swiss Belhotel Sharjah</v>
      </c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</row>
    <row r="2733" spans="1:26" ht="16.5" x14ac:dyDescent="0.35">
      <c r="A2733" s="2" t="str">
        <f ca="1">IFERROR(__xludf.DUMMYFUNCTION("""COMPUTED_VALUE"""),"Sharjah")</f>
        <v>Sharjah</v>
      </c>
      <c r="B2733" s="2" t="str">
        <f ca="1">IFERROR(__xludf.DUMMYFUNCTION("""COMPUTED_VALUE"""),"Industrial Area 2")</f>
        <v>Industrial Area 2</v>
      </c>
      <c r="C2733" s="2"/>
      <c r="D2733" s="2" t="str">
        <f ca="1">IFERROR(__xludf.DUMMYFUNCTION("""COMPUTED_VALUE"""),"Sharjah&gt;Industrial Area&gt;Industrial Area 2")</f>
        <v>Sharjah&gt;Industrial Area&gt;Industrial Area 2</v>
      </c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</row>
    <row r="2734" spans="1:26" ht="16.5" x14ac:dyDescent="0.35">
      <c r="A2734" s="2" t="str">
        <f ca="1">IFERROR(__xludf.DUMMYFUNCTION("""COMPUTED_VALUE"""),"Sharjah")</f>
        <v>Sharjah</v>
      </c>
      <c r="B2734" s="2" t="str">
        <f ca="1">IFERROR(__xludf.DUMMYFUNCTION("""COMPUTED_VALUE"""),"RA 1")</f>
        <v>RA 1</v>
      </c>
      <c r="C2734" s="2" t="str">
        <f ca="1">IFERROR(__xludf.DUMMYFUNCTION("""COMPUTED_VALUE"""),"Building")</f>
        <v>Building</v>
      </c>
      <c r="D2734" s="2" t="str">
        <f ca="1">IFERROR(__xludf.DUMMYFUNCTION("""COMPUTED_VALUE"""),"Sharjah&gt;Muwaileh&gt;Al Mamsha&gt;Souks Residential&gt;RA 1")</f>
        <v>Sharjah&gt;Muwaileh&gt;Al Mamsha&gt;Souks Residential&gt;RA 1</v>
      </c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</row>
    <row r="2735" spans="1:26" ht="16.5" x14ac:dyDescent="0.35">
      <c r="A2735" s="2" t="str">
        <f ca="1">IFERROR(__xludf.DUMMYFUNCTION("""COMPUTED_VALUE"""),"Sharjah")</f>
        <v>Sharjah</v>
      </c>
      <c r="B2735" s="2" t="str">
        <f ca="1">IFERROR(__xludf.DUMMYFUNCTION("""COMPUTED_VALUE"""),"Sawa 3")</f>
        <v>Sawa 3</v>
      </c>
      <c r="C2735" s="2" t="str">
        <f ca="1">IFERROR(__xludf.DUMMYFUNCTION("""COMPUTED_VALUE"""),"Building")</f>
        <v>Building</v>
      </c>
      <c r="D2735" s="2" t="str">
        <f ca="1">IFERROR(__xludf.DUMMYFUNCTION("""COMPUTED_VALUE"""),"Sharjah&gt;Muwaileh&gt;Al Mamsha&gt;Sawa&gt;Sawa 3")</f>
        <v>Sharjah&gt;Muwaileh&gt;Al Mamsha&gt;Sawa&gt;Sawa 3</v>
      </c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</row>
    <row r="2736" spans="1:26" ht="16.5" x14ac:dyDescent="0.35">
      <c r="A2736" s="2" t="str">
        <f ca="1">IFERROR(__xludf.DUMMYFUNCTION("""COMPUTED_VALUE"""),"Sharjah")</f>
        <v>Sharjah</v>
      </c>
      <c r="B2736" s="2" t="str">
        <f ca="1">IFERROR(__xludf.DUMMYFUNCTION("""COMPUTED_VALUE"""),"GEMS Millennium School Sharjah")</f>
        <v>GEMS Millennium School Sharjah</v>
      </c>
      <c r="C2736" s="2" t="str">
        <f ca="1">IFERROR(__xludf.DUMMYFUNCTION("""COMPUTED_VALUE"""),"School")</f>
        <v>School</v>
      </c>
      <c r="D2736" s="2" t="str">
        <f ca="1">IFERROR(__xludf.DUMMYFUNCTION("""COMPUTED_VALUE"""),"Sharjah&gt;Muwaileh Commercial&gt;GEMS Millennium School Sharjah")</f>
        <v>Sharjah&gt;Muwaileh Commercial&gt;GEMS Millennium School Sharjah</v>
      </c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</row>
    <row r="2737" spans="1:26" ht="16.5" x14ac:dyDescent="0.35">
      <c r="A2737" s="2" t="str">
        <f ca="1">IFERROR(__xludf.DUMMYFUNCTION("""COMPUTED_VALUE"""),"Dubai")</f>
        <v>Dubai</v>
      </c>
      <c r="B2737" s="2" t="str">
        <f ca="1">IFERROR(__xludf.DUMMYFUNCTION("""COMPUTED_VALUE"""),"Downtown Views")</f>
        <v>Downtown Views</v>
      </c>
      <c r="C2737" s="2" t="str">
        <f ca="1">IFERROR(__xludf.DUMMYFUNCTION("""COMPUTED_VALUE"""),"Building")</f>
        <v>Building</v>
      </c>
      <c r="D2737" s="2" t="str">
        <f ca="1">IFERROR(__xludf.DUMMYFUNCTION("""COMPUTED_VALUE"""),"Dubai&gt;Za'abeel&gt;Za'abeel 2&gt;Downtown Views")</f>
        <v>Dubai&gt;Za'abeel&gt;Za'abeel 2&gt;Downtown Views</v>
      </c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</row>
    <row r="2738" spans="1:26" ht="16.5" x14ac:dyDescent="0.35">
      <c r="A2738" s="2" t="str">
        <f ca="1">IFERROR(__xludf.DUMMYFUNCTION("""COMPUTED_VALUE"""),"Dubai")</f>
        <v>Dubai</v>
      </c>
      <c r="B2738" s="2" t="str">
        <f ca="1">IFERROR(__xludf.DUMMYFUNCTION("""COMPUTED_VALUE"""),"Samari Residences 2")</f>
        <v>Samari Residences 2</v>
      </c>
      <c r="C2738" s="2" t="str">
        <f ca="1">IFERROR(__xludf.DUMMYFUNCTION("""COMPUTED_VALUE"""),"Building")</f>
        <v>Building</v>
      </c>
      <c r="D2738" s="2" t="str">
        <f ca="1">IFERROR(__xludf.DUMMYFUNCTION("""COMPUTED_VALUE"""),"Dubai&gt;Ras Al Khor&gt;Ras Al Khor Industrial&gt;Ras Al Khor Industrial 3&gt;Samari Residences&gt;Samari Residences 2")</f>
        <v>Dubai&gt;Ras Al Khor&gt;Ras Al Khor Industrial&gt;Ras Al Khor Industrial 3&gt;Samari Residences&gt;Samari Residences 2</v>
      </c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</row>
    <row r="2739" spans="1:26" ht="16.5" x14ac:dyDescent="0.35">
      <c r="A2739" s="2" t="str">
        <f ca="1">IFERROR(__xludf.DUMMYFUNCTION("""COMPUTED_VALUE"""),"Dubai")</f>
        <v>Dubai</v>
      </c>
      <c r="B2739" s="2" t="str">
        <f ca="1">IFERROR(__xludf.DUMMYFUNCTION("""COMPUTED_VALUE"""),"Ibn Battuta Gate Offices")</f>
        <v>Ibn Battuta Gate Offices</v>
      </c>
      <c r="C2739" s="2" t="str">
        <f ca="1">IFERROR(__xludf.DUMMYFUNCTION("""COMPUTED_VALUE"""),"Building")</f>
        <v>Building</v>
      </c>
      <c r="D2739" s="2" t="str">
        <f ca="1">IFERROR(__xludf.DUMMYFUNCTION("""COMPUTED_VALUE"""),"Dubai&gt;Jebel Ali&gt;Ibn Battuta Gate&gt;Ibn Battuta Gate Offices")</f>
        <v>Dubai&gt;Jebel Ali&gt;Ibn Battuta Gate&gt;Ibn Battuta Gate Offices</v>
      </c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</row>
    <row r="2740" spans="1:26" ht="16.5" x14ac:dyDescent="0.35">
      <c r="A2740" s="2" t="str">
        <f ca="1">IFERROR(__xludf.DUMMYFUNCTION("""COMPUTED_VALUE"""),"Dubai")</f>
        <v>Dubai</v>
      </c>
      <c r="B2740" s="2" t="str">
        <f ca="1">IFERROR(__xludf.DUMMYFUNCTION("""COMPUTED_VALUE"""),"Aws Family Residence")</f>
        <v>Aws Family Residence</v>
      </c>
      <c r="C2740" s="2" t="str">
        <f ca="1">IFERROR(__xludf.DUMMYFUNCTION("""COMPUTED_VALUE"""),"Building")</f>
        <v>Building</v>
      </c>
      <c r="D2740" s="2" t="str">
        <f ca="1">IFERROR(__xludf.DUMMYFUNCTION("""COMPUTED_VALUE"""),"Dubai&gt;Jebel Ali&gt;Jebel Ali Industrial Area&gt;Jebel Ali Industrial Area 1&gt;Aws Family Residence")</f>
        <v>Dubai&gt;Jebel Ali&gt;Jebel Ali Industrial Area&gt;Jebel Ali Industrial Area 1&gt;Aws Family Residence</v>
      </c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</row>
    <row r="2741" spans="1:26" ht="16.5" x14ac:dyDescent="0.35">
      <c r="A2741" s="2" t="str">
        <f ca="1">IFERROR(__xludf.DUMMYFUNCTION("""COMPUTED_VALUE"""),"Dubai")</f>
        <v>Dubai</v>
      </c>
      <c r="B2741" s="2" t="str">
        <f ca="1">IFERROR(__xludf.DUMMYFUNCTION("""COMPUTED_VALUE"""),"Alfa Offices")</f>
        <v>Alfa Offices</v>
      </c>
      <c r="C2741" s="2" t="str">
        <f ca="1">IFERROR(__xludf.DUMMYFUNCTION("""COMPUTED_VALUE"""),"Building")</f>
        <v>Building</v>
      </c>
      <c r="D2741" s="2" t="str">
        <f ca="1">IFERROR(__xludf.DUMMYFUNCTION("""COMPUTED_VALUE"""),"Dubai&gt;Nad Al Hamar&gt;Alfa Offices")</f>
        <v>Dubai&gt;Nad Al Hamar&gt;Alfa Offices</v>
      </c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</row>
    <row r="2742" spans="1:26" ht="16.5" x14ac:dyDescent="0.35">
      <c r="A2742" s="2" t="str">
        <f ca="1">IFERROR(__xludf.DUMMYFUNCTION("""COMPUTED_VALUE"""),"Dubai")</f>
        <v>Dubai</v>
      </c>
      <c r="B2742" s="2" t="str">
        <f ca="1">IFERROR(__xludf.DUMMYFUNCTION("""COMPUTED_VALUE"""),"Belrasheed Building 2")</f>
        <v>Belrasheed Building 2</v>
      </c>
      <c r="C2742" s="2" t="str">
        <f ca="1">IFERROR(__xludf.DUMMYFUNCTION("""COMPUTED_VALUE"""),"Building")</f>
        <v>Building</v>
      </c>
      <c r="D2742" s="2" t="str">
        <f ca="1">IFERROR(__xludf.DUMMYFUNCTION("""COMPUTED_VALUE"""),"Dubai&gt;Nad Al Hamar&gt;Belrasheed Building 2")</f>
        <v>Dubai&gt;Nad Al Hamar&gt;Belrasheed Building 2</v>
      </c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</row>
    <row r="2743" spans="1:26" ht="16.5" x14ac:dyDescent="0.35">
      <c r="A2743" s="2" t="str">
        <f ca="1">IFERROR(__xludf.DUMMYFUNCTION("""COMPUTED_VALUE"""),"Dubai")</f>
        <v>Dubai</v>
      </c>
      <c r="B2743" s="2" t="str">
        <f ca="1">IFERROR(__xludf.DUMMYFUNCTION("""COMPUTED_VALUE"""),"Al Shafar Building")</f>
        <v>Al Shafar Building</v>
      </c>
      <c r="C2743" s="2" t="str">
        <f ca="1">IFERROR(__xludf.DUMMYFUNCTION("""COMPUTED_VALUE"""),"Building")</f>
        <v>Building</v>
      </c>
      <c r="D2743" s="2" t="str">
        <f ca="1">IFERROR(__xludf.DUMMYFUNCTION("""COMPUTED_VALUE"""),"Dubai&gt;Al Barsha&gt;Al Barsha 1&gt;Al Shafar Building")</f>
        <v>Dubai&gt;Al Barsha&gt;Al Barsha 1&gt;Al Shafar Building</v>
      </c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</row>
    <row r="2744" spans="1:26" ht="16.5" x14ac:dyDescent="0.35">
      <c r="A2744" s="2" t="str">
        <f ca="1">IFERROR(__xludf.DUMMYFUNCTION("""COMPUTED_VALUE"""),"Dubai")</f>
        <v>Dubai</v>
      </c>
      <c r="B2744" s="2" t="str">
        <f ca="1">IFERROR(__xludf.DUMMYFUNCTION("""COMPUTED_VALUE"""),"Barsha Platinum")</f>
        <v>Barsha Platinum</v>
      </c>
      <c r="C2744" s="2" t="str">
        <f ca="1">IFERROR(__xludf.DUMMYFUNCTION("""COMPUTED_VALUE"""),"Building")</f>
        <v>Building</v>
      </c>
      <c r="D2744" s="2" t="str">
        <f ca="1">IFERROR(__xludf.DUMMYFUNCTION("""COMPUTED_VALUE"""),"Dubai&gt;Al Barsha&gt;Al Barsha 1&gt;Barsha Platinum")</f>
        <v>Dubai&gt;Al Barsha&gt;Al Barsha 1&gt;Barsha Platinum</v>
      </c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</row>
    <row r="2745" spans="1:26" ht="16.5" x14ac:dyDescent="0.35">
      <c r="A2745" s="2" t="str">
        <f ca="1">IFERROR(__xludf.DUMMYFUNCTION("""COMPUTED_VALUE"""),"Dubai")</f>
        <v>Dubai</v>
      </c>
      <c r="B2745" s="2" t="str">
        <f ca="1">IFERROR(__xludf.DUMMYFUNCTION("""COMPUTED_VALUE"""),"The Elite Business Centre")</f>
        <v>The Elite Business Centre</v>
      </c>
      <c r="C2745" s="2" t="str">
        <f ca="1">IFERROR(__xludf.DUMMYFUNCTION("""COMPUTED_VALUE"""),"Building")</f>
        <v>Building</v>
      </c>
      <c r="D2745" s="2" t="str">
        <f ca="1">IFERROR(__xludf.DUMMYFUNCTION("""COMPUTED_VALUE"""),"Dubai&gt;Al Barsha&gt;Al Barsha 1&gt;The Elite Business Centre")</f>
        <v>Dubai&gt;Al Barsha&gt;Al Barsha 1&gt;The Elite Business Centre</v>
      </c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</row>
    <row r="2746" spans="1:26" ht="16.5" x14ac:dyDescent="0.35">
      <c r="A2746" s="2" t="str">
        <f ca="1">IFERROR(__xludf.DUMMYFUNCTION("""COMPUTED_VALUE"""),"Dubai")</f>
        <v>Dubai</v>
      </c>
      <c r="B2746" s="2" t="str">
        <f ca="1">IFERROR(__xludf.DUMMYFUNCTION("""COMPUTED_VALUE"""),"Casablanca 3")</f>
        <v>Casablanca 3</v>
      </c>
      <c r="C2746" s="2" t="str">
        <f ca="1">IFERROR(__xludf.DUMMYFUNCTION("""COMPUTED_VALUE"""),"Neighbourhood")</f>
        <v>Neighbourhood</v>
      </c>
      <c r="D2746" s="2" t="str">
        <f ca="1">IFERROR(__xludf.DUMMYFUNCTION("""COMPUTED_VALUE"""),"Dubai&gt;Al Barsha&gt;Al Barsha 1&gt;Casablanca 3")</f>
        <v>Dubai&gt;Al Barsha&gt;Al Barsha 1&gt;Casablanca 3</v>
      </c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</row>
    <row r="2747" spans="1:26" ht="16.5" x14ac:dyDescent="0.35">
      <c r="A2747" s="2" t="str">
        <f ca="1">IFERROR(__xludf.DUMMYFUNCTION("""COMPUTED_VALUE"""),"Dubai")</f>
        <v>Dubai</v>
      </c>
      <c r="B2747" s="2" t="str">
        <f ca="1">IFERROR(__xludf.DUMMYFUNCTION("""COMPUTED_VALUE"""),"Flora Al Barsha Hotel")</f>
        <v>Flora Al Barsha Hotel</v>
      </c>
      <c r="C2747" s="2" t="str">
        <f ca="1">IFERROR(__xludf.DUMMYFUNCTION("""COMPUTED_VALUE"""),"Building")</f>
        <v>Building</v>
      </c>
      <c r="D2747" s="2" t="str">
        <f ca="1">IFERROR(__xludf.DUMMYFUNCTION("""COMPUTED_VALUE"""),"Dubai&gt;Al Barsha&gt;Al Barsha 1&gt;Flora Al Barsha Hotel")</f>
        <v>Dubai&gt;Al Barsha&gt;Al Barsha 1&gt;Flora Al Barsha Hotel</v>
      </c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</row>
    <row r="2748" spans="1:26" ht="16.5" x14ac:dyDescent="0.35">
      <c r="A2748" s="2" t="str">
        <f ca="1">IFERROR(__xludf.DUMMYFUNCTION("""COMPUTED_VALUE"""),"Dubai")</f>
        <v>Dubai</v>
      </c>
      <c r="B2748" s="2" t="str">
        <f ca="1">IFERROR(__xludf.DUMMYFUNCTION("""COMPUTED_VALUE"""),"Mohammad Asif Bin Shafar Building")</f>
        <v>Mohammad Asif Bin Shafar Building</v>
      </c>
      <c r="C2748" s="2" t="str">
        <f ca="1">IFERROR(__xludf.DUMMYFUNCTION("""COMPUTED_VALUE"""),"Building")</f>
        <v>Building</v>
      </c>
      <c r="D2748" s="2" t="str">
        <f ca="1">IFERROR(__xludf.DUMMYFUNCTION("""COMPUTED_VALUE"""),"Dubai&gt;Al Barsha&gt;Al Barsha 1&gt;Mohammad Asif Bin Shafar Building")</f>
        <v>Dubai&gt;Al Barsha&gt;Al Barsha 1&gt;Mohammad Asif Bin Shafar Building</v>
      </c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</row>
    <row r="2749" spans="1:26" ht="16.5" x14ac:dyDescent="0.35">
      <c r="A2749" s="2" t="str">
        <f ca="1">IFERROR(__xludf.DUMMYFUNCTION("""COMPUTED_VALUE"""),"Dubai")</f>
        <v>Dubai</v>
      </c>
      <c r="B2749" s="2" t="str">
        <f ca="1">IFERROR(__xludf.DUMMYFUNCTION("""COMPUTED_VALUE"""),"Iridium Building")</f>
        <v>Iridium Building</v>
      </c>
      <c r="C2749" s="2" t="str">
        <f ca="1">IFERROR(__xludf.DUMMYFUNCTION("""COMPUTED_VALUE"""),"Building")</f>
        <v>Building</v>
      </c>
      <c r="D2749" s="2" t="str">
        <f ca="1">IFERROR(__xludf.DUMMYFUNCTION("""COMPUTED_VALUE"""),"Dubai&gt;Al Barsha&gt;Al Barsha 1&gt;Iridium Building")</f>
        <v>Dubai&gt;Al Barsha&gt;Al Barsha 1&gt;Iridium Building</v>
      </c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</row>
    <row r="2750" spans="1:26" ht="16.5" x14ac:dyDescent="0.35">
      <c r="A2750" s="2" t="str">
        <f ca="1">IFERROR(__xludf.DUMMYFUNCTION("""COMPUTED_VALUE"""),"Dubai")</f>
        <v>Dubai</v>
      </c>
      <c r="B2750" s="2" t="str">
        <f ca="1">IFERROR(__xludf.DUMMYFUNCTION("""COMPUTED_VALUE"""),"Al Hassani Compound")</f>
        <v>Al Hassani Compound</v>
      </c>
      <c r="C2750" s="2" t="str">
        <f ca="1">IFERROR(__xludf.DUMMYFUNCTION("""COMPUTED_VALUE"""),"Neighbourhood")</f>
        <v>Neighbourhood</v>
      </c>
      <c r="D2750" s="2" t="str">
        <f ca="1">IFERROR(__xludf.DUMMYFUNCTION("""COMPUTED_VALUE"""),"Dubai&gt;Al Barsha&gt;Al Barsha 1&gt;Al Hassani Compound")</f>
        <v>Dubai&gt;Al Barsha&gt;Al Barsha 1&gt;Al Hassani Compound</v>
      </c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</row>
    <row r="2751" spans="1:26" ht="16.5" x14ac:dyDescent="0.35">
      <c r="A2751" s="2" t="str">
        <f ca="1">IFERROR(__xludf.DUMMYFUNCTION("""COMPUTED_VALUE"""),"Dubai")</f>
        <v>Dubai</v>
      </c>
      <c r="B2751" s="2" t="str">
        <f ca="1">IFERROR(__xludf.DUMMYFUNCTION("""COMPUTED_VALUE"""),"Badri Building 22")</f>
        <v>Badri Building 22</v>
      </c>
      <c r="C2751" s="2" t="str">
        <f ca="1">IFERROR(__xludf.DUMMYFUNCTION("""COMPUTED_VALUE"""),"Building")</f>
        <v>Building</v>
      </c>
      <c r="D2751" s="2" t="str">
        <f ca="1">IFERROR(__xludf.DUMMYFUNCTION("""COMPUTED_VALUE"""),"Dubai&gt;Al Barsha&gt;Al Barsha 1&gt;Badri Building 22")</f>
        <v>Dubai&gt;Al Barsha&gt;Al Barsha 1&gt;Badri Building 22</v>
      </c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</row>
    <row r="2752" spans="1:26" ht="16.5" x14ac:dyDescent="0.35">
      <c r="A2752" s="2" t="str">
        <f ca="1">IFERROR(__xludf.DUMMYFUNCTION("""COMPUTED_VALUE"""),"Dubai")</f>
        <v>Dubai</v>
      </c>
      <c r="B2752" s="2" t="str">
        <f ca="1">IFERROR(__xludf.DUMMYFUNCTION("""COMPUTED_VALUE"""),"American School of Dubai (ASD)")</f>
        <v>American School of Dubai (ASD)</v>
      </c>
      <c r="C2752" s="2" t="str">
        <f ca="1">IFERROR(__xludf.DUMMYFUNCTION("""COMPUTED_VALUE"""),"School")</f>
        <v>School</v>
      </c>
      <c r="D2752" s="2" t="str">
        <f ca="1">IFERROR(__xludf.DUMMYFUNCTION("""COMPUTED_VALUE"""),"Dubai&gt;Al Barsha&gt;Al Barsha 2&gt;American School of Dubai (ASD)")</f>
        <v>Dubai&gt;Al Barsha&gt;Al Barsha 2&gt;American School of Dubai (ASD)</v>
      </c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</row>
    <row r="2753" spans="1:26" ht="16.5" x14ac:dyDescent="0.35">
      <c r="A2753" s="2" t="str">
        <f ca="1">IFERROR(__xludf.DUMMYFUNCTION("""COMPUTED_VALUE"""),"Dubai")</f>
        <v>Dubai</v>
      </c>
      <c r="B2753" s="2" t="str">
        <f ca="1">IFERROR(__xludf.DUMMYFUNCTION("""COMPUTED_VALUE"""),"Boulevard Crescent Tower 1")</f>
        <v>Boulevard Crescent Tower 1</v>
      </c>
      <c r="C2753" s="2" t="str">
        <f ca="1">IFERROR(__xludf.DUMMYFUNCTION("""COMPUTED_VALUE"""),"Building")</f>
        <v>Building</v>
      </c>
      <c r="D2753" s="2" t="str">
        <f ca="1">IFERROR(__xludf.DUMMYFUNCTION("""COMPUTED_VALUE"""),"Dubai&gt;Downtown Dubai&gt;Boulevard Crescent Towers&gt;Boulevard Crescent Tower 1")</f>
        <v>Dubai&gt;Downtown Dubai&gt;Boulevard Crescent Towers&gt;Boulevard Crescent Tower 1</v>
      </c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</row>
    <row r="2754" spans="1:26" ht="16.5" x14ac:dyDescent="0.35">
      <c r="A2754" s="2" t="str">
        <f ca="1">IFERROR(__xludf.DUMMYFUNCTION("""COMPUTED_VALUE"""),"Dubai")</f>
        <v>Dubai</v>
      </c>
      <c r="B2754" s="2" t="str">
        <f ca="1">IFERROR(__xludf.DUMMYFUNCTION("""COMPUTED_VALUE"""),"The Residence 4")</f>
        <v>The Residence 4</v>
      </c>
      <c r="C2754" s="2" t="str">
        <f ca="1">IFERROR(__xludf.DUMMYFUNCTION("""COMPUTED_VALUE"""),"Building")</f>
        <v>Building</v>
      </c>
      <c r="D2754" s="2" t="str">
        <f ca="1">IFERROR(__xludf.DUMMYFUNCTION("""COMPUTED_VALUE"""),"Dubai&gt;Downtown Dubai&gt;The Residences&gt;The Residence 4")</f>
        <v>Dubai&gt;Downtown Dubai&gt;The Residences&gt;The Residence 4</v>
      </c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</row>
    <row r="2755" spans="1:26" ht="16.5" x14ac:dyDescent="0.35">
      <c r="A2755" s="2" t="str">
        <f ca="1">IFERROR(__xludf.DUMMYFUNCTION("""COMPUTED_VALUE"""),"Dubai")</f>
        <v>Dubai</v>
      </c>
      <c r="B2755" s="2" t="str">
        <f ca="1">IFERROR(__xludf.DUMMYFUNCTION("""COMPUTED_VALUE"""),"29 Boulevard Podium")</f>
        <v>29 Boulevard Podium</v>
      </c>
      <c r="C2755" s="2" t="str">
        <f ca="1">IFERROR(__xludf.DUMMYFUNCTION("""COMPUTED_VALUE"""),"Building")</f>
        <v>Building</v>
      </c>
      <c r="D2755" s="2" t="str">
        <f ca="1">IFERROR(__xludf.DUMMYFUNCTION("""COMPUTED_VALUE"""),"Dubai&gt;Downtown Dubai&gt;29 Boulevard&gt;29 Boulevard Podium")</f>
        <v>Dubai&gt;Downtown Dubai&gt;29 Boulevard&gt;29 Boulevard Podium</v>
      </c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</row>
    <row r="2756" spans="1:26" ht="16.5" x14ac:dyDescent="0.35">
      <c r="A2756" s="2" t="str">
        <f ca="1">IFERROR(__xludf.DUMMYFUNCTION("""COMPUTED_VALUE"""),"Dubai")</f>
        <v>Dubai</v>
      </c>
      <c r="B2756" s="2" t="str">
        <f ca="1">IFERROR(__xludf.DUMMYFUNCTION("""COMPUTED_VALUE"""),"South Ridge 6")</f>
        <v>South Ridge 6</v>
      </c>
      <c r="C2756" s="2" t="str">
        <f ca="1">IFERROR(__xludf.DUMMYFUNCTION("""COMPUTED_VALUE"""),"Building")</f>
        <v>Building</v>
      </c>
      <c r="D2756" s="2" t="str">
        <f ca="1">IFERROR(__xludf.DUMMYFUNCTION("""COMPUTED_VALUE"""),"Dubai&gt;Downtown Dubai&gt;South Ridge&gt;South Ridge 6")</f>
        <v>Dubai&gt;Downtown Dubai&gt;South Ridge&gt;South Ridge 6</v>
      </c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</row>
    <row r="2757" spans="1:26" ht="16.5" x14ac:dyDescent="0.35">
      <c r="A2757" s="2" t="str">
        <f ca="1">IFERROR(__xludf.DUMMYFUNCTION("""COMPUTED_VALUE"""),"Dubai")</f>
        <v>Dubai</v>
      </c>
      <c r="B2757" s="2" t="str">
        <f ca="1">IFERROR(__xludf.DUMMYFUNCTION("""COMPUTED_VALUE"""),"Yansoon 1")</f>
        <v>Yansoon 1</v>
      </c>
      <c r="C2757" s="2" t="str">
        <f ca="1">IFERROR(__xludf.DUMMYFUNCTION("""COMPUTED_VALUE"""),"Building")</f>
        <v>Building</v>
      </c>
      <c r="D2757" s="2" t="str">
        <f ca="1">IFERROR(__xludf.DUMMYFUNCTION("""COMPUTED_VALUE"""),"Dubai&gt;Downtown Dubai&gt;Old Town&gt;Yansoon&gt;Yansoon 1")</f>
        <v>Dubai&gt;Downtown Dubai&gt;Old Town&gt;Yansoon&gt;Yansoon 1</v>
      </c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</row>
    <row r="2758" spans="1:26" ht="16.5" x14ac:dyDescent="0.35">
      <c r="A2758" s="2" t="str">
        <f ca="1">IFERROR(__xludf.DUMMYFUNCTION("""COMPUTED_VALUE"""),"Dubai")</f>
        <v>Dubai</v>
      </c>
      <c r="B2758" s="2" t="str">
        <f ca="1">IFERROR(__xludf.DUMMYFUNCTION("""COMPUTED_VALUE"""),"48 Burj Gate")</f>
        <v>48 Burj Gate</v>
      </c>
      <c r="C2758" s="2" t="str">
        <f ca="1">IFERROR(__xludf.DUMMYFUNCTION("""COMPUTED_VALUE"""),"Building")</f>
        <v>Building</v>
      </c>
      <c r="D2758" s="2" t="str">
        <f ca="1">IFERROR(__xludf.DUMMYFUNCTION("""COMPUTED_VALUE"""),"Dubai&gt;Downtown Dubai&gt;48 Burj Gate")</f>
        <v>Dubai&gt;Downtown Dubai&gt;48 Burj Gate</v>
      </c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</row>
    <row r="2759" spans="1:26" ht="16.5" x14ac:dyDescent="0.35">
      <c r="A2759" s="2" t="str">
        <f ca="1">IFERROR(__xludf.DUMMYFUNCTION("""COMPUTED_VALUE"""),"Dubai")</f>
        <v>Dubai</v>
      </c>
      <c r="B2759" s="2" t="str">
        <f ca="1">IFERROR(__xludf.DUMMYFUNCTION("""COMPUTED_VALUE"""),"Vida Dubai Mall")</f>
        <v>Vida Dubai Mall</v>
      </c>
      <c r="C2759" s="2" t="str">
        <f ca="1">IFERROR(__xludf.DUMMYFUNCTION("""COMPUTED_VALUE"""),"Cluster")</f>
        <v>Cluster</v>
      </c>
      <c r="D2759" s="2" t="str">
        <f ca="1">IFERROR(__xludf.DUMMYFUNCTION("""COMPUTED_VALUE"""),"Dubai&gt;Downtown Dubai&gt;Vida Dubai Mall")</f>
        <v>Dubai&gt;Downtown Dubai&gt;Vida Dubai Mall</v>
      </c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</row>
    <row r="2760" spans="1:26" ht="16.5" x14ac:dyDescent="0.35">
      <c r="A2760" s="2" t="str">
        <f ca="1">IFERROR(__xludf.DUMMYFUNCTION("""COMPUTED_VALUE"""),"Dubai")</f>
        <v>Dubai</v>
      </c>
      <c r="B2760" s="2" t="str">
        <f ca="1">IFERROR(__xludf.DUMMYFUNCTION("""COMPUTED_VALUE"""),"Mazaya 10A")</f>
        <v>Mazaya 10A</v>
      </c>
      <c r="C2760" s="2" t="str">
        <f ca="1">IFERROR(__xludf.DUMMYFUNCTION("""COMPUTED_VALUE"""),"Building")</f>
        <v>Building</v>
      </c>
      <c r="D2760" s="2" t="str">
        <f ca="1">IFERROR(__xludf.DUMMYFUNCTION("""COMPUTED_VALUE"""),"Dubai&gt;Liwan&gt;Queue Point&gt;Mazaya 10A")</f>
        <v>Dubai&gt;Liwan&gt;Queue Point&gt;Mazaya 10A</v>
      </c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</row>
    <row r="2761" spans="1:26" ht="16.5" x14ac:dyDescent="0.35">
      <c r="A2761" s="2" t="str">
        <f ca="1">IFERROR(__xludf.DUMMYFUNCTION("""COMPUTED_VALUE"""),"Dubai")</f>
        <v>Dubai</v>
      </c>
      <c r="B2761" s="2" t="str">
        <f ca="1">IFERROR(__xludf.DUMMYFUNCTION("""COMPUTED_VALUE"""),"Karma Residence")</f>
        <v>Karma Residence</v>
      </c>
      <c r="C2761" s="2" t="str">
        <f ca="1">IFERROR(__xludf.DUMMYFUNCTION("""COMPUTED_VALUE"""),"Building")</f>
        <v>Building</v>
      </c>
      <c r="D2761" s="2" t="str">
        <f ca="1">IFERROR(__xludf.DUMMYFUNCTION("""COMPUTED_VALUE"""),"Dubai&gt;Liwan&gt;Karma Residence")</f>
        <v>Dubai&gt;Liwan&gt;Karma Residence</v>
      </c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</row>
    <row r="2762" spans="1:26" ht="16.5" x14ac:dyDescent="0.35">
      <c r="A2762" s="2" t="str">
        <f ca="1">IFERROR(__xludf.DUMMYFUNCTION("""COMPUTED_VALUE"""),"Dubai")</f>
        <v>Dubai</v>
      </c>
      <c r="B2762" s="2" t="str">
        <f ca="1">IFERROR(__xludf.DUMMYFUNCTION("""COMPUTED_VALUE"""),"Juma Ibrahim Building")</f>
        <v>Juma Ibrahim Building</v>
      </c>
      <c r="C2762" s="2" t="str">
        <f ca="1">IFERROR(__xludf.DUMMYFUNCTION("""COMPUTED_VALUE"""),"Building")</f>
        <v>Building</v>
      </c>
      <c r="D2762" s="2" t="str">
        <f ca="1">IFERROR(__xludf.DUMMYFUNCTION("""COMPUTED_VALUE"""),"Dubai&gt;Al Jafiliya&gt;Juma Ibrahim Building")</f>
        <v>Dubai&gt;Al Jafiliya&gt;Juma Ibrahim Building</v>
      </c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</row>
    <row r="2763" spans="1:26" ht="16.5" x14ac:dyDescent="0.35">
      <c r="A2763" s="2" t="str">
        <f ca="1">IFERROR(__xludf.DUMMYFUNCTION("""COMPUTED_VALUE"""),"Dubai")</f>
        <v>Dubai</v>
      </c>
      <c r="B2763" s="2" t="str">
        <f ca="1">IFERROR(__xludf.DUMMYFUNCTION("""COMPUTED_VALUE"""),"The Gate Village 9")</f>
        <v>The Gate Village 9</v>
      </c>
      <c r="C2763" s="2" t="str">
        <f ca="1">IFERROR(__xludf.DUMMYFUNCTION("""COMPUTED_VALUE"""),"Building")</f>
        <v>Building</v>
      </c>
      <c r="D2763" s="2" t="str">
        <f ca="1">IFERROR(__xludf.DUMMYFUNCTION("""COMPUTED_VALUE"""),"Dubai&gt;DIFC&gt;The Gate Village&gt;The Gate Village 9")</f>
        <v>Dubai&gt;DIFC&gt;The Gate Village&gt;The Gate Village 9</v>
      </c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</row>
    <row r="2764" spans="1:26" ht="16.5" x14ac:dyDescent="0.35">
      <c r="A2764" s="2" t="str">
        <f ca="1">IFERROR(__xludf.DUMMYFUNCTION("""COMPUTED_VALUE"""),"Dubai")</f>
        <v>Dubai</v>
      </c>
      <c r="B2764" s="2" t="str">
        <f ca="1">IFERROR(__xludf.DUMMYFUNCTION("""COMPUTED_VALUE"""),"Union Cooperative Society")</f>
        <v>Union Cooperative Society</v>
      </c>
      <c r="C2764" s="2" t="str">
        <f ca="1">IFERROR(__xludf.DUMMYFUNCTION("""COMPUTED_VALUE"""),"Building")</f>
        <v>Building</v>
      </c>
      <c r="D2764" s="2" t="str">
        <f ca="1">IFERROR(__xludf.DUMMYFUNCTION("""COMPUTED_VALUE"""),"Dubai&gt;Al Twar&gt;Al Twar 1&gt;Union Cooperative Society")</f>
        <v>Dubai&gt;Al Twar&gt;Al Twar 1&gt;Union Cooperative Society</v>
      </c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</row>
    <row r="2765" spans="1:26" ht="16.5" x14ac:dyDescent="0.35">
      <c r="A2765" s="2" t="str">
        <f ca="1">IFERROR(__xludf.DUMMYFUNCTION("""COMPUTED_VALUE"""),"Dubai")</f>
        <v>Dubai</v>
      </c>
      <c r="B2765" s="2" t="str">
        <f ca="1">IFERROR(__xludf.DUMMYFUNCTION("""COMPUTED_VALUE"""),"Al Hilal Building 2")</f>
        <v>Al Hilal Building 2</v>
      </c>
      <c r="C2765" s="2" t="str">
        <f ca="1">IFERROR(__xludf.DUMMYFUNCTION("""COMPUTED_VALUE"""),"Building")</f>
        <v>Building</v>
      </c>
      <c r="D2765" s="2" t="str">
        <f ca="1">IFERROR(__xludf.DUMMYFUNCTION("""COMPUTED_VALUE"""),"Dubai&gt;Al Warqaa&gt;Al Warqaa 1&gt;Al Hilal Building 2")</f>
        <v>Dubai&gt;Al Warqaa&gt;Al Warqaa 1&gt;Al Hilal Building 2</v>
      </c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</row>
    <row r="2766" spans="1:26" ht="16.5" x14ac:dyDescent="0.35">
      <c r="A2766" s="2" t="str">
        <f ca="1">IFERROR(__xludf.DUMMYFUNCTION("""COMPUTED_VALUE"""),"Dubai")</f>
        <v>Dubai</v>
      </c>
      <c r="B2766" s="2" t="str">
        <f ca="1">IFERROR(__xludf.DUMMYFUNCTION("""COMPUTED_VALUE"""),"Al Judi 1")</f>
        <v>Al Judi 1</v>
      </c>
      <c r="C2766" s="2" t="str">
        <f ca="1">IFERROR(__xludf.DUMMYFUNCTION("""COMPUTED_VALUE"""),"Building")</f>
        <v>Building</v>
      </c>
      <c r="D2766" s="2" t="str">
        <f ca="1">IFERROR(__xludf.DUMMYFUNCTION("""COMPUTED_VALUE"""),"Dubai&gt;Al Warqaa&gt;Al Warqaa 1&gt;Al Judi 1")</f>
        <v>Dubai&gt;Al Warqaa&gt;Al Warqaa 1&gt;Al Judi 1</v>
      </c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</row>
    <row r="2767" spans="1:26" ht="16.5" x14ac:dyDescent="0.35">
      <c r="A2767" s="2" t="str">
        <f ca="1">IFERROR(__xludf.DUMMYFUNCTION("""COMPUTED_VALUE"""),"Dubai")</f>
        <v>Dubai</v>
      </c>
      <c r="B2767" s="2" t="str">
        <f ca="1">IFERROR(__xludf.DUMMYFUNCTION("""COMPUTED_VALUE"""),"Abdulla Ahmad Mohd Bin Fahad Al Mehairi 5 Building")</f>
        <v>Abdulla Ahmad Mohd Bin Fahad Al Mehairi 5 Building</v>
      </c>
      <c r="C2767" s="2" t="str">
        <f ca="1">IFERROR(__xludf.DUMMYFUNCTION("""COMPUTED_VALUE"""),"Building")</f>
        <v>Building</v>
      </c>
      <c r="D2767" s="2" t="str">
        <f ca="1">IFERROR(__xludf.DUMMYFUNCTION("""COMPUTED_VALUE"""),"Dubai&gt;Al Warqaa&gt;Al Warqaa 1&gt;Abdulla Ahmad Mohd Bin Fahad Al Mehairi 5 Building")</f>
        <v>Dubai&gt;Al Warqaa&gt;Al Warqaa 1&gt;Abdulla Ahmad Mohd Bin Fahad Al Mehairi 5 Building</v>
      </c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</row>
    <row r="2768" spans="1:26" ht="16.5" x14ac:dyDescent="0.35">
      <c r="A2768" s="2" t="str">
        <f ca="1">IFERROR(__xludf.DUMMYFUNCTION("""COMPUTED_VALUE"""),"Dubai")</f>
        <v>Dubai</v>
      </c>
      <c r="B2768" s="2" t="str">
        <f ca="1">IFERROR(__xludf.DUMMYFUNCTION("""COMPUTED_VALUE"""),"Ahmed Mohammed Saeed Bin Humaidan Building")</f>
        <v>Ahmed Mohammed Saeed Bin Humaidan Building</v>
      </c>
      <c r="C2768" s="2" t="str">
        <f ca="1">IFERROR(__xludf.DUMMYFUNCTION("""COMPUTED_VALUE"""),"Building")</f>
        <v>Building</v>
      </c>
      <c r="D2768" s="2" t="str">
        <f ca="1">IFERROR(__xludf.DUMMYFUNCTION("""COMPUTED_VALUE"""),"Dubai&gt;Al Warqaa&gt;Al Warqaa 1&gt;Ahmed Mohammed Saeed Bin Humaidan Building")</f>
        <v>Dubai&gt;Al Warqaa&gt;Al Warqaa 1&gt;Ahmed Mohammed Saeed Bin Humaidan Building</v>
      </c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</row>
    <row r="2769" spans="1:26" ht="16.5" x14ac:dyDescent="0.35">
      <c r="A2769" s="2" t="str">
        <f ca="1">IFERROR(__xludf.DUMMYFUNCTION("""COMPUTED_VALUE"""),"Dubai")</f>
        <v>Dubai</v>
      </c>
      <c r="B2769" s="2" t="str">
        <f ca="1">IFERROR(__xludf.DUMMYFUNCTION("""COMPUTED_VALUE"""),"Wind Tower II")</f>
        <v>Wind Tower II</v>
      </c>
      <c r="C2769" s="2" t="str">
        <f ca="1">IFERROR(__xludf.DUMMYFUNCTION("""COMPUTED_VALUE"""),"Building")</f>
        <v>Building</v>
      </c>
      <c r="D2769" s="2" t="str">
        <f ca="1">IFERROR(__xludf.DUMMYFUNCTION("""COMPUTED_VALUE"""),"Dubai&gt;Jumeirah Lake Towers (JLT)&gt;JLT Cluster B&gt;Wind Tower II")</f>
        <v>Dubai&gt;Jumeirah Lake Towers (JLT)&gt;JLT Cluster B&gt;Wind Tower II</v>
      </c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</row>
    <row r="2770" spans="1:26" ht="16.5" x14ac:dyDescent="0.35">
      <c r="A2770" s="2" t="str">
        <f ca="1">IFERROR(__xludf.DUMMYFUNCTION("""COMPUTED_VALUE"""),"Dubai")</f>
        <v>Dubai</v>
      </c>
      <c r="B2770" s="2" t="str">
        <f ca="1">IFERROR(__xludf.DUMMYFUNCTION("""COMPUTED_VALUE"""),"Mohammed Ibrahim Tower (J2 Tower)")</f>
        <v>Mohammed Ibrahim Tower (J2 Tower)</v>
      </c>
      <c r="C2770" s="2" t="str">
        <f ca="1">IFERROR(__xludf.DUMMYFUNCTION("""COMPUTED_VALUE"""),"Building")</f>
        <v>Building</v>
      </c>
      <c r="D2770" s="2" t="str">
        <f ca="1">IFERROR(__xludf.DUMMYFUNCTION("""COMPUTED_VALUE"""),"Dubai&gt;Jumeirah Lake Towers (JLT)&gt;JLT Cluster J&gt;Mohammed Ibrahim Tower (J2 Tower)")</f>
        <v>Dubai&gt;Jumeirah Lake Towers (JLT)&gt;JLT Cluster J&gt;Mohammed Ibrahim Tower (J2 Tower)</v>
      </c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</row>
    <row r="2771" spans="1:26" ht="16.5" x14ac:dyDescent="0.35">
      <c r="A2771" s="2" t="str">
        <f ca="1">IFERROR(__xludf.DUMMYFUNCTION("""COMPUTED_VALUE"""),"Dubai")</f>
        <v>Dubai</v>
      </c>
      <c r="B2771" s="2" t="str">
        <f ca="1">IFERROR(__xludf.DUMMYFUNCTION("""COMPUTED_VALUE"""),"Saba Tower 3")</f>
        <v>Saba Tower 3</v>
      </c>
      <c r="C2771" s="2" t="str">
        <f ca="1">IFERROR(__xludf.DUMMYFUNCTION("""COMPUTED_VALUE"""),"Building")</f>
        <v>Building</v>
      </c>
      <c r="D2771" s="2" t="str">
        <f ca="1">IFERROR(__xludf.DUMMYFUNCTION("""COMPUTED_VALUE"""),"Dubai&gt;Jumeirah Lake Towers (JLT)&gt;JLT Cluster Q&gt;Saba Tower 3")</f>
        <v>Dubai&gt;Jumeirah Lake Towers (JLT)&gt;JLT Cluster Q&gt;Saba Tower 3</v>
      </c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</row>
    <row r="2772" spans="1:26" ht="16.5" x14ac:dyDescent="0.35">
      <c r="A2772" s="2" t="str">
        <f ca="1">IFERROR(__xludf.DUMMYFUNCTION("""COMPUTED_VALUE"""),"Dubai")</f>
        <v>Dubai</v>
      </c>
      <c r="B2772" s="2" t="str">
        <f ca="1">IFERROR(__xludf.DUMMYFUNCTION("""COMPUTED_VALUE"""),"Jumeirah Business Centre 3")</f>
        <v>Jumeirah Business Centre 3</v>
      </c>
      <c r="C2772" s="2" t="str">
        <f ca="1">IFERROR(__xludf.DUMMYFUNCTION("""COMPUTED_VALUE"""),"Building")</f>
        <v>Building</v>
      </c>
      <c r="D2772" s="2" t="str">
        <f ca="1">IFERROR(__xludf.DUMMYFUNCTION("""COMPUTED_VALUE"""),"Dubai&gt;Jumeirah Lake Towers (JLT)&gt;JLT Cluster Y&gt;Jumeirah Business Centre 3")</f>
        <v>Dubai&gt;Jumeirah Lake Towers (JLT)&gt;JLT Cluster Y&gt;Jumeirah Business Centre 3</v>
      </c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</row>
    <row r="2773" spans="1:26" ht="16.5" x14ac:dyDescent="0.35">
      <c r="A2773" s="2" t="str">
        <f ca="1">IFERROR(__xludf.DUMMYFUNCTION("""COMPUTED_VALUE"""),"Dubai")</f>
        <v>Dubai</v>
      </c>
      <c r="B2773" s="2" t="str">
        <f ca="1">IFERROR(__xludf.DUMMYFUNCTION("""COMPUTED_VALUE"""),"Arabella 1")</f>
        <v>Arabella 1</v>
      </c>
      <c r="C2773" s="2" t="str">
        <f ca="1">IFERROR(__xludf.DUMMYFUNCTION("""COMPUTED_VALUE"""),"Neighbourhood")</f>
        <v>Neighbourhood</v>
      </c>
      <c r="D2773" s="2" t="str">
        <f ca="1">IFERROR(__xludf.DUMMYFUNCTION("""COMPUTED_VALUE"""),"Dubai&gt;Mudon&gt;Arabella Townhouses&gt;Arabella 1")</f>
        <v>Dubai&gt;Mudon&gt;Arabella Townhouses&gt;Arabella 1</v>
      </c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</row>
    <row r="2774" spans="1:26" ht="16.5" x14ac:dyDescent="0.35">
      <c r="A2774" s="2" t="str">
        <f ca="1">IFERROR(__xludf.DUMMYFUNCTION("""COMPUTED_VALUE"""),"Dubai")</f>
        <v>Dubai</v>
      </c>
      <c r="B2774" s="2" t="str">
        <f ca="1">IFERROR(__xludf.DUMMYFUNCTION("""COMPUTED_VALUE"""),"Al Satwa")</f>
        <v>Al Satwa</v>
      </c>
      <c r="C2774" s="2" t="str">
        <f ca="1">IFERROR(__xludf.DUMMYFUNCTION("""COMPUTED_VALUE"""),"Neighbourhood")</f>
        <v>Neighbourhood</v>
      </c>
      <c r="D2774" s="2" t="str">
        <f ca="1">IFERROR(__xludf.DUMMYFUNCTION("""COMPUTED_VALUE"""),"Dubai&gt;Al Satwa")</f>
        <v>Dubai&gt;Al Satwa</v>
      </c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</row>
    <row r="2775" spans="1:26" ht="16.5" x14ac:dyDescent="0.35">
      <c r="A2775" s="2" t="str">
        <f ca="1">IFERROR(__xludf.DUMMYFUNCTION("""COMPUTED_VALUE"""),"Dubai")</f>
        <v>Dubai</v>
      </c>
      <c r="B2775" s="2" t="str">
        <f ca="1">IFERROR(__xludf.DUMMYFUNCTION("""COMPUTED_VALUE"""),"Astoria Building")</f>
        <v>Astoria Building</v>
      </c>
      <c r="C2775" s="2" t="str">
        <f ca="1">IFERROR(__xludf.DUMMYFUNCTION("""COMPUTED_VALUE"""),"Building")</f>
        <v>Building</v>
      </c>
      <c r="D2775" s="2" t="str">
        <f ca="1">IFERROR(__xludf.DUMMYFUNCTION("""COMPUTED_VALUE"""),"Dubai&gt;Al Satwa&gt;Jumeirah Garden City&gt;Astoria Building")</f>
        <v>Dubai&gt;Al Satwa&gt;Jumeirah Garden City&gt;Astoria Building</v>
      </c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</row>
    <row r="2776" spans="1:26" ht="16.5" x14ac:dyDescent="0.35">
      <c r="A2776" s="2" t="str">
        <f ca="1">IFERROR(__xludf.DUMMYFUNCTION("""COMPUTED_VALUE"""),"Dubai")</f>
        <v>Dubai</v>
      </c>
      <c r="B2776" s="2" t="str">
        <f ca="1">IFERROR(__xludf.DUMMYFUNCTION("""COMPUTED_VALUE"""),"Infinity Building")</f>
        <v>Infinity Building</v>
      </c>
      <c r="C2776" s="2" t="str">
        <f ca="1">IFERROR(__xludf.DUMMYFUNCTION("""COMPUTED_VALUE"""),"Building")</f>
        <v>Building</v>
      </c>
      <c r="D2776" s="2" t="str">
        <f ca="1">IFERROR(__xludf.DUMMYFUNCTION("""COMPUTED_VALUE"""),"Dubai&gt;Al Satwa&gt;Jumeirah Garden City&gt;Infinity Building")</f>
        <v>Dubai&gt;Al Satwa&gt;Jumeirah Garden City&gt;Infinity Building</v>
      </c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</row>
    <row r="2777" spans="1:26" ht="16.5" x14ac:dyDescent="0.35">
      <c r="A2777" s="2" t="str">
        <f ca="1">IFERROR(__xludf.DUMMYFUNCTION("""COMPUTED_VALUE"""),"Dubai")</f>
        <v>Dubai</v>
      </c>
      <c r="B2777" s="2" t="str">
        <f ca="1">IFERROR(__xludf.DUMMYFUNCTION("""COMPUTED_VALUE"""),"West 5 Residences")</f>
        <v>West 5 Residences</v>
      </c>
      <c r="C2777" s="2" t="str">
        <f ca="1">IFERROR(__xludf.DUMMYFUNCTION("""COMPUTED_VALUE"""),"Building")</f>
        <v>Building</v>
      </c>
      <c r="D2777" s="2" t="str">
        <f ca="1">IFERROR(__xludf.DUMMYFUNCTION("""COMPUTED_VALUE"""),"Dubai&gt;Al Satwa&gt;Jumeirah Garden City&gt;West 5 Residences")</f>
        <v>Dubai&gt;Al Satwa&gt;Jumeirah Garden City&gt;West 5 Residences</v>
      </c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</row>
    <row r="2778" spans="1:26" ht="16.5" x14ac:dyDescent="0.35">
      <c r="A2778" s="2" t="str">
        <f ca="1">IFERROR(__xludf.DUMMYFUNCTION("""COMPUTED_VALUE"""),"Dubai")</f>
        <v>Dubai</v>
      </c>
      <c r="B2778" s="2" t="str">
        <f ca="1">IFERROR(__xludf.DUMMYFUNCTION("""COMPUTED_VALUE"""),"Paradise Residence")</f>
        <v>Paradise Residence</v>
      </c>
      <c r="C2778" s="2" t="str">
        <f ca="1">IFERROR(__xludf.DUMMYFUNCTION("""COMPUTED_VALUE"""),"Building")</f>
        <v>Building</v>
      </c>
      <c r="D2778" s="2" t="str">
        <f ca="1">IFERROR(__xludf.DUMMYFUNCTION("""COMPUTED_VALUE"""),"Dubai&gt;Al Satwa&gt;Paradise Residence")</f>
        <v>Dubai&gt;Al Satwa&gt;Paradise Residence</v>
      </c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</row>
    <row r="2779" spans="1:26" ht="16.5" x14ac:dyDescent="0.35">
      <c r="A2779" s="2" t="str">
        <f ca="1">IFERROR(__xludf.DUMMYFUNCTION("""COMPUTED_VALUE"""),"Dubai")</f>
        <v>Dubai</v>
      </c>
      <c r="B2779" s="2" t="str">
        <f ca="1">IFERROR(__xludf.DUMMYFUNCTION("""COMPUTED_VALUE"""),"Building 109")</f>
        <v>Building 109</v>
      </c>
      <c r="C2779" s="2" t="str">
        <f ca="1">IFERROR(__xludf.DUMMYFUNCTION("""COMPUTED_VALUE"""),"Building")</f>
        <v>Building</v>
      </c>
      <c r="D2779" s="2" t="str">
        <f ca="1">IFERROR(__xludf.DUMMYFUNCTION("""COMPUTED_VALUE"""),"Dubai&gt;Discovery Gardens&gt;Contemporary&gt;Building 109")</f>
        <v>Dubai&gt;Discovery Gardens&gt;Contemporary&gt;Building 109</v>
      </c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</row>
    <row r="2780" spans="1:26" ht="16.5" x14ac:dyDescent="0.35">
      <c r="A2780" s="2" t="str">
        <f ca="1">IFERROR(__xludf.DUMMYFUNCTION("""COMPUTED_VALUE"""),"Dubai")</f>
        <v>Dubai</v>
      </c>
      <c r="B2780" s="2" t="str">
        <f ca="1">IFERROR(__xludf.DUMMYFUNCTION("""COMPUTED_VALUE"""),"Building 250")</f>
        <v>Building 250</v>
      </c>
      <c r="C2780" s="2" t="str">
        <f ca="1">IFERROR(__xludf.DUMMYFUNCTION("""COMPUTED_VALUE"""),"Building")</f>
        <v>Building</v>
      </c>
      <c r="D2780" s="2" t="str">
        <f ca="1">IFERROR(__xludf.DUMMYFUNCTION("""COMPUTED_VALUE"""),"Dubai&gt;Discovery Gardens&gt;Mesoamerican&gt;Building 250")</f>
        <v>Dubai&gt;Discovery Gardens&gt;Mesoamerican&gt;Building 250</v>
      </c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</row>
    <row r="2781" spans="1:26" ht="16.5" x14ac:dyDescent="0.35">
      <c r="A2781" s="2" t="str">
        <f ca="1">IFERROR(__xludf.DUMMYFUNCTION("""COMPUTED_VALUE"""),"Dubai")</f>
        <v>Dubai</v>
      </c>
      <c r="B2781" s="2" t="str">
        <f ca="1">IFERROR(__xludf.DUMMYFUNCTION("""COMPUTED_VALUE"""),"Building 190")</f>
        <v>Building 190</v>
      </c>
      <c r="C2781" s="2" t="str">
        <f ca="1">IFERROR(__xludf.DUMMYFUNCTION("""COMPUTED_VALUE"""),"Building")</f>
        <v>Building</v>
      </c>
      <c r="D2781" s="2" t="str">
        <f ca="1">IFERROR(__xludf.DUMMYFUNCTION("""COMPUTED_VALUE"""),"Dubai&gt;Discovery Gardens&gt;Mogul&gt;Building 190")</f>
        <v>Dubai&gt;Discovery Gardens&gt;Mogul&gt;Building 190</v>
      </c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</row>
    <row r="2782" spans="1:26" ht="16.5" x14ac:dyDescent="0.35">
      <c r="A2782" s="2" t="str">
        <f ca="1">IFERROR(__xludf.DUMMYFUNCTION("""COMPUTED_VALUE"""),"Dubai")</f>
        <v>Dubai</v>
      </c>
      <c r="B2782" s="2" t="str">
        <f ca="1">IFERROR(__xludf.DUMMYFUNCTION("""COMPUTED_VALUE"""),"Building 203")</f>
        <v>Building 203</v>
      </c>
      <c r="C2782" s="2" t="str">
        <f ca="1">IFERROR(__xludf.DUMMYFUNCTION("""COMPUTED_VALUE"""),"Building")</f>
        <v>Building</v>
      </c>
      <c r="D2782" s="2" t="str">
        <f ca="1">IFERROR(__xludf.DUMMYFUNCTION("""COMPUTED_VALUE"""),"Dubai&gt;Discovery Gardens&gt;Mogul&gt;Building 203")</f>
        <v>Dubai&gt;Discovery Gardens&gt;Mogul&gt;Building 203</v>
      </c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</row>
    <row r="2783" spans="1:26" ht="16.5" x14ac:dyDescent="0.35">
      <c r="A2783" s="2" t="str">
        <f ca="1">IFERROR(__xludf.DUMMYFUNCTION("""COMPUTED_VALUE"""),"Dubai")</f>
        <v>Dubai</v>
      </c>
      <c r="B2783" s="2" t="str">
        <f ca="1">IFERROR(__xludf.DUMMYFUNCTION("""COMPUTED_VALUE"""),"Building 28")</f>
        <v>Building 28</v>
      </c>
      <c r="C2783" s="2" t="str">
        <f ca="1">IFERROR(__xludf.DUMMYFUNCTION("""COMPUTED_VALUE"""),"Building")</f>
        <v>Building</v>
      </c>
      <c r="D2783" s="2" t="str">
        <f ca="1">IFERROR(__xludf.DUMMYFUNCTION("""COMPUTED_VALUE"""),"Dubai&gt;Discovery Gardens&gt;Zen Cluster&gt;Building 28")</f>
        <v>Dubai&gt;Discovery Gardens&gt;Zen Cluster&gt;Building 28</v>
      </c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</row>
    <row r="2784" spans="1:26" ht="16.5" x14ac:dyDescent="0.35">
      <c r="A2784" s="2" t="str">
        <f ca="1">IFERROR(__xludf.DUMMYFUNCTION("""COMPUTED_VALUE"""),"Dubai")</f>
        <v>Dubai</v>
      </c>
      <c r="B2784" s="2" t="str">
        <f ca="1">IFERROR(__xludf.DUMMYFUNCTION("""COMPUTED_VALUE"""),"Building 67")</f>
        <v>Building 67</v>
      </c>
      <c r="C2784" s="2" t="str">
        <f ca="1">IFERROR(__xludf.DUMMYFUNCTION("""COMPUTED_VALUE"""),"Building")</f>
        <v>Building</v>
      </c>
      <c r="D2784" s="2" t="str">
        <f ca="1">IFERROR(__xludf.DUMMYFUNCTION("""COMPUTED_VALUE"""),"Dubai&gt;Discovery Gardens&gt;Mediterranean&gt;Building 67")</f>
        <v>Dubai&gt;Discovery Gardens&gt;Mediterranean&gt;Building 67</v>
      </c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</row>
    <row r="2785" spans="1:26" ht="16.5" x14ac:dyDescent="0.35">
      <c r="A2785" s="2" t="str">
        <f ca="1">IFERROR(__xludf.DUMMYFUNCTION("""COMPUTED_VALUE"""),"Dubai")</f>
        <v>Dubai</v>
      </c>
      <c r="B2785" s="2" t="str">
        <f ca="1">IFERROR(__xludf.DUMMYFUNCTION("""COMPUTED_VALUE"""),"Building 78")</f>
        <v>Building 78</v>
      </c>
      <c r="C2785" s="2" t="str">
        <f ca="1">IFERROR(__xludf.DUMMYFUNCTION("""COMPUTED_VALUE"""),"Building")</f>
        <v>Building</v>
      </c>
      <c r="D2785" s="2" t="str">
        <f ca="1">IFERROR(__xludf.DUMMYFUNCTION("""COMPUTED_VALUE"""),"Dubai&gt;Discovery Gardens&gt;Mediterranean&gt;Building 78")</f>
        <v>Dubai&gt;Discovery Gardens&gt;Mediterranean&gt;Building 78</v>
      </c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</row>
    <row r="2786" spans="1:26" ht="16.5" x14ac:dyDescent="0.35">
      <c r="A2786" s="2" t="str">
        <f ca="1">IFERROR(__xludf.DUMMYFUNCTION("""COMPUTED_VALUE"""),"Dubai")</f>
        <v>Dubai</v>
      </c>
      <c r="B2786" s="2" t="str">
        <f ca="1">IFERROR(__xludf.DUMMYFUNCTION("""COMPUTED_VALUE"""),"Kingdom of Sheba")</f>
        <v>Kingdom of Sheba</v>
      </c>
      <c r="C2786" s="2" t="str">
        <f ca="1">IFERROR(__xludf.DUMMYFUNCTION("""COMPUTED_VALUE"""),"Neighbourhood")</f>
        <v>Neighbourhood</v>
      </c>
      <c r="D2786" s="2" t="str">
        <f ca="1">IFERROR(__xludf.DUMMYFUNCTION("""COMPUTED_VALUE"""),"Dubai&gt;Palm Jumeirah&gt;Kingdom of Sheba")</f>
        <v>Dubai&gt;Palm Jumeirah&gt;Kingdom of Sheba</v>
      </c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</row>
    <row r="2787" spans="1:26" ht="16.5" x14ac:dyDescent="0.35">
      <c r="A2787" s="2" t="str">
        <f ca="1">IFERROR(__xludf.DUMMYFUNCTION("""COMPUTED_VALUE"""),"Dubai")</f>
        <v>Dubai</v>
      </c>
      <c r="B2787" s="2" t="str">
        <f ca="1">IFERROR(__xludf.DUMMYFUNCTION("""COMPUTED_VALUE"""),"Al Khudrawi")</f>
        <v>Al Khudrawi</v>
      </c>
      <c r="C2787" s="2" t="str">
        <f ca="1">IFERROR(__xludf.DUMMYFUNCTION("""COMPUTED_VALUE"""),"Building")</f>
        <v>Building</v>
      </c>
      <c r="D2787" s="2" t="str">
        <f ca="1">IFERROR(__xludf.DUMMYFUNCTION("""COMPUTED_VALUE"""),"Dubai&gt;Palm Jumeirah&gt;Shoreline Apartments&gt;Al Khudrawi")</f>
        <v>Dubai&gt;Palm Jumeirah&gt;Shoreline Apartments&gt;Al Khudrawi</v>
      </c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</row>
    <row r="2788" spans="1:26" ht="16.5" x14ac:dyDescent="0.35">
      <c r="A2788" s="2" t="str">
        <f ca="1">IFERROR(__xludf.DUMMYFUNCTION("""COMPUTED_VALUE"""),"Dubai")</f>
        <v>Dubai</v>
      </c>
      <c r="B2788" s="2" t="str">
        <f ca="1">IFERROR(__xludf.DUMMYFUNCTION("""COMPUTED_VALUE"""),"Signature Villas Frond A")</f>
        <v>Signature Villas Frond A</v>
      </c>
      <c r="C2788" s="2" t="str">
        <f ca="1">IFERROR(__xludf.DUMMYFUNCTION("""COMPUTED_VALUE"""),"Neighbourhood")</f>
        <v>Neighbourhood</v>
      </c>
      <c r="D2788" s="2" t="str">
        <f ca="1">IFERROR(__xludf.DUMMYFUNCTION("""COMPUTED_VALUE"""),"Dubai&gt;Palm Jumeirah&gt;Signature Villas Palm Jumeirah&gt;Signature Villas Frond A")</f>
        <v>Dubai&gt;Palm Jumeirah&gt;Signature Villas Palm Jumeirah&gt;Signature Villas Frond A</v>
      </c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</row>
    <row r="2789" spans="1:26" ht="16.5" x14ac:dyDescent="0.35">
      <c r="A2789" s="2" t="str">
        <f ca="1">IFERROR(__xludf.DUMMYFUNCTION("""COMPUTED_VALUE"""),"Dubai")</f>
        <v>Dubai</v>
      </c>
      <c r="B2789" s="2" t="str">
        <f ca="1">IFERROR(__xludf.DUMMYFUNCTION("""COMPUTED_VALUE"""),"Marina Residences 1")</f>
        <v>Marina Residences 1</v>
      </c>
      <c r="C2789" s="2" t="str">
        <f ca="1">IFERROR(__xludf.DUMMYFUNCTION("""COMPUTED_VALUE"""),"Building")</f>
        <v>Building</v>
      </c>
      <c r="D2789" s="2" t="str">
        <f ca="1">IFERROR(__xludf.DUMMYFUNCTION("""COMPUTED_VALUE"""),"Dubai&gt;Palm Jumeirah&gt;Marina Residences&gt;Marina Residences 1")</f>
        <v>Dubai&gt;Palm Jumeirah&gt;Marina Residences&gt;Marina Residences 1</v>
      </c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</row>
    <row r="2790" spans="1:26" ht="16.5" x14ac:dyDescent="0.35">
      <c r="A2790" s="2" t="str">
        <f ca="1">IFERROR(__xludf.DUMMYFUNCTION("""COMPUTED_VALUE"""),"Dubai")</f>
        <v>Dubai</v>
      </c>
      <c r="B2790" s="2" t="str">
        <f ca="1">IFERROR(__xludf.DUMMYFUNCTION("""COMPUTED_VALUE"""),"Garden Homes Frond B")</f>
        <v>Garden Homes Frond B</v>
      </c>
      <c r="C2790" s="2" t="str">
        <f ca="1">IFERROR(__xludf.DUMMYFUNCTION("""COMPUTED_VALUE"""),"Neighbourhood")</f>
        <v>Neighbourhood</v>
      </c>
      <c r="D2790" s="2" t="str">
        <f ca="1">IFERROR(__xludf.DUMMYFUNCTION("""COMPUTED_VALUE"""),"Dubai&gt;Palm Jumeirah&gt;Garden Homes Palm Jumeirah&gt;Garden Homes Frond B")</f>
        <v>Dubai&gt;Palm Jumeirah&gt;Garden Homes Palm Jumeirah&gt;Garden Homes Frond B</v>
      </c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</row>
    <row r="2791" spans="1:26" ht="16.5" x14ac:dyDescent="0.35">
      <c r="A2791" s="2" t="str">
        <f ca="1">IFERROR(__xludf.DUMMYFUNCTION("""COMPUTED_VALUE"""),"Dubai")</f>
        <v>Dubai</v>
      </c>
      <c r="B2791" s="2" t="str">
        <f ca="1">IFERROR(__xludf.DUMMYFUNCTION("""COMPUTED_VALUE"""),"Canal Cove Frond L")</f>
        <v>Canal Cove Frond L</v>
      </c>
      <c r="C2791" s="2" t="str">
        <f ca="1">IFERROR(__xludf.DUMMYFUNCTION("""COMPUTED_VALUE"""),"Neighbourhood")</f>
        <v>Neighbourhood</v>
      </c>
      <c r="D2791" s="2" t="str">
        <f ca="1">IFERROR(__xludf.DUMMYFUNCTION("""COMPUTED_VALUE"""),"Dubai&gt;Palm Jumeirah&gt;Canal Cove&gt;Canal Cove Frond L")</f>
        <v>Dubai&gt;Palm Jumeirah&gt;Canal Cove&gt;Canal Cove Frond L</v>
      </c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</row>
    <row r="2792" spans="1:26" ht="16.5" x14ac:dyDescent="0.35">
      <c r="A2792" s="2" t="str">
        <f ca="1">IFERROR(__xludf.DUMMYFUNCTION("""COMPUTED_VALUE"""),"Dubai")</f>
        <v>Dubai</v>
      </c>
      <c r="B2792" s="2" t="str">
        <f ca="1">IFERROR(__xludf.DUMMYFUNCTION("""COMPUTED_VALUE"""),"Marriott Resort Palm Jumeirah")</f>
        <v>Marriott Resort Palm Jumeirah</v>
      </c>
      <c r="C2792" s="2" t="str">
        <f ca="1">IFERROR(__xludf.DUMMYFUNCTION("""COMPUTED_VALUE"""),"Building")</f>
        <v>Building</v>
      </c>
      <c r="D2792" s="2" t="str">
        <f ca="1">IFERROR(__xludf.DUMMYFUNCTION("""COMPUTED_VALUE"""),"Dubai&gt;Palm Jumeirah&gt;Marriott Resort Palm Jumeirah")</f>
        <v>Dubai&gt;Palm Jumeirah&gt;Marriott Resort Palm Jumeirah</v>
      </c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</row>
    <row r="2793" spans="1:26" ht="16.5" x14ac:dyDescent="0.35">
      <c r="A2793" s="2" t="str">
        <f ca="1">IFERROR(__xludf.DUMMYFUNCTION("""COMPUTED_VALUE"""),"Dubai")</f>
        <v>Dubai</v>
      </c>
      <c r="B2793" s="2" t="str">
        <f ca="1">IFERROR(__xludf.DUMMYFUNCTION("""COMPUTED_VALUE"""),"Jaddaf Views")</f>
        <v>Jaddaf Views</v>
      </c>
      <c r="C2793" s="2" t="str">
        <f ca="1">IFERROR(__xludf.DUMMYFUNCTION("""COMPUTED_VALUE"""),"Building")</f>
        <v>Building</v>
      </c>
      <c r="D2793" s="2" t="str">
        <f ca="1">IFERROR(__xludf.DUMMYFUNCTION("""COMPUTED_VALUE"""),"Dubai&gt;Al Jaddaf&gt;Jaddaf Views")</f>
        <v>Dubai&gt;Al Jaddaf&gt;Jaddaf Views</v>
      </c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</row>
    <row r="2794" spans="1:26" ht="16.5" x14ac:dyDescent="0.35">
      <c r="A2794" s="2" t="str">
        <f ca="1">IFERROR(__xludf.DUMMYFUNCTION("""COMPUTED_VALUE"""),"Dubai")</f>
        <v>Dubai</v>
      </c>
      <c r="B2794" s="2" t="str">
        <f ca="1">IFERROR(__xludf.DUMMYFUNCTION("""COMPUTED_VALUE"""),"Ramada Residences by Wyndham")</f>
        <v>Ramada Residences by Wyndham</v>
      </c>
      <c r="C2794" s="2" t="str">
        <f ca="1">IFERROR(__xludf.DUMMYFUNCTION("""COMPUTED_VALUE"""),"Building")</f>
        <v>Building</v>
      </c>
      <c r="D2794" s="2" t="str">
        <f ca="1">IFERROR(__xludf.DUMMYFUNCTION("""COMPUTED_VALUE"""),"Dubai&gt;Al Jaddaf&gt;Dubai Healthcare City Phase 2&gt;Ramada Residences by Wyndham")</f>
        <v>Dubai&gt;Al Jaddaf&gt;Dubai Healthcare City Phase 2&gt;Ramada Residences by Wyndham</v>
      </c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</row>
    <row r="2795" spans="1:26" ht="16.5" x14ac:dyDescent="0.35">
      <c r="A2795" s="2" t="str">
        <f ca="1">IFERROR(__xludf.DUMMYFUNCTION("""COMPUTED_VALUE"""),"Dubai")</f>
        <v>Dubai</v>
      </c>
      <c r="B2795" s="2" t="str">
        <f ca="1">IFERROR(__xludf.DUMMYFUNCTION("""COMPUTED_VALUE"""),"M3 Building")</f>
        <v>M3 Building</v>
      </c>
      <c r="C2795" s="2" t="str">
        <f ca="1">IFERROR(__xludf.DUMMYFUNCTION("""COMPUTED_VALUE"""),"Building")</f>
        <v>Building</v>
      </c>
      <c r="D2795" s="2" t="str">
        <f ca="1">IFERROR(__xludf.DUMMYFUNCTION("""COMPUTED_VALUE"""),"Dubai&gt;Al Jaddaf&gt;M3 Building")</f>
        <v>Dubai&gt;Al Jaddaf&gt;M3 Building</v>
      </c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</row>
    <row r="2796" spans="1:26" ht="16.5" x14ac:dyDescent="0.35">
      <c r="A2796" s="2" t="str">
        <f ca="1">IFERROR(__xludf.DUMMYFUNCTION("""COMPUTED_VALUE"""),"Dubai")</f>
        <v>Dubai</v>
      </c>
      <c r="B2796" s="2" t="str">
        <f ca="1">IFERROR(__xludf.DUMMYFUNCTION("""COMPUTED_VALUE"""),"Palm Jebel Ali")</f>
        <v>Palm Jebel Ali</v>
      </c>
      <c r="C2796" s="2" t="str">
        <f ca="1">IFERROR(__xludf.DUMMYFUNCTION("""COMPUTED_VALUE"""),"Neighbourhood")</f>
        <v>Neighbourhood</v>
      </c>
      <c r="D2796" s="2" t="str">
        <f ca="1">IFERROR(__xludf.DUMMYFUNCTION("""COMPUTED_VALUE"""),"Dubai&gt;Palm Jebel Ali")</f>
        <v>Dubai&gt;Palm Jebel Ali</v>
      </c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</row>
    <row r="2797" spans="1:26" ht="16.5" x14ac:dyDescent="0.35">
      <c r="A2797" s="2" t="str">
        <f ca="1">IFERROR(__xludf.DUMMYFUNCTION("""COMPUTED_VALUE"""),"Dubai")</f>
        <v>Dubai</v>
      </c>
      <c r="B2797" s="2" t="str">
        <f ca="1">IFERROR(__xludf.DUMMYFUNCTION("""COMPUTED_VALUE"""),"Palm Central Private Residences")</f>
        <v>Palm Central Private Residences</v>
      </c>
      <c r="C2797" s="2" t="str">
        <f ca="1">IFERROR(__xludf.DUMMYFUNCTION("""COMPUTED_VALUE"""),"Cluster")</f>
        <v>Cluster</v>
      </c>
      <c r="D2797" s="2" t="str">
        <f ca="1">IFERROR(__xludf.DUMMYFUNCTION("""COMPUTED_VALUE"""),"Dubai&gt;Palm Jebel Ali&gt;Palm Central Private Residences")</f>
        <v>Dubai&gt;Palm Jebel Ali&gt;Palm Central Private Residences</v>
      </c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</row>
    <row r="2798" spans="1:26" ht="16.5" x14ac:dyDescent="0.35">
      <c r="A2798" s="2" t="str">
        <f ca="1">IFERROR(__xludf.DUMMYFUNCTION("""COMPUTED_VALUE"""),"Dubai")</f>
        <v>Dubai</v>
      </c>
      <c r="B2798" s="2" t="str">
        <f ca="1">IFERROR(__xludf.DUMMYFUNCTION("""COMPUTED_VALUE"""),"Skyhills Residences Tower 2")</f>
        <v>Skyhills Residences Tower 2</v>
      </c>
      <c r="C2798" s="2" t="str">
        <f ca="1">IFERROR(__xludf.DUMMYFUNCTION("""COMPUTED_VALUE"""),"Building")</f>
        <v>Building</v>
      </c>
      <c r="D2798" s="2" t="str">
        <f ca="1">IFERROR(__xludf.DUMMYFUNCTION("""COMPUTED_VALUE"""),"Dubai&gt;Dubai Science Park&gt;Skyhills Residences&gt;Skyhills Residences Tower 2")</f>
        <v>Dubai&gt;Dubai Science Park&gt;Skyhills Residences&gt;Skyhills Residences Tower 2</v>
      </c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</row>
    <row r="2799" spans="1:26" ht="16.5" x14ac:dyDescent="0.35">
      <c r="A2799" s="2" t="str">
        <f ca="1">IFERROR(__xludf.DUMMYFUNCTION("""COMPUTED_VALUE"""),"Dubai")</f>
        <v>Dubai</v>
      </c>
      <c r="B2799" s="2" t="str">
        <f ca="1">IFERROR(__xludf.DUMMYFUNCTION("""COMPUTED_VALUE"""),"The Springs 8")</f>
        <v>The Springs 8</v>
      </c>
      <c r="C2799" s="2" t="str">
        <f ca="1">IFERROR(__xludf.DUMMYFUNCTION("""COMPUTED_VALUE"""),"Neighbourhood")</f>
        <v>Neighbourhood</v>
      </c>
      <c r="D2799" s="2" t="str">
        <f ca="1">IFERROR(__xludf.DUMMYFUNCTION("""COMPUTED_VALUE"""),"Dubai&gt;The Springs&gt;The Springs 8")</f>
        <v>Dubai&gt;The Springs&gt;The Springs 8</v>
      </c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</row>
    <row r="2800" spans="1:26" ht="16.5" x14ac:dyDescent="0.35">
      <c r="A2800" s="2" t="str">
        <f ca="1">IFERROR(__xludf.DUMMYFUNCTION("""COMPUTED_VALUE"""),"Dubai")</f>
        <v>Dubai</v>
      </c>
      <c r="B2800" s="2" t="str">
        <f ca="1">IFERROR(__xludf.DUMMYFUNCTION("""COMPUTED_VALUE"""),"South Garden")</f>
        <v>South Garden</v>
      </c>
      <c r="C2800" s="2" t="str">
        <f ca="1">IFERROR(__xludf.DUMMYFUNCTION("""COMPUTED_VALUE"""),"Cluster")</f>
        <v>Cluster</v>
      </c>
      <c r="D2800" s="2" t="str">
        <f ca="1">IFERROR(__xludf.DUMMYFUNCTION("""COMPUTED_VALUE"""),"Dubai&gt;Wasl Gate&gt;South Garden")</f>
        <v>Dubai&gt;Wasl Gate&gt;South Garden</v>
      </c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</row>
    <row r="2801" spans="1:26" ht="16.5" x14ac:dyDescent="0.35">
      <c r="A2801" s="2" t="str">
        <f ca="1">IFERROR(__xludf.DUMMYFUNCTION("""COMPUTED_VALUE"""),"Dubai")</f>
        <v>Dubai</v>
      </c>
      <c r="B2801" s="2" t="str">
        <f ca="1">IFERROR(__xludf.DUMMYFUNCTION("""COMPUTED_VALUE"""),"Nad Al Sheba Gardens 6")</f>
        <v>Nad Al Sheba Gardens 6</v>
      </c>
      <c r="C2801" s="2" t="str">
        <f ca="1">IFERROR(__xludf.DUMMYFUNCTION("""COMPUTED_VALUE"""),"Neighbourhood")</f>
        <v>Neighbourhood</v>
      </c>
      <c r="D2801" s="2" t="str">
        <f ca="1">IFERROR(__xludf.DUMMYFUNCTION("""COMPUTED_VALUE"""),"Dubai&gt;Nad Al Sheba&gt;Nad Al Sheba 1&gt;Nad Al Sheba Gardens&gt;Nad Al Sheba Gardens 6")</f>
        <v>Dubai&gt;Nad Al Sheba&gt;Nad Al Sheba 1&gt;Nad Al Sheba Gardens&gt;Nad Al Sheba Gardens 6</v>
      </c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</row>
    <row r="2802" spans="1:26" ht="16.5" x14ac:dyDescent="0.35">
      <c r="A2802" s="2" t="str">
        <f ca="1">IFERROR(__xludf.DUMMYFUNCTION("""COMPUTED_VALUE"""),"Dubai")</f>
        <v>Dubai</v>
      </c>
      <c r="B2802" s="2" t="str">
        <f ca="1">IFERROR(__xludf.DUMMYFUNCTION("""COMPUTED_VALUE"""),"Office Park Block A")</f>
        <v>Office Park Block A</v>
      </c>
      <c r="C2802" s="2" t="str">
        <f ca="1">IFERROR(__xludf.DUMMYFUNCTION("""COMPUTED_VALUE"""),"Building")</f>
        <v>Building</v>
      </c>
      <c r="D2802" s="2" t="str">
        <f ca="1">IFERROR(__xludf.DUMMYFUNCTION("""COMPUTED_VALUE"""),"Dubai&gt;Dubai Internet City&gt;Office Park&gt;Office Park Block A")</f>
        <v>Dubai&gt;Dubai Internet City&gt;Office Park&gt;Office Park Block A</v>
      </c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</row>
    <row r="2803" spans="1:26" ht="16.5" x14ac:dyDescent="0.35">
      <c r="A2803" s="2" t="str">
        <f ca="1">IFERROR(__xludf.DUMMYFUNCTION("""COMPUTED_VALUE"""),"Dubai")</f>
        <v>Dubai</v>
      </c>
      <c r="B2803" s="2" t="str">
        <f ca="1">IFERROR(__xludf.DUMMYFUNCTION("""COMPUTED_VALUE"""),"Rimco Investments Building")</f>
        <v>Rimco Investments Building</v>
      </c>
      <c r="C2803" s="2" t="str">
        <f ca="1">IFERROR(__xludf.DUMMYFUNCTION("""COMPUTED_VALUE"""),"Building")</f>
        <v>Building</v>
      </c>
      <c r="D2803" s="2" t="str">
        <f ca="1">IFERROR(__xludf.DUMMYFUNCTION("""COMPUTED_VALUE"""),"Dubai&gt;Dubai Internet City&gt;Rimco Investments Building")</f>
        <v>Dubai&gt;Dubai Internet City&gt;Rimco Investments Building</v>
      </c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</row>
    <row r="2804" spans="1:26" ht="16.5" x14ac:dyDescent="0.35">
      <c r="A2804" s="2" t="str">
        <f ca="1">IFERROR(__xludf.DUMMYFUNCTION("""COMPUTED_VALUE"""),"Dubai")</f>
        <v>Dubai</v>
      </c>
      <c r="B2804" s="2" t="str">
        <f ca="1">IFERROR(__xludf.DUMMYFUNCTION("""COMPUTED_VALUE"""),"Bashayer Building")</f>
        <v>Bashayer Building</v>
      </c>
      <c r="C2804" s="2" t="str">
        <f ca="1">IFERROR(__xludf.DUMMYFUNCTION("""COMPUTED_VALUE"""),"Building")</f>
        <v>Building</v>
      </c>
      <c r="D2804" s="2" t="str">
        <f ca="1">IFERROR(__xludf.DUMMYFUNCTION("""COMPUTED_VALUE"""),"Dubai&gt;Al Lisaili&gt;Bashayer Building")</f>
        <v>Dubai&gt;Al Lisaili&gt;Bashayer Building</v>
      </c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</row>
    <row r="2805" spans="1:26" ht="16.5" x14ac:dyDescent="0.35">
      <c r="A2805" s="2" t="str">
        <f ca="1">IFERROR(__xludf.DUMMYFUNCTION("""COMPUTED_VALUE"""),"Dubai")</f>
        <v>Dubai</v>
      </c>
      <c r="B2805" s="2" t="str">
        <f ca="1">IFERROR(__xludf.DUMMYFUNCTION("""COMPUTED_VALUE"""),"Marina Views Tower 3")</f>
        <v>Marina Views Tower 3</v>
      </c>
      <c r="C2805" s="2" t="str">
        <f ca="1">IFERROR(__xludf.DUMMYFUNCTION("""COMPUTED_VALUE"""),"Building")</f>
        <v>Building</v>
      </c>
      <c r="D2805" s="2" t="str">
        <f ca="1">IFERROR(__xludf.DUMMYFUNCTION("""COMPUTED_VALUE"""),"Dubai&gt;Mina Rashid&gt;Marina Views&gt;Marina Views Tower 3")</f>
        <v>Dubai&gt;Mina Rashid&gt;Marina Views&gt;Marina Views Tower 3</v>
      </c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</row>
    <row r="2806" spans="1:26" ht="16.5" x14ac:dyDescent="0.35">
      <c r="A2806" s="2" t="str">
        <f ca="1">IFERROR(__xludf.DUMMYFUNCTION("""COMPUTED_VALUE"""),"Dubai")</f>
        <v>Dubai</v>
      </c>
      <c r="B2806" s="2" t="str">
        <f ca="1">IFERROR(__xludf.DUMMYFUNCTION("""COMPUTED_VALUE"""),"Sector HT")</f>
        <v>Sector HT</v>
      </c>
      <c r="C2806" s="2" t="str">
        <f ca="1">IFERROR(__xludf.DUMMYFUNCTION("""COMPUTED_VALUE"""),"Neighbourhood")</f>
        <v>Neighbourhood</v>
      </c>
      <c r="D2806" s="2" t="str">
        <f ca="1">IFERROR(__xludf.DUMMYFUNCTION("""COMPUTED_VALUE"""),"Dubai&gt;Emirates Hills&gt;Sector HT")</f>
        <v>Dubai&gt;Emirates Hills&gt;Sector HT</v>
      </c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</row>
    <row r="2807" spans="1:26" ht="16.5" x14ac:dyDescent="0.35">
      <c r="A2807" s="2" t="str">
        <f ca="1">IFERROR(__xludf.DUMMYFUNCTION("""COMPUTED_VALUE"""),"Dubai")</f>
        <v>Dubai</v>
      </c>
      <c r="B2807" s="2" t="str">
        <f ca="1">IFERROR(__xludf.DUMMYFUNCTION("""COMPUTED_VALUE"""),"Avelia")</f>
        <v>Avelia</v>
      </c>
      <c r="C2807" s="2" t="str">
        <f ca="1">IFERROR(__xludf.DUMMYFUNCTION("""COMPUTED_VALUE"""),"Neighbourhood")</f>
        <v>Neighbourhood</v>
      </c>
      <c r="D2807" s="2" t="str">
        <f ca="1">IFERROR(__xludf.DUMMYFUNCTION("""COMPUTED_VALUE"""),"Dubai&gt;The Valley by Emaar&gt;Avelia")</f>
        <v>Dubai&gt;The Valley by Emaar&gt;Avelia</v>
      </c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</row>
    <row r="2808" spans="1:26" ht="16.5" x14ac:dyDescent="0.35">
      <c r="A2808" s="2" t="str">
        <f ca="1">IFERROR(__xludf.DUMMYFUNCTION("""COMPUTED_VALUE"""),"Dubai")</f>
        <v>Dubai</v>
      </c>
      <c r="B2808" s="2" t="str">
        <f ca="1">IFERROR(__xludf.DUMMYFUNCTION("""COMPUTED_VALUE"""),"Palmera 1")</f>
        <v>Palmera 1</v>
      </c>
      <c r="C2808" s="2" t="str">
        <f ca="1">IFERROR(__xludf.DUMMYFUNCTION("""COMPUTED_VALUE"""),"Neighbourhood")</f>
        <v>Neighbourhood</v>
      </c>
      <c r="D2808" s="2" t="str">
        <f ca="1">IFERROR(__xludf.DUMMYFUNCTION("""COMPUTED_VALUE"""),"Dubai&gt;Arabian Ranches&gt;Palmera&gt;Palmera 1")</f>
        <v>Dubai&gt;Arabian Ranches&gt;Palmera&gt;Palmera 1</v>
      </c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</row>
    <row r="2809" spans="1:26" ht="16.5" x14ac:dyDescent="0.35">
      <c r="A2809" s="2" t="str">
        <f ca="1">IFERROR(__xludf.DUMMYFUNCTION("""COMPUTED_VALUE"""),"Dubai")</f>
        <v>Dubai</v>
      </c>
      <c r="B2809" s="2" t="str">
        <f ca="1">IFERROR(__xludf.DUMMYFUNCTION("""COMPUTED_VALUE"""),"The Gardens Building 89")</f>
        <v>The Gardens Building 89</v>
      </c>
      <c r="C2809" s="2" t="str">
        <f ca="1">IFERROR(__xludf.DUMMYFUNCTION("""COMPUTED_VALUE"""),"Building")</f>
        <v>Building</v>
      </c>
      <c r="D2809" s="2" t="str">
        <f ca="1">IFERROR(__xludf.DUMMYFUNCTION("""COMPUTED_VALUE"""),"Dubai&gt;The Gardens&gt;The Gardens Building 89")</f>
        <v>Dubai&gt;The Gardens&gt;The Gardens Building 89</v>
      </c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</row>
    <row r="2810" spans="1:26" ht="16.5" x14ac:dyDescent="0.35">
      <c r="A2810" s="2" t="str">
        <f ca="1">IFERROR(__xludf.DUMMYFUNCTION("""COMPUTED_VALUE"""),"Dubai")</f>
        <v>Dubai</v>
      </c>
      <c r="B2810" s="2" t="str">
        <f ca="1">IFERROR(__xludf.DUMMYFUNCTION("""COMPUTED_VALUE"""),"The Gardens Building 80")</f>
        <v>The Gardens Building 80</v>
      </c>
      <c r="C2810" s="2" t="str">
        <f ca="1">IFERROR(__xludf.DUMMYFUNCTION("""COMPUTED_VALUE"""),"Building")</f>
        <v>Building</v>
      </c>
      <c r="D2810" s="2" t="str">
        <f ca="1">IFERROR(__xludf.DUMMYFUNCTION("""COMPUTED_VALUE"""),"Dubai&gt;The Gardens&gt;The Gardens Building 80")</f>
        <v>Dubai&gt;The Gardens&gt;The Gardens Building 80</v>
      </c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</row>
    <row r="2811" spans="1:26" ht="16.5" x14ac:dyDescent="0.35">
      <c r="A2811" s="2" t="str">
        <f ca="1">IFERROR(__xludf.DUMMYFUNCTION("""COMPUTED_VALUE"""),"Dubai")</f>
        <v>Dubai</v>
      </c>
      <c r="B2811" s="2" t="str">
        <f ca="1">IFERROR(__xludf.DUMMYFUNCTION("""COMPUTED_VALUE"""),"The Gardens Building 53")</f>
        <v>The Gardens Building 53</v>
      </c>
      <c r="C2811" s="2" t="str">
        <f ca="1">IFERROR(__xludf.DUMMYFUNCTION("""COMPUTED_VALUE"""),"Building")</f>
        <v>Building</v>
      </c>
      <c r="D2811" s="2" t="str">
        <f ca="1">IFERROR(__xludf.DUMMYFUNCTION("""COMPUTED_VALUE"""),"Dubai&gt;The Gardens&gt;The Gardens Building 53")</f>
        <v>Dubai&gt;The Gardens&gt;The Gardens Building 53</v>
      </c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</row>
    <row r="2812" spans="1:26" ht="16.5" x14ac:dyDescent="0.35">
      <c r="A2812" s="2" t="str">
        <f ca="1">IFERROR(__xludf.DUMMYFUNCTION("""COMPUTED_VALUE"""),"Sharjah")</f>
        <v>Sharjah</v>
      </c>
      <c r="B2812" s="2" t="str">
        <f ca="1">IFERROR(__xludf.DUMMYFUNCTION("""COMPUTED_VALUE"""),"Muwaileh Building")</f>
        <v>Muwaileh Building</v>
      </c>
      <c r="C2812" s="2" t="str">
        <f ca="1">IFERROR(__xludf.DUMMYFUNCTION("""COMPUTED_VALUE"""),"Building")</f>
        <v>Building</v>
      </c>
      <c r="D2812" s="2" t="str">
        <f ca="1">IFERROR(__xludf.DUMMYFUNCTION("""COMPUTED_VALUE"""),"Sharjah&gt;Muwaileh Commercial&gt;Muwaileh Building")</f>
        <v>Sharjah&gt;Muwaileh Commercial&gt;Muwaileh Building</v>
      </c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</row>
    <row r="2813" spans="1:26" ht="16.5" x14ac:dyDescent="0.35">
      <c r="A2813" s="2" t="str">
        <f ca="1">IFERROR(__xludf.DUMMYFUNCTION("""COMPUTED_VALUE"""),"Sharjah")</f>
        <v>Sharjah</v>
      </c>
      <c r="B2813" s="2" t="str">
        <f ca="1">IFERROR(__xludf.DUMMYFUNCTION("""COMPUTED_VALUE"""),"Olfah 9")</f>
        <v>Olfah 9</v>
      </c>
      <c r="C2813" s="2" t="str">
        <f ca="1">IFERROR(__xludf.DUMMYFUNCTION("""COMPUTED_VALUE"""),"Building")</f>
        <v>Building</v>
      </c>
      <c r="D2813" s="2" t="str">
        <f ca="1">IFERROR(__xludf.DUMMYFUNCTION("""COMPUTED_VALUE"""),"Sharjah&gt;Muwaileh Commercial&gt;Olfah&gt;Olfah 9")</f>
        <v>Sharjah&gt;Muwaileh Commercial&gt;Olfah&gt;Olfah 9</v>
      </c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</row>
    <row r="2814" spans="1:26" ht="16.5" x14ac:dyDescent="0.35">
      <c r="A2814" s="2" t="str">
        <f ca="1">IFERROR(__xludf.DUMMYFUNCTION("""COMPUTED_VALUE"""),"Sharjah")</f>
        <v>Sharjah</v>
      </c>
      <c r="B2814" s="2" t="str">
        <f ca="1">IFERROR(__xludf.DUMMYFUNCTION("""COMPUTED_VALUE"""),"Building 2438")</f>
        <v>Building 2438</v>
      </c>
      <c r="C2814" s="2" t="str">
        <f ca="1">IFERROR(__xludf.DUMMYFUNCTION("""COMPUTED_VALUE"""),"Building")</f>
        <v>Building</v>
      </c>
      <c r="D2814" s="2" t="str">
        <f ca="1">IFERROR(__xludf.DUMMYFUNCTION("""COMPUTED_VALUE"""),"Sharjah&gt;Muwaileh Commercial&gt;Building 2438")</f>
        <v>Sharjah&gt;Muwaileh Commercial&gt;Building 2438</v>
      </c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</row>
    <row r="2815" spans="1:26" ht="16.5" x14ac:dyDescent="0.35">
      <c r="A2815" s="2" t="str">
        <f ca="1">IFERROR(__xludf.DUMMYFUNCTION("""COMPUTED_VALUE"""),"Al Ain")</f>
        <v>Al Ain</v>
      </c>
      <c r="B2815" s="2" t="str">
        <f ca="1">IFERROR(__xludf.DUMMYFUNCTION("""COMPUTED_VALUE"""),"Etihad Building")</f>
        <v>Etihad Building</v>
      </c>
      <c r="C2815" s="2" t="str">
        <f ca="1">IFERROR(__xludf.DUMMYFUNCTION("""COMPUTED_VALUE"""),"Building")</f>
        <v>Building</v>
      </c>
      <c r="D2815" s="2" t="str">
        <f ca="1">IFERROR(__xludf.DUMMYFUNCTION("""COMPUTED_VALUE"""),"Al Ain&gt;Central District&gt;Etihad Building")</f>
        <v>Al Ain&gt;Central District&gt;Etihad Building</v>
      </c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</row>
    <row r="2816" spans="1:26" ht="16.5" x14ac:dyDescent="0.35">
      <c r="A2816" s="2" t="str">
        <f ca="1">IFERROR(__xludf.DUMMYFUNCTION("""COMPUTED_VALUE"""),"Al Ain")</f>
        <v>Al Ain</v>
      </c>
      <c r="B2816" s="2" t="str">
        <f ca="1">IFERROR(__xludf.DUMMYFUNCTION("""COMPUTED_VALUE"""),"Global English School, Al Ain")</f>
        <v>Global English School, Al Ain</v>
      </c>
      <c r="C2816" s="2" t="str">
        <f ca="1">IFERROR(__xludf.DUMMYFUNCTION("""COMPUTED_VALUE"""),"School")</f>
        <v>School</v>
      </c>
      <c r="D2816" s="2" t="str">
        <f ca="1">IFERROR(__xludf.DUMMYFUNCTION("""COMPUTED_VALUE"""),"Al Ain&gt;Al Muwaiji&gt;Global English School, Al Ain")</f>
        <v>Al Ain&gt;Al Muwaiji&gt;Global English School, Al Ain</v>
      </c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</row>
    <row r="2817" spans="1:26" ht="16.5" x14ac:dyDescent="0.35">
      <c r="A2817" s="2" t="str">
        <f ca="1">IFERROR(__xludf.DUMMYFUNCTION("""COMPUTED_VALUE"""),"Al Ain")</f>
        <v>Al Ain</v>
      </c>
      <c r="B2817" s="2" t="str">
        <f ca="1">IFERROR(__xludf.DUMMYFUNCTION("""COMPUTED_VALUE"""),"Al Rumailah")</f>
        <v>Al Rumailah</v>
      </c>
      <c r="C2817" s="2" t="str">
        <f ca="1">IFERROR(__xludf.DUMMYFUNCTION("""COMPUTED_VALUE"""),"Neighbourhood")</f>
        <v>Neighbourhood</v>
      </c>
      <c r="D2817" s="2" t="str">
        <f ca="1">IFERROR(__xludf.DUMMYFUNCTION("""COMPUTED_VALUE"""),"Al Ain&gt;Hili&gt;Al Rumailah")</f>
        <v>Al Ain&gt;Hili&gt;Al Rumailah</v>
      </c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</row>
    <row r="2818" spans="1:26" ht="16.5" x14ac:dyDescent="0.35">
      <c r="A2818" s="2" t="str">
        <f ca="1">IFERROR(__xludf.DUMMYFUNCTION("""COMPUTED_VALUE"""),"Al Ain")</f>
        <v>Al Ain</v>
      </c>
      <c r="B2818" s="2" t="str">
        <f ca="1">IFERROR(__xludf.DUMMYFUNCTION("""COMPUTED_VALUE"""),"Al Mutarad")</f>
        <v>Al Mutarad</v>
      </c>
      <c r="C2818" s="2" t="str">
        <f ca="1">IFERROR(__xludf.DUMMYFUNCTION("""COMPUTED_VALUE"""),"Neighbourhood")</f>
        <v>Neighbourhood</v>
      </c>
      <c r="D2818" s="2" t="str">
        <f ca="1">IFERROR(__xludf.DUMMYFUNCTION("""COMPUTED_VALUE"""),"Al Ain&gt;Al Mutarad")</f>
        <v>Al Ain&gt;Al Mutarad</v>
      </c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</row>
    <row r="2819" spans="1:26" ht="16.5" x14ac:dyDescent="0.35">
      <c r="A2819" s="2" t="str">
        <f ca="1">IFERROR(__xludf.DUMMYFUNCTION("""COMPUTED_VALUE"""),"Al Ain")</f>
        <v>Al Ain</v>
      </c>
      <c r="B2819" s="2" t="str">
        <f ca="1">IFERROR(__xludf.DUMMYFUNCTION("""COMPUTED_VALUE"""),"Al Zahir")</f>
        <v>Al Zahir</v>
      </c>
      <c r="C2819" s="2" t="str">
        <f ca="1">IFERROR(__xludf.DUMMYFUNCTION("""COMPUTED_VALUE"""),"Neighbourhood")</f>
        <v>Neighbourhood</v>
      </c>
      <c r="D2819" s="2" t="str">
        <f ca="1">IFERROR(__xludf.DUMMYFUNCTION("""COMPUTED_VALUE"""),"Al Ain&gt;Al Zahir")</f>
        <v>Al Ain&gt;Al Zahir</v>
      </c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</row>
    <row r="2820" spans="1:26" ht="16.5" x14ac:dyDescent="0.35">
      <c r="A2820" s="2" t="str">
        <f ca="1">IFERROR(__xludf.DUMMYFUNCTION("""COMPUTED_VALUE"""),"Al Ain")</f>
        <v>Al Ain</v>
      </c>
      <c r="B2820" s="2" t="str">
        <f ca="1">IFERROR(__xludf.DUMMYFUNCTION("""COMPUTED_VALUE"""),"Blossom Nursery Al Ain")</f>
        <v>Blossom Nursery Al Ain</v>
      </c>
      <c r="C2820" s="2" t="str">
        <f ca="1">IFERROR(__xludf.DUMMYFUNCTION("""COMPUTED_VALUE"""),"Nursery")</f>
        <v>Nursery</v>
      </c>
      <c r="D2820" s="2" t="str">
        <f ca="1">IFERROR(__xludf.DUMMYFUNCTION("""COMPUTED_VALUE"""),"Al Ain&gt;Al Sarouj&gt;Blossom Nursery Al Ain")</f>
        <v>Al Ain&gt;Al Sarouj&gt;Blossom Nursery Al Ain</v>
      </c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</row>
    <row r="2821" spans="1:26" ht="16.5" x14ac:dyDescent="0.35">
      <c r="A2821" s="2" t="str">
        <f ca="1">IFERROR(__xludf.DUMMYFUNCTION("""COMPUTED_VALUE"""),"Ras Al Khaimah")</f>
        <v>Ras Al Khaimah</v>
      </c>
      <c r="B2821" s="2" t="str">
        <f ca="1">IFERROR(__xludf.DUMMYFUNCTION("""COMPUTED_VALUE"""),"Bayviews")</f>
        <v>Bayviews</v>
      </c>
      <c r="C2821" s="2" t="str">
        <f ca="1">IFERROR(__xludf.DUMMYFUNCTION("""COMPUTED_VALUE"""),"Building")</f>
        <v>Building</v>
      </c>
      <c r="D2821" s="2" t="str">
        <f ca="1">IFERROR(__xludf.DUMMYFUNCTION("""COMPUTED_VALUE"""),"Ras Al Khaimah&gt;Mina Al Arab&gt;Hayat Island&gt;Bayviews")</f>
        <v>Ras Al Khaimah&gt;Mina Al Arab&gt;Hayat Island&gt;Bayviews</v>
      </c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</row>
    <row r="2822" spans="1:26" ht="16.5" x14ac:dyDescent="0.35">
      <c r="A2822" s="2" t="str">
        <f ca="1">IFERROR(__xludf.DUMMYFUNCTION("""COMPUTED_VALUE"""),"Ras Al Khaimah")</f>
        <v>Ras Al Khaimah</v>
      </c>
      <c r="B2822" s="2" t="str">
        <f ca="1">IFERROR(__xludf.DUMMYFUNCTION("""COMPUTED_VALUE"""),"Tahiti")</f>
        <v>Tahiti</v>
      </c>
      <c r="C2822" s="2" t="str">
        <f ca="1">IFERROR(__xludf.DUMMYFUNCTION("""COMPUTED_VALUE"""),"Building")</f>
        <v>Building</v>
      </c>
      <c r="D2822" s="2" t="str">
        <f ca="1">IFERROR(__xludf.DUMMYFUNCTION("""COMPUTED_VALUE"""),"Ras Al Khaimah&gt;Al Marjan Island&gt;Pacific&gt;Tahiti")</f>
        <v>Ras Al Khaimah&gt;Al Marjan Island&gt;Pacific&gt;Tahiti</v>
      </c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</row>
    <row r="2823" spans="1:26" ht="16.5" x14ac:dyDescent="0.35">
      <c r="A2823" s="2" t="str">
        <f ca="1">IFERROR(__xludf.DUMMYFUNCTION("""COMPUTED_VALUE"""),"Ras Al Khaimah")</f>
        <v>Ras Al Khaimah</v>
      </c>
      <c r="B2823" s="2" t="str">
        <f ca="1">IFERROR(__xludf.DUMMYFUNCTION("""COMPUTED_VALUE"""),"Shoreline by DAMAC")</f>
        <v>Shoreline by DAMAC</v>
      </c>
      <c r="C2823" s="2" t="str">
        <f ca="1">IFERROR(__xludf.DUMMYFUNCTION("""COMPUTED_VALUE"""),"Building")</f>
        <v>Building</v>
      </c>
      <c r="D2823" s="2" t="str">
        <f ca="1">IFERROR(__xludf.DUMMYFUNCTION("""COMPUTED_VALUE"""),"Ras Al Khaimah&gt;Al Marjan Island&gt;Shoreline by DAMAC")</f>
        <v>Ras Al Khaimah&gt;Al Marjan Island&gt;Shoreline by DAMAC</v>
      </c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</row>
    <row r="2824" spans="1:26" ht="16.5" x14ac:dyDescent="0.35">
      <c r="A2824" s="2" t="str">
        <f ca="1">IFERROR(__xludf.DUMMYFUNCTION("""COMPUTED_VALUE"""),"Ras Al Khaimah")</f>
        <v>Ras Al Khaimah</v>
      </c>
      <c r="B2824" s="2" t="str">
        <f ca="1">IFERROR(__xludf.DUMMYFUNCTION("""COMPUTED_VALUE"""),"Aqua Maya")</f>
        <v>Aqua Maya</v>
      </c>
      <c r="C2824" s="2" t="str">
        <f ca="1">IFERROR(__xludf.DUMMYFUNCTION("""COMPUTED_VALUE"""),"Building")</f>
        <v>Building</v>
      </c>
      <c r="D2824" s="2" t="str">
        <f ca="1">IFERROR(__xludf.DUMMYFUNCTION("""COMPUTED_VALUE"""),"Ras Al Khaimah&gt;Al Marjan Island&gt;Aqua Maya")</f>
        <v>Ras Al Khaimah&gt;Al Marjan Island&gt;Aqua Maya</v>
      </c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</row>
    <row r="2825" spans="1:26" ht="16.5" x14ac:dyDescent="0.35">
      <c r="A2825" s="2" t="str">
        <f ca="1">IFERROR(__xludf.DUMMYFUNCTION("""COMPUTED_VALUE"""),"Ras Al Khaimah")</f>
        <v>Ras Al Khaimah</v>
      </c>
      <c r="B2825" s="2" t="str">
        <f ca="1">IFERROR(__xludf.DUMMYFUNCTION("""COMPUTED_VALUE"""),"Falcon Island")</f>
        <v>Falcon Island</v>
      </c>
      <c r="C2825" s="2" t="str">
        <f ca="1">IFERROR(__xludf.DUMMYFUNCTION("""COMPUTED_VALUE"""),"Neighbourhood")</f>
        <v>Neighbourhood</v>
      </c>
      <c r="D2825" s="2" t="str">
        <f ca="1">IFERROR(__xludf.DUMMYFUNCTION("""COMPUTED_VALUE"""),"Ras Al Khaimah&gt;Al Hamra Village&gt;Falcon Island")</f>
        <v>Ras Al Khaimah&gt;Al Hamra Village&gt;Falcon Island</v>
      </c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</row>
    <row r="2826" spans="1:26" ht="16.5" x14ac:dyDescent="0.35">
      <c r="A2826" s="2" t="str">
        <f ca="1">IFERROR(__xludf.DUMMYFUNCTION("""COMPUTED_VALUE"""),"Ras Al Khaimah")</f>
        <v>Ras Al Khaimah</v>
      </c>
      <c r="B2826" s="2" t="str">
        <f ca="1">IFERROR(__xludf.DUMMYFUNCTION("""COMPUTED_VALUE"""),"Al Alkeem Heights")</f>
        <v>Al Alkeem Heights</v>
      </c>
      <c r="C2826" s="2"/>
      <c r="D2826" s="2" t="str">
        <f ca="1">IFERROR(__xludf.DUMMYFUNCTION("""COMPUTED_VALUE"""),"Ras Al Khaimah&gt;Aljazeera Al Hamra&gt;Al Alkeem Heights")</f>
        <v>Ras Al Khaimah&gt;Aljazeera Al Hamra&gt;Al Alkeem Heights</v>
      </c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</row>
    <row r="2827" spans="1:26" ht="16.5" x14ac:dyDescent="0.35">
      <c r="A2827" s="2" t="str">
        <f ca="1">IFERROR(__xludf.DUMMYFUNCTION("""COMPUTED_VALUE"""),"Ras Al Khaimah")</f>
        <v>Ras Al Khaimah</v>
      </c>
      <c r="B2827" s="2" t="str">
        <f ca="1">IFERROR(__xludf.DUMMYFUNCTION("""COMPUTED_VALUE"""),"International School of Choueifat - Ras Al Khaimah")</f>
        <v>International School of Choueifat - Ras Al Khaimah</v>
      </c>
      <c r="C2827" s="2" t="str">
        <f ca="1">IFERROR(__xludf.DUMMYFUNCTION("""COMPUTED_VALUE"""),"School")</f>
        <v>School</v>
      </c>
      <c r="D2827" s="2" t="str">
        <f ca="1">IFERROR(__xludf.DUMMYFUNCTION("""COMPUTED_VALUE"""),"Ras Al Khaimah&gt;Khuzam&gt;International School of Choueifat - Ras Al Khaimah")</f>
        <v>Ras Al Khaimah&gt;Khuzam&gt;International School of Choueifat - Ras Al Khaimah</v>
      </c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</row>
    <row r="2828" spans="1:26" ht="16.5" x14ac:dyDescent="0.35">
      <c r="A2828" s="2" t="str">
        <f ca="1">IFERROR(__xludf.DUMMYFUNCTION("""COMPUTED_VALUE"""),"Ras Al Khaimah")</f>
        <v>Ras Al Khaimah</v>
      </c>
      <c r="B2828" s="2" t="str">
        <f ca="1">IFERROR(__xludf.DUMMYFUNCTION("""COMPUTED_VALUE"""),"Al Nadiyah")</f>
        <v>Al Nadiyah</v>
      </c>
      <c r="C2828" s="2" t="str">
        <f ca="1">IFERROR(__xludf.DUMMYFUNCTION("""COMPUTED_VALUE"""),"Neighbourhood")</f>
        <v>Neighbourhood</v>
      </c>
      <c r="D2828" s="2" t="str">
        <f ca="1">IFERROR(__xludf.DUMMYFUNCTION("""COMPUTED_VALUE"""),"Ras Al Khaimah&gt;Al Nadiyah")</f>
        <v>Ras Al Khaimah&gt;Al Nadiyah</v>
      </c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</row>
    <row r="2829" spans="1:26" ht="16.5" x14ac:dyDescent="0.35">
      <c r="A2829" s="2" t="str">
        <f ca="1">IFERROR(__xludf.DUMMYFUNCTION("""COMPUTED_VALUE"""),"Ras Al Khaimah")</f>
        <v>Ras Al Khaimah</v>
      </c>
      <c r="B2829" s="2" t="str">
        <f ca="1">IFERROR(__xludf.DUMMYFUNCTION("""COMPUTED_VALUE"""),"Munay")</f>
        <v>Munay</v>
      </c>
      <c r="C2829" s="2" t="str">
        <f ca="1">IFERROR(__xludf.DUMMYFUNCTION("""COMPUTED_VALUE"""),"Neighbourhood")</f>
        <v>Neighbourhood</v>
      </c>
      <c r="D2829" s="2" t="str">
        <f ca="1">IFERROR(__xludf.DUMMYFUNCTION("""COMPUTED_VALUE"""),"Ras Al Khaimah&gt;Munay")</f>
        <v>Ras Al Khaimah&gt;Munay</v>
      </c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</row>
    <row r="2830" spans="1:26" ht="16.5" x14ac:dyDescent="0.35">
      <c r="A2830" s="2" t="str">
        <f ca="1">IFERROR(__xludf.DUMMYFUNCTION("""COMPUTED_VALUE"""),"Umm Al Quwain")</f>
        <v>Umm Al Quwain</v>
      </c>
      <c r="B2830" s="2" t="str">
        <f ca="1">IFERROR(__xludf.DUMMYFUNCTION("""COMPUTED_VALUE"""),"Umm Al Qura Private School")</f>
        <v>Umm Al Qura Private School</v>
      </c>
      <c r="C2830" s="2" t="str">
        <f ca="1">IFERROR(__xludf.DUMMYFUNCTION("""COMPUTED_VALUE"""),"School")</f>
        <v>School</v>
      </c>
      <c r="D2830" s="2" t="str">
        <f ca="1">IFERROR(__xludf.DUMMYFUNCTION("""COMPUTED_VALUE"""),"Umm Al Quwain&gt;Al Hawiyah&gt;Umm Al Qura Private School")</f>
        <v>Umm Al Quwain&gt;Al Hawiyah&gt;Umm Al Qura Private School</v>
      </c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</row>
    <row r="2831" spans="1:26" ht="16.5" x14ac:dyDescent="0.35">
      <c r="A2831" s="2" t="str">
        <f ca="1">IFERROR(__xludf.DUMMYFUNCTION("""COMPUTED_VALUE"""),"Umm Al Quwain")</f>
        <v>Umm Al Quwain</v>
      </c>
      <c r="B2831" s="2" t="str">
        <f ca="1">IFERROR(__xludf.DUMMYFUNCTION("""COMPUTED_VALUE"""),"Sobha Aquamont Tower C")</f>
        <v>Sobha Aquamont Tower C</v>
      </c>
      <c r="C2831" s="2" t="str">
        <f ca="1">IFERROR(__xludf.DUMMYFUNCTION("""COMPUTED_VALUE"""),"Building")</f>
        <v>Building</v>
      </c>
      <c r="D2831" s="2" t="str">
        <f ca="1">IFERROR(__xludf.DUMMYFUNCTION("""COMPUTED_VALUE"""),"Umm Al Quwain&gt;Old Town Area&gt;Sobha Aquamont&gt;Sobha Aquamont Tower C")</f>
        <v>Umm Al Quwain&gt;Old Town Area&gt;Sobha Aquamont&gt;Sobha Aquamont Tower C</v>
      </c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</row>
    <row r="2832" spans="1:26" ht="16.5" x14ac:dyDescent="0.35">
      <c r="A2832" s="2" t="str">
        <f ca="1">IFERROR(__xludf.DUMMYFUNCTION("""COMPUTED_VALUE"""),"Umm Al Quwain")</f>
        <v>Umm Al Quwain</v>
      </c>
      <c r="B2832" s="2" t="str">
        <f ca="1">IFERROR(__xludf.DUMMYFUNCTION("""COMPUTED_VALUE"""),"Florine Beach Residences")</f>
        <v>Florine Beach Residences</v>
      </c>
      <c r="C2832" s="2" t="str">
        <f ca="1">IFERROR(__xludf.DUMMYFUNCTION("""COMPUTED_VALUE"""),"Cluster")</f>
        <v>Cluster</v>
      </c>
      <c r="D2832" s="2" t="str">
        <f ca="1">IFERROR(__xludf.DUMMYFUNCTION("""COMPUTED_VALUE"""),"Umm Al Quwain&gt;Al Seanneeah&gt;Sobha Siniya Island&gt;Florine Beach Residences")</f>
        <v>Umm Al Quwain&gt;Al Seanneeah&gt;Sobha Siniya Island&gt;Florine Beach Residences</v>
      </c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</row>
    <row r="2833" spans="1:26" ht="16.5" x14ac:dyDescent="0.35">
      <c r="A2833" s="2" t="str">
        <f ca="1">IFERROR(__xludf.DUMMYFUNCTION("""COMPUTED_VALUE"""),"Umm Al Quwain")</f>
        <v>Umm Al Quwain</v>
      </c>
      <c r="B2833" s="2" t="str">
        <f ca="1">IFERROR(__xludf.DUMMYFUNCTION("""COMPUTED_VALUE"""),"Canalside Marina Residences")</f>
        <v>Canalside Marina Residences</v>
      </c>
      <c r="C2833" s="2" t="str">
        <f ca="1">IFERROR(__xludf.DUMMYFUNCTION("""COMPUTED_VALUE"""),"Cluster")</f>
        <v>Cluster</v>
      </c>
      <c r="D2833" s="2" t="str">
        <f ca="1">IFERROR(__xludf.DUMMYFUNCTION("""COMPUTED_VALUE"""),"Umm Al Quwain&gt;Al Seanneeah&gt;Sobha Siniya Island&gt;Canalside Marina Residences")</f>
        <v>Umm Al Quwain&gt;Al Seanneeah&gt;Sobha Siniya Island&gt;Canalside Marina Residences</v>
      </c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</row>
    <row r="2834" spans="1:26" ht="16.5" x14ac:dyDescent="0.35">
      <c r="A2834" s="2" t="str">
        <f ca="1">IFERROR(__xludf.DUMMYFUNCTION("""COMPUTED_VALUE"""),"Fujairah")</f>
        <v>Fujairah</v>
      </c>
      <c r="B2834" s="2" t="str">
        <f ca="1">IFERROR(__xludf.DUMMYFUNCTION("""COMPUTED_VALUE"""),"Dibba")</f>
        <v>Dibba</v>
      </c>
      <c r="C2834" s="2" t="str">
        <f ca="1">IFERROR(__xludf.DUMMYFUNCTION("""COMPUTED_VALUE"""),"Neighbourhood")</f>
        <v>Neighbourhood</v>
      </c>
      <c r="D2834" s="2" t="str">
        <f ca="1">IFERROR(__xludf.DUMMYFUNCTION("""COMPUTED_VALUE"""),"Fujairah&gt;Dibba")</f>
        <v>Fujairah&gt;Dibba</v>
      </c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</row>
    <row r="2835" spans="1:26" ht="16.5" x14ac:dyDescent="0.35">
      <c r="A2835" s="2" t="str">
        <f ca="1">IFERROR(__xludf.DUMMYFUNCTION("""COMPUTED_VALUE"""),"Fujairah")</f>
        <v>Fujairah</v>
      </c>
      <c r="B2835" s="2" t="str">
        <f ca="1">IFERROR(__xludf.DUMMYFUNCTION("""COMPUTED_VALUE"""),"Saniaya")</f>
        <v>Saniaya</v>
      </c>
      <c r="C2835" s="2" t="str">
        <f ca="1">IFERROR(__xludf.DUMMYFUNCTION("""COMPUTED_VALUE"""),"Neighbourhood")</f>
        <v>Neighbourhood</v>
      </c>
      <c r="D2835" s="2" t="str">
        <f ca="1">IFERROR(__xludf.DUMMYFUNCTION("""COMPUTED_VALUE"""),"Fujairah&gt;Saniaya")</f>
        <v>Fujairah&gt;Saniaya</v>
      </c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</row>
    <row r="2836" spans="1:26" ht="16.5" x14ac:dyDescent="0.35">
      <c r="A2836" s="2" t="str">
        <f ca="1">IFERROR(__xludf.DUMMYFUNCTION("""COMPUTED_VALUE"""),"Dubai")</f>
        <v>Dubai</v>
      </c>
      <c r="B2836" s="2" t="str">
        <f ca="1">IFERROR(__xludf.DUMMYFUNCTION("""COMPUTED_VALUE"""),"The Offices 3")</f>
        <v>The Offices 3</v>
      </c>
      <c r="C2836" s="2" t="str">
        <f ca="1">IFERROR(__xludf.DUMMYFUNCTION("""COMPUTED_VALUE"""),"Building")</f>
        <v>Building</v>
      </c>
      <c r="D2836" s="2" t="str">
        <f ca="1">IFERROR(__xludf.DUMMYFUNCTION("""COMPUTED_VALUE"""),"Dubai&gt;World Trade Centre&gt;One Central&gt;The Offices 3")</f>
        <v>Dubai&gt;World Trade Centre&gt;One Central&gt;The Offices 3</v>
      </c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</row>
    <row r="2837" spans="1:26" ht="16.5" x14ac:dyDescent="0.35">
      <c r="A2837" s="2" t="str">
        <f ca="1">IFERROR(__xludf.DUMMYFUNCTION("""COMPUTED_VALUE"""),"Dubai")</f>
        <v>Dubai</v>
      </c>
      <c r="B2837" s="2" t="str">
        <f ca="1">IFERROR(__xludf.DUMMYFUNCTION("""COMPUTED_VALUE"""),"Al Qusais")</f>
        <v>Al Qusais</v>
      </c>
      <c r="C2837" s="2" t="str">
        <f ca="1">IFERROR(__xludf.DUMMYFUNCTION("""COMPUTED_VALUE"""),"Neighbourhood")</f>
        <v>Neighbourhood</v>
      </c>
      <c r="D2837" s="2" t="str">
        <f ca="1">IFERROR(__xludf.DUMMYFUNCTION("""COMPUTED_VALUE"""),"Dubai&gt;Al Qusais")</f>
        <v>Dubai&gt;Al Qusais</v>
      </c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</row>
    <row r="2838" spans="1:26" ht="16.5" x14ac:dyDescent="0.35">
      <c r="A2838" s="2" t="str">
        <f ca="1">IFERROR(__xludf.DUMMYFUNCTION("""COMPUTED_VALUE"""),"Dubai")</f>
        <v>Dubai</v>
      </c>
      <c r="B2838" s="2" t="str">
        <f ca="1">IFERROR(__xludf.DUMMYFUNCTION("""COMPUTED_VALUE"""),"Dubai Scholars School")</f>
        <v>Dubai Scholars School</v>
      </c>
      <c r="C2838" s="2" t="str">
        <f ca="1">IFERROR(__xludf.DUMMYFUNCTION("""COMPUTED_VALUE"""),"School")</f>
        <v>School</v>
      </c>
      <c r="D2838" s="2" t="str">
        <f ca="1">IFERROR(__xludf.DUMMYFUNCTION("""COMPUTED_VALUE"""),"Dubai&gt;Al Qusais&gt;Al Qusais Residential Area&gt;Al Qusais 1&gt;Dubai Scholars School")</f>
        <v>Dubai&gt;Al Qusais&gt;Al Qusais Residential Area&gt;Al Qusais 1&gt;Dubai Scholars School</v>
      </c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</row>
    <row r="2839" spans="1:26" ht="16.5" x14ac:dyDescent="0.35">
      <c r="A2839" s="2" t="str">
        <f ca="1">IFERROR(__xludf.DUMMYFUNCTION("""COMPUTED_VALUE"""),"Dubai")</f>
        <v>Dubai</v>
      </c>
      <c r="B2839" s="2" t="str">
        <f ca="1">IFERROR(__xludf.DUMMYFUNCTION("""COMPUTED_VALUE"""),"Al Jabri Tower 5")</f>
        <v>Al Jabri Tower 5</v>
      </c>
      <c r="C2839" s="2" t="str">
        <f ca="1">IFERROR(__xludf.DUMMYFUNCTION("""COMPUTED_VALUE"""),"Building")</f>
        <v>Building</v>
      </c>
      <c r="D2839" s="2" t="str">
        <f ca="1">IFERROR(__xludf.DUMMYFUNCTION("""COMPUTED_VALUE"""),"Dubai&gt;Al Qusais&gt;Al Qusais Residential Area&gt;Al Qusais 1&gt;Al Jabri Tower 5")</f>
        <v>Dubai&gt;Al Qusais&gt;Al Qusais Residential Area&gt;Al Qusais 1&gt;Al Jabri Tower 5</v>
      </c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</row>
    <row r="2840" spans="1:26" ht="16.5" x14ac:dyDescent="0.35">
      <c r="A2840" s="2" t="str">
        <f ca="1">IFERROR(__xludf.DUMMYFUNCTION("""COMPUTED_VALUE"""),"Dubai")</f>
        <v>Dubai</v>
      </c>
      <c r="B2840" s="2" t="str">
        <f ca="1">IFERROR(__xludf.DUMMYFUNCTION("""COMPUTED_VALUE"""),"Al Qusais Industrial 4")</f>
        <v>Al Qusais Industrial 4</v>
      </c>
      <c r="C2840" s="2" t="str">
        <f ca="1">IFERROR(__xludf.DUMMYFUNCTION("""COMPUTED_VALUE"""),"Neighbourhood")</f>
        <v>Neighbourhood</v>
      </c>
      <c r="D2840" s="2" t="str">
        <f ca="1">IFERROR(__xludf.DUMMYFUNCTION("""COMPUTED_VALUE"""),"Dubai&gt;Al Qusais&gt;Al Qusais Industrial Area&gt;Al Qusais Industrial 4")</f>
        <v>Dubai&gt;Al Qusais&gt;Al Qusais Industrial Area&gt;Al Qusais Industrial 4</v>
      </c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</row>
    <row r="2841" spans="1:26" ht="16.5" x14ac:dyDescent="0.35">
      <c r="A2841" s="2" t="str">
        <f ca="1">IFERROR(__xludf.DUMMYFUNCTION("""COMPUTED_VALUE"""),"Dubai")</f>
        <v>Dubai</v>
      </c>
      <c r="B2841" s="2" t="str">
        <f ca="1">IFERROR(__xludf.DUMMYFUNCTION("""COMPUTED_VALUE"""),"Blossom Nursery Dubai Hills")</f>
        <v>Blossom Nursery Dubai Hills</v>
      </c>
      <c r="C2841" s="2" t="str">
        <f ca="1">IFERROR(__xludf.DUMMYFUNCTION("""COMPUTED_VALUE"""),"Nursery")</f>
        <v>Nursery</v>
      </c>
      <c r="D2841" s="2" t="str">
        <f ca="1">IFERROR(__xludf.DUMMYFUNCTION("""COMPUTED_VALUE"""),"Dubai&gt;Dubai Hills Estate&gt;Blossom Nursery Dubai Hills")</f>
        <v>Dubai&gt;Dubai Hills Estate&gt;Blossom Nursery Dubai Hills</v>
      </c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</row>
    <row r="2842" spans="1:26" ht="16.5" x14ac:dyDescent="0.35">
      <c r="A2842" s="2" t="str">
        <f ca="1">IFERROR(__xludf.DUMMYFUNCTION("""COMPUTED_VALUE"""),"Dubai")</f>
        <v>Dubai</v>
      </c>
      <c r="B2842" s="2" t="str">
        <f ca="1">IFERROR(__xludf.DUMMYFUNCTION("""COMPUTED_VALUE"""),"Park Point Building D")</f>
        <v>Park Point Building D</v>
      </c>
      <c r="C2842" s="2" t="str">
        <f ca="1">IFERROR(__xludf.DUMMYFUNCTION("""COMPUTED_VALUE"""),"Building")</f>
        <v>Building</v>
      </c>
      <c r="D2842" s="2" t="str">
        <f ca="1">IFERROR(__xludf.DUMMYFUNCTION("""COMPUTED_VALUE"""),"Dubai&gt;Dubai Hills Estate&gt;Park Point&gt;Park Point Building D")</f>
        <v>Dubai&gt;Dubai Hills Estate&gt;Park Point&gt;Park Point Building D</v>
      </c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</row>
    <row r="2843" spans="1:26" ht="16.5" x14ac:dyDescent="0.35">
      <c r="A2843" s="2" t="str">
        <f ca="1">IFERROR(__xludf.DUMMYFUNCTION("""COMPUTED_VALUE"""),"Dubai")</f>
        <v>Dubai</v>
      </c>
      <c r="B2843" s="2" t="str">
        <f ca="1">IFERROR(__xludf.DUMMYFUNCTION("""COMPUTED_VALUE"""),"Club Villas")</f>
        <v>Club Villas</v>
      </c>
      <c r="C2843" s="2" t="str">
        <f ca="1">IFERROR(__xludf.DUMMYFUNCTION("""COMPUTED_VALUE"""),"Neighbourhood")</f>
        <v>Neighbourhood</v>
      </c>
      <c r="D2843" s="2" t="str">
        <f ca="1">IFERROR(__xludf.DUMMYFUNCTION("""COMPUTED_VALUE"""),"Dubai&gt;Dubai Hills Estate&gt;Club Villas")</f>
        <v>Dubai&gt;Dubai Hills Estate&gt;Club Villas</v>
      </c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</row>
    <row r="2844" spans="1:26" ht="16.5" x14ac:dyDescent="0.35">
      <c r="A2844" s="2" t="str">
        <f ca="1">IFERROR(__xludf.DUMMYFUNCTION("""COMPUTED_VALUE"""),"Dubai")</f>
        <v>Dubai</v>
      </c>
      <c r="B2844" s="2" t="str">
        <f ca="1">IFERROR(__xludf.DUMMYFUNCTION("""COMPUTED_VALUE"""),"Greenside Residence")</f>
        <v>Greenside Residence</v>
      </c>
      <c r="C2844" s="2" t="str">
        <f ca="1">IFERROR(__xludf.DUMMYFUNCTION("""COMPUTED_VALUE"""),"Cluster")</f>
        <v>Cluster</v>
      </c>
      <c r="D2844" s="2" t="str">
        <f ca="1">IFERROR(__xludf.DUMMYFUNCTION("""COMPUTED_VALUE"""),"Dubai&gt;Dubai Hills Estate&gt;Greenside Residence")</f>
        <v>Dubai&gt;Dubai Hills Estate&gt;Greenside Residence</v>
      </c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</row>
    <row r="2845" spans="1:26" ht="16.5" x14ac:dyDescent="0.35">
      <c r="A2845" s="2" t="str">
        <f ca="1">IFERROR(__xludf.DUMMYFUNCTION("""COMPUTED_VALUE"""),"Dubai")</f>
        <v>Dubai</v>
      </c>
      <c r="B2845" s="2" t="str">
        <f ca="1">IFERROR(__xludf.DUMMYFUNCTION("""COMPUTED_VALUE"""),"Golf Hillside")</f>
        <v>Golf Hillside</v>
      </c>
      <c r="C2845" s="2" t="str">
        <f ca="1">IFERROR(__xludf.DUMMYFUNCTION("""COMPUTED_VALUE"""),"Building")</f>
        <v>Building</v>
      </c>
      <c r="D2845" s="2" t="str">
        <f ca="1">IFERROR(__xludf.DUMMYFUNCTION("""COMPUTED_VALUE"""),"Dubai&gt;Dubai Hills Estate&gt;Golf Hillside")</f>
        <v>Dubai&gt;Dubai Hills Estate&gt;Golf Hillside</v>
      </c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</row>
    <row r="2846" spans="1:26" ht="16.5" x14ac:dyDescent="0.35">
      <c r="A2846" s="2" t="str">
        <f ca="1">IFERROR(__xludf.DUMMYFUNCTION("""COMPUTED_VALUE"""),"Dubai")</f>
        <v>Dubai</v>
      </c>
      <c r="B2846" s="2" t="str">
        <f ca="1">IFERROR(__xludf.DUMMYFUNCTION("""COMPUTED_VALUE"""),"Al Shafar Building")</f>
        <v>Al Shafar Building</v>
      </c>
      <c r="C2846" s="2" t="str">
        <f ca="1">IFERROR(__xludf.DUMMYFUNCTION("""COMPUTED_VALUE"""),"Building")</f>
        <v>Building</v>
      </c>
      <c r="D2846" s="2" t="str">
        <f ca="1">IFERROR(__xludf.DUMMYFUNCTION("""COMPUTED_VALUE"""),"Dubai&gt;Deira&gt;Al Muraqqabat&gt;Al Shafar Building")</f>
        <v>Dubai&gt;Deira&gt;Al Muraqqabat&gt;Al Shafar Building</v>
      </c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</row>
    <row r="2847" spans="1:26" ht="16.5" x14ac:dyDescent="0.35">
      <c r="A2847" s="2" t="str">
        <f ca="1">IFERROR(__xludf.DUMMYFUNCTION("""COMPUTED_VALUE"""),"Dubai")</f>
        <v>Dubai</v>
      </c>
      <c r="B2847" s="2" t="str">
        <f ca="1">IFERROR(__xludf.DUMMYFUNCTION("""COMPUTED_VALUE"""),"Masaken Al Muraqqabat 01")</f>
        <v>Masaken Al Muraqqabat 01</v>
      </c>
      <c r="C2847" s="2" t="str">
        <f ca="1">IFERROR(__xludf.DUMMYFUNCTION("""COMPUTED_VALUE"""),"Building")</f>
        <v>Building</v>
      </c>
      <c r="D2847" s="2" t="str">
        <f ca="1">IFERROR(__xludf.DUMMYFUNCTION("""COMPUTED_VALUE"""),"Dubai&gt;Deira&gt;Al Muraqqabat&gt;Masaken Al Muraqqabat 01")</f>
        <v>Dubai&gt;Deira&gt;Al Muraqqabat&gt;Masaken Al Muraqqabat 01</v>
      </c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</row>
    <row r="2848" spans="1:26" ht="16.5" x14ac:dyDescent="0.35">
      <c r="A2848" s="2" t="str">
        <f ca="1">IFERROR(__xludf.DUMMYFUNCTION("""COMPUTED_VALUE"""),"Dubai")</f>
        <v>Dubai</v>
      </c>
      <c r="B2848" s="2" t="str">
        <f ca="1">IFERROR(__xludf.DUMMYFUNCTION("""COMPUTED_VALUE"""),"Emaar Tower B")</f>
        <v>Emaar Tower B</v>
      </c>
      <c r="C2848" s="2" t="str">
        <f ca="1">IFERROR(__xludf.DUMMYFUNCTION("""COMPUTED_VALUE"""),"Building")</f>
        <v>Building</v>
      </c>
      <c r="D2848" s="2" t="str">
        <f ca="1">IFERROR(__xludf.DUMMYFUNCTION("""COMPUTED_VALUE"""),"Dubai&gt;Deira&gt;Riggat Al Buteen&gt;Emaar Towers&gt;Emaar Tower B")</f>
        <v>Dubai&gt;Deira&gt;Riggat Al Buteen&gt;Emaar Towers&gt;Emaar Tower B</v>
      </c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</row>
    <row r="2849" spans="1:26" ht="16.5" x14ac:dyDescent="0.35">
      <c r="A2849" s="2" t="str">
        <f ca="1">IFERROR(__xludf.DUMMYFUNCTION("""COMPUTED_VALUE"""),"Dubai")</f>
        <v>Dubai</v>
      </c>
      <c r="B2849" s="2" t="str">
        <f ca="1">IFERROR(__xludf.DUMMYFUNCTION("""COMPUTED_VALUE"""),"Al Amal Building")</f>
        <v>Al Amal Building</v>
      </c>
      <c r="C2849" s="2" t="str">
        <f ca="1">IFERROR(__xludf.DUMMYFUNCTION("""COMPUTED_VALUE"""),"Building")</f>
        <v>Building</v>
      </c>
      <c r="D2849" s="2" t="str">
        <f ca="1">IFERROR(__xludf.DUMMYFUNCTION("""COMPUTED_VALUE"""),"Dubai&gt;Deira&gt;Hor Al Anz&gt;Al Amal Building")</f>
        <v>Dubai&gt;Deira&gt;Hor Al Anz&gt;Al Amal Building</v>
      </c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</row>
    <row r="2850" spans="1:26" ht="16.5" x14ac:dyDescent="0.35">
      <c r="A2850" s="2" t="str">
        <f ca="1">IFERROR(__xludf.DUMMYFUNCTION("""COMPUTED_VALUE"""),"Dubai")</f>
        <v>Dubai</v>
      </c>
      <c r="B2850" s="2" t="str">
        <f ca="1">IFERROR(__xludf.DUMMYFUNCTION("""COMPUTED_VALUE"""),"Al Safiya Building")</f>
        <v>Al Safiya Building</v>
      </c>
      <c r="C2850" s="2" t="str">
        <f ca="1">IFERROR(__xludf.DUMMYFUNCTION("""COMPUTED_VALUE"""),"Building")</f>
        <v>Building</v>
      </c>
      <c r="D2850" s="2" t="str">
        <f ca="1">IFERROR(__xludf.DUMMYFUNCTION("""COMPUTED_VALUE"""),"Dubai&gt;Deira&gt;Hor Al Anz&gt;Al Safiya Building")</f>
        <v>Dubai&gt;Deira&gt;Hor Al Anz&gt;Al Safiya Building</v>
      </c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</row>
    <row r="2851" spans="1:26" ht="16.5" x14ac:dyDescent="0.35">
      <c r="A2851" s="2" t="str">
        <f ca="1">IFERROR(__xludf.DUMMYFUNCTION("""COMPUTED_VALUE"""),"Dubai")</f>
        <v>Dubai</v>
      </c>
      <c r="B2851" s="2" t="str">
        <f ca="1">IFERROR(__xludf.DUMMYFUNCTION("""COMPUTED_VALUE"""),"Al Barakah Building")</f>
        <v>Al Barakah Building</v>
      </c>
      <c r="C2851" s="2" t="str">
        <f ca="1">IFERROR(__xludf.DUMMYFUNCTION("""COMPUTED_VALUE"""),"Building")</f>
        <v>Building</v>
      </c>
      <c r="D2851" s="2" t="str">
        <f ca="1">IFERROR(__xludf.DUMMYFUNCTION("""COMPUTED_VALUE"""),"Dubai&gt;Deira&gt;Al Muteena&gt;Al Barakah Building")</f>
        <v>Dubai&gt;Deira&gt;Al Muteena&gt;Al Barakah Building</v>
      </c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</row>
    <row r="2852" spans="1:26" ht="16.5" x14ac:dyDescent="0.35">
      <c r="A2852" s="2" t="str">
        <f ca="1">IFERROR(__xludf.DUMMYFUNCTION("""COMPUTED_VALUE"""),"Dubai")</f>
        <v>Dubai</v>
      </c>
      <c r="B2852" s="2" t="str">
        <f ca="1">IFERROR(__xludf.DUMMYFUNCTION("""COMPUTED_VALUE"""),"Sheikha Latifa Building")</f>
        <v>Sheikha Latifa Building</v>
      </c>
      <c r="C2852" s="2" t="str">
        <f ca="1">IFERROR(__xludf.DUMMYFUNCTION("""COMPUTED_VALUE"""),"Building")</f>
        <v>Building</v>
      </c>
      <c r="D2852" s="2" t="str">
        <f ca="1">IFERROR(__xludf.DUMMYFUNCTION("""COMPUTED_VALUE"""),"Dubai&gt;Deira&gt;Al Rigga&gt;Sheikha Latifa Building")</f>
        <v>Dubai&gt;Deira&gt;Al Rigga&gt;Sheikha Latifa Building</v>
      </c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</row>
    <row r="2853" spans="1:26" ht="16.5" x14ac:dyDescent="0.35">
      <c r="A2853" s="2" t="str">
        <f ca="1">IFERROR(__xludf.DUMMYFUNCTION("""COMPUTED_VALUE"""),"Dubai")</f>
        <v>Dubai</v>
      </c>
      <c r="B2853" s="2" t="str">
        <f ca="1">IFERROR(__xludf.DUMMYFUNCTION("""COMPUTED_VALUE"""),"Moza Plaza 1")</f>
        <v>Moza Plaza 1</v>
      </c>
      <c r="C2853" s="2" t="str">
        <f ca="1">IFERROR(__xludf.DUMMYFUNCTION("""COMPUTED_VALUE"""),"Building")</f>
        <v>Building</v>
      </c>
      <c r="D2853" s="2" t="str">
        <f ca="1">IFERROR(__xludf.DUMMYFUNCTION("""COMPUTED_VALUE"""),"Dubai&gt;Deira&gt;Deira Enrichment Project&gt;Moza Plaza&gt;Moza Plaza 1")</f>
        <v>Dubai&gt;Deira&gt;Deira Enrichment Project&gt;Moza Plaza&gt;Moza Plaza 1</v>
      </c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</row>
    <row r="2854" spans="1:26" ht="16.5" x14ac:dyDescent="0.35">
      <c r="A2854" s="2" t="str">
        <f ca="1">IFERROR(__xludf.DUMMYFUNCTION("""COMPUTED_VALUE"""),"Dubai")</f>
        <v>Dubai</v>
      </c>
      <c r="B2854" s="2" t="str">
        <f ca="1">IFERROR(__xludf.DUMMYFUNCTION("""COMPUTED_VALUE"""),"Al Jaziri Building")</f>
        <v>Al Jaziri Building</v>
      </c>
      <c r="C2854" s="2" t="str">
        <f ca="1">IFERROR(__xludf.DUMMYFUNCTION("""COMPUTED_VALUE"""),"Building")</f>
        <v>Building</v>
      </c>
      <c r="D2854" s="2" t="str">
        <f ca="1">IFERROR(__xludf.DUMMYFUNCTION("""COMPUTED_VALUE"""),"Dubai&gt;Deira&gt;Naif&gt;Al Jaziri Building")</f>
        <v>Dubai&gt;Deira&gt;Naif&gt;Al Jaziri Building</v>
      </c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</row>
    <row r="2855" spans="1:26" ht="16.5" x14ac:dyDescent="0.35">
      <c r="A2855" s="2" t="str">
        <f ca="1">IFERROR(__xludf.DUMMYFUNCTION("""COMPUTED_VALUE"""),"Dubai")</f>
        <v>Dubai</v>
      </c>
      <c r="B2855" s="2" t="str">
        <f ca="1">IFERROR(__xludf.DUMMYFUNCTION("""COMPUTED_VALUE"""),"Mr. Aws Building 2")</f>
        <v>Mr. Aws Building 2</v>
      </c>
      <c r="C2855" s="2" t="str">
        <f ca="1">IFERROR(__xludf.DUMMYFUNCTION("""COMPUTED_VALUE"""),"Building")</f>
        <v>Building</v>
      </c>
      <c r="D2855" s="2" t="str">
        <f ca="1">IFERROR(__xludf.DUMMYFUNCTION("""COMPUTED_VALUE"""),"Dubai&gt;Deira&gt;Naif&gt;Mr. Aws Building 2")</f>
        <v>Dubai&gt;Deira&gt;Naif&gt;Mr. Aws Building 2</v>
      </c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</row>
    <row r="2856" spans="1:26" ht="16.5" x14ac:dyDescent="0.35">
      <c r="A2856" s="2" t="str">
        <f ca="1">IFERROR(__xludf.DUMMYFUNCTION("""COMPUTED_VALUE"""),"Dubai")</f>
        <v>Dubai</v>
      </c>
      <c r="B2856" s="2" t="str">
        <f ca="1">IFERROR(__xludf.DUMMYFUNCTION("""COMPUTED_VALUE"""),"MRK Building")</f>
        <v>MRK Building</v>
      </c>
      <c r="C2856" s="2" t="str">
        <f ca="1">IFERROR(__xludf.DUMMYFUNCTION("""COMPUTED_VALUE"""),"Building")</f>
        <v>Building</v>
      </c>
      <c r="D2856" s="2" t="str">
        <f ca="1">IFERROR(__xludf.DUMMYFUNCTION("""COMPUTED_VALUE"""),"Dubai&gt;Deira&gt;Al Murar&gt;MRK Building")</f>
        <v>Dubai&gt;Deira&gt;Al Murar&gt;MRK Building</v>
      </c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</row>
    <row r="2857" spans="1:26" ht="16.5" x14ac:dyDescent="0.35">
      <c r="A2857" s="2" t="str">
        <f ca="1">IFERROR(__xludf.DUMMYFUNCTION("""COMPUTED_VALUE"""),"Dubai")</f>
        <v>Dubai</v>
      </c>
      <c r="B2857" s="2" t="str">
        <f ca="1">IFERROR(__xludf.DUMMYFUNCTION("""COMPUTED_VALUE"""),"Al Sabkha 25")</f>
        <v>Al Sabkha 25</v>
      </c>
      <c r="C2857" s="2" t="str">
        <f ca="1">IFERROR(__xludf.DUMMYFUNCTION("""COMPUTED_VALUE"""),"Building")</f>
        <v>Building</v>
      </c>
      <c r="D2857" s="2" t="str">
        <f ca="1">IFERROR(__xludf.DUMMYFUNCTION("""COMPUTED_VALUE"""),"Dubai&gt;Deira&gt;Al Sabkha&gt;Al Sabkha 25")</f>
        <v>Dubai&gt;Deira&gt;Al Sabkha&gt;Al Sabkha 25</v>
      </c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</row>
    <row r="2858" spans="1:26" ht="16.5" x14ac:dyDescent="0.35">
      <c r="A2858" s="2" t="str">
        <f ca="1">IFERROR(__xludf.DUMMYFUNCTION("""COMPUTED_VALUE"""),"Dubai")</f>
        <v>Dubai</v>
      </c>
      <c r="B2858" s="2" t="str">
        <f ca="1">IFERROR(__xludf.DUMMYFUNCTION("""COMPUTED_VALUE"""),"Port Saeed Building")</f>
        <v>Port Saeed Building</v>
      </c>
      <c r="C2858" s="2" t="str">
        <f ca="1">IFERROR(__xludf.DUMMYFUNCTION("""COMPUTED_VALUE"""),"Building")</f>
        <v>Building</v>
      </c>
      <c r="D2858" s="2" t="str">
        <f ca="1">IFERROR(__xludf.DUMMYFUNCTION("""COMPUTED_VALUE"""),"Dubai&gt;Deira&gt;Port Saeed&gt;Port Saeed Building")</f>
        <v>Dubai&gt;Deira&gt;Port Saeed&gt;Port Saeed Building</v>
      </c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</row>
    <row r="2859" spans="1:26" ht="16.5" x14ac:dyDescent="0.35">
      <c r="A2859" s="2" t="str">
        <f ca="1">IFERROR(__xludf.DUMMYFUNCTION("""COMPUTED_VALUE"""),"Dubai")</f>
        <v>Dubai</v>
      </c>
      <c r="B2859" s="2" t="str">
        <f ca="1">IFERROR(__xludf.DUMMYFUNCTION("""COMPUTED_VALUE"""),"Mabrooka 04 Building")</f>
        <v>Mabrooka 04 Building</v>
      </c>
      <c r="C2859" s="2" t="str">
        <f ca="1">IFERROR(__xludf.DUMMYFUNCTION("""COMPUTED_VALUE"""),"Building")</f>
        <v>Building</v>
      </c>
      <c r="D2859" s="2" t="str">
        <f ca="1">IFERROR(__xludf.DUMMYFUNCTION("""COMPUTED_VALUE"""),"Dubai&gt;Deira&gt;Port Saeed&gt;Mabrooka 04 Building")</f>
        <v>Dubai&gt;Deira&gt;Port Saeed&gt;Mabrooka 04 Building</v>
      </c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</row>
    <row r="2860" spans="1:26" ht="16.5" x14ac:dyDescent="0.35">
      <c r="A2860" s="2" t="str">
        <f ca="1">IFERROR(__xludf.DUMMYFUNCTION("""COMPUTED_VALUE"""),"Dubai")</f>
        <v>Dubai</v>
      </c>
      <c r="B2860" s="2" t="str">
        <f ca="1">IFERROR(__xludf.DUMMYFUNCTION("""COMPUTED_VALUE"""),"Marquise Square")</f>
        <v>Marquise Square</v>
      </c>
      <c r="C2860" s="2" t="str">
        <f ca="1">IFERROR(__xludf.DUMMYFUNCTION("""COMPUTED_VALUE"""),"Building")</f>
        <v>Building</v>
      </c>
      <c r="D2860" s="2" t="str">
        <f ca="1">IFERROR(__xludf.DUMMYFUNCTION("""COMPUTED_VALUE"""),"Dubai&gt;Business Bay&gt;Marquise Square")</f>
        <v>Dubai&gt;Business Bay&gt;Marquise Square</v>
      </c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</row>
    <row r="2861" spans="1:26" ht="16.5" x14ac:dyDescent="0.35">
      <c r="A2861" s="2" t="str">
        <f ca="1">IFERROR(__xludf.DUMMYFUNCTION("""COMPUTED_VALUE"""),"Dubai")</f>
        <v>Dubai</v>
      </c>
      <c r="B2861" s="2" t="str">
        <f ca="1">IFERROR(__xludf.DUMMYFUNCTION("""COMPUTED_VALUE"""),"Executive Tower G")</f>
        <v>Executive Tower G</v>
      </c>
      <c r="C2861" s="2" t="str">
        <f ca="1">IFERROR(__xludf.DUMMYFUNCTION("""COMPUTED_VALUE"""),"Building")</f>
        <v>Building</v>
      </c>
      <c r="D2861" s="2" t="str">
        <f ca="1">IFERROR(__xludf.DUMMYFUNCTION("""COMPUTED_VALUE"""),"Dubai&gt;Business Bay&gt;Executive Towers&gt;Executive Tower G")</f>
        <v>Dubai&gt;Business Bay&gt;Executive Towers&gt;Executive Tower G</v>
      </c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</row>
    <row r="2862" spans="1:26" ht="16.5" x14ac:dyDescent="0.35">
      <c r="A2862" s="2" t="str">
        <f ca="1">IFERROR(__xludf.DUMMYFUNCTION("""COMPUTED_VALUE"""),"Dubai")</f>
        <v>Dubai</v>
      </c>
      <c r="B2862" s="2" t="str">
        <f ca="1">IFERROR(__xludf.DUMMYFUNCTION("""COMPUTED_VALUE"""),"Empire Heights")</f>
        <v>Empire Heights</v>
      </c>
      <c r="C2862" s="2" t="str">
        <f ca="1">IFERROR(__xludf.DUMMYFUNCTION("""COMPUTED_VALUE"""),"Cluster")</f>
        <v>Cluster</v>
      </c>
      <c r="D2862" s="2" t="str">
        <f ca="1">IFERROR(__xludf.DUMMYFUNCTION("""COMPUTED_VALUE"""),"Dubai&gt;Business Bay&gt;Empire Heights")</f>
        <v>Dubai&gt;Business Bay&gt;Empire Heights</v>
      </c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</row>
    <row r="2863" spans="1:26" ht="16.5" x14ac:dyDescent="0.35">
      <c r="A2863" s="2" t="str">
        <f ca="1">IFERROR(__xludf.DUMMYFUNCTION("""COMPUTED_VALUE"""),"Dubai")</f>
        <v>Dubai</v>
      </c>
      <c r="B2863" s="2" t="str">
        <f ca="1">IFERROR(__xludf.DUMMYFUNCTION("""COMPUTED_VALUE"""),"J One")</f>
        <v>J One</v>
      </c>
      <c r="C2863" s="2" t="str">
        <f ca="1">IFERROR(__xludf.DUMMYFUNCTION("""COMPUTED_VALUE"""),"Cluster")</f>
        <v>Cluster</v>
      </c>
      <c r="D2863" s="2" t="str">
        <f ca="1">IFERROR(__xludf.DUMMYFUNCTION("""COMPUTED_VALUE"""),"Dubai&gt;Business Bay&gt;J One")</f>
        <v>Dubai&gt;Business Bay&gt;J One</v>
      </c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</row>
    <row r="2864" spans="1:26" ht="16.5" x14ac:dyDescent="0.35">
      <c r="A2864" s="2" t="str">
        <f ca="1">IFERROR(__xludf.DUMMYFUNCTION("""COMPUTED_VALUE"""),"Dubai")</f>
        <v>Dubai</v>
      </c>
      <c r="B2864" s="2" t="str">
        <f ca="1">IFERROR(__xludf.DUMMYFUNCTION("""COMPUTED_VALUE"""),"Bayz by Danube")</f>
        <v>Bayz by Danube</v>
      </c>
      <c r="C2864" s="2" t="str">
        <f ca="1">IFERROR(__xludf.DUMMYFUNCTION("""COMPUTED_VALUE"""),"Building")</f>
        <v>Building</v>
      </c>
      <c r="D2864" s="2" t="str">
        <f ca="1">IFERROR(__xludf.DUMMYFUNCTION("""COMPUTED_VALUE"""),"Dubai&gt;Business Bay&gt;Bayz by Danube")</f>
        <v>Dubai&gt;Business Bay&gt;Bayz by Danube</v>
      </c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</row>
    <row r="2865" spans="1:26" ht="16.5" x14ac:dyDescent="0.35">
      <c r="A2865" s="2" t="str">
        <f ca="1">IFERROR(__xludf.DUMMYFUNCTION("""COMPUTED_VALUE"""),"Dubai")</f>
        <v>Dubai</v>
      </c>
      <c r="B2865" s="2" t="str">
        <f ca="1">IFERROR(__xludf.DUMMYFUNCTION("""COMPUTED_VALUE"""),"Sobha Sapphire")</f>
        <v>Sobha Sapphire</v>
      </c>
      <c r="C2865" s="2" t="str">
        <f ca="1">IFERROR(__xludf.DUMMYFUNCTION("""COMPUTED_VALUE"""),"Building")</f>
        <v>Building</v>
      </c>
      <c r="D2865" s="2" t="str">
        <f ca="1">IFERROR(__xludf.DUMMYFUNCTION("""COMPUTED_VALUE"""),"Dubai&gt;Business Bay&gt;Sobha Sapphire")</f>
        <v>Dubai&gt;Business Bay&gt;Sobha Sapphire</v>
      </c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</row>
    <row r="2866" spans="1:26" ht="16.5" x14ac:dyDescent="0.35">
      <c r="A2866" s="2" t="str">
        <f ca="1">IFERROR(__xludf.DUMMYFUNCTION("""COMPUTED_VALUE"""),"Dubai")</f>
        <v>Dubai</v>
      </c>
      <c r="B2866" s="2" t="str">
        <f ca="1">IFERROR(__xludf.DUMMYFUNCTION("""COMPUTED_VALUE"""),"Canal Heights")</f>
        <v>Canal Heights</v>
      </c>
      <c r="C2866" s="2" t="str">
        <f ca="1">IFERROR(__xludf.DUMMYFUNCTION("""COMPUTED_VALUE"""),"Building")</f>
        <v>Building</v>
      </c>
      <c r="D2866" s="2" t="str">
        <f ca="1">IFERROR(__xludf.DUMMYFUNCTION("""COMPUTED_VALUE"""),"Dubai&gt;Business Bay&gt;Canal Heights")</f>
        <v>Dubai&gt;Business Bay&gt;Canal Heights</v>
      </c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</row>
    <row r="2867" spans="1:26" ht="16.5" x14ac:dyDescent="0.35">
      <c r="A2867" s="2" t="str">
        <f ca="1">IFERROR(__xludf.DUMMYFUNCTION("""COMPUTED_VALUE"""),"Dubai")</f>
        <v>Dubai</v>
      </c>
      <c r="B2867" s="2" t="str">
        <f ca="1">IFERROR(__xludf.DUMMYFUNCTION("""COMPUTED_VALUE"""),"Canal Central Hotel")</f>
        <v>Canal Central Hotel</v>
      </c>
      <c r="C2867" s="2" t="str">
        <f ca="1">IFERROR(__xludf.DUMMYFUNCTION("""COMPUTED_VALUE"""),"Building")</f>
        <v>Building</v>
      </c>
      <c r="D2867" s="2" t="str">
        <f ca="1">IFERROR(__xludf.DUMMYFUNCTION("""COMPUTED_VALUE"""),"Dubai&gt;Business Bay&gt;Canal Central Hotel")</f>
        <v>Dubai&gt;Business Bay&gt;Canal Central Hotel</v>
      </c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</row>
    <row r="2868" spans="1:26" ht="16.5" x14ac:dyDescent="0.35">
      <c r="A2868" s="2" t="str">
        <f ca="1">IFERROR(__xludf.DUMMYFUNCTION("""COMPUTED_VALUE"""),"Dubai")</f>
        <v>Dubai</v>
      </c>
      <c r="B2868" s="2" t="str">
        <f ca="1">IFERROR(__xludf.DUMMYFUNCTION("""COMPUTED_VALUE"""),"Binghatti Skyrise")</f>
        <v>Binghatti Skyrise</v>
      </c>
      <c r="C2868" s="2" t="str">
        <f ca="1">IFERROR(__xludf.DUMMYFUNCTION("""COMPUTED_VALUE"""),"Cluster")</f>
        <v>Cluster</v>
      </c>
      <c r="D2868" s="2" t="str">
        <f ca="1">IFERROR(__xludf.DUMMYFUNCTION("""COMPUTED_VALUE"""),"Dubai&gt;Business Bay&gt;Binghatti Skyrise")</f>
        <v>Dubai&gt;Business Bay&gt;Binghatti Skyrise</v>
      </c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</row>
    <row r="2869" spans="1:26" ht="16.5" x14ac:dyDescent="0.35">
      <c r="A2869" s="2" t="str">
        <f ca="1">IFERROR(__xludf.DUMMYFUNCTION("""COMPUTED_VALUE"""),"Dubai")</f>
        <v>Dubai</v>
      </c>
      <c r="B2869" s="2" t="str">
        <f ca="1">IFERROR(__xludf.DUMMYFUNCTION("""COMPUTED_VALUE"""),"JVT District 5")</f>
        <v>JVT District 5</v>
      </c>
      <c r="C2869" s="2" t="str">
        <f ca="1">IFERROR(__xludf.DUMMYFUNCTION("""COMPUTED_VALUE"""),"Neighbourhood")</f>
        <v>Neighbourhood</v>
      </c>
      <c r="D2869" s="2" t="str">
        <f ca="1">IFERROR(__xludf.DUMMYFUNCTION("""COMPUTED_VALUE"""),"Dubai&gt;Jumeirah Village Triangle (JVT)&gt;JVT District 5")</f>
        <v>Dubai&gt;Jumeirah Village Triangle (JVT)&gt;JVT District 5</v>
      </c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</row>
    <row r="2870" spans="1:26" ht="16.5" x14ac:dyDescent="0.35">
      <c r="A2870" s="2" t="str">
        <f ca="1">IFERROR(__xludf.DUMMYFUNCTION("""COMPUTED_VALUE"""),"Dubai")</f>
        <v>Dubai</v>
      </c>
      <c r="B2870" s="2" t="str">
        <f ca="1">IFERROR(__xludf.DUMMYFUNCTION("""COMPUTED_VALUE"""),"District 8S")</f>
        <v>District 8S</v>
      </c>
      <c r="C2870" s="2" t="str">
        <f ca="1">IFERROR(__xludf.DUMMYFUNCTION("""COMPUTED_VALUE"""),"Neighbourhood")</f>
        <v>Neighbourhood</v>
      </c>
      <c r="D2870" s="2" t="str">
        <f ca="1">IFERROR(__xludf.DUMMYFUNCTION("""COMPUTED_VALUE"""),"Dubai&gt;Jumeirah Village Triangle (JVT)&gt;JVT District 8&gt;District 8S")</f>
        <v>Dubai&gt;Jumeirah Village Triangle (JVT)&gt;JVT District 8&gt;District 8S</v>
      </c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</row>
    <row r="2871" spans="1:26" ht="16.5" x14ac:dyDescent="0.35">
      <c r="A2871" s="2" t="str">
        <f ca="1">IFERROR(__xludf.DUMMYFUNCTION("""COMPUTED_VALUE"""),"Dubai")</f>
        <v>Dubai</v>
      </c>
      <c r="B2871" s="2" t="str">
        <f ca="1">IFERROR(__xludf.DUMMYFUNCTION("""COMPUTED_VALUE"""),"District 2E")</f>
        <v>District 2E</v>
      </c>
      <c r="C2871" s="2" t="str">
        <f ca="1">IFERROR(__xludf.DUMMYFUNCTION("""COMPUTED_VALUE"""),"Neighbourhood")</f>
        <v>Neighbourhood</v>
      </c>
      <c r="D2871" s="2" t="str">
        <f ca="1">IFERROR(__xludf.DUMMYFUNCTION("""COMPUTED_VALUE"""),"Dubai&gt;Jumeirah Village Triangle (JVT)&gt;JVT District 2&gt;District 2E")</f>
        <v>Dubai&gt;Jumeirah Village Triangle (JVT)&gt;JVT District 2&gt;District 2E</v>
      </c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</row>
    <row r="2872" spans="1:26" ht="16.5" x14ac:dyDescent="0.35">
      <c r="A2872" s="2" t="str">
        <f ca="1">IFERROR(__xludf.DUMMYFUNCTION("""COMPUTED_VALUE"""),"Dubai")</f>
        <v>Dubai</v>
      </c>
      <c r="B2872" s="2" t="str">
        <f ca="1">IFERROR(__xludf.DUMMYFUNCTION("""COMPUTED_VALUE"""),"District 7C")</f>
        <v>District 7C</v>
      </c>
      <c r="C2872" s="2" t="str">
        <f ca="1">IFERROR(__xludf.DUMMYFUNCTION("""COMPUTED_VALUE"""),"Neighbourhood")</f>
        <v>Neighbourhood</v>
      </c>
      <c r="D2872" s="2" t="str">
        <f ca="1">IFERROR(__xludf.DUMMYFUNCTION("""COMPUTED_VALUE"""),"Dubai&gt;Jumeirah Village Triangle (JVT)&gt;JVT District 7&gt;District 7C")</f>
        <v>Dubai&gt;Jumeirah Village Triangle (JVT)&gt;JVT District 7&gt;District 7C</v>
      </c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</row>
    <row r="2873" spans="1:26" ht="16.5" x14ac:dyDescent="0.35">
      <c r="A2873" s="2" t="str">
        <f ca="1">IFERROR(__xludf.DUMMYFUNCTION("""COMPUTED_VALUE"""),"Dubai")</f>
        <v>Dubai</v>
      </c>
      <c r="B2873" s="2" t="str">
        <f ca="1">IFERROR(__xludf.DUMMYFUNCTION("""COMPUTED_VALUE"""),"JVT District 4")</f>
        <v>JVT District 4</v>
      </c>
      <c r="C2873" s="2" t="str">
        <f ca="1">IFERROR(__xludf.DUMMYFUNCTION("""COMPUTED_VALUE"""),"Neighbourhood")</f>
        <v>Neighbourhood</v>
      </c>
      <c r="D2873" s="2" t="str">
        <f ca="1">IFERROR(__xludf.DUMMYFUNCTION("""COMPUTED_VALUE"""),"Dubai&gt;Jumeirah Village Triangle (JVT)&gt;JVT District 4")</f>
        <v>Dubai&gt;Jumeirah Village Triangle (JVT)&gt;JVT District 4</v>
      </c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</row>
    <row r="2874" spans="1:26" ht="16.5" x14ac:dyDescent="0.35">
      <c r="A2874" s="2" t="str">
        <f ca="1">IFERROR(__xludf.DUMMYFUNCTION("""COMPUTED_VALUE"""),"Dubai")</f>
        <v>Dubai</v>
      </c>
      <c r="B2874" s="2" t="str">
        <f ca="1">IFERROR(__xludf.DUMMYFUNCTION("""COMPUTED_VALUE"""),"The Community")</f>
        <v>The Community</v>
      </c>
      <c r="C2874" s="2" t="str">
        <f ca="1">IFERROR(__xludf.DUMMYFUNCTION("""COMPUTED_VALUE"""),"Building")</f>
        <v>Building</v>
      </c>
      <c r="D2874" s="2" t="str">
        <f ca="1">IFERROR(__xludf.DUMMYFUNCTION("""COMPUTED_VALUE"""),"Dubai&gt;Jumeirah Village Triangle (JVT)&gt;JVT District 3&gt;The Community")</f>
        <v>Dubai&gt;Jumeirah Village Triangle (JVT)&gt;JVT District 3&gt;The Community</v>
      </c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</row>
    <row r="2875" spans="1:26" ht="16.5" x14ac:dyDescent="0.35">
      <c r="A2875" s="2" t="str">
        <f ca="1">IFERROR(__xludf.DUMMYFUNCTION("""COMPUTED_VALUE"""),"Dubai")</f>
        <v>Dubai</v>
      </c>
      <c r="B2875" s="2" t="str">
        <f ca="1">IFERROR(__xludf.DUMMYFUNCTION("""COMPUTED_VALUE"""),"Al Ramth 61")</f>
        <v>Al Ramth 61</v>
      </c>
      <c r="C2875" s="2" t="str">
        <f ca="1">IFERROR(__xludf.DUMMYFUNCTION("""COMPUTED_VALUE"""),"Building")</f>
        <v>Building</v>
      </c>
      <c r="D2875" s="2" t="str">
        <f ca="1">IFERROR(__xludf.DUMMYFUNCTION("""COMPUTED_VALUE"""),"Dubai&gt;Remraam&gt;Al Ramth&gt;Al Ramth 61")</f>
        <v>Dubai&gt;Remraam&gt;Al Ramth&gt;Al Ramth 61</v>
      </c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</row>
    <row r="2876" spans="1:26" ht="16.5" x14ac:dyDescent="0.35">
      <c r="A2876" s="2" t="str">
        <f ca="1">IFERROR(__xludf.DUMMYFUNCTION("""COMPUTED_VALUE"""),"Dubai")</f>
        <v>Dubai</v>
      </c>
      <c r="B2876" s="2" t="str">
        <f ca="1">IFERROR(__xludf.DUMMYFUNCTION("""COMPUTED_VALUE"""),"Al Ramth 16")</f>
        <v>Al Ramth 16</v>
      </c>
      <c r="C2876" s="2" t="str">
        <f ca="1">IFERROR(__xludf.DUMMYFUNCTION("""COMPUTED_VALUE"""),"Building")</f>
        <v>Building</v>
      </c>
      <c r="D2876" s="2" t="str">
        <f ca="1">IFERROR(__xludf.DUMMYFUNCTION("""COMPUTED_VALUE"""),"Dubai&gt;Remraam&gt;Al Ramth&gt;Al Ramth 16")</f>
        <v>Dubai&gt;Remraam&gt;Al Ramth&gt;Al Ramth 16</v>
      </c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</row>
    <row r="2877" spans="1:26" ht="16.5" x14ac:dyDescent="0.35">
      <c r="A2877" s="2" t="str">
        <f ca="1">IFERROR(__xludf.DUMMYFUNCTION("""COMPUTED_VALUE"""),"Dubai")</f>
        <v>Dubai</v>
      </c>
      <c r="B2877" s="2" t="str">
        <f ca="1">IFERROR(__xludf.DUMMYFUNCTION("""COMPUTED_VALUE"""),"Al Thamam 63")</f>
        <v>Al Thamam 63</v>
      </c>
      <c r="C2877" s="2" t="str">
        <f ca="1">IFERROR(__xludf.DUMMYFUNCTION("""COMPUTED_VALUE"""),"Building")</f>
        <v>Building</v>
      </c>
      <c r="D2877" s="2" t="str">
        <f ca="1">IFERROR(__xludf.DUMMYFUNCTION("""COMPUTED_VALUE"""),"Dubai&gt;Remraam&gt;Al Thamam&gt;Al Thamam 63")</f>
        <v>Dubai&gt;Remraam&gt;Al Thamam&gt;Al Thamam 63</v>
      </c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</row>
    <row r="2878" spans="1:26" ht="16.5" x14ac:dyDescent="0.35">
      <c r="A2878" s="2" t="str">
        <f ca="1">IFERROR(__xludf.DUMMYFUNCTION("""COMPUTED_VALUE"""),"Dubai")</f>
        <v>Dubai</v>
      </c>
      <c r="B2878" s="2" t="str">
        <f ca="1">IFERROR(__xludf.DUMMYFUNCTION("""COMPUTED_VALUE"""),"7 Park Central")</f>
        <v>7 Park Central</v>
      </c>
      <c r="C2878" s="2" t="str">
        <f ca="1">IFERROR(__xludf.DUMMYFUNCTION("""COMPUTED_VALUE"""),"Building")</f>
        <v>Building</v>
      </c>
      <c r="D2878" s="2" t="str">
        <f ca="1">IFERROR(__xludf.DUMMYFUNCTION("""COMPUTED_VALUE"""),"Dubai&gt;Jumeirah Village Circle (JVC)&gt;JVC District 17&gt;7 Park Central")</f>
        <v>Dubai&gt;Jumeirah Village Circle (JVC)&gt;JVC District 17&gt;7 Park Central</v>
      </c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</row>
    <row r="2879" spans="1:26" ht="16.5" x14ac:dyDescent="0.35">
      <c r="A2879" s="2" t="str">
        <f ca="1">IFERROR(__xludf.DUMMYFUNCTION("""COMPUTED_VALUE"""),"Dubai")</f>
        <v>Dubai</v>
      </c>
      <c r="B2879" s="2" t="str">
        <f ca="1">IFERROR(__xludf.DUMMYFUNCTION("""COMPUTED_VALUE"""),"Sandy Fox")</f>
        <v>Sandy Fox</v>
      </c>
      <c r="C2879" s="2" t="str">
        <f ca="1">IFERROR(__xludf.DUMMYFUNCTION("""COMPUTED_VALUE"""),"Building")</f>
        <v>Building</v>
      </c>
      <c r="D2879" s="2" t="str">
        <f ca="1">IFERROR(__xludf.DUMMYFUNCTION("""COMPUTED_VALUE"""),"Dubai&gt;Jumeirah Village Circle (JVC)&gt;JVC District 12&gt;Sandy Fox")</f>
        <v>Dubai&gt;Jumeirah Village Circle (JVC)&gt;JVC District 12&gt;Sandy Fox</v>
      </c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</row>
    <row r="2880" spans="1:26" ht="16.5" x14ac:dyDescent="0.35">
      <c r="A2880" s="2" t="str">
        <f ca="1">IFERROR(__xludf.DUMMYFUNCTION("""COMPUTED_VALUE"""),"Dubai")</f>
        <v>Dubai</v>
      </c>
      <c r="B2880" s="2" t="str">
        <f ca="1">IFERROR(__xludf.DUMMYFUNCTION("""COMPUTED_VALUE"""),"The Portman")</f>
        <v>The Portman</v>
      </c>
      <c r="C2880" s="2" t="str">
        <f ca="1">IFERROR(__xludf.DUMMYFUNCTION("""COMPUTED_VALUE"""),"Building")</f>
        <v>Building</v>
      </c>
      <c r="D2880" s="2" t="str">
        <f ca="1">IFERROR(__xludf.DUMMYFUNCTION("""COMPUTED_VALUE"""),"Dubai&gt;Jumeirah Village Circle (JVC)&gt;JVC District 12&gt;The Portman")</f>
        <v>Dubai&gt;Jumeirah Village Circle (JVC)&gt;JVC District 12&gt;The Portman</v>
      </c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</row>
    <row r="2881" spans="1:26" ht="16.5" x14ac:dyDescent="0.35">
      <c r="A2881" s="2" t="str">
        <f ca="1">IFERROR(__xludf.DUMMYFUNCTION("""COMPUTED_VALUE"""),"Dubai")</f>
        <v>Dubai</v>
      </c>
      <c r="B2881" s="2" t="str">
        <f ca="1">IFERROR(__xludf.DUMMYFUNCTION("""COMPUTED_VALUE"""),"Sky Vista")</f>
        <v>Sky Vista</v>
      </c>
      <c r="C2881" s="2" t="str">
        <f ca="1">IFERROR(__xludf.DUMMYFUNCTION("""COMPUTED_VALUE"""),"Building")</f>
        <v>Building</v>
      </c>
      <c r="D2881" s="2" t="str">
        <f ca="1">IFERROR(__xludf.DUMMYFUNCTION("""COMPUTED_VALUE"""),"Dubai&gt;Jumeirah Village Circle (JVC)&gt;JVC District 12&gt;Sky Vista")</f>
        <v>Dubai&gt;Jumeirah Village Circle (JVC)&gt;JVC District 12&gt;Sky Vista</v>
      </c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</row>
    <row r="2882" spans="1:26" ht="16.5" x14ac:dyDescent="0.35">
      <c r="A2882" s="2" t="str">
        <f ca="1">IFERROR(__xludf.DUMMYFUNCTION("""COMPUTED_VALUE"""),"Dubai")</f>
        <v>Dubai</v>
      </c>
      <c r="B2882" s="2" t="str">
        <f ca="1">IFERROR(__xludf.DUMMYFUNCTION("""COMPUTED_VALUE"""),"Plaza Residences Block C")</f>
        <v>Plaza Residences Block C</v>
      </c>
      <c r="C2882" s="2" t="str">
        <f ca="1">IFERROR(__xludf.DUMMYFUNCTION("""COMPUTED_VALUE"""),"Building")</f>
        <v>Building</v>
      </c>
      <c r="D2882" s="2" t="str">
        <f ca="1">IFERROR(__xludf.DUMMYFUNCTION("""COMPUTED_VALUE"""),"Dubai&gt;Jumeirah Village Circle (JVC)&gt;JVC District 13&gt;Plaza Residences&gt;Plaza Residences Block C")</f>
        <v>Dubai&gt;Jumeirah Village Circle (JVC)&gt;JVC District 13&gt;Plaza Residences&gt;Plaza Residences Block C</v>
      </c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</row>
    <row r="2883" spans="1:26" ht="16.5" x14ac:dyDescent="0.35">
      <c r="A2883" s="2" t="str">
        <f ca="1">IFERROR(__xludf.DUMMYFUNCTION("""COMPUTED_VALUE"""),"Dubai")</f>
        <v>Dubai</v>
      </c>
      <c r="B2883" s="2" t="str">
        <f ca="1">IFERROR(__xludf.DUMMYFUNCTION("""COMPUTED_VALUE"""),"La Belle Vue")</f>
        <v>La Belle Vue</v>
      </c>
      <c r="C2883" s="2" t="str">
        <f ca="1">IFERROR(__xludf.DUMMYFUNCTION("""COMPUTED_VALUE"""),"Neighbourhood")</f>
        <v>Neighbourhood</v>
      </c>
      <c r="D2883" s="2" t="str">
        <f ca="1">IFERROR(__xludf.DUMMYFUNCTION("""COMPUTED_VALUE"""),"Dubai&gt;Jumeirah Village Circle (JVC)&gt;JVC District 13&gt;La Belle Vue")</f>
        <v>Dubai&gt;Jumeirah Village Circle (JVC)&gt;JVC District 13&gt;La Belle Vue</v>
      </c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</row>
    <row r="2884" spans="1:26" ht="16.5" x14ac:dyDescent="0.35">
      <c r="A2884" s="2" t="str">
        <f ca="1">IFERROR(__xludf.DUMMYFUNCTION("""COMPUTED_VALUE"""),"Dubai")</f>
        <v>Dubai</v>
      </c>
      <c r="B2884" s="2" t="str">
        <f ca="1">IFERROR(__xludf.DUMMYFUNCTION("""COMPUTED_VALUE"""),"Binghatti Amberhall")</f>
        <v>Binghatti Amberhall</v>
      </c>
      <c r="C2884" s="2" t="str">
        <f ca="1">IFERROR(__xludf.DUMMYFUNCTION("""COMPUTED_VALUE"""),"Building")</f>
        <v>Building</v>
      </c>
      <c r="D2884" s="2" t="str">
        <f ca="1">IFERROR(__xludf.DUMMYFUNCTION("""COMPUTED_VALUE"""),"Dubai&gt;Jumeirah Village Circle (JVC)&gt;JVC District 13&gt;Binghatti Amberhall")</f>
        <v>Dubai&gt;Jumeirah Village Circle (JVC)&gt;JVC District 13&gt;Binghatti Amberhall</v>
      </c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</row>
    <row r="2885" spans="1:26" ht="16.5" x14ac:dyDescent="0.35">
      <c r="A2885" s="2" t="str">
        <f ca="1">IFERROR(__xludf.DUMMYFUNCTION("""COMPUTED_VALUE"""),"Dubai")</f>
        <v>Dubai</v>
      </c>
      <c r="B2885" s="2" t="str">
        <f ca="1">IFERROR(__xludf.DUMMYFUNCTION("""COMPUTED_VALUE"""),"Golden Dream Tower 1")</f>
        <v>Golden Dream Tower 1</v>
      </c>
      <c r="C2885" s="2" t="str">
        <f ca="1">IFERROR(__xludf.DUMMYFUNCTION("""COMPUTED_VALUE"""),"Building")</f>
        <v>Building</v>
      </c>
      <c r="D2885" s="2" t="str">
        <f ca="1">IFERROR(__xludf.DUMMYFUNCTION("""COMPUTED_VALUE"""),"Dubai&gt;Jumeirah Village Circle (JVC)&gt;JVC District 18&gt;Golden Dream Tower 1")</f>
        <v>Dubai&gt;Jumeirah Village Circle (JVC)&gt;JVC District 18&gt;Golden Dream Tower 1</v>
      </c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</row>
    <row r="2886" spans="1:26" ht="16.5" x14ac:dyDescent="0.35">
      <c r="A2886" s="2" t="str">
        <f ca="1">IFERROR(__xludf.DUMMYFUNCTION("""COMPUTED_VALUE"""),"Dubai")</f>
        <v>Dubai</v>
      </c>
      <c r="B2886" s="2" t="str">
        <f ca="1">IFERROR(__xludf.DUMMYFUNCTION("""COMPUTED_VALUE"""),"Saleh Bin Lahej JVC")</f>
        <v>Saleh Bin Lahej JVC</v>
      </c>
      <c r="C2886" s="2" t="str">
        <f ca="1">IFERROR(__xludf.DUMMYFUNCTION("""COMPUTED_VALUE"""),"Neighbourhood")</f>
        <v>Neighbourhood</v>
      </c>
      <c r="D2886" s="2" t="str">
        <f ca="1">IFERROR(__xludf.DUMMYFUNCTION("""COMPUTED_VALUE"""),"Dubai&gt;Jumeirah Village Circle (JVC)&gt;JVC District 10&gt;Saleh Bin Lahej JVC")</f>
        <v>Dubai&gt;Jumeirah Village Circle (JVC)&gt;JVC District 10&gt;Saleh Bin Lahej JVC</v>
      </c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</row>
    <row r="2887" spans="1:26" ht="16.5" x14ac:dyDescent="0.35">
      <c r="A2887" s="2" t="str">
        <f ca="1">IFERROR(__xludf.DUMMYFUNCTION("""COMPUTED_VALUE"""),"Dubai")</f>
        <v>Dubai</v>
      </c>
      <c r="B2887" s="2" t="str">
        <f ca="1">IFERROR(__xludf.DUMMYFUNCTION("""COMPUTED_VALUE"""),"Goldenwoods Villas")</f>
        <v>Goldenwoods Villas</v>
      </c>
      <c r="C2887" s="2" t="str">
        <f ca="1">IFERROR(__xludf.DUMMYFUNCTION("""COMPUTED_VALUE"""),"Neighbourhood")</f>
        <v>Neighbourhood</v>
      </c>
      <c r="D2887" s="2" t="str">
        <f ca="1">IFERROR(__xludf.DUMMYFUNCTION("""COMPUTED_VALUE"""),"Dubai&gt;Jumeirah Village Circle (JVC)&gt;JVC District 10&gt;Goldenwoods Villas")</f>
        <v>Dubai&gt;Jumeirah Village Circle (JVC)&gt;JVC District 10&gt;Goldenwoods Villas</v>
      </c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</row>
    <row r="2888" spans="1:26" ht="16.5" x14ac:dyDescent="0.35">
      <c r="A2888" s="2" t="str">
        <f ca="1">IFERROR(__xludf.DUMMYFUNCTION("""COMPUTED_VALUE"""),"Dubai")</f>
        <v>Dubai</v>
      </c>
      <c r="B2888" s="2" t="str">
        <f ca="1">IFERROR(__xludf.DUMMYFUNCTION("""COMPUTED_VALUE"""),"La Residenza")</f>
        <v>La Residenza</v>
      </c>
      <c r="C2888" s="2" t="str">
        <f ca="1">IFERROR(__xludf.DUMMYFUNCTION("""COMPUTED_VALUE"""),"Building")</f>
        <v>Building</v>
      </c>
      <c r="D2888" s="2" t="str">
        <f ca="1">IFERROR(__xludf.DUMMYFUNCTION("""COMPUTED_VALUE"""),"Dubai&gt;Jumeirah Village Circle (JVC)&gt;JVC District 10&gt;La Residenza")</f>
        <v>Dubai&gt;Jumeirah Village Circle (JVC)&gt;JVC District 10&gt;La Residenza</v>
      </c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</row>
    <row r="2889" spans="1:26" ht="16.5" x14ac:dyDescent="0.35">
      <c r="A2889" s="2" t="str">
        <f ca="1">IFERROR(__xludf.DUMMYFUNCTION("""COMPUTED_VALUE"""),"Dubai")</f>
        <v>Dubai</v>
      </c>
      <c r="B2889" s="2" t="str">
        <f ca="1">IFERROR(__xludf.DUMMYFUNCTION("""COMPUTED_VALUE"""),"Zenith Tower J1")</f>
        <v>Zenith Tower J1</v>
      </c>
      <c r="C2889" s="2" t="str">
        <f ca="1">IFERROR(__xludf.DUMMYFUNCTION("""COMPUTED_VALUE"""),"Building")</f>
        <v>Building</v>
      </c>
      <c r="D2889" s="2" t="str">
        <f ca="1">IFERROR(__xludf.DUMMYFUNCTION("""COMPUTED_VALUE"""),"Dubai&gt;Jumeirah Village Circle (JVC)&gt;JVC District 10&gt;Zenith Tower J1")</f>
        <v>Dubai&gt;Jumeirah Village Circle (JVC)&gt;JVC District 10&gt;Zenith Tower J1</v>
      </c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</row>
    <row r="2890" spans="1:26" ht="16.5" x14ac:dyDescent="0.35">
      <c r="A2890" s="2" t="str">
        <f ca="1">IFERROR(__xludf.DUMMYFUNCTION("""COMPUTED_VALUE"""),"Dubai")</f>
        <v>Dubai</v>
      </c>
      <c r="B2890" s="2" t="str">
        <f ca="1">IFERROR(__xludf.DUMMYFUNCTION("""COMPUTED_VALUE"""),"JVC District 15")</f>
        <v>JVC District 15</v>
      </c>
      <c r="C2890" s="2" t="str">
        <f ca="1">IFERROR(__xludf.DUMMYFUNCTION("""COMPUTED_VALUE"""),"Neighbourhood")</f>
        <v>Neighbourhood</v>
      </c>
      <c r="D2890" s="2" t="str">
        <f ca="1">IFERROR(__xludf.DUMMYFUNCTION("""COMPUTED_VALUE"""),"Dubai&gt;Jumeirah Village Circle (JVC)&gt;JVC District 15")</f>
        <v>Dubai&gt;Jumeirah Village Circle (JVC)&gt;JVC District 15</v>
      </c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</row>
    <row r="2891" spans="1:26" ht="16.5" x14ac:dyDescent="0.35">
      <c r="A2891" s="2" t="str">
        <f ca="1">IFERROR(__xludf.DUMMYFUNCTION("""COMPUTED_VALUE"""),"Dubai")</f>
        <v>Dubai</v>
      </c>
      <c r="B2891" s="2" t="str">
        <f ca="1">IFERROR(__xludf.DUMMYFUNCTION("""COMPUTED_VALUE"""),"Artistic Villas")</f>
        <v>Artistic Villas</v>
      </c>
      <c r="C2891" s="2" t="str">
        <f ca="1">IFERROR(__xludf.DUMMYFUNCTION("""COMPUTED_VALUE"""),"Building")</f>
        <v>Building</v>
      </c>
      <c r="D2891" s="2" t="str">
        <f ca="1">IFERROR(__xludf.DUMMYFUNCTION("""COMPUTED_VALUE"""),"Dubai&gt;Jumeirah Village Circle (JVC)&gt;JVC District 15&gt;Artistic Villas")</f>
        <v>Dubai&gt;Jumeirah Village Circle (JVC)&gt;JVC District 15&gt;Artistic Villas</v>
      </c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</row>
    <row r="2892" spans="1:26" ht="16.5" x14ac:dyDescent="0.35">
      <c r="A2892" s="2" t="str">
        <f ca="1">IFERROR(__xludf.DUMMYFUNCTION("""COMPUTED_VALUE"""),"Dubai")</f>
        <v>Dubai</v>
      </c>
      <c r="B2892" s="2" t="str">
        <f ca="1">IFERROR(__xludf.DUMMYFUNCTION("""COMPUTED_VALUE"""),"Sunset Grove Homes")</f>
        <v>Sunset Grove Homes</v>
      </c>
      <c r="C2892" s="2" t="str">
        <f ca="1">IFERROR(__xludf.DUMMYFUNCTION("""COMPUTED_VALUE"""),"Neighbourhood")</f>
        <v>Neighbourhood</v>
      </c>
      <c r="D2892" s="2" t="str">
        <f ca="1">IFERROR(__xludf.DUMMYFUNCTION("""COMPUTED_VALUE"""),"Dubai&gt;Jumeirah Village Circle (JVC)&gt;JVC District 15&gt;Sunset Grove Homes")</f>
        <v>Dubai&gt;Jumeirah Village Circle (JVC)&gt;JVC District 15&gt;Sunset Grove Homes</v>
      </c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</row>
    <row r="2893" spans="1:26" ht="16.5" x14ac:dyDescent="0.35">
      <c r="A2893" s="2" t="str">
        <f ca="1">IFERROR(__xludf.DUMMYFUNCTION("""COMPUTED_VALUE"""),"Dubai")</f>
        <v>Dubai</v>
      </c>
      <c r="B2893" s="2" t="str">
        <f ca="1">IFERROR(__xludf.DUMMYFUNCTION("""COMPUTED_VALUE"""),"Mirabella 6")</f>
        <v>Mirabella 6</v>
      </c>
      <c r="C2893" s="2" t="str">
        <f ca="1">IFERROR(__xludf.DUMMYFUNCTION("""COMPUTED_VALUE"""),"Neighbourhood")</f>
        <v>Neighbourhood</v>
      </c>
      <c r="D2893" s="2" t="str">
        <f ca="1">IFERROR(__xludf.DUMMYFUNCTION("""COMPUTED_VALUE"""),"Dubai&gt;Jumeirah Village Circle (JVC)&gt;JVC District 11&gt;Mirabella 6")</f>
        <v>Dubai&gt;Jumeirah Village Circle (JVC)&gt;JVC District 11&gt;Mirabella 6</v>
      </c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</row>
    <row r="2894" spans="1:26" ht="16.5" x14ac:dyDescent="0.35">
      <c r="A2894" s="2" t="str">
        <f ca="1">IFERROR(__xludf.DUMMYFUNCTION("""COMPUTED_VALUE"""),"Dubai")</f>
        <v>Dubai</v>
      </c>
      <c r="B2894" s="2" t="str">
        <f ca="1">IFERROR(__xludf.DUMMYFUNCTION("""COMPUTED_VALUE"""),"Sunrise Tower JVC")</f>
        <v>Sunrise Tower JVC</v>
      </c>
      <c r="C2894" s="2" t="str">
        <f ca="1">IFERROR(__xludf.DUMMYFUNCTION("""COMPUTED_VALUE"""),"Building")</f>
        <v>Building</v>
      </c>
      <c r="D2894" s="2" t="str">
        <f ca="1">IFERROR(__xludf.DUMMYFUNCTION("""COMPUTED_VALUE"""),"Dubai&gt;Jumeirah Village Circle (JVC)&gt;JVC District 11&gt;Sunrise Tower JVC")</f>
        <v>Dubai&gt;Jumeirah Village Circle (JVC)&gt;JVC District 11&gt;Sunrise Tower JVC</v>
      </c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</row>
    <row r="2895" spans="1:26" ht="16.5" x14ac:dyDescent="0.35">
      <c r="A2895" s="2" t="str">
        <f ca="1">IFERROR(__xludf.DUMMYFUNCTION("""COMPUTED_VALUE"""),"Dubai")</f>
        <v>Dubai</v>
      </c>
      <c r="B2895" s="2" t="str">
        <f ca="1">IFERROR(__xludf.DUMMYFUNCTION("""COMPUTED_VALUE"""),"Diamond Views 4 Villas B")</f>
        <v>Diamond Views 4 Villas B</v>
      </c>
      <c r="C2895" s="2" t="str">
        <f ca="1">IFERROR(__xludf.DUMMYFUNCTION("""COMPUTED_VALUE"""),"Neighbourhood")</f>
        <v>Neighbourhood</v>
      </c>
      <c r="D2895" s="2" t="str">
        <f ca="1">IFERROR(__xludf.DUMMYFUNCTION("""COMPUTED_VALUE"""),"Dubai&gt;Jumeirah Village Circle (JVC)&gt;JVC District 11&gt;Diamond Views 4 Villas B")</f>
        <v>Dubai&gt;Jumeirah Village Circle (JVC)&gt;JVC District 11&gt;Diamond Views 4 Villas B</v>
      </c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</row>
    <row r="2896" spans="1:26" ht="16.5" x14ac:dyDescent="0.35">
      <c r="A2896" s="2" t="str">
        <f ca="1">IFERROR(__xludf.DUMMYFUNCTION("""COMPUTED_VALUE"""),"Dubai")</f>
        <v>Dubai</v>
      </c>
      <c r="B2896" s="2" t="str">
        <f ca="1">IFERROR(__xludf.DUMMYFUNCTION("""COMPUTED_VALUE"""),"Maple 2")</f>
        <v>Maple 2</v>
      </c>
      <c r="C2896" s="2" t="str">
        <f ca="1">IFERROR(__xludf.DUMMYFUNCTION("""COMPUTED_VALUE"""),"Building")</f>
        <v>Building</v>
      </c>
      <c r="D2896" s="2" t="str">
        <f ca="1">IFERROR(__xludf.DUMMYFUNCTION("""COMPUTED_VALUE"""),"Dubai&gt;Jumeirah Village Circle (JVC)&gt;JVC District 14&gt;Emirates Gardens 2&gt;Maple 2")</f>
        <v>Dubai&gt;Jumeirah Village Circle (JVC)&gt;JVC District 14&gt;Emirates Gardens 2&gt;Maple 2</v>
      </c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</row>
    <row r="2897" spans="1:26" ht="16.5" x14ac:dyDescent="0.35">
      <c r="A2897" s="2" t="str">
        <f ca="1">IFERROR(__xludf.DUMMYFUNCTION("""COMPUTED_VALUE"""),"Dubai")</f>
        <v>Dubai</v>
      </c>
      <c r="B2897" s="2" t="str">
        <f ca="1">IFERROR(__xludf.DUMMYFUNCTION("""COMPUTED_VALUE"""),"Sandoval Lane")</f>
        <v>Sandoval Lane</v>
      </c>
      <c r="C2897" s="2" t="str">
        <f ca="1">IFERROR(__xludf.DUMMYFUNCTION("""COMPUTED_VALUE"""),"Neighbourhood")</f>
        <v>Neighbourhood</v>
      </c>
      <c r="D2897" s="2" t="str">
        <f ca="1">IFERROR(__xludf.DUMMYFUNCTION("""COMPUTED_VALUE"""),"Dubai&gt;Jumeirah Village Circle (JVC)&gt;JVC District 14&gt;Sandoval Lane")</f>
        <v>Dubai&gt;Jumeirah Village Circle (JVC)&gt;JVC District 14&gt;Sandoval Lane</v>
      </c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</row>
    <row r="2898" spans="1:26" ht="16.5" x14ac:dyDescent="0.35">
      <c r="A2898" s="2" t="str">
        <f ca="1">IFERROR(__xludf.DUMMYFUNCTION("""COMPUTED_VALUE"""),"Dubai")</f>
        <v>Dubai</v>
      </c>
      <c r="B2898" s="2" t="str">
        <f ca="1">IFERROR(__xludf.DUMMYFUNCTION("""COMPUTED_VALUE"""),"Electra")</f>
        <v>Electra</v>
      </c>
      <c r="C2898" s="2" t="str">
        <f ca="1">IFERROR(__xludf.DUMMYFUNCTION("""COMPUTED_VALUE"""),"Building")</f>
        <v>Building</v>
      </c>
      <c r="D2898" s="2" t="str">
        <f ca="1">IFERROR(__xludf.DUMMYFUNCTION("""COMPUTED_VALUE"""),"Dubai&gt;Jumeirah Village Circle (JVC)&gt;JVC District 14&gt;Electra")</f>
        <v>Dubai&gt;Jumeirah Village Circle (JVC)&gt;JVC District 14&gt;Electra</v>
      </c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</row>
    <row r="2899" spans="1:26" ht="16.5" x14ac:dyDescent="0.35">
      <c r="A2899" s="2" t="str">
        <f ca="1">IFERROR(__xludf.DUMMYFUNCTION("""COMPUTED_VALUE"""),"Dubai")</f>
        <v>Dubai</v>
      </c>
      <c r="B2899" s="2" t="str">
        <f ca="1">IFERROR(__xludf.DUMMYFUNCTION("""COMPUTED_VALUE"""),"Sondos Sage")</f>
        <v>Sondos Sage</v>
      </c>
      <c r="C2899" s="2" t="str">
        <f ca="1">IFERROR(__xludf.DUMMYFUNCTION("""COMPUTED_VALUE"""),"Building")</f>
        <v>Building</v>
      </c>
      <c r="D2899" s="2" t="str">
        <f ca="1">IFERROR(__xludf.DUMMYFUNCTION("""COMPUTED_VALUE"""),"Dubai&gt;Dubai Land Residence Complex&gt;Sondos Sage")</f>
        <v>Dubai&gt;Dubai Land Residence Complex&gt;Sondos Sage</v>
      </c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</row>
    <row r="2900" spans="1:26" ht="16.5" x14ac:dyDescent="0.35">
      <c r="A2900" s="2" t="str">
        <f ca="1">IFERROR(__xludf.DUMMYFUNCTION("""COMPUTED_VALUE"""),"Dubai")</f>
        <v>Dubai</v>
      </c>
      <c r="B2900" s="2" t="str">
        <f ca="1">IFERROR(__xludf.DUMMYFUNCTION("""COMPUTED_VALUE"""),"Edison House")</f>
        <v>Edison House</v>
      </c>
      <c r="C2900" s="2" t="str">
        <f ca="1">IFERROR(__xludf.DUMMYFUNCTION("""COMPUTED_VALUE"""),"Building")</f>
        <v>Building</v>
      </c>
      <c r="D2900" s="2" t="str">
        <f ca="1">IFERROR(__xludf.DUMMYFUNCTION("""COMPUTED_VALUE"""),"Dubai&gt;Dubai Land Residence Complex&gt;Edison House")</f>
        <v>Dubai&gt;Dubai Land Residence Complex&gt;Edison House</v>
      </c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</row>
    <row r="2901" spans="1:26" ht="16.5" x14ac:dyDescent="0.35">
      <c r="A2901" s="2" t="str">
        <f ca="1">IFERROR(__xludf.DUMMYFUNCTION("""COMPUTED_VALUE"""),"Dubai")</f>
        <v>Dubai</v>
      </c>
      <c r="B2901" s="2" t="str">
        <f ca="1">IFERROR(__xludf.DUMMYFUNCTION("""COMPUTED_VALUE"""),"A 99")</f>
        <v>A 99</v>
      </c>
      <c r="C2901" s="2" t="str">
        <f ca="1">IFERROR(__xludf.DUMMYFUNCTION("""COMPUTED_VALUE"""),"Building")</f>
        <v>Building</v>
      </c>
      <c r="D2901" s="2" t="str">
        <f ca="1">IFERROR(__xludf.DUMMYFUNCTION("""COMPUTED_VALUE"""),"Dubai&gt;Dubai Land Residence Complex&gt;A 99")</f>
        <v>Dubai&gt;Dubai Land Residence Complex&gt;A 99</v>
      </c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</row>
    <row r="2902" spans="1:26" ht="16.5" x14ac:dyDescent="0.35">
      <c r="A2902" s="2" t="str">
        <f ca="1">IFERROR(__xludf.DUMMYFUNCTION("""COMPUTED_VALUE"""),"Dubai")</f>
        <v>Dubai</v>
      </c>
      <c r="B2902" s="2" t="str">
        <f ca="1">IFERROR(__xludf.DUMMYFUNCTION("""COMPUTED_VALUE"""),"VERDAN1A 1")</f>
        <v>VERDAN1A 1</v>
      </c>
      <c r="C2902" s="2" t="str">
        <f ca="1">IFERROR(__xludf.DUMMYFUNCTION("""COMPUTED_VALUE"""),"Building")</f>
        <v>Building</v>
      </c>
      <c r="D2902" s="2" t="str">
        <f ca="1">IFERROR(__xludf.DUMMYFUNCTION("""COMPUTED_VALUE"""),"Dubai&gt;Dubai Land Residence Complex&gt;VERDAN1A 1")</f>
        <v>Dubai&gt;Dubai Land Residence Complex&gt;VERDAN1A 1</v>
      </c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</row>
    <row r="2903" spans="1:26" ht="16.5" x14ac:dyDescent="0.35">
      <c r="A2903" s="2" t="str">
        <f ca="1">IFERROR(__xludf.DUMMYFUNCTION("""COMPUTED_VALUE"""),"Dubai")</f>
        <v>Dubai</v>
      </c>
      <c r="B2903" s="2" t="str">
        <f ca="1">IFERROR(__xludf.DUMMYFUNCTION("""COMPUTED_VALUE"""),"Veona by Gutti")</f>
        <v>Veona by Gutti</v>
      </c>
      <c r="C2903" s="2" t="str">
        <f ca="1">IFERROR(__xludf.DUMMYFUNCTION("""COMPUTED_VALUE"""),"Building")</f>
        <v>Building</v>
      </c>
      <c r="D2903" s="2" t="str">
        <f ca="1">IFERROR(__xludf.DUMMYFUNCTION("""COMPUTED_VALUE"""),"Dubai&gt;Dubai Land Residence Complex&gt;Veona by Gutti")</f>
        <v>Dubai&gt;Dubai Land Residence Complex&gt;Veona by Gutti</v>
      </c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</row>
    <row r="2904" spans="1:26" ht="16.5" x14ac:dyDescent="0.35">
      <c r="A2904" s="2" t="str">
        <f ca="1">IFERROR(__xludf.DUMMYFUNCTION("""COMPUTED_VALUE"""),"Dubai")</f>
        <v>Dubai</v>
      </c>
      <c r="B2904" s="2" t="str">
        <f ca="1">IFERROR(__xludf.DUMMYFUNCTION("""COMPUTED_VALUE"""),"Ghoroob Mirdif")</f>
        <v>Ghoroob Mirdif</v>
      </c>
      <c r="C2904" s="2" t="str">
        <f ca="1">IFERROR(__xludf.DUMMYFUNCTION("""COMPUTED_VALUE"""),"Neighbourhood")</f>
        <v>Neighbourhood</v>
      </c>
      <c r="D2904" s="2" t="str">
        <f ca="1">IFERROR(__xludf.DUMMYFUNCTION("""COMPUTED_VALUE"""),"Dubai&gt;Mirdif&gt;Ghoroob Mirdif")</f>
        <v>Dubai&gt;Mirdif&gt;Ghoroob Mirdif</v>
      </c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</row>
    <row r="2905" spans="1:26" ht="16.5" x14ac:dyDescent="0.35">
      <c r="A2905" s="2" t="str">
        <f ca="1">IFERROR(__xludf.DUMMYFUNCTION("""COMPUTED_VALUE"""),"Dubai")</f>
        <v>Dubai</v>
      </c>
      <c r="B2905" s="2" t="str">
        <f ca="1">IFERROR(__xludf.DUMMYFUNCTION("""COMPUTED_VALUE"""),"Avenue by YA")</f>
        <v>Avenue by YA</v>
      </c>
      <c r="C2905" s="2" t="str">
        <f ca="1">IFERROR(__xludf.DUMMYFUNCTION("""COMPUTED_VALUE"""),"Building")</f>
        <v>Building</v>
      </c>
      <c r="D2905" s="2" t="str">
        <f ca="1">IFERROR(__xludf.DUMMYFUNCTION("""COMPUTED_VALUE"""),"Dubai&gt;Mirdif&gt;Avenue by YA")</f>
        <v>Dubai&gt;Mirdif&gt;Avenue by YA</v>
      </c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</row>
    <row r="2906" spans="1:26" ht="16.5" x14ac:dyDescent="0.35">
      <c r="A2906" s="2" t="str">
        <f ca="1">IFERROR(__xludf.DUMMYFUNCTION("""COMPUTED_VALUE"""),"Dubai")</f>
        <v>Dubai</v>
      </c>
      <c r="B2906" s="2" t="str">
        <f ca="1">IFERROR(__xludf.DUMMYFUNCTION("""COMPUTED_VALUE"""),"Ghadeer 1")</f>
        <v>Ghadeer 1</v>
      </c>
      <c r="C2906" s="2" t="str">
        <f ca="1">IFERROR(__xludf.DUMMYFUNCTION("""COMPUTED_VALUE"""),"Neighbourhood")</f>
        <v>Neighbourhood</v>
      </c>
      <c r="D2906" s="2" t="str">
        <f ca="1">IFERROR(__xludf.DUMMYFUNCTION("""COMPUTED_VALUE"""),"Dubai&gt;The Lakes&gt;Ghadeer&gt;Ghadeer 1")</f>
        <v>Dubai&gt;The Lakes&gt;Ghadeer&gt;Ghadeer 1</v>
      </c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</row>
    <row r="2907" spans="1:26" ht="16.5" x14ac:dyDescent="0.35">
      <c r="A2907" s="2" t="str">
        <f ca="1">IFERROR(__xludf.DUMMYFUNCTION("""COMPUTED_VALUE"""),"Dubai")</f>
        <v>Dubai</v>
      </c>
      <c r="B2907" s="2" t="str">
        <f ca="1">IFERROR(__xludf.DUMMYFUNCTION("""COMPUTED_VALUE"""),"Dubai Building Cooperative Society")</f>
        <v>Dubai Building Cooperative Society</v>
      </c>
      <c r="C2907" s="2" t="str">
        <f ca="1">IFERROR(__xludf.DUMMYFUNCTION("""COMPUTED_VALUE"""),"Building")</f>
        <v>Building</v>
      </c>
      <c r="D2907" s="2" t="str">
        <f ca="1">IFERROR(__xludf.DUMMYFUNCTION("""COMPUTED_VALUE"""),"Dubai&gt;Al Garhoud&gt;Dubai Building Cooperative Society")</f>
        <v>Dubai&gt;Al Garhoud&gt;Dubai Building Cooperative Society</v>
      </c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</row>
    <row r="2908" spans="1:26" ht="16.5" x14ac:dyDescent="0.35">
      <c r="A2908" s="2" t="str">
        <f ca="1">IFERROR(__xludf.DUMMYFUNCTION("""COMPUTED_VALUE"""),"Dubai")</f>
        <v>Dubai</v>
      </c>
      <c r="B2908" s="2" t="str">
        <f ca="1">IFERROR(__xludf.DUMMYFUNCTION("""COMPUTED_VALUE"""),"The Arcade")</f>
        <v>The Arcade</v>
      </c>
      <c r="C2908" s="2" t="str">
        <f ca="1">IFERROR(__xludf.DUMMYFUNCTION("""COMPUTED_VALUE"""),"Building")</f>
        <v>Building</v>
      </c>
      <c r="D2908" s="2" t="str">
        <f ca="1">IFERROR(__xludf.DUMMYFUNCTION("""COMPUTED_VALUE"""),"Dubai&gt;Al Garhoud&gt;The Arcade")</f>
        <v>Dubai&gt;Al Garhoud&gt;The Arcade</v>
      </c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</row>
    <row r="2909" spans="1:26" ht="16.5" x14ac:dyDescent="0.35">
      <c r="A2909" s="2" t="str">
        <f ca="1">IFERROR(__xludf.DUMMYFUNCTION("""COMPUTED_VALUE"""),"Dubai")</f>
        <v>Dubai</v>
      </c>
      <c r="B2909" s="2" t="str">
        <f ca="1">IFERROR(__xludf.DUMMYFUNCTION("""COMPUTED_VALUE"""),"Jumeirah Islands")</f>
        <v>Jumeirah Islands</v>
      </c>
      <c r="C2909" s="2" t="str">
        <f ca="1">IFERROR(__xludf.DUMMYFUNCTION("""COMPUTED_VALUE"""),"Neighbourhood")</f>
        <v>Neighbourhood</v>
      </c>
      <c r="D2909" s="2" t="str">
        <f ca="1">IFERROR(__xludf.DUMMYFUNCTION("""COMPUTED_VALUE"""),"Dubai&gt;Jumeirah Islands")</f>
        <v>Dubai&gt;Jumeirah Islands</v>
      </c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</row>
    <row r="2910" spans="1:26" ht="16.5" x14ac:dyDescent="0.35">
      <c r="A2910" s="2" t="str">
        <f ca="1">IFERROR(__xludf.DUMMYFUNCTION("""COMPUTED_VALUE"""),"Dubai")</f>
        <v>Dubai</v>
      </c>
      <c r="B2910" s="2" t="str">
        <f ca="1">IFERROR(__xludf.DUMMYFUNCTION("""COMPUTED_VALUE"""),"Cluster 35")</f>
        <v>Cluster 35</v>
      </c>
      <c r="C2910" s="2" t="str">
        <f ca="1">IFERROR(__xludf.DUMMYFUNCTION("""COMPUTED_VALUE"""),"Neighbourhood")</f>
        <v>Neighbourhood</v>
      </c>
      <c r="D2910" s="2" t="str">
        <f ca="1">IFERROR(__xludf.DUMMYFUNCTION("""COMPUTED_VALUE"""),"Dubai&gt;Jumeirah Islands&gt;Cluster 35")</f>
        <v>Dubai&gt;Jumeirah Islands&gt;Cluster 35</v>
      </c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</row>
    <row r="2911" spans="1:26" ht="16.5" x14ac:dyDescent="0.35">
      <c r="A2911" s="2" t="str">
        <f ca="1">IFERROR(__xludf.DUMMYFUNCTION("""COMPUTED_VALUE"""),"Dubai")</f>
        <v>Dubai</v>
      </c>
      <c r="B2911" s="2" t="str">
        <f ca="1">IFERROR(__xludf.DUMMYFUNCTION("""COMPUTED_VALUE"""),"Garden West Apartments F")</f>
        <v>Garden West Apartments F</v>
      </c>
      <c r="C2911" s="2" t="str">
        <f ca="1">IFERROR(__xludf.DUMMYFUNCTION("""COMPUTED_VALUE"""),"Building")</f>
        <v>Building</v>
      </c>
      <c r="D2911" s="2" t="str">
        <f ca="1">IFERROR(__xludf.DUMMYFUNCTION("""COMPUTED_VALUE"""),"Dubai&gt;Green Community&gt;Garden West Apartments&gt;Garden West Apartments F")</f>
        <v>Dubai&gt;Green Community&gt;Garden West Apartments&gt;Garden West Apartments F</v>
      </c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</row>
    <row r="2912" spans="1:26" ht="16.5" x14ac:dyDescent="0.35">
      <c r="A2912" s="2" t="str">
        <f ca="1">IFERROR(__xludf.DUMMYFUNCTION("""COMPUTED_VALUE"""),"Dubai")</f>
        <v>Dubai</v>
      </c>
      <c r="B2912" s="2" t="str">
        <f ca="1">IFERROR(__xludf.DUMMYFUNCTION("""COMPUTED_VALUE"""),"Address Residences Zabeel Tower 3")</f>
        <v>Address Residences Zabeel Tower 3</v>
      </c>
      <c r="C2912" s="2" t="str">
        <f ca="1">IFERROR(__xludf.DUMMYFUNCTION("""COMPUTED_VALUE"""),"Building")</f>
        <v>Building</v>
      </c>
      <c r="D2912" s="2" t="str">
        <f ca="1">IFERROR(__xludf.DUMMYFUNCTION("""COMPUTED_VALUE"""),"Dubai&gt;Za'abeel&gt;Za'abeel 1&gt;Address Residences Zabeel&gt;Address Residences Zabeel Tower 3")</f>
        <v>Dubai&gt;Za'abeel&gt;Za'abeel 1&gt;Address Residences Zabeel&gt;Address Residences Zabeel Tower 3</v>
      </c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</row>
    <row r="2913" spans="1:26" ht="16.5" x14ac:dyDescent="0.35">
      <c r="A2913" s="2" t="str">
        <f ca="1">IFERROR(__xludf.DUMMYFUNCTION("""COMPUTED_VALUE"""),"Dubai")</f>
        <v>Dubai</v>
      </c>
      <c r="B2913" s="2" t="str">
        <f ca="1">IFERROR(__xludf.DUMMYFUNCTION("""COMPUTED_VALUE"""),"The Fresh Market")</f>
        <v>The Fresh Market</v>
      </c>
      <c r="C2913" s="2" t="str">
        <f ca="1">IFERROR(__xludf.DUMMYFUNCTION("""COMPUTED_VALUE"""),"Neighbourhood")</f>
        <v>Neighbourhood</v>
      </c>
      <c r="D2913" s="2" t="str">
        <f ca="1">IFERROR(__xludf.DUMMYFUNCTION("""COMPUTED_VALUE"""),"Dubai&gt;Ras Al Khor&gt;Ras Al Khor Industrial&gt;Ras Al Khor Industrial 3&gt;The Fresh Market")</f>
        <v>Dubai&gt;Ras Al Khor&gt;Ras Al Khor Industrial&gt;Ras Al Khor Industrial 3&gt;The Fresh Market</v>
      </c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</row>
    <row r="2914" spans="1:26" ht="16.5" x14ac:dyDescent="0.35">
      <c r="A2914" s="2" t="str">
        <f ca="1">IFERROR(__xludf.DUMMYFUNCTION("""COMPUTED_VALUE"""),"Dubai")</f>
        <v>Dubai</v>
      </c>
      <c r="B2914" s="2" t="str">
        <f ca="1">IFERROR(__xludf.DUMMYFUNCTION("""COMPUTED_VALUE"""),"Rove at The Park")</f>
        <v>Rove at The Park</v>
      </c>
      <c r="C2914" s="2" t="str">
        <f ca="1">IFERROR(__xludf.DUMMYFUNCTION("""COMPUTED_VALUE"""),"Building")</f>
        <v>Building</v>
      </c>
      <c r="D2914" s="2" t="str">
        <f ca="1">IFERROR(__xludf.DUMMYFUNCTION("""COMPUTED_VALUE"""),"Dubai&gt;Jebel Ali&gt;Rove at The Park")</f>
        <v>Dubai&gt;Jebel Ali&gt;Rove at The Park</v>
      </c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</row>
    <row r="2915" spans="1:26" ht="16.5" x14ac:dyDescent="0.35">
      <c r="A2915" s="2" t="str">
        <f ca="1">IFERROR(__xludf.DUMMYFUNCTION("""COMPUTED_VALUE"""),"Dubai")</f>
        <v>Dubai</v>
      </c>
      <c r="B2915" s="2" t="str">
        <f ca="1">IFERROR(__xludf.DUMMYFUNCTION("""COMPUTED_VALUE"""),"Jebel Ali Industrial Area 2")</f>
        <v>Jebel Ali Industrial Area 2</v>
      </c>
      <c r="C2915" s="2" t="str">
        <f ca="1">IFERROR(__xludf.DUMMYFUNCTION("""COMPUTED_VALUE"""),"Neighbourhood")</f>
        <v>Neighbourhood</v>
      </c>
      <c r="D2915" s="2" t="str">
        <f ca="1">IFERROR(__xludf.DUMMYFUNCTION("""COMPUTED_VALUE"""),"Dubai&gt;Jebel Ali&gt;Jebel Ali Industrial Area&gt;Jebel Ali Industrial Area 2")</f>
        <v>Dubai&gt;Jebel Ali&gt;Jebel Ali Industrial Area&gt;Jebel Ali Industrial Area 2</v>
      </c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</row>
    <row r="2916" spans="1:26" ht="16.5" x14ac:dyDescent="0.35">
      <c r="A2916" s="2" t="str">
        <f ca="1">IFERROR(__xludf.DUMMYFUNCTION("""COMPUTED_VALUE"""),"Dubai")</f>
        <v>Dubai</v>
      </c>
      <c r="B2916" s="2" t="str">
        <f ca="1">IFERROR(__xludf.DUMMYFUNCTION("""COMPUTED_VALUE"""),"The City School International")</f>
        <v>The City School International</v>
      </c>
      <c r="C2916" s="2" t="str">
        <f ca="1">IFERROR(__xludf.DUMMYFUNCTION("""COMPUTED_VALUE"""),"School")</f>
        <v>School</v>
      </c>
      <c r="D2916" s="2" t="str">
        <f ca="1">IFERROR(__xludf.DUMMYFUNCTION("""COMPUTED_VALUE"""),"Dubai&gt;Nad Al Hamar&gt;The City School International")</f>
        <v>Dubai&gt;Nad Al Hamar&gt;The City School International</v>
      </c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</row>
    <row r="2917" spans="1:26" ht="16.5" x14ac:dyDescent="0.35">
      <c r="A2917" s="2" t="str">
        <f ca="1">IFERROR(__xludf.DUMMYFUNCTION("""COMPUTED_VALUE"""),"Dubai")</f>
        <v>Dubai</v>
      </c>
      <c r="B2917" s="2" t="str">
        <f ca="1">IFERROR(__xludf.DUMMYFUNCTION("""COMPUTED_VALUE"""),"Bashayer 3")</f>
        <v>Bashayer 3</v>
      </c>
      <c r="C2917" s="2" t="str">
        <f ca="1">IFERROR(__xludf.DUMMYFUNCTION("""COMPUTED_VALUE"""),"Building")</f>
        <v>Building</v>
      </c>
      <c r="D2917" s="2" t="str">
        <f ca="1">IFERROR(__xludf.DUMMYFUNCTION("""COMPUTED_VALUE"""),"Dubai&gt;Nad Al Hamar&gt;Bashayer 3")</f>
        <v>Dubai&gt;Nad Al Hamar&gt;Bashayer 3</v>
      </c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</row>
    <row r="2918" spans="1:26" ht="16.5" x14ac:dyDescent="0.35">
      <c r="A2918" s="2" t="str">
        <f ca="1">IFERROR(__xludf.DUMMYFUNCTION("""COMPUTED_VALUE"""),"Dubai")</f>
        <v>Dubai</v>
      </c>
      <c r="B2918" s="2" t="str">
        <f ca="1">IFERROR(__xludf.DUMMYFUNCTION("""COMPUTED_VALUE"""),"Al Maktab Building")</f>
        <v>Al Maktab Building</v>
      </c>
      <c r="C2918" s="2" t="str">
        <f ca="1">IFERROR(__xludf.DUMMYFUNCTION("""COMPUTED_VALUE"""),"Building")</f>
        <v>Building</v>
      </c>
      <c r="D2918" s="2" t="str">
        <f ca="1">IFERROR(__xludf.DUMMYFUNCTION("""COMPUTED_VALUE"""),"Dubai&gt;Al Barsha&gt;Al Barsha 1&gt;Al Maktab Building")</f>
        <v>Dubai&gt;Al Barsha&gt;Al Barsha 1&gt;Al Maktab Building</v>
      </c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</row>
    <row r="2919" spans="1:26" ht="16.5" x14ac:dyDescent="0.35">
      <c r="A2919" s="2" t="str">
        <f ca="1">IFERROR(__xludf.DUMMYFUNCTION("""COMPUTED_VALUE"""),"Dubai")</f>
        <v>Dubai</v>
      </c>
      <c r="B2919" s="2" t="str">
        <f ca="1">IFERROR(__xludf.DUMMYFUNCTION("""COMPUTED_VALUE"""),"Shaibani 1 Building")</f>
        <v>Shaibani 1 Building</v>
      </c>
      <c r="C2919" s="2" t="str">
        <f ca="1">IFERROR(__xludf.DUMMYFUNCTION("""COMPUTED_VALUE"""),"Building")</f>
        <v>Building</v>
      </c>
      <c r="D2919" s="2" t="str">
        <f ca="1">IFERROR(__xludf.DUMMYFUNCTION("""COMPUTED_VALUE"""),"Dubai&gt;Al Barsha&gt;Al Barsha 1&gt;Shaibani 1 Building")</f>
        <v>Dubai&gt;Al Barsha&gt;Al Barsha 1&gt;Shaibani 1 Building</v>
      </c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</row>
    <row r="2920" spans="1:26" ht="16.5" x14ac:dyDescent="0.35">
      <c r="A2920" s="2" t="str">
        <f ca="1">IFERROR(__xludf.DUMMYFUNCTION("""COMPUTED_VALUE"""),"Dubai")</f>
        <v>Dubai</v>
      </c>
      <c r="B2920" s="2" t="str">
        <f ca="1">IFERROR(__xludf.DUMMYFUNCTION("""COMPUTED_VALUE"""),"Al Barsha Star")</f>
        <v>Al Barsha Star</v>
      </c>
      <c r="C2920" s="2" t="str">
        <f ca="1">IFERROR(__xludf.DUMMYFUNCTION("""COMPUTED_VALUE"""),"Building")</f>
        <v>Building</v>
      </c>
      <c r="D2920" s="2" t="str">
        <f ca="1">IFERROR(__xludf.DUMMYFUNCTION("""COMPUTED_VALUE"""),"Dubai&gt;Al Barsha&gt;Al Barsha 1&gt;Al Barsha Star")</f>
        <v>Dubai&gt;Al Barsha&gt;Al Barsha 1&gt;Al Barsha Star</v>
      </c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</row>
    <row r="2921" spans="1:26" ht="16.5" x14ac:dyDescent="0.35">
      <c r="A2921" s="2" t="str">
        <f ca="1">IFERROR(__xludf.DUMMYFUNCTION("""COMPUTED_VALUE"""),"Dubai")</f>
        <v>Dubai</v>
      </c>
      <c r="B2921" s="2" t="str">
        <f ca="1">IFERROR(__xludf.DUMMYFUNCTION("""COMPUTED_VALUE"""),"Casablanca 1")</f>
        <v>Casablanca 1</v>
      </c>
      <c r="C2921" s="2" t="str">
        <f ca="1">IFERROR(__xludf.DUMMYFUNCTION("""COMPUTED_VALUE"""),"Neighbourhood")</f>
        <v>Neighbourhood</v>
      </c>
      <c r="D2921" s="2" t="str">
        <f ca="1">IFERROR(__xludf.DUMMYFUNCTION("""COMPUTED_VALUE"""),"Dubai&gt;Al Barsha&gt;Al Barsha 1&gt;Casablanca 1")</f>
        <v>Dubai&gt;Al Barsha&gt;Al Barsha 1&gt;Casablanca 1</v>
      </c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</row>
    <row r="2922" spans="1:26" ht="16.5" x14ac:dyDescent="0.35">
      <c r="A2922" s="2" t="str">
        <f ca="1">IFERROR(__xludf.DUMMYFUNCTION("""COMPUTED_VALUE"""),"Dubai")</f>
        <v>Dubai</v>
      </c>
      <c r="B2922" s="2" t="str">
        <f ca="1">IFERROR(__xludf.DUMMYFUNCTION("""COMPUTED_VALUE"""),"La Villa Najd Hotel Apartments")</f>
        <v>La Villa Najd Hotel Apartments</v>
      </c>
      <c r="C2922" s="2" t="str">
        <f ca="1">IFERROR(__xludf.DUMMYFUNCTION("""COMPUTED_VALUE"""),"Building")</f>
        <v>Building</v>
      </c>
      <c r="D2922" s="2" t="str">
        <f ca="1">IFERROR(__xludf.DUMMYFUNCTION("""COMPUTED_VALUE"""),"Dubai&gt;Al Barsha&gt;Al Barsha 1&gt;La Villa Najd Hotel Apartments")</f>
        <v>Dubai&gt;Al Barsha&gt;Al Barsha 1&gt;La Villa Najd Hotel Apartments</v>
      </c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</row>
    <row r="2923" spans="1:26" ht="16.5" x14ac:dyDescent="0.35">
      <c r="A2923" s="2" t="str">
        <f ca="1">IFERROR(__xludf.DUMMYFUNCTION("""COMPUTED_VALUE"""),"Dubai")</f>
        <v>Dubai</v>
      </c>
      <c r="B2923" s="2" t="str">
        <f ca="1">IFERROR(__xludf.DUMMYFUNCTION("""COMPUTED_VALUE"""),"Travellers Hotel Apartments")</f>
        <v>Travellers Hotel Apartments</v>
      </c>
      <c r="C2923" s="2" t="str">
        <f ca="1">IFERROR(__xludf.DUMMYFUNCTION("""COMPUTED_VALUE"""),"Building")</f>
        <v>Building</v>
      </c>
      <c r="D2923" s="2" t="str">
        <f ca="1">IFERROR(__xludf.DUMMYFUNCTION("""COMPUTED_VALUE"""),"Dubai&gt;Al Barsha&gt;Al Barsha 1&gt;Travellers Hotel Apartments")</f>
        <v>Dubai&gt;Al Barsha&gt;Al Barsha 1&gt;Travellers Hotel Apartments</v>
      </c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</row>
    <row r="2924" spans="1:26" ht="16.5" x14ac:dyDescent="0.35">
      <c r="A2924" s="2" t="str">
        <f ca="1">IFERROR(__xludf.DUMMYFUNCTION("""COMPUTED_VALUE"""),"Dubai")</f>
        <v>Dubai</v>
      </c>
      <c r="B2924" s="2" t="str">
        <f ca="1">IFERROR(__xludf.DUMMYFUNCTION("""COMPUTED_VALUE"""),"Grey Building")</f>
        <v>Grey Building</v>
      </c>
      <c r="C2924" s="2" t="str">
        <f ca="1">IFERROR(__xludf.DUMMYFUNCTION("""COMPUTED_VALUE"""),"Building")</f>
        <v>Building</v>
      </c>
      <c r="D2924" s="2" t="str">
        <f ca="1">IFERROR(__xludf.DUMMYFUNCTION("""COMPUTED_VALUE"""),"Dubai&gt;Al Barsha&gt;Al Barsha 1&gt;Grey Building")</f>
        <v>Dubai&gt;Al Barsha&gt;Al Barsha 1&gt;Grey Building</v>
      </c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</row>
    <row r="2925" spans="1:26" ht="16.5" x14ac:dyDescent="0.35">
      <c r="A2925" s="2" t="str">
        <f ca="1">IFERROR(__xludf.DUMMYFUNCTION("""COMPUTED_VALUE"""),"Dubai")</f>
        <v>Dubai</v>
      </c>
      <c r="B2925" s="2" t="str">
        <f ca="1">IFERROR(__xludf.DUMMYFUNCTION("""COMPUTED_VALUE"""),"Al Faraidooni Building")</f>
        <v>Al Faraidooni Building</v>
      </c>
      <c r="C2925" s="2" t="str">
        <f ca="1">IFERROR(__xludf.DUMMYFUNCTION("""COMPUTED_VALUE"""),"Building")</f>
        <v>Building</v>
      </c>
      <c r="D2925" s="2" t="str">
        <f ca="1">IFERROR(__xludf.DUMMYFUNCTION("""COMPUTED_VALUE"""),"Dubai&gt;Al Barsha&gt;Al Barsha 1&gt;Al Faraidooni Building")</f>
        <v>Dubai&gt;Al Barsha&gt;Al Barsha 1&gt;Al Faraidooni Building</v>
      </c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</row>
    <row r="2926" spans="1:26" ht="16.5" x14ac:dyDescent="0.35">
      <c r="A2926" s="2" t="str">
        <f ca="1">IFERROR(__xludf.DUMMYFUNCTION("""COMPUTED_VALUE"""),"Dubai")</f>
        <v>Dubai</v>
      </c>
      <c r="B2926" s="2" t="str">
        <f ca="1">IFERROR(__xludf.DUMMYFUNCTION("""COMPUTED_VALUE"""),"La Rosa Residence")</f>
        <v>La Rosa Residence</v>
      </c>
      <c r="C2926" s="2" t="str">
        <f ca="1">IFERROR(__xludf.DUMMYFUNCTION("""COMPUTED_VALUE"""),"Building")</f>
        <v>Building</v>
      </c>
      <c r="D2926" s="2" t="str">
        <f ca="1">IFERROR(__xludf.DUMMYFUNCTION("""COMPUTED_VALUE"""),"Dubai&gt;Al Barsha&gt;Al Barsha 1&gt;La Rosa Residence")</f>
        <v>Dubai&gt;Al Barsha&gt;Al Barsha 1&gt;La Rosa Residence</v>
      </c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</row>
    <row r="2927" spans="1:26" ht="16.5" x14ac:dyDescent="0.35">
      <c r="A2927" s="2" t="str">
        <f ca="1">IFERROR(__xludf.DUMMYFUNCTION("""COMPUTED_VALUE"""),"Dubai")</f>
        <v>Dubai</v>
      </c>
      <c r="B2927" s="2" t="str">
        <f ca="1">IFERROR(__xludf.DUMMYFUNCTION("""COMPUTED_VALUE"""),"Sajaya Plaza")</f>
        <v>Sajaya Plaza</v>
      </c>
      <c r="C2927" s="2" t="str">
        <f ca="1">IFERROR(__xludf.DUMMYFUNCTION("""COMPUTED_VALUE"""),"Building")</f>
        <v>Building</v>
      </c>
      <c r="D2927" s="2" t="str">
        <f ca="1">IFERROR(__xludf.DUMMYFUNCTION("""COMPUTED_VALUE"""),"Dubai&gt;Al Barsha&gt;Al Barsha 3&gt;Sajaya Plaza")</f>
        <v>Dubai&gt;Al Barsha&gt;Al Barsha 3&gt;Sajaya Plaza</v>
      </c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</row>
    <row r="2928" spans="1:26" ht="16.5" x14ac:dyDescent="0.35">
      <c r="A2928" s="2" t="str">
        <f ca="1">IFERROR(__xludf.DUMMYFUNCTION("""COMPUTED_VALUE"""),"Dubai")</f>
        <v>Dubai</v>
      </c>
      <c r="B2928" s="2" t="str">
        <f ca="1">IFERROR(__xludf.DUMMYFUNCTION("""COMPUTED_VALUE"""),"The Address Fountain Views Sky Collection 2")</f>
        <v>The Address Fountain Views Sky Collection 2</v>
      </c>
      <c r="C2928" s="2" t="str">
        <f ca="1">IFERROR(__xludf.DUMMYFUNCTION("""COMPUTED_VALUE"""),"Building")</f>
        <v>Building</v>
      </c>
      <c r="D2928" s="2" t="str">
        <f ca="1">IFERROR(__xludf.DUMMYFUNCTION("""COMPUTED_VALUE"""),"Dubai&gt;Downtown Dubai&gt;Address Dubai Mall&gt;The Address Fountain Views Sky Collection 2")</f>
        <v>Dubai&gt;Downtown Dubai&gt;Address Dubai Mall&gt;The Address Fountain Views Sky Collection 2</v>
      </c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</row>
    <row r="2929" spans="1:26" ht="16.5" x14ac:dyDescent="0.35">
      <c r="A2929" s="2" t="str">
        <f ca="1">IFERROR(__xludf.DUMMYFUNCTION("""COMPUTED_VALUE"""),"Dubai")</f>
        <v>Dubai</v>
      </c>
      <c r="B2929" s="2" t="str">
        <f ca="1">IFERROR(__xludf.DUMMYFUNCTION("""COMPUTED_VALUE"""),"The Residences")</f>
        <v>The Residences</v>
      </c>
      <c r="C2929" s="2" t="str">
        <f ca="1">IFERROR(__xludf.DUMMYFUNCTION("""COMPUTED_VALUE"""),"Cluster")</f>
        <v>Cluster</v>
      </c>
      <c r="D2929" s="2" t="str">
        <f ca="1">IFERROR(__xludf.DUMMYFUNCTION("""COMPUTED_VALUE"""),"Dubai&gt;Downtown Dubai&gt;The Residences")</f>
        <v>Dubai&gt;Downtown Dubai&gt;The Residences</v>
      </c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</row>
    <row r="2930" spans="1:26" ht="16.5" x14ac:dyDescent="0.35">
      <c r="A2930" s="2" t="str">
        <f ca="1">IFERROR(__xludf.DUMMYFUNCTION("""COMPUTED_VALUE"""),"Dubai")</f>
        <v>Dubai</v>
      </c>
      <c r="B2930" s="2" t="str">
        <f ca="1">IFERROR(__xludf.DUMMYFUNCTION("""COMPUTED_VALUE"""),"Dunya Tower")</f>
        <v>Dunya Tower</v>
      </c>
      <c r="C2930" s="2" t="str">
        <f ca="1">IFERROR(__xludf.DUMMYFUNCTION("""COMPUTED_VALUE"""),"Building")</f>
        <v>Building</v>
      </c>
      <c r="D2930" s="2" t="str">
        <f ca="1">IFERROR(__xludf.DUMMYFUNCTION("""COMPUTED_VALUE"""),"Dubai&gt;Downtown Dubai&gt;Dunya Tower")</f>
        <v>Dubai&gt;Downtown Dubai&gt;Dunya Tower</v>
      </c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</row>
    <row r="2931" spans="1:26" ht="16.5" x14ac:dyDescent="0.35">
      <c r="A2931" s="2" t="str">
        <f ca="1">IFERROR(__xludf.DUMMYFUNCTION("""COMPUTED_VALUE"""),"Dubai")</f>
        <v>Dubai</v>
      </c>
      <c r="B2931" s="2" t="str">
        <f ca="1">IFERROR(__xludf.DUMMYFUNCTION("""COMPUTED_VALUE"""),"Podium Villas")</f>
        <v>Podium Villas</v>
      </c>
      <c r="C2931" s="2" t="str">
        <f ca="1">IFERROR(__xludf.DUMMYFUNCTION("""COMPUTED_VALUE"""),"Neighbourhood")</f>
        <v>Neighbourhood</v>
      </c>
      <c r="D2931" s="2" t="str">
        <f ca="1">IFERROR(__xludf.DUMMYFUNCTION("""COMPUTED_VALUE"""),"Dubai&gt;Downtown Dubai&gt;South Ridge&gt;Podium Villas")</f>
        <v>Dubai&gt;Downtown Dubai&gt;South Ridge&gt;Podium Villas</v>
      </c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</row>
    <row r="2932" spans="1:26" ht="16.5" x14ac:dyDescent="0.35">
      <c r="A2932" s="2" t="str">
        <f ca="1">IFERROR(__xludf.DUMMYFUNCTION("""COMPUTED_VALUE"""),"Dubai")</f>
        <v>Dubai</v>
      </c>
      <c r="B2932" s="2" t="str">
        <f ca="1">IFERROR(__xludf.DUMMYFUNCTION("""COMPUTED_VALUE"""),"Yansoon 6")</f>
        <v>Yansoon 6</v>
      </c>
      <c r="C2932" s="2" t="str">
        <f ca="1">IFERROR(__xludf.DUMMYFUNCTION("""COMPUTED_VALUE"""),"Building")</f>
        <v>Building</v>
      </c>
      <c r="D2932" s="2" t="str">
        <f ca="1">IFERROR(__xludf.DUMMYFUNCTION("""COMPUTED_VALUE"""),"Dubai&gt;Downtown Dubai&gt;Old Town&gt;Yansoon&gt;Yansoon 6")</f>
        <v>Dubai&gt;Downtown Dubai&gt;Old Town&gt;Yansoon&gt;Yansoon 6</v>
      </c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</row>
    <row r="2933" spans="1:26" ht="16.5" x14ac:dyDescent="0.35">
      <c r="A2933" s="2" t="str">
        <f ca="1">IFERROR(__xludf.DUMMYFUNCTION("""COMPUTED_VALUE"""),"Dubai")</f>
        <v>Dubai</v>
      </c>
      <c r="B2933" s="2" t="str">
        <f ca="1">IFERROR(__xludf.DUMMYFUNCTION("""COMPUTED_VALUE"""),"Elegance Tower")</f>
        <v>Elegance Tower</v>
      </c>
      <c r="C2933" s="2" t="str">
        <f ca="1">IFERROR(__xludf.DUMMYFUNCTION("""COMPUTED_VALUE"""),"Building")</f>
        <v>Building</v>
      </c>
      <c r="D2933" s="2" t="str">
        <f ca="1">IFERROR(__xludf.DUMMYFUNCTION("""COMPUTED_VALUE"""),"Dubai&gt;Downtown Dubai&gt;Elegance Tower")</f>
        <v>Dubai&gt;Downtown Dubai&gt;Elegance Tower</v>
      </c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</row>
    <row r="2934" spans="1:26" ht="16.5" x14ac:dyDescent="0.35">
      <c r="A2934" s="2" t="str">
        <f ca="1">IFERROR(__xludf.DUMMYFUNCTION("""COMPUTED_VALUE"""),"Dubai")</f>
        <v>Dubai</v>
      </c>
      <c r="B2934" s="2" t="str">
        <f ca="1">IFERROR(__xludf.DUMMYFUNCTION("""COMPUTED_VALUE"""),"Forte")</f>
        <v>Forte</v>
      </c>
      <c r="C2934" s="2" t="str">
        <f ca="1">IFERROR(__xludf.DUMMYFUNCTION("""COMPUTED_VALUE"""),"Cluster")</f>
        <v>Cluster</v>
      </c>
      <c r="D2934" s="2" t="str">
        <f ca="1">IFERROR(__xludf.DUMMYFUNCTION("""COMPUTED_VALUE"""),"Dubai&gt;Downtown Dubai&gt;Forte")</f>
        <v>Dubai&gt;Downtown Dubai&gt;Forte</v>
      </c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</row>
    <row r="2935" spans="1:26" ht="16.5" x14ac:dyDescent="0.35">
      <c r="A2935" s="2" t="str">
        <f ca="1">IFERROR(__xludf.DUMMYFUNCTION("""COMPUTED_VALUE"""),"Dubai")</f>
        <v>Dubai</v>
      </c>
      <c r="B2935" s="2" t="str">
        <f ca="1">IFERROR(__xludf.DUMMYFUNCTION("""COMPUTED_VALUE"""),"Mazaya 4")</f>
        <v>Mazaya 4</v>
      </c>
      <c r="C2935" s="2" t="str">
        <f ca="1">IFERROR(__xludf.DUMMYFUNCTION("""COMPUTED_VALUE"""),"Building")</f>
        <v>Building</v>
      </c>
      <c r="D2935" s="2" t="str">
        <f ca="1">IFERROR(__xludf.DUMMYFUNCTION("""COMPUTED_VALUE"""),"Dubai&gt;Liwan&gt;Queue Point&gt;Mazaya 4")</f>
        <v>Dubai&gt;Liwan&gt;Queue Point&gt;Mazaya 4</v>
      </c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</row>
    <row r="2936" spans="1:26" ht="16.5" x14ac:dyDescent="0.35">
      <c r="A2936" s="2" t="str">
        <f ca="1">IFERROR(__xludf.DUMMYFUNCTION("""COMPUTED_VALUE"""),"Dubai")</f>
        <v>Dubai</v>
      </c>
      <c r="B2936" s="2" t="str">
        <f ca="1">IFERROR(__xludf.DUMMYFUNCTION("""COMPUTED_VALUE"""),"Albero by ORO24")</f>
        <v>Albero by ORO24</v>
      </c>
      <c r="C2936" s="2" t="str">
        <f ca="1">IFERROR(__xludf.DUMMYFUNCTION("""COMPUTED_VALUE"""),"Building")</f>
        <v>Building</v>
      </c>
      <c r="D2936" s="2" t="str">
        <f ca="1">IFERROR(__xludf.DUMMYFUNCTION("""COMPUTED_VALUE"""),"Dubai&gt;Liwan&gt;Albero by ORO24")</f>
        <v>Dubai&gt;Liwan&gt;Albero by ORO24</v>
      </c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</row>
    <row r="2937" spans="1:26" ht="16.5" x14ac:dyDescent="0.35">
      <c r="A2937" s="2" t="str">
        <f ca="1">IFERROR(__xludf.DUMMYFUNCTION("""COMPUTED_VALUE"""),"Dubai")</f>
        <v>Dubai</v>
      </c>
      <c r="B2937" s="2" t="str">
        <f ca="1">IFERROR(__xludf.DUMMYFUNCTION("""COMPUTED_VALUE"""),"Al Rais Building")</f>
        <v>Al Rais Building</v>
      </c>
      <c r="C2937" s="2" t="str">
        <f ca="1">IFERROR(__xludf.DUMMYFUNCTION("""COMPUTED_VALUE"""),"Building")</f>
        <v>Building</v>
      </c>
      <c r="D2937" s="2" t="str">
        <f ca="1">IFERROR(__xludf.DUMMYFUNCTION("""COMPUTED_VALUE"""),"Dubai&gt;Al Jafiliya&gt;Al Rais Building")</f>
        <v>Dubai&gt;Al Jafiliya&gt;Al Rais Building</v>
      </c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</row>
    <row r="2938" spans="1:26" ht="16.5" x14ac:dyDescent="0.35">
      <c r="A2938" s="2" t="str">
        <f ca="1">IFERROR(__xludf.DUMMYFUNCTION("""COMPUTED_VALUE"""),"Dubai")</f>
        <v>Dubai</v>
      </c>
      <c r="B2938" s="2" t="str">
        <f ca="1">IFERROR(__xludf.DUMMYFUNCTION("""COMPUTED_VALUE"""),"The Gate Village 6")</f>
        <v>The Gate Village 6</v>
      </c>
      <c r="C2938" s="2" t="str">
        <f ca="1">IFERROR(__xludf.DUMMYFUNCTION("""COMPUTED_VALUE"""),"Building")</f>
        <v>Building</v>
      </c>
      <c r="D2938" s="2" t="str">
        <f ca="1">IFERROR(__xludf.DUMMYFUNCTION("""COMPUTED_VALUE"""),"Dubai&gt;DIFC&gt;The Gate Village&gt;The Gate Village 6")</f>
        <v>Dubai&gt;DIFC&gt;The Gate Village&gt;The Gate Village 6</v>
      </c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</row>
    <row r="2939" spans="1:26" ht="16.5" x14ac:dyDescent="0.35">
      <c r="A2939" s="2" t="str">
        <f ca="1">IFERROR(__xludf.DUMMYFUNCTION("""COMPUTED_VALUE"""),"Dubai")</f>
        <v>Dubai</v>
      </c>
      <c r="B2939" s="2" t="str">
        <f ca="1">IFERROR(__xludf.DUMMYFUNCTION("""COMPUTED_VALUE"""),"World Nursery Dubai")</f>
        <v>World Nursery Dubai</v>
      </c>
      <c r="C2939" s="2" t="str">
        <f ca="1">IFERROR(__xludf.DUMMYFUNCTION("""COMPUTED_VALUE"""),"Nursery")</f>
        <v>Nursery</v>
      </c>
      <c r="D2939" s="2" t="str">
        <f ca="1">IFERROR(__xludf.DUMMYFUNCTION("""COMPUTED_VALUE"""),"Dubai&gt;Al Twar&gt;Al Twar 1&gt;World Nursery Dubai")</f>
        <v>Dubai&gt;Al Twar&gt;Al Twar 1&gt;World Nursery Dubai</v>
      </c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</row>
    <row r="2940" spans="1:26" ht="16.5" x14ac:dyDescent="0.35">
      <c r="A2940" s="2" t="str">
        <f ca="1">IFERROR(__xludf.DUMMYFUNCTION("""COMPUTED_VALUE"""),"Dubai")</f>
        <v>Dubai</v>
      </c>
      <c r="B2940" s="2" t="str">
        <f ca="1">IFERROR(__xludf.DUMMYFUNCTION("""COMPUTED_VALUE"""),"The One Residences")</f>
        <v>The One Residences</v>
      </c>
      <c r="C2940" s="2" t="str">
        <f ca="1">IFERROR(__xludf.DUMMYFUNCTION("""COMPUTED_VALUE"""),"Building")</f>
        <v>Building</v>
      </c>
      <c r="D2940" s="2" t="str">
        <f ca="1">IFERROR(__xludf.DUMMYFUNCTION("""COMPUTED_VALUE"""),"Dubai&gt;Al Warqaa&gt;Al Warqaa 1&gt;The One Residences")</f>
        <v>Dubai&gt;Al Warqaa&gt;Al Warqaa 1&gt;The One Residences</v>
      </c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</row>
    <row r="2941" spans="1:26" ht="16.5" x14ac:dyDescent="0.35">
      <c r="A2941" s="2" t="str">
        <f ca="1">IFERROR(__xludf.DUMMYFUNCTION("""COMPUTED_VALUE"""),"Dubai")</f>
        <v>Dubai</v>
      </c>
      <c r="B2941" s="2" t="str">
        <f ca="1">IFERROR(__xludf.DUMMYFUNCTION("""COMPUTED_VALUE"""),"Al Mashroom 1")</f>
        <v>Al Mashroom 1</v>
      </c>
      <c r="C2941" s="2" t="str">
        <f ca="1">IFERROR(__xludf.DUMMYFUNCTION("""COMPUTED_VALUE"""),"Building")</f>
        <v>Building</v>
      </c>
      <c r="D2941" s="2" t="str">
        <f ca="1">IFERROR(__xludf.DUMMYFUNCTION("""COMPUTED_VALUE"""),"Dubai&gt;Al Warqaa&gt;Al Warqaa 1&gt;Al Mashroom 1")</f>
        <v>Dubai&gt;Al Warqaa&gt;Al Warqaa 1&gt;Al Mashroom 1</v>
      </c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</row>
    <row r="2942" spans="1:26" ht="16.5" x14ac:dyDescent="0.35">
      <c r="A2942" s="2" t="str">
        <f ca="1">IFERROR(__xludf.DUMMYFUNCTION("""COMPUTED_VALUE"""),"Dubai")</f>
        <v>Dubai</v>
      </c>
      <c r="B2942" s="2" t="str">
        <f ca="1">IFERROR(__xludf.DUMMYFUNCTION("""COMPUTED_VALUE"""),"Dawood Mohammad Khaild Ahmad Mohammad Building 2")</f>
        <v>Dawood Mohammad Khaild Ahmad Mohammad Building 2</v>
      </c>
      <c r="C2942" s="2" t="str">
        <f ca="1">IFERROR(__xludf.DUMMYFUNCTION("""COMPUTED_VALUE"""),"Building")</f>
        <v>Building</v>
      </c>
      <c r="D2942" s="2" t="str">
        <f ca="1">IFERROR(__xludf.DUMMYFUNCTION("""COMPUTED_VALUE"""),"Dubai&gt;Al Warqaa&gt;Al Warqaa 1&gt;Dawood Mohammad Khaild Ahmad Mohammad Building 2")</f>
        <v>Dubai&gt;Al Warqaa&gt;Al Warqaa 1&gt;Dawood Mohammad Khaild Ahmad Mohammad Building 2</v>
      </c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</row>
    <row r="2943" spans="1:26" ht="16.5" x14ac:dyDescent="0.35">
      <c r="A2943" s="2" t="str">
        <f ca="1">IFERROR(__xludf.DUMMYFUNCTION("""COMPUTED_VALUE"""),"Dubai")</f>
        <v>Dubai</v>
      </c>
      <c r="B2943" s="2" t="str">
        <f ca="1">IFERROR(__xludf.DUMMYFUNCTION("""COMPUTED_VALUE"""),"HMA Residence")</f>
        <v>HMA Residence</v>
      </c>
      <c r="C2943" s="2" t="str">
        <f ca="1">IFERROR(__xludf.DUMMYFUNCTION("""COMPUTED_VALUE"""),"Building")</f>
        <v>Building</v>
      </c>
      <c r="D2943" s="2" t="str">
        <f ca="1">IFERROR(__xludf.DUMMYFUNCTION("""COMPUTED_VALUE"""),"Dubai&gt;Al Warqaa&gt;Al Warqaa 1&gt;HMA Residence")</f>
        <v>Dubai&gt;Al Warqaa&gt;Al Warqaa 1&gt;HMA Residence</v>
      </c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</row>
    <row r="2944" spans="1:26" ht="16.5" x14ac:dyDescent="0.35">
      <c r="A2944" s="2" t="str">
        <f ca="1">IFERROR(__xludf.DUMMYFUNCTION("""COMPUTED_VALUE"""),"Dubai")</f>
        <v>Dubai</v>
      </c>
      <c r="B2944" s="2" t="str">
        <f ca="1">IFERROR(__xludf.DUMMYFUNCTION("""COMPUTED_VALUE"""),"JLT Cluster B")</f>
        <v>JLT Cluster B</v>
      </c>
      <c r="C2944" s="2" t="str">
        <f ca="1">IFERROR(__xludf.DUMMYFUNCTION("""COMPUTED_VALUE"""),"Cluster")</f>
        <v>Cluster</v>
      </c>
      <c r="D2944" s="2" t="str">
        <f ca="1">IFERROR(__xludf.DUMMYFUNCTION("""COMPUTED_VALUE"""),"Dubai&gt;Jumeirah Lake Towers (JLT)&gt;JLT Cluster B")</f>
        <v>Dubai&gt;Jumeirah Lake Towers (JLT)&gt;JLT Cluster B</v>
      </c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</row>
    <row r="2945" spans="1:26" ht="16.5" x14ac:dyDescent="0.35">
      <c r="A2945" s="2" t="str">
        <f ca="1">IFERROR(__xludf.DUMMYFUNCTION("""COMPUTED_VALUE"""),"Dubai")</f>
        <v>Dubai</v>
      </c>
      <c r="B2945" s="2" t="str">
        <f ca="1">IFERROR(__xludf.DUMMYFUNCTION("""COMPUTED_VALUE"""),"Gold Tower (Au Tower)")</f>
        <v>Gold Tower (Au Tower)</v>
      </c>
      <c r="C2945" s="2" t="str">
        <f ca="1">IFERROR(__xludf.DUMMYFUNCTION("""COMPUTED_VALUE"""),"Building")</f>
        <v>Building</v>
      </c>
      <c r="D2945" s="2" t="str">
        <f ca="1">IFERROR(__xludf.DUMMYFUNCTION("""COMPUTED_VALUE"""),"Dubai&gt;Jumeirah Lake Towers (JLT)&gt;JLT Cluster I&gt;Gold Tower (Au Tower)")</f>
        <v>Dubai&gt;Jumeirah Lake Towers (JLT)&gt;JLT Cluster I&gt;Gold Tower (Au Tower)</v>
      </c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</row>
    <row r="2946" spans="1:26" ht="16.5" x14ac:dyDescent="0.35">
      <c r="A2946" s="2" t="str">
        <f ca="1">IFERROR(__xludf.DUMMYFUNCTION("""COMPUTED_VALUE"""),"Dubai")</f>
        <v>Dubai</v>
      </c>
      <c r="B2946" s="2" t="str">
        <f ca="1">IFERROR(__xludf.DUMMYFUNCTION("""COMPUTED_VALUE"""),"JLT Cluster Q")</f>
        <v>JLT Cluster Q</v>
      </c>
      <c r="C2946" s="2" t="str">
        <f ca="1">IFERROR(__xludf.DUMMYFUNCTION("""COMPUTED_VALUE"""),"Cluster")</f>
        <v>Cluster</v>
      </c>
      <c r="D2946" s="2" t="str">
        <f ca="1">IFERROR(__xludf.DUMMYFUNCTION("""COMPUTED_VALUE"""),"Dubai&gt;Jumeirah Lake Towers (JLT)&gt;JLT Cluster Q")</f>
        <v>Dubai&gt;Jumeirah Lake Towers (JLT)&gt;JLT Cluster Q</v>
      </c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</row>
    <row r="2947" spans="1:26" ht="16.5" x14ac:dyDescent="0.35">
      <c r="A2947" s="2" t="str">
        <f ca="1">IFERROR(__xludf.DUMMYFUNCTION("""COMPUTED_VALUE"""),"Dubai")</f>
        <v>Dubai</v>
      </c>
      <c r="B2947" s="2" t="str">
        <f ca="1">IFERROR(__xludf.DUMMYFUNCTION("""COMPUTED_VALUE"""),"Jumeirah Bay X1")</f>
        <v>Jumeirah Bay X1</v>
      </c>
      <c r="C2947" s="2" t="str">
        <f ca="1">IFERROR(__xludf.DUMMYFUNCTION("""COMPUTED_VALUE"""),"Building")</f>
        <v>Building</v>
      </c>
      <c r="D2947" s="2" t="str">
        <f ca="1">IFERROR(__xludf.DUMMYFUNCTION("""COMPUTED_VALUE"""),"Dubai&gt;Jumeirah Lake Towers (JLT)&gt;JLT Cluster X (Jumeirah Bay Towers)&gt;Jumeirah Bay X1")</f>
        <v>Dubai&gt;Jumeirah Lake Towers (JLT)&gt;JLT Cluster X (Jumeirah Bay Towers)&gt;Jumeirah Bay X1</v>
      </c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</row>
    <row r="2948" spans="1:26" ht="16.5" x14ac:dyDescent="0.35">
      <c r="A2948" s="2" t="str">
        <f ca="1">IFERROR(__xludf.DUMMYFUNCTION("""COMPUTED_VALUE"""),"Dubai")</f>
        <v>Dubai</v>
      </c>
      <c r="B2948" s="2" t="str">
        <f ca="1">IFERROR(__xludf.DUMMYFUNCTION("""COMPUTED_VALUE"""),"Mudon")</f>
        <v>Mudon</v>
      </c>
      <c r="C2948" s="2" t="str">
        <f ca="1">IFERROR(__xludf.DUMMYFUNCTION("""COMPUTED_VALUE"""),"Neighbourhood")</f>
        <v>Neighbourhood</v>
      </c>
      <c r="D2948" s="2" t="str">
        <f ca="1">IFERROR(__xludf.DUMMYFUNCTION("""COMPUTED_VALUE"""),"Dubai&gt;Mudon")</f>
        <v>Dubai&gt;Mudon</v>
      </c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</row>
    <row r="2949" spans="1:26" ht="16.5" x14ac:dyDescent="0.35">
      <c r="A2949" s="2" t="str">
        <f ca="1">IFERROR(__xludf.DUMMYFUNCTION("""COMPUTED_VALUE"""),"Dubai")</f>
        <v>Dubai</v>
      </c>
      <c r="B2949" s="2" t="str">
        <f ca="1">IFERROR(__xludf.DUMMYFUNCTION("""COMPUTED_VALUE"""),"Samara")</f>
        <v>Samara</v>
      </c>
      <c r="C2949" s="2" t="str">
        <f ca="1">IFERROR(__xludf.DUMMYFUNCTION("""COMPUTED_VALUE"""),"Neighbourhood")</f>
        <v>Neighbourhood</v>
      </c>
      <c r="D2949" s="2" t="str">
        <f ca="1">IFERROR(__xludf.DUMMYFUNCTION("""COMPUTED_VALUE"""),"Dubai&gt;Arabian Ranches 2&gt;Samara")</f>
        <v>Dubai&gt;Arabian Ranches 2&gt;Samara</v>
      </c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</row>
    <row r="2950" spans="1:26" ht="16.5" x14ac:dyDescent="0.35">
      <c r="A2950" s="2" t="str">
        <f ca="1">IFERROR(__xludf.DUMMYFUNCTION("""COMPUTED_VALUE"""),"Dubai")</f>
        <v>Dubai</v>
      </c>
      <c r="B2950" s="2" t="str">
        <f ca="1">IFERROR(__xludf.DUMMYFUNCTION("""COMPUTED_VALUE"""),"Dhana 2B")</f>
        <v>Dhana 2B</v>
      </c>
      <c r="C2950" s="2" t="str">
        <f ca="1">IFERROR(__xludf.DUMMYFUNCTION("""COMPUTED_VALUE"""),"Building")</f>
        <v>Building</v>
      </c>
      <c r="D2950" s="2" t="str">
        <f ca="1">IFERROR(__xludf.DUMMYFUNCTION("""COMPUTED_VALUE"""),"Dubai&gt;Al Satwa&gt;Jumeirah Garden City&gt;Dhana 2B")</f>
        <v>Dubai&gt;Al Satwa&gt;Jumeirah Garden City&gt;Dhana 2B</v>
      </c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</row>
    <row r="2951" spans="1:26" ht="16.5" x14ac:dyDescent="0.35">
      <c r="A2951" s="2" t="str">
        <f ca="1">IFERROR(__xludf.DUMMYFUNCTION("""COMPUTED_VALUE"""),"Dubai")</f>
        <v>Dubai</v>
      </c>
      <c r="B2951" s="2" t="str">
        <f ca="1">IFERROR(__xludf.DUMMYFUNCTION("""COMPUTED_VALUE"""),"Trillium Heights")</f>
        <v>Trillium Heights</v>
      </c>
      <c r="C2951" s="2" t="str">
        <f ca="1">IFERROR(__xludf.DUMMYFUNCTION("""COMPUTED_VALUE"""),"Building")</f>
        <v>Building</v>
      </c>
      <c r="D2951" s="2" t="str">
        <f ca="1">IFERROR(__xludf.DUMMYFUNCTION("""COMPUTED_VALUE"""),"Dubai&gt;Al Satwa&gt;Jumeirah Garden City&gt;Trillium Heights")</f>
        <v>Dubai&gt;Al Satwa&gt;Jumeirah Garden City&gt;Trillium Heights</v>
      </c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</row>
    <row r="2952" spans="1:26" ht="16.5" x14ac:dyDescent="0.35">
      <c r="A2952" s="2" t="str">
        <f ca="1">IFERROR(__xludf.DUMMYFUNCTION("""COMPUTED_VALUE"""),"Dubai")</f>
        <v>Dubai</v>
      </c>
      <c r="B2952" s="2" t="str">
        <f ca="1">IFERROR(__xludf.DUMMYFUNCTION("""COMPUTED_VALUE"""),"Axiom Residences")</f>
        <v>Axiom Residences</v>
      </c>
      <c r="C2952" s="2" t="str">
        <f ca="1">IFERROR(__xludf.DUMMYFUNCTION("""COMPUTED_VALUE"""),"Building")</f>
        <v>Building</v>
      </c>
      <c r="D2952" s="2" t="str">
        <f ca="1">IFERROR(__xludf.DUMMYFUNCTION("""COMPUTED_VALUE"""),"Dubai&gt;Al Satwa&gt;Jumeirah Garden City&gt;Axiom Residences")</f>
        <v>Dubai&gt;Al Satwa&gt;Jumeirah Garden City&gt;Axiom Residences</v>
      </c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</row>
    <row r="2953" spans="1:26" ht="16.5" x14ac:dyDescent="0.35">
      <c r="A2953" s="2" t="str">
        <f ca="1">IFERROR(__xludf.DUMMYFUNCTION("""COMPUTED_VALUE"""),"Dubai")</f>
        <v>Dubai</v>
      </c>
      <c r="B2953" s="2" t="str">
        <f ca="1">IFERROR(__xludf.DUMMYFUNCTION("""COMPUTED_VALUE"""),"Suhail Al Ameri Building")</f>
        <v>Suhail Al Ameri Building</v>
      </c>
      <c r="C2953" s="2" t="str">
        <f ca="1">IFERROR(__xludf.DUMMYFUNCTION("""COMPUTED_VALUE"""),"Building")</f>
        <v>Building</v>
      </c>
      <c r="D2953" s="2" t="str">
        <f ca="1">IFERROR(__xludf.DUMMYFUNCTION("""COMPUTED_VALUE"""),"Dubai&gt;Al Satwa&gt;Suhail Al Ameri Building")</f>
        <v>Dubai&gt;Al Satwa&gt;Suhail Al Ameri Building</v>
      </c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</row>
    <row r="2954" spans="1:26" ht="16.5" x14ac:dyDescent="0.35">
      <c r="A2954" s="2" t="str">
        <f ca="1">IFERROR(__xludf.DUMMYFUNCTION("""COMPUTED_VALUE"""),"Dubai")</f>
        <v>Dubai</v>
      </c>
      <c r="B2954" s="2" t="str">
        <f ca="1">IFERROR(__xludf.DUMMYFUNCTION("""COMPUTED_VALUE"""),"Contemporary")</f>
        <v>Contemporary</v>
      </c>
      <c r="C2954" s="2" t="str">
        <f ca="1">IFERROR(__xludf.DUMMYFUNCTION("""COMPUTED_VALUE"""),"Neighbourhood")</f>
        <v>Neighbourhood</v>
      </c>
      <c r="D2954" s="2" t="str">
        <f ca="1">IFERROR(__xludf.DUMMYFUNCTION("""COMPUTED_VALUE"""),"Dubai&gt;Discovery Gardens&gt;Contemporary")</f>
        <v>Dubai&gt;Discovery Gardens&gt;Contemporary</v>
      </c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</row>
    <row r="2955" spans="1:26" ht="16.5" x14ac:dyDescent="0.35">
      <c r="A2955" s="2" t="str">
        <f ca="1">IFERROR(__xludf.DUMMYFUNCTION("""COMPUTED_VALUE"""),"Dubai")</f>
        <v>Dubai</v>
      </c>
      <c r="B2955" s="2" t="str">
        <f ca="1">IFERROR(__xludf.DUMMYFUNCTION("""COMPUTED_VALUE"""),"Building 176")</f>
        <v>Building 176</v>
      </c>
      <c r="C2955" s="2" t="str">
        <f ca="1">IFERROR(__xludf.DUMMYFUNCTION("""COMPUTED_VALUE"""),"Building")</f>
        <v>Building</v>
      </c>
      <c r="D2955" s="2" t="str">
        <f ca="1">IFERROR(__xludf.DUMMYFUNCTION("""COMPUTED_VALUE"""),"Dubai&gt;Discovery Gardens&gt;Contemporary&gt;Building 176")</f>
        <v>Dubai&gt;Discovery Gardens&gt;Contemporary&gt;Building 176</v>
      </c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</row>
    <row r="2956" spans="1:26" ht="16.5" x14ac:dyDescent="0.35">
      <c r="A2956" s="2" t="str">
        <f ca="1">IFERROR(__xludf.DUMMYFUNCTION("""COMPUTED_VALUE"""),"Dubai")</f>
        <v>Dubai</v>
      </c>
      <c r="B2956" s="2" t="str">
        <f ca="1">IFERROR(__xludf.DUMMYFUNCTION("""COMPUTED_VALUE"""),"Building 197")</f>
        <v>Building 197</v>
      </c>
      <c r="C2956" s="2" t="str">
        <f ca="1">IFERROR(__xludf.DUMMYFUNCTION("""COMPUTED_VALUE"""),"Building")</f>
        <v>Building</v>
      </c>
      <c r="D2956" s="2" t="str">
        <f ca="1">IFERROR(__xludf.DUMMYFUNCTION("""COMPUTED_VALUE"""),"Dubai&gt;Discovery Gardens&gt;Mogul&gt;Building 197")</f>
        <v>Dubai&gt;Discovery Gardens&gt;Mogul&gt;Building 197</v>
      </c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</row>
    <row r="2957" spans="1:26" ht="16.5" x14ac:dyDescent="0.35">
      <c r="A2957" s="2" t="str">
        <f ca="1">IFERROR(__xludf.DUMMYFUNCTION("""COMPUTED_VALUE"""),"Dubai")</f>
        <v>Dubai</v>
      </c>
      <c r="B2957" s="2" t="str">
        <f ca="1">IFERROR(__xludf.DUMMYFUNCTION("""COMPUTED_VALUE"""),"Building 231")</f>
        <v>Building 231</v>
      </c>
      <c r="C2957" s="2" t="str">
        <f ca="1">IFERROR(__xludf.DUMMYFUNCTION("""COMPUTED_VALUE"""),"Building")</f>
        <v>Building</v>
      </c>
      <c r="D2957" s="2" t="str">
        <f ca="1">IFERROR(__xludf.DUMMYFUNCTION("""COMPUTED_VALUE"""),"Dubai&gt;Discovery Gardens&gt;Mogul&gt;Building 231")</f>
        <v>Dubai&gt;Discovery Gardens&gt;Mogul&gt;Building 231</v>
      </c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</row>
    <row r="2958" spans="1:26" ht="16.5" x14ac:dyDescent="0.35">
      <c r="A2958" s="2" t="str">
        <f ca="1">IFERROR(__xludf.DUMMYFUNCTION("""COMPUTED_VALUE"""),"Dubai")</f>
        <v>Dubai</v>
      </c>
      <c r="B2958" s="2" t="str">
        <f ca="1">IFERROR(__xludf.DUMMYFUNCTION("""COMPUTED_VALUE"""),"Building 25")</f>
        <v>Building 25</v>
      </c>
      <c r="C2958" s="2" t="str">
        <f ca="1">IFERROR(__xludf.DUMMYFUNCTION("""COMPUTED_VALUE"""),"Building")</f>
        <v>Building</v>
      </c>
      <c r="D2958" s="2" t="str">
        <f ca="1">IFERROR(__xludf.DUMMYFUNCTION("""COMPUTED_VALUE"""),"Dubai&gt;Discovery Gardens&gt;Zen Cluster&gt;Building 25")</f>
        <v>Dubai&gt;Discovery Gardens&gt;Zen Cluster&gt;Building 25</v>
      </c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</row>
    <row r="2959" spans="1:26" ht="16.5" x14ac:dyDescent="0.35">
      <c r="A2959" s="2" t="str">
        <f ca="1">IFERROR(__xludf.DUMMYFUNCTION("""COMPUTED_VALUE"""),"Dubai")</f>
        <v>Dubai</v>
      </c>
      <c r="B2959" s="2" t="str">
        <f ca="1">IFERROR(__xludf.DUMMYFUNCTION("""COMPUTED_VALUE"""),"Building 80")</f>
        <v>Building 80</v>
      </c>
      <c r="C2959" s="2" t="str">
        <f ca="1">IFERROR(__xludf.DUMMYFUNCTION("""COMPUTED_VALUE"""),"Building")</f>
        <v>Building</v>
      </c>
      <c r="D2959" s="2" t="str">
        <f ca="1">IFERROR(__xludf.DUMMYFUNCTION("""COMPUTED_VALUE"""),"Dubai&gt;Discovery Gardens&gt;Mediterranean&gt;Building 80")</f>
        <v>Dubai&gt;Discovery Gardens&gt;Mediterranean&gt;Building 80</v>
      </c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</row>
    <row r="2960" spans="1:26" ht="16.5" x14ac:dyDescent="0.35">
      <c r="A2960" s="2" t="str">
        <f ca="1">IFERROR(__xludf.DUMMYFUNCTION("""COMPUTED_VALUE"""),"Dubai")</f>
        <v>Dubai</v>
      </c>
      <c r="B2960" s="2" t="str">
        <f ca="1">IFERROR(__xludf.DUMMYFUNCTION("""COMPUTED_VALUE"""),"Building 75")</f>
        <v>Building 75</v>
      </c>
      <c r="C2960" s="2" t="str">
        <f ca="1">IFERROR(__xludf.DUMMYFUNCTION("""COMPUTED_VALUE"""),"Building")</f>
        <v>Building</v>
      </c>
      <c r="D2960" s="2" t="str">
        <f ca="1">IFERROR(__xludf.DUMMYFUNCTION("""COMPUTED_VALUE"""),"Dubai&gt;Discovery Gardens&gt;Mediterranean&gt;Building 75")</f>
        <v>Dubai&gt;Discovery Gardens&gt;Mediterranean&gt;Building 75</v>
      </c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</row>
    <row r="2961" spans="1:26" ht="16.5" x14ac:dyDescent="0.35">
      <c r="A2961" s="2" t="str">
        <f ca="1">IFERROR(__xludf.DUMMYFUNCTION("""COMPUTED_VALUE"""),"Dubai")</f>
        <v>Dubai</v>
      </c>
      <c r="B2961" s="2" t="str">
        <f ca="1">IFERROR(__xludf.DUMMYFUNCTION("""COMPUTED_VALUE"""),"Trussardi Residences 2 Tower 2")</f>
        <v>Trussardi Residences 2 Tower 2</v>
      </c>
      <c r="C2961" s="2" t="str">
        <f ca="1">IFERROR(__xludf.DUMMYFUNCTION("""COMPUTED_VALUE"""),"Building")</f>
        <v>Building</v>
      </c>
      <c r="D2961" s="2" t="str">
        <f ca="1">IFERROR(__xludf.DUMMYFUNCTION("""COMPUTED_VALUE"""),"Dubai&gt;Discovery Gardens&gt;Trussardi Residences 2&gt;Trussardi Residences 2 Tower 2")</f>
        <v>Dubai&gt;Discovery Gardens&gt;Trussardi Residences 2&gt;Trussardi Residences 2 Tower 2</v>
      </c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</row>
    <row r="2962" spans="1:26" ht="16.5" x14ac:dyDescent="0.35">
      <c r="A2962" s="2" t="str">
        <f ca="1">IFERROR(__xludf.DUMMYFUNCTION("""COMPUTED_VALUE"""),"Dubai")</f>
        <v>Dubai</v>
      </c>
      <c r="B2962" s="2" t="str">
        <f ca="1">IFERROR(__xludf.DUMMYFUNCTION("""COMPUTED_VALUE"""),"Al Khushkar")</f>
        <v>Al Khushkar</v>
      </c>
      <c r="C2962" s="2" t="str">
        <f ca="1">IFERROR(__xludf.DUMMYFUNCTION("""COMPUTED_VALUE"""),"Building")</f>
        <v>Building</v>
      </c>
      <c r="D2962" s="2" t="str">
        <f ca="1">IFERROR(__xludf.DUMMYFUNCTION("""COMPUTED_VALUE"""),"Dubai&gt;Palm Jumeirah&gt;Shoreline Apartments&gt;Al Khushkar")</f>
        <v>Dubai&gt;Palm Jumeirah&gt;Shoreline Apartments&gt;Al Khushkar</v>
      </c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</row>
    <row r="2963" spans="1:26" ht="16.5" x14ac:dyDescent="0.35">
      <c r="A2963" s="2" t="str">
        <f ca="1">IFERROR(__xludf.DUMMYFUNCTION("""COMPUTED_VALUE"""),"Dubai")</f>
        <v>Dubai</v>
      </c>
      <c r="B2963" s="2" t="str">
        <f ca="1">IFERROR(__xludf.DUMMYFUNCTION("""COMPUTED_VALUE"""),"Signature Villas Frond M")</f>
        <v>Signature Villas Frond M</v>
      </c>
      <c r="C2963" s="2" t="str">
        <f ca="1">IFERROR(__xludf.DUMMYFUNCTION("""COMPUTED_VALUE"""),"Neighbourhood")</f>
        <v>Neighbourhood</v>
      </c>
      <c r="D2963" s="2" t="str">
        <f ca="1">IFERROR(__xludf.DUMMYFUNCTION("""COMPUTED_VALUE"""),"Dubai&gt;Palm Jumeirah&gt;Signature Villas Palm Jumeirah&gt;Signature Villas Frond M")</f>
        <v>Dubai&gt;Palm Jumeirah&gt;Signature Villas Palm Jumeirah&gt;Signature Villas Frond M</v>
      </c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</row>
    <row r="2964" spans="1:26" ht="16.5" x14ac:dyDescent="0.35">
      <c r="A2964" s="2" t="str">
        <f ca="1">IFERROR(__xludf.DUMMYFUNCTION("""COMPUTED_VALUE"""),"Dubai")</f>
        <v>Dubai</v>
      </c>
      <c r="B2964" s="2" t="str">
        <f ca="1">IFERROR(__xludf.DUMMYFUNCTION("""COMPUTED_VALUE"""),"Marina Residences 6")</f>
        <v>Marina Residences 6</v>
      </c>
      <c r="C2964" s="2" t="str">
        <f ca="1">IFERROR(__xludf.DUMMYFUNCTION("""COMPUTED_VALUE"""),"Building")</f>
        <v>Building</v>
      </c>
      <c r="D2964" s="2" t="str">
        <f ca="1">IFERROR(__xludf.DUMMYFUNCTION("""COMPUTED_VALUE"""),"Dubai&gt;Palm Jumeirah&gt;Marina Residences&gt;Marina Residences 6")</f>
        <v>Dubai&gt;Palm Jumeirah&gt;Marina Residences&gt;Marina Residences 6</v>
      </c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</row>
    <row r="2965" spans="1:26" ht="16.5" x14ac:dyDescent="0.35">
      <c r="A2965" s="2" t="str">
        <f ca="1">IFERROR(__xludf.DUMMYFUNCTION("""COMPUTED_VALUE"""),"Dubai")</f>
        <v>Dubai</v>
      </c>
      <c r="B2965" s="2" t="str">
        <f ca="1">IFERROR(__xludf.DUMMYFUNCTION("""COMPUTED_VALUE"""),"Passo by Beyond Tower B")</f>
        <v>Passo by Beyond Tower B</v>
      </c>
      <c r="C2965" s="2" t="str">
        <f ca="1">IFERROR(__xludf.DUMMYFUNCTION("""COMPUTED_VALUE"""),"Building")</f>
        <v>Building</v>
      </c>
      <c r="D2965" s="2" t="str">
        <f ca="1">IFERROR(__xludf.DUMMYFUNCTION("""COMPUTED_VALUE"""),"Dubai&gt;Palm Jumeirah&gt;The Crescent&gt;Passo by Beyond&gt;Passo by Beyond Tower B")</f>
        <v>Dubai&gt;Palm Jumeirah&gt;The Crescent&gt;Passo by Beyond&gt;Passo by Beyond Tower B</v>
      </c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</row>
    <row r="2966" spans="1:26" ht="16.5" x14ac:dyDescent="0.35">
      <c r="A2966" s="2" t="str">
        <f ca="1">IFERROR(__xludf.DUMMYFUNCTION("""COMPUTED_VALUE"""),"Dubai")</f>
        <v>Dubai</v>
      </c>
      <c r="B2966" s="2" t="str">
        <f ca="1">IFERROR(__xludf.DUMMYFUNCTION("""COMPUTED_VALUE"""),"Canal Cove")</f>
        <v>Canal Cove</v>
      </c>
      <c r="C2966" s="2" t="str">
        <f ca="1">IFERROR(__xludf.DUMMYFUNCTION("""COMPUTED_VALUE"""),"Neighbourhood")</f>
        <v>Neighbourhood</v>
      </c>
      <c r="D2966" s="2" t="str">
        <f ca="1">IFERROR(__xludf.DUMMYFUNCTION("""COMPUTED_VALUE"""),"Dubai&gt;Palm Jumeirah&gt;Canal Cove")</f>
        <v>Dubai&gt;Palm Jumeirah&gt;Canal Cove</v>
      </c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</row>
    <row r="2967" spans="1:26" ht="16.5" x14ac:dyDescent="0.35">
      <c r="A2967" s="2" t="str">
        <f ca="1">IFERROR(__xludf.DUMMYFUNCTION("""COMPUTED_VALUE"""),"Dubai")</f>
        <v>Dubai</v>
      </c>
      <c r="B2967" s="2" t="str">
        <f ca="1">IFERROR(__xludf.DUMMYFUNCTION("""COMPUTED_VALUE"""),"SLS Residence Palm Jumeirah")</f>
        <v>SLS Residence Palm Jumeirah</v>
      </c>
      <c r="C2967" s="2" t="str">
        <f ca="1">IFERROR(__xludf.DUMMYFUNCTION("""COMPUTED_VALUE"""),"Building")</f>
        <v>Building</v>
      </c>
      <c r="D2967" s="2" t="str">
        <f ca="1">IFERROR(__xludf.DUMMYFUNCTION("""COMPUTED_VALUE"""),"Dubai&gt;Palm Jumeirah&gt;SLS Residence Palm Jumeirah")</f>
        <v>Dubai&gt;Palm Jumeirah&gt;SLS Residence Palm Jumeirah</v>
      </c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</row>
    <row r="2968" spans="1:26" ht="16.5" x14ac:dyDescent="0.35">
      <c r="A2968" s="2" t="str">
        <f ca="1">IFERROR(__xludf.DUMMYFUNCTION("""COMPUTED_VALUE"""),"Dubai")</f>
        <v>Dubai</v>
      </c>
      <c r="B2968" s="2" t="str">
        <f ca="1">IFERROR(__xludf.DUMMYFUNCTION("""COMPUTED_VALUE"""),"Khansaheb Residence")</f>
        <v>Khansaheb Residence</v>
      </c>
      <c r="C2968" s="2" t="str">
        <f ca="1">IFERROR(__xludf.DUMMYFUNCTION("""COMPUTED_VALUE"""),"Building")</f>
        <v>Building</v>
      </c>
      <c r="D2968" s="2" t="str">
        <f ca="1">IFERROR(__xludf.DUMMYFUNCTION("""COMPUTED_VALUE"""),"Dubai&gt;Al Jaddaf&gt;Khansaheb Residence")</f>
        <v>Dubai&gt;Al Jaddaf&gt;Khansaheb Residence</v>
      </c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</row>
    <row r="2969" spans="1:26" ht="16.5" x14ac:dyDescent="0.35">
      <c r="A2969" s="2" t="str">
        <f ca="1">IFERROR(__xludf.DUMMYFUNCTION("""COMPUTED_VALUE"""),"Dubai")</f>
        <v>Dubai</v>
      </c>
      <c r="B2969" s="2" t="str">
        <f ca="1">IFERROR(__xludf.DUMMYFUNCTION("""COMPUTED_VALUE"""),"Binghatti Ivory")</f>
        <v>Binghatti Ivory</v>
      </c>
      <c r="C2969" s="2" t="str">
        <f ca="1">IFERROR(__xludf.DUMMYFUNCTION("""COMPUTED_VALUE"""),"Building")</f>
        <v>Building</v>
      </c>
      <c r="D2969" s="2" t="str">
        <f ca="1">IFERROR(__xludf.DUMMYFUNCTION("""COMPUTED_VALUE"""),"Dubai&gt;Al Jaddaf&gt;Dubai Healthcare City Phase 2&gt;Binghatti Ivory")</f>
        <v>Dubai&gt;Al Jaddaf&gt;Dubai Healthcare City Phase 2&gt;Binghatti Ivory</v>
      </c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</row>
    <row r="2970" spans="1:26" ht="16.5" x14ac:dyDescent="0.35">
      <c r="A2970" s="2" t="str">
        <f ca="1">IFERROR(__xludf.DUMMYFUNCTION("""COMPUTED_VALUE"""),"Dubai")</f>
        <v>Dubai</v>
      </c>
      <c r="B2970" s="2" t="str">
        <f ca="1">IFERROR(__xludf.DUMMYFUNCTION("""COMPUTED_VALUE"""),"Hoor 18")</f>
        <v>Hoor 18</v>
      </c>
      <c r="C2970" s="2" t="str">
        <f ca="1">IFERROR(__xludf.DUMMYFUNCTION("""COMPUTED_VALUE"""),"Building")</f>
        <v>Building</v>
      </c>
      <c r="D2970" s="2" t="str">
        <f ca="1">IFERROR(__xludf.DUMMYFUNCTION("""COMPUTED_VALUE"""),"Dubai&gt;Al Jaddaf&gt;Hoor 18")</f>
        <v>Dubai&gt;Al Jaddaf&gt;Hoor 18</v>
      </c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</row>
    <row r="2971" spans="1:26" ht="16.5" x14ac:dyDescent="0.35">
      <c r="A2971" s="2" t="str">
        <f ca="1">IFERROR(__xludf.DUMMYFUNCTION("""COMPUTED_VALUE"""),"Dubai")</f>
        <v>Dubai</v>
      </c>
      <c r="B2971" s="2" t="str">
        <f ca="1">IFERROR(__xludf.DUMMYFUNCTION("""COMPUTED_VALUE"""),"Binghatti Cullinan")</f>
        <v>Binghatti Cullinan</v>
      </c>
      <c r="C2971" s="2" t="str">
        <f ca="1">IFERROR(__xludf.DUMMYFUNCTION("""COMPUTED_VALUE"""),"Building")</f>
        <v>Building</v>
      </c>
      <c r="D2971" s="2" t="str">
        <f ca="1">IFERROR(__xludf.DUMMYFUNCTION("""COMPUTED_VALUE"""),"Dubai&gt;Al Jaddaf&gt;Binghatti Cullinan")</f>
        <v>Dubai&gt;Al Jaddaf&gt;Binghatti Cullinan</v>
      </c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</row>
    <row r="2972" spans="1:26" ht="16.5" x14ac:dyDescent="0.35">
      <c r="A2972" s="2" t="str">
        <f ca="1">IFERROR(__xludf.DUMMYFUNCTION("""COMPUTED_VALUE"""),"Dubai")</f>
        <v>Dubai</v>
      </c>
      <c r="B2972" s="2" t="str">
        <f ca="1">IFERROR(__xludf.DUMMYFUNCTION("""COMPUTED_VALUE"""),"Frond G")</f>
        <v>Frond G</v>
      </c>
      <c r="C2972" s="2" t="str">
        <f ca="1">IFERROR(__xludf.DUMMYFUNCTION("""COMPUTED_VALUE"""),"Neighbourhood")</f>
        <v>Neighbourhood</v>
      </c>
      <c r="D2972" s="2" t="str">
        <f ca="1">IFERROR(__xludf.DUMMYFUNCTION("""COMPUTED_VALUE"""),"Dubai&gt;Palm Jebel Ali&gt;Frond G")</f>
        <v>Dubai&gt;Palm Jebel Ali&gt;Frond G</v>
      </c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</row>
    <row r="2973" spans="1:26" ht="16.5" x14ac:dyDescent="0.35">
      <c r="A2973" s="2" t="str">
        <f ca="1">IFERROR(__xludf.DUMMYFUNCTION("""COMPUTED_VALUE"""),"Dubai")</f>
        <v>Dubai</v>
      </c>
      <c r="B2973" s="2" t="str">
        <f ca="1">IFERROR(__xludf.DUMMYFUNCTION("""COMPUTED_VALUE"""),"Firmenich Building")</f>
        <v>Firmenich Building</v>
      </c>
      <c r="C2973" s="2" t="str">
        <f ca="1">IFERROR(__xludf.DUMMYFUNCTION("""COMPUTED_VALUE"""),"Building")</f>
        <v>Building</v>
      </c>
      <c r="D2973" s="2" t="str">
        <f ca="1">IFERROR(__xludf.DUMMYFUNCTION("""COMPUTED_VALUE"""),"Dubai&gt;Dubai Science Park&gt;Firmenich Building")</f>
        <v>Dubai&gt;Dubai Science Park&gt;Firmenich Building</v>
      </c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</row>
    <row r="2974" spans="1:26" ht="16.5" x14ac:dyDescent="0.35">
      <c r="A2974" s="2" t="str">
        <f ca="1">IFERROR(__xludf.DUMMYFUNCTION("""COMPUTED_VALUE"""),"Dubai")</f>
        <v>Dubai</v>
      </c>
      <c r="B2974" s="2" t="str">
        <f ca="1">IFERROR(__xludf.DUMMYFUNCTION("""COMPUTED_VALUE"""),"The Springs 14")</f>
        <v>The Springs 14</v>
      </c>
      <c r="C2974" s="2" t="str">
        <f ca="1">IFERROR(__xludf.DUMMYFUNCTION("""COMPUTED_VALUE"""),"Neighbourhood")</f>
        <v>Neighbourhood</v>
      </c>
      <c r="D2974" s="2" t="str">
        <f ca="1">IFERROR(__xludf.DUMMYFUNCTION("""COMPUTED_VALUE"""),"Dubai&gt;The Springs&gt;The Springs 14")</f>
        <v>Dubai&gt;The Springs&gt;The Springs 14</v>
      </c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</row>
    <row r="2975" spans="1:26" ht="16.5" x14ac:dyDescent="0.35">
      <c r="A2975" s="2" t="str">
        <f ca="1">IFERROR(__xludf.DUMMYFUNCTION("""COMPUTED_VALUE"""),"Dubai")</f>
        <v>Dubai</v>
      </c>
      <c r="B2975" s="2" t="str">
        <f ca="1">IFERROR(__xludf.DUMMYFUNCTION("""COMPUTED_VALUE"""),"Hillside Residences 3 Building E")</f>
        <v>Hillside Residences 3 Building E</v>
      </c>
      <c r="C2975" s="2" t="str">
        <f ca="1">IFERROR(__xludf.DUMMYFUNCTION("""COMPUTED_VALUE"""),"Building")</f>
        <v>Building</v>
      </c>
      <c r="D2975" s="2" t="str">
        <f ca="1">IFERROR(__xludf.DUMMYFUNCTION("""COMPUTED_VALUE"""),"Dubai&gt;Wasl Gate&gt;Hillside Residences&gt;Hillside Residences 3&gt;Hillside Residences 3 Building E")</f>
        <v>Dubai&gt;Wasl Gate&gt;Hillside Residences&gt;Hillside Residences 3&gt;Hillside Residences 3 Building E</v>
      </c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</row>
    <row r="2976" spans="1:26" ht="16.5" x14ac:dyDescent="0.35">
      <c r="A2976" s="2" t="str">
        <f ca="1">IFERROR(__xludf.DUMMYFUNCTION("""COMPUTED_VALUE"""),"Dubai")</f>
        <v>Dubai</v>
      </c>
      <c r="B2976" s="2" t="str">
        <f ca="1">IFERROR(__xludf.DUMMYFUNCTION("""COMPUTED_VALUE"""),"Nad Al Sheba Gardens 3")</f>
        <v>Nad Al Sheba Gardens 3</v>
      </c>
      <c r="C2976" s="2" t="str">
        <f ca="1">IFERROR(__xludf.DUMMYFUNCTION("""COMPUTED_VALUE"""),"Neighbourhood")</f>
        <v>Neighbourhood</v>
      </c>
      <c r="D2976" s="2" t="str">
        <f ca="1">IFERROR(__xludf.DUMMYFUNCTION("""COMPUTED_VALUE"""),"Dubai&gt;Nad Al Sheba&gt;Nad Al Sheba 1&gt;Nad Al Sheba Gardens&gt;Nad Al Sheba Gardens 3")</f>
        <v>Dubai&gt;Nad Al Sheba&gt;Nad Al Sheba 1&gt;Nad Al Sheba Gardens&gt;Nad Al Sheba Gardens 3</v>
      </c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</row>
    <row r="2977" spans="1:26" ht="16.5" x14ac:dyDescent="0.35">
      <c r="A2977" s="2" t="str">
        <f ca="1">IFERROR(__xludf.DUMMYFUNCTION("""COMPUTED_VALUE"""),"Dubai")</f>
        <v>Dubai</v>
      </c>
      <c r="B2977" s="2" t="str">
        <f ca="1">IFERROR(__xludf.DUMMYFUNCTION("""COMPUTED_VALUE"""),"Office Park Block D")</f>
        <v>Office Park Block D</v>
      </c>
      <c r="C2977" s="2" t="str">
        <f ca="1">IFERROR(__xludf.DUMMYFUNCTION("""COMPUTED_VALUE"""),"Building")</f>
        <v>Building</v>
      </c>
      <c r="D2977" s="2" t="str">
        <f ca="1">IFERROR(__xludf.DUMMYFUNCTION("""COMPUTED_VALUE"""),"Dubai&gt;Dubai Internet City&gt;Office Park&gt;Office Park Block D")</f>
        <v>Dubai&gt;Dubai Internet City&gt;Office Park&gt;Office Park Block D</v>
      </c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</row>
    <row r="2978" spans="1:26" ht="16.5" x14ac:dyDescent="0.35">
      <c r="A2978" s="2" t="str">
        <f ca="1">IFERROR(__xludf.DUMMYFUNCTION("""COMPUTED_VALUE"""),"Dubai")</f>
        <v>Dubai</v>
      </c>
      <c r="B2978" s="2" t="str">
        <f ca="1">IFERROR(__xludf.DUMMYFUNCTION("""COMPUTED_VALUE"""),"DIC 8")</f>
        <v>DIC 8</v>
      </c>
      <c r="C2978" s="2" t="str">
        <f ca="1">IFERROR(__xludf.DUMMYFUNCTION("""COMPUTED_VALUE"""),"Building")</f>
        <v>Building</v>
      </c>
      <c r="D2978" s="2" t="str">
        <f ca="1">IFERROR(__xludf.DUMMYFUNCTION("""COMPUTED_VALUE"""),"Dubai&gt;Dubai Internet City&gt;DIC&gt;DIC 8")</f>
        <v>Dubai&gt;Dubai Internet City&gt;DIC&gt;DIC 8</v>
      </c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</row>
    <row r="2979" spans="1:26" ht="16.5" x14ac:dyDescent="0.35">
      <c r="A2979" s="2" t="str">
        <f ca="1">IFERROR(__xludf.DUMMYFUNCTION("""COMPUTED_VALUE"""),"Dubai")</f>
        <v>Dubai</v>
      </c>
      <c r="B2979" s="2" t="str">
        <f ca="1">IFERROR(__xludf.DUMMYFUNCTION("""COMPUTED_VALUE"""),"Rashid Building")</f>
        <v>Rashid Building</v>
      </c>
      <c r="C2979" s="2" t="str">
        <f ca="1">IFERROR(__xludf.DUMMYFUNCTION("""COMPUTED_VALUE"""),"Building")</f>
        <v>Building</v>
      </c>
      <c r="D2979" s="2" t="str">
        <f ca="1">IFERROR(__xludf.DUMMYFUNCTION("""COMPUTED_VALUE"""),"Dubai&gt;Al Lisaili&gt;Rashid Building")</f>
        <v>Dubai&gt;Al Lisaili&gt;Rashid Building</v>
      </c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</row>
    <row r="2980" spans="1:26" ht="16.5" x14ac:dyDescent="0.35">
      <c r="A2980" s="2" t="str">
        <f ca="1">IFERROR(__xludf.DUMMYFUNCTION("""COMPUTED_VALUE"""),"Dubai")</f>
        <v>Dubai</v>
      </c>
      <c r="B2980" s="2" t="str">
        <f ca="1">IFERROR(__xludf.DUMMYFUNCTION("""COMPUTED_VALUE"""),"Marina Views")</f>
        <v>Marina Views</v>
      </c>
      <c r="C2980" s="2" t="str">
        <f ca="1">IFERROR(__xludf.DUMMYFUNCTION("""COMPUTED_VALUE"""),"Cluster")</f>
        <v>Cluster</v>
      </c>
      <c r="D2980" s="2" t="str">
        <f ca="1">IFERROR(__xludf.DUMMYFUNCTION("""COMPUTED_VALUE"""),"Dubai&gt;Mina Rashid&gt;Marina Views")</f>
        <v>Dubai&gt;Mina Rashid&gt;Marina Views</v>
      </c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</row>
    <row r="2981" spans="1:26" ht="16.5" x14ac:dyDescent="0.35">
      <c r="A2981" s="2" t="str">
        <f ca="1">IFERROR(__xludf.DUMMYFUNCTION("""COMPUTED_VALUE"""),"Dubai")</f>
        <v>Dubai</v>
      </c>
      <c r="B2981" s="2" t="str">
        <f ca="1">IFERROR(__xludf.DUMMYFUNCTION("""COMPUTED_VALUE"""),"Sector W")</f>
        <v>Sector W</v>
      </c>
      <c r="C2981" s="2" t="str">
        <f ca="1">IFERROR(__xludf.DUMMYFUNCTION("""COMPUTED_VALUE"""),"Neighbourhood")</f>
        <v>Neighbourhood</v>
      </c>
      <c r="D2981" s="2" t="str">
        <f ca="1">IFERROR(__xludf.DUMMYFUNCTION("""COMPUTED_VALUE"""),"Dubai&gt;Emirates Hills&gt;Sector W")</f>
        <v>Dubai&gt;Emirates Hills&gt;Sector W</v>
      </c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</row>
    <row r="2982" spans="1:26" ht="16.5" x14ac:dyDescent="0.35">
      <c r="A2982" s="2" t="str">
        <f ca="1">IFERROR(__xludf.DUMMYFUNCTION("""COMPUTED_VALUE"""),"Dubai")</f>
        <v>Dubai</v>
      </c>
      <c r="B2982" s="2" t="str">
        <f ca="1">IFERROR(__xludf.DUMMYFUNCTION("""COMPUTED_VALUE"""),"Kaia")</f>
        <v>Kaia</v>
      </c>
      <c r="C2982" s="2" t="str">
        <f ca="1">IFERROR(__xludf.DUMMYFUNCTION("""COMPUTED_VALUE"""),"Neighbourhood")</f>
        <v>Neighbourhood</v>
      </c>
      <c r="D2982" s="2" t="str">
        <f ca="1">IFERROR(__xludf.DUMMYFUNCTION("""COMPUTED_VALUE"""),"Dubai&gt;The Valley by Emaar&gt;Kaia")</f>
        <v>Dubai&gt;The Valley by Emaar&gt;Kaia</v>
      </c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</row>
    <row r="2983" spans="1:26" ht="16.5" x14ac:dyDescent="0.35">
      <c r="A2983" s="2" t="str">
        <f ca="1">IFERROR(__xludf.DUMMYFUNCTION("""COMPUTED_VALUE"""),"Dubai")</f>
        <v>Dubai</v>
      </c>
      <c r="B2983" s="2" t="str">
        <f ca="1">IFERROR(__xludf.DUMMYFUNCTION("""COMPUTED_VALUE"""),"Alma 1")</f>
        <v>Alma 1</v>
      </c>
      <c r="C2983" s="2" t="str">
        <f ca="1">IFERROR(__xludf.DUMMYFUNCTION("""COMPUTED_VALUE"""),"Neighbourhood")</f>
        <v>Neighbourhood</v>
      </c>
      <c r="D2983" s="2" t="str">
        <f ca="1">IFERROR(__xludf.DUMMYFUNCTION("""COMPUTED_VALUE"""),"Dubai&gt;Arabian Ranches&gt;Alma&gt;Alma 1")</f>
        <v>Dubai&gt;Arabian Ranches&gt;Alma&gt;Alma 1</v>
      </c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</row>
    <row r="2984" spans="1:26" ht="16.5" x14ac:dyDescent="0.35">
      <c r="A2984" s="2" t="str">
        <f ca="1">IFERROR(__xludf.DUMMYFUNCTION("""COMPUTED_VALUE"""),"Dubai")</f>
        <v>Dubai</v>
      </c>
      <c r="B2984" s="2" t="str">
        <f ca="1">IFERROR(__xludf.DUMMYFUNCTION("""COMPUTED_VALUE"""),"The Gardens Building 54")</f>
        <v>The Gardens Building 54</v>
      </c>
      <c r="C2984" s="2" t="str">
        <f ca="1">IFERROR(__xludf.DUMMYFUNCTION("""COMPUTED_VALUE"""),"Building")</f>
        <v>Building</v>
      </c>
      <c r="D2984" s="2" t="str">
        <f ca="1">IFERROR(__xludf.DUMMYFUNCTION("""COMPUTED_VALUE"""),"Dubai&gt;The Gardens&gt;The Gardens Building 54")</f>
        <v>Dubai&gt;The Gardens&gt;The Gardens Building 54</v>
      </c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</row>
    <row r="2985" spans="1:26" ht="16.5" x14ac:dyDescent="0.35">
      <c r="A2985" s="2" t="str">
        <f ca="1">IFERROR(__xludf.DUMMYFUNCTION("""COMPUTED_VALUE"""),"Dubai")</f>
        <v>Dubai</v>
      </c>
      <c r="B2985" s="2" t="str">
        <f ca="1">IFERROR(__xludf.DUMMYFUNCTION("""COMPUTED_VALUE"""),"The Gardens Building 69")</f>
        <v>The Gardens Building 69</v>
      </c>
      <c r="C2985" s="2" t="str">
        <f ca="1">IFERROR(__xludf.DUMMYFUNCTION("""COMPUTED_VALUE"""),"Building")</f>
        <v>Building</v>
      </c>
      <c r="D2985" s="2" t="str">
        <f ca="1">IFERROR(__xludf.DUMMYFUNCTION("""COMPUTED_VALUE"""),"Dubai&gt;The Gardens&gt;The Gardens Building 69")</f>
        <v>Dubai&gt;The Gardens&gt;The Gardens Building 69</v>
      </c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</row>
    <row r="2986" spans="1:26" ht="16.5" x14ac:dyDescent="0.35">
      <c r="A2986" s="2" t="str">
        <f ca="1">IFERROR(__xludf.DUMMYFUNCTION("""COMPUTED_VALUE"""),"Dubai")</f>
        <v>Dubai</v>
      </c>
      <c r="B2986" s="2" t="str">
        <f ca="1">IFERROR(__xludf.DUMMYFUNCTION("""COMPUTED_VALUE"""),"The Gardens Building 110")</f>
        <v>The Gardens Building 110</v>
      </c>
      <c r="C2986" s="2" t="str">
        <f ca="1">IFERROR(__xludf.DUMMYFUNCTION("""COMPUTED_VALUE"""),"Building")</f>
        <v>Building</v>
      </c>
      <c r="D2986" s="2" t="str">
        <f ca="1">IFERROR(__xludf.DUMMYFUNCTION("""COMPUTED_VALUE"""),"Dubai&gt;The Gardens&gt;The Gardens Building 110")</f>
        <v>Dubai&gt;The Gardens&gt;The Gardens Building 110</v>
      </c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</row>
    <row r="2987" spans="1:26" ht="16.5" x14ac:dyDescent="0.35">
      <c r="A2987" s="2" t="str">
        <f ca="1">IFERROR(__xludf.DUMMYFUNCTION("""COMPUTED_VALUE"""),"Dubai")</f>
        <v>Dubai</v>
      </c>
      <c r="B2987" s="2" t="str">
        <f ca="1">IFERROR(__xludf.DUMMYFUNCTION("""COMPUTED_VALUE"""),"The Gardens Building 36")</f>
        <v>The Gardens Building 36</v>
      </c>
      <c r="C2987" s="2" t="str">
        <f ca="1">IFERROR(__xludf.DUMMYFUNCTION("""COMPUTED_VALUE"""),"Building")</f>
        <v>Building</v>
      </c>
      <c r="D2987" s="2" t="str">
        <f ca="1">IFERROR(__xludf.DUMMYFUNCTION("""COMPUTED_VALUE"""),"Dubai&gt;The Gardens&gt;The Gardens Building 36")</f>
        <v>Dubai&gt;The Gardens&gt;The Gardens Building 36</v>
      </c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</row>
    <row r="2988" spans="1:26" ht="16.5" x14ac:dyDescent="0.35">
      <c r="A2988" s="2" t="str">
        <f ca="1">IFERROR(__xludf.DUMMYFUNCTION("""COMPUTED_VALUE"""),"Dubai")</f>
        <v>Dubai</v>
      </c>
      <c r="B2988" s="2" t="str">
        <f ca="1">IFERROR(__xludf.DUMMYFUNCTION("""COMPUTED_VALUE"""),"Abraj Al Mamzar")</f>
        <v>Abraj Al Mamzar</v>
      </c>
      <c r="C2988" s="2" t="str">
        <f ca="1">IFERROR(__xludf.DUMMYFUNCTION("""COMPUTED_VALUE"""),"Cluster")</f>
        <v>Cluster</v>
      </c>
      <c r="D2988" s="2" t="str">
        <f ca="1">IFERROR(__xludf.DUMMYFUNCTION("""COMPUTED_VALUE"""),"Dubai&gt;Al Mamzar&gt;Abraj Al Mamzar")</f>
        <v>Dubai&gt;Al Mamzar&gt;Abraj Al Mamzar</v>
      </c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</row>
    <row r="2989" spans="1:26" ht="16.5" x14ac:dyDescent="0.35">
      <c r="A2989" s="2" t="str">
        <f ca="1">IFERROR(__xludf.DUMMYFUNCTION("""COMPUTED_VALUE"""),"Dubai")</f>
        <v>Dubai</v>
      </c>
      <c r="B2989" s="2" t="str">
        <f ca="1">IFERROR(__xludf.DUMMYFUNCTION("""COMPUTED_VALUE"""),"Bluewaters Island")</f>
        <v>Bluewaters Island</v>
      </c>
      <c r="C2989" s="2" t="str">
        <f ca="1">IFERROR(__xludf.DUMMYFUNCTION("""COMPUTED_VALUE"""),"Neighbourhood")</f>
        <v>Neighbourhood</v>
      </c>
      <c r="D2989" s="2" t="str">
        <f ca="1">IFERROR(__xludf.DUMMYFUNCTION("""COMPUTED_VALUE"""),"Dubai&gt;Bluewaters Island")</f>
        <v>Dubai&gt;Bluewaters Island</v>
      </c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</row>
    <row r="2990" spans="1:26" ht="16.5" x14ac:dyDescent="0.35">
      <c r="A2990" s="2" t="str">
        <f ca="1">IFERROR(__xludf.DUMMYFUNCTION("""COMPUTED_VALUE"""),"Dubai")</f>
        <v>Dubai</v>
      </c>
      <c r="B2990" s="2" t="str">
        <f ca="1">IFERROR(__xludf.DUMMYFUNCTION("""COMPUTED_VALUE"""),"Tower 2")</f>
        <v>Tower 2</v>
      </c>
      <c r="C2990" s="2" t="str">
        <f ca="1">IFERROR(__xludf.DUMMYFUNCTION("""COMPUTED_VALUE"""),"Building")</f>
        <v>Building</v>
      </c>
      <c r="D2990" s="2" t="str">
        <f ca="1">IFERROR(__xludf.DUMMYFUNCTION("""COMPUTED_VALUE"""),"Dubai&gt;Al Garhoud&gt;Garhoud Towers&gt;Tower 2")</f>
        <v>Dubai&gt;Al Garhoud&gt;Garhoud Towers&gt;Tower 2</v>
      </c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</row>
    <row r="2991" spans="1:26" ht="16.5" x14ac:dyDescent="0.35">
      <c r="A2991" s="2" t="str">
        <f ca="1">IFERROR(__xludf.DUMMYFUNCTION("""COMPUTED_VALUE"""),"Dubai")</f>
        <v>Dubai</v>
      </c>
      <c r="B2991" s="2" t="str">
        <f ca="1">IFERROR(__xludf.DUMMYFUNCTION("""COMPUTED_VALUE"""),"Aloft Hotel")</f>
        <v>Aloft Hotel</v>
      </c>
      <c r="C2991" s="2" t="str">
        <f ca="1">IFERROR(__xludf.DUMMYFUNCTION("""COMPUTED_VALUE"""),"Building")</f>
        <v>Building</v>
      </c>
      <c r="D2991" s="2" t="str">
        <f ca="1">IFERROR(__xludf.DUMMYFUNCTION("""COMPUTED_VALUE"""),"Dubai&gt;Al Garhoud&gt;Aloft Hotel")</f>
        <v>Dubai&gt;Al Garhoud&gt;Aloft Hotel</v>
      </c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</row>
    <row r="2992" spans="1:26" ht="16.5" x14ac:dyDescent="0.35">
      <c r="A2992" s="2" t="str">
        <f ca="1">IFERROR(__xludf.DUMMYFUNCTION("""COMPUTED_VALUE"""),"Dubai")</f>
        <v>Dubai</v>
      </c>
      <c r="B2992" s="2" t="str">
        <f ca="1">IFERROR(__xludf.DUMMYFUNCTION("""COMPUTED_VALUE"""),"Cluster 24")</f>
        <v>Cluster 24</v>
      </c>
      <c r="C2992" s="2" t="str">
        <f ca="1">IFERROR(__xludf.DUMMYFUNCTION("""COMPUTED_VALUE"""),"Neighbourhood")</f>
        <v>Neighbourhood</v>
      </c>
      <c r="D2992" s="2" t="str">
        <f ca="1">IFERROR(__xludf.DUMMYFUNCTION("""COMPUTED_VALUE"""),"Dubai&gt;Jumeirah Islands&gt;Cluster 24")</f>
        <v>Dubai&gt;Jumeirah Islands&gt;Cluster 24</v>
      </c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</row>
    <row r="2993" spans="1:26" ht="16.5" x14ac:dyDescent="0.35">
      <c r="A2993" s="2" t="str">
        <f ca="1">IFERROR(__xludf.DUMMYFUNCTION("""COMPUTED_VALUE"""),"Dubai")</f>
        <v>Dubai</v>
      </c>
      <c r="B2993" s="2" t="str">
        <f ca="1">IFERROR(__xludf.DUMMYFUNCTION("""COMPUTED_VALUE"""),"Serenia District")</f>
        <v>Serenia District</v>
      </c>
      <c r="C2993" s="2" t="str">
        <f ca="1">IFERROR(__xludf.DUMMYFUNCTION("""COMPUTED_VALUE"""),"Cluster")</f>
        <v>Cluster</v>
      </c>
      <c r="D2993" s="2" t="str">
        <f ca="1">IFERROR(__xludf.DUMMYFUNCTION("""COMPUTED_VALUE"""),"Dubai&gt;Jumeirah Islands&gt;Serenia District")</f>
        <v>Dubai&gt;Jumeirah Islands&gt;Serenia District</v>
      </c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</row>
    <row r="2994" spans="1:26" ht="16.5" x14ac:dyDescent="0.35">
      <c r="A2994" s="2" t="str">
        <f ca="1">IFERROR(__xludf.DUMMYFUNCTION("""COMPUTED_VALUE"""),"Dubai")</f>
        <v>Dubai</v>
      </c>
      <c r="B2994" s="2" t="str">
        <f ca="1">IFERROR(__xludf.DUMMYFUNCTION("""COMPUTED_VALUE"""),"Lake Apartments")</f>
        <v>Lake Apartments</v>
      </c>
      <c r="C2994" s="2" t="str">
        <f ca="1">IFERROR(__xludf.DUMMYFUNCTION("""COMPUTED_VALUE"""),"Cluster")</f>
        <v>Cluster</v>
      </c>
      <c r="D2994" s="2" t="str">
        <f ca="1">IFERROR(__xludf.DUMMYFUNCTION("""COMPUTED_VALUE"""),"Dubai&gt;Green Community&gt;Lake Apartments")</f>
        <v>Dubai&gt;Green Community&gt;Lake Apartments</v>
      </c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</row>
    <row r="2995" spans="1:26" ht="16.5" x14ac:dyDescent="0.35">
      <c r="A2995" s="2" t="str">
        <f ca="1">IFERROR(__xludf.DUMMYFUNCTION("""COMPUTED_VALUE"""),"Dubai")</f>
        <v>Dubai</v>
      </c>
      <c r="B2995" s="2" t="str">
        <f ca="1">IFERROR(__xludf.DUMMYFUNCTION("""COMPUTED_VALUE"""),"Northwest Apartments 4")</f>
        <v>Northwest Apartments 4</v>
      </c>
      <c r="C2995" s="2" t="str">
        <f ca="1">IFERROR(__xludf.DUMMYFUNCTION("""COMPUTED_VALUE"""),"Building")</f>
        <v>Building</v>
      </c>
      <c r="D2995" s="2" t="str">
        <f ca="1">IFERROR(__xludf.DUMMYFUNCTION("""COMPUTED_VALUE"""),"Dubai&gt;Green Community&gt;Green Community West&gt;Northwest Garden Apartments&gt;Northwest Apartments 4")</f>
        <v>Dubai&gt;Green Community&gt;Green Community West&gt;Northwest Garden Apartments&gt;Northwest Apartments 4</v>
      </c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</row>
    <row r="2996" spans="1:26" ht="16.5" x14ac:dyDescent="0.35">
      <c r="A2996" s="2" t="str">
        <f ca="1">IFERROR(__xludf.DUMMYFUNCTION("""COMPUTED_VALUE"""),"Dubai")</f>
        <v>Dubai</v>
      </c>
      <c r="B2996" s="2" t="str">
        <f ca="1">IFERROR(__xludf.DUMMYFUNCTION("""COMPUTED_VALUE"""),"Uniestate Sports Tower")</f>
        <v>Uniestate Sports Tower</v>
      </c>
      <c r="C2996" s="2" t="str">
        <f ca="1">IFERROR(__xludf.DUMMYFUNCTION("""COMPUTED_VALUE"""),"Building")</f>
        <v>Building</v>
      </c>
      <c r="D2996" s="2" t="str">
        <f ca="1">IFERROR(__xludf.DUMMYFUNCTION("""COMPUTED_VALUE"""),"Dubai&gt;Dubai Sports City&gt;Uniestate Sports Tower")</f>
        <v>Dubai&gt;Dubai Sports City&gt;Uniestate Sports Tower</v>
      </c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</row>
    <row r="2997" spans="1:26" ht="16.5" x14ac:dyDescent="0.35">
      <c r="A2997" s="2" t="str">
        <f ca="1">IFERROR(__xludf.DUMMYFUNCTION("""COMPUTED_VALUE"""),"Dubai")</f>
        <v>Dubai</v>
      </c>
      <c r="B2997" s="2" t="str">
        <f ca="1">IFERROR(__xludf.DUMMYFUNCTION("""COMPUTED_VALUE"""),"Zenith Tower A2")</f>
        <v>Zenith Tower A2</v>
      </c>
      <c r="C2997" s="2" t="str">
        <f ca="1">IFERROR(__xludf.DUMMYFUNCTION("""COMPUTED_VALUE"""),"Building")</f>
        <v>Building</v>
      </c>
      <c r="D2997" s="2" t="str">
        <f ca="1">IFERROR(__xludf.DUMMYFUNCTION("""COMPUTED_VALUE"""),"Dubai&gt;Dubai Sports City&gt;Zenith Towers&gt;Zenith Tower A2")</f>
        <v>Dubai&gt;Dubai Sports City&gt;Zenith Towers&gt;Zenith Tower A2</v>
      </c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</row>
    <row r="2998" spans="1:26" ht="16.5" x14ac:dyDescent="0.35">
      <c r="A2998" s="2" t="str">
        <f ca="1">IFERROR(__xludf.DUMMYFUNCTION("""COMPUTED_VALUE"""),"Dubai")</f>
        <v>Dubai</v>
      </c>
      <c r="B2998" s="2" t="str">
        <f ca="1">IFERROR(__xludf.DUMMYFUNCTION("""COMPUTED_VALUE"""),"Links View")</f>
        <v>Links View</v>
      </c>
      <c r="C2998" s="2" t="str">
        <f ca="1">IFERROR(__xludf.DUMMYFUNCTION("""COMPUTED_VALUE"""),"Building")</f>
        <v>Building</v>
      </c>
      <c r="D2998" s="2" t="str">
        <f ca="1">IFERROR(__xludf.DUMMYFUNCTION("""COMPUTED_VALUE"""),"Dubai&gt;Dubai Sports City&gt;Links View")</f>
        <v>Dubai&gt;Dubai Sports City&gt;Links View</v>
      </c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</row>
    <row r="2999" spans="1:26" ht="16.5" x14ac:dyDescent="0.35">
      <c r="A2999" s="2" t="str">
        <f ca="1">IFERROR(__xludf.DUMMYFUNCTION("""COMPUTED_VALUE"""),"Dubai")</f>
        <v>Dubai</v>
      </c>
      <c r="B2999" s="2" t="str">
        <f ca="1">IFERROR(__xludf.DUMMYFUNCTION("""COMPUTED_VALUE"""),"Antalya by Karma")</f>
        <v>Antalya by Karma</v>
      </c>
      <c r="C2999" s="2" t="str">
        <f ca="1">IFERROR(__xludf.DUMMYFUNCTION("""COMPUTED_VALUE"""),"Building")</f>
        <v>Building</v>
      </c>
      <c r="D2999" s="2" t="str">
        <f ca="1">IFERROR(__xludf.DUMMYFUNCTION("""COMPUTED_VALUE"""),"Dubai&gt;Dubai Sports City&gt;Antalya by Karma")</f>
        <v>Dubai&gt;Dubai Sports City&gt;Antalya by Karma</v>
      </c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</row>
    <row r="3000" spans="1:26" ht="16.5" x14ac:dyDescent="0.35">
      <c r="A3000" s="2" t="str">
        <f ca="1">IFERROR(__xludf.DUMMYFUNCTION("""COMPUTED_VALUE"""),"Dubai")</f>
        <v>Dubai</v>
      </c>
      <c r="B3000" s="2" t="str">
        <f ca="1">IFERROR(__xludf.DUMMYFUNCTION("""COMPUTED_VALUE"""),"Al Waleed Building")</f>
        <v>Al Waleed Building</v>
      </c>
      <c r="C3000" s="2" t="str">
        <f ca="1">IFERROR(__xludf.DUMMYFUNCTION("""COMPUTED_VALUE"""),"Building")</f>
        <v>Building</v>
      </c>
      <c r="D3000" s="2" t="str">
        <f ca="1">IFERROR(__xludf.DUMMYFUNCTION("""COMPUTED_VALUE"""),"Dubai&gt;Al Nahda (Dubai)&gt;Al Nahda 1&gt;Al Waleed Building")</f>
        <v>Dubai&gt;Al Nahda (Dubai)&gt;Al Nahda 1&gt;Al Waleed Building</v>
      </c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</row>
    <row r="3001" spans="1:26" ht="16.5" x14ac:dyDescent="0.35">
      <c r="A3001" s="2" t="str">
        <f ca="1">IFERROR(__xludf.DUMMYFUNCTION("""COMPUTED_VALUE"""),"Dubai")</f>
        <v>Dubai</v>
      </c>
      <c r="B3001" s="2" t="str">
        <f ca="1">IFERROR(__xludf.DUMMYFUNCTION("""COMPUTED_VALUE"""),"Al Diyafah High School")</f>
        <v>Al Diyafah High School</v>
      </c>
      <c r="C3001" s="2" t="str">
        <f ca="1">IFERROR(__xludf.DUMMYFUNCTION("""COMPUTED_VALUE"""),"School")</f>
        <v>School</v>
      </c>
      <c r="D3001" s="2" t="str">
        <f ca="1">IFERROR(__xludf.DUMMYFUNCTION("""COMPUTED_VALUE"""),"Dubai&gt;Al Nahda (Dubai)&gt;Al Nahda 2&gt;Al Diyafah High School")</f>
        <v>Dubai&gt;Al Nahda (Dubai)&gt;Al Nahda 2&gt;Al Diyafah High School</v>
      </c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</row>
    <row r="3002" spans="1:26" ht="16.5" x14ac:dyDescent="0.35">
      <c r="A3002" s="2" t="str">
        <f ca="1">IFERROR(__xludf.DUMMYFUNCTION("""COMPUTED_VALUE"""),"Dubai")</f>
        <v>Dubai</v>
      </c>
      <c r="B3002" s="2" t="str">
        <f ca="1">IFERROR(__xludf.DUMMYFUNCTION("""COMPUTED_VALUE"""),"Lootha Building")</f>
        <v>Lootha Building</v>
      </c>
      <c r="C3002" s="2" t="str">
        <f ca="1">IFERROR(__xludf.DUMMYFUNCTION("""COMPUTED_VALUE"""),"Building")</f>
        <v>Building</v>
      </c>
      <c r="D3002" s="2" t="str">
        <f ca="1">IFERROR(__xludf.DUMMYFUNCTION("""COMPUTED_VALUE"""),"Dubai&gt;Al Nahda (Dubai)&gt;Al Nahda 2&gt;Lootha Building")</f>
        <v>Dubai&gt;Al Nahda (Dubai)&gt;Al Nahda 2&gt;Lootha Building</v>
      </c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</row>
    <row r="3003" spans="1:26" ht="16.5" x14ac:dyDescent="0.35">
      <c r="A3003" s="2" t="str">
        <f ca="1">IFERROR(__xludf.DUMMYFUNCTION("""COMPUTED_VALUE"""),"Dubai")</f>
        <v>Dubai</v>
      </c>
      <c r="B3003" s="2" t="str">
        <f ca="1">IFERROR(__xludf.DUMMYFUNCTION("""COMPUTED_VALUE"""),"Al Jabri Tower 1")</f>
        <v>Al Jabri Tower 1</v>
      </c>
      <c r="C3003" s="2" t="str">
        <f ca="1">IFERROR(__xludf.DUMMYFUNCTION("""COMPUTED_VALUE"""),"Building")</f>
        <v>Building</v>
      </c>
      <c r="D3003" s="2" t="str">
        <f ca="1">IFERROR(__xludf.DUMMYFUNCTION("""COMPUTED_VALUE"""),"Dubai&gt;Al Nahda (Dubai)&gt;Al Nahda 2&gt;Al Jabri Tower 1")</f>
        <v>Dubai&gt;Al Nahda (Dubai)&gt;Al Nahda 2&gt;Al Jabri Tower 1</v>
      </c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</row>
    <row r="3004" spans="1:26" ht="16.5" x14ac:dyDescent="0.35">
      <c r="A3004" s="2" t="str">
        <f ca="1">IFERROR(__xludf.DUMMYFUNCTION("""COMPUTED_VALUE"""),"Dubai")</f>
        <v>Dubai</v>
      </c>
      <c r="B3004" s="2" t="str">
        <f ca="1">IFERROR(__xludf.DUMMYFUNCTION("""COMPUTED_VALUE"""),"Ahli House B")</f>
        <v>Ahli House B</v>
      </c>
      <c r="C3004" s="2" t="str">
        <f ca="1">IFERROR(__xludf.DUMMYFUNCTION("""COMPUTED_VALUE"""),"Building")</f>
        <v>Building</v>
      </c>
      <c r="D3004" s="2" t="str">
        <f ca="1">IFERROR(__xludf.DUMMYFUNCTION("""COMPUTED_VALUE"""),"Dubai&gt;Al Nahda (Dubai)&gt;Al Nahda 2&gt;Ahli House B")</f>
        <v>Dubai&gt;Al Nahda (Dubai)&gt;Al Nahda 2&gt;Ahli House B</v>
      </c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</row>
    <row r="3005" spans="1:26" ht="16.5" x14ac:dyDescent="0.35">
      <c r="A3005" s="2" t="str">
        <f ca="1">IFERROR(__xludf.DUMMYFUNCTION("""COMPUTED_VALUE"""),"Dubai")</f>
        <v>Dubai</v>
      </c>
      <c r="B3005" s="2" t="str">
        <f ca="1">IFERROR(__xludf.DUMMYFUNCTION("""COMPUTED_VALUE"""),"Ahmed Mohammed Saeed Bin Humaidan Building")</f>
        <v>Ahmed Mohammed Saeed Bin Humaidan Building</v>
      </c>
      <c r="C3005" s="2" t="str">
        <f ca="1">IFERROR(__xludf.DUMMYFUNCTION("""COMPUTED_VALUE"""),"Building")</f>
        <v>Building</v>
      </c>
      <c r="D3005" s="2" t="str">
        <f ca="1">IFERROR(__xludf.DUMMYFUNCTION("""COMPUTED_VALUE"""),"Dubai&gt;Al Nahda (Dubai)&gt;Al Nahda 2&gt;Ahmed Mohammed Saeed Bin Humaidan Building")</f>
        <v>Dubai&gt;Al Nahda (Dubai)&gt;Al Nahda 2&gt;Ahmed Mohammed Saeed Bin Humaidan Building</v>
      </c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</row>
    <row r="3006" spans="1:26" ht="16.5" x14ac:dyDescent="0.35">
      <c r="A3006" s="2" t="str">
        <f ca="1">IFERROR(__xludf.DUMMYFUNCTION("""COMPUTED_VALUE"""),"Dubai")</f>
        <v>Dubai</v>
      </c>
      <c r="B3006" s="2" t="str">
        <f ca="1">IFERROR(__xludf.DUMMYFUNCTION("""COMPUTED_VALUE"""),"Jumeirah Island 2")</f>
        <v>Jumeirah Island 2</v>
      </c>
      <c r="C3006" s="2" t="str">
        <f ca="1">IFERROR(__xludf.DUMMYFUNCTION("""COMPUTED_VALUE"""),"Neighbourhood")</f>
        <v>Neighbourhood</v>
      </c>
      <c r="D3006" s="2" t="str">
        <f ca="1">IFERROR(__xludf.DUMMYFUNCTION("""COMPUTED_VALUE"""),"Dubai&gt;Jumeirah Island 2")</f>
        <v>Dubai&gt;Jumeirah Island 2</v>
      </c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</row>
    <row r="3007" spans="1:26" ht="16.5" x14ac:dyDescent="0.35">
      <c r="A3007" s="2" t="str">
        <f ca="1">IFERROR(__xludf.DUMMYFUNCTION("""COMPUTED_VALUE"""),"Dubai")</f>
        <v>Dubai</v>
      </c>
      <c r="B3007" s="2" t="str">
        <f ca="1">IFERROR(__xludf.DUMMYFUNCTION("""COMPUTED_VALUE"""),"Lagoon Views 11")</f>
        <v>Lagoon Views 11</v>
      </c>
      <c r="C3007" s="2" t="str">
        <f ca="1">IFERROR(__xludf.DUMMYFUNCTION("""COMPUTED_VALUE"""),"Building")</f>
        <v>Building</v>
      </c>
      <c r="D3007" s="2" t="str">
        <f ca="1">IFERROR(__xludf.DUMMYFUNCTION("""COMPUTED_VALUE"""),"Dubai&gt;DAMAC Lagoons&gt;Lagoon Views&gt;Lagoon Views 11")</f>
        <v>Dubai&gt;DAMAC Lagoons&gt;Lagoon Views&gt;Lagoon Views 11</v>
      </c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</row>
    <row r="3008" spans="1:26" ht="16.5" x14ac:dyDescent="0.35">
      <c r="A3008" s="2" t="str">
        <f ca="1">IFERROR(__xludf.DUMMYFUNCTION("""COMPUTED_VALUE"""),"Dubai")</f>
        <v>Dubai</v>
      </c>
      <c r="B3008" s="2" t="str">
        <f ca="1">IFERROR(__xludf.DUMMYFUNCTION("""COMPUTED_VALUE"""),"SAS 3 Building")</f>
        <v>SAS 3 Building</v>
      </c>
      <c r="C3008" s="2" t="str">
        <f ca="1">IFERROR(__xludf.DUMMYFUNCTION("""COMPUTED_VALUE"""),"Building")</f>
        <v>Building</v>
      </c>
      <c r="D3008" s="2" t="str">
        <f ca="1">IFERROR(__xludf.DUMMYFUNCTION("""COMPUTED_VALUE"""),"Dubai&gt;Liwan 2&gt;SAS 3 Building")</f>
        <v>Dubai&gt;Liwan 2&gt;SAS 3 Building</v>
      </c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</row>
    <row r="3009" spans="1:26" ht="16.5" x14ac:dyDescent="0.35">
      <c r="A3009" s="2" t="str">
        <f ca="1">IFERROR(__xludf.DUMMYFUNCTION("""COMPUTED_VALUE"""),"Dubai")</f>
        <v>Dubai</v>
      </c>
      <c r="B3009" s="2" t="str">
        <f ca="1">IFERROR(__xludf.DUMMYFUNCTION("""COMPUTED_VALUE"""),"Global Village")</f>
        <v>Global Village</v>
      </c>
      <c r="C3009" s="2" t="str">
        <f ca="1">IFERROR(__xludf.DUMMYFUNCTION("""COMPUTED_VALUE"""),"Neighbourhood")</f>
        <v>Neighbourhood</v>
      </c>
      <c r="D3009" s="2" t="str">
        <f ca="1">IFERROR(__xludf.DUMMYFUNCTION("""COMPUTED_VALUE"""),"Dubai&gt;Global Village")</f>
        <v>Dubai&gt;Global Village</v>
      </c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</row>
    <row r="3010" spans="1:26" ht="16.5" x14ac:dyDescent="0.35">
      <c r="A3010" s="2" t="str">
        <f ca="1">IFERROR(__xludf.DUMMYFUNCTION("""COMPUTED_VALUE"""),"Dubai")</f>
        <v>Dubai</v>
      </c>
      <c r="B3010" s="2" t="str">
        <f ca="1">IFERROR(__xludf.DUMMYFUNCTION("""COMPUTED_VALUE"""),"Gulf Housing Solutions 1")</f>
        <v>Gulf Housing Solutions 1</v>
      </c>
      <c r="C3010" s="2" t="str">
        <f ca="1">IFERROR(__xludf.DUMMYFUNCTION("""COMPUTED_VALUE"""),"Building")</f>
        <v>Building</v>
      </c>
      <c r="D3010" s="2" t="str">
        <f ca="1">IFERROR(__xludf.DUMMYFUNCTION("""COMPUTED_VALUE"""),"Dubai&gt;Dubai Investment Park (DIP)&gt;Dubai Investment Park 1&gt;Gulf Housing Solutions 1")</f>
        <v>Dubai&gt;Dubai Investment Park (DIP)&gt;Dubai Investment Park 1&gt;Gulf Housing Solutions 1</v>
      </c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</row>
    <row r="3011" spans="1:26" ht="16.5" x14ac:dyDescent="0.35">
      <c r="A3011" s="2" t="str">
        <f ca="1">IFERROR(__xludf.DUMMYFUNCTION("""COMPUTED_VALUE"""),"Dubai")</f>
        <v>Dubai</v>
      </c>
      <c r="B3011" s="2" t="str">
        <f ca="1">IFERROR(__xludf.DUMMYFUNCTION("""COMPUTED_VALUE"""),"Palmon FZC Staff Accommodation")</f>
        <v>Palmon FZC Staff Accommodation</v>
      </c>
      <c r="C3011" s="2" t="str">
        <f ca="1">IFERROR(__xludf.DUMMYFUNCTION("""COMPUTED_VALUE"""),"Cluster")</f>
        <v>Cluster</v>
      </c>
      <c r="D3011" s="2" t="str">
        <f ca="1">IFERROR(__xludf.DUMMYFUNCTION("""COMPUTED_VALUE"""),"Dubai&gt;Dubai Investment Park (DIP)&gt;Dubai Investment Park 1&gt;Palmon FZC Staff Accommodation")</f>
        <v>Dubai&gt;Dubai Investment Park (DIP)&gt;Dubai Investment Park 1&gt;Palmon FZC Staff Accommodation</v>
      </c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</row>
    <row r="3012" spans="1:26" ht="16.5" x14ac:dyDescent="0.35">
      <c r="A3012" s="2" t="str">
        <f ca="1">IFERROR(__xludf.DUMMYFUNCTION("""COMPUTED_VALUE"""),"Dubai")</f>
        <v>Dubai</v>
      </c>
      <c r="B3012" s="2" t="str">
        <f ca="1">IFERROR(__xludf.DUMMYFUNCTION("""COMPUTED_VALUE"""),"Golden Sands")</f>
        <v>Golden Sands</v>
      </c>
      <c r="C3012" s="2" t="str">
        <f ca="1">IFERROR(__xludf.DUMMYFUNCTION("""COMPUTED_VALUE"""),"Building")</f>
        <v>Building</v>
      </c>
      <c r="D3012" s="2" t="str">
        <f ca="1">IFERROR(__xludf.DUMMYFUNCTION("""COMPUTED_VALUE"""),"Dubai&gt;Dubai Investment Park (DIP)&gt;Golden Sands")</f>
        <v>Dubai&gt;Dubai Investment Park (DIP)&gt;Golden Sands</v>
      </c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</row>
    <row r="3013" spans="1:26" ht="16.5" x14ac:dyDescent="0.35">
      <c r="A3013" s="2" t="str">
        <f ca="1">IFERROR(__xludf.DUMMYFUNCTION("""COMPUTED_VALUE"""),"Dubai")</f>
        <v>Dubai</v>
      </c>
      <c r="B3013" s="2" t="str">
        <f ca="1">IFERROR(__xludf.DUMMYFUNCTION("""COMPUTED_VALUE"""),"Ritaj Block K")</f>
        <v>Ritaj Block K</v>
      </c>
      <c r="C3013" s="2" t="str">
        <f ca="1">IFERROR(__xludf.DUMMYFUNCTION("""COMPUTED_VALUE"""),"Building")</f>
        <v>Building</v>
      </c>
      <c r="D3013" s="2" t="str">
        <f ca="1">IFERROR(__xludf.DUMMYFUNCTION("""COMPUTED_VALUE"""),"Dubai&gt;Dubai Investment Park (DIP)&gt;Dubai Investment Park 2&gt;Ritaj (Residential Complex)&gt;Ritaj Block K")</f>
        <v>Dubai&gt;Dubai Investment Park (DIP)&gt;Dubai Investment Park 2&gt;Ritaj (Residential Complex)&gt;Ritaj Block K</v>
      </c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</row>
    <row r="3014" spans="1:26" ht="16.5" x14ac:dyDescent="0.35">
      <c r="A3014" s="2" t="str">
        <f ca="1">IFERROR(__xludf.DUMMYFUNCTION("""COMPUTED_VALUE"""),"Dubai")</f>
        <v>Dubai</v>
      </c>
      <c r="B3014" s="2" t="str">
        <f ca="1">IFERROR(__xludf.DUMMYFUNCTION("""COMPUTED_VALUE"""),"Mayfair Business Centre")</f>
        <v>Mayfair Business Centre</v>
      </c>
      <c r="C3014" s="2" t="str">
        <f ca="1">IFERROR(__xludf.DUMMYFUNCTION("""COMPUTED_VALUE"""),"Building")</f>
        <v>Building</v>
      </c>
      <c r="D3014" s="2" t="str">
        <f ca="1">IFERROR(__xludf.DUMMYFUNCTION("""COMPUTED_VALUE"""),"Dubai&gt;Dubai Investment Park (DIP)&gt;Mayfair Business Centre")</f>
        <v>Dubai&gt;Dubai Investment Park (DIP)&gt;Mayfair Business Centre</v>
      </c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</row>
    <row r="3015" spans="1:26" ht="16.5" x14ac:dyDescent="0.35">
      <c r="A3015" s="2" t="str">
        <f ca="1">IFERROR(__xludf.DUMMYFUNCTION("""COMPUTED_VALUE"""),"Dubai")</f>
        <v>Dubai</v>
      </c>
      <c r="B3015" s="2" t="str">
        <f ca="1">IFERROR(__xludf.DUMMYFUNCTION("""COMPUTED_VALUE"""),"Marine 4")</f>
        <v>Marine 4</v>
      </c>
      <c r="C3015" s="2" t="str">
        <f ca="1">IFERROR(__xludf.DUMMYFUNCTION("""COMPUTED_VALUE"""),"Building")</f>
        <v>Building</v>
      </c>
      <c r="D3015" s="2" t="str">
        <f ca="1">IFERROR(__xludf.DUMMYFUNCTION("""COMPUTED_VALUE"""),"Dubai&gt;Dubai Investment Park (DIP)&gt;DAMAC Riverside&gt;Riverside Views&gt;Marine 4")</f>
        <v>Dubai&gt;Dubai Investment Park (DIP)&gt;DAMAC Riverside&gt;Riverside Views&gt;Marine 4</v>
      </c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</row>
    <row r="3016" spans="1:26" ht="16.5" x14ac:dyDescent="0.35">
      <c r="A3016" s="2" t="str">
        <f ca="1">IFERROR(__xludf.DUMMYFUNCTION("""COMPUTED_VALUE"""),"Dubai")</f>
        <v>Dubai</v>
      </c>
      <c r="B3016" s="2" t="str">
        <f ca="1">IFERROR(__xludf.DUMMYFUNCTION("""COMPUTED_VALUE"""),"Sherena Residence 2")</f>
        <v>Sherena Residence 2</v>
      </c>
      <c r="C3016" s="2" t="str">
        <f ca="1">IFERROR(__xludf.DUMMYFUNCTION("""COMPUTED_VALUE"""),"Building")</f>
        <v>Building</v>
      </c>
      <c r="D3016" s="2" t="str">
        <f ca="1">IFERROR(__xludf.DUMMYFUNCTION("""COMPUTED_VALUE"""),"Dubai&gt;Majan&gt;Sherena Residence 2")</f>
        <v>Dubai&gt;Majan&gt;Sherena Residence 2</v>
      </c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</row>
    <row r="3017" spans="1:26" ht="16.5" x14ac:dyDescent="0.35">
      <c r="A3017" s="2" t="str">
        <f ca="1">IFERROR(__xludf.DUMMYFUNCTION("""COMPUTED_VALUE"""),"Dubai")</f>
        <v>Dubai</v>
      </c>
      <c r="B3017" s="2" t="str">
        <f ca="1">IFERROR(__xludf.DUMMYFUNCTION("""COMPUTED_VALUE"""),"Novi 2 Residences")</f>
        <v>Novi 2 Residences</v>
      </c>
      <c r="C3017" s="2" t="str">
        <f ca="1">IFERROR(__xludf.DUMMYFUNCTION("""COMPUTED_VALUE"""),"Building")</f>
        <v>Building</v>
      </c>
      <c r="D3017" s="2" t="str">
        <f ca="1">IFERROR(__xludf.DUMMYFUNCTION("""COMPUTED_VALUE"""),"Dubai&gt;Majan&gt;Novi 2 Residences")</f>
        <v>Dubai&gt;Majan&gt;Novi 2 Residences</v>
      </c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</row>
    <row r="3018" spans="1:26" ht="16.5" x14ac:dyDescent="0.35">
      <c r="A3018" s="2" t="str">
        <f ca="1">IFERROR(__xludf.DUMMYFUNCTION("""COMPUTED_VALUE"""),"Dubai")</f>
        <v>Dubai</v>
      </c>
      <c r="B3018" s="2" t="str">
        <f ca="1">IFERROR(__xludf.DUMMYFUNCTION("""COMPUTED_VALUE"""),"Bottega Nove")</f>
        <v>Bottega Nove</v>
      </c>
      <c r="C3018" s="2" t="str">
        <f ca="1">IFERROR(__xludf.DUMMYFUNCTION("""COMPUTED_VALUE"""),"Building")</f>
        <v>Building</v>
      </c>
      <c r="D3018" s="2" t="str">
        <f ca="1">IFERROR(__xludf.DUMMYFUNCTION("""COMPUTED_VALUE"""),"Dubai&gt;Majan&gt;Bottega Nove")</f>
        <v>Dubai&gt;Majan&gt;Bottega Nove</v>
      </c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</row>
    <row r="3019" spans="1:26" ht="16.5" x14ac:dyDescent="0.35">
      <c r="A3019" s="2" t="str">
        <f ca="1">IFERROR(__xludf.DUMMYFUNCTION("""COMPUTED_VALUE"""),"Dubai")</f>
        <v>Dubai</v>
      </c>
      <c r="B3019" s="2" t="str">
        <f ca="1">IFERROR(__xludf.DUMMYFUNCTION("""COMPUTED_VALUE"""),"Palmiera Collective")</f>
        <v>Palmiera Collective</v>
      </c>
      <c r="C3019" s="2" t="str">
        <f ca="1">IFERROR(__xludf.DUMMYFUNCTION("""COMPUTED_VALUE"""),"Neighbourhood")</f>
        <v>Neighbourhood</v>
      </c>
      <c r="D3019" s="2" t="str">
        <f ca="1">IFERROR(__xludf.DUMMYFUNCTION("""COMPUTED_VALUE"""),"Dubai&gt;The Oasis by Emaar&gt;Palmiera Collective")</f>
        <v>Dubai&gt;The Oasis by Emaar&gt;Palmiera Collective</v>
      </c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</row>
    <row r="3020" spans="1:26" ht="16.5" x14ac:dyDescent="0.35">
      <c r="A3020" s="2" t="str">
        <f ca="1">IFERROR(__xludf.DUMMYFUNCTION("""COMPUTED_VALUE"""),"Dubai")</f>
        <v>Dubai</v>
      </c>
      <c r="B3020" s="2" t="str">
        <f ca="1">IFERROR(__xludf.DUMMYFUNCTION("""COMPUTED_VALUE"""),"The Hive Block B")</f>
        <v>The Hive Block B</v>
      </c>
      <c r="C3020" s="2" t="str">
        <f ca="1">IFERROR(__xludf.DUMMYFUNCTION("""COMPUTED_VALUE"""),"Building")</f>
        <v>Building</v>
      </c>
      <c r="D3020" s="2" t="str">
        <f ca="1">IFERROR(__xludf.DUMMYFUNCTION("""COMPUTED_VALUE"""),"Dubai&gt;Dubai Studio City&gt;The Hive&gt;The Hive Block B")</f>
        <v>Dubai&gt;Dubai Studio City&gt;The Hive&gt;The Hive Block B</v>
      </c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</row>
    <row r="3021" spans="1:26" ht="16.5" x14ac:dyDescent="0.35">
      <c r="A3021" s="2" t="str">
        <f ca="1">IFERROR(__xludf.DUMMYFUNCTION("""COMPUTED_VALUE"""),"Dubai")</f>
        <v>Dubai</v>
      </c>
      <c r="B3021" s="2" t="str">
        <f ca="1">IFERROR(__xludf.DUMMYFUNCTION("""COMPUTED_VALUE"""),"BS-11")</f>
        <v>BS-11</v>
      </c>
      <c r="C3021" s="2" t="str">
        <f ca="1">IFERROR(__xludf.DUMMYFUNCTION("""COMPUTED_VALUE"""),"Building")</f>
        <v>Building</v>
      </c>
      <c r="D3021" s="2" t="str">
        <f ca="1">IFERROR(__xludf.DUMMYFUNCTION("""COMPUTED_VALUE"""),"Dubai&gt;Dubai Studio City&gt;Boutique Studios&gt;BS-11")</f>
        <v>Dubai&gt;Dubai Studio City&gt;Boutique Studios&gt;BS-11</v>
      </c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</row>
    <row r="3022" spans="1:26" ht="16.5" x14ac:dyDescent="0.35">
      <c r="A3022" s="2" t="str">
        <f ca="1">IFERROR(__xludf.DUMMYFUNCTION("""COMPUTED_VALUE"""),"Dubai")</f>
        <v>Dubai</v>
      </c>
      <c r="B3022" s="2" t="str">
        <f ca="1">IFERROR(__xludf.DUMMYFUNCTION("""COMPUTED_VALUE"""),"Hartland Greens Building 4")</f>
        <v>Hartland Greens Building 4</v>
      </c>
      <c r="C3022" s="2" t="str">
        <f ca="1">IFERROR(__xludf.DUMMYFUNCTION("""COMPUTED_VALUE"""),"Building")</f>
        <v>Building</v>
      </c>
      <c r="D3022" s="2" t="str">
        <f ca="1">IFERROR(__xludf.DUMMYFUNCTION("""COMPUTED_VALUE"""),"Dubai&gt;Sobha Hartland&gt;Hartland Greens&gt;Hartland Greens Building 4")</f>
        <v>Dubai&gt;Sobha Hartland&gt;Hartland Greens&gt;Hartland Greens Building 4</v>
      </c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</row>
    <row r="3023" spans="1:26" ht="16.5" x14ac:dyDescent="0.35">
      <c r="A3023" s="2" t="str">
        <f ca="1">IFERROR(__xludf.DUMMYFUNCTION("""COMPUTED_VALUE"""),"Dubai")</f>
        <v>Dubai</v>
      </c>
      <c r="B3023" s="2" t="str">
        <f ca="1">IFERROR(__xludf.DUMMYFUNCTION("""COMPUTED_VALUE"""),"The Crest Tower D")</f>
        <v>The Crest Tower D</v>
      </c>
      <c r="C3023" s="2" t="str">
        <f ca="1">IFERROR(__xludf.DUMMYFUNCTION("""COMPUTED_VALUE"""),"Building")</f>
        <v>Building</v>
      </c>
      <c r="D3023" s="2" t="str">
        <f ca="1">IFERROR(__xludf.DUMMYFUNCTION("""COMPUTED_VALUE"""),"Dubai&gt;Sobha Hartland&gt;The Crest&gt;The Crest Tower D")</f>
        <v>Dubai&gt;Sobha Hartland&gt;The Crest&gt;The Crest Tower D</v>
      </c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</row>
    <row r="3024" spans="1:26" ht="16.5" x14ac:dyDescent="0.35">
      <c r="A3024" s="2" t="str">
        <f ca="1">IFERROR(__xludf.DUMMYFUNCTION("""COMPUTED_VALUE"""),"Dubai")</f>
        <v>Dubai</v>
      </c>
      <c r="B3024" s="2" t="str">
        <f ca="1">IFERROR(__xludf.DUMMYFUNCTION("""COMPUTED_VALUE"""),"Eltiera Heights")</f>
        <v>Eltiera Heights</v>
      </c>
      <c r="C3024" s="2" t="str">
        <f ca="1">IFERROR(__xludf.DUMMYFUNCTION("""COMPUTED_VALUE"""),"Building")</f>
        <v>Building</v>
      </c>
      <c r="D3024" s="2" t="str">
        <f ca="1">IFERROR(__xludf.DUMMYFUNCTION("""COMPUTED_VALUE"""),"Dubai&gt;Jumeirah Heights&gt;Eltiera Heights")</f>
        <v>Dubai&gt;Jumeirah Heights&gt;Eltiera Heights</v>
      </c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</row>
    <row r="3025" spans="1:26" ht="16.5" x14ac:dyDescent="0.35">
      <c r="A3025" s="2" t="str">
        <f ca="1">IFERROR(__xludf.DUMMYFUNCTION("""COMPUTED_VALUE"""),"Dubai")</f>
        <v>Dubai</v>
      </c>
      <c r="B3025" s="2" t="str">
        <f ca="1">IFERROR(__xludf.DUMMYFUNCTION("""COMPUTED_VALUE"""),"Expo Valley Views Building 4")</f>
        <v>Expo Valley Views Building 4</v>
      </c>
      <c r="C3025" s="2" t="str">
        <f ca="1">IFERROR(__xludf.DUMMYFUNCTION("""COMPUTED_VALUE"""),"Building")</f>
        <v>Building</v>
      </c>
      <c r="D3025" s="2" t="str">
        <f ca="1">IFERROR(__xludf.DUMMYFUNCTION("""COMPUTED_VALUE"""),"Dubai&gt;Expo City&gt;Expo Valley&gt;Expo Valley Views&gt;Expo Valley Views Building 4")</f>
        <v>Dubai&gt;Expo City&gt;Expo Valley&gt;Expo Valley Views&gt;Expo Valley Views Building 4</v>
      </c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</row>
    <row r="3026" spans="1:26" ht="16.5" x14ac:dyDescent="0.35">
      <c r="A3026" s="2" t="str">
        <f ca="1">IFERROR(__xludf.DUMMYFUNCTION("""COMPUTED_VALUE"""),"Dubai")</f>
        <v>Dubai</v>
      </c>
      <c r="B3026" s="2" t="str">
        <f ca="1">IFERROR(__xludf.DUMMYFUNCTION("""COMPUTED_VALUE"""),"Sweden Island")</f>
        <v>Sweden Island</v>
      </c>
      <c r="C3026" s="2" t="str">
        <f ca="1">IFERROR(__xludf.DUMMYFUNCTION("""COMPUTED_VALUE"""),"Neighbourhood")</f>
        <v>Neighbourhood</v>
      </c>
      <c r="D3026" s="2" t="str">
        <f ca="1">IFERROR(__xludf.DUMMYFUNCTION("""COMPUTED_VALUE"""),"Dubai&gt;The World Islands&gt;Sweden Island")</f>
        <v>Dubai&gt;The World Islands&gt;Sweden Island</v>
      </c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</row>
    <row r="3027" spans="1:26" ht="16.5" x14ac:dyDescent="0.35">
      <c r="A3027" s="2" t="str">
        <f ca="1">IFERROR(__xludf.DUMMYFUNCTION("""COMPUTED_VALUE"""),"Dubai")</f>
        <v>Dubai</v>
      </c>
      <c r="B3027" s="2" t="str">
        <f ca="1">IFERROR(__xludf.DUMMYFUNCTION("""COMPUTED_VALUE"""),"Saih Shua'alah")</f>
        <v>Saih Shua'alah</v>
      </c>
      <c r="C3027" s="2" t="str">
        <f ca="1">IFERROR(__xludf.DUMMYFUNCTION("""COMPUTED_VALUE"""),"Neighbourhood")</f>
        <v>Neighbourhood</v>
      </c>
      <c r="D3027" s="2" t="str">
        <f ca="1">IFERROR(__xludf.DUMMYFUNCTION("""COMPUTED_VALUE"""),"Dubai&gt;Saih Shua'alah")</f>
        <v>Dubai&gt;Saih Shua'alah</v>
      </c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</row>
    <row r="3028" spans="1:26" ht="16.5" x14ac:dyDescent="0.35">
      <c r="A3028" s="2" t="str">
        <f ca="1">IFERROR(__xludf.DUMMYFUNCTION("""COMPUTED_VALUE"""),"Dubai")</f>
        <v>Dubai</v>
      </c>
      <c r="B3028" s="2" t="str">
        <f ca="1">IFERROR(__xludf.DUMMYFUNCTION("""COMPUTED_VALUE"""),"Grid")</f>
        <v>Grid</v>
      </c>
      <c r="C3028" s="2" t="str">
        <f ca="1">IFERROR(__xludf.DUMMYFUNCTION("""COMPUTED_VALUE"""),"Building")</f>
        <v>Building</v>
      </c>
      <c r="D3028" s="2" t="str">
        <f ca="1">IFERROR(__xludf.DUMMYFUNCTION("""COMPUTED_VALUE"""),"Dubai&gt;Athlon by Aldar&gt;Rise by Athlon&gt;Grid")</f>
        <v>Dubai&gt;Athlon by Aldar&gt;Rise by Athlon&gt;Grid</v>
      </c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</row>
    <row r="3029" spans="1:26" ht="16.5" x14ac:dyDescent="0.35">
      <c r="A3029" s="2" t="str">
        <f ca="1">IFERROR(__xludf.DUMMYFUNCTION("""COMPUTED_VALUE"""),"Dubai")</f>
        <v>Dubai</v>
      </c>
      <c r="B3029" s="2" t="str">
        <f ca="1">IFERROR(__xludf.DUMMYFUNCTION("""COMPUTED_VALUE"""),"Distrikt 1")</f>
        <v>Distrikt 1</v>
      </c>
      <c r="C3029" s="2" t="str">
        <f ca="1">IFERROR(__xludf.DUMMYFUNCTION("""COMPUTED_VALUE"""),"Building")</f>
        <v>Building</v>
      </c>
      <c r="D3029" s="2" t="str">
        <f ca="1">IFERROR(__xludf.DUMMYFUNCTION("""COMPUTED_VALUE"""),"Dubai&gt;Ghaf Woods&gt;Distrikt&gt;Distrikt 1")</f>
        <v>Dubai&gt;Ghaf Woods&gt;Distrikt&gt;Distrikt 1</v>
      </c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</row>
    <row r="3030" spans="1:26" ht="16.5" x14ac:dyDescent="0.35">
      <c r="A3030" s="2" t="str">
        <f ca="1">IFERROR(__xludf.DUMMYFUNCTION("""COMPUTED_VALUE"""),"Dubai")</f>
        <v>Dubai</v>
      </c>
      <c r="B3030" s="2" t="str">
        <f ca="1">IFERROR(__xludf.DUMMYFUNCTION("""COMPUTED_VALUE"""),"Odyssey Nursery Jumeirah Beach Residence")</f>
        <v>Odyssey Nursery Jumeirah Beach Residence</v>
      </c>
      <c r="C3030" s="2" t="str">
        <f ca="1">IFERROR(__xludf.DUMMYFUNCTION("""COMPUTED_VALUE"""),"Nursery")</f>
        <v>Nursery</v>
      </c>
      <c r="D3030" s="2" t="str">
        <f ca="1">IFERROR(__xludf.DUMMYFUNCTION("""COMPUTED_VALUE"""),"Dubai&gt;Jumeirah Beach Residence (JBR)&gt;Odyssey Nursery Jumeirah Beach Residence")</f>
        <v>Dubai&gt;Jumeirah Beach Residence (JBR)&gt;Odyssey Nursery Jumeirah Beach Residence</v>
      </c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</row>
    <row r="3031" spans="1:26" ht="16.5" x14ac:dyDescent="0.35">
      <c r="A3031" s="2" t="str">
        <f ca="1">IFERROR(__xludf.DUMMYFUNCTION("""COMPUTED_VALUE"""),"Dubai")</f>
        <v>Dubai</v>
      </c>
      <c r="B3031" s="2" t="str">
        <f ca="1">IFERROR(__xludf.DUMMYFUNCTION("""COMPUTED_VALUE"""),"Murjan 4")</f>
        <v>Murjan 4</v>
      </c>
      <c r="C3031" s="2" t="str">
        <f ca="1">IFERROR(__xludf.DUMMYFUNCTION("""COMPUTED_VALUE"""),"Building")</f>
        <v>Building</v>
      </c>
      <c r="D3031" s="2" t="str">
        <f ca="1">IFERROR(__xludf.DUMMYFUNCTION("""COMPUTED_VALUE"""),"Dubai&gt;Jumeirah Beach Residence (JBR)&gt;Murjan&gt;Murjan 4")</f>
        <v>Dubai&gt;Jumeirah Beach Residence (JBR)&gt;Murjan&gt;Murjan 4</v>
      </c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</row>
    <row r="3032" spans="1:26" ht="16.5" x14ac:dyDescent="0.35">
      <c r="A3032" s="2" t="str">
        <f ca="1">IFERROR(__xludf.DUMMYFUNCTION("""COMPUTED_VALUE"""),"Dubai")</f>
        <v>Dubai</v>
      </c>
      <c r="B3032" s="2" t="str">
        <f ca="1">IFERROR(__xludf.DUMMYFUNCTION("""COMPUTED_VALUE"""),"Amwaj 2")</f>
        <v>Amwaj 2</v>
      </c>
      <c r="C3032" s="2" t="str">
        <f ca="1">IFERROR(__xludf.DUMMYFUNCTION("""COMPUTED_VALUE"""),"Building")</f>
        <v>Building</v>
      </c>
      <c r="D3032" s="2" t="str">
        <f ca="1">IFERROR(__xludf.DUMMYFUNCTION("""COMPUTED_VALUE"""),"Dubai&gt;Jumeirah Beach Residence (JBR)&gt;Amwaj&gt;Amwaj 2")</f>
        <v>Dubai&gt;Jumeirah Beach Residence (JBR)&gt;Amwaj&gt;Amwaj 2</v>
      </c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</row>
    <row r="3033" spans="1:26" ht="16.5" x14ac:dyDescent="0.35">
      <c r="A3033" s="2" t="str">
        <f ca="1">IFERROR(__xludf.DUMMYFUNCTION("""COMPUTED_VALUE"""),"Dubai")</f>
        <v>Dubai</v>
      </c>
      <c r="B3033" s="2" t="str">
        <f ca="1">IFERROR(__xludf.DUMMYFUNCTION("""COMPUTED_VALUE"""),"Bermuda")</f>
        <v>Bermuda</v>
      </c>
      <c r="C3033" s="2" t="str">
        <f ca="1">IFERROR(__xludf.DUMMYFUNCTION("""COMPUTED_VALUE"""),"Neighbourhood")</f>
        <v>Neighbourhood</v>
      </c>
      <c r="D3033" s="2" t="str">
        <f ca="1">IFERROR(__xludf.DUMMYFUNCTION("""COMPUTED_VALUE"""),"Dubai&gt;DAMAC Islands 2&gt;Bermuda")</f>
        <v>Dubai&gt;DAMAC Islands 2&gt;Bermuda</v>
      </c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</row>
    <row r="3034" spans="1:26" ht="16.5" x14ac:dyDescent="0.35">
      <c r="A3034" s="2" t="str">
        <f ca="1">IFERROR(__xludf.DUMMYFUNCTION("""COMPUTED_VALUE"""),"Dubai")</f>
        <v>Dubai</v>
      </c>
      <c r="B3034" s="2" t="str">
        <f ca="1">IFERROR(__xludf.DUMMYFUNCTION("""COMPUTED_VALUE"""),"Building 24")</f>
        <v>Building 24</v>
      </c>
      <c r="C3034" s="2" t="str">
        <f ca="1">IFERROR(__xludf.DUMMYFUNCTION("""COMPUTED_VALUE"""),"Building")</f>
        <v>Building</v>
      </c>
      <c r="D3034" s="2" t="str">
        <f ca="1">IFERROR(__xludf.DUMMYFUNCTION("""COMPUTED_VALUE"""),"Dubai&gt;Al Wasl&gt;City Walk&gt;Building 24")</f>
        <v>Dubai&gt;Al Wasl&gt;City Walk&gt;Building 24</v>
      </c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</row>
    <row r="3035" spans="1:26" ht="16.5" x14ac:dyDescent="0.35">
      <c r="A3035" s="2" t="str">
        <f ca="1">IFERROR(__xludf.DUMMYFUNCTION("""COMPUTED_VALUE"""),"Dubai")</f>
        <v>Dubai</v>
      </c>
      <c r="B3035" s="2" t="str">
        <f ca="1">IFERROR(__xludf.DUMMYFUNCTION("""COMPUTED_VALUE"""),"Building 3A")</f>
        <v>Building 3A</v>
      </c>
      <c r="C3035" s="2" t="str">
        <f ca="1">IFERROR(__xludf.DUMMYFUNCTION("""COMPUTED_VALUE"""),"Building")</f>
        <v>Building</v>
      </c>
      <c r="D3035" s="2" t="str">
        <f ca="1">IFERROR(__xludf.DUMMYFUNCTION("""COMPUTED_VALUE"""),"Dubai&gt;Al Wasl&gt;City Walk&gt;Building 3A")</f>
        <v>Dubai&gt;Al Wasl&gt;City Walk&gt;Building 3A</v>
      </c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</row>
    <row r="3036" spans="1:26" ht="16.5" x14ac:dyDescent="0.35">
      <c r="A3036" s="2" t="str">
        <f ca="1">IFERROR(__xludf.DUMMYFUNCTION("""COMPUTED_VALUE"""),"Dubai")</f>
        <v>Dubai</v>
      </c>
      <c r="B3036" s="2" t="str">
        <f ca="1">IFERROR(__xludf.DUMMYFUNCTION("""COMPUTED_VALUE"""),"City Walk Crestlane 5 Building B")</f>
        <v>City Walk Crestlane 5 Building B</v>
      </c>
      <c r="C3036" s="2" t="str">
        <f ca="1">IFERROR(__xludf.DUMMYFUNCTION("""COMPUTED_VALUE"""),"Building")</f>
        <v>Building</v>
      </c>
      <c r="D3036" s="2" t="str">
        <f ca="1">IFERROR(__xludf.DUMMYFUNCTION("""COMPUTED_VALUE"""),"Dubai&gt;Al Wasl&gt;City Walk&gt;City Walk Crestlane 5&gt;City Walk Crestlane 5 Building B")</f>
        <v>Dubai&gt;Al Wasl&gt;City Walk&gt;City Walk Crestlane 5&gt;City Walk Crestlane 5 Building B</v>
      </c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</row>
    <row r="3037" spans="1:26" ht="16.5" x14ac:dyDescent="0.35">
      <c r="A3037" s="2" t="str">
        <f ca="1">IFERROR(__xludf.DUMMYFUNCTION("""COMPUTED_VALUE"""),"Dubai")</f>
        <v>Dubai</v>
      </c>
      <c r="B3037" s="2" t="str">
        <f ca="1">IFERROR(__xludf.DUMMYFUNCTION("""COMPUTED_VALUE"""),"Eden House The Park Building A")</f>
        <v>Eden House The Park Building A</v>
      </c>
      <c r="C3037" s="2" t="str">
        <f ca="1">IFERROR(__xludf.DUMMYFUNCTION("""COMPUTED_VALUE"""),"Building")</f>
        <v>Building</v>
      </c>
      <c r="D3037" s="2" t="str">
        <f ca="1">IFERROR(__xludf.DUMMYFUNCTION("""COMPUTED_VALUE"""),"Dubai&gt;Al Wasl&gt;Eden House The Park&gt;Eden House The Park Building A")</f>
        <v>Dubai&gt;Al Wasl&gt;Eden House The Park&gt;Eden House The Park Building A</v>
      </c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</row>
    <row r="3038" spans="1:26" ht="16.5" x14ac:dyDescent="0.35">
      <c r="A3038" s="2" t="str">
        <f ca="1">IFERROR(__xludf.DUMMYFUNCTION("""COMPUTED_VALUE"""),"Dubai")</f>
        <v>Dubai</v>
      </c>
      <c r="B3038" s="2" t="str">
        <f ca="1">IFERROR(__xludf.DUMMYFUNCTION("""COMPUTED_VALUE"""),"Geepas Tower")</f>
        <v>Geepas Tower</v>
      </c>
      <c r="C3038" s="2" t="str">
        <f ca="1">IFERROR(__xludf.DUMMYFUNCTION("""COMPUTED_VALUE"""),"Building")</f>
        <v>Building</v>
      </c>
      <c r="D3038" s="2" t="str">
        <f ca="1">IFERROR(__xludf.DUMMYFUNCTION("""COMPUTED_VALUE"""),"Dubai&gt;Arjan&gt;Geepas Tower")</f>
        <v>Dubai&gt;Arjan&gt;Geepas Tower</v>
      </c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</row>
    <row r="3039" spans="1:26" ht="16.5" x14ac:dyDescent="0.35">
      <c r="A3039" s="2" t="str">
        <f ca="1">IFERROR(__xludf.DUMMYFUNCTION("""COMPUTED_VALUE"""),"Dubai")</f>
        <v>Dubai</v>
      </c>
      <c r="B3039" s="2" t="str">
        <f ca="1">IFERROR(__xludf.DUMMYFUNCTION("""COMPUTED_VALUE"""),"Syann Park 1")</f>
        <v>Syann Park 1</v>
      </c>
      <c r="C3039" s="2" t="str">
        <f ca="1">IFERROR(__xludf.DUMMYFUNCTION("""COMPUTED_VALUE"""),"Building")</f>
        <v>Building</v>
      </c>
      <c r="D3039" s="2" t="str">
        <f ca="1">IFERROR(__xludf.DUMMYFUNCTION("""COMPUTED_VALUE"""),"Dubai&gt;Arjan&gt;Syann Park 1")</f>
        <v>Dubai&gt;Arjan&gt;Syann Park 1</v>
      </c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</row>
    <row r="3040" spans="1:26" ht="16.5" x14ac:dyDescent="0.35">
      <c r="A3040" s="2" t="str">
        <f ca="1">IFERROR(__xludf.DUMMYFUNCTION("""COMPUTED_VALUE"""),"Dubai")</f>
        <v>Dubai</v>
      </c>
      <c r="B3040" s="2" t="str">
        <f ca="1">IFERROR(__xludf.DUMMYFUNCTION("""COMPUTED_VALUE"""),"The Wings")</f>
        <v>The Wings</v>
      </c>
      <c r="C3040" s="2" t="str">
        <f ca="1">IFERROR(__xludf.DUMMYFUNCTION("""COMPUTED_VALUE"""),"Cluster")</f>
        <v>Cluster</v>
      </c>
      <c r="D3040" s="2" t="str">
        <f ca="1">IFERROR(__xludf.DUMMYFUNCTION("""COMPUTED_VALUE"""),"Dubai&gt;Arjan&gt;The Wings")</f>
        <v>Dubai&gt;Arjan&gt;The Wings</v>
      </c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</row>
    <row r="3041" spans="1:26" ht="16.5" x14ac:dyDescent="0.35">
      <c r="A3041" s="2" t="str">
        <f ca="1">IFERROR(__xludf.DUMMYFUNCTION("""COMPUTED_VALUE"""),"Dubai")</f>
        <v>Dubai</v>
      </c>
      <c r="B3041" s="2" t="str">
        <f ca="1">IFERROR(__xludf.DUMMYFUNCTION("""COMPUTED_VALUE"""),"Welcome Residency")</f>
        <v>Welcome Residency</v>
      </c>
      <c r="C3041" s="2" t="str">
        <f ca="1">IFERROR(__xludf.DUMMYFUNCTION("""COMPUTED_VALUE"""),"Building")</f>
        <v>Building</v>
      </c>
      <c r="D3041" s="2" t="str">
        <f ca="1">IFERROR(__xludf.DUMMYFUNCTION("""COMPUTED_VALUE"""),"Dubai&gt;Arjan&gt;Welcome Residency")</f>
        <v>Dubai&gt;Arjan&gt;Welcome Residency</v>
      </c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</row>
    <row r="3042" spans="1:26" ht="16.5" x14ac:dyDescent="0.35">
      <c r="A3042" s="2" t="str">
        <f ca="1">IFERROR(__xludf.DUMMYFUNCTION("""COMPUTED_VALUE"""),"Dubai")</f>
        <v>Dubai</v>
      </c>
      <c r="B3042" s="2" t="str">
        <f ca="1">IFERROR(__xludf.DUMMYFUNCTION("""COMPUTED_VALUE"""),"Skylines of Arjan Tower B")</f>
        <v>Skylines of Arjan Tower B</v>
      </c>
      <c r="C3042" s="2" t="str">
        <f ca="1">IFERROR(__xludf.DUMMYFUNCTION("""COMPUTED_VALUE"""),"Building")</f>
        <v>Building</v>
      </c>
      <c r="D3042" s="2" t="str">
        <f ca="1">IFERROR(__xludf.DUMMYFUNCTION("""COMPUTED_VALUE"""),"Dubai&gt;Arjan&gt;Skylines of Arjan&gt;Skylines of Arjan Tower B")</f>
        <v>Dubai&gt;Arjan&gt;Skylines of Arjan&gt;Skylines of Arjan Tower B</v>
      </c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</row>
    <row r="3043" spans="1:26" ht="16.5" x14ac:dyDescent="0.35">
      <c r="A3043" s="2" t="str">
        <f ca="1">IFERROR(__xludf.DUMMYFUNCTION("""COMPUTED_VALUE"""),"Dubai")</f>
        <v>Dubai</v>
      </c>
      <c r="B3043" s="2" t="str">
        <f ca="1">IFERROR(__xludf.DUMMYFUNCTION("""COMPUTED_VALUE"""),"Sukna Building")</f>
        <v>Sukna Building</v>
      </c>
      <c r="C3043" s="2" t="str">
        <f ca="1">IFERROR(__xludf.DUMMYFUNCTION("""COMPUTED_VALUE"""),"Building")</f>
        <v>Building</v>
      </c>
      <c r="D3043" s="2" t="str">
        <f ca="1">IFERROR(__xludf.DUMMYFUNCTION("""COMPUTED_VALUE"""),"Dubai&gt;Arjan&gt;Sukna Building")</f>
        <v>Dubai&gt;Arjan&gt;Sukna Building</v>
      </c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</row>
    <row r="3044" spans="1:26" ht="16.5" x14ac:dyDescent="0.35">
      <c r="A3044" s="2" t="str">
        <f ca="1">IFERROR(__xludf.DUMMYFUNCTION("""COMPUTED_VALUE"""),"Dubai")</f>
        <v>Dubai</v>
      </c>
      <c r="B3044" s="2" t="str">
        <f ca="1">IFERROR(__xludf.DUMMYFUNCTION("""COMPUTED_VALUE"""),"Arenco Villas")</f>
        <v>Arenco Villas</v>
      </c>
      <c r="C3044" s="2" t="str">
        <f ca="1">IFERROR(__xludf.DUMMYFUNCTION("""COMPUTED_VALUE"""),"Neighbourhood")</f>
        <v>Neighbourhood</v>
      </c>
      <c r="D3044" s="2" t="str">
        <f ca="1">IFERROR(__xludf.DUMMYFUNCTION("""COMPUTED_VALUE"""),"Dubai&gt;Al Safa&gt;Al Safa 2&gt;Arenco Villas")</f>
        <v>Dubai&gt;Al Safa&gt;Al Safa 2&gt;Arenco Villas</v>
      </c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</row>
    <row r="3045" spans="1:26" ht="16.5" x14ac:dyDescent="0.35">
      <c r="A3045" s="2" t="str">
        <f ca="1">IFERROR(__xludf.DUMMYFUNCTION("""COMPUTED_VALUE"""),"Dubai")</f>
        <v>Dubai</v>
      </c>
      <c r="B3045" s="2" t="str">
        <f ca="1">IFERROR(__xludf.DUMMYFUNCTION("""COMPUTED_VALUE"""),"Thomson Reuters Building")</f>
        <v>Thomson Reuters Building</v>
      </c>
      <c r="C3045" s="2" t="str">
        <f ca="1">IFERROR(__xludf.DUMMYFUNCTION("""COMPUTED_VALUE"""),"Building")</f>
        <v>Building</v>
      </c>
      <c r="D3045" s="2" t="str">
        <f ca="1">IFERROR(__xludf.DUMMYFUNCTION("""COMPUTED_VALUE"""),"Dubai&gt;Dubai Media City&gt;Thomson Reuters Building")</f>
        <v>Dubai&gt;Dubai Media City&gt;Thomson Reuters Building</v>
      </c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</row>
    <row r="3046" spans="1:26" ht="16.5" x14ac:dyDescent="0.35">
      <c r="A3046" s="2" t="str">
        <f ca="1">IFERROR(__xludf.DUMMYFUNCTION("""COMPUTED_VALUE"""),"Abu Dhabi")</f>
        <v>Abu Dhabi</v>
      </c>
      <c r="B3046" s="2" t="str">
        <f ca="1">IFERROR(__xludf.DUMMYFUNCTION("""COMPUTED_VALUE"""),"Beachfront Shoreline Estate")</f>
        <v>Beachfront Shoreline Estate</v>
      </c>
      <c r="C3046" s="2" t="str">
        <f ca="1">IFERROR(__xludf.DUMMYFUNCTION("""COMPUTED_VALUE"""),"Neighbourhood")</f>
        <v>Neighbourhood</v>
      </c>
      <c r="D3046" s="2" t="str">
        <f ca="1">IFERROR(__xludf.DUMMYFUNCTION("""COMPUTED_VALUE"""),"Abu Dhabi&gt;Nurai Island&gt;Beachfront Residences&gt;Beachfront Shoreline Estate")</f>
        <v>Abu Dhabi&gt;Nurai Island&gt;Beachfront Residences&gt;Beachfront Shoreline Estate</v>
      </c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</row>
    <row r="3047" spans="1:26" ht="16.5" x14ac:dyDescent="0.35">
      <c r="A3047" s="2" t="str">
        <f ca="1">IFERROR(__xludf.DUMMYFUNCTION("""COMPUTED_VALUE"""),"Abu Dhabi")</f>
        <v>Abu Dhabi</v>
      </c>
      <c r="B3047" s="2" t="str">
        <f ca="1">IFERROR(__xludf.DUMMYFUNCTION("""COMPUTED_VALUE"""),"Tower C1")</f>
        <v>Tower C1</v>
      </c>
      <c r="C3047" s="2" t="str">
        <f ca="1">IFERROR(__xludf.DUMMYFUNCTION("""COMPUTED_VALUE"""),"Building")</f>
        <v>Building</v>
      </c>
      <c r="D3047" s="2" t="str">
        <f ca="1">IFERROR(__xludf.DUMMYFUNCTION("""COMPUTED_VALUE"""),"Abu Dhabi&gt;Al Bateen&gt;Al Bateen Plaza&gt;Tower C1")</f>
        <v>Abu Dhabi&gt;Al Bateen&gt;Al Bateen Plaza&gt;Tower C1</v>
      </c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</row>
    <row r="3048" spans="1:26" ht="16.5" x14ac:dyDescent="0.35">
      <c r="A3048" s="2" t="str">
        <f ca="1">IFERROR(__xludf.DUMMYFUNCTION("""COMPUTED_VALUE"""),"Abu Dhabi")</f>
        <v>Abu Dhabi</v>
      </c>
      <c r="B3048" s="2" t="str">
        <f ca="1">IFERROR(__xludf.DUMMYFUNCTION("""COMPUTED_VALUE"""),"Al Manhal Tower")</f>
        <v>Al Manhal Tower</v>
      </c>
      <c r="C3048" s="2" t="str">
        <f ca="1">IFERROR(__xludf.DUMMYFUNCTION("""COMPUTED_VALUE"""),"Building")</f>
        <v>Building</v>
      </c>
      <c r="D3048" s="2" t="str">
        <f ca="1">IFERROR(__xludf.DUMMYFUNCTION("""COMPUTED_VALUE"""),"Abu Dhabi&gt;Airport Street&gt;Al Manhal Tower")</f>
        <v>Abu Dhabi&gt;Airport Street&gt;Al Manhal Tower</v>
      </c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</row>
    <row r="3049" spans="1:26" ht="16.5" x14ac:dyDescent="0.35">
      <c r="A3049" s="2" t="str">
        <f ca="1">IFERROR(__xludf.DUMMYFUNCTION("""COMPUTED_VALUE"""),"Abu Dhabi")</f>
        <v>Abu Dhabi</v>
      </c>
      <c r="B3049" s="2" t="str">
        <f ca="1">IFERROR(__xludf.DUMMYFUNCTION("""COMPUTED_VALUE"""),"Khalifa Residential Complex B Building 3")</f>
        <v>Khalifa Residential Complex B Building 3</v>
      </c>
      <c r="C3049" s="2" t="str">
        <f ca="1">IFERROR(__xludf.DUMMYFUNCTION("""COMPUTED_VALUE"""),"Building")</f>
        <v>Building</v>
      </c>
      <c r="D3049" s="2" t="str">
        <f ca="1">IFERROR(__xludf.DUMMYFUNCTION("""COMPUTED_VALUE"""),"Abu Dhabi&gt;Tourist Club Area (TCA)&gt;Khalifa Residential Complex B&gt;Khalifa Residential Complex B Building 3")</f>
        <v>Abu Dhabi&gt;Tourist Club Area (TCA)&gt;Khalifa Residential Complex B&gt;Khalifa Residential Complex B Building 3</v>
      </c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</row>
    <row r="3050" spans="1:26" ht="16.5" x14ac:dyDescent="0.35">
      <c r="A3050" s="2" t="str">
        <f ca="1">IFERROR(__xludf.DUMMYFUNCTION("""COMPUTED_VALUE"""),"Abu Dhabi")</f>
        <v>Abu Dhabi</v>
      </c>
      <c r="B3050" s="2" t="str">
        <f ca="1">IFERROR(__xludf.DUMMYFUNCTION("""COMPUTED_VALUE"""),"Little Haven Nursery")</f>
        <v>Little Haven Nursery</v>
      </c>
      <c r="C3050" s="2" t="str">
        <f ca="1">IFERROR(__xludf.DUMMYFUNCTION("""COMPUTED_VALUE"""),"Nursery")</f>
        <v>Nursery</v>
      </c>
      <c r="D3050" s="2" t="str">
        <f ca="1">IFERROR(__xludf.DUMMYFUNCTION("""COMPUTED_VALUE"""),"Abu Dhabi&gt;Al Mushrif&gt;Little Haven Nursery")</f>
        <v>Abu Dhabi&gt;Al Mushrif&gt;Little Haven Nursery</v>
      </c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</row>
    <row r="3051" spans="1:26" ht="16.5" x14ac:dyDescent="0.35">
      <c r="A3051" s="2" t="str">
        <f ca="1">IFERROR(__xludf.DUMMYFUNCTION("""COMPUTED_VALUE"""),"Abu Dhabi")</f>
        <v>Abu Dhabi</v>
      </c>
      <c r="B3051" s="2" t="str">
        <f ca="1">IFERROR(__xludf.DUMMYFUNCTION("""COMPUTED_VALUE"""),"Al Maqta Village")</f>
        <v>Al Maqta Village</v>
      </c>
      <c r="C3051" s="2" t="str">
        <f ca="1">IFERROR(__xludf.DUMMYFUNCTION("""COMPUTED_VALUE"""),"Neighbourhood")</f>
        <v>Neighbourhood</v>
      </c>
      <c r="D3051" s="2" t="str">
        <f ca="1">IFERROR(__xludf.DUMMYFUNCTION("""COMPUTED_VALUE"""),"Abu Dhabi&gt;Al Muntazah&gt;Al Maqta Village")</f>
        <v>Abu Dhabi&gt;Al Muntazah&gt;Al Maqta Village</v>
      </c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</row>
    <row r="3052" spans="1:26" ht="16.5" x14ac:dyDescent="0.35">
      <c r="A3052" s="2" t="str">
        <f ca="1">IFERROR(__xludf.DUMMYFUNCTION("""COMPUTED_VALUE"""),"Abu Dhabi")</f>
        <v>Abu Dhabi</v>
      </c>
      <c r="B3052" s="2" t="str">
        <f ca="1">IFERROR(__xludf.DUMMYFUNCTION("""COMPUTED_VALUE"""),"Baniyas")</f>
        <v>Baniyas</v>
      </c>
      <c r="C3052" s="2" t="str">
        <f ca="1">IFERROR(__xludf.DUMMYFUNCTION("""COMPUTED_VALUE"""),"Neighbourhood")</f>
        <v>Neighbourhood</v>
      </c>
      <c r="D3052" s="2" t="str">
        <f ca="1">IFERROR(__xludf.DUMMYFUNCTION("""COMPUTED_VALUE"""),"Abu Dhabi&gt;Baniyas")</f>
        <v>Abu Dhabi&gt;Baniyas</v>
      </c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</row>
    <row r="3053" spans="1:26" ht="16.5" x14ac:dyDescent="0.35">
      <c r="A3053" s="2" t="str">
        <f ca="1">IFERROR(__xludf.DUMMYFUNCTION("""COMPUTED_VALUE"""),"Abu Dhabi")</f>
        <v>Abu Dhabi</v>
      </c>
      <c r="B3053" s="2" t="str">
        <f ca="1">IFERROR(__xludf.DUMMYFUNCTION("""COMPUTED_VALUE"""),"Cluster A")</f>
        <v>Cluster A</v>
      </c>
      <c r="C3053" s="2" t="str">
        <f ca="1">IFERROR(__xludf.DUMMYFUNCTION("""COMPUTED_VALUE"""),"Building")</f>
        <v>Building</v>
      </c>
      <c r="D3053" s="2" t="str">
        <f ca="1">IFERROR(__xludf.DUMMYFUNCTION("""COMPUTED_VALUE"""),"Abu Dhabi&gt;Masdar City&gt;Royal Park&gt;Cluster A")</f>
        <v>Abu Dhabi&gt;Masdar City&gt;Royal Park&gt;Cluster A</v>
      </c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</row>
    <row r="3054" spans="1:26" ht="16.5" x14ac:dyDescent="0.35">
      <c r="A3054" s="2" t="str">
        <f ca="1">IFERROR(__xludf.DUMMYFUNCTION("""COMPUTED_VALUE"""),"Abu Dhabi")</f>
        <v>Abu Dhabi</v>
      </c>
      <c r="B3054" s="2" t="str">
        <f ca="1">IFERROR(__xludf.DUMMYFUNCTION("""COMPUTED_VALUE"""),"GEMS World Academy, Abu Dhabi")</f>
        <v>GEMS World Academy, Abu Dhabi</v>
      </c>
      <c r="C3054" s="2" t="str">
        <f ca="1">IFERROR(__xludf.DUMMYFUNCTION("""COMPUTED_VALUE"""),"School")</f>
        <v>School</v>
      </c>
      <c r="D3054" s="2" t="str">
        <f ca="1">IFERROR(__xludf.DUMMYFUNCTION("""COMPUTED_VALUE"""),"Abu Dhabi&gt;Al Danah&gt;GEMS World Academy, Abu Dhabi")</f>
        <v>Abu Dhabi&gt;Al Danah&gt;GEMS World Academy, Abu Dhabi</v>
      </c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</row>
    <row r="3055" spans="1:26" ht="16.5" x14ac:dyDescent="0.35">
      <c r="A3055" s="2" t="str">
        <f ca="1">IFERROR(__xludf.DUMMYFUNCTION("""COMPUTED_VALUE"""),"Abu Dhabi")</f>
        <v>Abu Dhabi</v>
      </c>
      <c r="B3055" s="2" t="str">
        <f ca="1">IFERROR(__xludf.DUMMYFUNCTION("""COMPUTED_VALUE"""),"Sowwah Square Tower 1")</f>
        <v>Sowwah Square Tower 1</v>
      </c>
      <c r="C3055" s="2" t="str">
        <f ca="1">IFERROR(__xludf.DUMMYFUNCTION("""COMPUTED_VALUE"""),"Building")</f>
        <v>Building</v>
      </c>
      <c r="D3055" s="2" t="str">
        <f ca="1">IFERROR(__xludf.DUMMYFUNCTION("""COMPUTED_VALUE"""),"Abu Dhabi&gt;Al Maryah Island&gt;Sowwah Square&gt;Sowwah Square Tower 1")</f>
        <v>Abu Dhabi&gt;Al Maryah Island&gt;Sowwah Square&gt;Sowwah Square Tower 1</v>
      </c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</row>
    <row r="3056" spans="1:26" ht="16.5" x14ac:dyDescent="0.35">
      <c r="A3056" s="2" t="str">
        <f ca="1">IFERROR(__xludf.DUMMYFUNCTION("""COMPUTED_VALUE"""),"Abu Dhabi")</f>
        <v>Abu Dhabi</v>
      </c>
      <c r="B3056" s="2" t="str">
        <f ca="1">IFERROR(__xludf.DUMMYFUNCTION("""COMPUTED_VALUE"""),"al Qurm Compound")</f>
        <v>al Qurm Compound</v>
      </c>
      <c r="C3056" s="2"/>
      <c r="D3056" s="2" t="str">
        <f ca="1">IFERROR(__xludf.DUMMYFUNCTION("""COMPUTED_VALUE"""),"Abu Dhabi&gt;Al Qurm&gt;al Qurm Compound")</f>
        <v>Abu Dhabi&gt;Al Qurm&gt;al Qurm Compound</v>
      </c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</row>
    <row r="3057" spans="1:26" ht="16.5" x14ac:dyDescent="0.35">
      <c r="A3057" s="2" t="str">
        <f ca="1">IFERROR(__xludf.DUMMYFUNCTION("""COMPUTED_VALUE"""),"Abu Dhabi")</f>
        <v>Abu Dhabi</v>
      </c>
      <c r="B3057" s="2" t="str">
        <f ca="1">IFERROR(__xludf.DUMMYFUNCTION("""COMPUTED_VALUE"""),"MSH21")</f>
        <v>MSH21</v>
      </c>
      <c r="C3057" s="2" t="str">
        <f ca="1">IFERROR(__xludf.DUMMYFUNCTION("""COMPUTED_VALUE"""),"Neighbourhood")</f>
        <v>Neighbourhood</v>
      </c>
      <c r="D3057" s="2" t="str">
        <f ca="1">IFERROR(__xludf.DUMMYFUNCTION("""COMPUTED_VALUE"""),"Abu Dhabi&gt;Shakhbout City&gt;MSH21")</f>
        <v>Abu Dhabi&gt;Shakhbout City&gt;MSH21</v>
      </c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</row>
    <row r="3058" spans="1:26" ht="16.5" x14ac:dyDescent="0.35">
      <c r="A3058" s="2" t="str">
        <f ca="1">IFERROR(__xludf.DUMMYFUNCTION("""COMPUTED_VALUE"""),"Abu Dhabi")</f>
        <v>Abu Dhabi</v>
      </c>
      <c r="B3058" s="2" t="str">
        <f ca="1">IFERROR(__xludf.DUMMYFUNCTION("""COMPUTED_VALUE"""),"Nad Al Dhabi")</f>
        <v>Nad Al Dhabi</v>
      </c>
      <c r="C3058" s="2" t="str">
        <f ca="1">IFERROR(__xludf.DUMMYFUNCTION("""COMPUTED_VALUE"""),"Neighbourhood")</f>
        <v>Neighbourhood</v>
      </c>
      <c r="D3058" s="2" t="str">
        <f ca="1">IFERROR(__xludf.DUMMYFUNCTION("""COMPUTED_VALUE"""),"Abu Dhabi&gt;Al Jubail Island&gt;Nad Al Dhabi")</f>
        <v>Abu Dhabi&gt;Al Jubail Island&gt;Nad Al Dhabi</v>
      </c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</row>
    <row r="3059" spans="1:26" ht="16.5" x14ac:dyDescent="0.35">
      <c r="A3059" s="2" t="str">
        <f ca="1">IFERROR(__xludf.DUMMYFUNCTION("""COMPUTED_VALUE"""),"Abu Dhabi")</f>
        <v>Abu Dhabi</v>
      </c>
      <c r="B3059" s="2" t="str">
        <f ca="1">IFERROR(__xludf.DUMMYFUNCTION("""COMPUTED_VALUE"""),"Defence Street")</f>
        <v>Defence Street</v>
      </c>
      <c r="C3059" s="2" t="str">
        <f ca="1">IFERROR(__xludf.DUMMYFUNCTION("""COMPUTED_VALUE"""),"Neighbourhood")</f>
        <v>Neighbourhood</v>
      </c>
      <c r="D3059" s="2" t="str">
        <f ca="1">IFERROR(__xludf.DUMMYFUNCTION("""COMPUTED_VALUE"""),"Abu Dhabi&gt;Defence Street")</f>
        <v>Abu Dhabi&gt;Defence Street</v>
      </c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</row>
    <row r="3060" spans="1:26" ht="16.5" x14ac:dyDescent="0.35">
      <c r="A3060" s="2" t="str">
        <f ca="1">IFERROR(__xludf.DUMMYFUNCTION("""COMPUTED_VALUE"""),"Abu Dhabi")</f>
        <v>Abu Dhabi</v>
      </c>
      <c r="B3060" s="2" t="str">
        <f ca="1">IFERROR(__xludf.DUMMYFUNCTION("""COMPUTED_VALUE"""),"Corniche Building")</f>
        <v>Corniche Building</v>
      </c>
      <c r="C3060" s="2" t="str">
        <f ca="1">IFERROR(__xludf.DUMMYFUNCTION("""COMPUTED_VALUE"""),"Building")</f>
        <v>Building</v>
      </c>
      <c r="D3060" s="2" t="str">
        <f ca="1">IFERROR(__xludf.DUMMYFUNCTION("""COMPUTED_VALUE"""),"Abu Dhabi&gt;Al Hisn&gt;Corniche Building")</f>
        <v>Abu Dhabi&gt;Al Hisn&gt;Corniche Building</v>
      </c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</row>
    <row r="3061" spans="1:26" ht="16.5" x14ac:dyDescent="0.35">
      <c r="A3061" s="2" t="str">
        <f ca="1">IFERROR(__xludf.DUMMYFUNCTION("""COMPUTED_VALUE"""),"Abu Dhabi")</f>
        <v>Abu Dhabi</v>
      </c>
      <c r="B3061" s="2" t="str">
        <f ca="1">IFERROR(__xludf.DUMMYFUNCTION("""COMPUTED_VALUE"""),"Ali &amp; Sons Business Centre")</f>
        <v>Ali &amp; Sons Business Centre</v>
      </c>
      <c r="C3061" s="2" t="str">
        <f ca="1">IFERROR(__xludf.DUMMYFUNCTION("""COMPUTED_VALUE"""),"Building")</f>
        <v>Building</v>
      </c>
      <c r="D3061" s="2" t="str">
        <f ca="1">IFERROR(__xludf.DUMMYFUNCTION("""COMPUTED_VALUE"""),"Abu Dhabi&gt;Umm Al Nar&gt;Ali &amp; Sons Business Centre")</f>
        <v>Abu Dhabi&gt;Umm Al Nar&gt;Ali &amp; Sons Business Centre</v>
      </c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</row>
    <row r="3062" spans="1:26" ht="16.5" x14ac:dyDescent="0.35">
      <c r="A3062" s="2" t="str">
        <f ca="1">IFERROR(__xludf.DUMMYFUNCTION("""COMPUTED_VALUE"""),"Abu Dhabi")</f>
        <v>Abu Dhabi</v>
      </c>
      <c r="B3062" s="2" t="str">
        <f ca="1">IFERROR(__xludf.DUMMYFUNCTION("""COMPUTED_VALUE"""),"The Beach House Tower 5")</f>
        <v>The Beach House Tower 5</v>
      </c>
      <c r="C3062" s="2" t="str">
        <f ca="1">IFERROR(__xludf.DUMMYFUNCTION("""COMPUTED_VALUE"""),"Building")</f>
        <v>Building</v>
      </c>
      <c r="D3062" s="2" t="str">
        <f ca="1">IFERROR(__xludf.DUMMYFUNCTION("""COMPUTED_VALUE"""),"Abu Dhabi&gt;Fahid Island&gt;The Beach House&gt;The Beach House Tower 5")</f>
        <v>Abu Dhabi&gt;Fahid Island&gt;The Beach House&gt;The Beach House Tower 5</v>
      </c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</row>
    <row r="3063" spans="1:26" ht="16.5" x14ac:dyDescent="0.35">
      <c r="A3063" s="2" t="str">
        <f ca="1">IFERROR(__xludf.DUMMYFUNCTION("""COMPUTED_VALUE"""),"Abu Dhabi")</f>
        <v>Abu Dhabi</v>
      </c>
      <c r="B3063" s="2" t="str">
        <f ca="1">IFERROR(__xludf.DUMMYFUNCTION("""COMPUTED_VALUE"""),"RDK Tower 3")</f>
        <v>RDK Tower 3</v>
      </c>
      <c r="C3063" s="2" t="str">
        <f ca="1">IFERROR(__xludf.DUMMYFUNCTION("""COMPUTED_VALUE"""),"Building")</f>
        <v>Building</v>
      </c>
      <c r="D3063" s="2" t="str">
        <f ca="1">IFERROR(__xludf.DUMMYFUNCTION("""COMPUTED_VALUE"""),"Abu Dhabi&gt;Al Reem Island&gt;Najmat Abu Dhabi&gt;RDK Towers&gt;RDK Tower 3")</f>
        <v>Abu Dhabi&gt;Al Reem Island&gt;Najmat Abu Dhabi&gt;RDK Towers&gt;RDK Tower 3</v>
      </c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</row>
    <row r="3064" spans="1:26" ht="16.5" x14ac:dyDescent="0.35">
      <c r="A3064" s="2" t="str">
        <f ca="1">IFERROR(__xludf.DUMMYFUNCTION("""COMPUTED_VALUE"""),"Abu Dhabi")</f>
        <v>Abu Dhabi</v>
      </c>
      <c r="B3064" s="2" t="str">
        <f ca="1">IFERROR(__xludf.DUMMYFUNCTION("""COMPUTED_VALUE"""),"RAK Tower")</f>
        <v>RAK Tower</v>
      </c>
      <c r="C3064" s="2" t="str">
        <f ca="1">IFERROR(__xludf.DUMMYFUNCTION("""COMPUTED_VALUE"""),"Building")</f>
        <v>Building</v>
      </c>
      <c r="D3064" s="2" t="str">
        <f ca="1">IFERROR(__xludf.DUMMYFUNCTION("""COMPUTED_VALUE"""),"Abu Dhabi&gt;Al Reem Island&gt;Marina Square&gt;RAK Tower")</f>
        <v>Abu Dhabi&gt;Al Reem Island&gt;Marina Square&gt;RAK Tower</v>
      </c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</row>
    <row r="3065" spans="1:26" ht="16.5" x14ac:dyDescent="0.35">
      <c r="A3065" s="2" t="str">
        <f ca="1">IFERROR(__xludf.DUMMYFUNCTION("""COMPUTED_VALUE"""),"Abu Dhabi")</f>
        <v>Abu Dhabi</v>
      </c>
      <c r="B3065" s="2" t="str">
        <f ca="1">IFERROR(__xludf.DUMMYFUNCTION("""COMPUTED_VALUE"""),"The Kite Residences")</f>
        <v>The Kite Residences</v>
      </c>
      <c r="C3065" s="2" t="str">
        <f ca="1">IFERROR(__xludf.DUMMYFUNCTION("""COMPUTED_VALUE"""),"Building")</f>
        <v>Building</v>
      </c>
      <c r="D3065" s="2" t="str">
        <f ca="1">IFERROR(__xludf.DUMMYFUNCTION("""COMPUTED_VALUE"""),"Abu Dhabi&gt;Al Reem Island&gt;Shams Abu Dhabi&gt;The Kite Residences")</f>
        <v>Abu Dhabi&gt;Al Reem Island&gt;Shams Abu Dhabi&gt;The Kite Residences</v>
      </c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</row>
    <row r="3066" spans="1:26" ht="16.5" x14ac:dyDescent="0.35">
      <c r="A3066" s="2" t="str">
        <f ca="1">IFERROR(__xludf.DUMMYFUNCTION("""COMPUTED_VALUE"""),"Abu Dhabi")</f>
        <v>Abu Dhabi</v>
      </c>
      <c r="B3066" s="2" t="str">
        <f ca="1">IFERROR(__xludf.DUMMYFUNCTION("""COMPUTED_VALUE"""),"Reem Five")</f>
        <v>Reem Five</v>
      </c>
      <c r="C3066" s="2" t="str">
        <f ca="1">IFERROR(__xludf.DUMMYFUNCTION("""COMPUTED_VALUE"""),"Building")</f>
        <v>Building</v>
      </c>
      <c r="D3066" s="2" t="str">
        <f ca="1">IFERROR(__xludf.DUMMYFUNCTION("""COMPUTED_VALUE"""),"Abu Dhabi&gt;Al Reem Island&gt;Shams Abu Dhabi&gt;Reem Five")</f>
        <v>Abu Dhabi&gt;Al Reem Island&gt;Shams Abu Dhabi&gt;Reem Five</v>
      </c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</row>
    <row r="3067" spans="1:26" ht="16.5" x14ac:dyDescent="0.35">
      <c r="A3067" s="2" t="str">
        <f ca="1">IFERROR(__xludf.DUMMYFUNCTION("""COMPUTED_VALUE"""),"Dubai")</f>
        <v>Dubai</v>
      </c>
      <c r="B3067" s="2" t="str">
        <f ca="1">IFERROR(__xludf.DUMMYFUNCTION("""COMPUTED_VALUE"""),"Terrace Apartments E")</f>
        <v>Terrace Apartments E</v>
      </c>
      <c r="C3067" s="2" t="str">
        <f ca="1">IFERROR(__xludf.DUMMYFUNCTION("""COMPUTED_VALUE"""),"Building")</f>
        <v>Building</v>
      </c>
      <c r="D3067" s="2" t="str">
        <f ca="1">IFERROR(__xludf.DUMMYFUNCTION("""COMPUTED_VALUE"""),"Dubai&gt;Green Community&gt;Green Community East&gt;Terrace Apartments&gt;Terrace Apartments E")</f>
        <v>Dubai&gt;Green Community&gt;Green Community East&gt;Terrace Apartments&gt;Terrace Apartments E</v>
      </c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</row>
    <row r="3068" spans="1:26" ht="16.5" x14ac:dyDescent="0.35">
      <c r="A3068" s="2" t="str">
        <f ca="1">IFERROR(__xludf.DUMMYFUNCTION("""COMPUTED_VALUE"""),"Dubai")</f>
        <v>Dubai</v>
      </c>
      <c r="B3068" s="2" t="str">
        <f ca="1">IFERROR(__xludf.DUMMYFUNCTION("""COMPUTED_VALUE"""),"The Wonder Years Nursery Dubai Sports City")</f>
        <v>The Wonder Years Nursery Dubai Sports City</v>
      </c>
      <c r="C3068" s="2" t="str">
        <f ca="1">IFERROR(__xludf.DUMMYFUNCTION("""COMPUTED_VALUE"""),"Nursery")</f>
        <v>Nursery</v>
      </c>
      <c r="D3068" s="2" t="str">
        <f ca="1">IFERROR(__xludf.DUMMYFUNCTION("""COMPUTED_VALUE"""),"Dubai&gt;Dubai Sports City&gt;The Wonder Years Nursery Dubai Sports City")</f>
        <v>Dubai&gt;Dubai Sports City&gt;The Wonder Years Nursery Dubai Sports City</v>
      </c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</row>
    <row r="3069" spans="1:26" ht="16.5" x14ac:dyDescent="0.35">
      <c r="A3069" s="2" t="str">
        <f ca="1">IFERROR(__xludf.DUMMYFUNCTION("""COMPUTED_VALUE"""),"Dubai")</f>
        <v>Dubai</v>
      </c>
      <c r="B3069" s="2" t="str">
        <f ca="1">IFERROR(__xludf.DUMMYFUNCTION("""COMPUTED_VALUE"""),"Najma Tower B")</f>
        <v>Najma Tower B</v>
      </c>
      <c r="C3069" s="2" t="str">
        <f ca="1">IFERROR(__xludf.DUMMYFUNCTION("""COMPUTED_VALUE"""),"Building")</f>
        <v>Building</v>
      </c>
      <c r="D3069" s="2" t="str">
        <f ca="1">IFERROR(__xludf.DUMMYFUNCTION("""COMPUTED_VALUE"""),"Dubai&gt;Dubai Sports City&gt;Najma Tower B")</f>
        <v>Dubai&gt;Dubai Sports City&gt;Najma Tower B</v>
      </c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</row>
    <row r="3070" spans="1:26" ht="16.5" x14ac:dyDescent="0.35">
      <c r="A3070" s="2" t="str">
        <f ca="1">IFERROR(__xludf.DUMMYFUNCTION("""COMPUTED_VALUE"""),"Dubai")</f>
        <v>Dubai</v>
      </c>
      <c r="B3070" s="2" t="str">
        <f ca="1">IFERROR(__xludf.DUMMYFUNCTION("""COMPUTED_VALUE"""),"Golf Tower")</f>
        <v>Golf Tower</v>
      </c>
      <c r="C3070" s="2" t="str">
        <f ca="1">IFERROR(__xludf.DUMMYFUNCTION("""COMPUTED_VALUE"""),"Building")</f>
        <v>Building</v>
      </c>
      <c r="D3070" s="2" t="str">
        <f ca="1">IFERROR(__xludf.DUMMYFUNCTION("""COMPUTED_VALUE"""),"Dubai&gt;Dubai Sports City&gt;Golf Tower")</f>
        <v>Dubai&gt;Dubai Sports City&gt;Golf Tower</v>
      </c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</row>
    <row r="3071" spans="1:26" ht="16.5" x14ac:dyDescent="0.35">
      <c r="A3071" s="2" t="str">
        <f ca="1">IFERROR(__xludf.DUMMYFUNCTION("""COMPUTED_VALUE"""),"Dubai")</f>
        <v>Dubai</v>
      </c>
      <c r="B3071" s="2" t="str">
        <f ca="1">IFERROR(__xludf.DUMMYFUNCTION("""COMPUTED_VALUE"""),"Global Golf Residence")</f>
        <v>Global Golf Residence</v>
      </c>
      <c r="C3071" s="2" t="str">
        <f ca="1">IFERROR(__xludf.DUMMYFUNCTION("""COMPUTED_VALUE"""),"Cluster")</f>
        <v>Cluster</v>
      </c>
      <c r="D3071" s="2" t="str">
        <f ca="1">IFERROR(__xludf.DUMMYFUNCTION("""COMPUTED_VALUE"""),"Dubai&gt;Dubai Sports City&gt;Global Golf Residence")</f>
        <v>Dubai&gt;Dubai Sports City&gt;Global Golf Residence</v>
      </c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</row>
    <row r="3072" spans="1:26" ht="16.5" x14ac:dyDescent="0.35">
      <c r="A3072" s="2" t="str">
        <f ca="1">IFERROR(__xludf.DUMMYFUNCTION("""COMPUTED_VALUE"""),"Dubai")</f>
        <v>Dubai</v>
      </c>
      <c r="B3072" s="2" t="str">
        <f ca="1">IFERROR(__xludf.DUMMYFUNCTION("""COMPUTED_VALUE"""),"Al Salam Private School, Dubai")</f>
        <v>Al Salam Private School, Dubai</v>
      </c>
      <c r="C3072" s="2" t="str">
        <f ca="1">IFERROR(__xludf.DUMMYFUNCTION("""COMPUTED_VALUE"""),"School")</f>
        <v>School</v>
      </c>
      <c r="D3072" s="2" t="str">
        <f ca="1">IFERROR(__xludf.DUMMYFUNCTION("""COMPUTED_VALUE"""),"Dubai&gt;Al Nahda (Dubai)&gt;Al Salam Private School, Dubai")</f>
        <v>Dubai&gt;Al Nahda (Dubai)&gt;Al Salam Private School, Dubai</v>
      </c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</row>
    <row r="3073" spans="1:26" ht="16.5" x14ac:dyDescent="0.35">
      <c r="A3073" s="2" t="str">
        <f ca="1">IFERROR(__xludf.DUMMYFUNCTION("""COMPUTED_VALUE"""),"Dubai")</f>
        <v>Dubai</v>
      </c>
      <c r="B3073" s="2" t="str">
        <f ca="1">IFERROR(__xludf.DUMMYFUNCTION("""COMPUTED_VALUE"""),"Bin Juma")</f>
        <v>Bin Juma</v>
      </c>
      <c r="C3073" s="2" t="str">
        <f ca="1">IFERROR(__xludf.DUMMYFUNCTION("""COMPUTED_VALUE"""),"Cluster")</f>
        <v>Cluster</v>
      </c>
      <c r="D3073" s="2" t="str">
        <f ca="1">IFERROR(__xludf.DUMMYFUNCTION("""COMPUTED_VALUE"""),"Dubai&gt;Al Nahda (Dubai)&gt;Al Nahda 1&gt;Bin Juma")</f>
        <v>Dubai&gt;Al Nahda (Dubai)&gt;Al Nahda 1&gt;Bin Juma</v>
      </c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</row>
    <row r="3074" spans="1:26" ht="16.5" x14ac:dyDescent="0.35">
      <c r="A3074" s="2" t="str">
        <f ca="1">IFERROR(__xludf.DUMMYFUNCTION("""COMPUTED_VALUE"""),"Dubai")</f>
        <v>Dubai</v>
      </c>
      <c r="B3074" s="2" t="str">
        <f ca="1">IFERROR(__xludf.DUMMYFUNCTION("""COMPUTED_VALUE"""),"Salman Obaid Building")</f>
        <v>Salman Obaid Building</v>
      </c>
      <c r="C3074" s="2" t="str">
        <f ca="1">IFERROR(__xludf.DUMMYFUNCTION("""COMPUTED_VALUE"""),"Building")</f>
        <v>Building</v>
      </c>
      <c r="D3074" s="2" t="str">
        <f ca="1">IFERROR(__xludf.DUMMYFUNCTION("""COMPUTED_VALUE"""),"Dubai&gt;Al Nahda (Dubai)&gt;Al Nahda 2&gt;Salman Obaid Building")</f>
        <v>Dubai&gt;Al Nahda (Dubai)&gt;Al Nahda 2&gt;Salman Obaid Building</v>
      </c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</row>
    <row r="3075" spans="1:26" ht="16.5" x14ac:dyDescent="0.35">
      <c r="A3075" s="2" t="str">
        <f ca="1">IFERROR(__xludf.DUMMYFUNCTION("""COMPUTED_VALUE"""),"Dubai")</f>
        <v>Dubai</v>
      </c>
      <c r="B3075" s="2" t="str">
        <f ca="1">IFERROR(__xludf.DUMMYFUNCTION("""COMPUTED_VALUE"""),"Bin Huraiz 2")</f>
        <v>Bin Huraiz 2</v>
      </c>
      <c r="C3075" s="2" t="str">
        <f ca="1">IFERROR(__xludf.DUMMYFUNCTION("""COMPUTED_VALUE"""),"Building")</f>
        <v>Building</v>
      </c>
      <c r="D3075" s="2" t="str">
        <f ca="1">IFERROR(__xludf.DUMMYFUNCTION("""COMPUTED_VALUE"""),"Dubai&gt;Al Nahda (Dubai)&gt;Al Nahda 2&gt;Bin Huraiz 2")</f>
        <v>Dubai&gt;Al Nahda (Dubai)&gt;Al Nahda 2&gt;Bin Huraiz 2</v>
      </c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</row>
    <row r="3076" spans="1:26" ht="16.5" x14ac:dyDescent="0.35">
      <c r="A3076" s="2" t="str">
        <f ca="1">IFERROR(__xludf.DUMMYFUNCTION("""COMPUTED_VALUE"""),"Dubai")</f>
        <v>Dubai</v>
      </c>
      <c r="B3076" s="2" t="str">
        <f ca="1">IFERROR(__xludf.DUMMYFUNCTION("""COMPUTED_VALUE"""),"Al Showaib Building")</f>
        <v>Al Showaib Building</v>
      </c>
      <c r="C3076" s="2" t="str">
        <f ca="1">IFERROR(__xludf.DUMMYFUNCTION("""COMPUTED_VALUE"""),"Building")</f>
        <v>Building</v>
      </c>
      <c r="D3076" s="2" t="str">
        <f ca="1">IFERROR(__xludf.DUMMYFUNCTION("""COMPUTED_VALUE"""),"Dubai&gt;Al Nahda (Dubai)&gt;Al Nahda 2&gt;Al Showaib Building")</f>
        <v>Dubai&gt;Al Nahda (Dubai)&gt;Al Nahda 2&gt;Al Showaib Building</v>
      </c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</row>
    <row r="3077" spans="1:26" ht="16.5" x14ac:dyDescent="0.35">
      <c r="A3077" s="2" t="str">
        <f ca="1">IFERROR(__xludf.DUMMYFUNCTION("""COMPUTED_VALUE"""),"Dubai")</f>
        <v>Dubai</v>
      </c>
      <c r="B3077" s="2" t="str">
        <f ca="1">IFERROR(__xludf.DUMMYFUNCTION("""COMPUTED_VALUE"""),"Al Faraj Building")</f>
        <v>Al Faraj Building</v>
      </c>
      <c r="C3077" s="2" t="str">
        <f ca="1">IFERROR(__xludf.DUMMYFUNCTION("""COMPUTED_VALUE"""),"Building")</f>
        <v>Building</v>
      </c>
      <c r="D3077" s="2" t="str">
        <f ca="1">IFERROR(__xludf.DUMMYFUNCTION("""COMPUTED_VALUE"""),"Dubai&gt;Al Nahda (Dubai)&gt;Al Nahda 2&gt;Al Faraj Building")</f>
        <v>Dubai&gt;Al Nahda (Dubai)&gt;Al Nahda 2&gt;Al Faraj Building</v>
      </c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</row>
    <row r="3078" spans="1:26" ht="16.5" x14ac:dyDescent="0.35">
      <c r="A3078" s="2" t="str">
        <f ca="1">IFERROR(__xludf.DUMMYFUNCTION("""COMPUTED_VALUE"""),"Dubai")</f>
        <v>Dubai</v>
      </c>
      <c r="B3078" s="2" t="str">
        <f ca="1">IFERROR(__xludf.DUMMYFUNCTION("""COMPUTED_VALUE"""),"District 2")</f>
        <v>District 2</v>
      </c>
      <c r="C3078" s="2" t="str">
        <f ca="1">IFERROR(__xludf.DUMMYFUNCTION("""COMPUTED_VALUE"""),"Neighbourhood")</f>
        <v>Neighbourhood</v>
      </c>
      <c r="D3078" s="2" t="str">
        <f ca="1">IFERROR(__xludf.DUMMYFUNCTION("""COMPUTED_VALUE"""),"Dubai&gt;Jumeirah Park&gt;District 2")</f>
        <v>Dubai&gt;Jumeirah Park&gt;District 2</v>
      </c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</row>
    <row r="3079" spans="1:26" ht="16.5" x14ac:dyDescent="0.35">
      <c r="A3079" s="2" t="str">
        <f ca="1">IFERROR(__xludf.DUMMYFUNCTION("""COMPUTED_VALUE"""),"Dubai")</f>
        <v>Dubai</v>
      </c>
      <c r="B3079" s="2" t="str">
        <f ca="1">IFERROR(__xludf.DUMMYFUNCTION("""COMPUTED_VALUE"""),"Mykonos")</f>
        <v>Mykonos</v>
      </c>
      <c r="C3079" s="2" t="str">
        <f ca="1">IFERROR(__xludf.DUMMYFUNCTION("""COMPUTED_VALUE"""),"Neighbourhood")</f>
        <v>Neighbourhood</v>
      </c>
      <c r="D3079" s="2" t="str">
        <f ca="1">IFERROR(__xludf.DUMMYFUNCTION("""COMPUTED_VALUE"""),"Dubai&gt;DAMAC Lagoons&gt;Mykonos")</f>
        <v>Dubai&gt;DAMAC Lagoons&gt;Mykonos</v>
      </c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</row>
    <row r="3080" spans="1:26" ht="16.5" x14ac:dyDescent="0.35">
      <c r="A3080" s="2" t="str">
        <f ca="1">IFERROR(__xludf.DUMMYFUNCTION("""COMPUTED_VALUE"""),"Dubai")</f>
        <v>Dubai</v>
      </c>
      <c r="B3080" s="2" t="str">
        <f ca="1">IFERROR(__xludf.DUMMYFUNCTION("""COMPUTED_VALUE"""),"Bahia Residence")</f>
        <v>Bahia Residence</v>
      </c>
      <c r="C3080" s="2" t="str">
        <f ca="1">IFERROR(__xludf.DUMMYFUNCTION("""COMPUTED_VALUE"""),"Building")</f>
        <v>Building</v>
      </c>
      <c r="D3080" s="2" t="str">
        <f ca="1">IFERROR(__xludf.DUMMYFUNCTION("""COMPUTED_VALUE"""),"Dubai&gt;Liwan 2&gt;Bahia Residence")</f>
        <v>Dubai&gt;Liwan 2&gt;Bahia Residence</v>
      </c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</row>
    <row r="3081" spans="1:26" ht="16.5" x14ac:dyDescent="0.35">
      <c r="A3081" s="2" t="str">
        <f ca="1">IFERROR(__xludf.DUMMYFUNCTION("""COMPUTED_VALUE"""),"Dubai")</f>
        <v>Dubai</v>
      </c>
      <c r="B3081" s="2" t="str">
        <f ca="1">IFERROR(__xludf.DUMMYFUNCTION("""COMPUTED_VALUE"""),"Hind Building")</f>
        <v>Hind Building</v>
      </c>
      <c r="C3081" s="2" t="str">
        <f ca="1">IFERROR(__xludf.DUMMYFUNCTION("""COMPUTED_VALUE"""),"Building")</f>
        <v>Building</v>
      </c>
      <c r="D3081" s="2" t="str">
        <f ca="1">IFERROR(__xludf.DUMMYFUNCTION("""COMPUTED_VALUE"""),"Dubai&gt;Liwan 2&gt;Hind Building")</f>
        <v>Dubai&gt;Liwan 2&gt;Hind Building</v>
      </c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</row>
    <row r="3082" spans="1:26" ht="16.5" x14ac:dyDescent="0.35">
      <c r="A3082" s="2" t="str">
        <f ca="1">IFERROR(__xludf.DUMMYFUNCTION("""COMPUTED_VALUE"""),"Dubai")</f>
        <v>Dubai</v>
      </c>
      <c r="B3082" s="2" t="str">
        <f ca="1">IFERROR(__xludf.DUMMYFUNCTION("""COMPUTED_VALUE"""),"Centurion Residence Tower B")</f>
        <v>Centurion Residence Tower B</v>
      </c>
      <c r="C3082" s="2" t="str">
        <f ca="1">IFERROR(__xludf.DUMMYFUNCTION("""COMPUTED_VALUE"""),"Building")</f>
        <v>Building</v>
      </c>
      <c r="D3082" s="2" t="str">
        <f ca="1">IFERROR(__xludf.DUMMYFUNCTION("""COMPUTED_VALUE"""),"Dubai&gt;Dubai Investment Park (DIP)&gt;Centurion Residences&gt;Centurion Residence Tower B")</f>
        <v>Dubai&gt;Dubai Investment Park (DIP)&gt;Centurion Residences&gt;Centurion Residence Tower B</v>
      </c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</row>
    <row r="3083" spans="1:26" ht="16.5" x14ac:dyDescent="0.35">
      <c r="A3083" s="2" t="str">
        <f ca="1">IFERROR(__xludf.DUMMYFUNCTION("""COMPUTED_VALUE"""),"Dubai")</f>
        <v>Dubai</v>
      </c>
      <c r="B3083" s="2" t="str">
        <f ca="1">IFERROR(__xludf.DUMMYFUNCTION("""COMPUTED_VALUE"""),"The 7even Block D")</f>
        <v>The 7even Block D</v>
      </c>
      <c r="C3083" s="2" t="str">
        <f ca="1">IFERROR(__xludf.DUMMYFUNCTION("""COMPUTED_VALUE"""),"Building")</f>
        <v>Building</v>
      </c>
      <c r="D3083" s="2" t="str">
        <f ca="1">IFERROR(__xludf.DUMMYFUNCTION("""COMPUTED_VALUE"""),"Dubai&gt;Dubai Investment Park (DIP)&gt;Dubai Investment Park 1&gt;The 7even&gt;The 7even Block D")</f>
        <v>Dubai&gt;Dubai Investment Park (DIP)&gt;Dubai Investment Park 1&gt;The 7even&gt;The 7even Block D</v>
      </c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</row>
    <row r="3084" spans="1:26" ht="16.5" x14ac:dyDescent="0.35">
      <c r="A3084" s="2" t="str">
        <f ca="1">IFERROR(__xludf.DUMMYFUNCTION("""COMPUTED_VALUE"""),"Dubai")</f>
        <v>Dubai</v>
      </c>
      <c r="B3084" s="2" t="str">
        <f ca="1">IFERROR(__xludf.DUMMYFUNCTION("""COMPUTED_VALUE"""),"Palmon FZE H")</f>
        <v>Palmon FZE H</v>
      </c>
      <c r="C3084" s="2" t="str">
        <f ca="1">IFERROR(__xludf.DUMMYFUNCTION("""COMPUTED_VALUE"""),"Building")</f>
        <v>Building</v>
      </c>
      <c r="D3084" s="2" t="str">
        <f ca="1">IFERROR(__xludf.DUMMYFUNCTION("""COMPUTED_VALUE"""),"Dubai&gt;Dubai Investment Park (DIP)&gt;Dubai Investment Park 1&gt;Palmon Group FZCO Accommodation&gt;Palmon FZE H")</f>
        <v>Dubai&gt;Dubai Investment Park (DIP)&gt;Dubai Investment Park 1&gt;Palmon Group FZCO Accommodation&gt;Palmon FZE H</v>
      </c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</row>
    <row r="3085" spans="1:26" ht="16.5" x14ac:dyDescent="0.35">
      <c r="A3085" s="2" t="str">
        <f ca="1">IFERROR(__xludf.DUMMYFUNCTION("""COMPUTED_VALUE"""),"Dubai")</f>
        <v>Dubai</v>
      </c>
      <c r="B3085" s="2" t="str">
        <f ca="1">IFERROR(__xludf.DUMMYFUNCTION("""COMPUTED_VALUE"""),"Royal Estate Community")</f>
        <v>Royal Estate Community</v>
      </c>
      <c r="C3085" s="2" t="str">
        <f ca="1">IFERROR(__xludf.DUMMYFUNCTION("""COMPUTED_VALUE"""),"Neighbourhood")</f>
        <v>Neighbourhood</v>
      </c>
      <c r="D3085" s="2" t="str">
        <f ca="1">IFERROR(__xludf.DUMMYFUNCTION("""COMPUTED_VALUE"""),"Dubai&gt;Dubai Investment Park (DIP)&gt;Royal Estate Community")</f>
        <v>Dubai&gt;Dubai Investment Park (DIP)&gt;Royal Estate Community</v>
      </c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</row>
    <row r="3086" spans="1:26" ht="16.5" x14ac:dyDescent="0.35">
      <c r="A3086" s="2" t="str">
        <f ca="1">IFERROR(__xludf.DUMMYFUNCTION("""COMPUTED_VALUE"""),"Dubai")</f>
        <v>Dubai</v>
      </c>
      <c r="B3086" s="2" t="str">
        <f ca="1">IFERROR(__xludf.DUMMYFUNCTION("""COMPUTED_VALUE"""),"B8")</f>
        <v>B8</v>
      </c>
      <c r="C3086" s="2" t="str">
        <f ca="1">IFERROR(__xludf.DUMMYFUNCTION("""COMPUTED_VALUE"""),"Building")</f>
        <v>Building</v>
      </c>
      <c r="D3086" s="2" t="str">
        <f ca="1">IFERROR(__xludf.DUMMYFUNCTION("""COMPUTED_VALUE"""),"Dubai&gt;Dubai Investment Park (DIP)&gt;Dubai Investment Park 2&gt;Dunes Village&gt;B8")</f>
        <v>Dubai&gt;Dubai Investment Park (DIP)&gt;Dubai Investment Park 2&gt;Dunes Village&gt;B8</v>
      </c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</row>
    <row r="3087" spans="1:26" ht="16.5" x14ac:dyDescent="0.35">
      <c r="A3087" s="2" t="str">
        <f ca="1">IFERROR(__xludf.DUMMYFUNCTION("""COMPUTED_VALUE"""),"Dubai")</f>
        <v>Dubai</v>
      </c>
      <c r="B3087" s="2" t="str">
        <f ca="1">IFERROR(__xludf.DUMMYFUNCTION("""COMPUTED_VALUE"""),"Al Manara Building")</f>
        <v>Al Manara Building</v>
      </c>
      <c r="C3087" s="2" t="str">
        <f ca="1">IFERROR(__xludf.DUMMYFUNCTION("""COMPUTED_VALUE"""),"Building")</f>
        <v>Building</v>
      </c>
      <c r="D3087" s="2" t="str">
        <f ca="1">IFERROR(__xludf.DUMMYFUNCTION("""COMPUTED_VALUE"""),"Dubai&gt;Dubai Investment Park (DIP)&gt;Al Manara Building")</f>
        <v>Dubai&gt;Dubai Investment Park (DIP)&gt;Al Manara Building</v>
      </c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</row>
    <row r="3088" spans="1:26" ht="16.5" x14ac:dyDescent="0.35">
      <c r="A3088" s="2" t="str">
        <f ca="1">IFERROR(__xludf.DUMMYFUNCTION("""COMPUTED_VALUE"""),"Dubai")</f>
        <v>Dubai</v>
      </c>
      <c r="B3088" s="2" t="str">
        <f ca="1">IFERROR(__xludf.DUMMYFUNCTION("""COMPUTED_VALUE"""),"Olive")</f>
        <v>Olive</v>
      </c>
      <c r="C3088" s="2" t="str">
        <f ca="1">IFERROR(__xludf.DUMMYFUNCTION("""COMPUTED_VALUE"""),"Neighbourhood")</f>
        <v>Neighbourhood</v>
      </c>
      <c r="D3088" s="2" t="str">
        <f ca="1">IFERROR(__xludf.DUMMYFUNCTION("""COMPUTED_VALUE"""),"Dubai&gt;Dubai Investment Park (DIP)&gt;DAMAC Riverside&gt;Olive")</f>
        <v>Dubai&gt;Dubai Investment Park (DIP)&gt;DAMAC Riverside&gt;Olive</v>
      </c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</row>
    <row r="3089" spans="1:26" ht="16.5" x14ac:dyDescent="0.35">
      <c r="A3089" s="2" t="str">
        <f ca="1">IFERROR(__xludf.DUMMYFUNCTION("""COMPUTED_VALUE"""),"Dubai")</f>
        <v>Dubai</v>
      </c>
      <c r="B3089" s="2" t="str">
        <f ca="1">IFERROR(__xludf.DUMMYFUNCTION("""COMPUTED_VALUE"""),"Novi 3 Residences")</f>
        <v>Novi 3 Residences</v>
      </c>
      <c r="C3089" s="2" t="str">
        <f ca="1">IFERROR(__xludf.DUMMYFUNCTION("""COMPUTED_VALUE"""),"Building")</f>
        <v>Building</v>
      </c>
      <c r="D3089" s="2" t="str">
        <f ca="1">IFERROR(__xludf.DUMMYFUNCTION("""COMPUTED_VALUE"""),"Dubai&gt;Majan&gt;Novi 3 Residences")</f>
        <v>Dubai&gt;Majan&gt;Novi 3 Residences</v>
      </c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</row>
    <row r="3090" spans="1:26" ht="16.5" x14ac:dyDescent="0.35">
      <c r="A3090" s="2" t="str">
        <f ca="1">IFERROR(__xludf.DUMMYFUNCTION("""COMPUTED_VALUE"""),"Dubai")</f>
        <v>Dubai</v>
      </c>
      <c r="B3090" s="2" t="str">
        <f ca="1">IFERROR(__xludf.DUMMYFUNCTION("""COMPUTED_VALUE"""),"Bisan Building")</f>
        <v>Bisan Building</v>
      </c>
      <c r="C3090" s="2" t="str">
        <f ca="1">IFERROR(__xludf.DUMMYFUNCTION("""COMPUTED_VALUE"""),"Building")</f>
        <v>Building</v>
      </c>
      <c r="D3090" s="2" t="str">
        <f ca="1">IFERROR(__xludf.DUMMYFUNCTION("""COMPUTED_VALUE"""),"Dubai&gt;Majan&gt;Bisan Building")</f>
        <v>Dubai&gt;Majan&gt;Bisan Building</v>
      </c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</row>
    <row r="3091" spans="1:26" ht="16.5" x14ac:dyDescent="0.35">
      <c r="A3091" s="2" t="str">
        <f ca="1">IFERROR(__xludf.DUMMYFUNCTION("""COMPUTED_VALUE"""),"Dubai")</f>
        <v>Dubai</v>
      </c>
      <c r="B3091" s="2" t="str">
        <f ca="1">IFERROR(__xludf.DUMMYFUNCTION("""COMPUTED_VALUE"""),"The Haven III")</f>
        <v>The Haven III</v>
      </c>
      <c r="C3091" s="2" t="str">
        <f ca="1">IFERROR(__xludf.DUMMYFUNCTION("""COMPUTED_VALUE"""),"Building")</f>
        <v>Building</v>
      </c>
      <c r="D3091" s="2" t="str">
        <f ca="1">IFERROR(__xludf.DUMMYFUNCTION("""COMPUTED_VALUE"""),"Dubai&gt;Majan&gt;The Haven III")</f>
        <v>Dubai&gt;Majan&gt;The Haven III</v>
      </c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</row>
    <row r="3092" spans="1:26" ht="16.5" x14ac:dyDescent="0.35">
      <c r="A3092" s="2" t="str">
        <f ca="1">IFERROR(__xludf.DUMMYFUNCTION("""COMPUTED_VALUE"""),"Dubai")</f>
        <v>Dubai</v>
      </c>
      <c r="B3092" s="2" t="str">
        <f ca="1">IFERROR(__xludf.DUMMYFUNCTION("""COMPUTED_VALUE"""),"320 Riverside Crescent")</f>
        <v>320 Riverside Crescent</v>
      </c>
      <c r="C3092" s="2" t="str">
        <f ca="1">IFERROR(__xludf.DUMMYFUNCTION("""COMPUTED_VALUE"""),"Building")</f>
        <v>Building</v>
      </c>
      <c r="D3092" s="2" t="str">
        <f ca="1">IFERROR(__xludf.DUMMYFUNCTION("""COMPUTED_VALUE"""),"Dubai&gt;Sobha Hartland 2&gt;Riverside Crescent&gt;320 Riverside Crescent")</f>
        <v>Dubai&gt;Sobha Hartland 2&gt;Riverside Crescent&gt;320 Riverside Crescent</v>
      </c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</row>
    <row r="3093" spans="1:26" ht="16.5" x14ac:dyDescent="0.35">
      <c r="A3093" s="2" t="str">
        <f ca="1">IFERROR(__xludf.DUMMYFUNCTION("""COMPUTED_VALUE"""),"Dubai")</f>
        <v>Dubai</v>
      </c>
      <c r="B3093" s="2" t="str">
        <f ca="1">IFERROR(__xludf.DUMMYFUNCTION("""COMPUTED_VALUE"""),"Studio One Hotel")</f>
        <v>Studio One Hotel</v>
      </c>
      <c r="C3093" s="2" t="str">
        <f ca="1">IFERROR(__xludf.DUMMYFUNCTION("""COMPUTED_VALUE"""),"Building")</f>
        <v>Building</v>
      </c>
      <c r="D3093" s="2" t="str">
        <f ca="1">IFERROR(__xludf.DUMMYFUNCTION("""COMPUTED_VALUE"""),"Dubai&gt;Dubai Studio City&gt;Studio One Hotel")</f>
        <v>Dubai&gt;Dubai Studio City&gt;Studio One Hotel</v>
      </c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</row>
    <row r="3094" spans="1:26" ht="16.5" x14ac:dyDescent="0.35">
      <c r="A3094" s="2" t="str">
        <f ca="1">IFERROR(__xludf.DUMMYFUNCTION("""COMPUTED_VALUE"""),"Dubai")</f>
        <v>Dubai</v>
      </c>
      <c r="B3094" s="2" t="str">
        <f ca="1">IFERROR(__xludf.DUMMYFUNCTION("""COMPUTED_VALUE"""),"Laya Courtyard")</f>
        <v>Laya Courtyard</v>
      </c>
      <c r="C3094" s="2" t="str">
        <f ca="1">IFERROR(__xludf.DUMMYFUNCTION("""COMPUTED_VALUE"""),"Building")</f>
        <v>Building</v>
      </c>
      <c r="D3094" s="2" t="str">
        <f ca="1">IFERROR(__xludf.DUMMYFUNCTION("""COMPUTED_VALUE"""),"Dubai&gt;Dubai Studio City&gt;Laya Courtyard")</f>
        <v>Dubai&gt;Dubai Studio City&gt;Laya Courtyard</v>
      </c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</row>
    <row r="3095" spans="1:26" ht="16.5" x14ac:dyDescent="0.35">
      <c r="A3095" s="2" t="str">
        <f ca="1">IFERROR(__xludf.DUMMYFUNCTION("""COMPUTED_VALUE"""),"Dubai")</f>
        <v>Dubai</v>
      </c>
      <c r="B3095" s="2" t="str">
        <f ca="1">IFERROR(__xludf.DUMMYFUNCTION("""COMPUTED_VALUE"""),"Hartland Gardenia Villas")</f>
        <v>Hartland Gardenia Villas</v>
      </c>
      <c r="C3095" s="2" t="str">
        <f ca="1">IFERROR(__xludf.DUMMYFUNCTION("""COMPUTED_VALUE"""),"Neighbourhood")</f>
        <v>Neighbourhood</v>
      </c>
      <c r="D3095" s="2" t="str">
        <f ca="1">IFERROR(__xludf.DUMMYFUNCTION("""COMPUTED_VALUE"""),"Dubai&gt;Sobha Hartland&gt;Hartland Gardenia Villas")</f>
        <v>Dubai&gt;Sobha Hartland&gt;Hartland Gardenia Villas</v>
      </c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</row>
    <row r="3096" spans="1:26" ht="16.5" x14ac:dyDescent="0.35">
      <c r="A3096" s="2" t="str">
        <f ca="1">IFERROR(__xludf.DUMMYFUNCTION("""COMPUTED_VALUE"""),"Dubai")</f>
        <v>Dubai</v>
      </c>
      <c r="B3096" s="2" t="str">
        <f ca="1">IFERROR(__xludf.DUMMYFUNCTION("""COMPUTED_VALUE"""),"Sobha One Podium")</f>
        <v>Sobha One Podium</v>
      </c>
      <c r="C3096" s="2" t="str">
        <f ca="1">IFERROR(__xludf.DUMMYFUNCTION("""COMPUTED_VALUE"""),"Building")</f>
        <v>Building</v>
      </c>
      <c r="D3096" s="2" t="str">
        <f ca="1">IFERROR(__xludf.DUMMYFUNCTION("""COMPUTED_VALUE"""),"Dubai&gt;Sobha Hartland&gt;Sobha One&gt;Sobha One Podium")</f>
        <v>Dubai&gt;Sobha Hartland&gt;Sobha One&gt;Sobha One Podium</v>
      </c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</row>
    <row r="3097" spans="1:26" ht="16.5" x14ac:dyDescent="0.35">
      <c r="A3097" s="2" t="str">
        <f ca="1">IFERROR(__xludf.DUMMYFUNCTION("""COMPUTED_VALUE"""),"Dubai")</f>
        <v>Dubai</v>
      </c>
      <c r="B3097" s="2" t="str">
        <f ca="1">IFERROR(__xludf.DUMMYFUNCTION("""COMPUTED_VALUE"""),"Building 2B")</f>
        <v>Building 2B</v>
      </c>
      <c r="C3097" s="2" t="str">
        <f ca="1">IFERROR(__xludf.DUMMYFUNCTION("""COMPUTED_VALUE"""),"Building")</f>
        <v>Building</v>
      </c>
      <c r="D3097" s="2" t="str">
        <f ca="1">IFERROR(__xludf.DUMMYFUNCTION("""COMPUTED_VALUE"""),"Dubai&gt;Expo City&gt;Expo Village&gt;Residences 2&gt;Building 2B")</f>
        <v>Dubai&gt;Expo City&gt;Expo Village&gt;Residences 2&gt;Building 2B</v>
      </c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</row>
    <row r="3098" spans="1:26" ht="16.5" x14ac:dyDescent="0.35">
      <c r="A3098" s="2" t="str">
        <f ca="1">IFERROR(__xludf.DUMMYFUNCTION("""COMPUTED_VALUE"""),"Dubai")</f>
        <v>Dubai</v>
      </c>
      <c r="B3098" s="2" t="str">
        <f ca="1">IFERROR(__xludf.DUMMYFUNCTION("""COMPUTED_VALUE"""),"Terra Heights Building 3")</f>
        <v>Terra Heights Building 3</v>
      </c>
      <c r="C3098" s="2" t="str">
        <f ca="1">IFERROR(__xludf.DUMMYFUNCTION("""COMPUTED_VALUE"""),"Building")</f>
        <v>Building</v>
      </c>
      <c r="D3098" s="2" t="str">
        <f ca="1">IFERROR(__xludf.DUMMYFUNCTION("""COMPUTED_VALUE"""),"Dubai&gt;Expo City&gt;Terra Heights&gt;Terra Heights Building 3")</f>
        <v>Dubai&gt;Expo City&gt;Terra Heights&gt;Terra Heights Building 3</v>
      </c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</row>
    <row r="3099" spans="1:26" ht="16.5" x14ac:dyDescent="0.35">
      <c r="A3099" s="2" t="str">
        <f ca="1">IFERROR(__xludf.DUMMYFUNCTION("""COMPUTED_VALUE"""),"Dubai")</f>
        <v>Dubai</v>
      </c>
      <c r="B3099" s="2" t="str">
        <f ca="1">IFERROR(__xludf.DUMMYFUNCTION("""COMPUTED_VALUE"""),"Jade")</f>
        <v>Jade</v>
      </c>
      <c r="C3099" s="2" t="str">
        <f ca="1">IFERROR(__xludf.DUMMYFUNCTION("""COMPUTED_VALUE"""),"Building")</f>
        <v>Building</v>
      </c>
      <c r="D3099" s="2" t="str">
        <f ca="1">IFERROR(__xludf.DUMMYFUNCTION("""COMPUTED_VALUE"""),"Dubai&gt;Haven by Aldar&gt;Verdes by Haven&gt;Jade")</f>
        <v>Dubai&gt;Haven by Aldar&gt;Verdes by Haven&gt;Jade</v>
      </c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</row>
    <row r="3100" spans="1:26" ht="16.5" x14ac:dyDescent="0.35">
      <c r="A3100" s="2" t="str">
        <f ca="1">IFERROR(__xludf.DUMMYFUNCTION("""COMPUTED_VALUE"""),"Dubai")</f>
        <v>Dubai</v>
      </c>
      <c r="B3100" s="2" t="str">
        <f ca="1">IFERROR(__xludf.DUMMYFUNCTION("""COMPUTED_VALUE"""),"Al Meryal")</f>
        <v>Al Meryal</v>
      </c>
      <c r="C3100" s="2" t="str">
        <f ca="1">IFERROR(__xludf.DUMMYFUNCTION("""COMPUTED_VALUE"""),"Neighbourhood")</f>
        <v>Neighbourhood</v>
      </c>
      <c r="D3100" s="2" t="str">
        <f ca="1">IFERROR(__xludf.DUMMYFUNCTION("""COMPUTED_VALUE"""),"Dubai&gt;Al Meryal")</f>
        <v>Dubai&gt;Al Meryal</v>
      </c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</row>
    <row r="3101" spans="1:26" ht="16.5" x14ac:dyDescent="0.35">
      <c r="A3101" s="2" t="str">
        <f ca="1">IFERROR(__xludf.DUMMYFUNCTION("""COMPUTED_VALUE"""),"Dubai")</f>
        <v>Dubai</v>
      </c>
      <c r="B3101" s="2" t="str">
        <f ca="1">IFERROR(__xludf.DUMMYFUNCTION("""COMPUTED_VALUE"""),"Serra Building 5")</f>
        <v>Serra Building 5</v>
      </c>
      <c r="C3101" s="2" t="str">
        <f ca="1">IFERROR(__xludf.DUMMYFUNCTION("""COMPUTED_VALUE"""),"Building")</f>
        <v>Building</v>
      </c>
      <c r="D3101" s="2" t="str">
        <f ca="1">IFERROR(__xludf.DUMMYFUNCTION("""COMPUTED_VALUE"""),"Dubai&gt;Ghaf Woods&gt;Serra&gt;Serra Building 5")</f>
        <v>Dubai&gt;Ghaf Woods&gt;Serra&gt;Serra Building 5</v>
      </c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</row>
    <row r="3102" spans="1:26" ht="16.5" x14ac:dyDescent="0.35">
      <c r="A3102" s="2" t="str">
        <f ca="1">IFERROR(__xludf.DUMMYFUNCTION("""COMPUTED_VALUE"""),"Dubai")</f>
        <v>Dubai</v>
      </c>
      <c r="B3102" s="2" t="str">
        <f ca="1">IFERROR(__xludf.DUMMYFUNCTION("""COMPUTED_VALUE"""),"Bora Bora 2")</f>
        <v>Bora Bora 2</v>
      </c>
      <c r="C3102" s="2" t="str">
        <f ca="1">IFERROR(__xludf.DUMMYFUNCTION("""COMPUTED_VALUE"""),"Neighbourhood")</f>
        <v>Neighbourhood</v>
      </c>
      <c r="D3102" s="2" t="str">
        <f ca="1">IFERROR(__xludf.DUMMYFUNCTION("""COMPUTED_VALUE"""),"Dubai&gt;DAMAC Islands&gt;Bora Bora 2")</f>
        <v>Dubai&gt;DAMAC Islands&gt;Bora Bora 2</v>
      </c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</row>
    <row r="3103" spans="1:26" ht="16.5" x14ac:dyDescent="0.35">
      <c r="A3103" s="2" t="str">
        <f ca="1">IFERROR(__xludf.DUMMYFUNCTION("""COMPUTED_VALUE"""),"Dubai")</f>
        <v>Dubai</v>
      </c>
      <c r="B3103" s="2" t="str">
        <f ca="1">IFERROR(__xludf.DUMMYFUNCTION("""COMPUTED_VALUE"""),"Suha Hotel Apartments")</f>
        <v>Suha Hotel Apartments</v>
      </c>
      <c r="C3103" s="2" t="str">
        <f ca="1">IFERROR(__xludf.DUMMYFUNCTION("""COMPUTED_VALUE"""),"Building")</f>
        <v>Building</v>
      </c>
      <c r="D3103" s="2" t="str">
        <f ca="1">IFERROR(__xludf.DUMMYFUNCTION("""COMPUTED_VALUE"""),"Dubai&gt;Jumeirah Beach Residence (JBR)&gt;Suha Hotel Apartments")</f>
        <v>Dubai&gt;Jumeirah Beach Residence (JBR)&gt;Suha Hotel Apartments</v>
      </c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</row>
    <row r="3104" spans="1:26" ht="16.5" x14ac:dyDescent="0.35">
      <c r="A3104" s="2" t="str">
        <f ca="1">IFERROR(__xludf.DUMMYFUNCTION("""COMPUTED_VALUE"""),"Dubai")</f>
        <v>Dubai</v>
      </c>
      <c r="B3104" s="2" t="str">
        <f ca="1">IFERROR(__xludf.DUMMYFUNCTION("""COMPUTED_VALUE"""),"FIVE Luxe")</f>
        <v>FIVE Luxe</v>
      </c>
      <c r="C3104" s="2" t="str">
        <f ca="1">IFERROR(__xludf.DUMMYFUNCTION("""COMPUTED_VALUE"""),"Building")</f>
        <v>Building</v>
      </c>
      <c r="D3104" s="2" t="str">
        <f ca="1">IFERROR(__xludf.DUMMYFUNCTION("""COMPUTED_VALUE"""),"Dubai&gt;Jumeirah Beach Residence (JBR)&gt;FIVE Luxe")</f>
        <v>Dubai&gt;Jumeirah Beach Residence (JBR)&gt;FIVE Luxe</v>
      </c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</row>
    <row r="3105" spans="1:26" ht="16.5" x14ac:dyDescent="0.35">
      <c r="A3105" s="2" t="str">
        <f ca="1">IFERROR(__xludf.DUMMYFUNCTION("""COMPUTED_VALUE"""),"Dubai")</f>
        <v>Dubai</v>
      </c>
      <c r="B3105" s="2" t="str">
        <f ca="1">IFERROR(__xludf.DUMMYFUNCTION("""COMPUTED_VALUE"""),"Highgrove by Ellington")</f>
        <v>Highgrove by Ellington</v>
      </c>
      <c r="C3105" s="2" t="str">
        <f ca="1">IFERROR(__xludf.DUMMYFUNCTION("""COMPUTED_VALUE"""),"Building")</f>
        <v>Building</v>
      </c>
      <c r="D3105" s="2" t="str">
        <f ca="1">IFERROR(__xludf.DUMMYFUNCTION("""COMPUTED_VALUE"""),"Dubai&gt;Meydan Horizon&gt;Highgrove by Ellington")</f>
        <v>Dubai&gt;Meydan Horizon&gt;Highgrove by Ellington</v>
      </c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</row>
    <row r="3106" spans="1:26" ht="16.5" x14ac:dyDescent="0.35">
      <c r="A3106" s="2" t="str">
        <f ca="1">IFERROR(__xludf.DUMMYFUNCTION("""COMPUTED_VALUE"""),"Dubai")</f>
        <v>Dubai</v>
      </c>
      <c r="B3106" s="2" t="str">
        <f ca="1">IFERROR(__xludf.DUMMYFUNCTION("""COMPUTED_VALUE"""),"Safa Early Learning Centre")</f>
        <v>Safa Early Learning Centre</v>
      </c>
      <c r="C3106" s="2" t="str">
        <f ca="1">IFERROR(__xludf.DUMMYFUNCTION("""COMPUTED_VALUE"""),"Nursery")</f>
        <v>Nursery</v>
      </c>
      <c r="D3106" s="2" t="str">
        <f ca="1">IFERROR(__xludf.DUMMYFUNCTION("""COMPUTED_VALUE"""),"Dubai&gt;Al Wasl&gt;Safa Early Learning Centre")</f>
        <v>Dubai&gt;Al Wasl&gt;Safa Early Learning Centre</v>
      </c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</row>
    <row r="3107" spans="1:26" ht="16.5" x14ac:dyDescent="0.35">
      <c r="A3107" s="2" t="str">
        <f ca="1">IFERROR(__xludf.DUMMYFUNCTION("""COMPUTED_VALUE"""),"Dubai")</f>
        <v>Dubai</v>
      </c>
      <c r="B3107" s="2" t="str">
        <f ca="1">IFERROR(__xludf.DUMMYFUNCTION("""COMPUTED_VALUE"""),"Building 18A")</f>
        <v>Building 18A</v>
      </c>
      <c r="C3107" s="2" t="str">
        <f ca="1">IFERROR(__xludf.DUMMYFUNCTION("""COMPUTED_VALUE"""),"Building")</f>
        <v>Building</v>
      </c>
      <c r="D3107" s="2" t="str">
        <f ca="1">IFERROR(__xludf.DUMMYFUNCTION("""COMPUTED_VALUE"""),"Dubai&gt;Al Wasl&gt;City Walk&gt;Building 18A")</f>
        <v>Dubai&gt;Al Wasl&gt;City Walk&gt;Building 18A</v>
      </c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</row>
    <row r="3108" spans="1:26" ht="16.5" x14ac:dyDescent="0.35">
      <c r="A3108" s="2" t="str">
        <f ca="1">IFERROR(__xludf.DUMMYFUNCTION("""COMPUTED_VALUE"""),"Dubai")</f>
        <v>Dubai</v>
      </c>
      <c r="B3108" s="2" t="str">
        <f ca="1">IFERROR(__xludf.DUMMYFUNCTION("""COMPUTED_VALUE"""),"Building 21B")</f>
        <v>Building 21B</v>
      </c>
      <c r="C3108" s="2" t="str">
        <f ca="1">IFERROR(__xludf.DUMMYFUNCTION("""COMPUTED_VALUE"""),"Building")</f>
        <v>Building</v>
      </c>
      <c r="D3108" s="2" t="str">
        <f ca="1">IFERROR(__xludf.DUMMYFUNCTION("""COMPUTED_VALUE"""),"Dubai&gt;Al Wasl&gt;City Walk&gt;Building 21B")</f>
        <v>Dubai&gt;Al Wasl&gt;City Walk&gt;Building 21B</v>
      </c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</row>
    <row r="3109" spans="1:26" ht="16.5" x14ac:dyDescent="0.35">
      <c r="A3109" s="2" t="str">
        <f ca="1">IFERROR(__xludf.DUMMYFUNCTION("""COMPUTED_VALUE"""),"Dubai")</f>
        <v>Dubai</v>
      </c>
      <c r="B3109" s="2" t="str">
        <f ca="1">IFERROR(__xludf.DUMMYFUNCTION("""COMPUTED_VALUE"""),"Canal Front Residences 5")</f>
        <v>Canal Front Residences 5</v>
      </c>
      <c r="C3109" s="2" t="str">
        <f ca="1">IFERROR(__xludf.DUMMYFUNCTION("""COMPUTED_VALUE"""),"Building")</f>
        <v>Building</v>
      </c>
      <c r="D3109" s="2" t="str">
        <f ca="1">IFERROR(__xludf.DUMMYFUNCTION("""COMPUTED_VALUE"""),"Dubai&gt;Al Wasl&gt;Canal Front Residences&gt;Canal Front Residences 5")</f>
        <v>Dubai&gt;Al Wasl&gt;Canal Front Residences&gt;Canal Front Residences 5</v>
      </c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</row>
    <row r="3110" spans="1:26" ht="16.5" x14ac:dyDescent="0.35">
      <c r="A3110" s="2" t="str">
        <f ca="1">IFERROR(__xludf.DUMMYFUNCTION("""COMPUTED_VALUE"""),"Dubai")</f>
        <v>Dubai</v>
      </c>
      <c r="B3110" s="2" t="str">
        <f ca="1">IFERROR(__xludf.DUMMYFUNCTION("""COMPUTED_VALUE"""),"Golden Villa")</f>
        <v>Golden Villa</v>
      </c>
      <c r="C3110" s="2" t="str">
        <f ca="1">IFERROR(__xludf.DUMMYFUNCTION("""COMPUTED_VALUE"""),"Neighbourhood")</f>
        <v>Neighbourhood</v>
      </c>
      <c r="D3110" s="2" t="str">
        <f ca="1">IFERROR(__xludf.DUMMYFUNCTION("""COMPUTED_VALUE"""),"Dubai&gt;Al Wasl&gt;Golden Villa")</f>
        <v>Dubai&gt;Al Wasl&gt;Golden Villa</v>
      </c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</row>
    <row r="3111" spans="1:26" ht="16.5" x14ac:dyDescent="0.35">
      <c r="A3111" s="2" t="str">
        <f ca="1">IFERROR(__xludf.DUMMYFUNCTION("""COMPUTED_VALUE"""),"Dubai")</f>
        <v>Dubai</v>
      </c>
      <c r="B3111" s="2" t="str">
        <f ca="1">IFERROR(__xludf.DUMMYFUNCTION("""COMPUTED_VALUE"""),"Al Sayyah Residence A")</f>
        <v>Al Sayyah Residence A</v>
      </c>
      <c r="C3111" s="2" t="str">
        <f ca="1">IFERROR(__xludf.DUMMYFUNCTION("""COMPUTED_VALUE"""),"Building")</f>
        <v>Building</v>
      </c>
      <c r="D3111" s="2" t="str">
        <f ca="1">IFERROR(__xludf.DUMMYFUNCTION("""COMPUTED_VALUE"""),"Dubai&gt;Arjan&gt;Al Sayyah Residence&gt;Al Sayyah Residence A")</f>
        <v>Dubai&gt;Arjan&gt;Al Sayyah Residence&gt;Al Sayyah Residence A</v>
      </c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</row>
    <row r="3112" spans="1:26" ht="16.5" x14ac:dyDescent="0.35">
      <c r="A3112" s="2" t="str">
        <f ca="1">IFERROR(__xludf.DUMMYFUNCTION("""COMPUTED_VALUE"""),"Dubai")</f>
        <v>Dubai</v>
      </c>
      <c r="B3112" s="2" t="str">
        <f ca="1">IFERROR(__xludf.DUMMYFUNCTION("""COMPUTED_VALUE"""),"Al Mansour Tower")</f>
        <v>Al Mansour Tower</v>
      </c>
      <c r="C3112" s="2" t="str">
        <f ca="1">IFERROR(__xludf.DUMMYFUNCTION("""COMPUTED_VALUE"""),"Building")</f>
        <v>Building</v>
      </c>
      <c r="D3112" s="2" t="str">
        <f ca="1">IFERROR(__xludf.DUMMYFUNCTION("""COMPUTED_VALUE"""),"Dubai&gt;Arjan&gt;Al Mansour Tower")</f>
        <v>Dubai&gt;Arjan&gt;Al Mansour Tower</v>
      </c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</row>
    <row r="3113" spans="1:26" ht="16.5" x14ac:dyDescent="0.35">
      <c r="A3113" s="2" t="str">
        <f ca="1">IFERROR(__xludf.DUMMYFUNCTION("""COMPUTED_VALUE"""),"Dubai")</f>
        <v>Dubai</v>
      </c>
      <c r="B3113" s="2" t="str">
        <f ca="1">IFERROR(__xludf.DUMMYFUNCTION("""COMPUTED_VALUE"""),"Building 88")</f>
        <v>Building 88</v>
      </c>
      <c r="C3113" s="2" t="str">
        <f ca="1">IFERROR(__xludf.DUMMYFUNCTION("""COMPUTED_VALUE"""),"Building")</f>
        <v>Building</v>
      </c>
      <c r="D3113" s="2" t="str">
        <f ca="1">IFERROR(__xludf.DUMMYFUNCTION("""COMPUTED_VALUE"""),"Dubai&gt;Arjan&gt;Building 88")</f>
        <v>Dubai&gt;Arjan&gt;Building 88</v>
      </c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</row>
    <row r="3114" spans="1:26" ht="16.5" x14ac:dyDescent="0.35">
      <c r="A3114" s="2" t="str">
        <f ca="1">IFERROR(__xludf.DUMMYFUNCTION("""COMPUTED_VALUE"""),"Dubai")</f>
        <v>Dubai</v>
      </c>
      <c r="B3114" s="2" t="str">
        <f ca="1">IFERROR(__xludf.DUMMYFUNCTION("""COMPUTED_VALUE"""),"Oxford Gardens")</f>
        <v>Oxford Gardens</v>
      </c>
      <c r="C3114" s="2" t="str">
        <f ca="1">IFERROR(__xludf.DUMMYFUNCTION("""COMPUTED_VALUE"""),"Building")</f>
        <v>Building</v>
      </c>
      <c r="D3114" s="2" t="str">
        <f ca="1">IFERROR(__xludf.DUMMYFUNCTION("""COMPUTED_VALUE"""),"Dubai&gt;Arjan&gt;Oxford Gardens")</f>
        <v>Dubai&gt;Arjan&gt;Oxford Gardens</v>
      </c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</row>
    <row r="3115" spans="1:26" ht="16.5" x14ac:dyDescent="0.35">
      <c r="A3115" s="2" t="str">
        <f ca="1">IFERROR(__xludf.DUMMYFUNCTION("""COMPUTED_VALUE"""),"Dubai")</f>
        <v>Dubai</v>
      </c>
      <c r="B3115" s="2" t="str">
        <f ca="1">IFERROR(__xludf.DUMMYFUNCTION("""COMPUTED_VALUE"""),"The Central Downtown Tower B")</f>
        <v>The Central Downtown Tower B</v>
      </c>
      <c r="C3115" s="2" t="str">
        <f ca="1">IFERROR(__xludf.DUMMYFUNCTION("""COMPUTED_VALUE"""),"Building")</f>
        <v>Building</v>
      </c>
      <c r="D3115" s="2" t="str">
        <f ca="1">IFERROR(__xludf.DUMMYFUNCTION("""COMPUTED_VALUE"""),"Dubai&gt;Arjan&gt;The Central Downtown&gt;The Central Downtown Tower B")</f>
        <v>Dubai&gt;Arjan&gt;The Central Downtown&gt;The Central Downtown Tower B</v>
      </c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</row>
    <row r="3116" spans="1:26" ht="16.5" x14ac:dyDescent="0.35">
      <c r="A3116" s="2" t="str">
        <f ca="1">IFERROR(__xludf.DUMMYFUNCTION("""COMPUTED_VALUE"""),"Dubai")</f>
        <v>Dubai</v>
      </c>
      <c r="B3116" s="2" t="str">
        <f ca="1">IFERROR(__xludf.DUMMYFUNCTION("""COMPUTED_VALUE"""),"Al Waleed BA 06")</f>
        <v>Al Waleed BA 06</v>
      </c>
      <c r="C3116" s="2" t="str">
        <f ca="1">IFERROR(__xludf.DUMMYFUNCTION("""COMPUTED_VALUE"""),"Building")</f>
        <v>Building</v>
      </c>
      <c r="D3116" s="2" t="str">
        <f ca="1">IFERROR(__xludf.DUMMYFUNCTION("""COMPUTED_VALUE"""),"Dubai&gt;Arjan&gt;Al Waleed BA 06")</f>
        <v>Dubai&gt;Arjan&gt;Al Waleed BA 06</v>
      </c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</row>
    <row r="3117" spans="1:26" ht="16.5" x14ac:dyDescent="0.35">
      <c r="A3117" s="2" t="str">
        <f ca="1">IFERROR(__xludf.DUMMYFUNCTION("""COMPUTED_VALUE"""),"Dubai")</f>
        <v>Dubai</v>
      </c>
      <c r="B3117" s="2" t="str">
        <f ca="1">IFERROR(__xludf.DUMMYFUNCTION("""COMPUTED_VALUE"""),"Al Ferdous 1")</f>
        <v>Al Ferdous 1</v>
      </c>
      <c r="C3117" s="2" t="str">
        <f ca="1">IFERROR(__xludf.DUMMYFUNCTION("""COMPUTED_VALUE"""),"Building")</f>
        <v>Building</v>
      </c>
      <c r="D3117" s="2" t="str">
        <f ca="1">IFERROR(__xludf.DUMMYFUNCTION("""COMPUTED_VALUE"""),"Dubai&gt;Al Safa&gt;Al Safa 1&gt;Al Ferdous 1")</f>
        <v>Dubai&gt;Al Safa&gt;Al Safa 1&gt;Al Ferdous 1</v>
      </c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</row>
    <row r="3118" spans="1:26" ht="16.5" x14ac:dyDescent="0.35">
      <c r="A3118" s="2" t="str">
        <f ca="1">IFERROR(__xludf.DUMMYFUNCTION("""COMPUTED_VALUE"""),"Dubai")</f>
        <v>Dubai</v>
      </c>
      <c r="B3118" s="2" t="str">
        <f ca="1">IFERROR(__xludf.DUMMYFUNCTION("""COMPUTED_VALUE"""),"The Butterfly")</f>
        <v>The Butterfly</v>
      </c>
      <c r="C3118" s="2" t="str">
        <f ca="1">IFERROR(__xludf.DUMMYFUNCTION("""COMPUTED_VALUE"""),"Cluster")</f>
        <v>Cluster</v>
      </c>
      <c r="D3118" s="2" t="str">
        <f ca="1">IFERROR(__xludf.DUMMYFUNCTION("""COMPUTED_VALUE"""),"Dubai&gt;Dubai Media City&gt;The Butterfly")</f>
        <v>Dubai&gt;Dubai Media City&gt;The Butterfly</v>
      </c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</row>
    <row r="3119" spans="1:26" ht="16.5" x14ac:dyDescent="0.35">
      <c r="A3119" s="2" t="str">
        <f ca="1">IFERROR(__xludf.DUMMYFUNCTION("""COMPUTED_VALUE"""),"Abu Dhabi")</f>
        <v>Abu Dhabi</v>
      </c>
      <c r="B3119" s="2" t="str">
        <f ca="1">IFERROR(__xludf.DUMMYFUNCTION("""COMPUTED_VALUE"""),"Al Mamoura Academy")</f>
        <v>Al Mamoura Academy</v>
      </c>
      <c r="C3119" s="2" t="str">
        <f ca="1">IFERROR(__xludf.DUMMYFUNCTION("""COMPUTED_VALUE"""),"School")</f>
        <v>School</v>
      </c>
      <c r="D3119" s="2" t="str">
        <f ca="1">IFERROR(__xludf.DUMMYFUNCTION("""COMPUTED_VALUE"""),"Abu Dhabi&gt;Al Nahyan&gt;Al Mamoura&gt;Al Mamoura Academy")</f>
        <v>Abu Dhabi&gt;Al Nahyan&gt;Al Mamoura&gt;Al Mamoura Academy</v>
      </c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</row>
    <row r="3120" spans="1:26" ht="16.5" x14ac:dyDescent="0.35">
      <c r="A3120" s="2" t="str">
        <f ca="1">IFERROR(__xludf.DUMMYFUNCTION("""COMPUTED_VALUE"""),"Abu Dhabi")</f>
        <v>Abu Dhabi</v>
      </c>
      <c r="B3120" s="2" t="str">
        <f ca="1">IFERROR(__xludf.DUMMYFUNCTION("""COMPUTED_VALUE"""),"Sheleila Tower")</f>
        <v>Sheleila Tower</v>
      </c>
      <c r="C3120" s="2" t="str">
        <f ca="1">IFERROR(__xludf.DUMMYFUNCTION("""COMPUTED_VALUE"""),"Building")</f>
        <v>Building</v>
      </c>
      <c r="D3120" s="2" t="str">
        <f ca="1">IFERROR(__xludf.DUMMYFUNCTION("""COMPUTED_VALUE"""),"Abu Dhabi&gt;Al Bateen&gt;Sheleila Tower")</f>
        <v>Abu Dhabi&gt;Al Bateen&gt;Sheleila Tower</v>
      </c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</row>
    <row r="3121" spans="1:26" ht="16.5" x14ac:dyDescent="0.35">
      <c r="A3121" s="2" t="str">
        <f ca="1">IFERROR(__xludf.DUMMYFUNCTION("""COMPUTED_VALUE"""),"Abu Dhabi")</f>
        <v>Abu Dhabi</v>
      </c>
      <c r="B3121" s="2" t="str">
        <f ca="1">IFERROR(__xludf.DUMMYFUNCTION("""COMPUTED_VALUE"""),"Jannah Burj Al Sarab")</f>
        <v>Jannah Burj Al Sarab</v>
      </c>
      <c r="C3121" s="2"/>
      <c r="D3121" s="2" t="str">
        <f ca="1">IFERROR(__xludf.DUMMYFUNCTION("""COMPUTED_VALUE"""),"Abu Dhabi&gt;Tourist Club Area (TCA)&gt;Mina Road&gt;Jannah Burj Al Sarab")</f>
        <v>Abu Dhabi&gt;Tourist Club Area (TCA)&gt;Mina Road&gt;Jannah Burj Al Sarab</v>
      </c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</row>
    <row r="3122" spans="1:26" ht="16.5" x14ac:dyDescent="0.35">
      <c r="A3122" s="2" t="str">
        <f ca="1">IFERROR(__xludf.DUMMYFUNCTION("""COMPUTED_VALUE"""),"Abu Dhabi")</f>
        <v>Abu Dhabi</v>
      </c>
      <c r="B3122" s="2" t="str">
        <f ca="1">IFERROR(__xludf.DUMMYFUNCTION("""COMPUTED_VALUE"""),"Al Meena Villas")</f>
        <v>Al Meena Villas</v>
      </c>
      <c r="C3122" s="2" t="str">
        <f ca="1">IFERROR(__xludf.DUMMYFUNCTION("""COMPUTED_VALUE"""),"Neighbourhood")</f>
        <v>Neighbourhood</v>
      </c>
      <c r="D3122" s="2" t="str">
        <f ca="1">IFERROR(__xludf.DUMMYFUNCTION("""COMPUTED_VALUE"""),"Abu Dhabi&gt;Al Zahiyah&gt;Al Meena Villas")</f>
        <v>Abu Dhabi&gt;Al Zahiyah&gt;Al Meena Villas</v>
      </c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</row>
    <row r="3123" spans="1:26" ht="16.5" x14ac:dyDescent="0.35">
      <c r="A3123" s="2" t="str">
        <f ca="1">IFERROR(__xludf.DUMMYFUNCTION("""COMPUTED_VALUE"""),"Abu Dhabi")</f>
        <v>Abu Dhabi</v>
      </c>
      <c r="B3123" s="2" t="str">
        <f ca="1">IFERROR(__xludf.DUMMYFUNCTION("""COMPUTED_VALUE"""),"Al Yasat Compound")</f>
        <v>Al Yasat Compound</v>
      </c>
      <c r="C3123" s="2" t="str">
        <f ca="1">IFERROR(__xludf.DUMMYFUNCTION("""COMPUTED_VALUE"""),"Neighbourhood")</f>
        <v>Neighbourhood</v>
      </c>
      <c r="D3123" s="2" t="str">
        <f ca="1">IFERROR(__xludf.DUMMYFUNCTION("""COMPUTED_VALUE"""),"Abu Dhabi&gt;Al Mushrif&gt;Al Yasat Compound")</f>
        <v>Abu Dhabi&gt;Al Mushrif&gt;Al Yasat Compound</v>
      </c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</row>
    <row r="3124" spans="1:26" ht="16.5" x14ac:dyDescent="0.35">
      <c r="A3124" s="2" t="str">
        <f ca="1">IFERROR(__xludf.DUMMYFUNCTION("""COMPUTED_VALUE"""),"Abu Dhabi")</f>
        <v>Abu Dhabi</v>
      </c>
      <c r="B3124" s="2" t="str">
        <f ca="1">IFERROR(__xludf.DUMMYFUNCTION("""COMPUTED_VALUE"""),"Saraya One")</f>
        <v>Saraya One</v>
      </c>
      <c r="C3124" s="2" t="str">
        <f ca="1">IFERROR(__xludf.DUMMYFUNCTION("""COMPUTED_VALUE"""),"Building")</f>
        <v>Building</v>
      </c>
      <c r="D3124" s="2" t="str">
        <f ca="1">IFERROR(__xludf.DUMMYFUNCTION("""COMPUTED_VALUE"""),"Abu Dhabi&gt;Corniche Area&gt;Saraya One")</f>
        <v>Abu Dhabi&gt;Corniche Area&gt;Saraya One</v>
      </c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</row>
    <row r="3125" spans="1:26" ht="16.5" x14ac:dyDescent="0.35">
      <c r="A3125" s="2" t="str">
        <f ca="1">IFERROR(__xludf.DUMMYFUNCTION("""COMPUTED_VALUE"""),"Abu Dhabi")</f>
        <v>Abu Dhabi</v>
      </c>
      <c r="B3125" s="2" t="str">
        <f ca="1">IFERROR(__xludf.DUMMYFUNCTION("""COMPUTED_VALUE"""),"Bawabat Al Sharq Block 3")</f>
        <v>Bawabat Al Sharq Block 3</v>
      </c>
      <c r="C3125" s="2" t="str">
        <f ca="1">IFERROR(__xludf.DUMMYFUNCTION("""COMPUTED_VALUE"""),"Building")</f>
        <v>Building</v>
      </c>
      <c r="D3125" s="2" t="str">
        <f ca="1">IFERROR(__xludf.DUMMYFUNCTION("""COMPUTED_VALUE"""),"Abu Dhabi&gt;Baniyas&gt;Bawabat Al Sharq&gt;Bawabat Al Sharq Block 3")</f>
        <v>Abu Dhabi&gt;Baniyas&gt;Bawabat Al Sharq&gt;Bawabat Al Sharq Block 3</v>
      </c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</row>
    <row r="3126" spans="1:26" ht="16.5" x14ac:dyDescent="0.35">
      <c r="A3126" s="2" t="str">
        <f ca="1">IFERROR(__xludf.DUMMYFUNCTION("""COMPUTED_VALUE"""),"Abu Dhabi")</f>
        <v>Abu Dhabi</v>
      </c>
      <c r="B3126" s="2" t="str">
        <f ca="1">IFERROR(__xludf.DUMMYFUNCTION("""COMPUTED_VALUE"""),"Bab Al Qasr Resort Residence 19")</f>
        <v>Bab Al Qasr Resort Residence 19</v>
      </c>
      <c r="C3126" s="2" t="str">
        <f ca="1">IFERROR(__xludf.DUMMYFUNCTION("""COMPUTED_VALUE"""),"Building")</f>
        <v>Building</v>
      </c>
      <c r="D3126" s="2" t="str">
        <f ca="1">IFERROR(__xludf.DUMMYFUNCTION("""COMPUTED_VALUE"""),"Abu Dhabi&gt;Masdar City&gt;Bab Al Qasr Resort Residences&gt;Bab Al Qasr Resort Residence 19")</f>
        <v>Abu Dhabi&gt;Masdar City&gt;Bab Al Qasr Resort Residences&gt;Bab Al Qasr Resort Residence 19</v>
      </c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</row>
    <row r="3127" spans="1:26" ht="16.5" x14ac:dyDescent="0.35">
      <c r="A3127" s="2" t="str">
        <f ca="1">IFERROR(__xludf.DUMMYFUNCTION("""COMPUTED_VALUE"""),"Abu Dhabi")</f>
        <v>Abu Dhabi</v>
      </c>
      <c r="B3127" s="2" t="str">
        <f ca="1">IFERROR(__xludf.DUMMYFUNCTION("""COMPUTED_VALUE"""),"Mohammed Al Otaiba Tower")</f>
        <v>Mohammed Al Otaiba Tower</v>
      </c>
      <c r="C3127" s="2" t="str">
        <f ca="1">IFERROR(__xludf.DUMMYFUNCTION("""COMPUTED_VALUE"""),"Building")</f>
        <v>Building</v>
      </c>
      <c r="D3127" s="2" t="str">
        <f ca="1">IFERROR(__xludf.DUMMYFUNCTION("""COMPUTED_VALUE"""),"Abu Dhabi&gt;Al Danah&gt;Mohammed Al Otaiba Tower")</f>
        <v>Abu Dhabi&gt;Al Danah&gt;Mohammed Al Otaiba Tower</v>
      </c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</row>
    <row r="3128" spans="1:26" ht="16.5" x14ac:dyDescent="0.35">
      <c r="A3128" s="2" t="str">
        <f ca="1">IFERROR(__xludf.DUMMYFUNCTION("""COMPUTED_VALUE"""),"Abu Dhabi")</f>
        <v>Abu Dhabi</v>
      </c>
      <c r="B3128" s="2" t="str">
        <f ca="1">IFERROR(__xludf.DUMMYFUNCTION("""COMPUTED_VALUE"""),"Zayed Sports City")</f>
        <v>Zayed Sports City</v>
      </c>
      <c r="C3128" s="2" t="str">
        <f ca="1">IFERROR(__xludf.DUMMYFUNCTION("""COMPUTED_VALUE"""),"Neighbourhood")</f>
        <v>Neighbourhood</v>
      </c>
      <c r="D3128" s="2" t="str">
        <f ca="1">IFERROR(__xludf.DUMMYFUNCTION("""COMPUTED_VALUE"""),"Abu Dhabi&gt;Zayed Sports City")</f>
        <v>Abu Dhabi&gt;Zayed Sports City</v>
      </c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</row>
    <row r="3129" spans="1:26" ht="16.5" x14ac:dyDescent="0.35">
      <c r="A3129" s="2" t="str">
        <f ca="1">IFERROR(__xludf.DUMMYFUNCTION("""COMPUTED_VALUE"""),"Abu Dhabi")</f>
        <v>Abu Dhabi</v>
      </c>
      <c r="B3129" s="2" t="str">
        <f ca="1">IFERROR(__xludf.DUMMYFUNCTION("""COMPUTED_VALUE"""),"Al Maharat Private School")</f>
        <v>Al Maharat Private School</v>
      </c>
      <c r="C3129" s="2" t="str">
        <f ca="1">IFERROR(__xludf.DUMMYFUNCTION("""COMPUTED_VALUE"""),"School")</f>
        <v>School</v>
      </c>
      <c r="D3129" s="2" t="str">
        <f ca="1">IFERROR(__xludf.DUMMYFUNCTION("""COMPUTED_VALUE"""),"Abu Dhabi&gt;Shakhbout City&gt;Al Maharat Private School")</f>
        <v>Abu Dhabi&gt;Shakhbout City&gt;Al Maharat Private School</v>
      </c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</row>
    <row r="3130" spans="1:26" ht="16.5" x14ac:dyDescent="0.35">
      <c r="A3130" s="2" t="str">
        <f ca="1">IFERROR(__xludf.DUMMYFUNCTION("""COMPUTED_VALUE"""),"Abu Dhabi")</f>
        <v>Abu Dhabi</v>
      </c>
      <c r="B3130" s="2" t="str">
        <f ca="1">IFERROR(__xludf.DUMMYFUNCTION("""COMPUTED_VALUE"""),"MSH32")</f>
        <v>MSH32</v>
      </c>
      <c r="C3130" s="2" t="str">
        <f ca="1">IFERROR(__xludf.DUMMYFUNCTION("""COMPUTED_VALUE"""),"Neighbourhood")</f>
        <v>Neighbourhood</v>
      </c>
      <c r="D3130" s="2" t="str">
        <f ca="1">IFERROR(__xludf.DUMMYFUNCTION("""COMPUTED_VALUE"""),"Abu Dhabi&gt;Shakhbout City&gt;MSH32")</f>
        <v>Abu Dhabi&gt;Shakhbout City&gt;MSH32</v>
      </c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</row>
    <row r="3131" spans="1:26" ht="16.5" x14ac:dyDescent="0.35">
      <c r="A3131" s="2" t="str">
        <f ca="1">IFERROR(__xludf.DUMMYFUNCTION("""COMPUTED_VALUE"""),"Abu Dhabi")</f>
        <v>Abu Dhabi</v>
      </c>
      <c r="B3131" s="2" t="str">
        <f ca="1">IFERROR(__xludf.DUMMYFUNCTION("""COMPUTED_VALUE"""),"Al Bahia")</f>
        <v>Al Bahia</v>
      </c>
      <c r="C3131" s="2" t="str">
        <f ca="1">IFERROR(__xludf.DUMMYFUNCTION("""COMPUTED_VALUE"""),"Neighbourhood")</f>
        <v>Neighbourhood</v>
      </c>
      <c r="D3131" s="2" t="str">
        <f ca="1">IFERROR(__xludf.DUMMYFUNCTION("""COMPUTED_VALUE"""),"Abu Dhabi&gt;Al Bahia")</f>
        <v>Abu Dhabi&gt;Al Bahia</v>
      </c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</row>
    <row r="3132" spans="1:26" ht="16.5" x14ac:dyDescent="0.35">
      <c r="A3132" s="2" t="str">
        <f ca="1">IFERROR(__xludf.DUMMYFUNCTION("""COMPUTED_VALUE"""),"Abu Dhabi")</f>
        <v>Abu Dhabi</v>
      </c>
      <c r="B3132" s="2" t="str">
        <f ca="1">IFERROR(__xludf.DUMMYFUNCTION("""COMPUTED_VALUE"""),"Al Mafraq")</f>
        <v>Al Mafraq</v>
      </c>
      <c r="C3132" s="2" t="str">
        <f ca="1">IFERROR(__xludf.DUMMYFUNCTION("""COMPUTED_VALUE"""),"Neighbourhood")</f>
        <v>Neighbourhood</v>
      </c>
      <c r="D3132" s="2" t="str">
        <f ca="1">IFERROR(__xludf.DUMMYFUNCTION("""COMPUTED_VALUE"""),"Abu Dhabi&gt;Al Mafraq")</f>
        <v>Abu Dhabi&gt;Al Mafraq</v>
      </c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</row>
    <row r="3133" spans="1:26" ht="16.5" x14ac:dyDescent="0.35">
      <c r="A3133" s="2" t="str">
        <f ca="1">IFERROR(__xludf.DUMMYFUNCTION("""COMPUTED_VALUE"""),"Abu Dhabi")</f>
        <v>Abu Dhabi</v>
      </c>
      <c r="B3133" s="2" t="str">
        <f ca="1">IFERROR(__xludf.DUMMYFUNCTION("""COMPUTED_VALUE"""),"Cordoba")</f>
        <v>Cordoba</v>
      </c>
      <c r="C3133" s="2" t="str">
        <f ca="1">IFERROR(__xludf.DUMMYFUNCTION("""COMPUTED_VALUE"""),"Neighbourhood")</f>
        <v>Neighbourhood</v>
      </c>
      <c r="D3133" s="2" t="str">
        <f ca="1">IFERROR(__xludf.DUMMYFUNCTION("""COMPUTED_VALUE"""),"Abu Dhabi&gt;Zayed City&gt;Bloom Living&gt;Cordoba")</f>
        <v>Abu Dhabi&gt;Zayed City&gt;Bloom Living&gt;Cordoba</v>
      </c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</row>
    <row r="3134" spans="1:26" ht="16.5" x14ac:dyDescent="0.35">
      <c r="A3134" s="2" t="str">
        <f ca="1">IFERROR(__xludf.DUMMYFUNCTION("""COMPUTED_VALUE"""),"Abu Dhabi")</f>
        <v>Abu Dhabi</v>
      </c>
      <c r="B3134" s="2" t="str">
        <f ca="1">IFERROR(__xludf.DUMMYFUNCTION("""COMPUTED_VALUE"""),"Dhafir Tower")</f>
        <v>Dhafir Tower</v>
      </c>
      <c r="C3134" s="2" t="str">
        <f ca="1">IFERROR(__xludf.DUMMYFUNCTION("""COMPUTED_VALUE"""),"Building")</f>
        <v>Building</v>
      </c>
      <c r="D3134" s="2" t="str">
        <f ca="1">IFERROR(__xludf.DUMMYFUNCTION("""COMPUTED_VALUE"""),"Abu Dhabi&gt;Electra Street&gt;Dhafir Tower")</f>
        <v>Abu Dhabi&gt;Electra Street&gt;Dhafir Tower</v>
      </c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</row>
    <row r="3135" spans="1:26" ht="16.5" x14ac:dyDescent="0.35">
      <c r="A3135" s="2" t="str">
        <f ca="1">IFERROR(__xludf.DUMMYFUNCTION("""COMPUTED_VALUE"""),"Abu Dhabi")</f>
        <v>Abu Dhabi</v>
      </c>
      <c r="B3135" s="2" t="str">
        <f ca="1">IFERROR(__xludf.DUMMYFUNCTION("""COMPUTED_VALUE"""),"Tamouh")</f>
        <v>Tamouh</v>
      </c>
      <c r="C3135" s="2" t="str">
        <f ca="1">IFERROR(__xludf.DUMMYFUNCTION("""COMPUTED_VALUE"""),"Neighbourhood")</f>
        <v>Neighbourhood</v>
      </c>
      <c r="D3135" s="2" t="str">
        <f ca="1">IFERROR(__xludf.DUMMYFUNCTION("""COMPUTED_VALUE"""),"Abu Dhabi&gt;Al Reem Island&gt;Tamouh")</f>
        <v>Abu Dhabi&gt;Al Reem Island&gt;Tamouh</v>
      </c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</row>
    <row r="3136" spans="1:26" ht="16.5" x14ac:dyDescent="0.35">
      <c r="A3136" s="2" t="str">
        <f ca="1">IFERROR(__xludf.DUMMYFUNCTION("""COMPUTED_VALUE"""),"Abu Dhabi")</f>
        <v>Abu Dhabi</v>
      </c>
      <c r="B3136" s="2" t="str">
        <f ca="1">IFERROR(__xludf.DUMMYFUNCTION("""COMPUTED_VALUE"""),"Najmat Maysan")</f>
        <v>Najmat Maysan</v>
      </c>
      <c r="C3136" s="2" t="str">
        <f ca="1">IFERROR(__xludf.DUMMYFUNCTION("""COMPUTED_VALUE"""),"Building")</f>
        <v>Building</v>
      </c>
      <c r="D3136" s="2" t="str">
        <f ca="1">IFERROR(__xludf.DUMMYFUNCTION("""COMPUTED_VALUE"""),"Abu Dhabi&gt;Al Reem Island&gt;Najmat Abu Dhabi&gt;Najmat Maysan")</f>
        <v>Abu Dhabi&gt;Al Reem Island&gt;Najmat Abu Dhabi&gt;Najmat Maysan</v>
      </c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</row>
    <row r="3137" spans="1:26" ht="16.5" x14ac:dyDescent="0.35">
      <c r="A3137" s="2" t="str">
        <f ca="1">IFERROR(__xludf.DUMMYFUNCTION("""COMPUTED_VALUE"""),"Abu Dhabi")</f>
        <v>Abu Dhabi</v>
      </c>
      <c r="B3137" s="2" t="str">
        <f ca="1">IFERROR(__xludf.DUMMYFUNCTION("""COMPUTED_VALUE"""),"AB Towers")</f>
        <v>AB Towers</v>
      </c>
      <c r="C3137" s="2" t="str">
        <f ca="1">IFERROR(__xludf.DUMMYFUNCTION("""COMPUTED_VALUE"""),"Building")</f>
        <v>Building</v>
      </c>
      <c r="D3137" s="2" t="str">
        <f ca="1">IFERROR(__xludf.DUMMYFUNCTION("""COMPUTED_VALUE"""),"Abu Dhabi&gt;Al Reem Island&gt;Marina Square&gt;AB Towers")</f>
        <v>Abu Dhabi&gt;Al Reem Island&gt;Marina Square&gt;AB Towers</v>
      </c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</row>
    <row r="3138" spans="1:26" ht="16.5" x14ac:dyDescent="0.35">
      <c r="A3138" s="2" t="str">
        <f ca="1">IFERROR(__xludf.DUMMYFUNCTION("""COMPUTED_VALUE"""),"Abu Dhabi")</f>
        <v>Abu Dhabi</v>
      </c>
      <c r="B3138" s="2" t="str">
        <f ca="1">IFERROR(__xludf.DUMMYFUNCTION("""COMPUTED_VALUE"""),"Reflection")</f>
        <v>Reflection</v>
      </c>
      <c r="C3138" s="2" t="str">
        <f ca="1">IFERROR(__xludf.DUMMYFUNCTION("""COMPUTED_VALUE"""),"Cluster")</f>
        <v>Cluster</v>
      </c>
      <c r="D3138" s="2" t="str">
        <f ca="1">IFERROR(__xludf.DUMMYFUNCTION("""COMPUTED_VALUE"""),"Abu Dhabi&gt;Al Reem Island&gt;Shams Abu Dhabi&gt;Reflection")</f>
        <v>Abu Dhabi&gt;Al Reem Island&gt;Shams Abu Dhabi&gt;Reflection</v>
      </c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</row>
    <row r="3139" spans="1:26" ht="16.5" x14ac:dyDescent="0.35">
      <c r="A3139" s="2" t="str">
        <f ca="1">IFERROR(__xludf.DUMMYFUNCTION("""COMPUTED_VALUE"""),"Abu Dhabi")</f>
        <v>Abu Dhabi</v>
      </c>
      <c r="B3139" s="2" t="str">
        <f ca="1">IFERROR(__xludf.DUMMYFUNCTION("""COMPUTED_VALUE"""),"Seamont Autograph Collection Residences")</f>
        <v>Seamont Autograph Collection Residences</v>
      </c>
      <c r="C3139" s="2" t="str">
        <f ca="1">IFERROR(__xludf.DUMMYFUNCTION("""COMPUTED_VALUE"""),"Building")</f>
        <v>Building</v>
      </c>
      <c r="D3139" s="2" t="str">
        <f ca="1">IFERROR(__xludf.DUMMYFUNCTION("""COMPUTED_VALUE"""),"Abu Dhabi&gt;Al Reem Island&gt;Shams Abu Dhabi&gt;Seamont Autograph Collection Residences")</f>
        <v>Abu Dhabi&gt;Al Reem Island&gt;Shams Abu Dhabi&gt;Seamont Autograph Collection Residences</v>
      </c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</row>
    <row r="3140" spans="1:26" ht="16.5" x14ac:dyDescent="0.35">
      <c r="A3140" s="2" t="str">
        <f ca="1">IFERROR(__xludf.DUMMYFUNCTION("""COMPUTED_VALUE"""),"Abu Dhabi")</f>
        <v>Abu Dhabi</v>
      </c>
      <c r="B3140" s="2" t="str">
        <f ca="1">IFERROR(__xludf.DUMMYFUNCTION("""COMPUTED_VALUE"""),"Falcon Crest Tower")</f>
        <v>Falcon Crest Tower</v>
      </c>
      <c r="C3140" s="2" t="str">
        <f ca="1">IFERROR(__xludf.DUMMYFUNCTION("""COMPUTED_VALUE"""),"Building")</f>
        <v>Building</v>
      </c>
      <c r="D3140" s="2" t="str">
        <f ca="1">IFERROR(__xludf.DUMMYFUNCTION("""COMPUTED_VALUE"""),"Abu Dhabi&gt;Al Reem Island&gt;Falcon Crest Tower")</f>
        <v>Abu Dhabi&gt;Al Reem Island&gt;Falcon Crest Tower</v>
      </c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</row>
    <row r="3141" spans="1:26" ht="16.5" x14ac:dyDescent="0.35">
      <c r="A3141" s="2" t="str">
        <f ca="1">IFERROR(__xludf.DUMMYFUNCTION("""COMPUTED_VALUE"""),"Abu Dhabi")</f>
        <v>Abu Dhabi</v>
      </c>
      <c r="B3141" s="2" t="str">
        <f ca="1">IFERROR(__xludf.DUMMYFUNCTION("""COMPUTED_VALUE"""),"Park Valley")</f>
        <v>Park Valley</v>
      </c>
      <c r="C3141" s="2" t="str">
        <f ca="1">IFERROR(__xludf.DUMMYFUNCTION("""COMPUTED_VALUE"""),"Neighbourhood")</f>
        <v>Neighbourhood</v>
      </c>
      <c r="D3141" s="2" t="str">
        <f ca="1">IFERROR(__xludf.DUMMYFUNCTION("""COMPUTED_VALUE"""),"Abu Dhabi&gt;Al Reem Island&gt;Reem Hills&gt;Park Valley")</f>
        <v>Abu Dhabi&gt;Al Reem Island&gt;Reem Hills&gt;Park Valley</v>
      </c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</row>
    <row r="3142" spans="1:26" ht="16.5" x14ac:dyDescent="0.35">
      <c r="A3142" s="2" t="str">
        <f ca="1">IFERROR(__xludf.DUMMYFUNCTION("""COMPUTED_VALUE"""),"Abu Dhabi")</f>
        <v>Abu Dhabi</v>
      </c>
      <c r="B3142" s="2" t="str">
        <f ca="1">IFERROR(__xludf.DUMMYFUNCTION("""COMPUTED_VALUE"""),"Vision Towers Downtown")</f>
        <v>Vision Towers Downtown</v>
      </c>
      <c r="C3142" s="2" t="str">
        <f ca="1">IFERROR(__xludf.DUMMYFUNCTION("""COMPUTED_VALUE"""),"Building")</f>
        <v>Building</v>
      </c>
      <c r="D3142" s="2" t="str">
        <f ca="1">IFERROR(__xludf.DUMMYFUNCTION("""COMPUTED_VALUE"""),"Abu Dhabi&gt;Hamdan Street&gt;Vision Towers Downtown")</f>
        <v>Abu Dhabi&gt;Hamdan Street&gt;Vision Towers Downtown</v>
      </c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</row>
    <row r="3143" spans="1:26" ht="16.5" x14ac:dyDescent="0.35">
      <c r="A3143" s="2" t="str">
        <f ca="1">IFERROR(__xludf.DUMMYFUNCTION("""COMPUTED_VALUE"""),"Abu Dhabi")</f>
        <v>Abu Dhabi</v>
      </c>
      <c r="B3143" s="2" t="str">
        <f ca="1">IFERROR(__xludf.DUMMYFUNCTION("""COMPUTED_VALUE"""),"Amwaj Tower")</f>
        <v>Amwaj Tower</v>
      </c>
      <c r="C3143" s="2" t="str">
        <f ca="1">IFERROR(__xludf.DUMMYFUNCTION("""COMPUTED_VALUE"""),"Building")</f>
        <v>Building</v>
      </c>
      <c r="D3143" s="2" t="str">
        <f ca="1">IFERROR(__xludf.DUMMYFUNCTION("""COMPUTED_VALUE"""),"Abu Dhabi&gt;Al Khalidiyah&gt;Amwaj Tower")</f>
        <v>Abu Dhabi&gt;Al Khalidiyah&gt;Amwaj Tower</v>
      </c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</row>
    <row r="3144" spans="1:26" ht="16.5" x14ac:dyDescent="0.35">
      <c r="A3144" s="2" t="str">
        <f ca="1">IFERROR(__xludf.DUMMYFUNCTION("""COMPUTED_VALUE"""),"Abu Dhabi")</f>
        <v>Abu Dhabi</v>
      </c>
      <c r="B3144" s="2" t="str">
        <f ca="1">IFERROR(__xludf.DUMMYFUNCTION("""COMPUTED_VALUE"""),"Khalifa City")</f>
        <v>Khalifa City</v>
      </c>
      <c r="C3144" s="2" t="str">
        <f ca="1">IFERROR(__xludf.DUMMYFUNCTION("""COMPUTED_VALUE"""),"Neighbourhood")</f>
        <v>Neighbourhood</v>
      </c>
      <c r="D3144" s="2" t="str">
        <f ca="1">IFERROR(__xludf.DUMMYFUNCTION("""COMPUTED_VALUE"""),"Abu Dhabi&gt;Khalifa City")</f>
        <v>Abu Dhabi&gt;Khalifa City</v>
      </c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</row>
    <row r="3145" spans="1:26" ht="16.5" x14ac:dyDescent="0.35">
      <c r="A3145" s="2" t="str">
        <f ca="1">IFERROR(__xludf.DUMMYFUNCTION("""COMPUTED_VALUE"""),"Dubai")</f>
        <v>Dubai</v>
      </c>
      <c r="B3145" s="2" t="str">
        <f ca="1">IFERROR(__xludf.DUMMYFUNCTION("""COMPUTED_VALUE"""),"Circle Time Nursery Muhaisnah")</f>
        <v>Circle Time Nursery Muhaisnah</v>
      </c>
      <c r="C3145" s="2" t="str">
        <f ca="1">IFERROR(__xludf.DUMMYFUNCTION("""COMPUTED_VALUE"""),"Nursery")</f>
        <v>Nursery</v>
      </c>
      <c r="D3145" s="2" t="str">
        <f ca="1">IFERROR(__xludf.DUMMYFUNCTION("""COMPUTED_VALUE"""),"Dubai&gt;Muhaisnah&gt;Muhaisnah 4&gt;Circle Time Nursery Muhaisnah")</f>
        <v>Dubai&gt;Muhaisnah&gt;Muhaisnah 4&gt;Circle Time Nursery Muhaisnah</v>
      </c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</row>
    <row r="3146" spans="1:26" ht="16.5" x14ac:dyDescent="0.35">
      <c r="A3146" s="2" t="str">
        <f ca="1">IFERROR(__xludf.DUMMYFUNCTION("""COMPUTED_VALUE"""),"Dubai")</f>
        <v>Dubai</v>
      </c>
      <c r="B3146" s="2" t="str">
        <f ca="1">IFERROR(__xludf.DUMMYFUNCTION("""COMPUTED_VALUE"""),"Zaraa Residence")</f>
        <v>Zaraa Residence</v>
      </c>
      <c r="C3146" s="2" t="str">
        <f ca="1">IFERROR(__xludf.DUMMYFUNCTION("""COMPUTED_VALUE"""),"Building")</f>
        <v>Building</v>
      </c>
      <c r="D3146" s="2" t="str">
        <f ca="1">IFERROR(__xludf.DUMMYFUNCTION("""COMPUTED_VALUE"""),"Dubai&gt;Muhaisnah&gt;Muhaisnah 4&gt;Zaraa Residence")</f>
        <v>Dubai&gt;Muhaisnah&gt;Muhaisnah 4&gt;Zaraa Residence</v>
      </c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</row>
    <row r="3147" spans="1:26" ht="16.5" x14ac:dyDescent="0.35">
      <c r="A3147" s="2" t="str">
        <f ca="1">IFERROR(__xludf.DUMMYFUNCTION("""COMPUTED_VALUE"""),"Dubai")</f>
        <v>Dubai</v>
      </c>
      <c r="B3147" s="2" t="str">
        <f ca="1">IFERROR(__xludf.DUMMYFUNCTION("""COMPUTED_VALUE"""),"The Tower Plaza Hotel Dubai")</f>
        <v>The Tower Plaza Hotel Dubai</v>
      </c>
      <c r="C3147" s="2" t="str">
        <f ca="1">IFERROR(__xludf.DUMMYFUNCTION("""COMPUTED_VALUE"""),"Building")</f>
        <v>Building</v>
      </c>
      <c r="D3147" s="2" t="str">
        <f ca="1">IFERROR(__xludf.DUMMYFUNCTION("""COMPUTED_VALUE"""),"Dubai&gt;Sheikh Zayed Road&gt;The Tower Plaza Hotel Dubai")</f>
        <v>Dubai&gt;Sheikh Zayed Road&gt;The Tower Plaza Hotel Dubai</v>
      </c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</row>
    <row r="3148" spans="1:26" ht="16.5" x14ac:dyDescent="0.35">
      <c r="A3148" s="2" t="str">
        <f ca="1">IFERROR(__xludf.DUMMYFUNCTION("""COMPUTED_VALUE"""),"Dubai")</f>
        <v>Dubai</v>
      </c>
      <c r="B3148" s="2" t="str">
        <f ca="1">IFERROR(__xludf.DUMMYFUNCTION("""COMPUTED_VALUE"""),"Al Rostamani Towers")</f>
        <v>Al Rostamani Towers</v>
      </c>
      <c r="C3148" s="2" t="str">
        <f ca="1">IFERROR(__xludf.DUMMYFUNCTION("""COMPUTED_VALUE"""),"Cluster")</f>
        <v>Cluster</v>
      </c>
      <c r="D3148" s="2" t="str">
        <f ca="1">IFERROR(__xludf.DUMMYFUNCTION("""COMPUTED_VALUE"""),"Dubai&gt;Sheikh Zayed Road&gt;Al Rostamani Towers")</f>
        <v>Dubai&gt;Sheikh Zayed Road&gt;Al Rostamani Towers</v>
      </c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</row>
    <row r="3149" spans="1:26" ht="16.5" x14ac:dyDescent="0.35">
      <c r="A3149" s="2" t="str">
        <f ca="1">IFERROR(__xludf.DUMMYFUNCTION("""COMPUTED_VALUE"""),"Dubai")</f>
        <v>Dubai</v>
      </c>
      <c r="B3149" s="2" t="str">
        <f ca="1">IFERROR(__xludf.DUMMYFUNCTION("""COMPUTED_VALUE"""),"Skyline Residence")</f>
        <v>Skyline Residence</v>
      </c>
      <c r="C3149" s="2" t="str">
        <f ca="1">IFERROR(__xludf.DUMMYFUNCTION("""COMPUTED_VALUE"""),"Building")</f>
        <v>Building</v>
      </c>
      <c r="D3149" s="2" t="str">
        <f ca="1">IFERROR(__xludf.DUMMYFUNCTION("""COMPUTED_VALUE"""),"Dubai&gt;Sheikh Zayed Road&gt;Skyline Residence")</f>
        <v>Dubai&gt;Sheikh Zayed Road&gt;Skyline Residence</v>
      </c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</row>
    <row r="3150" spans="1:26" ht="16.5" x14ac:dyDescent="0.35">
      <c r="A3150" s="2" t="str">
        <f ca="1">IFERROR(__xludf.DUMMYFUNCTION("""COMPUTED_VALUE"""),"Dubai")</f>
        <v>Dubai</v>
      </c>
      <c r="B3150" s="2" t="str">
        <f ca="1">IFERROR(__xludf.DUMMYFUNCTION("""COMPUTED_VALUE"""),"Towers Rotana")</f>
        <v>Towers Rotana</v>
      </c>
      <c r="C3150" s="2" t="str">
        <f ca="1">IFERROR(__xludf.DUMMYFUNCTION("""COMPUTED_VALUE"""),"Building")</f>
        <v>Building</v>
      </c>
      <c r="D3150" s="2" t="str">
        <f ca="1">IFERROR(__xludf.DUMMYFUNCTION("""COMPUTED_VALUE"""),"Dubai&gt;Sheikh Zayed Road&gt;Towers Rotana")</f>
        <v>Dubai&gt;Sheikh Zayed Road&gt;Towers Rotana</v>
      </c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</row>
    <row r="3151" spans="1:26" ht="16.5" x14ac:dyDescent="0.35">
      <c r="A3151" s="2" t="str">
        <f ca="1">IFERROR(__xludf.DUMMYFUNCTION("""COMPUTED_VALUE"""),"Dubai")</f>
        <v>Dubai</v>
      </c>
      <c r="B3151" s="2" t="str">
        <f ca="1">IFERROR(__xludf.DUMMYFUNCTION("""COMPUTED_VALUE"""),"Millennium Executive Tower")</f>
        <v>Millennium Executive Tower</v>
      </c>
      <c r="C3151" s="2" t="str">
        <f ca="1">IFERROR(__xludf.DUMMYFUNCTION("""COMPUTED_VALUE"""),"Building")</f>
        <v>Building</v>
      </c>
      <c r="D3151" s="2" t="str">
        <f ca="1">IFERROR(__xludf.DUMMYFUNCTION("""COMPUTED_VALUE"""),"Dubai&gt;Sheikh Zayed Road&gt;Millennium Executive Tower")</f>
        <v>Dubai&gt;Sheikh Zayed Road&gt;Millennium Executive Tower</v>
      </c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</row>
    <row r="3152" spans="1:26" ht="16.5" x14ac:dyDescent="0.35">
      <c r="A3152" s="2" t="str">
        <f ca="1">IFERROR(__xludf.DUMMYFUNCTION("""COMPUTED_VALUE"""),"Dubai")</f>
        <v>Dubai</v>
      </c>
      <c r="B3152" s="2" t="str">
        <f ca="1">IFERROR(__xludf.DUMMYFUNCTION("""COMPUTED_VALUE"""),"Building 5")</f>
        <v>Building 5</v>
      </c>
      <c r="C3152" s="2" t="str">
        <f ca="1">IFERROR(__xludf.DUMMYFUNCTION("""COMPUTED_VALUE"""),"Building")</f>
        <v>Building</v>
      </c>
      <c r="D3152" s="2" t="str">
        <f ca="1">IFERROR(__xludf.DUMMYFUNCTION("""COMPUTED_VALUE"""),"Dubai&gt;Al Karama&gt;Karam Pioneer Buildings&gt;Building 5")</f>
        <v>Dubai&gt;Al Karama&gt;Karam Pioneer Buildings&gt;Building 5</v>
      </c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</row>
    <row r="3153" spans="1:26" ht="16.5" x14ac:dyDescent="0.35">
      <c r="A3153" s="2" t="str">
        <f ca="1">IFERROR(__xludf.DUMMYFUNCTION("""COMPUTED_VALUE"""),"Dubai")</f>
        <v>Dubai</v>
      </c>
      <c r="B3153" s="2" t="str">
        <f ca="1">IFERROR(__xludf.DUMMYFUNCTION("""COMPUTED_VALUE"""),"Building 37")</f>
        <v>Building 37</v>
      </c>
      <c r="C3153" s="2" t="str">
        <f ca="1">IFERROR(__xludf.DUMMYFUNCTION("""COMPUTED_VALUE"""),"Building")</f>
        <v>Building</v>
      </c>
      <c r="D3153" s="2" t="str">
        <f ca="1">IFERROR(__xludf.DUMMYFUNCTION("""COMPUTED_VALUE"""),"Dubai&gt;Al Karama&gt;Karam Pioneer Buildings&gt;Building 37")</f>
        <v>Dubai&gt;Al Karama&gt;Karam Pioneer Buildings&gt;Building 37</v>
      </c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</row>
    <row r="3154" spans="1:26" ht="16.5" x14ac:dyDescent="0.35">
      <c r="A3154" s="2" t="str">
        <f ca="1">IFERROR(__xludf.DUMMYFUNCTION("""COMPUTED_VALUE"""),"Dubai")</f>
        <v>Dubai</v>
      </c>
      <c r="B3154" s="2" t="str">
        <f ca="1">IFERROR(__xludf.DUMMYFUNCTION("""COMPUTED_VALUE"""),"Block 4")</f>
        <v>Block 4</v>
      </c>
      <c r="C3154" s="2" t="str">
        <f ca="1">IFERROR(__xludf.DUMMYFUNCTION("""COMPUTED_VALUE"""),"Building")</f>
        <v>Building</v>
      </c>
      <c r="D3154" s="2" t="str">
        <f ca="1">IFERROR(__xludf.DUMMYFUNCTION("""COMPUTED_VALUE"""),"Dubai&gt;Al Karama&gt;Al Wasl Hub&gt;Block 4")</f>
        <v>Dubai&gt;Al Karama&gt;Al Wasl Hub&gt;Block 4</v>
      </c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</row>
    <row r="3155" spans="1:26" ht="16.5" x14ac:dyDescent="0.35">
      <c r="A3155" s="2" t="str">
        <f ca="1">IFERROR(__xludf.DUMMYFUNCTION("""COMPUTED_VALUE"""),"Dubai")</f>
        <v>Dubai</v>
      </c>
      <c r="B3155" s="2" t="str">
        <f ca="1">IFERROR(__xludf.DUMMYFUNCTION("""COMPUTED_VALUE"""),"Carrera Building")</f>
        <v>Carrera Building</v>
      </c>
      <c r="C3155" s="2" t="str">
        <f ca="1">IFERROR(__xludf.DUMMYFUNCTION("""COMPUTED_VALUE"""),"Building")</f>
        <v>Building</v>
      </c>
      <c r="D3155" s="2" t="str">
        <f ca="1">IFERROR(__xludf.DUMMYFUNCTION("""COMPUTED_VALUE"""),"Dubai&gt;Al Karama&gt;Carrera Building")</f>
        <v>Dubai&gt;Al Karama&gt;Carrera Building</v>
      </c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</row>
    <row r="3156" spans="1:26" ht="16.5" x14ac:dyDescent="0.35">
      <c r="A3156" s="2" t="str">
        <f ca="1">IFERROR(__xludf.DUMMYFUNCTION("""COMPUTED_VALUE"""),"Dubai")</f>
        <v>Dubai</v>
      </c>
      <c r="B3156" s="2" t="str">
        <f ca="1">IFERROR(__xludf.DUMMYFUNCTION("""COMPUTED_VALUE"""),"Dar Al Aman Building 3")</f>
        <v>Dar Al Aman Building 3</v>
      </c>
      <c r="C3156" s="2" t="str">
        <f ca="1">IFERROR(__xludf.DUMMYFUNCTION("""COMPUTED_VALUE"""),"Building")</f>
        <v>Building</v>
      </c>
      <c r="D3156" s="2" t="str">
        <f ca="1">IFERROR(__xludf.DUMMYFUNCTION("""COMPUTED_VALUE"""),"Dubai&gt;Al Karama&gt;Dar Al Aman Building 3")</f>
        <v>Dubai&gt;Al Karama&gt;Dar Al Aman Building 3</v>
      </c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</row>
    <row r="3157" spans="1:26" ht="16.5" x14ac:dyDescent="0.35">
      <c r="A3157" s="2" t="str">
        <f ca="1">IFERROR(__xludf.DUMMYFUNCTION("""COMPUTED_VALUE"""),"Dubai")</f>
        <v>Dubai</v>
      </c>
      <c r="B3157" s="2" t="str">
        <f ca="1">IFERROR(__xludf.DUMMYFUNCTION("""COMPUTED_VALUE"""),"Atiq Salim Belarti Building")</f>
        <v>Atiq Salim Belarti Building</v>
      </c>
      <c r="C3157" s="2" t="str">
        <f ca="1">IFERROR(__xludf.DUMMYFUNCTION("""COMPUTED_VALUE"""),"Building")</f>
        <v>Building</v>
      </c>
      <c r="D3157" s="2" t="str">
        <f ca="1">IFERROR(__xludf.DUMMYFUNCTION("""COMPUTED_VALUE"""),"Dubai&gt;Al Karama&gt;Atiq Salim Belarti Building")</f>
        <v>Dubai&gt;Al Karama&gt;Atiq Salim Belarti Building</v>
      </c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</row>
    <row r="3158" spans="1:26" ht="16.5" x14ac:dyDescent="0.35">
      <c r="A3158" s="2" t="str">
        <f ca="1">IFERROR(__xludf.DUMMYFUNCTION("""COMPUTED_VALUE"""),"Dubai")</f>
        <v>Dubai</v>
      </c>
      <c r="B3158" s="2" t="str">
        <f ca="1">IFERROR(__xludf.DUMMYFUNCTION("""COMPUTED_VALUE"""),"Al Kazim Building")</f>
        <v>Al Kazim Building</v>
      </c>
      <c r="C3158" s="2" t="str">
        <f ca="1">IFERROR(__xludf.DUMMYFUNCTION("""COMPUTED_VALUE"""),"Building")</f>
        <v>Building</v>
      </c>
      <c r="D3158" s="2" t="str">
        <f ca="1">IFERROR(__xludf.DUMMYFUNCTION("""COMPUTED_VALUE"""),"Dubai&gt;Al Karama&gt;Al Kazim Building")</f>
        <v>Dubai&gt;Al Karama&gt;Al Kazim Building</v>
      </c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</row>
    <row r="3159" spans="1:26" ht="16.5" x14ac:dyDescent="0.35">
      <c r="A3159" s="2" t="str">
        <f ca="1">IFERROR(__xludf.DUMMYFUNCTION("""COMPUTED_VALUE"""),"Dubai")</f>
        <v>Dubai</v>
      </c>
      <c r="B3159" s="2" t="str">
        <f ca="1">IFERROR(__xludf.DUMMYFUNCTION("""COMPUTED_VALUE"""),"Bu Ameem Building 2")</f>
        <v>Bu Ameem Building 2</v>
      </c>
      <c r="C3159" s="2" t="str">
        <f ca="1">IFERROR(__xludf.DUMMYFUNCTION("""COMPUTED_VALUE"""),"Building")</f>
        <v>Building</v>
      </c>
      <c r="D3159" s="2" t="str">
        <f ca="1">IFERROR(__xludf.DUMMYFUNCTION("""COMPUTED_VALUE"""),"Dubai&gt;Al Karama&gt;Bu Ameem Building 2")</f>
        <v>Dubai&gt;Al Karama&gt;Bu Ameem Building 2</v>
      </c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</row>
    <row r="3160" spans="1:26" ht="16.5" x14ac:dyDescent="0.35">
      <c r="A3160" s="2" t="str">
        <f ca="1">IFERROR(__xludf.DUMMYFUNCTION("""COMPUTED_VALUE"""),"Dubai")</f>
        <v>Dubai</v>
      </c>
      <c r="B3160" s="2" t="str">
        <f ca="1">IFERROR(__xludf.DUMMYFUNCTION("""COMPUTED_VALUE"""),"Al Mansoori Building")</f>
        <v>Al Mansoori Building</v>
      </c>
      <c r="C3160" s="2" t="str">
        <f ca="1">IFERROR(__xludf.DUMMYFUNCTION("""COMPUTED_VALUE"""),"Building")</f>
        <v>Building</v>
      </c>
      <c r="D3160" s="2" t="str">
        <f ca="1">IFERROR(__xludf.DUMMYFUNCTION("""COMPUTED_VALUE"""),"Dubai&gt;Al Karama&gt;Al Mansoori Building")</f>
        <v>Dubai&gt;Al Karama&gt;Al Mansoori Building</v>
      </c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</row>
    <row r="3161" spans="1:26" ht="16.5" x14ac:dyDescent="0.35">
      <c r="A3161" s="2" t="str">
        <f ca="1">IFERROR(__xludf.DUMMYFUNCTION("""COMPUTED_VALUE"""),"Dubai")</f>
        <v>Dubai</v>
      </c>
      <c r="B3161" s="2" t="str">
        <f ca="1">IFERROR(__xludf.DUMMYFUNCTION("""COMPUTED_VALUE"""),"Old City Building")</f>
        <v>Old City Building</v>
      </c>
      <c r="C3161" s="2" t="str">
        <f ca="1">IFERROR(__xludf.DUMMYFUNCTION("""COMPUTED_VALUE"""),"Building")</f>
        <v>Building</v>
      </c>
      <c r="D3161" s="2" t="str">
        <f ca="1">IFERROR(__xludf.DUMMYFUNCTION("""COMPUTED_VALUE"""),"Dubai&gt;Al Karama&gt;Old City Building")</f>
        <v>Dubai&gt;Al Karama&gt;Old City Building</v>
      </c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</row>
    <row r="3162" spans="1:26" ht="16.5" x14ac:dyDescent="0.35">
      <c r="A3162" s="2" t="str">
        <f ca="1">IFERROR(__xludf.DUMMYFUNCTION("""COMPUTED_VALUE"""),"Dubai")</f>
        <v>Dubai</v>
      </c>
      <c r="B3162" s="2" t="str">
        <f ca="1">IFERROR(__xludf.DUMMYFUNCTION("""COMPUTED_VALUE"""),"Muna Karama Building")</f>
        <v>Muna Karama Building</v>
      </c>
      <c r="C3162" s="2" t="str">
        <f ca="1">IFERROR(__xludf.DUMMYFUNCTION("""COMPUTED_VALUE"""),"Building")</f>
        <v>Building</v>
      </c>
      <c r="D3162" s="2" t="str">
        <f ca="1">IFERROR(__xludf.DUMMYFUNCTION("""COMPUTED_VALUE"""),"Dubai&gt;Al Karama&gt;Muna Karama Building")</f>
        <v>Dubai&gt;Al Karama&gt;Muna Karama Building</v>
      </c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</row>
    <row r="3163" spans="1:26" ht="16.5" x14ac:dyDescent="0.35">
      <c r="A3163" s="2" t="str">
        <f ca="1">IFERROR(__xludf.DUMMYFUNCTION("""COMPUTED_VALUE"""),"Dubai")</f>
        <v>Dubai</v>
      </c>
      <c r="B3163" s="2" t="str">
        <f ca="1">IFERROR(__xludf.DUMMYFUNCTION("""COMPUTED_VALUE"""),"Suha Park Hotel Apartments")</f>
        <v>Suha Park Hotel Apartments</v>
      </c>
      <c r="C3163" s="2" t="str">
        <f ca="1">IFERROR(__xludf.DUMMYFUNCTION("""COMPUTED_VALUE"""),"Building")</f>
        <v>Building</v>
      </c>
      <c r="D3163" s="2" t="str">
        <f ca="1">IFERROR(__xludf.DUMMYFUNCTION("""COMPUTED_VALUE"""),"Dubai&gt;Culture Village (Jaddaf Waterfront)&gt;Suha Park Hotel Apartments")</f>
        <v>Dubai&gt;Culture Village (Jaddaf Waterfront)&gt;Suha Park Hotel Apartments</v>
      </c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</row>
    <row r="3164" spans="1:26" ht="16.5" x14ac:dyDescent="0.35">
      <c r="A3164" s="2" t="str">
        <f ca="1">IFERROR(__xludf.DUMMYFUNCTION("""COMPUTED_VALUE"""),"Dubai")</f>
        <v>Dubai</v>
      </c>
      <c r="B3164" s="2" t="str">
        <f ca="1">IFERROR(__xludf.DUMMYFUNCTION("""COMPUTED_VALUE"""),"Western Residence North")</f>
        <v>Western Residence North</v>
      </c>
      <c r="C3164" s="2" t="str">
        <f ca="1">IFERROR(__xludf.DUMMYFUNCTION("""COMPUTED_VALUE"""),"Neighbourhood")</f>
        <v>Neighbourhood</v>
      </c>
      <c r="D3164" s="2" t="str">
        <f ca="1">IFERROR(__xludf.DUMMYFUNCTION("""COMPUTED_VALUE"""),"Dubai&gt;Falcon City of Wonders&gt;Western Residence North")</f>
        <v>Dubai&gt;Falcon City of Wonders&gt;Western Residence North</v>
      </c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</row>
    <row r="3165" spans="1:26" ht="16.5" x14ac:dyDescent="0.35">
      <c r="A3165" s="2" t="str">
        <f ca="1">IFERROR(__xludf.DUMMYFUNCTION("""COMPUTED_VALUE"""),"Dubai")</f>
        <v>Dubai</v>
      </c>
      <c r="B3165" s="2" t="str">
        <f ca="1">IFERROR(__xludf.DUMMYFUNCTION("""COMPUTED_VALUE"""),"Jadeel Building 2")</f>
        <v>Jadeel Building 2</v>
      </c>
      <c r="C3165" s="2" t="str">
        <f ca="1">IFERROR(__xludf.DUMMYFUNCTION("""COMPUTED_VALUE"""),"Building")</f>
        <v>Building</v>
      </c>
      <c r="D3165" s="2" t="str">
        <f ca="1">IFERROR(__xludf.DUMMYFUNCTION("""COMPUTED_VALUE"""),"Dubai&gt;Umm Suqeim&gt;Madinat Jumeirah Living&gt;Jadeel&gt;Jadeel Building 2")</f>
        <v>Dubai&gt;Umm Suqeim&gt;Madinat Jumeirah Living&gt;Jadeel&gt;Jadeel Building 2</v>
      </c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</row>
    <row r="3166" spans="1:26" ht="16.5" x14ac:dyDescent="0.35">
      <c r="A3166" s="2" t="str">
        <f ca="1">IFERROR(__xludf.DUMMYFUNCTION("""COMPUTED_VALUE"""),"Dubai")</f>
        <v>Dubai</v>
      </c>
      <c r="B3166" s="2" t="str">
        <f ca="1">IFERROR(__xludf.DUMMYFUNCTION("""COMPUTED_VALUE"""),"Nourelle Building 3")</f>
        <v>Nourelle Building 3</v>
      </c>
      <c r="C3166" s="2" t="str">
        <f ca="1">IFERROR(__xludf.DUMMYFUNCTION("""COMPUTED_VALUE"""),"Building")</f>
        <v>Building</v>
      </c>
      <c r="D3166" s="2" t="str">
        <f ca="1">IFERROR(__xludf.DUMMYFUNCTION("""COMPUTED_VALUE"""),"Dubai&gt;Umm Suqeim&gt;Madinat Jumeirah Living&gt;Nourelle&gt;Nourelle Building 3")</f>
        <v>Dubai&gt;Umm Suqeim&gt;Madinat Jumeirah Living&gt;Nourelle&gt;Nourelle Building 3</v>
      </c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</row>
    <row r="3167" spans="1:26" ht="16.5" x14ac:dyDescent="0.35">
      <c r="A3167" s="2" t="str">
        <f ca="1">IFERROR(__xludf.DUMMYFUNCTION("""COMPUTED_VALUE"""),"Dubai")</f>
        <v>Dubai</v>
      </c>
      <c r="B3167" s="2" t="str">
        <f ca="1">IFERROR(__xludf.DUMMYFUNCTION("""COMPUTED_VALUE"""),"Laguna Cyan Tower")</f>
        <v>Laguna Cyan Tower</v>
      </c>
      <c r="C3167" s="2" t="str">
        <f ca="1">IFERROR(__xludf.DUMMYFUNCTION("""COMPUTED_VALUE"""),"Building")</f>
        <v>Building</v>
      </c>
      <c r="D3167" s="2" t="str">
        <f ca="1">IFERROR(__xludf.DUMMYFUNCTION("""COMPUTED_VALUE"""),"Dubai&gt;City of Arabia&gt;Laguna Residence&gt;Laguna Cyan Tower")</f>
        <v>Dubai&gt;City of Arabia&gt;Laguna Residence&gt;Laguna Cyan Tower</v>
      </c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</row>
    <row r="3168" spans="1:26" ht="16.5" x14ac:dyDescent="0.35">
      <c r="A3168" s="2" t="str">
        <f ca="1">IFERROR(__xludf.DUMMYFUNCTION("""COMPUTED_VALUE"""),"Dubai")</f>
        <v>Dubai</v>
      </c>
      <c r="B3168" s="2" t="str">
        <f ca="1">IFERROR(__xludf.DUMMYFUNCTION("""COMPUTED_VALUE"""),"Aalia Building")</f>
        <v>Aalia Building</v>
      </c>
      <c r="C3168" s="2" t="str">
        <f ca="1">IFERROR(__xludf.DUMMYFUNCTION("""COMPUTED_VALUE"""),"Building")</f>
        <v>Building</v>
      </c>
      <c r="D3168" s="2" t="str">
        <f ca="1">IFERROR(__xludf.DUMMYFUNCTION("""COMPUTED_VALUE"""),"Dubai&gt;Al Badaa&gt;Aalia Building")</f>
        <v>Dubai&gt;Al Badaa&gt;Aalia Building</v>
      </c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</row>
    <row r="3169" spans="1:26" ht="16.5" x14ac:dyDescent="0.35">
      <c r="A3169" s="2" t="str">
        <f ca="1">IFERROR(__xludf.DUMMYFUNCTION("""COMPUTED_VALUE"""),"Dubai")</f>
        <v>Dubai</v>
      </c>
      <c r="B3169" s="2" t="str">
        <f ca="1">IFERROR(__xludf.DUMMYFUNCTION("""COMPUTED_VALUE"""),"Grace Building")</f>
        <v>Grace Building</v>
      </c>
      <c r="C3169" s="2" t="str">
        <f ca="1">IFERROR(__xludf.DUMMYFUNCTION("""COMPUTED_VALUE"""),"Building")</f>
        <v>Building</v>
      </c>
      <c r="D3169" s="2" t="str">
        <f ca="1">IFERROR(__xludf.DUMMYFUNCTION("""COMPUTED_VALUE"""),"Dubai&gt;Al Badaa&gt;Grace Building")</f>
        <v>Dubai&gt;Al Badaa&gt;Grace Building</v>
      </c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</row>
    <row r="3170" spans="1:26" ht="16.5" x14ac:dyDescent="0.35">
      <c r="A3170" s="2" t="str">
        <f ca="1">IFERROR(__xludf.DUMMYFUNCTION("""COMPUTED_VALUE"""),"Dubai")</f>
        <v>Dubai</v>
      </c>
      <c r="B3170" s="2" t="str">
        <f ca="1">IFERROR(__xludf.DUMMYFUNCTION("""COMPUTED_VALUE"""),"Altara Building")</f>
        <v>Altara Building</v>
      </c>
      <c r="C3170" s="2" t="str">
        <f ca="1">IFERROR(__xludf.DUMMYFUNCTION("""COMPUTED_VALUE"""),"Building")</f>
        <v>Building</v>
      </c>
      <c r="D3170" s="2" t="str">
        <f ca="1">IFERROR(__xludf.DUMMYFUNCTION("""COMPUTED_VALUE"""),"Dubai&gt;Al Manara&gt;Altara Building")</f>
        <v>Dubai&gt;Al Manara&gt;Altara Building</v>
      </c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</row>
    <row r="3171" spans="1:26" ht="16.5" x14ac:dyDescent="0.35">
      <c r="A3171" s="2" t="str">
        <f ca="1">IFERROR(__xludf.DUMMYFUNCTION("""COMPUTED_VALUE"""),"Dubai")</f>
        <v>Dubai</v>
      </c>
      <c r="B3171" s="2" t="str">
        <f ca="1">IFERROR(__xludf.DUMMYFUNCTION("""COMPUTED_VALUE"""),"Shiba Towers Block F")</f>
        <v>Shiba Towers Block F</v>
      </c>
      <c r="C3171" s="2" t="str">
        <f ca="1">IFERROR(__xludf.DUMMYFUNCTION("""COMPUTED_VALUE"""),"Building")</f>
        <v>Building</v>
      </c>
      <c r="D3171" s="2" t="str">
        <f ca="1">IFERROR(__xludf.DUMMYFUNCTION("""COMPUTED_VALUE"""),"Dubai&gt;Academic City&gt;Al Shiba Complex&gt;Shiba Towers Block F")</f>
        <v>Dubai&gt;Academic City&gt;Al Shiba Complex&gt;Shiba Towers Block F</v>
      </c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</row>
    <row r="3172" spans="1:26" ht="16.5" x14ac:dyDescent="0.35">
      <c r="A3172" s="2" t="str">
        <f ca="1">IFERROR(__xludf.DUMMYFUNCTION("""COMPUTED_VALUE"""),"Dubai")</f>
        <v>Dubai</v>
      </c>
      <c r="B3172" s="2" t="str">
        <f ca="1">IFERROR(__xludf.DUMMYFUNCTION("""COMPUTED_VALUE"""),"Building 10")</f>
        <v>Building 10</v>
      </c>
      <c r="C3172" s="2" t="str">
        <f ca="1">IFERROR(__xludf.DUMMYFUNCTION("""COMPUTED_VALUE"""),"Building")</f>
        <v>Building</v>
      </c>
      <c r="D3172" s="2" t="str">
        <f ca="1">IFERROR(__xludf.DUMMYFUNCTION("""COMPUTED_VALUE"""),"Dubai&gt;Dubai Design District&gt;Building 10")</f>
        <v>Dubai&gt;Dubai Design District&gt;Building 10</v>
      </c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</row>
    <row r="3173" spans="1:26" ht="16.5" x14ac:dyDescent="0.35">
      <c r="A3173" s="2" t="str">
        <f ca="1">IFERROR(__xludf.DUMMYFUNCTION("""COMPUTED_VALUE"""),"Dubai")</f>
        <v>Dubai</v>
      </c>
      <c r="B3173" s="2" t="str">
        <f ca="1">IFERROR(__xludf.DUMMYFUNCTION("""COMPUTED_VALUE"""),"Al Hudaiba Mall")</f>
        <v>Al Hudaiba Mall</v>
      </c>
      <c r="C3173" s="2" t="str">
        <f ca="1">IFERROR(__xludf.DUMMYFUNCTION("""COMPUTED_VALUE"""),"Building")</f>
        <v>Building</v>
      </c>
      <c r="D3173" s="2" t="str">
        <f ca="1">IFERROR(__xludf.DUMMYFUNCTION("""COMPUTED_VALUE"""),"Dubai&gt;Al Hudaiba&gt;Al Hudaiba Mall")</f>
        <v>Dubai&gt;Al Hudaiba&gt;Al Hudaiba Mall</v>
      </c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</row>
    <row r="3174" spans="1:26" ht="16.5" x14ac:dyDescent="0.35">
      <c r="A3174" s="2" t="str">
        <f ca="1">IFERROR(__xludf.DUMMYFUNCTION("""COMPUTED_VALUE"""),"Dubai")</f>
        <v>Dubai</v>
      </c>
      <c r="B3174" s="2" t="str">
        <f ca="1">IFERROR(__xludf.DUMMYFUNCTION("""COMPUTED_VALUE"""),"Wasl 51")</f>
        <v>Wasl 51</v>
      </c>
      <c r="C3174" s="2" t="str">
        <f ca="1">IFERROR(__xludf.DUMMYFUNCTION("""COMPUTED_VALUE"""),"Building")</f>
        <v>Building</v>
      </c>
      <c r="D3174" s="2" t="str">
        <f ca="1">IFERROR(__xludf.DUMMYFUNCTION("""COMPUTED_VALUE"""),"Dubai&gt;Jumeirah&gt;Jumeirah 1&gt;Wasl 51")</f>
        <v>Dubai&gt;Jumeirah&gt;Jumeirah 1&gt;Wasl 51</v>
      </c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</row>
    <row r="3175" spans="1:26" ht="16.5" x14ac:dyDescent="0.35">
      <c r="A3175" s="2" t="str">
        <f ca="1">IFERROR(__xludf.DUMMYFUNCTION("""COMPUTED_VALUE"""),"Dubai")</f>
        <v>Dubai</v>
      </c>
      <c r="B3175" s="2" t="str">
        <f ca="1">IFERROR(__xludf.DUMMYFUNCTION("""COMPUTED_VALUE"""),"Lamar")</f>
        <v>Lamar</v>
      </c>
      <c r="C3175" s="2" t="str">
        <f ca="1">IFERROR(__xludf.DUMMYFUNCTION("""COMPUTED_VALUE"""),"Building")</f>
        <v>Building</v>
      </c>
      <c r="D3175" s="2" t="str">
        <f ca="1">IFERROR(__xludf.DUMMYFUNCTION("""COMPUTED_VALUE"""),"Dubai&gt;Jumeirah&gt;Jumeirah 3&gt;Lamar")</f>
        <v>Dubai&gt;Jumeirah&gt;Jumeirah 3&gt;Lamar</v>
      </c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</row>
    <row r="3176" spans="1:26" ht="16.5" x14ac:dyDescent="0.35">
      <c r="A3176" s="2" t="str">
        <f ca="1">IFERROR(__xludf.DUMMYFUNCTION("""COMPUTED_VALUE"""),"Dubai")</f>
        <v>Dubai</v>
      </c>
      <c r="B3176" s="2" t="str">
        <f ca="1">IFERROR(__xludf.DUMMYFUNCTION("""COMPUTED_VALUE"""),"Peninsula Dubai Residences Tower B")</f>
        <v>Peninsula Dubai Residences Tower B</v>
      </c>
      <c r="C3176" s="2" t="str">
        <f ca="1">IFERROR(__xludf.DUMMYFUNCTION("""COMPUTED_VALUE"""),"Building")</f>
        <v>Building</v>
      </c>
      <c r="D3176" s="2" t="str">
        <f ca="1">IFERROR(__xludf.DUMMYFUNCTION("""COMPUTED_VALUE"""),"Dubai&gt;Jumeirah&gt;Jumeirah 2&gt;Peninsula Dubai Residences&gt;Peninsula Dubai Residences Tower B")</f>
        <v>Dubai&gt;Jumeirah&gt;Jumeirah 2&gt;Peninsula Dubai Residences&gt;Peninsula Dubai Residences Tower B</v>
      </c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</row>
    <row r="3177" spans="1:26" ht="16.5" x14ac:dyDescent="0.35">
      <c r="A3177" s="2" t="str">
        <f ca="1">IFERROR(__xludf.DUMMYFUNCTION("""COMPUTED_VALUE"""),"Dubai")</f>
        <v>Dubai</v>
      </c>
      <c r="B3177" s="2" t="str">
        <f ca="1">IFERROR(__xludf.DUMMYFUNCTION("""COMPUTED_VALUE"""),"Le Pont Tower 1")</f>
        <v>Le Pont Tower 1</v>
      </c>
      <c r="C3177" s="2" t="str">
        <f ca="1">IFERROR(__xludf.DUMMYFUNCTION("""COMPUTED_VALUE"""),"Building")</f>
        <v>Building</v>
      </c>
      <c r="D3177" s="2" t="str">
        <f ca="1">IFERROR(__xludf.DUMMYFUNCTION("""COMPUTED_VALUE"""),"Dubai&gt;Jumeirah&gt;La Mer&gt;Port de La Mer&gt;Le Pont&gt;Le Pont Tower 1")</f>
        <v>Dubai&gt;Jumeirah&gt;La Mer&gt;Port de La Mer&gt;Le Pont&gt;Le Pont Tower 1</v>
      </c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</row>
    <row r="3178" spans="1:26" ht="16.5" x14ac:dyDescent="0.35">
      <c r="A3178" s="2" t="str">
        <f ca="1">IFERROR(__xludf.DUMMYFUNCTION("""COMPUTED_VALUE"""),"Dubai")</f>
        <v>Dubai</v>
      </c>
      <c r="B3178" s="2" t="str">
        <f ca="1">IFERROR(__xludf.DUMMYFUNCTION("""COMPUTED_VALUE"""),"The Cove Building 2")</f>
        <v>The Cove Building 2</v>
      </c>
      <c r="C3178" s="2" t="str">
        <f ca="1">IFERROR(__xludf.DUMMYFUNCTION("""COMPUTED_VALUE"""),"Building")</f>
        <v>Building</v>
      </c>
      <c r="D3178" s="2" t="str">
        <f ca="1">IFERROR(__xludf.DUMMYFUNCTION("""COMPUTED_VALUE"""),"Dubai&gt;Dubai Creek Harbour&gt;The Cove&gt;The Cove Building 2")</f>
        <v>Dubai&gt;Dubai Creek Harbour&gt;The Cove&gt;The Cove Building 2</v>
      </c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</row>
    <row r="3179" spans="1:26" ht="16.5" x14ac:dyDescent="0.35">
      <c r="A3179" s="2" t="str">
        <f ca="1">IFERROR(__xludf.DUMMYFUNCTION("""COMPUTED_VALUE"""),"Dubai")</f>
        <v>Dubai</v>
      </c>
      <c r="B3179" s="2" t="str">
        <f ca="1">IFERROR(__xludf.DUMMYFUNCTION("""COMPUTED_VALUE"""),"Bayshore 3")</f>
        <v>Bayshore 3</v>
      </c>
      <c r="C3179" s="2" t="str">
        <f ca="1">IFERROR(__xludf.DUMMYFUNCTION("""COMPUTED_VALUE"""),"Building")</f>
        <v>Building</v>
      </c>
      <c r="D3179" s="2" t="str">
        <f ca="1">IFERROR(__xludf.DUMMYFUNCTION("""COMPUTED_VALUE"""),"Dubai&gt;Dubai Creek Harbour&gt;Bayshore at Creek Beach&gt;Bayshore 3")</f>
        <v>Dubai&gt;Dubai Creek Harbour&gt;Bayshore at Creek Beach&gt;Bayshore 3</v>
      </c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</row>
    <row r="3180" spans="1:26" ht="16.5" x14ac:dyDescent="0.35">
      <c r="A3180" s="2" t="str">
        <f ca="1">IFERROR(__xludf.DUMMYFUNCTION("""COMPUTED_VALUE"""),"Dubai")</f>
        <v>Dubai</v>
      </c>
      <c r="B3180" s="2" t="str">
        <f ca="1">IFERROR(__xludf.DUMMYFUNCTION("""COMPUTED_VALUE"""),"Creek Crescent")</f>
        <v>Creek Crescent</v>
      </c>
      <c r="C3180" s="2" t="str">
        <f ca="1">IFERROR(__xludf.DUMMYFUNCTION("""COMPUTED_VALUE"""),"Building")</f>
        <v>Building</v>
      </c>
      <c r="D3180" s="2" t="str">
        <f ca="1">IFERROR(__xludf.DUMMYFUNCTION("""COMPUTED_VALUE"""),"Dubai&gt;Dubai Creek Harbour&gt;Creek Crescent")</f>
        <v>Dubai&gt;Dubai Creek Harbour&gt;Creek Crescent</v>
      </c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</row>
    <row r="3181" spans="1:26" ht="16.5" x14ac:dyDescent="0.35">
      <c r="A3181" s="2" t="str">
        <f ca="1">IFERROR(__xludf.DUMMYFUNCTION("""COMPUTED_VALUE"""),"Dubai")</f>
        <v>Dubai</v>
      </c>
      <c r="B3181" s="2" t="str">
        <f ca="1">IFERROR(__xludf.DUMMYFUNCTION("""COMPUTED_VALUE"""),"Island Park 1")</f>
        <v>Island Park 1</v>
      </c>
      <c r="C3181" s="2" t="str">
        <f ca="1">IFERROR(__xludf.DUMMYFUNCTION("""COMPUTED_VALUE"""),"Building")</f>
        <v>Building</v>
      </c>
      <c r="D3181" s="2" t="str">
        <f ca="1">IFERROR(__xludf.DUMMYFUNCTION("""COMPUTED_VALUE"""),"Dubai&gt;Dubai Creek Harbour&gt;Island Park&gt;Island Park 1")</f>
        <v>Dubai&gt;Dubai Creek Harbour&gt;Island Park&gt;Island Park 1</v>
      </c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</row>
    <row r="3182" spans="1:26" ht="16.5" x14ac:dyDescent="0.35">
      <c r="A3182" s="2" t="str">
        <f ca="1">IFERROR(__xludf.DUMMYFUNCTION("""COMPUTED_VALUE"""),"Dubai")</f>
        <v>Dubai</v>
      </c>
      <c r="B3182" s="2" t="str">
        <f ca="1">IFERROR(__xludf.DUMMYFUNCTION("""COMPUTED_VALUE"""),"Creek Haven")</f>
        <v>Creek Haven</v>
      </c>
      <c r="C3182" s="2" t="str">
        <f ca="1">IFERROR(__xludf.DUMMYFUNCTION("""COMPUTED_VALUE"""),"Building")</f>
        <v>Building</v>
      </c>
      <c r="D3182" s="2" t="str">
        <f ca="1">IFERROR(__xludf.DUMMYFUNCTION("""COMPUTED_VALUE"""),"Dubai&gt;Dubai Creek Harbour&gt;Creek Haven")</f>
        <v>Dubai&gt;Dubai Creek Harbour&gt;Creek Haven</v>
      </c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</row>
    <row r="3183" spans="1:26" ht="16.5" x14ac:dyDescent="0.35">
      <c r="A3183" s="2" t="str">
        <f ca="1">IFERROR(__xludf.DUMMYFUNCTION("""COMPUTED_VALUE"""),"Dubai")</f>
        <v>Dubai</v>
      </c>
      <c r="B3183" s="2" t="str">
        <f ca="1">IFERROR(__xludf.DUMMYFUNCTION("""COMPUTED_VALUE"""),"API Barsha Heights Tower")</f>
        <v>API Barsha Heights Tower</v>
      </c>
      <c r="C3183" s="2" t="str">
        <f ca="1">IFERROR(__xludf.DUMMYFUNCTION("""COMPUTED_VALUE"""),"Building")</f>
        <v>Building</v>
      </c>
      <c r="D3183" s="2" t="str">
        <f ca="1">IFERROR(__xludf.DUMMYFUNCTION("""COMPUTED_VALUE"""),"Dubai&gt;Barsha Heights (Tecom)&gt;API Barsha Heights Tower")</f>
        <v>Dubai&gt;Barsha Heights (Tecom)&gt;API Barsha Heights Tower</v>
      </c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</row>
    <row r="3184" spans="1:26" ht="16.5" x14ac:dyDescent="0.35">
      <c r="A3184" s="2" t="str">
        <f ca="1">IFERROR(__xludf.DUMMYFUNCTION("""COMPUTED_VALUE"""),"Dubai")</f>
        <v>Dubai</v>
      </c>
      <c r="B3184" s="2" t="str">
        <f ca="1">IFERROR(__xludf.DUMMYFUNCTION("""COMPUTED_VALUE"""),"Grand Belle Vue")</f>
        <v>Grand Belle Vue</v>
      </c>
      <c r="C3184" s="2" t="str">
        <f ca="1">IFERROR(__xludf.DUMMYFUNCTION("""COMPUTED_VALUE"""),"Building")</f>
        <v>Building</v>
      </c>
      <c r="D3184" s="2" t="str">
        <f ca="1">IFERROR(__xludf.DUMMYFUNCTION("""COMPUTED_VALUE"""),"Dubai&gt;Barsha Heights (Tecom)&gt;Grand Belle Vue")</f>
        <v>Dubai&gt;Barsha Heights (Tecom)&gt;Grand Belle Vue</v>
      </c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</row>
    <row r="3185" spans="1:26" ht="16.5" x14ac:dyDescent="0.35">
      <c r="A3185" s="2" t="str">
        <f ca="1">IFERROR(__xludf.DUMMYFUNCTION("""COMPUTED_VALUE"""),"Dubai")</f>
        <v>Dubai</v>
      </c>
      <c r="B3185" s="2" t="str">
        <f ca="1">IFERROR(__xludf.DUMMYFUNCTION("""COMPUTED_VALUE"""),"Mohd Sultan Bel Shalat Building")</f>
        <v>Mohd Sultan Bel Shalat Building</v>
      </c>
      <c r="C3185" s="2" t="str">
        <f ca="1">IFERROR(__xludf.DUMMYFUNCTION("""COMPUTED_VALUE"""),"Building")</f>
        <v>Building</v>
      </c>
      <c r="D3185" s="2" t="str">
        <f ca="1">IFERROR(__xludf.DUMMYFUNCTION("""COMPUTED_VALUE"""),"Dubai&gt;Barsha Heights (Tecom)&gt;Mohd Sultan Bel Shalat Building")</f>
        <v>Dubai&gt;Barsha Heights (Tecom)&gt;Mohd Sultan Bel Shalat Building</v>
      </c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</row>
    <row r="3186" spans="1:26" ht="16.5" x14ac:dyDescent="0.35">
      <c r="A3186" s="2" t="str">
        <f ca="1">IFERROR(__xludf.DUMMYFUNCTION("""COMPUTED_VALUE"""),"Dubai")</f>
        <v>Dubai</v>
      </c>
      <c r="B3186" s="2" t="str">
        <f ca="1">IFERROR(__xludf.DUMMYFUNCTION("""COMPUTED_VALUE"""),"Vida Residence 3")</f>
        <v>Vida Residence 3</v>
      </c>
      <c r="C3186" s="2" t="str">
        <f ca="1">IFERROR(__xludf.DUMMYFUNCTION("""COMPUTED_VALUE"""),"Building")</f>
        <v>Building</v>
      </c>
      <c r="D3186" s="2" t="str">
        <f ca="1">IFERROR(__xludf.DUMMYFUNCTION("""COMPUTED_VALUE"""),"Dubai&gt;The Hills&gt;Vida Residence (The Hills)&gt;Vida Residence 3")</f>
        <v>Dubai&gt;The Hills&gt;Vida Residence (The Hills)&gt;Vida Residence 3</v>
      </c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</row>
    <row r="3187" spans="1:26" ht="16.5" x14ac:dyDescent="0.35">
      <c r="A3187" s="2" t="str">
        <f ca="1">IFERROR(__xludf.DUMMYFUNCTION("""COMPUTED_VALUE"""),"Dubai")</f>
        <v>Dubai</v>
      </c>
      <c r="B3187" s="2" t="str">
        <f ca="1">IFERROR(__xludf.DUMMYFUNCTION("""COMPUTED_VALUE"""),"Terraced Apartment 4D")</f>
        <v>Terraced Apartment 4D</v>
      </c>
      <c r="C3187" s="2" t="str">
        <f ca="1">IFERROR(__xludf.DUMMYFUNCTION("""COMPUTED_VALUE"""),"Building")</f>
        <v>Building</v>
      </c>
      <c r="D3187" s="2" t="str">
        <f ca="1">IFERROR(__xludf.DUMMYFUNCTION("""COMPUTED_VALUE"""),"Dubai&gt;Motor City&gt;Green Community (Motor City)&gt;Terraced Apartments&gt;Terraced Apartment 4D")</f>
        <v>Dubai&gt;Motor City&gt;Green Community (Motor City)&gt;Terraced Apartments&gt;Terraced Apartment 4D</v>
      </c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</row>
    <row r="3188" spans="1:26" ht="16.5" x14ac:dyDescent="0.35">
      <c r="A3188" s="2" t="str">
        <f ca="1">IFERROR(__xludf.DUMMYFUNCTION("""COMPUTED_VALUE"""),"Dubai")</f>
        <v>Dubai</v>
      </c>
      <c r="B3188" s="2" t="str">
        <f ca="1">IFERROR(__xludf.DUMMYFUNCTION("""COMPUTED_VALUE"""),"Shakespeare Circus 1")</f>
        <v>Shakespeare Circus 1</v>
      </c>
      <c r="C3188" s="2" t="str">
        <f ca="1">IFERROR(__xludf.DUMMYFUNCTION("""COMPUTED_VALUE"""),"Building")</f>
        <v>Building</v>
      </c>
      <c r="D3188" s="2" t="str">
        <f ca="1">IFERROR(__xludf.DUMMYFUNCTION("""COMPUTED_VALUE"""),"Dubai&gt;Motor City&gt;Uptown Motor City&gt;Shakespeare Circus&gt;Shakespeare Circus 1")</f>
        <v>Dubai&gt;Motor City&gt;Uptown Motor City&gt;Shakespeare Circus&gt;Shakespeare Circus 1</v>
      </c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</row>
    <row r="3189" spans="1:26" ht="16.5" x14ac:dyDescent="0.35">
      <c r="A3189" s="2" t="str">
        <f ca="1">IFERROR(__xludf.DUMMYFUNCTION("""COMPUTED_VALUE"""),"Dubai")</f>
        <v>Dubai</v>
      </c>
      <c r="B3189" s="2" t="str">
        <f ca="1">IFERROR(__xludf.DUMMYFUNCTION("""COMPUTED_VALUE"""),"New Bridge Hill 2")</f>
        <v>New Bridge Hill 2</v>
      </c>
      <c r="C3189" s="2" t="str">
        <f ca="1">IFERROR(__xludf.DUMMYFUNCTION("""COMPUTED_VALUE"""),"Building")</f>
        <v>Building</v>
      </c>
      <c r="D3189" s="2" t="str">
        <f ca="1">IFERROR(__xludf.DUMMYFUNCTION("""COMPUTED_VALUE"""),"Dubai&gt;Motor City&gt;Uptown Motor City&gt;New Bridge Hill&gt;New Bridge Hill 2")</f>
        <v>Dubai&gt;Motor City&gt;Uptown Motor City&gt;New Bridge Hill&gt;New Bridge Hill 2</v>
      </c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</row>
    <row r="3190" spans="1:26" ht="16.5" x14ac:dyDescent="0.35">
      <c r="A3190" s="2" t="str">
        <f ca="1">IFERROR(__xludf.DUMMYFUNCTION("""COMPUTED_VALUE"""),"Dubai")</f>
        <v>Dubai</v>
      </c>
      <c r="B3190" s="2" t="str">
        <f ca="1">IFERROR(__xludf.DUMMYFUNCTION("""COMPUTED_VALUE"""),"Sobha Solis Tower C")</f>
        <v>Sobha Solis Tower C</v>
      </c>
      <c r="C3190" s="2" t="str">
        <f ca="1">IFERROR(__xludf.DUMMYFUNCTION("""COMPUTED_VALUE"""),"Building")</f>
        <v>Building</v>
      </c>
      <c r="D3190" s="2" t="str">
        <f ca="1">IFERROR(__xludf.DUMMYFUNCTION("""COMPUTED_VALUE"""),"Dubai&gt;Motor City&gt;Sobha Solis&gt;Sobha Solis Tower C")</f>
        <v>Dubai&gt;Motor City&gt;Sobha Solis&gt;Sobha Solis Tower C</v>
      </c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</row>
    <row r="3191" spans="1:26" ht="16.5" x14ac:dyDescent="0.35">
      <c r="A3191" s="2" t="str">
        <f ca="1">IFERROR(__xludf.DUMMYFUNCTION("""COMPUTED_VALUE"""),"Dubai")</f>
        <v>Dubai</v>
      </c>
      <c r="B3191" s="2" t="str">
        <f ca="1">IFERROR(__xludf.DUMMYFUNCTION("""COMPUTED_VALUE"""),"Decora Villas")</f>
        <v>Decora Villas</v>
      </c>
      <c r="C3191" s="2" t="str">
        <f ca="1">IFERROR(__xludf.DUMMYFUNCTION("""COMPUTED_VALUE"""),"Neighbourhood")</f>
        <v>Neighbourhood</v>
      </c>
      <c r="D3191" s="2" t="str">
        <f ca="1">IFERROR(__xludf.DUMMYFUNCTION("""COMPUTED_VALUE"""),"Dubai&gt;Al Sufouh&gt;Al Sufouh 1&gt;Acacia Avenues&gt;Decora Villas")</f>
        <v>Dubai&gt;Al Sufouh&gt;Al Sufouh 1&gt;Acacia Avenues&gt;Decora Villas</v>
      </c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</row>
    <row r="3192" spans="1:26" ht="16.5" x14ac:dyDescent="0.35">
      <c r="A3192" s="2" t="str">
        <f ca="1">IFERROR(__xludf.DUMMYFUNCTION("""COMPUTED_VALUE"""),"Dubai")</f>
        <v>Dubai</v>
      </c>
      <c r="B3192" s="2" t="str">
        <f ca="1">IFERROR(__xludf.DUMMYFUNCTION("""COMPUTED_VALUE"""),"Boutique Office 16")</f>
        <v>Boutique Office 16</v>
      </c>
      <c r="C3192" s="2" t="str">
        <f ca="1">IFERROR(__xludf.DUMMYFUNCTION("""COMPUTED_VALUE"""),"Building")</f>
        <v>Building</v>
      </c>
      <c r="D3192" s="2" t="str">
        <f ca="1">IFERROR(__xludf.DUMMYFUNCTION("""COMPUTED_VALUE"""),"Dubai&gt;Al Sufouh&gt;Al Sufouh 2&gt;Boutique Offices&gt;Boutique Office 16")</f>
        <v>Dubai&gt;Al Sufouh&gt;Al Sufouh 2&gt;Boutique Offices&gt;Boutique Office 16</v>
      </c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</row>
    <row r="3193" spans="1:26" ht="16.5" x14ac:dyDescent="0.35">
      <c r="A3193" s="2" t="str">
        <f ca="1">IFERROR(__xludf.DUMMYFUNCTION("""COMPUTED_VALUE"""),"Dubai")</f>
        <v>Dubai</v>
      </c>
      <c r="B3193" s="2" t="str">
        <f ca="1">IFERROR(__xludf.DUMMYFUNCTION("""COMPUTED_VALUE"""),"Al Badia Building 2")</f>
        <v>Al Badia Building 2</v>
      </c>
      <c r="C3193" s="2" t="str">
        <f ca="1">IFERROR(__xludf.DUMMYFUNCTION("""COMPUTED_VALUE"""),"Building")</f>
        <v>Building</v>
      </c>
      <c r="D3193" s="2" t="str">
        <f ca="1">IFERROR(__xludf.DUMMYFUNCTION("""COMPUTED_VALUE"""),"Dubai&gt;Dubai Festival City&gt;Al Badia Buildings&gt;Al Badia Building 2")</f>
        <v>Dubai&gt;Dubai Festival City&gt;Al Badia Buildings&gt;Al Badia Building 2</v>
      </c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</row>
    <row r="3194" spans="1:26" ht="16.5" x14ac:dyDescent="0.35">
      <c r="A3194" s="2" t="str">
        <f ca="1">IFERROR(__xludf.DUMMYFUNCTION("""COMPUTED_VALUE"""),"Dubai")</f>
        <v>Dubai</v>
      </c>
      <c r="B3194" s="2" t="str">
        <f ca="1">IFERROR(__xludf.DUMMYFUNCTION("""COMPUTED_VALUE"""),"Carson - The Drive")</f>
        <v>Carson - The Drive</v>
      </c>
      <c r="C3194" s="2" t="str">
        <f ca="1">IFERROR(__xludf.DUMMYFUNCTION("""COMPUTED_VALUE"""),"Cluster")</f>
        <v>Cluster</v>
      </c>
      <c r="D3194" s="2" t="str">
        <f ca="1">IFERROR(__xludf.DUMMYFUNCTION("""COMPUTED_VALUE"""),"Dubai&gt;DAMAC Hills&gt;Carson - The Drive")</f>
        <v>Dubai&gt;DAMAC Hills&gt;Carson - The Drive</v>
      </c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</row>
    <row r="3195" spans="1:26" ht="16.5" x14ac:dyDescent="0.35">
      <c r="A3195" s="2" t="str">
        <f ca="1">IFERROR(__xludf.DUMMYFUNCTION("""COMPUTED_VALUE"""),"Dubai")</f>
        <v>Dubai</v>
      </c>
      <c r="B3195" s="2" t="str">
        <f ca="1">IFERROR(__xludf.DUMMYFUNCTION("""COMPUTED_VALUE"""),"Golf Terrace B")</f>
        <v>Golf Terrace B</v>
      </c>
      <c r="C3195" s="2" t="str">
        <f ca="1">IFERROR(__xludf.DUMMYFUNCTION("""COMPUTED_VALUE"""),"Building")</f>
        <v>Building</v>
      </c>
      <c r="D3195" s="2" t="str">
        <f ca="1">IFERROR(__xludf.DUMMYFUNCTION("""COMPUTED_VALUE"""),"Dubai&gt;DAMAC Hills&gt;Golf Town&gt;Golf Terrace&gt;Golf Terrace B")</f>
        <v>Dubai&gt;DAMAC Hills&gt;Golf Town&gt;Golf Terrace&gt;Golf Terrace B</v>
      </c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</row>
    <row r="3196" spans="1:26" ht="16.5" x14ac:dyDescent="0.35">
      <c r="A3196" s="2" t="str">
        <f ca="1">IFERROR(__xludf.DUMMYFUNCTION("""COMPUTED_VALUE"""),"Dubai")</f>
        <v>Dubai</v>
      </c>
      <c r="B3196" s="2" t="str">
        <f ca="1">IFERROR(__xludf.DUMMYFUNCTION("""COMPUTED_VALUE"""),"Orchid A")</f>
        <v>Orchid A</v>
      </c>
      <c r="C3196" s="2" t="str">
        <f ca="1">IFERROR(__xludf.DUMMYFUNCTION("""COMPUTED_VALUE"""),"Building")</f>
        <v>Building</v>
      </c>
      <c r="D3196" s="2" t="str">
        <f ca="1">IFERROR(__xludf.DUMMYFUNCTION("""COMPUTED_VALUE"""),"Dubai&gt;DAMAC Hills&gt;Orchid&gt;Orchid A")</f>
        <v>Dubai&gt;DAMAC Hills&gt;Orchid&gt;Orchid A</v>
      </c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</row>
    <row r="3197" spans="1:26" ht="16.5" x14ac:dyDescent="0.35">
      <c r="A3197" s="2" t="str">
        <f ca="1">IFERROR(__xludf.DUMMYFUNCTION("""COMPUTED_VALUE"""),"Dubai")</f>
        <v>Dubai</v>
      </c>
      <c r="B3197" s="2" t="str">
        <f ca="1">IFERROR(__xludf.DUMMYFUNCTION("""COMPUTED_VALUE"""),"Gems Estates 1")</f>
        <v>Gems Estates 1</v>
      </c>
      <c r="C3197" s="2" t="str">
        <f ca="1">IFERROR(__xludf.DUMMYFUNCTION("""COMPUTED_VALUE"""),"Neighbourhood")</f>
        <v>Neighbourhood</v>
      </c>
      <c r="D3197" s="2" t="str">
        <f ca="1">IFERROR(__xludf.DUMMYFUNCTION("""COMPUTED_VALUE"""),"Dubai&gt;DAMAC Hills&gt;Gems Estates 1")</f>
        <v>Dubai&gt;DAMAC Hills&gt;Gems Estates 1</v>
      </c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</row>
    <row r="3198" spans="1:26" ht="16.5" x14ac:dyDescent="0.35">
      <c r="A3198" s="2" t="str">
        <f ca="1">IFERROR(__xludf.DUMMYFUNCTION("""COMPUTED_VALUE"""),"Dubai")</f>
        <v>Dubai</v>
      </c>
      <c r="B3198" s="2" t="str">
        <f ca="1">IFERROR(__xludf.DUMMYFUNCTION("""COMPUTED_VALUE"""),"Seven Pearls Block B")</f>
        <v>Seven Pearls Block B</v>
      </c>
      <c r="C3198" s="2" t="str">
        <f ca="1">IFERROR(__xludf.DUMMYFUNCTION("""COMPUTED_VALUE"""),"Building")</f>
        <v>Building</v>
      </c>
      <c r="D3198" s="2" t="str">
        <f ca="1">IFERROR(__xludf.DUMMYFUNCTION("""COMPUTED_VALUE"""),"Dubai&gt;Al Mina&gt;Seven Pearls&gt;Seven Pearls Block B")</f>
        <v>Dubai&gt;Al Mina&gt;Seven Pearls&gt;Seven Pearls Block B</v>
      </c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</row>
    <row r="3199" spans="1:26" ht="16.5" x14ac:dyDescent="0.35">
      <c r="A3199" s="2" t="str">
        <f ca="1">IFERROR(__xludf.DUMMYFUNCTION("""COMPUTED_VALUE"""),"Dubai")</f>
        <v>Dubai</v>
      </c>
      <c r="B3199" s="2" t="str">
        <f ca="1">IFERROR(__xludf.DUMMYFUNCTION("""COMPUTED_VALUE"""),"Saria Tower")</f>
        <v>Saria Tower</v>
      </c>
      <c r="C3199" s="2" t="str">
        <f ca="1">IFERROR(__xludf.DUMMYFUNCTION("""COMPUTED_VALUE"""),"Building")</f>
        <v>Building</v>
      </c>
      <c r="D3199" s="2" t="str">
        <f ca="1">IFERROR(__xludf.DUMMYFUNCTION("""COMPUTED_VALUE"""),"Dubai&gt;Dubai Maritime City&gt;Saria Tower")</f>
        <v>Dubai&gt;Dubai Maritime City&gt;Saria Tower</v>
      </c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</row>
    <row r="3200" spans="1:26" ht="16.5" x14ac:dyDescent="0.35">
      <c r="A3200" s="2" t="str">
        <f ca="1">IFERROR(__xludf.DUMMYFUNCTION("""COMPUTED_VALUE"""),"Dubai")</f>
        <v>Dubai</v>
      </c>
      <c r="B3200" s="2" t="str">
        <f ca="1">IFERROR(__xludf.DUMMYFUNCTION("""COMPUTED_VALUE"""),"Panorama Tower 1")</f>
        <v>Panorama Tower 1</v>
      </c>
      <c r="C3200" s="2" t="str">
        <f ca="1">IFERROR(__xludf.DUMMYFUNCTION("""COMPUTED_VALUE"""),"Building")</f>
        <v>Building</v>
      </c>
      <c r="D3200" s="2" t="str">
        <f ca="1">IFERROR(__xludf.DUMMYFUNCTION("""COMPUTED_VALUE"""),"Dubai&gt;The Views&gt;Panorama&gt;Panorama Tower 1")</f>
        <v>Dubai&gt;The Views&gt;Panorama&gt;Panorama Tower 1</v>
      </c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</row>
    <row r="3201" spans="1:26" ht="16.5" x14ac:dyDescent="0.35">
      <c r="A3201" s="2" t="str">
        <f ca="1">IFERROR(__xludf.DUMMYFUNCTION("""COMPUTED_VALUE"""),"Dubai")</f>
        <v>Dubai</v>
      </c>
      <c r="B3201" s="2" t="str">
        <f ca="1">IFERROR(__xludf.DUMMYFUNCTION("""COMPUTED_VALUE"""),"The Views 1")</f>
        <v>The Views 1</v>
      </c>
      <c r="C3201" s="2" t="str">
        <f ca="1">IFERROR(__xludf.DUMMYFUNCTION("""COMPUTED_VALUE"""),"Cluster")</f>
        <v>Cluster</v>
      </c>
      <c r="D3201" s="2" t="str">
        <f ca="1">IFERROR(__xludf.DUMMYFUNCTION("""COMPUTED_VALUE"""),"Dubai&gt;The Views&gt;The Views 1")</f>
        <v>Dubai&gt;The Views&gt;The Views 1</v>
      </c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</row>
    <row r="3202" spans="1:26" ht="16.5" x14ac:dyDescent="0.35">
      <c r="A3202" s="2" t="str">
        <f ca="1">IFERROR(__xludf.DUMMYFUNCTION("""COMPUTED_VALUE"""),"Dubai")</f>
        <v>Dubai</v>
      </c>
      <c r="B3202" s="2" t="str">
        <f ca="1">IFERROR(__xludf.DUMMYFUNCTION("""COMPUTED_VALUE"""),"Dubai Garden Centre")</f>
        <v>Dubai Garden Centre</v>
      </c>
      <c r="C3202" s="2" t="str">
        <f ca="1">IFERROR(__xludf.DUMMYFUNCTION("""COMPUTED_VALUE"""),"Building")</f>
        <v>Building</v>
      </c>
      <c r="D3202" s="2" t="str">
        <f ca="1">IFERROR(__xludf.DUMMYFUNCTION("""COMPUTED_VALUE"""),"Dubai&gt;Al Quoz&gt;Al Quoz Industrial Area&gt;Al Quoz Industrial Area 3&gt;Dubai Garden Centre")</f>
        <v>Dubai&gt;Al Quoz&gt;Al Quoz Industrial Area&gt;Al Quoz Industrial Area 3&gt;Dubai Garden Centre</v>
      </c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</row>
    <row r="3203" spans="1:26" ht="16.5" x14ac:dyDescent="0.35">
      <c r="A3203" s="2" t="str">
        <f ca="1">IFERROR(__xludf.DUMMYFUNCTION("""COMPUTED_VALUE"""),"Dubai")</f>
        <v>Dubai</v>
      </c>
      <c r="B3203" s="2" t="str">
        <f ca="1">IFERROR(__xludf.DUMMYFUNCTION("""COMPUTED_VALUE"""),"Wasl Crystal 1")</f>
        <v>Wasl Crystal 1</v>
      </c>
      <c r="C3203" s="2" t="str">
        <f ca="1">IFERROR(__xludf.DUMMYFUNCTION("""COMPUTED_VALUE"""),"Building")</f>
        <v>Building</v>
      </c>
      <c r="D3203" s="2" t="str">
        <f ca="1">IFERROR(__xludf.DUMMYFUNCTION("""COMPUTED_VALUE"""),"Dubai&gt;Al Quoz&gt;Al Quoz 4&gt;Wasl Crystal&gt;Wasl Crystal 1")</f>
        <v>Dubai&gt;Al Quoz&gt;Al Quoz 4&gt;Wasl Crystal&gt;Wasl Crystal 1</v>
      </c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</row>
    <row r="3204" spans="1:26" ht="16.5" x14ac:dyDescent="0.35">
      <c r="A3204" s="2" t="str">
        <f ca="1">IFERROR(__xludf.DUMMYFUNCTION("""COMPUTED_VALUE"""),"Dubai")</f>
        <v>Dubai</v>
      </c>
      <c r="B3204" s="2" t="str">
        <f ca="1">IFERROR(__xludf.DUMMYFUNCTION("""COMPUTED_VALUE"""),"Cedre Villas")</f>
        <v>Cedre Villas</v>
      </c>
      <c r="C3204" s="2" t="str">
        <f ca="1">IFERROR(__xludf.DUMMYFUNCTION("""COMPUTED_VALUE"""),"Neighbourhood")</f>
        <v>Neighbourhood</v>
      </c>
      <c r="D3204" s="2" t="str">
        <f ca="1">IFERROR(__xludf.DUMMYFUNCTION("""COMPUTED_VALUE"""),"Dubai&gt;Dubai Silicon Oasis (DSO)&gt;Cedre Villas")</f>
        <v>Dubai&gt;Dubai Silicon Oasis (DSO)&gt;Cedre Villas</v>
      </c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</row>
    <row r="3205" spans="1:26" ht="16.5" x14ac:dyDescent="0.35">
      <c r="A3205" s="2" t="str">
        <f ca="1">IFERROR(__xludf.DUMMYFUNCTION("""COMPUTED_VALUE"""),"Dubai")</f>
        <v>Dubai</v>
      </c>
      <c r="B3205" s="2" t="str">
        <f ca="1">IFERROR(__xludf.DUMMYFUNCTION("""COMPUTED_VALUE"""),"Topaz Residences 3")</f>
        <v>Topaz Residences 3</v>
      </c>
      <c r="C3205" s="2" t="str">
        <f ca="1">IFERROR(__xludf.DUMMYFUNCTION("""COMPUTED_VALUE"""),"Building")</f>
        <v>Building</v>
      </c>
      <c r="D3205" s="2" t="str">
        <f ca="1">IFERROR(__xludf.DUMMYFUNCTION("""COMPUTED_VALUE"""),"Dubai&gt;Dubai Silicon Oasis (DSO)&gt;Topaz Residences 3")</f>
        <v>Dubai&gt;Dubai Silicon Oasis (DSO)&gt;Topaz Residences 3</v>
      </c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</row>
    <row r="3206" spans="1:26" ht="16.5" x14ac:dyDescent="0.35">
      <c r="A3206" s="2" t="str">
        <f ca="1">IFERROR(__xludf.DUMMYFUNCTION("""COMPUTED_VALUE"""),"Dubai")</f>
        <v>Dubai</v>
      </c>
      <c r="B3206" s="2" t="str">
        <f ca="1">IFERROR(__xludf.DUMMYFUNCTION("""COMPUTED_VALUE"""),"The Apricot")</f>
        <v>The Apricot</v>
      </c>
      <c r="C3206" s="2" t="str">
        <f ca="1">IFERROR(__xludf.DUMMYFUNCTION("""COMPUTED_VALUE"""),"Building")</f>
        <v>Building</v>
      </c>
      <c r="D3206" s="2" t="str">
        <f ca="1">IFERROR(__xludf.DUMMYFUNCTION("""COMPUTED_VALUE"""),"Dubai&gt;Dubai Silicon Oasis (DSO)&gt;The Apricot")</f>
        <v>Dubai&gt;Dubai Silicon Oasis (DSO)&gt;The Apricot</v>
      </c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</row>
    <row r="3207" spans="1:26" ht="16.5" x14ac:dyDescent="0.35">
      <c r="A3207" s="2" t="str">
        <f ca="1">IFERROR(__xludf.DUMMYFUNCTION("""COMPUTED_VALUE"""),"Dubai")</f>
        <v>Dubai</v>
      </c>
      <c r="B3207" s="2" t="str">
        <f ca="1">IFERROR(__xludf.DUMMYFUNCTION("""COMPUTED_VALUE"""),"Binghatti Gardens")</f>
        <v>Binghatti Gardens</v>
      </c>
      <c r="C3207" s="2" t="str">
        <f ca="1">IFERROR(__xludf.DUMMYFUNCTION("""COMPUTED_VALUE"""),"Building")</f>
        <v>Building</v>
      </c>
      <c r="D3207" s="2" t="str">
        <f ca="1">IFERROR(__xludf.DUMMYFUNCTION("""COMPUTED_VALUE"""),"Dubai&gt;Dubai Silicon Oasis (DSO)&gt;Binghatti Gardens")</f>
        <v>Dubai&gt;Dubai Silicon Oasis (DSO)&gt;Binghatti Gardens</v>
      </c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</row>
    <row r="3208" spans="1:26" ht="16.5" x14ac:dyDescent="0.35">
      <c r="A3208" s="2" t="str">
        <f ca="1">IFERROR(__xludf.DUMMYFUNCTION("""COMPUTED_VALUE"""),"Dubai")</f>
        <v>Dubai</v>
      </c>
      <c r="B3208" s="2" t="str">
        <f ca="1">IFERROR(__xludf.DUMMYFUNCTION("""COMPUTED_VALUE"""),"Khan Saheb Building")</f>
        <v>Khan Saheb Building</v>
      </c>
      <c r="C3208" s="2" t="str">
        <f ca="1">IFERROR(__xludf.DUMMYFUNCTION("""COMPUTED_VALUE"""),"Building")</f>
        <v>Building</v>
      </c>
      <c r="D3208" s="2" t="str">
        <f ca="1">IFERROR(__xludf.DUMMYFUNCTION("""COMPUTED_VALUE"""),"Dubai&gt;Dubai Silicon Oasis (DSO)&gt;Khan Saheb Building")</f>
        <v>Dubai&gt;Dubai Silicon Oasis (DSO)&gt;Khan Saheb Building</v>
      </c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</row>
    <row r="3209" spans="1:26" ht="16.5" x14ac:dyDescent="0.35">
      <c r="A3209" s="2" t="str">
        <f ca="1">IFERROR(__xludf.DUMMYFUNCTION("""COMPUTED_VALUE"""),"Dubai")</f>
        <v>Dubai</v>
      </c>
      <c r="B3209" s="2" t="str">
        <f ca="1">IFERROR(__xludf.DUMMYFUNCTION("""COMPUTED_VALUE"""),"Axis Residences One 3")</f>
        <v>Axis Residences One 3</v>
      </c>
      <c r="C3209" s="2" t="str">
        <f ca="1">IFERROR(__xludf.DUMMYFUNCTION("""COMPUTED_VALUE"""),"Building")</f>
        <v>Building</v>
      </c>
      <c r="D3209" s="2" t="str">
        <f ca="1">IFERROR(__xludf.DUMMYFUNCTION("""COMPUTED_VALUE"""),"Dubai&gt;Dubai Silicon Oasis (DSO)&gt;Axis Residences&gt;Axis Residences One 3")</f>
        <v>Dubai&gt;Dubai Silicon Oasis (DSO)&gt;Axis Residences&gt;Axis Residences One 3</v>
      </c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</row>
    <row r="3210" spans="1:26" ht="16.5" x14ac:dyDescent="0.35">
      <c r="A3210" s="2" t="str">
        <f ca="1">IFERROR(__xludf.DUMMYFUNCTION("""COMPUTED_VALUE"""),"Dubai")</f>
        <v>Dubai</v>
      </c>
      <c r="B3210" s="2" t="str">
        <f ca="1">IFERROR(__xludf.DUMMYFUNCTION("""COMPUTED_VALUE"""),"Aura Elite")</f>
        <v>Aura Elite</v>
      </c>
      <c r="C3210" s="2" t="str">
        <f ca="1">IFERROR(__xludf.DUMMYFUNCTION("""COMPUTED_VALUE"""),"Building")</f>
        <v>Building</v>
      </c>
      <c r="D3210" s="2" t="str">
        <f ca="1">IFERROR(__xludf.DUMMYFUNCTION("""COMPUTED_VALUE"""),"Dubai&gt;Dubai Silicon Oasis (DSO)&gt;Aura Elite")</f>
        <v>Dubai&gt;Dubai Silicon Oasis (DSO)&gt;Aura Elite</v>
      </c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</row>
    <row r="3211" spans="1:26" ht="16.5" x14ac:dyDescent="0.35">
      <c r="A3211" s="2" t="str">
        <f ca="1">IFERROR(__xludf.DUMMYFUNCTION("""COMPUTED_VALUE"""),"Dubai")</f>
        <v>Dubai</v>
      </c>
      <c r="B3211" s="2" t="str">
        <f ca="1">IFERROR(__xludf.DUMMYFUNCTION("""COMPUTED_VALUE"""),"Ashjar G2")</f>
        <v>Ashjar G2</v>
      </c>
      <c r="C3211" s="2" t="str">
        <f ca="1">IFERROR(__xludf.DUMMYFUNCTION("""COMPUTED_VALUE"""),"Building")</f>
        <v>Building</v>
      </c>
      <c r="D3211" s="2" t="str">
        <f ca="1">IFERROR(__xludf.DUMMYFUNCTION("""COMPUTED_VALUE"""),"Dubai&gt;Al Barari&gt;Ashjar&gt;Ashjar G2")</f>
        <v>Dubai&gt;Al Barari&gt;Ashjar&gt;Ashjar G2</v>
      </c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</row>
    <row r="3212" spans="1:26" ht="16.5" x14ac:dyDescent="0.35">
      <c r="A3212" s="2" t="str">
        <f ca="1">IFERROR(__xludf.DUMMYFUNCTION("""COMPUTED_VALUE"""),"Dubai")</f>
        <v>Dubai</v>
      </c>
      <c r="B3212" s="2" t="str">
        <f ca="1">IFERROR(__xludf.DUMMYFUNCTION("""COMPUTED_VALUE"""),"Silk Leaf")</f>
        <v>Silk Leaf</v>
      </c>
      <c r="C3212" s="2" t="str">
        <f ca="1">IFERROR(__xludf.DUMMYFUNCTION("""COMPUTED_VALUE"""),"Neighbourhood")</f>
        <v>Neighbourhood</v>
      </c>
      <c r="D3212" s="2" t="str">
        <f ca="1">IFERROR(__xludf.DUMMYFUNCTION("""COMPUTED_VALUE"""),"Dubai&gt;Al Barari&gt;The Residences&gt;Silk Leaf")</f>
        <v>Dubai&gt;Al Barari&gt;The Residences&gt;Silk Leaf</v>
      </c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</row>
    <row r="3213" spans="1:26" ht="16.5" x14ac:dyDescent="0.35">
      <c r="A3213" s="2" t="str">
        <f ca="1">IFERROR(__xludf.DUMMYFUNCTION("""COMPUTED_VALUE"""),"Dubai")</f>
        <v>Dubai</v>
      </c>
      <c r="B3213" s="2" t="str">
        <f ca="1">IFERROR(__xludf.DUMMYFUNCTION("""COMPUTED_VALUE"""),"Grenland Residence")</f>
        <v>Grenland Residence</v>
      </c>
      <c r="C3213" s="2" t="str">
        <f ca="1">IFERROR(__xludf.DUMMYFUNCTION("""COMPUTED_VALUE"""),"Building")</f>
        <v>Building</v>
      </c>
      <c r="D3213" s="2" t="str">
        <f ca="1">IFERROR(__xludf.DUMMYFUNCTION("""COMPUTED_VALUE"""),"Dubai&gt;Mohammed Bin Rashid City&gt;District 11&gt;Grenland Residence")</f>
        <v>Dubai&gt;Mohammed Bin Rashid City&gt;District 11&gt;Grenland Residence</v>
      </c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</row>
    <row r="3214" spans="1:26" ht="16.5" x14ac:dyDescent="0.35">
      <c r="A3214" s="2" t="str">
        <f ca="1">IFERROR(__xludf.DUMMYFUNCTION("""COMPUTED_VALUE"""),"Dubai")</f>
        <v>Dubai</v>
      </c>
      <c r="B3214" s="2" t="str">
        <f ca="1">IFERROR(__xludf.DUMMYFUNCTION("""COMPUTED_VALUE"""),"Gate Eleven Building 3")</f>
        <v>Gate Eleven Building 3</v>
      </c>
      <c r="C3214" s="2" t="str">
        <f ca="1">IFERROR(__xludf.DUMMYFUNCTION("""COMPUTED_VALUE"""),"Building")</f>
        <v>Building</v>
      </c>
      <c r="D3214" s="2" t="str">
        <f ca="1">IFERROR(__xludf.DUMMYFUNCTION("""COMPUTED_VALUE"""),"Dubai&gt;Mohammed Bin Rashid City&gt;District 11&gt;Gate Eleven Residences&gt;Gate Eleven Building 3")</f>
        <v>Dubai&gt;Mohammed Bin Rashid City&gt;District 11&gt;Gate Eleven Residences&gt;Gate Eleven Building 3</v>
      </c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</row>
    <row r="3215" spans="1:26" ht="16.5" x14ac:dyDescent="0.35">
      <c r="A3215" s="2" t="str">
        <f ca="1">IFERROR(__xludf.DUMMYFUNCTION("""COMPUTED_VALUE"""),"Dubai")</f>
        <v>Dubai</v>
      </c>
      <c r="B3215" s="2" t="str">
        <f ca="1">IFERROR(__xludf.DUMMYFUNCTION("""COMPUTED_VALUE"""),"Residences 31")</f>
        <v>Residences 31</v>
      </c>
      <c r="C3215" s="2" t="str">
        <f ca="1">IFERROR(__xludf.DUMMYFUNCTION("""COMPUTED_VALUE"""),"Building")</f>
        <v>Building</v>
      </c>
      <c r="D3215" s="2" t="str">
        <f ca="1">IFERROR(__xludf.DUMMYFUNCTION("""COMPUTED_VALUE"""),"Dubai&gt;Mohammed Bin Rashid City&gt;District One&gt;The Residences at District One&gt;Residences 31")</f>
        <v>Dubai&gt;Mohammed Bin Rashid City&gt;District One&gt;The Residences at District One&gt;Residences 31</v>
      </c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</row>
    <row r="3216" spans="1:26" ht="16.5" x14ac:dyDescent="0.35">
      <c r="A3216" s="2" t="str">
        <f ca="1">IFERROR(__xludf.DUMMYFUNCTION("""COMPUTED_VALUE"""),"Dubai")</f>
        <v>Dubai</v>
      </c>
      <c r="B3216" s="2" t="str">
        <f ca="1">IFERROR(__xludf.DUMMYFUNCTION("""COMPUTED_VALUE"""),"The Pulse Residence 3")</f>
        <v>The Pulse Residence 3</v>
      </c>
      <c r="C3216" s="2" t="str">
        <f ca="1">IFERROR(__xludf.DUMMYFUNCTION("""COMPUTED_VALUE"""),"Building")</f>
        <v>Building</v>
      </c>
      <c r="D3216" s="2" t="str">
        <f ca="1">IFERROR(__xludf.DUMMYFUNCTION("""COMPUTED_VALUE"""),"Dubai&gt;Dubai South&gt;Residential District&gt;The Pulse&gt;The Pulse Residence&gt;The Pulse Residence 3")</f>
        <v>Dubai&gt;Dubai South&gt;Residential District&gt;The Pulse&gt;The Pulse Residence&gt;The Pulse Residence 3</v>
      </c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</row>
    <row r="3217" spans="1:26" ht="16.5" x14ac:dyDescent="0.35">
      <c r="A3217" s="2" t="str">
        <f ca="1">IFERROR(__xludf.DUMMYFUNCTION("""COMPUTED_VALUE"""),"Dubai")</f>
        <v>Dubai</v>
      </c>
      <c r="B3217" s="2" t="str">
        <f ca="1">IFERROR(__xludf.DUMMYFUNCTION("""COMPUTED_VALUE"""),"MAG 560")</f>
        <v>MAG 560</v>
      </c>
      <c r="C3217" s="2" t="str">
        <f ca="1">IFERROR(__xludf.DUMMYFUNCTION("""COMPUTED_VALUE"""),"Building")</f>
        <v>Building</v>
      </c>
      <c r="D3217" s="2" t="str">
        <f ca="1">IFERROR(__xludf.DUMMYFUNCTION("""COMPUTED_VALUE"""),"Dubai&gt;Dubai South&gt;Residential District&gt;MAG 5 Boulevard&gt;MAG 560")</f>
        <v>Dubai&gt;Dubai South&gt;Residential District&gt;MAG 5 Boulevard&gt;MAG 560</v>
      </c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</row>
    <row r="3218" spans="1:26" ht="16.5" x14ac:dyDescent="0.35">
      <c r="A3218" s="2" t="str">
        <f ca="1">IFERROR(__xludf.DUMMYFUNCTION("""COMPUTED_VALUE"""),"Dubai")</f>
        <v>Dubai</v>
      </c>
      <c r="B3218" s="2" t="str">
        <f ca="1">IFERROR(__xludf.DUMMYFUNCTION("""COMPUTED_VALUE"""),"South Living")</f>
        <v>South Living</v>
      </c>
      <c r="C3218" s="2" t="str">
        <f ca="1">IFERROR(__xludf.DUMMYFUNCTION("""COMPUTED_VALUE"""),"Building")</f>
        <v>Building</v>
      </c>
      <c r="D3218" s="2" t="str">
        <f ca="1">IFERROR(__xludf.DUMMYFUNCTION("""COMPUTED_VALUE"""),"Dubai&gt;Dubai South&gt;Residential District&gt;South Living")</f>
        <v>Dubai&gt;Dubai South&gt;Residential District&gt;South Living</v>
      </c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</row>
    <row r="3219" spans="1:26" ht="16.5" x14ac:dyDescent="0.35">
      <c r="A3219" s="2" t="str">
        <f ca="1">IFERROR(__xludf.DUMMYFUNCTION("""COMPUTED_VALUE"""),"Dubai")</f>
        <v>Dubai</v>
      </c>
      <c r="B3219" s="2" t="str">
        <f ca="1">IFERROR(__xludf.DUMMYFUNCTION("""COMPUTED_VALUE"""),"Avenew 888 Loom")</f>
        <v>Avenew 888 Loom</v>
      </c>
      <c r="C3219" s="2" t="str">
        <f ca="1">IFERROR(__xludf.DUMMYFUNCTION("""COMPUTED_VALUE"""),"Building")</f>
        <v>Building</v>
      </c>
      <c r="D3219" s="2" t="str">
        <f ca="1">IFERROR(__xludf.DUMMYFUNCTION("""COMPUTED_VALUE"""),"Dubai&gt;Dubai South&gt;Residential District&gt;Avenew 888&gt;Avenew 888 Loom")</f>
        <v>Dubai&gt;Dubai South&gt;Residential District&gt;Avenew 888&gt;Avenew 888 Loom</v>
      </c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</row>
    <row r="3220" spans="1:26" ht="16.5" x14ac:dyDescent="0.35">
      <c r="A3220" s="2" t="str">
        <f ca="1">IFERROR(__xludf.DUMMYFUNCTION("""COMPUTED_VALUE"""),"Dubai")</f>
        <v>Dubai</v>
      </c>
      <c r="B3220" s="2" t="str">
        <f ca="1">IFERROR(__xludf.DUMMYFUNCTION("""COMPUTED_VALUE"""),"Urbana III")</f>
        <v>Urbana III</v>
      </c>
      <c r="C3220" s="2" t="str">
        <f ca="1">IFERROR(__xludf.DUMMYFUNCTION("""COMPUTED_VALUE"""),"Neighbourhood")</f>
        <v>Neighbourhood</v>
      </c>
      <c r="D3220" s="2" t="str">
        <f ca="1">IFERROR(__xludf.DUMMYFUNCTION("""COMPUTED_VALUE"""),"Dubai&gt;Dubai South&gt;Emaar South&gt;Urbana&gt;Urbana III")</f>
        <v>Dubai&gt;Dubai South&gt;Emaar South&gt;Urbana&gt;Urbana III</v>
      </c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</row>
    <row r="3221" spans="1:26" ht="16.5" x14ac:dyDescent="0.35">
      <c r="A3221" s="2" t="str">
        <f ca="1">IFERROR(__xludf.DUMMYFUNCTION("""COMPUTED_VALUE"""),"Abu Dhabi")</f>
        <v>Abu Dhabi</v>
      </c>
      <c r="B3221" s="2" t="str">
        <f ca="1">IFERROR(__xludf.DUMMYFUNCTION("""COMPUTED_VALUE"""),"Radiant Square")</f>
        <v>Radiant Square</v>
      </c>
      <c r="C3221" s="2" t="str">
        <f ca="1">IFERROR(__xludf.DUMMYFUNCTION("""COMPUTED_VALUE"""),"Cluster")</f>
        <v>Cluster</v>
      </c>
      <c r="D3221" s="2" t="str">
        <f ca="1">IFERROR(__xludf.DUMMYFUNCTION("""COMPUTED_VALUE"""),"Abu Dhabi&gt;Al Reem Island&gt;City of Lights&gt;Radiant Square")</f>
        <v>Abu Dhabi&gt;Al Reem Island&gt;City of Lights&gt;Radiant Square</v>
      </c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</row>
    <row r="3222" spans="1:26" ht="16.5" x14ac:dyDescent="0.35">
      <c r="A3222" s="2" t="str">
        <f ca="1">IFERROR(__xludf.DUMMYFUNCTION("""COMPUTED_VALUE"""),"Abu Dhabi")</f>
        <v>Abu Dhabi</v>
      </c>
      <c r="B3222" s="2" t="str">
        <f ca="1">IFERROR(__xludf.DUMMYFUNCTION("""COMPUTED_VALUE"""),"Sierra Views")</f>
        <v>Sierra Views</v>
      </c>
      <c r="C3222" s="2" t="str">
        <f ca="1">IFERROR(__xludf.DUMMYFUNCTION("""COMPUTED_VALUE"""),"Neighbourhood")</f>
        <v>Neighbourhood</v>
      </c>
      <c r="D3222" s="2" t="str">
        <f ca="1">IFERROR(__xludf.DUMMYFUNCTION("""COMPUTED_VALUE"""),"Abu Dhabi&gt;Al Reem Island&gt;Reem Hills&gt;Sierra Views")</f>
        <v>Abu Dhabi&gt;Al Reem Island&gt;Reem Hills&gt;Sierra Views</v>
      </c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</row>
    <row r="3223" spans="1:26" ht="16.5" x14ac:dyDescent="0.35">
      <c r="A3223" s="2" t="str">
        <f ca="1">IFERROR(__xludf.DUMMYFUNCTION("""COMPUTED_VALUE"""),"Abu Dhabi")</f>
        <v>Abu Dhabi</v>
      </c>
      <c r="B3223" s="2" t="str">
        <f ca="1">IFERROR(__xludf.DUMMYFUNCTION("""COMPUTED_VALUE"""),"Landmark Tower")</f>
        <v>Landmark Tower</v>
      </c>
      <c r="C3223" s="2" t="str">
        <f ca="1">IFERROR(__xludf.DUMMYFUNCTION("""COMPUTED_VALUE"""),"Building")</f>
        <v>Building</v>
      </c>
      <c r="D3223" s="2" t="str">
        <f ca="1">IFERROR(__xludf.DUMMYFUNCTION("""COMPUTED_VALUE"""),"Abu Dhabi&gt;Corniche Road&gt;Landmark Tower")</f>
        <v>Abu Dhabi&gt;Corniche Road&gt;Landmark Tower</v>
      </c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</row>
    <row r="3224" spans="1:26" ht="16.5" x14ac:dyDescent="0.35">
      <c r="A3224" s="2" t="str">
        <f ca="1">IFERROR(__xludf.DUMMYFUNCTION("""COMPUTED_VALUE"""),"Abu Dhabi")</f>
        <v>Abu Dhabi</v>
      </c>
      <c r="B3224" s="2" t="str">
        <f ca="1">IFERROR(__xludf.DUMMYFUNCTION("""COMPUTED_VALUE"""),"Al Muhairy Center")</f>
        <v>Al Muhairy Center</v>
      </c>
      <c r="C3224" s="2"/>
      <c r="D3224" s="2" t="str">
        <f ca="1">IFERROR(__xludf.DUMMYFUNCTION("""COMPUTED_VALUE"""),"Abu Dhabi&gt;Al Khalidiyah&gt;Al Muhairy Center")</f>
        <v>Abu Dhabi&gt;Al Khalidiyah&gt;Al Muhairy Center</v>
      </c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</row>
    <row r="3225" spans="1:26" ht="16.5" x14ac:dyDescent="0.35">
      <c r="A3225" s="2" t="str">
        <f ca="1">IFERROR(__xludf.DUMMYFUNCTION("""COMPUTED_VALUE"""),"Abu Dhabi")</f>
        <v>Abu Dhabi</v>
      </c>
      <c r="B3225" s="2" t="str">
        <f ca="1">IFERROR(__xludf.DUMMYFUNCTION("""COMPUTED_VALUE"""),"Khalidiyah Tower")</f>
        <v>Khalidiyah Tower</v>
      </c>
      <c r="C3225" s="2"/>
      <c r="D3225" s="2" t="str">
        <f ca="1">IFERROR(__xludf.DUMMYFUNCTION("""COMPUTED_VALUE"""),"Abu Dhabi&gt;Al Khalidiyah&gt;Khalidiyah Street&gt;Khalidiyah Tower")</f>
        <v>Abu Dhabi&gt;Al Khalidiyah&gt;Khalidiyah Street&gt;Khalidiyah Tower</v>
      </c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</row>
    <row r="3226" spans="1:26" ht="16.5" x14ac:dyDescent="0.35">
      <c r="A3226" s="2" t="str">
        <f ca="1">IFERROR(__xludf.DUMMYFUNCTION("""COMPUTED_VALUE"""),"Abu Dhabi")</f>
        <v>Abu Dhabi</v>
      </c>
      <c r="B3226" s="2" t="str">
        <f ca="1">IFERROR(__xludf.DUMMYFUNCTION("""COMPUTED_VALUE"""),"Complex 16")</f>
        <v>Complex 16</v>
      </c>
      <c r="C3226" s="2" t="str">
        <f ca="1">IFERROR(__xludf.DUMMYFUNCTION("""COMPUTED_VALUE"""),"Neighbourhood")</f>
        <v>Neighbourhood</v>
      </c>
      <c r="D3226" s="2" t="str">
        <f ca="1">IFERROR(__xludf.DUMMYFUNCTION("""COMPUTED_VALUE"""),"Abu Dhabi&gt;Khalifa City&gt;Complex 16")</f>
        <v>Abu Dhabi&gt;Khalifa City&gt;Complex 16</v>
      </c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</row>
    <row r="3227" spans="1:26" ht="16.5" x14ac:dyDescent="0.35">
      <c r="A3227" s="2" t="str">
        <f ca="1">IFERROR(__xludf.DUMMYFUNCTION("""COMPUTED_VALUE"""),"Abu Dhabi")</f>
        <v>Abu Dhabi</v>
      </c>
      <c r="B3227" s="2" t="str">
        <f ca="1">IFERROR(__xludf.DUMMYFUNCTION("""COMPUTED_VALUE"""),"SE2")</f>
        <v>SE2</v>
      </c>
      <c r="C3227" s="2" t="str">
        <f ca="1">IFERROR(__xludf.DUMMYFUNCTION("""COMPUTED_VALUE"""),"Neighbourhood")</f>
        <v>Neighbourhood</v>
      </c>
      <c r="D3227" s="2" t="str">
        <f ca="1">IFERROR(__xludf.DUMMYFUNCTION("""COMPUTED_VALUE"""),"Abu Dhabi&gt;Khalifa City&gt;SE2")</f>
        <v>Abu Dhabi&gt;Khalifa City&gt;SE2</v>
      </c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</row>
    <row r="3228" spans="1:26" ht="16.5" x14ac:dyDescent="0.35">
      <c r="A3228" s="2" t="str">
        <f ca="1">IFERROR(__xludf.DUMMYFUNCTION("""COMPUTED_VALUE"""),"Abu Dhabi")</f>
        <v>Abu Dhabi</v>
      </c>
      <c r="B3228" s="2" t="str">
        <f ca="1">IFERROR(__xludf.DUMMYFUNCTION("""COMPUTED_VALUE"""),"Abu Dhabi Plaza Tower")</f>
        <v>Abu Dhabi Plaza Tower</v>
      </c>
      <c r="C3228" s="2" t="str">
        <f ca="1">IFERROR(__xludf.DUMMYFUNCTION("""COMPUTED_VALUE"""),"Building")</f>
        <v>Building</v>
      </c>
      <c r="D3228" s="2" t="str">
        <f ca="1">IFERROR(__xludf.DUMMYFUNCTION("""COMPUTED_VALUE"""),"Abu Dhabi&gt;Al Markaziya&gt;Abu Dhabi Plaza Tower")</f>
        <v>Abu Dhabi&gt;Al Markaziya&gt;Abu Dhabi Plaza Tower</v>
      </c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</row>
    <row r="3229" spans="1:26" ht="16.5" x14ac:dyDescent="0.35">
      <c r="A3229" s="2" t="str">
        <f ca="1">IFERROR(__xludf.DUMMYFUNCTION("""COMPUTED_VALUE"""),"Abu Dhabi")</f>
        <v>Abu Dhabi</v>
      </c>
      <c r="B3229" s="2" t="str">
        <f ca="1">IFERROR(__xludf.DUMMYFUNCTION("""COMPUTED_VALUE"""),"Sidra Community")</f>
        <v>Sidra Community</v>
      </c>
      <c r="C3229" s="2" t="str">
        <f ca="1">IFERROR(__xludf.DUMMYFUNCTION("""COMPUTED_VALUE"""),"Neighbourhood")</f>
        <v>Neighbourhood</v>
      </c>
      <c r="D3229" s="2" t="str">
        <f ca="1">IFERROR(__xludf.DUMMYFUNCTION("""COMPUTED_VALUE"""),"Abu Dhabi&gt;Al Raha Gardens&gt;Sidra Community")</f>
        <v>Abu Dhabi&gt;Al Raha Gardens&gt;Sidra Community</v>
      </c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</row>
    <row r="3230" spans="1:26" ht="16.5" x14ac:dyDescent="0.35">
      <c r="A3230" s="2" t="str">
        <f ca="1">IFERROR(__xludf.DUMMYFUNCTION("""COMPUTED_VALUE"""),"Abu Dhabi")</f>
        <v>Abu Dhabi</v>
      </c>
      <c r="B3230" s="2" t="str">
        <f ca="1">IFERROR(__xludf.DUMMYFUNCTION("""COMPUTED_VALUE"""),"Mamsha Gardens")</f>
        <v>Mamsha Gardens</v>
      </c>
      <c r="C3230" s="2" t="str">
        <f ca="1">IFERROR(__xludf.DUMMYFUNCTION("""COMPUTED_VALUE"""),"Cluster")</f>
        <v>Cluster</v>
      </c>
      <c r="D3230" s="2" t="str">
        <f ca="1">IFERROR(__xludf.DUMMYFUNCTION("""COMPUTED_VALUE"""),"Abu Dhabi&gt;Saadiyat Island&gt;Saadiyat Cultural District&gt;Mamsha Gardens")</f>
        <v>Abu Dhabi&gt;Saadiyat Island&gt;Saadiyat Cultural District&gt;Mamsha Gardens</v>
      </c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</row>
    <row r="3231" spans="1:26" ht="16.5" x14ac:dyDescent="0.35">
      <c r="A3231" s="2" t="str">
        <f ca="1">IFERROR(__xludf.DUMMYFUNCTION("""COMPUTED_VALUE"""),"Abu Dhabi")</f>
        <v>Abu Dhabi</v>
      </c>
      <c r="B3231" s="2" t="str">
        <f ca="1">IFERROR(__xludf.DUMMYFUNCTION("""COMPUTED_VALUE"""),"Saadiyat Beach Residences Block 3")</f>
        <v>Saadiyat Beach Residences Block 3</v>
      </c>
      <c r="C3231" s="2" t="str">
        <f ca="1">IFERROR(__xludf.DUMMYFUNCTION("""COMPUTED_VALUE"""),"Building")</f>
        <v>Building</v>
      </c>
      <c r="D3231" s="2" t="str">
        <f ca="1">IFERROR(__xludf.DUMMYFUNCTION("""COMPUTED_VALUE"""),"Abu Dhabi&gt;Saadiyat Island&gt;Saadiyat Beach&gt;Saadiyat Beach Residences&gt;Saadiyat Beach Residences Block 3")</f>
        <v>Abu Dhabi&gt;Saadiyat Island&gt;Saadiyat Beach&gt;Saadiyat Beach Residences&gt;Saadiyat Beach Residences Block 3</v>
      </c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</row>
    <row r="3232" spans="1:26" ht="16.5" x14ac:dyDescent="0.35">
      <c r="A3232" s="2" t="str">
        <f ca="1">IFERROR(__xludf.DUMMYFUNCTION("""COMPUTED_VALUE"""),"Abu Dhabi")</f>
        <v>Abu Dhabi</v>
      </c>
      <c r="B3232" s="2" t="str">
        <f ca="1">IFERROR(__xludf.DUMMYFUNCTION("""COMPUTED_VALUE"""),"Solea Building A")</f>
        <v>Solea Building A</v>
      </c>
      <c r="C3232" s="2" t="str">
        <f ca="1">IFERROR(__xludf.DUMMYFUNCTION("""COMPUTED_VALUE"""),"Building")</f>
        <v>Building</v>
      </c>
      <c r="D3232" s="2" t="str">
        <f ca="1">IFERROR(__xludf.DUMMYFUNCTION("""COMPUTED_VALUE"""),"Abu Dhabi&gt;Saadiyat Island&gt;Solea&gt;Solea Building A")</f>
        <v>Abu Dhabi&gt;Saadiyat Island&gt;Solea&gt;Solea Building A</v>
      </c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</row>
    <row r="3233" spans="1:26" ht="16.5" x14ac:dyDescent="0.35">
      <c r="A3233" s="2" t="str">
        <f ca="1">IFERROR(__xludf.DUMMYFUNCTION("""COMPUTED_VALUE"""),"Abu Dhabi")</f>
        <v>Abu Dhabi</v>
      </c>
      <c r="B3233" s="2" t="str">
        <f ca="1">IFERROR(__xludf.DUMMYFUNCTION("""COMPUTED_VALUE"""),"Khor Al Raha")</f>
        <v>Khor Al Raha</v>
      </c>
      <c r="C3233" s="2" t="str">
        <f ca="1">IFERROR(__xludf.DUMMYFUNCTION("""COMPUTED_VALUE"""),"Neighbourhood")</f>
        <v>Neighbourhood</v>
      </c>
      <c r="D3233" s="2" t="str">
        <f ca="1">IFERROR(__xludf.DUMMYFUNCTION("""COMPUTED_VALUE"""),"Abu Dhabi&gt;Al Raha Beach&gt;Khor Al Raha")</f>
        <v>Abu Dhabi&gt;Al Raha Beach&gt;Khor Al Raha</v>
      </c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</row>
    <row r="3234" spans="1:26" ht="16.5" x14ac:dyDescent="0.35">
      <c r="A3234" s="2" t="str">
        <f ca="1">IFERROR(__xludf.DUMMYFUNCTION("""COMPUTED_VALUE"""),"Abu Dhabi")</f>
        <v>Abu Dhabi</v>
      </c>
      <c r="B3234" s="2" t="str">
        <f ca="1">IFERROR(__xludf.DUMMYFUNCTION("""COMPUTED_VALUE"""),"Al Maha 2")</f>
        <v>Al Maha 2</v>
      </c>
      <c r="C3234" s="2" t="str">
        <f ca="1">IFERROR(__xludf.DUMMYFUNCTION("""COMPUTED_VALUE"""),"Building")</f>
        <v>Building</v>
      </c>
      <c r="D3234" s="2" t="str">
        <f ca="1">IFERROR(__xludf.DUMMYFUNCTION("""COMPUTED_VALUE"""),"Abu Dhabi&gt;Al Raha Beach&gt;Al Muneera&gt;Al Maha&gt;Al Maha 2")</f>
        <v>Abu Dhabi&gt;Al Raha Beach&gt;Al Muneera&gt;Al Maha&gt;Al Maha 2</v>
      </c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</row>
    <row r="3235" spans="1:26" ht="16.5" x14ac:dyDescent="0.35">
      <c r="A3235" s="2" t="str">
        <f ca="1">IFERROR(__xludf.DUMMYFUNCTION("""COMPUTED_VALUE"""),"Abu Dhabi")</f>
        <v>Abu Dhabi</v>
      </c>
      <c r="B3235" s="2" t="str">
        <f ca="1">IFERROR(__xludf.DUMMYFUNCTION("""COMPUTED_VALUE"""),"Amwaj")</f>
        <v>Amwaj</v>
      </c>
      <c r="C3235" s="2" t="str">
        <f ca="1">IFERROR(__xludf.DUMMYFUNCTION("""COMPUTED_VALUE"""),"Cluster")</f>
        <v>Cluster</v>
      </c>
      <c r="D3235" s="2" t="str">
        <f ca="1">IFERROR(__xludf.DUMMYFUNCTION("""COMPUTED_VALUE"""),"Abu Dhabi&gt;Al Raha Beach&gt;Amwaj")</f>
        <v>Abu Dhabi&gt;Al Raha Beach&gt;Amwaj</v>
      </c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</row>
    <row r="3236" spans="1:26" ht="16.5" x14ac:dyDescent="0.35">
      <c r="A3236" s="2" t="str">
        <f ca="1">IFERROR(__xludf.DUMMYFUNCTION("""COMPUTED_VALUE"""),"Abu Dhabi")</f>
        <v>Abu Dhabi</v>
      </c>
      <c r="B3236" s="2" t="str">
        <f ca="1">IFERROR(__xludf.DUMMYFUNCTION("""COMPUTED_VALUE"""),"Al Nasr Tower")</f>
        <v>Al Nasr Tower</v>
      </c>
      <c r="C3236" s="2" t="str">
        <f ca="1">IFERROR(__xludf.DUMMYFUNCTION("""COMPUTED_VALUE"""),"Building")</f>
        <v>Building</v>
      </c>
      <c r="D3236" s="2" t="str">
        <f ca="1">IFERROR(__xludf.DUMMYFUNCTION("""COMPUTED_VALUE"""),"Abu Dhabi&gt;Danet Abu Dhabi&gt;Al Nasr Tower")</f>
        <v>Abu Dhabi&gt;Danet Abu Dhabi&gt;Al Nasr Tower</v>
      </c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</row>
    <row r="3237" spans="1:26" ht="16.5" x14ac:dyDescent="0.35">
      <c r="A3237" s="2" t="str">
        <f ca="1">IFERROR(__xludf.DUMMYFUNCTION("""COMPUTED_VALUE"""),"Abu Dhabi")</f>
        <v>Abu Dhabi</v>
      </c>
      <c r="B3237" s="2" t="str">
        <f ca="1">IFERROR(__xludf.DUMMYFUNCTION("""COMPUTED_VALUE"""),"Khalifa Park Tower")</f>
        <v>Khalifa Park Tower</v>
      </c>
      <c r="C3237" s="2"/>
      <c r="D3237" s="2" t="str">
        <f ca="1">IFERROR(__xludf.DUMMYFUNCTION("""COMPUTED_VALUE"""),"Abu Dhabi&gt;Al Salam Street&gt;Khalifa Park Tower")</f>
        <v>Abu Dhabi&gt;Al Salam Street&gt;Khalifa Park Tower</v>
      </c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</row>
    <row r="3238" spans="1:26" ht="16.5" x14ac:dyDescent="0.35">
      <c r="A3238" s="2" t="str">
        <f ca="1">IFERROR(__xludf.DUMMYFUNCTION("""COMPUTED_VALUE"""),"Abu Dhabi")</f>
        <v>Abu Dhabi</v>
      </c>
      <c r="B3238" s="2" t="str">
        <f ca="1">IFERROR(__xludf.DUMMYFUNCTION("""COMPUTED_VALUE"""),"Zone 8")</f>
        <v>Zone 8</v>
      </c>
      <c r="C3238" s="2" t="str">
        <f ca="1">IFERROR(__xludf.DUMMYFUNCTION("""COMPUTED_VALUE"""),"Neighbourhood")</f>
        <v>Neighbourhood</v>
      </c>
      <c r="D3238" s="2" t="str">
        <f ca="1">IFERROR(__xludf.DUMMYFUNCTION("""COMPUTED_VALUE"""),"Abu Dhabi&gt;Mohamed Bin Zayed City&gt;Zone 8")</f>
        <v>Abu Dhabi&gt;Mohamed Bin Zayed City&gt;Zone 8</v>
      </c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</row>
    <row r="3239" spans="1:26" ht="16.5" x14ac:dyDescent="0.35">
      <c r="A3239" s="2" t="str">
        <f ca="1">IFERROR(__xludf.DUMMYFUNCTION("""COMPUTED_VALUE"""),"Abu Dhabi")</f>
        <v>Abu Dhabi</v>
      </c>
      <c r="B3239" s="2" t="str">
        <f ca="1">IFERROR(__xludf.DUMMYFUNCTION("""COMPUTED_VALUE"""),"Zone 14")</f>
        <v>Zone 14</v>
      </c>
      <c r="C3239" s="2" t="str">
        <f ca="1">IFERROR(__xludf.DUMMYFUNCTION("""COMPUTED_VALUE"""),"Neighbourhood")</f>
        <v>Neighbourhood</v>
      </c>
      <c r="D3239" s="2" t="str">
        <f ca="1">IFERROR(__xludf.DUMMYFUNCTION("""COMPUTED_VALUE"""),"Abu Dhabi&gt;Mohamed Bin Zayed City&gt;Zone 14")</f>
        <v>Abu Dhabi&gt;Mohamed Bin Zayed City&gt;Zone 14</v>
      </c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</row>
    <row r="3240" spans="1:26" ht="16.5" x14ac:dyDescent="0.35">
      <c r="A3240" s="2" t="str">
        <f ca="1">IFERROR(__xludf.DUMMYFUNCTION("""COMPUTED_VALUE"""),"Abu Dhabi")</f>
        <v>Abu Dhabi</v>
      </c>
      <c r="B3240" s="2" t="str">
        <f ca="1">IFERROR(__xludf.DUMMYFUNCTION("""COMPUTED_VALUE"""),"Building 31")</f>
        <v>Building 31</v>
      </c>
      <c r="C3240" s="2" t="str">
        <f ca="1">IFERROR(__xludf.DUMMYFUNCTION("""COMPUTED_VALUE"""),"Building")</f>
        <v>Building</v>
      </c>
      <c r="D3240" s="2" t="str">
        <f ca="1">IFERROR(__xludf.DUMMYFUNCTION("""COMPUTED_VALUE"""),"Abu Dhabi&gt;Al Reef&gt;Al Reef Downtown&gt;Building 31")</f>
        <v>Abu Dhabi&gt;Al Reef&gt;Al Reef Downtown&gt;Building 31</v>
      </c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</row>
    <row r="3241" spans="1:26" ht="16.5" x14ac:dyDescent="0.35">
      <c r="A3241" s="2" t="str">
        <f ca="1">IFERROR(__xludf.DUMMYFUNCTION("""COMPUTED_VALUE"""),"Abu Dhabi")</f>
        <v>Abu Dhabi</v>
      </c>
      <c r="B3241" s="2" t="str">
        <f ca="1">IFERROR(__xludf.DUMMYFUNCTION("""COMPUTED_VALUE"""),"Building 23")</f>
        <v>Building 23</v>
      </c>
      <c r="C3241" s="2" t="str">
        <f ca="1">IFERROR(__xludf.DUMMYFUNCTION("""COMPUTED_VALUE"""),"Building")</f>
        <v>Building</v>
      </c>
      <c r="D3241" s="2" t="str">
        <f ca="1">IFERROR(__xludf.DUMMYFUNCTION("""COMPUTED_VALUE"""),"Abu Dhabi&gt;Al Reef&gt;Al Reef Downtown&gt;Building 23")</f>
        <v>Abu Dhabi&gt;Al Reef&gt;Al Reef Downtown&gt;Building 23</v>
      </c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</row>
    <row r="3242" spans="1:26" ht="16.5" x14ac:dyDescent="0.35">
      <c r="A3242" s="2" t="str">
        <f ca="1">IFERROR(__xludf.DUMMYFUNCTION("""COMPUTED_VALUE"""),"Abu Dhabi")</f>
        <v>Abu Dhabi</v>
      </c>
      <c r="B3242" s="2" t="str">
        <f ca="1">IFERROR(__xludf.DUMMYFUNCTION("""COMPUTED_VALUE"""),"Sheikh Khalifa Bin Zayed Street")</f>
        <v>Sheikh Khalifa Bin Zayed Street</v>
      </c>
      <c r="C3242" s="2" t="str">
        <f ca="1">IFERROR(__xludf.DUMMYFUNCTION("""COMPUTED_VALUE"""),"Neighbourhood")</f>
        <v>Neighbourhood</v>
      </c>
      <c r="D3242" s="2" t="str">
        <f ca="1">IFERROR(__xludf.DUMMYFUNCTION("""COMPUTED_VALUE"""),"Abu Dhabi&gt;Sheikh Khalifa Bin Zayed Street")</f>
        <v>Abu Dhabi&gt;Sheikh Khalifa Bin Zayed Street</v>
      </c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</row>
    <row r="3243" spans="1:26" ht="16.5" x14ac:dyDescent="0.35">
      <c r="A3243" s="2" t="str">
        <f ca="1">IFERROR(__xludf.DUMMYFUNCTION("""COMPUTED_VALUE"""),"Abu Dhabi")</f>
        <v>Abu Dhabi</v>
      </c>
      <c r="B3243" s="2" t="str">
        <f ca="1">IFERROR(__xludf.DUMMYFUNCTION("""COMPUTED_VALUE"""),"Hills Abu Dhabi")</f>
        <v>Hills Abu Dhabi</v>
      </c>
      <c r="C3243" s="2" t="str">
        <f ca="1">IFERROR(__xludf.DUMMYFUNCTION("""COMPUTED_VALUE"""),"Neighbourhood")</f>
        <v>Neighbourhood</v>
      </c>
      <c r="D3243" s="2" t="str">
        <f ca="1">IFERROR(__xludf.DUMMYFUNCTION("""COMPUTED_VALUE"""),"Abu Dhabi&gt;Al Maqtaa&gt;Hills Abu Dhabi")</f>
        <v>Abu Dhabi&gt;Al Maqtaa&gt;Hills Abu Dhabi</v>
      </c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</row>
    <row r="3244" spans="1:26" ht="16.5" x14ac:dyDescent="0.35">
      <c r="A3244" s="2" t="str">
        <f ca="1">IFERROR(__xludf.DUMMYFUNCTION("""COMPUTED_VALUE"""),"Abu Dhabi")</f>
        <v>Abu Dhabi</v>
      </c>
      <c r="B3244" s="2" t="str">
        <f ca="1">IFERROR(__xludf.DUMMYFUNCTION("""COMPUTED_VALUE"""),"Icon Tower")</f>
        <v>Icon Tower</v>
      </c>
      <c r="C3244" s="2" t="str">
        <f ca="1">IFERROR(__xludf.DUMMYFUNCTION("""COMPUTED_VALUE"""),"Building")</f>
        <v>Building</v>
      </c>
      <c r="D3244" s="2" t="str">
        <f ca="1">IFERROR(__xludf.DUMMYFUNCTION("""COMPUTED_VALUE"""),"Abu Dhabi&gt;Yas Island&gt;Yas Bay&gt;Icon Tower")</f>
        <v>Abu Dhabi&gt;Yas Island&gt;Yas Bay&gt;Icon Tower</v>
      </c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</row>
    <row r="3245" spans="1:26" ht="16.5" x14ac:dyDescent="0.35">
      <c r="A3245" s="2" t="str">
        <f ca="1">IFERROR(__xludf.DUMMYFUNCTION("""COMPUTED_VALUE"""),"Abu Dhabi")</f>
        <v>Abu Dhabi</v>
      </c>
      <c r="B3245" s="2" t="str">
        <f ca="1">IFERROR(__xludf.DUMMYFUNCTION("""COMPUTED_VALUE"""),"Yas Golf Collection")</f>
        <v>Yas Golf Collection</v>
      </c>
      <c r="C3245" s="2" t="str">
        <f ca="1">IFERROR(__xludf.DUMMYFUNCTION("""COMPUTED_VALUE"""),"Cluster")</f>
        <v>Cluster</v>
      </c>
      <c r="D3245" s="2" t="str">
        <f ca="1">IFERROR(__xludf.DUMMYFUNCTION("""COMPUTED_VALUE"""),"Abu Dhabi&gt;Yas Island&gt;Yas Golf Collection")</f>
        <v>Abu Dhabi&gt;Yas Island&gt;Yas Golf Collection</v>
      </c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</row>
    <row r="3246" spans="1:26" ht="16.5" x14ac:dyDescent="0.35">
      <c r="A3246" s="2" t="str">
        <f ca="1">IFERROR(__xludf.DUMMYFUNCTION("""COMPUTED_VALUE"""),"Abu Dhabi")</f>
        <v>Abu Dhabi</v>
      </c>
      <c r="B3246" s="2" t="str">
        <f ca="1">IFERROR(__xludf.DUMMYFUNCTION("""COMPUTED_VALUE"""),"Yas Living I")</f>
        <v>Yas Living I</v>
      </c>
      <c r="C3246" s="2" t="str">
        <f ca="1">IFERROR(__xludf.DUMMYFUNCTION("""COMPUTED_VALUE"""),"Building")</f>
        <v>Building</v>
      </c>
      <c r="D3246" s="2" t="str">
        <f ca="1">IFERROR(__xludf.DUMMYFUNCTION("""COMPUTED_VALUE"""),"Abu Dhabi&gt;Yas Island&gt;Yas Living&gt;Yas Living I")</f>
        <v>Abu Dhabi&gt;Yas Island&gt;Yas Living&gt;Yas Living I</v>
      </c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</row>
    <row r="3247" spans="1:26" ht="16.5" x14ac:dyDescent="0.35">
      <c r="A3247" s="2" t="str">
        <f ca="1">IFERROR(__xludf.DUMMYFUNCTION("""COMPUTED_VALUE"""),"Abu Dhabi")</f>
        <v>Abu Dhabi</v>
      </c>
      <c r="B3247" s="2" t="str">
        <f ca="1">IFERROR(__xludf.DUMMYFUNCTION("""COMPUTED_VALUE"""),"SH21")</f>
        <v>SH21</v>
      </c>
      <c r="C3247" s="2" t="str">
        <f ca="1">IFERROR(__xludf.DUMMYFUNCTION("""COMPUTED_VALUE"""),"Neighbourhood")</f>
        <v>Neighbourhood</v>
      </c>
      <c r="D3247" s="2" t="str">
        <f ca="1">IFERROR(__xludf.DUMMYFUNCTION("""COMPUTED_VALUE"""),"Abu Dhabi&gt;Al Shamkha&gt;SH21")</f>
        <v>Abu Dhabi&gt;Al Shamkha&gt;SH21</v>
      </c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</row>
    <row r="3248" spans="1:26" ht="16.5" x14ac:dyDescent="0.35">
      <c r="A3248" s="2" t="str">
        <f ca="1">IFERROR(__xludf.DUMMYFUNCTION("""COMPUTED_VALUE"""),"Ajman")</f>
        <v>Ajman</v>
      </c>
      <c r="B3248" s="2" t="str">
        <f ca="1">IFERROR(__xludf.DUMMYFUNCTION("""COMPUTED_VALUE"""),"Geepas Building 2")</f>
        <v>Geepas Building 2</v>
      </c>
      <c r="C3248" s="2"/>
      <c r="D3248" s="2" t="str">
        <f ca="1">IFERROR(__xludf.DUMMYFUNCTION("""COMPUTED_VALUE"""),"Ajman&gt;Ajman Industrial&gt;Ajman Industrial 2&gt;Geepas Building 2")</f>
        <v>Ajman&gt;Ajman Industrial&gt;Ajman Industrial 2&gt;Geepas Building 2</v>
      </c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</row>
    <row r="3249" spans="1:26" ht="16.5" x14ac:dyDescent="0.35">
      <c r="A3249" s="2" t="str">
        <f ca="1">IFERROR(__xludf.DUMMYFUNCTION("""COMPUTED_VALUE"""),"Ajman")</f>
        <v>Ajman</v>
      </c>
      <c r="B3249" s="2" t="str">
        <f ca="1">IFERROR(__xludf.DUMMYFUNCTION("""COMPUTED_VALUE"""),"Goldcrest Dreams Tower B")</f>
        <v>Goldcrest Dreams Tower B</v>
      </c>
      <c r="C3249" s="2" t="str">
        <f ca="1">IFERROR(__xludf.DUMMYFUNCTION("""COMPUTED_VALUE"""),"Building")</f>
        <v>Building</v>
      </c>
      <c r="D3249" s="2" t="str">
        <f ca="1">IFERROR(__xludf.DUMMYFUNCTION("""COMPUTED_VALUE"""),"Ajman&gt;Emirates City&gt;Goldcrest Dream Towers&gt;Goldcrest Dreams Tower B")</f>
        <v>Ajman&gt;Emirates City&gt;Goldcrest Dream Towers&gt;Goldcrest Dreams Tower B</v>
      </c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</row>
    <row r="3250" spans="1:26" ht="16.5" x14ac:dyDescent="0.35">
      <c r="A3250" s="2" t="str">
        <f ca="1">IFERROR(__xludf.DUMMYFUNCTION("""COMPUTED_VALUE"""),"Ajman")</f>
        <v>Ajman</v>
      </c>
      <c r="B3250" s="2" t="str">
        <f ca="1">IFERROR(__xludf.DUMMYFUNCTION("""COMPUTED_VALUE"""),"Emirates Pearls")</f>
        <v>Emirates Pearls</v>
      </c>
      <c r="C3250" s="2" t="str">
        <f ca="1">IFERROR(__xludf.DUMMYFUNCTION("""COMPUTED_VALUE"""),"Building")</f>
        <v>Building</v>
      </c>
      <c r="D3250" s="2" t="str">
        <f ca="1">IFERROR(__xludf.DUMMYFUNCTION("""COMPUTED_VALUE"""),"Ajman&gt;Emirates City&gt;Emirates Pearls")</f>
        <v>Ajman&gt;Emirates City&gt;Emirates Pearls</v>
      </c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</row>
    <row r="3251" spans="1:26" ht="16.5" x14ac:dyDescent="0.35">
      <c r="A3251" s="2" t="str">
        <f ca="1">IFERROR(__xludf.DUMMYFUNCTION("""COMPUTED_VALUE"""),"Ajman")</f>
        <v>Ajman</v>
      </c>
      <c r="B3251" s="2" t="str">
        <f ca="1">IFERROR(__xludf.DUMMYFUNCTION("""COMPUTED_VALUE"""),"Al Jurf Industrial 3")</f>
        <v>Al Jurf Industrial 3</v>
      </c>
      <c r="C3251" s="2" t="str">
        <f ca="1">IFERROR(__xludf.DUMMYFUNCTION("""COMPUTED_VALUE"""),"Neighbourhood")</f>
        <v>Neighbourhood</v>
      </c>
      <c r="D3251" s="2" t="str">
        <f ca="1">IFERROR(__xludf.DUMMYFUNCTION("""COMPUTED_VALUE"""),"Ajman&gt;Al Jurf&gt;Al Jurf Industrial Area&gt;Al Jurf Industrial 3")</f>
        <v>Ajman&gt;Al Jurf&gt;Al Jurf Industrial Area&gt;Al Jurf Industrial 3</v>
      </c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</row>
    <row r="3252" spans="1:26" ht="16.5" x14ac:dyDescent="0.35">
      <c r="A3252" s="2" t="str">
        <f ca="1">IFERROR(__xludf.DUMMYFUNCTION("""COMPUTED_VALUE"""),"Ajman")</f>
        <v>Ajman</v>
      </c>
      <c r="B3252" s="2" t="str">
        <f ca="1">IFERROR(__xludf.DUMMYFUNCTION("""COMPUTED_VALUE"""),"Erica 2")</f>
        <v>Erica 2</v>
      </c>
      <c r="C3252" s="2" t="str">
        <f ca="1">IFERROR(__xludf.DUMMYFUNCTION("""COMPUTED_VALUE"""),"Neighbourhood")</f>
        <v>Neighbourhood</v>
      </c>
      <c r="D3252" s="2" t="str">
        <f ca="1">IFERROR(__xludf.DUMMYFUNCTION("""COMPUTED_VALUE"""),"Ajman&gt;Ajman Uptown&gt;Erica 2")</f>
        <v>Ajman&gt;Ajman Uptown&gt;Erica 2</v>
      </c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</row>
    <row r="3253" spans="1:26" ht="16.5" x14ac:dyDescent="0.35">
      <c r="A3253" s="2" t="str">
        <f ca="1">IFERROR(__xludf.DUMMYFUNCTION("""COMPUTED_VALUE"""),"Ajman")</f>
        <v>Ajman</v>
      </c>
      <c r="B3253" s="2" t="str">
        <f ca="1">IFERROR(__xludf.DUMMYFUNCTION("""COMPUTED_VALUE"""),"Falcon A4")</f>
        <v>Falcon A4</v>
      </c>
      <c r="C3253" s="2" t="str">
        <f ca="1">IFERROR(__xludf.DUMMYFUNCTION("""COMPUTED_VALUE"""),"Building")</f>
        <v>Building</v>
      </c>
      <c r="D3253" s="2" t="str">
        <f ca="1">IFERROR(__xludf.DUMMYFUNCTION("""COMPUTED_VALUE"""),"Ajman&gt;Al Rashidiya&gt;Al Rashidiya 2&gt;Falcon Towers&gt;Falcon A4")</f>
        <v>Ajman&gt;Al Rashidiya&gt;Al Rashidiya 2&gt;Falcon Towers&gt;Falcon A4</v>
      </c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</row>
    <row r="3254" spans="1:26" ht="16.5" x14ac:dyDescent="0.35">
      <c r="A3254" s="2" t="str">
        <f ca="1">IFERROR(__xludf.DUMMYFUNCTION("""COMPUTED_VALUE"""),"Ajman")</f>
        <v>Ajman</v>
      </c>
      <c r="B3254" s="2" t="str">
        <f ca="1">IFERROR(__xludf.DUMMYFUNCTION("""COMPUTED_VALUE"""),"Andalus 4 Building")</f>
        <v>Andalus 4 Building</v>
      </c>
      <c r="C3254" s="2" t="str">
        <f ca="1">IFERROR(__xludf.DUMMYFUNCTION("""COMPUTED_VALUE"""),"Building")</f>
        <v>Building</v>
      </c>
      <c r="D3254" s="2" t="str">
        <f ca="1">IFERROR(__xludf.DUMMYFUNCTION("""COMPUTED_VALUE"""),"Ajman&gt;Al Rashidiya&gt;Al Rashidiya 3&gt;Andalus 4 Building")</f>
        <v>Ajman&gt;Al Rashidiya&gt;Al Rashidiya 3&gt;Andalus 4 Building</v>
      </c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</row>
    <row r="3255" spans="1:26" ht="16.5" x14ac:dyDescent="0.35">
      <c r="A3255" s="2" t="str">
        <f ca="1">IFERROR(__xludf.DUMMYFUNCTION("""COMPUTED_VALUE"""),"Ajman")</f>
        <v>Ajman</v>
      </c>
      <c r="B3255" s="2" t="str">
        <f ca="1">IFERROR(__xludf.DUMMYFUNCTION("""COMPUTED_VALUE"""),"One 678 Residences")</f>
        <v>One 678 Residences</v>
      </c>
      <c r="C3255" s="2" t="str">
        <f ca="1">IFERROR(__xludf.DUMMYFUNCTION("""COMPUTED_VALUE"""),"Building")</f>
        <v>Building</v>
      </c>
      <c r="D3255" s="2" t="str">
        <f ca="1">IFERROR(__xludf.DUMMYFUNCTION("""COMPUTED_VALUE"""),"Ajman&gt;Al Helio&gt;Al Helio Downtown&gt;One 678 Residences")</f>
        <v>Ajman&gt;Al Helio&gt;Al Helio Downtown&gt;One 678 Residences</v>
      </c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</row>
    <row r="3256" spans="1:26" ht="16.5" x14ac:dyDescent="0.35">
      <c r="A3256" s="2" t="str">
        <f ca="1">IFERROR(__xludf.DUMMYFUNCTION("""COMPUTED_VALUE"""),"Ajman")</f>
        <v>Ajman</v>
      </c>
      <c r="B3256" s="2" t="str">
        <f ca="1">IFERROR(__xludf.DUMMYFUNCTION("""COMPUTED_VALUE"""),"Royal Lake Front")</f>
        <v>Royal Lake Front</v>
      </c>
      <c r="C3256" s="2"/>
      <c r="D3256" s="2" t="str">
        <f ca="1">IFERROR(__xludf.DUMMYFUNCTION("""COMPUTED_VALUE"""),"Ajman&gt;Emirates Lake Towers&gt;Royal Lake Front")</f>
        <v>Ajman&gt;Emirates Lake Towers&gt;Royal Lake Front</v>
      </c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</row>
    <row r="3257" spans="1:26" ht="16.5" x14ac:dyDescent="0.35">
      <c r="A3257" s="2" t="str">
        <f ca="1">IFERROR(__xludf.DUMMYFUNCTION("""COMPUTED_VALUE"""),"Ajman")</f>
        <v>Ajman</v>
      </c>
      <c r="B3257" s="2" t="str">
        <f ca="1">IFERROR(__xludf.DUMMYFUNCTION("""COMPUTED_VALUE"""),"Glam Residence")</f>
        <v>Glam Residence</v>
      </c>
      <c r="C3257" s="2" t="str">
        <f ca="1">IFERROR(__xludf.DUMMYFUNCTION("""COMPUTED_VALUE"""),"Building")</f>
        <v>Building</v>
      </c>
      <c r="D3257" s="2" t="str">
        <f ca="1">IFERROR(__xludf.DUMMYFUNCTION("""COMPUTED_VALUE"""),"Ajman&gt;Al Zorah&gt;Golf Estates&gt;Glam Residence")</f>
        <v>Ajman&gt;Al Zorah&gt;Golf Estates&gt;Glam Residence</v>
      </c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</row>
    <row r="3258" spans="1:26" ht="16.5" x14ac:dyDescent="0.35">
      <c r="A3258" s="2" t="str">
        <f ca="1">IFERROR(__xludf.DUMMYFUNCTION("""COMPUTED_VALUE"""),"Ajman")</f>
        <v>Ajman</v>
      </c>
      <c r="B3258" s="2" t="str">
        <f ca="1">IFERROR(__xludf.DUMMYFUNCTION("""COMPUTED_VALUE"""),"Springfield Residences")</f>
        <v>Springfield Residences</v>
      </c>
      <c r="C3258" s="2" t="str">
        <f ca="1">IFERROR(__xludf.DUMMYFUNCTION("""COMPUTED_VALUE"""),"Building")</f>
        <v>Building</v>
      </c>
      <c r="D3258" s="2" t="str">
        <f ca="1">IFERROR(__xludf.DUMMYFUNCTION("""COMPUTED_VALUE"""),"Ajman&gt;Al Humaid City&gt;Springfield Residences")</f>
        <v>Ajman&gt;Al Humaid City&gt;Springfield Residences</v>
      </c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</row>
    <row r="3259" spans="1:26" ht="16.5" x14ac:dyDescent="0.35">
      <c r="A3259" s="2" t="str">
        <f ca="1">IFERROR(__xludf.DUMMYFUNCTION("""COMPUTED_VALUE"""),"Ajman")</f>
        <v>Ajman</v>
      </c>
      <c r="B3259" s="2" t="str">
        <f ca="1">IFERROR(__xludf.DUMMYFUNCTION("""COMPUTED_VALUE"""),"Ajman Meadows")</f>
        <v>Ajman Meadows</v>
      </c>
      <c r="C3259" s="2"/>
      <c r="D3259" s="2" t="str">
        <f ca="1">IFERROR(__xludf.DUMMYFUNCTION("""COMPUTED_VALUE"""),"Ajman&gt;Ajman Meadows")</f>
        <v>Ajman&gt;Ajman Meadows</v>
      </c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</row>
    <row r="3260" spans="1:26" ht="16.5" x14ac:dyDescent="0.35">
      <c r="A3260" s="2" t="str">
        <f ca="1">IFERROR(__xludf.DUMMYFUNCTION("""COMPUTED_VALUE"""),"Ajman")</f>
        <v>Ajman</v>
      </c>
      <c r="B3260" s="2" t="str">
        <f ca="1">IFERROR(__xludf.DUMMYFUNCTION("""COMPUTED_VALUE"""),"Al Mahmoud Building")</f>
        <v>Al Mahmoud Building</v>
      </c>
      <c r="C3260" s="2"/>
      <c r="D3260" s="2" t="str">
        <f ca="1">IFERROR(__xludf.DUMMYFUNCTION("""COMPUTED_VALUE"""),"Ajman&gt;Al Nuaimiya&gt;Al Nuaimiya 3&gt;Al Mahmoud Building")</f>
        <v>Ajman&gt;Al Nuaimiya&gt;Al Nuaimiya 3&gt;Al Mahmoud Building</v>
      </c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</row>
    <row r="3261" spans="1:26" ht="16.5" x14ac:dyDescent="0.35">
      <c r="A3261" s="2" t="str">
        <f ca="1">IFERROR(__xludf.DUMMYFUNCTION("""COMPUTED_VALUE"""),"Sharjah")</f>
        <v>Sharjah</v>
      </c>
      <c r="B3261" s="2" t="str">
        <f ca="1">IFERROR(__xludf.DUMMYFUNCTION("""COMPUTED_VALUE"""),"Sharjah")</f>
        <v>Sharjah</v>
      </c>
      <c r="C3261" s="2" t="str">
        <f ca="1">IFERROR(__xludf.DUMMYFUNCTION("""COMPUTED_VALUE"""),"Emirate")</f>
        <v>Emirate</v>
      </c>
      <c r="D3261" s="2" t="str">
        <f ca="1">IFERROR(__xludf.DUMMYFUNCTION("""COMPUTED_VALUE"""),"Sharjah")</f>
        <v>Sharjah</v>
      </c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</row>
    <row r="3262" spans="1:26" ht="16.5" x14ac:dyDescent="0.35">
      <c r="A3262" s="2" t="str">
        <f ca="1">IFERROR(__xludf.DUMMYFUNCTION("""COMPUTED_VALUE"""),"Sharjah")</f>
        <v>Sharjah</v>
      </c>
      <c r="B3262" s="2" t="str">
        <f ca="1">IFERROR(__xludf.DUMMYFUNCTION("""COMPUTED_VALUE"""),"Ahlam Building")</f>
        <v>Ahlam Building</v>
      </c>
      <c r="C3262" s="2" t="str">
        <f ca="1">IFERROR(__xludf.DUMMYFUNCTION("""COMPUTED_VALUE"""),"Building")</f>
        <v>Building</v>
      </c>
      <c r="D3262" s="2" t="str">
        <f ca="1">IFERROR(__xludf.DUMMYFUNCTION("""COMPUTED_VALUE"""),"Sharjah&gt;Al Nahda (Sharjah)&gt;Ahlam Building")</f>
        <v>Sharjah&gt;Al Nahda (Sharjah)&gt;Ahlam Building</v>
      </c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</row>
    <row r="3263" spans="1:26" ht="16.5" x14ac:dyDescent="0.35">
      <c r="A3263" s="2" t="str">
        <f ca="1">IFERROR(__xludf.DUMMYFUNCTION("""COMPUTED_VALUE"""),"Sharjah")</f>
        <v>Sharjah</v>
      </c>
      <c r="B3263" s="2" t="str">
        <f ca="1">IFERROR(__xludf.DUMMYFUNCTION("""COMPUTED_VALUE"""),"Al Kawsar Tower")</f>
        <v>Al Kawsar Tower</v>
      </c>
      <c r="C3263" s="2" t="str">
        <f ca="1">IFERROR(__xludf.DUMMYFUNCTION("""COMPUTED_VALUE"""),"Building")</f>
        <v>Building</v>
      </c>
      <c r="D3263" s="2" t="str">
        <f ca="1">IFERROR(__xludf.DUMMYFUNCTION("""COMPUTED_VALUE"""),"Sharjah&gt;Al Nahda (Sharjah)&gt;Al Kawsar Tower")</f>
        <v>Sharjah&gt;Al Nahda (Sharjah)&gt;Al Kawsar Tower</v>
      </c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</row>
    <row r="3264" spans="1:26" ht="16.5" x14ac:dyDescent="0.35">
      <c r="A3264" s="2" t="str">
        <f ca="1">IFERROR(__xludf.DUMMYFUNCTION("""COMPUTED_VALUE"""),"Sharjah")</f>
        <v>Sharjah</v>
      </c>
      <c r="B3264" s="2" t="str">
        <f ca="1">IFERROR(__xludf.DUMMYFUNCTION("""COMPUTED_VALUE"""),"Bin Saifan Tower")</f>
        <v>Bin Saifan Tower</v>
      </c>
      <c r="C3264" s="2"/>
      <c r="D3264" s="2" t="str">
        <f ca="1">IFERROR(__xludf.DUMMYFUNCTION("""COMPUTED_VALUE"""),"Sharjah&gt;Al Nahda (Sharjah)&gt;Bin Saifan Tower")</f>
        <v>Sharjah&gt;Al Nahda (Sharjah)&gt;Bin Saifan Tower</v>
      </c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</row>
    <row r="3265" spans="1:26" ht="16.5" x14ac:dyDescent="0.35">
      <c r="A3265" s="2" t="str">
        <f ca="1">IFERROR(__xludf.DUMMYFUNCTION("""COMPUTED_VALUE"""),"Sharjah")</f>
        <v>Sharjah</v>
      </c>
      <c r="B3265" s="2" t="str">
        <f ca="1">IFERROR(__xludf.DUMMYFUNCTION("""COMPUTED_VALUE"""),"Al Taawun Tower")</f>
        <v>Al Taawun Tower</v>
      </c>
      <c r="C3265" s="2" t="str">
        <f ca="1">IFERROR(__xludf.DUMMYFUNCTION("""COMPUTED_VALUE"""),"Building")</f>
        <v>Building</v>
      </c>
      <c r="D3265" s="2" t="str">
        <f ca="1">IFERROR(__xludf.DUMMYFUNCTION("""COMPUTED_VALUE"""),"Sharjah&gt;Al Nahda (Sharjah)&gt;Al Taawun Tower")</f>
        <v>Sharjah&gt;Al Nahda (Sharjah)&gt;Al Taawun Tower</v>
      </c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</row>
    <row r="3266" spans="1:26" ht="16.5" x14ac:dyDescent="0.35">
      <c r="A3266" s="2" t="str">
        <f ca="1">IFERROR(__xludf.DUMMYFUNCTION("""COMPUTED_VALUE"""),"Sharjah")</f>
        <v>Sharjah</v>
      </c>
      <c r="B3266" s="2" t="str">
        <f ca="1">IFERROR(__xludf.DUMMYFUNCTION("""COMPUTED_VALUE"""),"Al Bataeh")</f>
        <v>Al Bataeh</v>
      </c>
      <c r="C3266" s="2" t="str">
        <f ca="1">IFERROR(__xludf.DUMMYFUNCTION("""COMPUTED_VALUE"""),"Neighbourhood")</f>
        <v>Neighbourhood</v>
      </c>
      <c r="D3266" s="2" t="str">
        <f ca="1">IFERROR(__xludf.DUMMYFUNCTION("""COMPUTED_VALUE"""),"Sharjah&gt;Al Bataeh")</f>
        <v>Sharjah&gt;Al Bataeh</v>
      </c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</row>
    <row r="3267" spans="1:26" ht="16.5" x14ac:dyDescent="0.35">
      <c r="A3267" s="2" t="str">
        <f ca="1">IFERROR(__xludf.DUMMYFUNCTION("""COMPUTED_VALUE"""),"Sharjah")</f>
        <v>Sharjah</v>
      </c>
      <c r="B3267" s="2" t="str">
        <f ca="1">IFERROR(__xludf.DUMMYFUNCTION("""COMPUTED_VALUE"""),"The Solo 2")</f>
        <v>The Solo 2</v>
      </c>
      <c r="C3267" s="2" t="str">
        <f ca="1">IFERROR(__xludf.DUMMYFUNCTION("""COMPUTED_VALUE"""),"Building")</f>
        <v>Building</v>
      </c>
      <c r="D3267" s="2" t="str">
        <f ca="1">IFERROR(__xludf.DUMMYFUNCTION("""COMPUTED_VALUE"""),"Sharjah&gt;Aljada&gt;East Village&gt;The Solo&gt;The Solo 2")</f>
        <v>Sharjah&gt;Aljada&gt;East Village&gt;The Solo&gt;The Solo 2</v>
      </c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</row>
    <row r="3268" spans="1:26" ht="16.5" x14ac:dyDescent="0.35">
      <c r="A3268" s="2" t="str">
        <f ca="1">IFERROR(__xludf.DUMMYFUNCTION("""COMPUTED_VALUE"""),"Sharjah")</f>
        <v>Sharjah</v>
      </c>
      <c r="B3268" s="2" t="str">
        <f ca="1">IFERROR(__xludf.DUMMYFUNCTION("""COMPUTED_VALUE"""),"Areej 1")</f>
        <v>Areej 1</v>
      </c>
      <c r="C3268" s="2" t="str">
        <f ca="1">IFERROR(__xludf.DUMMYFUNCTION("""COMPUTED_VALUE"""),"Building")</f>
        <v>Building</v>
      </c>
      <c r="D3268" s="2" t="str">
        <f ca="1">IFERROR(__xludf.DUMMYFUNCTION("""COMPUTED_VALUE"""),"Sharjah&gt;Aljada&gt;Areej Apartments&gt;Areej 1")</f>
        <v>Sharjah&gt;Aljada&gt;Areej Apartments&gt;Areej 1</v>
      </c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</row>
    <row r="3269" spans="1:26" ht="16.5" x14ac:dyDescent="0.35">
      <c r="A3269" s="2" t="str">
        <f ca="1">IFERROR(__xludf.DUMMYFUNCTION("""COMPUTED_VALUE"""),"Sharjah")</f>
        <v>Sharjah</v>
      </c>
      <c r="B3269" s="2" t="str">
        <f ca="1">IFERROR(__xludf.DUMMYFUNCTION("""COMPUTED_VALUE"""),"Lead")</f>
        <v>Lead</v>
      </c>
      <c r="C3269" s="2" t="str">
        <f ca="1">IFERROR(__xludf.DUMMYFUNCTION("""COMPUTED_VALUE"""),"Building")</f>
        <v>Building</v>
      </c>
      <c r="D3269" s="2" t="str">
        <f ca="1">IFERROR(__xludf.DUMMYFUNCTION("""COMPUTED_VALUE"""),"Sharjah&gt;Aljada&gt;Arada Central Business District&gt;Lead")</f>
        <v>Sharjah&gt;Aljada&gt;Arada Central Business District&gt;Lead</v>
      </c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</row>
    <row r="3270" spans="1:26" ht="16.5" x14ac:dyDescent="0.35">
      <c r="A3270" s="2" t="str">
        <f ca="1">IFERROR(__xludf.DUMMYFUNCTION("""COMPUTED_VALUE"""),"Sharjah")</f>
        <v>Sharjah</v>
      </c>
      <c r="B3270" s="2" t="str">
        <f ca="1">IFERROR(__xludf.DUMMYFUNCTION("""COMPUTED_VALUE"""),"SBS B2 Building")</f>
        <v>SBS B2 Building</v>
      </c>
      <c r="C3270" s="2" t="str">
        <f ca="1">IFERROR(__xludf.DUMMYFUNCTION("""COMPUTED_VALUE"""),"Building")</f>
        <v>Building</v>
      </c>
      <c r="D3270" s="2" t="str">
        <f ca="1">IFERROR(__xludf.DUMMYFUNCTION("""COMPUTED_VALUE"""),"Sharjah&gt;Abu Shagara&gt;SBS B2 Building")</f>
        <v>Sharjah&gt;Abu Shagara&gt;SBS B2 Building</v>
      </c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</row>
    <row r="3271" spans="1:26" ht="16.5" x14ac:dyDescent="0.35">
      <c r="A3271" s="2" t="str">
        <f ca="1">IFERROR(__xludf.DUMMYFUNCTION("""COMPUTED_VALUE"""),"Sharjah")</f>
        <v>Sharjah</v>
      </c>
      <c r="B3271" s="2" t="str">
        <f ca="1">IFERROR(__xludf.DUMMYFUNCTION("""COMPUTED_VALUE"""),"Shaq 1.2 Building")</f>
        <v>Shaq 1.2 Building</v>
      </c>
      <c r="C3271" s="2"/>
      <c r="D3271" s="2" t="str">
        <f ca="1">IFERROR(__xludf.DUMMYFUNCTION("""COMPUTED_VALUE"""),"Sharjah&gt;Abu Shagara&gt;Shaq 1.2 Building")</f>
        <v>Sharjah&gt;Abu Shagara&gt;Shaq 1.2 Building</v>
      </c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</row>
    <row r="3272" spans="1:26" ht="16.5" x14ac:dyDescent="0.35">
      <c r="A3272" s="2" t="str">
        <f ca="1">IFERROR(__xludf.DUMMYFUNCTION("""COMPUTED_VALUE"""),"Sharjah")</f>
        <v>Sharjah</v>
      </c>
      <c r="B3272" s="2" t="str">
        <f ca="1">IFERROR(__xludf.DUMMYFUNCTION("""COMPUTED_VALUE"""),"Sahab Al Emarat Tower")</f>
        <v>Sahab Al Emarat Tower</v>
      </c>
      <c r="C3272" s="2" t="str">
        <f ca="1">IFERROR(__xludf.DUMMYFUNCTION("""COMPUTED_VALUE"""),"Building")</f>
        <v>Building</v>
      </c>
      <c r="D3272" s="2" t="str">
        <f ca="1">IFERROR(__xludf.DUMMYFUNCTION("""COMPUTED_VALUE"""),"Sharjah&gt;Al Mamzar&gt;Sahab Al Emarat Tower")</f>
        <v>Sharjah&gt;Al Mamzar&gt;Sahab Al Emarat Tower</v>
      </c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</row>
    <row r="3273" spans="1:26" ht="16.5" x14ac:dyDescent="0.35">
      <c r="A3273" s="2" t="str">
        <f ca="1">IFERROR(__xludf.DUMMYFUNCTION("""COMPUTED_VALUE"""),"Sharjah")</f>
        <v>Sharjah</v>
      </c>
      <c r="B3273" s="2" t="str">
        <f ca="1">IFERROR(__xludf.DUMMYFUNCTION("""COMPUTED_VALUE"""),"Al Bafta 1")</f>
        <v>Al Bafta 1</v>
      </c>
      <c r="C3273" s="2"/>
      <c r="D3273" s="2" t="str">
        <f ca="1">IFERROR(__xludf.DUMMYFUNCTION("""COMPUTED_VALUE"""),"Sharjah&gt;Al Ghuwair&gt;Al Bafta 1")</f>
        <v>Sharjah&gt;Al Ghuwair&gt;Al Bafta 1</v>
      </c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</row>
    <row r="3274" spans="1:26" ht="16.5" x14ac:dyDescent="0.35">
      <c r="A3274" s="2" t="str">
        <f ca="1">IFERROR(__xludf.DUMMYFUNCTION("""COMPUTED_VALUE"""),"Sharjah")</f>
        <v>Sharjah</v>
      </c>
      <c r="B3274" s="2" t="str">
        <f ca="1">IFERROR(__xludf.DUMMYFUNCTION("""COMPUTED_VALUE"""),"Indian Excellent Private School, Sharjah")</f>
        <v>Indian Excellent Private School, Sharjah</v>
      </c>
      <c r="C3274" s="2" t="str">
        <f ca="1">IFERROR(__xludf.DUMMYFUNCTION("""COMPUTED_VALUE"""),"School")</f>
        <v>School</v>
      </c>
      <c r="D3274" s="2" t="str">
        <f ca="1">IFERROR(__xludf.DUMMYFUNCTION("""COMPUTED_VALUE"""),"Sharjah&gt;Al Azra&gt;Indian Excellent Private School, Sharjah")</f>
        <v>Sharjah&gt;Al Azra&gt;Indian Excellent Private School, Sharjah</v>
      </c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</row>
    <row r="3275" spans="1:26" ht="16.5" x14ac:dyDescent="0.35">
      <c r="A3275" s="2" t="str">
        <f ca="1">IFERROR(__xludf.DUMMYFUNCTION("""COMPUTED_VALUE"""),"Sharjah")</f>
        <v>Sharjah</v>
      </c>
      <c r="B3275" s="2" t="str">
        <f ca="1">IFERROR(__xludf.DUMMYFUNCTION("""COMPUTED_VALUE"""),"Al-Maarifa International Private School")</f>
        <v>Al-Maarifa International Private School</v>
      </c>
      <c r="C3275" s="2" t="str">
        <f ca="1">IFERROR(__xludf.DUMMYFUNCTION("""COMPUTED_VALUE"""),"School")</f>
        <v>School</v>
      </c>
      <c r="D3275" s="2" t="str">
        <f ca="1">IFERROR(__xludf.DUMMYFUNCTION("""COMPUTED_VALUE"""),"Sharjah&gt;Al Yarmook&gt;Al-Maarifa International Private School")</f>
        <v>Sharjah&gt;Al Yarmook&gt;Al-Maarifa International Private School</v>
      </c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</row>
    <row r="3276" spans="1:26" ht="16.5" x14ac:dyDescent="0.35">
      <c r="A3276" s="2" t="str">
        <f ca="1">IFERROR(__xludf.DUMMYFUNCTION("""COMPUTED_VALUE"""),"Sharjah")</f>
        <v>Sharjah</v>
      </c>
      <c r="B3276" s="2" t="str">
        <f ca="1">IFERROR(__xludf.DUMMYFUNCTION("""COMPUTED_VALUE"""),"Al Manakh")</f>
        <v>Al Manakh</v>
      </c>
      <c r="C3276" s="2" t="str">
        <f ca="1">IFERROR(__xludf.DUMMYFUNCTION("""COMPUTED_VALUE"""),"Neighbourhood")</f>
        <v>Neighbourhood</v>
      </c>
      <c r="D3276" s="2" t="str">
        <f ca="1">IFERROR(__xludf.DUMMYFUNCTION("""COMPUTED_VALUE"""),"Sharjah&gt;Al Manakh")</f>
        <v>Sharjah&gt;Al Manakh</v>
      </c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</row>
    <row r="3277" spans="1:26" ht="16.5" x14ac:dyDescent="0.35">
      <c r="A3277" s="2" t="str">
        <f ca="1">IFERROR(__xludf.DUMMYFUNCTION("""COMPUTED_VALUE"""),"Sharjah")</f>
        <v>Sharjah</v>
      </c>
      <c r="B3277" s="2" t="str">
        <f ca="1">IFERROR(__xludf.DUMMYFUNCTION("""COMPUTED_VALUE"""),"Al Mareija")</f>
        <v>Al Mareija</v>
      </c>
      <c r="C3277" s="2" t="str">
        <f ca="1">IFERROR(__xludf.DUMMYFUNCTION("""COMPUTED_VALUE"""),"Neighbourhood")</f>
        <v>Neighbourhood</v>
      </c>
      <c r="D3277" s="2" t="str">
        <f ca="1">IFERROR(__xludf.DUMMYFUNCTION("""COMPUTED_VALUE"""),"Sharjah&gt;Al Mareija")</f>
        <v>Sharjah&gt;Al Mareija</v>
      </c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</row>
    <row r="3278" spans="1:26" ht="16.5" x14ac:dyDescent="0.35">
      <c r="A3278" s="2" t="str">
        <f ca="1">IFERROR(__xludf.DUMMYFUNCTION("""COMPUTED_VALUE"""),"Sharjah")</f>
        <v>Sharjah</v>
      </c>
      <c r="B3278" s="2" t="str">
        <f ca="1">IFERROR(__xludf.DUMMYFUNCTION("""COMPUTED_VALUE"""),"Al Yash")</f>
        <v>Al Yash</v>
      </c>
      <c r="C3278" s="2" t="str">
        <f ca="1">IFERROR(__xludf.DUMMYFUNCTION("""COMPUTED_VALUE"""),"Neighbourhood")</f>
        <v>Neighbourhood</v>
      </c>
      <c r="D3278" s="2" t="str">
        <f ca="1">IFERROR(__xludf.DUMMYFUNCTION("""COMPUTED_VALUE"""),"Sharjah&gt;Al Yash")</f>
        <v>Sharjah&gt;Al Yash</v>
      </c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</row>
    <row r="3279" spans="1:26" ht="16.5" x14ac:dyDescent="0.35">
      <c r="A3279" s="2" t="str">
        <f ca="1">IFERROR(__xludf.DUMMYFUNCTION("""COMPUTED_VALUE"""),"Sharjah")</f>
        <v>Sharjah</v>
      </c>
      <c r="B3279" s="2" t="str">
        <f ca="1">IFERROR(__xludf.DUMMYFUNCTION("""COMPUTED_VALUE"""),"Al Amaal English High School, Sharjah")</f>
        <v>Al Amaal English High School, Sharjah</v>
      </c>
      <c r="C3279" s="2" t="str">
        <f ca="1">IFERROR(__xludf.DUMMYFUNCTION("""COMPUTED_VALUE"""),"School")</f>
        <v>School</v>
      </c>
      <c r="D3279" s="2" t="str">
        <f ca="1">IFERROR(__xludf.DUMMYFUNCTION("""COMPUTED_VALUE"""),"Sharjah&gt;Al Ghafia&gt;Al Amaal English High School, Sharjah")</f>
        <v>Sharjah&gt;Al Ghafia&gt;Al Amaal English High School, Sharjah</v>
      </c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</row>
    <row r="3280" spans="1:26" ht="16.5" x14ac:dyDescent="0.35">
      <c r="A3280" s="2" t="str">
        <f ca="1">IFERROR(__xludf.DUMMYFUNCTION("""COMPUTED_VALUE"""),"Sharjah")</f>
        <v>Sharjah</v>
      </c>
      <c r="B3280" s="2" t="str">
        <f ca="1">IFERROR(__xludf.DUMMYFUNCTION("""COMPUTED_VALUE"""),"Dar Al Aman 33 C")</f>
        <v>Dar Al Aman 33 C</v>
      </c>
      <c r="C3280" s="2"/>
      <c r="D3280" s="2" t="str">
        <f ca="1">IFERROR(__xludf.DUMMYFUNCTION("""COMPUTED_VALUE"""),"Sharjah&gt;Bu Tina&gt;Dar Al Aman 33 C")</f>
        <v>Sharjah&gt;Bu Tina&gt;Dar Al Aman 33 C</v>
      </c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</row>
    <row r="3281" spans="1:26" ht="16.5" x14ac:dyDescent="0.35">
      <c r="A3281" s="2" t="str">
        <f ca="1">IFERROR(__xludf.DUMMYFUNCTION("""COMPUTED_VALUE"""),"Sharjah")</f>
        <v>Sharjah</v>
      </c>
      <c r="B3281" s="2" t="str">
        <f ca="1">IFERROR(__xludf.DUMMYFUNCTION("""COMPUTED_VALUE"""),"Rose Tower")</f>
        <v>Rose Tower</v>
      </c>
      <c r="C3281" s="2" t="str">
        <f ca="1">IFERROR(__xludf.DUMMYFUNCTION("""COMPUTED_VALUE"""),"Building")</f>
        <v>Building</v>
      </c>
      <c r="D3281" s="2" t="str">
        <f ca="1">IFERROR(__xludf.DUMMYFUNCTION("""COMPUTED_VALUE"""),"Sharjah&gt;Al Khan&gt;Rose Tower")</f>
        <v>Sharjah&gt;Al Khan&gt;Rose Tower</v>
      </c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</row>
    <row r="3282" spans="1:26" ht="16.5" x14ac:dyDescent="0.35">
      <c r="A3282" s="2" t="str">
        <f ca="1">IFERROR(__xludf.DUMMYFUNCTION("""COMPUTED_VALUE"""),"Sharjah")</f>
        <v>Sharjah</v>
      </c>
      <c r="B3282" s="2" t="str">
        <f ca="1">IFERROR(__xludf.DUMMYFUNCTION("""COMPUTED_VALUE"""),"Saeed Salem Building")</f>
        <v>Saeed Salem Building</v>
      </c>
      <c r="C3282" s="2"/>
      <c r="D3282" s="2" t="str">
        <f ca="1">IFERROR(__xludf.DUMMYFUNCTION("""COMPUTED_VALUE"""),"Sharjah&gt;Al Khan&gt;Saeed Salem Building")</f>
        <v>Sharjah&gt;Al Khan&gt;Saeed Salem Building</v>
      </c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</row>
    <row r="3283" spans="1:26" ht="16.5" x14ac:dyDescent="0.35">
      <c r="A3283" s="2" t="str">
        <f ca="1">IFERROR(__xludf.DUMMYFUNCTION("""COMPUTED_VALUE"""),"Sharjah")</f>
        <v>Sharjah</v>
      </c>
      <c r="B3283" s="2" t="str">
        <f ca="1">IFERROR(__xludf.DUMMYFUNCTION("""COMPUTED_VALUE"""),"Al Khan Lagoon Tower")</f>
        <v>Al Khan Lagoon Tower</v>
      </c>
      <c r="C3283" s="2" t="str">
        <f ca="1">IFERROR(__xludf.DUMMYFUNCTION("""COMPUTED_VALUE"""),"Building")</f>
        <v>Building</v>
      </c>
      <c r="D3283" s="2" t="str">
        <f ca="1">IFERROR(__xludf.DUMMYFUNCTION("""COMPUTED_VALUE"""),"Sharjah&gt;Al Khan&gt;Al Khan Lagoon Tower")</f>
        <v>Sharjah&gt;Al Khan&gt;Al Khan Lagoon Tower</v>
      </c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</row>
    <row r="3284" spans="1:26" ht="16.5" x14ac:dyDescent="0.35">
      <c r="A3284" s="2" t="str">
        <f ca="1">IFERROR(__xludf.DUMMYFUNCTION("""COMPUTED_VALUE"""),"Sharjah")</f>
        <v>Sharjah</v>
      </c>
      <c r="B3284" s="2" t="str">
        <f ca="1">IFERROR(__xludf.DUMMYFUNCTION("""COMPUTED_VALUE"""),"BOS Al Khan")</f>
        <v>BOS Al Khan</v>
      </c>
      <c r="C3284" s="2" t="str">
        <f ca="1">IFERROR(__xludf.DUMMYFUNCTION("""COMPUTED_VALUE"""),"Building")</f>
        <v>Building</v>
      </c>
      <c r="D3284" s="2" t="str">
        <f ca="1">IFERROR(__xludf.DUMMYFUNCTION("""COMPUTED_VALUE"""),"Sharjah&gt;Al Khan&gt;BOS Al Khan")</f>
        <v>Sharjah&gt;Al Khan&gt;BOS Al Khan</v>
      </c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</row>
    <row r="3285" spans="1:26" ht="16.5" x14ac:dyDescent="0.35">
      <c r="A3285" s="2" t="str">
        <f ca="1">IFERROR(__xludf.DUMMYFUNCTION("""COMPUTED_VALUE"""),"Sharjah")</f>
        <v>Sharjah</v>
      </c>
      <c r="B3285" s="2" t="str">
        <f ca="1">IFERROR(__xludf.DUMMYFUNCTION("""COMPUTED_VALUE"""),"Al Basemah Tower")</f>
        <v>Al Basemah Tower</v>
      </c>
      <c r="C3285" s="2" t="str">
        <f ca="1">IFERROR(__xludf.DUMMYFUNCTION("""COMPUTED_VALUE"""),"Building")</f>
        <v>Building</v>
      </c>
      <c r="D3285" s="2" t="str">
        <f ca="1">IFERROR(__xludf.DUMMYFUNCTION("""COMPUTED_VALUE"""),"Sharjah&gt;Al Majaz&gt;Al Majaz 2&gt;Al Basemah Tower")</f>
        <v>Sharjah&gt;Al Majaz&gt;Al Majaz 2&gt;Al Basemah Tower</v>
      </c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</row>
    <row r="3286" spans="1:26" ht="16.5" x14ac:dyDescent="0.35">
      <c r="A3286" s="2" t="str">
        <f ca="1">IFERROR(__xludf.DUMMYFUNCTION("""COMPUTED_VALUE"""),"Sharjah")</f>
        <v>Sharjah</v>
      </c>
      <c r="B3286" s="2" t="str">
        <f ca="1">IFERROR(__xludf.DUMMYFUNCTION("""COMPUTED_VALUE"""),"East Tower")</f>
        <v>East Tower</v>
      </c>
      <c r="C3286" s="2"/>
      <c r="D3286" s="2" t="str">
        <f ca="1">IFERROR(__xludf.DUMMYFUNCTION("""COMPUTED_VALUE"""),"Sharjah&gt;Al Majaz&gt;Al Majaz 2&gt;East Tower")</f>
        <v>Sharjah&gt;Al Majaz&gt;Al Majaz 2&gt;East Tower</v>
      </c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</row>
    <row r="3287" spans="1:26" ht="16.5" x14ac:dyDescent="0.35">
      <c r="A3287" s="2" t="str">
        <f ca="1">IFERROR(__xludf.DUMMYFUNCTION("""COMPUTED_VALUE"""),"Sharjah")</f>
        <v>Sharjah</v>
      </c>
      <c r="B3287" s="2" t="str">
        <f ca="1">IFERROR(__xludf.DUMMYFUNCTION("""COMPUTED_VALUE"""),"Al Majaz 3")</f>
        <v>Al Majaz 3</v>
      </c>
      <c r="C3287" s="2" t="str">
        <f ca="1">IFERROR(__xludf.DUMMYFUNCTION("""COMPUTED_VALUE"""),"Neighbourhood")</f>
        <v>Neighbourhood</v>
      </c>
      <c r="D3287" s="2" t="str">
        <f ca="1">IFERROR(__xludf.DUMMYFUNCTION("""COMPUTED_VALUE"""),"Sharjah&gt;Al Majaz&gt;Al Majaz 3")</f>
        <v>Sharjah&gt;Al Majaz&gt;Al Majaz 3</v>
      </c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</row>
    <row r="3288" spans="1:26" ht="16.5" x14ac:dyDescent="0.35">
      <c r="A3288" s="2" t="str">
        <f ca="1">IFERROR(__xludf.DUMMYFUNCTION("""COMPUTED_VALUE"""),"Sharjah")</f>
        <v>Sharjah</v>
      </c>
      <c r="B3288" s="2" t="str">
        <f ca="1">IFERROR(__xludf.DUMMYFUNCTION("""COMPUTED_VALUE"""),"Al Mansoor Building")</f>
        <v>Al Mansoor Building</v>
      </c>
      <c r="C3288" s="2"/>
      <c r="D3288" s="2" t="str">
        <f ca="1">IFERROR(__xludf.DUMMYFUNCTION("""COMPUTED_VALUE"""),"Sharjah&gt;Al Majaz&gt;Al Majaz 3&gt;Al Mansoor Building")</f>
        <v>Sharjah&gt;Al Majaz&gt;Al Majaz 3&gt;Al Mansoor Building</v>
      </c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</row>
    <row r="3289" spans="1:26" ht="16.5" x14ac:dyDescent="0.35">
      <c r="A3289" s="2" t="str">
        <f ca="1">IFERROR(__xludf.DUMMYFUNCTION("""COMPUTED_VALUE"""),"Sharjah")</f>
        <v>Sharjah</v>
      </c>
      <c r="B3289" s="2" t="str">
        <f ca="1">IFERROR(__xludf.DUMMYFUNCTION("""COMPUTED_VALUE"""),"Muhaira Building")</f>
        <v>Muhaira Building</v>
      </c>
      <c r="C3289" s="2"/>
      <c r="D3289" s="2" t="str">
        <f ca="1">IFERROR(__xludf.DUMMYFUNCTION("""COMPUTED_VALUE"""),"Sharjah&gt;Al Majaz&gt;Al Majaz 3&gt;Muhaira Building")</f>
        <v>Sharjah&gt;Al Majaz&gt;Al Majaz 3&gt;Muhaira Building</v>
      </c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</row>
    <row r="3290" spans="1:26" ht="16.5" x14ac:dyDescent="0.35">
      <c r="A3290" s="2" t="str">
        <f ca="1">IFERROR(__xludf.DUMMYFUNCTION("""COMPUTED_VALUE"""),"Sharjah")</f>
        <v>Sharjah</v>
      </c>
      <c r="B3290" s="2" t="str">
        <f ca="1">IFERROR(__xludf.DUMMYFUNCTION("""COMPUTED_VALUE"""),"Al Nakheel Tower")</f>
        <v>Al Nakheel Tower</v>
      </c>
      <c r="C3290" s="2"/>
      <c r="D3290" s="2" t="str">
        <f ca="1">IFERROR(__xludf.DUMMYFUNCTION("""COMPUTED_VALUE"""),"Sharjah&gt;Al Majaz&gt;Al Majaz 1&gt;Al Nakheel Tower")</f>
        <v>Sharjah&gt;Al Majaz&gt;Al Majaz 1&gt;Al Nakheel Tower</v>
      </c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</row>
    <row r="3291" spans="1:26" ht="16.5" x14ac:dyDescent="0.35">
      <c r="A3291" s="2" t="str">
        <f ca="1">IFERROR(__xludf.DUMMYFUNCTION("""COMPUTED_VALUE"""),"Sharjah")</f>
        <v>Sharjah</v>
      </c>
      <c r="B3291" s="2" t="str">
        <f ca="1">IFERROR(__xludf.DUMMYFUNCTION("""COMPUTED_VALUE"""),"British Orchard Nursery Nasma")</f>
        <v>British Orchard Nursery Nasma</v>
      </c>
      <c r="C3291" s="2" t="str">
        <f ca="1">IFERROR(__xludf.DUMMYFUNCTION("""COMPUTED_VALUE"""),"Nursery")</f>
        <v>Nursery</v>
      </c>
      <c r="D3291" s="2" t="str">
        <f ca="1">IFERROR(__xludf.DUMMYFUNCTION("""COMPUTED_VALUE"""),"Sharjah&gt;Al Riqaibah&gt;British Orchard Nursery Nasma")</f>
        <v>Sharjah&gt;Al Riqaibah&gt;British Orchard Nursery Nasma</v>
      </c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</row>
    <row r="3292" spans="1:26" ht="16.5" x14ac:dyDescent="0.35">
      <c r="A3292" s="2" t="str">
        <f ca="1">IFERROR(__xludf.DUMMYFUNCTION("""COMPUTED_VALUE"""),"Sharjah")</f>
        <v>Sharjah</v>
      </c>
      <c r="B3292" s="2" t="str">
        <f ca="1">IFERROR(__xludf.DUMMYFUNCTION("""COMPUTED_VALUE"""),"Al Safa Plaza A")</f>
        <v>Al Safa Plaza A</v>
      </c>
      <c r="C3292" s="2" t="str">
        <f ca="1">IFERROR(__xludf.DUMMYFUNCTION("""COMPUTED_VALUE"""),"Building")</f>
        <v>Building</v>
      </c>
      <c r="D3292" s="2" t="str">
        <f ca="1">IFERROR(__xludf.DUMMYFUNCTION("""COMPUTED_VALUE"""),"Sharjah&gt;Al Taawun&gt;Al Safa Plaza A")</f>
        <v>Sharjah&gt;Al Taawun&gt;Al Safa Plaza A</v>
      </c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</row>
    <row r="3293" spans="1:26" ht="16.5" x14ac:dyDescent="0.35">
      <c r="A3293" s="2" t="str">
        <f ca="1">IFERROR(__xludf.DUMMYFUNCTION("""COMPUTED_VALUE"""),"Sharjah")</f>
        <v>Sharjah</v>
      </c>
      <c r="B3293" s="2" t="str">
        <f ca="1">IFERROR(__xludf.DUMMYFUNCTION("""COMPUTED_VALUE"""),"Taryam Tower")</f>
        <v>Taryam Tower</v>
      </c>
      <c r="C3293" s="2" t="str">
        <f ca="1">IFERROR(__xludf.DUMMYFUNCTION("""COMPUTED_VALUE"""),"Building")</f>
        <v>Building</v>
      </c>
      <c r="D3293" s="2" t="str">
        <f ca="1">IFERROR(__xludf.DUMMYFUNCTION("""COMPUTED_VALUE"""),"Sharjah&gt;Al Taawun&gt;Taryam Tower")</f>
        <v>Sharjah&gt;Al Taawun&gt;Taryam Tower</v>
      </c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</row>
    <row r="3294" spans="1:26" ht="16.5" x14ac:dyDescent="0.35">
      <c r="A3294" s="2" t="str">
        <f ca="1">IFERROR(__xludf.DUMMYFUNCTION("""COMPUTED_VALUE"""),"Sharjah")</f>
        <v>Sharjah</v>
      </c>
      <c r="B3294" s="2" t="str">
        <f ca="1">IFERROR(__xludf.DUMMYFUNCTION("""COMPUTED_VALUE"""),"Al Qubaisi")</f>
        <v>Al Qubaisi</v>
      </c>
      <c r="C3294" s="2"/>
      <c r="D3294" s="2" t="str">
        <f ca="1">IFERROR(__xludf.DUMMYFUNCTION("""COMPUTED_VALUE"""),"Sharjah&gt;Al Qasimia&gt;Al Nad&gt;Al Qubaisi")</f>
        <v>Sharjah&gt;Al Qasimia&gt;Al Nad&gt;Al Qubaisi</v>
      </c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</row>
    <row r="3295" spans="1:26" ht="16.5" x14ac:dyDescent="0.35">
      <c r="A3295" s="2" t="str">
        <f ca="1">IFERROR(__xludf.DUMMYFUNCTION("""COMPUTED_VALUE"""),"Sharjah")</f>
        <v>Sharjah</v>
      </c>
      <c r="B3295" s="2" t="str">
        <f ca="1">IFERROR(__xludf.DUMMYFUNCTION("""COMPUTED_VALUE"""),"Cluttons C")</f>
        <v>Cluttons C</v>
      </c>
      <c r="C3295" s="2"/>
      <c r="D3295" s="2" t="str">
        <f ca="1">IFERROR(__xludf.DUMMYFUNCTION("""COMPUTED_VALUE"""),"Sharjah&gt;Al Qasimia&gt;Al Nad&gt;Cluttons C")</f>
        <v>Sharjah&gt;Al Qasimia&gt;Al Nad&gt;Cluttons C</v>
      </c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</row>
    <row r="3296" spans="1:26" ht="16.5" x14ac:dyDescent="0.35">
      <c r="A3296" s="2" t="str">
        <f ca="1">IFERROR(__xludf.DUMMYFUNCTION("""COMPUTED_VALUE"""),"Sharjah")</f>
        <v>Sharjah</v>
      </c>
      <c r="B3296" s="2" t="str">
        <f ca="1">IFERROR(__xludf.DUMMYFUNCTION("""COMPUTED_VALUE"""),"White Tower")</f>
        <v>White Tower</v>
      </c>
      <c r="C3296" s="2"/>
      <c r="D3296" s="2" t="str">
        <f ca="1">IFERROR(__xludf.DUMMYFUNCTION("""COMPUTED_VALUE"""),"Sharjah&gt;Al Qasimia&gt;Al Nad&gt;White Tower")</f>
        <v>Sharjah&gt;Al Qasimia&gt;Al Nad&gt;White Tower</v>
      </c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</row>
    <row r="3297" spans="1:26" ht="16.5" x14ac:dyDescent="0.35">
      <c r="A3297" s="2" t="str">
        <f ca="1">IFERROR(__xludf.DUMMYFUNCTION("""COMPUTED_VALUE"""),"Sharjah")</f>
        <v>Sharjah</v>
      </c>
      <c r="B3297" s="2" t="str">
        <f ca="1">IFERROR(__xludf.DUMMYFUNCTION("""COMPUTED_VALUE"""),"Al Arouba building")</f>
        <v>Al Arouba building</v>
      </c>
      <c r="C3297" s="2"/>
      <c r="D3297" s="2" t="str">
        <f ca="1">IFERROR(__xludf.DUMMYFUNCTION("""COMPUTED_VALUE"""),"Sharjah&gt;Al Nabba&gt;Al Arouba building")</f>
        <v>Sharjah&gt;Al Nabba&gt;Al Arouba building</v>
      </c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</row>
    <row r="3298" spans="1:26" ht="16.5" x14ac:dyDescent="0.35">
      <c r="A3298" s="2" t="str">
        <f ca="1">IFERROR(__xludf.DUMMYFUNCTION("""COMPUTED_VALUE"""),"Sharjah")</f>
        <v>Sharjah</v>
      </c>
      <c r="B3298" s="2" t="str">
        <f ca="1">IFERROR(__xludf.DUMMYFUNCTION("""COMPUTED_VALUE"""),"Sophin Hotel")</f>
        <v>Sophin Hotel</v>
      </c>
      <c r="C3298" s="2"/>
      <c r="D3298" s="2" t="str">
        <f ca="1">IFERROR(__xludf.DUMMYFUNCTION("""COMPUTED_VALUE"""),"Sharjah&gt;Al Nabba&gt;Sophin Hotel")</f>
        <v>Sharjah&gt;Al Nabba&gt;Sophin Hotel</v>
      </c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</row>
    <row r="3299" spans="1:26" ht="16.5" x14ac:dyDescent="0.35">
      <c r="A3299" s="2" t="str">
        <f ca="1">IFERROR(__xludf.DUMMYFUNCTION("""COMPUTED_VALUE"""),"Sharjah")</f>
        <v>Sharjah</v>
      </c>
      <c r="B3299" s="2" t="str">
        <f ca="1">IFERROR(__xludf.DUMMYFUNCTION("""COMPUTED_VALUE"""),"Taawun 5 Tiger Building")</f>
        <v>Taawun 5 Tiger Building</v>
      </c>
      <c r="C3299" s="2" t="str">
        <f ca="1">IFERROR(__xludf.DUMMYFUNCTION("""COMPUTED_VALUE"""),"Building")</f>
        <v>Building</v>
      </c>
      <c r="D3299" s="2" t="str">
        <f ca="1">IFERROR(__xludf.DUMMYFUNCTION("""COMPUTED_VALUE"""),"Sharjah&gt;Industrial Area&gt;Industrial Area 1&gt;Taawun 5 Tiger Building")</f>
        <v>Sharjah&gt;Industrial Area&gt;Industrial Area 1&gt;Taawun 5 Tiger Building</v>
      </c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</row>
    <row r="3300" spans="1:26" ht="16.5" x14ac:dyDescent="0.35">
      <c r="A3300" s="2" t="str">
        <f ca="1">IFERROR(__xludf.DUMMYFUNCTION("""COMPUTED_VALUE"""),"Sharjah")</f>
        <v>Sharjah</v>
      </c>
      <c r="B3300" s="2" t="str">
        <f ca="1">IFERROR(__xludf.DUMMYFUNCTION("""COMPUTED_VALUE"""),"RD 2")</f>
        <v>RD 2</v>
      </c>
      <c r="C3300" s="2" t="str">
        <f ca="1">IFERROR(__xludf.DUMMYFUNCTION("""COMPUTED_VALUE"""),"Building")</f>
        <v>Building</v>
      </c>
      <c r="D3300" s="2" t="str">
        <f ca="1">IFERROR(__xludf.DUMMYFUNCTION("""COMPUTED_VALUE"""),"Sharjah&gt;Muwaileh&gt;Al Mamsha&gt;Souks Residential&gt;RD 2")</f>
        <v>Sharjah&gt;Muwaileh&gt;Al Mamsha&gt;Souks Residential&gt;RD 2</v>
      </c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</row>
    <row r="3301" spans="1:26" ht="16.5" x14ac:dyDescent="0.35">
      <c r="A3301" s="2" t="str">
        <f ca="1">IFERROR(__xludf.DUMMYFUNCTION("""COMPUTED_VALUE"""),"Sharjah")</f>
        <v>Sharjah</v>
      </c>
      <c r="B3301" s="2" t="str">
        <f ca="1">IFERROR(__xludf.DUMMYFUNCTION("""COMPUTED_VALUE"""),"Sawa 1")</f>
        <v>Sawa 1</v>
      </c>
      <c r="C3301" s="2" t="str">
        <f ca="1">IFERROR(__xludf.DUMMYFUNCTION("""COMPUTED_VALUE"""),"Building")</f>
        <v>Building</v>
      </c>
      <c r="D3301" s="2" t="str">
        <f ca="1">IFERROR(__xludf.DUMMYFUNCTION("""COMPUTED_VALUE"""),"Sharjah&gt;Muwaileh&gt;Al Mamsha&gt;Sawa&gt;Sawa 1")</f>
        <v>Sharjah&gt;Muwaileh&gt;Al Mamsha&gt;Sawa&gt;Sawa 1</v>
      </c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</row>
    <row r="3302" spans="1:26" ht="16.5" x14ac:dyDescent="0.35">
      <c r="A3302" s="2" t="str">
        <f ca="1">IFERROR(__xludf.DUMMYFUNCTION("""COMPUTED_VALUE"""),"Sharjah")</f>
        <v>Sharjah</v>
      </c>
      <c r="B3302" s="2" t="str">
        <f ca="1">IFERROR(__xludf.DUMMYFUNCTION("""COMPUTED_VALUE"""),"Brilliant International Private School, Sharjah")</f>
        <v>Brilliant International Private School, Sharjah</v>
      </c>
      <c r="C3302" s="2" t="str">
        <f ca="1">IFERROR(__xludf.DUMMYFUNCTION("""COMPUTED_VALUE"""),"School")</f>
        <v>School</v>
      </c>
      <c r="D3302" s="2" t="str">
        <f ca="1">IFERROR(__xludf.DUMMYFUNCTION("""COMPUTED_VALUE"""),"Sharjah&gt;Muwaileh Commercial&gt;Brilliant International Private School, Sharjah")</f>
        <v>Sharjah&gt;Muwaileh Commercial&gt;Brilliant International Private School, Sharjah</v>
      </c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</row>
    <row r="3303" spans="1:26" ht="16.5" x14ac:dyDescent="0.35">
      <c r="A3303" s="2" t="str">
        <f ca="1">IFERROR(__xludf.DUMMYFUNCTION("""COMPUTED_VALUE"""),"Sharjah")</f>
        <v>Sharjah</v>
      </c>
      <c r="B3303" s="2" t="str">
        <f ca="1">IFERROR(__xludf.DUMMYFUNCTION("""COMPUTED_VALUE"""),"Building 3")</f>
        <v>Building 3</v>
      </c>
      <c r="C3303" s="2" t="str">
        <f ca="1">IFERROR(__xludf.DUMMYFUNCTION("""COMPUTED_VALUE"""),"Building")</f>
        <v>Building</v>
      </c>
      <c r="D3303" s="2" t="str">
        <f ca="1">IFERROR(__xludf.DUMMYFUNCTION("""COMPUTED_VALUE"""),"Sharjah&gt;Muwaileh Commercial&gt;Muweileh Community&gt;Building 3")</f>
        <v>Sharjah&gt;Muwaileh Commercial&gt;Muweileh Community&gt;Building 3</v>
      </c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</row>
    <row r="3304" spans="1:26" ht="16.5" x14ac:dyDescent="0.35">
      <c r="A3304" s="2" t="str">
        <f ca="1">IFERROR(__xludf.DUMMYFUNCTION("""COMPUTED_VALUE"""),"Sharjah")</f>
        <v>Sharjah</v>
      </c>
      <c r="B3304" s="2" t="str">
        <f ca="1">IFERROR(__xludf.DUMMYFUNCTION("""COMPUTED_VALUE"""),"Olfah 7")</f>
        <v>Olfah 7</v>
      </c>
      <c r="C3304" s="2" t="str">
        <f ca="1">IFERROR(__xludf.DUMMYFUNCTION("""COMPUTED_VALUE"""),"Building")</f>
        <v>Building</v>
      </c>
      <c r="D3304" s="2" t="str">
        <f ca="1">IFERROR(__xludf.DUMMYFUNCTION("""COMPUTED_VALUE"""),"Sharjah&gt;Muwaileh Commercial&gt;Olfah&gt;Olfah 7")</f>
        <v>Sharjah&gt;Muwaileh Commercial&gt;Olfah&gt;Olfah 7</v>
      </c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</row>
    <row r="3305" spans="1:26" ht="16.5" x14ac:dyDescent="0.35">
      <c r="A3305" s="2" t="str">
        <f ca="1">IFERROR(__xludf.DUMMYFUNCTION("""COMPUTED_VALUE"""),"Sharjah")</f>
        <v>Sharjah</v>
      </c>
      <c r="B3305" s="2" t="str">
        <f ca="1">IFERROR(__xludf.DUMMYFUNCTION("""COMPUTED_VALUE"""),"Building 6049")</f>
        <v>Building 6049</v>
      </c>
      <c r="C3305" s="2" t="str">
        <f ca="1">IFERROR(__xludf.DUMMYFUNCTION("""COMPUTED_VALUE"""),"Building")</f>
        <v>Building</v>
      </c>
      <c r="D3305" s="2" t="str">
        <f ca="1">IFERROR(__xludf.DUMMYFUNCTION("""COMPUTED_VALUE"""),"Sharjah&gt;Muwaileh Commercial&gt;Building 6049")</f>
        <v>Sharjah&gt;Muwaileh Commercial&gt;Building 6049</v>
      </c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</row>
    <row r="3306" spans="1:26" ht="16.5" x14ac:dyDescent="0.35">
      <c r="A3306" s="2" t="str">
        <f ca="1">IFERROR(__xludf.DUMMYFUNCTION("""COMPUTED_VALUE"""),"Al Ain")</f>
        <v>Al Ain</v>
      </c>
      <c r="B3306" s="2" t="str">
        <f ca="1">IFERROR(__xludf.DUMMYFUNCTION("""COMPUTED_VALUE"""),"Al Ain Juniors Nursery")</f>
        <v>Al Ain Juniors Nursery</v>
      </c>
      <c r="C3306" s="2" t="str">
        <f ca="1">IFERROR(__xludf.DUMMYFUNCTION("""COMPUTED_VALUE"""),"Nursery")</f>
        <v>Nursery</v>
      </c>
      <c r="D3306" s="2" t="str">
        <f ca="1">IFERROR(__xludf.DUMMYFUNCTION("""COMPUTED_VALUE"""),"Al Ain&gt;Central District&gt;Al Ain Juniors Nursery")</f>
        <v>Al Ain&gt;Central District&gt;Al Ain Juniors Nursery</v>
      </c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</row>
    <row r="3307" spans="1:26" ht="16.5" x14ac:dyDescent="0.35">
      <c r="A3307" s="2" t="str">
        <f ca="1">IFERROR(__xludf.DUMMYFUNCTION("""COMPUTED_VALUE"""),"Al Ain")</f>
        <v>Al Ain</v>
      </c>
      <c r="B3307" s="2" t="str">
        <f ca="1">IFERROR(__xludf.DUMMYFUNCTION("""COMPUTED_VALUE"""),"Al Sanawbar School, Al Ain")</f>
        <v>Al Sanawbar School, Al Ain</v>
      </c>
      <c r="C3307" s="2" t="str">
        <f ca="1">IFERROR(__xludf.DUMMYFUNCTION("""COMPUTED_VALUE"""),"School")</f>
        <v>School</v>
      </c>
      <c r="D3307" s="2" t="str">
        <f ca="1">IFERROR(__xludf.DUMMYFUNCTION("""COMPUTED_VALUE"""),"Al Ain&gt;Al Muwaiji&gt;Al Sanawbar School, Al Ain")</f>
        <v>Al Ain&gt;Al Muwaiji&gt;Al Sanawbar School, Al Ain</v>
      </c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</row>
    <row r="3308" spans="1:26" ht="16.5" x14ac:dyDescent="0.35">
      <c r="A3308" s="2" t="str">
        <f ca="1">IFERROR(__xludf.DUMMYFUNCTION("""COMPUTED_VALUE"""),"Al Ain")</f>
        <v>Al Ain</v>
      </c>
      <c r="B3308" s="2" t="str">
        <f ca="1">IFERROR(__xludf.DUMMYFUNCTION("""COMPUTED_VALUE"""),"Ndood Jham")</f>
        <v>Ndood Jham</v>
      </c>
      <c r="C3308" s="2" t="str">
        <f ca="1">IFERROR(__xludf.DUMMYFUNCTION("""COMPUTED_VALUE"""),"Neighbourhood")</f>
        <v>Neighbourhood</v>
      </c>
      <c r="D3308" s="2" t="str">
        <f ca="1">IFERROR(__xludf.DUMMYFUNCTION("""COMPUTED_VALUE"""),"Al Ain&gt;Hili&gt;Ndood Jham")</f>
        <v>Al Ain&gt;Hili&gt;Ndood Jham</v>
      </c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</row>
    <row r="3309" spans="1:26" ht="16.5" x14ac:dyDescent="0.35">
      <c r="A3309" s="2" t="str">
        <f ca="1">IFERROR(__xludf.DUMMYFUNCTION("""COMPUTED_VALUE"""),"Al Ain")</f>
        <v>Al Ain</v>
      </c>
      <c r="B3309" s="2" t="str">
        <f ca="1">IFERROR(__xludf.DUMMYFUNCTION("""COMPUTED_VALUE"""),"Um Al Sidir")</f>
        <v>Um Al Sidir</v>
      </c>
      <c r="C3309" s="2" t="str">
        <f ca="1">IFERROR(__xludf.DUMMYFUNCTION("""COMPUTED_VALUE"""),"Neighbourhood")</f>
        <v>Neighbourhood</v>
      </c>
      <c r="D3309" s="2" t="str">
        <f ca="1">IFERROR(__xludf.DUMMYFUNCTION("""COMPUTED_VALUE"""),"Al Ain&gt;Al Tiwayya&gt;Um Al Sidir")</f>
        <v>Al Ain&gt;Al Tiwayya&gt;Um Al Sidir</v>
      </c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</row>
    <row r="3310" spans="1:26" ht="16.5" x14ac:dyDescent="0.35">
      <c r="A3310" s="2" t="str">
        <f ca="1">IFERROR(__xludf.DUMMYFUNCTION("""COMPUTED_VALUE"""),"Al Ain")</f>
        <v>Al Ain</v>
      </c>
      <c r="B3310" s="2" t="str">
        <f ca="1">IFERROR(__xludf.DUMMYFUNCTION("""COMPUTED_VALUE"""),"United Private School, Al Yahar, Al Ain")</f>
        <v>United Private School, Al Yahar, Al Ain</v>
      </c>
      <c r="C3310" s="2" t="str">
        <f ca="1">IFERROR(__xludf.DUMMYFUNCTION("""COMPUTED_VALUE"""),"School")</f>
        <v>School</v>
      </c>
      <c r="D3310" s="2" t="str">
        <f ca="1">IFERROR(__xludf.DUMMYFUNCTION("""COMPUTED_VALUE"""),"Al Ain&gt;Al Aamerah&gt;United Private School, Al Yahar, Al Ain")</f>
        <v>Al Ain&gt;Al Aamerah&gt;United Private School, Al Yahar, Al Ain</v>
      </c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</row>
    <row r="3311" spans="1:26" ht="16.5" x14ac:dyDescent="0.35">
      <c r="A3311" s="2" t="str">
        <f ca="1">IFERROR(__xludf.DUMMYFUNCTION("""COMPUTED_VALUE"""),"Al Ain")</f>
        <v>Al Ain</v>
      </c>
      <c r="B3311" s="2" t="str">
        <f ca="1">IFERROR(__xludf.DUMMYFUNCTION("""COMPUTED_VALUE"""),"Al Khalidiyya")</f>
        <v>Al Khalidiyya</v>
      </c>
      <c r="C3311" s="2" t="str">
        <f ca="1">IFERROR(__xludf.DUMMYFUNCTION("""COMPUTED_VALUE"""),"Neighbourhood")</f>
        <v>Neighbourhood</v>
      </c>
      <c r="D3311" s="2" t="str">
        <f ca="1">IFERROR(__xludf.DUMMYFUNCTION("""COMPUTED_VALUE"""),"Al Ain&gt;Al Iqabiyyah&gt;Al Khalidiyya")</f>
        <v>Al Ain&gt;Al Iqabiyyah&gt;Al Khalidiyya</v>
      </c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</row>
    <row r="3312" spans="1:26" ht="16.5" x14ac:dyDescent="0.35">
      <c r="A3312" s="2" t="str">
        <f ca="1">IFERROR(__xludf.DUMMYFUNCTION("""COMPUTED_VALUE"""),"Ras Al Khaimah")</f>
        <v>Ras Al Khaimah</v>
      </c>
      <c r="B3312" s="2" t="str">
        <f ca="1">IFERROR(__xludf.DUMMYFUNCTION("""COMPUTED_VALUE"""),"Bay Residences")</f>
        <v>Bay Residences</v>
      </c>
      <c r="C3312" s="2" t="str">
        <f ca="1">IFERROR(__xludf.DUMMYFUNCTION("""COMPUTED_VALUE"""),"Building")</f>
        <v>Building</v>
      </c>
      <c r="D3312" s="2" t="str">
        <f ca="1">IFERROR(__xludf.DUMMYFUNCTION("""COMPUTED_VALUE"""),"Ras Al Khaimah&gt;Mina Al Arab&gt;Hayat Island&gt;Bay Residences")</f>
        <v>Ras Al Khaimah&gt;Mina Al Arab&gt;Hayat Island&gt;Bay Residences</v>
      </c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</row>
    <row r="3313" spans="1:26" ht="16.5" x14ac:dyDescent="0.35">
      <c r="A3313" s="2" t="str">
        <f ca="1">IFERROR(__xludf.DUMMYFUNCTION("""COMPUTED_VALUE"""),"Ras Al Khaimah")</f>
        <v>Ras Al Khaimah</v>
      </c>
      <c r="B3313" s="2" t="str">
        <f ca="1">IFERROR(__xludf.DUMMYFUNCTION("""COMPUTED_VALUE"""),"Tonga")</f>
        <v>Tonga</v>
      </c>
      <c r="C3313" s="2" t="str">
        <f ca="1">IFERROR(__xludf.DUMMYFUNCTION("""COMPUTED_VALUE"""),"Building")</f>
        <v>Building</v>
      </c>
      <c r="D3313" s="2" t="str">
        <f ca="1">IFERROR(__xludf.DUMMYFUNCTION("""COMPUTED_VALUE"""),"Ras Al Khaimah&gt;Al Marjan Island&gt;Pacific&gt;Tonga")</f>
        <v>Ras Al Khaimah&gt;Al Marjan Island&gt;Pacific&gt;Tonga</v>
      </c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</row>
    <row r="3314" spans="1:26" ht="16.5" x14ac:dyDescent="0.35">
      <c r="A3314" s="2" t="str">
        <f ca="1">IFERROR(__xludf.DUMMYFUNCTION("""COMPUTED_VALUE"""),"Ras Al Khaimah")</f>
        <v>Ras Al Khaimah</v>
      </c>
      <c r="B3314" s="2" t="str">
        <f ca="1">IFERROR(__xludf.DUMMYFUNCTION("""COMPUTED_VALUE"""),"Park Beach Residence 2")</f>
        <v>Park Beach Residence 2</v>
      </c>
      <c r="C3314" s="2" t="str">
        <f ca="1">IFERROR(__xludf.DUMMYFUNCTION("""COMPUTED_VALUE"""),"Building")</f>
        <v>Building</v>
      </c>
      <c r="D3314" s="2" t="str">
        <f ca="1">IFERROR(__xludf.DUMMYFUNCTION("""COMPUTED_VALUE"""),"Ras Al Khaimah&gt;Al Marjan Island&gt;Park Beach Residences&gt;Park Beach Residence 2")</f>
        <v>Ras Al Khaimah&gt;Al Marjan Island&gt;Park Beach Residences&gt;Park Beach Residence 2</v>
      </c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</row>
    <row r="3315" spans="1:26" ht="16.5" x14ac:dyDescent="0.35">
      <c r="A3315" s="2" t="str">
        <f ca="1">IFERROR(__xludf.DUMMYFUNCTION("""COMPUTED_VALUE"""),"Ras Al Khaimah")</f>
        <v>Ras Al Khaimah</v>
      </c>
      <c r="B3315" s="2" t="str">
        <f ca="1">IFERROR(__xludf.DUMMYFUNCTION("""COMPUTED_VALUE"""),"Miraggio")</f>
        <v>Miraggio</v>
      </c>
      <c r="C3315" s="2" t="str">
        <f ca="1">IFERROR(__xludf.DUMMYFUNCTION("""COMPUTED_VALUE"""),"Building")</f>
        <v>Building</v>
      </c>
      <c r="D3315" s="2" t="str">
        <f ca="1">IFERROR(__xludf.DUMMYFUNCTION("""COMPUTED_VALUE"""),"Ras Al Khaimah&gt;Al Marjan Island&gt;Miraggio")</f>
        <v>Ras Al Khaimah&gt;Al Marjan Island&gt;Miraggio</v>
      </c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</row>
    <row r="3316" spans="1:26" ht="16.5" x14ac:dyDescent="0.35">
      <c r="A3316" s="2" t="str">
        <f ca="1">IFERROR(__xludf.DUMMYFUNCTION("""COMPUTED_VALUE"""),"Ras Al Khaimah")</f>
        <v>Ras Al Khaimah</v>
      </c>
      <c r="B3316" s="2" t="str">
        <f ca="1">IFERROR(__xludf.DUMMYFUNCTION("""COMPUTED_VALUE"""),"Al Hamra Views")</f>
        <v>Al Hamra Views</v>
      </c>
      <c r="C3316" s="2" t="str">
        <f ca="1">IFERROR(__xludf.DUMMYFUNCTION("""COMPUTED_VALUE"""),"Building")</f>
        <v>Building</v>
      </c>
      <c r="D3316" s="2" t="str">
        <f ca="1">IFERROR(__xludf.DUMMYFUNCTION("""COMPUTED_VALUE"""),"Ras Al Khaimah&gt;Al Hamra Village&gt;Al Hamra Views")</f>
        <v>Ras Al Khaimah&gt;Al Hamra Village&gt;Al Hamra Views</v>
      </c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</row>
    <row r="3317" spans="1:26" ht="16.5" x14ac:dyDescent="0.35">
      <c r="A3317" s="2" t="str">
        <f ca="1">IFERROR(__xludf.DUMMYFUNCTION("""COMPUTED_VALUE"""),"Ras Al Khaimah")</f>
        <v>Ras Al Khaimah</v>
      </c>
      <c r="B3317" s="2" t="str">
        <f ca="1">IFERROR(__xludf.DUMMYFUNCTION("""COMPUTED_VALUE"""),"Aljazeera Al Hamra")</f>
        <v>Aljazeera Al Hamra</v>
      </c>
      <c r="C3317" s="2" t="str">
        <f ca="1">IFERROR(__xludf.DUMMYFUNCTION("""COMPUTED_VALUE"""),"Neighbourhood")</f>
        <v>Neighbourhood</v>
      </c>
      <c r="D3317" s="2" t="str">
        <f ca="1">IFERROR(__xludf.DUMMYFUNCTION("""COMPUTED_VALUE"""),"Ras Al Khaimah&gt;Aljazeera Al Hamra")</f>
        <v>Ras Al Khaimah&gt;Aljazeera Al Hamra</v>
      </c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</row>
    <row r="3318" spans="1:26" ht="16.5" x14ac:dyDescent="0.35">
      <c r="A3318" s="2" t="str">
        <f ca="1">IFERROR(__xludf.DUMMYFUNCTION("""COMPUTED_VALUE"""),"Ras Al Khaimah")</f>
        <v>Ras Al Khaimah</v>
      </c>
      <c r="B3318" s="2" t="str">
        <f ca="1">IFERROR(__xludf.DUMMYFUNCTION("""COMPUTED_VALUE"""),"Saraya Islands")</f>
        <v>Saraya Islands</v>
      </c>
      <c r="C3318" s="2" t="str">
        <f ca="1">IFERROR(__xludf.DUMMYFUNCTION("""COMPUTED_VALUE"""),"Building")</f>
        <v>Building</v>
      </c>
      <c r="D3318" s="2" t="str">
        <f ca="1">IFERROR(__xludf.DUMMYFUNCTION("""COMPUTED_VALUE"""),"Ras Al Khaimah&gt;Saraya Islands")</f>
        <v>Ras Al Khaimah&gt;Saraya Islands</v>
      </c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</row>
    <row r="3319" spans="1:26" ht="16.5" x14ac:dyDescent="0.35">
      <c r="A3319" s="2" t="str">
        <f ca="1">IFERROR(__xludf.DUMMYFUNCTION("""COMPUTED_VALUE"""),"Ras Al Khaimah")</f>
        <v>Ras Al Khaimah</v>
      </c>
      <c r="B3319" s="2" t="str">
        <f ca="1">IFERROR(__xludf.DUMMYFUNCTION("""COMPUTED_VALUE"""),"Wadi Shaam")</f>
        <v>Wadi Shaam</v>
      </c>
      <c r="C3319" s="2"/>
      <c r="D3319" s="2" t="str">
        <f ca="1">IFERROR(__xludf.DUMMYFUNCTION("""COMPUTED_VALUE"""),"Ras Al Khaimah&gt;Wadi Shaam")</f>
        <v>Ras Al Khaimah&gt;Wadi Shaam</v>
      </c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</row>
    <row r="3320" spans="1:26" ht="16.5" x14ac:dyDescent="0.35">
      <c r="A3320" s="2" t="str">
        <f ca="1">IFERROR(__xludf.DUMMYFUNCTION("""COMPUTED_VALUE"""),"Ras Al Khaimah")</f>
        <v>Ras Al Khaimah</v>
      </c>
      <c r="B3320" s="2" t="str">
        <f ca="1">IFERROR(__xludf.DUMMYFUNCTION("""COMPUTED_VALUE"""),"Ras Al Khaimah Gateway")</f>
        <v>Ras Al Khaimah Gateway</v>
      </c>
      <c r="C3320" s="2" t="str">
        <f ca="1">IFERROR(__xludf.DUMMYFUNCTION("""COMPUTED_VALUE"""),"Building")</f>
        <v>Building</v>
      </c>
      <c r="D3320" s="2" t="str">
        <f ca="1">IFERROR(__xludf.DUMMYFUNCTION("""COMPUTED_VALUE"""),"Ras Al Khaimah&gt;Ras Al Khaimah Gateway")</f>
        <v>Ras Al Khaimah&gt;Ras Al Khaimah Gateway</v>
      </c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</row>
    <row r="3321" spans="1:26" ht="16.5" x14ac:dyDescent="0.35">
      <c r="A3321" s="2" t="str">
        <f ca="1">IFERROR(__xludf.DUMMYFUNCTION("""COMPUTED_VALUE"""),"Umm Al Quwain")</f>
        <v>Umm Al Quwain</v>
      </c>
      <c r="B3321" s="2" t="str">
        <f ca="1">IFERROR(__xludf.DUMMYFUNCTION("""COMPUTED_VALUE"""),"Umm Dera")</f>
        <v>Umm Dera</v>
      </c>
      <c r="C3321" s="2" t="str">
        <f ca="1">IFERROR(__xludf.DUMMYFUNCTION("""COMPUTED_VALUE"""),"Neighbourhood")</f>
        <v>Neighbourhood</v>
      </c>
      <c r="D3321" s="2" t="str">
        <f ca="1">IFERROR(__xludf.DUMMYFUNCTION("""COMPUTED_VALUE"""),"Umm Al Quwain&gt;Umm Dera")</f>
        <v>Umm Al Quwain&gt;Umm Dera</v>
      </c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</row>
    <row r="3322" spans="1:26" ht="16.5" x14ac:dyDescent="0.35">
      <c r="A3322" s="2" t="str">
        <f ca="1">IFERROR(__xludf.DUMMYFUNCTION("""COMPUTED_VALUE"""),"Umm Al Quwain")</f>
        <v>Umm Al Quwain</v>
      </c>
      <c r="B3322" s="2" t="str">
        <f ca="1">IFERROR(__xludf.DUMMYFUNCTION("""COMPUTED_VALUE"""),"Sobha Aquamont Tower A")</f>
        <v>Sobha Aquamont Tower A</v>
      </c>
      <c r="C3322" s="2" t="str">
        <f ca="1">IFERROR(__xludf.DUMMYFUNCTION("""COMPUTED_VALUE"""),"Building")</f>
        <v>Building</v>
      </c>
      <c r="D3322" s="2" t="str">
        <f ca="1">IFERROR(__xludf.DUMMYFUNCTION("""COMPUTED_VALUE"""),"Umm Al Quwain&gt;Old Town Area&gt;Sobha Aquamont&gt;Sobha Aquamont Tower A")</f>
        <v>Umm Al Quwain&gt;Old Town Area&gt;Sobha Aquamont&gt;Sobha Aquamont Tower A</v>
      </c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</row>
    <row r="3323" spans="1:26" ht="16.5" x14ac:dyDescent="0.35">
      <c r="A3323" s="2" t="str">
        <f ca="1">IFERROR(__xludf.DUMMYFUNCTION("""COMPUTED_VALUE"""),"Umm Al Quwain")</f>
        <v>Umm Al Quwain</v>
      </c>
      <c r="B3323" s="2" t="str">
        <f ca="1">IFERROR(__xludf.DUMMYFUNCTION("""COMPUTED_VALUE"""),"Aquamarine Beach Residences Tower C")</f>
        <v>Aquamarine Beach Residences Tower C</v>
      </c>
      <c r="C3323" s="2" t="str">
        <f ca="1">IFERROR(__xludf.DUMMYFUNCTION("""COMPUTED_VALUE"""),"Building")</f>
        <v>Building</v>
      </c>
      <c r="D3323" s="2" t="str">
        <f ca="1">IFERROR(__xludf.DUMMYFUNCTION("""COMPUTED_VALUE"""),"Umm Al Quwain&gt;Al Seanneeah&gt;Sobha Siniya Island&gt;Aquamarine Beach Residences&gt;Aquamarine Beach Residences Tower C")</f>
        <v>Umm Al Quwain&gt;Al Seanneeah&gt;Sobha Siniya Island&gt;Aquamarine Beach Residences&gt;Aquamarine Beach Residences Tower C</v>
      </c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</row>
    <row r="3324" spans="1:26" ht="16.5" x14ac:dyDescent="0.35">
      <c r="A3324" s="2" t="str">
        <f ca="1">IFERROR(__xludf.DUMMYFUNCTION("""COMPUTED_VALUE"""),"Umm Al Quwain")</f>
        <v>Umm Al Quwain</v>
      </c>
      <c r="B3324" s="2" t="str">
        <f ca="1">IFERROR(__xludf.DUMMYFUNCTION("""COMPUTED_VALUE"""),"Pristine Beach Residences Tower C")</f>
        <v>Pristine Beach Residences Tower C</v>
      </c>
      <c r="C3324" s="2" t="str">
        <f ca="1">IFERROR(__xludf.DUMMYFUNCTION("""COMPUTED_VALUE"""),"Building")</f>
        <v>Building</v>
      </c>
      <c r="D3324" s="2" t="str">
        <f ca="1">IFERROR(__xludf.DUMMYFUNCTION("""COMPUTED_VALUE"""),"Umm Al Quwain&gt;Al Seanneeah&gt;Sobha Siniya Island&gt;Pristine Beach Residences&gt;Pristine Beach Residences Tower C")</f>
        <v>Umm Al Quwain&gt;Al Seanneeah&gt;Sobha Siniya Island&gt;Pristine Beach Residences&gt;Pristine Beach Residences Tower C</v>
      </c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</row>
    <row r="3325" spans="1:26" ht="16.5" x14ac:dyDescent="0.35">
      <c r="A3325" s="2" t="str">
        <f ca="1">IFERROR(__xludf.DUMMYFUNCTION("""COMPUTED_VALUE"""),"Fujairah")</f>
        <v>Fujairah</v>
      </c>
      <c r="B3325" s="2" t="str">
        <f ca="1">IFERROR(__xludf.DUMMYFUNCTION("""COMPUTED_VALUE"""),"Al Masaood Warehouses")</f>
        <v>Al Masaood Warehouses</v>
      </c>
      <c r="C3325" s="2"/>
      <c r="D3325" s="2" t="str">
        <f ca="1">IFERROR(__xludf.DUMMYFUNCTION("""COMPUTED_VALUE"""),"Fujairah&gt;Al Hayl&gt;Al Masaood Warehouses")</f>
        <v>Fujairah&gt;Al Hayl&gt;Al Masaood Warehouses</v>
      </c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</row>
    <row r="3326" spans="1:26" ht="16.5" x14ac:dyDescent="0.35">
      <c r="A3326" s="2" t="str">
        <f ca="1">IFERROR(__xludf.DUMMYFUNCTION("""COMPUTED_VALUE"""),"Fujairah")</f>
        <v>Fujairah</v>
      </c>
      <c r="B3326" s="2" t="str">
        <f ca="1">IFERROR(__xludf.DUMMYFUNCTION("""COMPUTED_VALUE"""),"Fujairah Building")</f>
        <v>Fujairah Building</v>
      </c>
      <c r="C3326" s="2"/>
      <c r="D3326" s="2" t="str">
        <f ca="1">IFERROR(__xludf.DUMMYFUNCTION("""COMPUTED_VALUE"""),"Fujairah&gt;Al Mahatta&gt;Fujairah Building")</f>
        <v>Fujairah&gt;Al Mahatta&gt;Fujairah Building</v>
      </c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</row>
    <row r="3327" spans="1:26" ht="16.5" x14ac:dyDescent="0.35">
      <c r="A3327" s="2" t="str">
        <f ca="1">IFERROR(__xludf.DUMMYFUNCTION("""COMPUTED_VALUE"""),"Abu Dhabi")</f>
        <v>Abu Dhabi</v>
      </c>
      <c r="B3327" s="2" t="str">
        <f ca="1">IFERROR(__xludf.DUMMYFUNCTION("""COMPUTED_VALUE"""),"Jouri")</f>
        <v>Jouri</v>
      </c>
      <c r="C3327" s="2" t="str">
        <f ca="1">IFERROR(__xludf.DUMMYFUNCTION("""COMPUTED_VALUE"""),"Building")</f>
        <v>Building</v>
      </c>
      <c r="D3327" s="2" t="str">
        <f ca="1">IFERROR(__xludf.DUMMYFUNCTION("""COMPUTED_VALUE"""),"Abu Dhabi&gt;Khalifa City&gt;Golf Gardens&gt;Jouri")</f>
        <v>Abu Dhabi&gt;Khalifa City&gt;Golf Gardens&gt;Jouri</v>
      </c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</row>
    <row r="3328" spans="1:26" ht="16.5" x14ac:dyDescent="0.35">
      <c r="A3328" s="2" t="str">
        <f ca="1">IFERROR(__xludf.DUMMYFUNCTION("""COMPUTED_VALUE"""),"Abu Dhabi")</f>
        <v>Abu Dhabi</v>
      </c>
      <c r="B3328" s="2" t="str">
        <f ca="1">IFERROR(__xludf.DUMMYFUNCTION("""COMPUTED_VALUE"""),"Burj Mohammed Bin Rashid - WTC")</f>
        <v>Burj Mohammed Bin Rashid - WTC</v>
      </c>
      <c r="C3328" s="2" t="str">
        <f ca="1">IFERROR(__xludf.DUMMYFUNCTION("""COMPUTED_VALUE"""),"Building")</f>
        <v>Building</v>
      </c>
      <c r="D3328" s="2" t="str">
        <f ca="1">IFERROR(__xludf.DUMMYFUNCTION("""COMPUTED_VALUE"""),"Abu Dhabi&gt;Al Markaziya&gt;Burj Mohammed Bin Rashid - WTC")</f>
        <v>Abu Dhabi&gt;Al Markaziya&gt;Burj Mohammed Bin Rashid - WTC</v>
      </c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</row>
    <row r="3329" spans="1:26" ht="16.5" x14ac:dyDescent="0.35">
      <c r="A3329" s="2" t="str">
        <f ca="1">IFERROR(__xludf.DUMMYFUNCTION("""COMPUTED_VALUE"""),"Abu Dhabi")</f>
        <v>Abu Dhabi</v>
      </c>
      <c r="B3329" s="2" t="str">
        <f ca="1">IFERROR(__xludf.DUMMYFUNCTION("""COMPUTED_VALUE"""),"Lulu Centre Building")</f>
        <v>Lulu Centre Building</v>
      </c>
      <c r="C3329" s="2" t="str">
        <f ca="1">IFERROR(__xludf.DUMMYFUNCTION("""COMPUTED_VALUE"""),"Building")</f>
        <v>Building</v>
      </c>
      <c r="D3329" s="2" t="str">
        <f ca="1">IFERROR(__xludf.DUMMYFUNCTION("""COMPUTED_VALUE"""),"Abu Dhabi&gt;Al Markaziya&gt;Lulu Centre Building")</f>
        <v>Abu Dhabi&gt;Al Markaziya&gt;Lulu Centre Building</v>
      </c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</row>
    <row r="3330" spans="1:26" ht="16.5" x14ac:dyDescent="0.35">
      <c r="A3330" s="2" t="str">
        <f ca="1">IFERROR(__xludf.DUMMYFUNCTION("""COMPUTED_VALUE"""),"Abu Dhabi")</f>
        <v>Abu Dhabi</v>
      </c>
      <c r="B3330" s="2" t="str">
        <f ca="1">IFERROR(__xludf.DUMMYFUNCTION("""COMPUTED_VALUE"""),"Saadiyat Noon")</f>
        <v>Saadiyat Noon</v>
      </c>
      <c r="C3330" s="2" t="str">
        <f ca="1">IFERROR(__xludf.DUMMYFUNCTION("""COMPUTED_VALUE"""),"Building")</f>
        <v>Building</v>
      </c>
      <c r="D3330" s="2" t="str">
        <f ca="1">IFERROR(__xludf.DUMMYFUNCTION("""COMPUTED_VALUE"""),"Abu Dhabi&gt;Saadiyat Island&gt;Saadiyat Noon")</f>
        <v>Abu Dhabi&gt;Saadiyat Island&gt;Saadiyat Noon</v>
      </c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</row>
    <row r="3331" spans="1:26" ht="16.5" x14ac:dyDescent="0.35">
      <c r="A3331" s="2" t="str">
        <f ca="1">IFERROR(__xludf.DUMMYFUNCTION("""COMPUTED_VALUE"""),"Abu Dhabi")</f>
        <v>Abu Dhabi</v>
      </c>
      <c r="B3331" s="2" t="str">
        <f ca="1">IFERROR(__xludf.DUMMYFUNCTION("""COMPUTED_VALUE"""),"Mandarin Oriental The Residences Tower 2")</f>
        <v>Mandarin Oriental The Residences Tower 2</v>
      </c>
      <c r="C3331" s="2" t="str">
        <f ca="1">IFERROR(__xludf.DUMMYFUNCTION("""COMPUTED_VALUE"""),"Building")</f>
        <v>Building</v>
      </c>
      <c r="D3331" s="2" t="str">
        <f ca="1">IFERROR(__xludf.DUMMYFUNCTION("""COMPUTED_VALUE"""),"Abu Dhabi&gt;Saadiyat Island&gt;Saadiyat Cultural District&gt;Mandarin Oriental The Residences&gt;Mandarin Oriental The Residences Tower 2")</f>
        <v>Abu Dhabi&gt;Saadiyat Island&gt;Saadiyat Cultural District&gt;Mandarin Oriental The Residences&gt;Mandarin Oriental The Residences Tower 2</v>
      </c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</row>
    <row r="3332" spans="1:26" ht="16.5" x14ac:dyDescent="0.35">
      <c r="A3332" s="2" t="str">
        <f ca="1">IFERROR(__xludf.DUMMYFUNCTION("""COMPUTED_VALUE"""),"Abu Dhabi")</f>
        <v>Abu Dhabi</v>
      </c>
      <c r="B3332" s="2" t="str">
        <f ca="1">IFERROR(__xludf.DUMMYFUNCTION("""COMPUTED_VALUE"""),"Saadiyat St Regis Residences")</f>
        <v>Saadiyat St Regis Residences</v>
      </c>
      <c r="C3332" s="2" t="str">
        <f ca="1">IFERROR(__xludf.DUMMYFUNCTION("""COMPUTED_VALUE"""),"Cluster")</f>
        <v>Cluster</v>
      </c>
      <c r="D3332" s="2" t="str">
        <f ca="1">IFERROR(__xludf.DUMMYFUNCTION("""COMPUTED_VALUE"""),"Abu Dhabi&gt;Saadiyat Island&gt;Saadiyat Beach&gt;Saadiyat St Regis Residences")</f>
        <v>Abu Dhabi&gt;Saadiyat Island&gt;Saadiyat Beach&gt;Saadiyat St Regis Residences</v>
      </c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</row>
    <row r="3333" spans="1:26" ht="16.5" x14ac:dyDescent="0.35">
      <c r="A3333" s="2" t="str">
        <f ca="1">IFERROR(__xludf.DUMMYFUNCTION("""COMPUTED_VALUE"""),"Abu Dhabi")</f>
        <v>Abu Dhabi</v>
      </c>
      <c r="B3333" s="2" t="str">
        <f ca="1">IFERROR(__xludf.DUMMYFUNCTION("""COMPUTED_VALUE"""),"Vera Building")</f>
        <v>Vera Building</v>
      </c>
      <c r="C3333" s="2" t="str">
        <f ca="1">IFERROR(__xludf.DUMMYFUNCTION("""COMPUTED_VALUE"""),"Building")</f>
        <v>Building</v>
      </c>
      <c r="D3333" s="2" t="str">
        <f ca="1">IFERROR(__xludf.DUMMYFUNCTION("""COMPUTED_VALUE"""),"Abu Dhabi&gt;Al Raha Beach&gt;Vera Building")</f>
        <v>Abu Dhabi&gt;Al Raha Beach&gt;Vera Building</v>
      </c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</row>
    <row r="3334" spans="1:26" ht="16.5" x14ac:dyDescent="0.35">
      <c r="A3334" s="2" t="str">
        <f ca="1">IFERROR(__xludf.DUMMYFUNCTION("""COMPUTED_VALUE"""),"Abu Dhabi")</f>
        <v>Abu Dhabi</v>
      </c>
      <c r="B3334" s="2" t="str">
        <f ca="1">IFERROR(__xludf.DUMMYFUNCTION("""COMPUTED_VALUE"""),"Al Zeina Building D")</f>
        <v>Al Zeina Building D</v>
      </c>
      <c r="C3334" s="2" t="str">
        <f ca="1">IFERROR(__xludf.DUMMYFUNCTION("""COMPUTED_VALUE"""),"Building")</f>
        <v>Building</v>
      </c>
      <c r="D3334" s="2" t="str">
        <f ca="1">IFERROR(__xludf.DUMMYFUNCTION("""COMPUTED_VALUE"""),"Abu Dhabi&gt;Al Raha Beach&gt;Al Zeina&gt;Al Zeina Building D")</f>
        <v>Abu Dhabi&gt;Al Raha Beach&gt;Al Zeina&gt;Al Zeina Building D</v>
      </c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</row>
    <row r="3335" spans="1:26" ht="16.5" x14ac:dyDescent="0.35">
      <c r="A3335" s="2" t="str">
        <f ca="1">IFERROR(__xludf.DUMMYFUNCTION("""COMPUTED_VALUE"""),"Abu Dhabi")</f>
        <v>Abu Dhabi</v>
      </c>
      <c r="B3335" s="2" t="str">
        <f ca="1">IFERROR(__xludf.DUMMYFUNCTION("""COMPUTED_VALUE"""),"Al Khubeira")</f>
        <v>Al Khubeira</v>
      </c>
      <c r="C3335" s="2" t="str">
        <f ca="1">IFERROR(__xludf.DUMMYFUNCTION("""COMPUTED_VALUE"""),"Neighbourhood")</f>
        <v>Neighbourhood</v>
      </c>
      <c r="D3335" s="2" t="str">
        <f ca="1">IFERROR(__xludf.DUMMYFUNCTION("""COMPUTED_VALUE"""),"Abu Dhabi&gt;Al Raha Beach&gt;Al Khubeira")</f>
        <v>Abu Dhabi&gt;Al Raha Beach&gt;Al Khubeira</v>
      </c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</row>
    <row r="3336" spans="1:26" ht="16.5" x14ac:dyDescent="0.35">
      <c r="A3336" s="2" t="str">
        <f ca="1">IFERROR(__xludf.DUMMYFUNCTION("""COMPUTED_VALUE"""),"Abu Dhabi")</f>
        <v>Abu Dhabi</v>
      </c>
      <c r="B3336" s="2" t="str">
        <f ca="1">IFERROR(__xludf.DUMMYFUNCTION("""COMPUTED_VALUE"""),"P-2520")</f>
        <v>P-2520</v>
      </c>
      <c r="C3336" s="2" t="str">
        <f ca="1">IFERROR(__xludf.DUMMYFUNCTION("""COMPUTED_VALUE"""),"Building")</f>
        <v>Building</v>
      </c>
      <c r="D3336" s="2" t="str">
        <f ca="1">IFERROR(__xludf.DUMMYFUNCTION("""COMPUTED_VALUE"""),"Abu Dhabi&gt;Al Raha Beach&gt;P-2520")</f>
        <v>Abu Dhabi&gt;Al Raha Beach&gt;P-2520</v>
      </c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</row>
    <row r="3337" spans="1:26" ht="16.5" x14ac:dyDescent="0.35">
      <c r="A3337" s="2" t="str">
        <f ca="1">IFERROR(__xludf.DUMMYFUNCTION("""COMPUTED_VALUE"""),"Abu Dhabi")</f>
        <v>Abu Dhabi</v>
      </c>
      <c r="B3337" s="2" t="str">
        <f ca="1">IFERROR(__xludf.DUMMYFUNCTION("""COMPUTED_VALUE"""),"Al Dana Residence")</f>
        <v>Al Dana Residence</v>
      </c>
      <c r="C3337" s="2" t="str">
        <f ca="1">IFERROR(__xludf.DUMMYFUNCTION("""COMPUTED_VALUE"""),"Building")</f>
        <v>Building</v>
      </c>
      <c r="D3337" s="2" t="str">
        <f ca="1">IFERROR(__xludf.DUMMYFUNCTION("""COMPUTED_VALUE"""),"Abu Dhabi&gt;Danet Abu Dhabi&gt;Al Dana Residence")</f>
        <v>Abu Dhabi&gt;Danet Abu Dhabi&gt;Al Dana Residence</v>
      </c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</row>
    <row r="3338" spans="1:26" ht="16.5" x14ac:dyDescent="0.35">
      <c r="A3338" s="2" t="str">
        <f ca="1">IFERROR(__xludf.DUMMYFUNCTION("""COMPUTED_VALUE"""),"Abu Dhabi")</f>
        <v>Abu Dhabi</v>
      </c>
      <c r="B3338" s="2" t="str">
        <f ca="1">IFERROR(__xludf.DUMMYFUNCTION("""COMPUTED_VALUE"""),"Creative British School, Abu Dhabi")</f>
        <v>Creative British School, Abu Dhabi</v>
      </c>
      <c r="C3338" s="2" t="str">
        <f ca="1">IFERROR(__xludf.DUMMYFUNCTION("""COMPUTED_VALUE"""),"School")</f>
        <v>School</v>
      </c>
      <c r="D3338" s="2" t="str">
        <f ca="1">IFERROR(__xludf.DUMMYFUNCTION("""COMPUTED_VALUE"""),"Abu Dhabi&gt;Mohamed Bin Zayed City&gt;Creative British School, Abu Dhabi")</f>
        <v>Abu Dhabi&gt;Mohamed Bin Zayed City&gt;Creative British School, Abu Dhabi</v>
      </c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</row>
    <row r="3339" spans="1:26" ht="16.5" x14ac:dyDescent="0.35">
      <c r="A3339" s="2" t="str">
        <f ca="1">IFERROR(__xludf.DUMMYFUNCTION("""COMPUTED_VALUE"""),"Abu Dhabi")</f>
        <v>Abu Dhabi</v>
      </c>
      <c r="B3339" s="2" t="str">
        <f ca="1">IFERROR(__xludf.DUMMYFUNCTION("""COMPUTED_VALUE"""),"Zone 24")</f>
        <v>Zone 24</v>
      </c>
      <c r="C3339" s="2" t="str">
        <f ca="1">IFERROR(__xludf.DUMMYFUNCTION("""COMPUTED_VALUE"""),"Neighbourhood")</f>
        <v>Neighbourhood</v>
      </c>
      <c r="D3339" s="2" t="str">
        <f ca="1">IFERROR(__xludf.DUMMYFUNCTION("""COMPUTED_VALUE"""),"Abu Dhabi&gt;Mohamed Bin Zayed City&gt;Zone 24")</f>
        <v>Abu Dhabi&gt;Mohamed Bin Zayed City&gt;Zone 24</v>
      </c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</row>
    <row r="3340" spans="1:26" ht="16.5" x14ac:dyDescent="0.35">
      <c r="A3340" s="2" t="str">
        <f ca="1">IFERROR(__xludf.DUMMYFUNCTION("""COMPUTED_VALUE"""),"Abu Dhabi")</f>
        <v>Abu Dhabi</v>
      </c>
      <c r="B3340" s="2" t="str">
        <f ca="1">IFERROR(__xludf.DUMMYFUNCTION("""COMPUTED_VALUE"""),"Mussafah Community")</f>
        <v>Mussafah Community</v>
      </c>
      <c r="C3340" s="2" t="str">
        <f ca="1">IFERROR(__xludf.DUMMYFUNCTION("""COMPUTED_VALUE"""),"Neighbourhood")</f>
        <v>Neighbourhood</v>
      </c>
      <c r="D3340" s="2" t="str">
        <f ca="1">IFERROR(__xludf.DUMMYFUNCTION("""COMPUTED_VALUE"""),"Abu Dhabi&gt;Mohamed Bin Zayed City&gt;Mussafah Community")</f>
        <v>Abu Dhabi&gt;Mohamed Bin Zayed City&gt;Mussafah Community</v>
      </c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</row>
    <row r="3341" spans="1:26" ht="16.5" x14ac:dyDescent="0.35">
      <c r="A3341" s="2" t="str">
        <f ca="1">IFERROR(__xludf.DUMMYFUNCTION("""COMPUTED_VALUE"""),"Abu Dhabi")</f>
        <v>Abu Dhabi</v>
      </c>
      <c r="B3341" s="2" t="str">
        <f ca="1">IFERROR(__xludf.DUMMYFUNCTION("""COMPUTED_VALUE"""),"Building 39")</f>
        <v>Building 39</v>
      </c>
      <c r="C3341" s="2" t="str">
        <f ca="1">IFERROR(__xludf.DUMMYFUNCTION("""COMPUTED_VALUE"""),"Building")</f>
        <v>Building</v>
      </c>
      <c r="D3341" s="2" t="str">
        <f ca="1">IFERROR(__xludf.DUMMYFUNCTION("""COMPUTED_VALUE"""),"Abu Dhabi&gt;Al Reef&gt;Al Reef Downtown&gt;Building 39")</f>
        <v>Abu Dhabi&gt;Al Reef&gt;Al Reef Downtown&gt;Building 39</v>
      </c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</row>
    <row r="3342" spans="1:26" ht="16.5" x14ac:dyDescent="0.35">
      <c r="A3342" s="2" t="str">
        <f ca="1">IFERROR(__xludf.DUMMYFUNCTION("""COMPUTED_VALUE"""),"Abu Dhabi")</f>
        <v>Abu Dhabi</v>
      </c>
      <c r="B3342" s="2" t="str">
        <f ca="1">IFERROR(__xludf.DUMMYFUNCTION("""COMPUTED_VALUE"""),"Zone 4")</f>
        <v>Zone 4</v>
      </c>
      <c r="C3342" s="2" t="str">
        <f ca="1">IFERROR(__xludf.DUMMYFUNCTION("""COMPUTED_VALUE"""),"Neighbourhood")</f>
        <v>Neighbourhood</v>
      </c>
      <c r="D3342" s="2" t="str">
        <f ca="1">IFERROR(__xludf.DUMMYFUNCTION("""COMPUTED_VALUE"""),"Abu Dhabi&gt;Hydra Village&gt;Zone 4")</f>
        <v>Abu Dhabi&gt;Hydra Village&gt;Zone 4</v>
      </c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</row>
    <row r="3343" spans="1:26" ht="16.5" x14ac:dyDescent="0.35">
      <c r="A3343" s="2" t="str">
        <f ca="1">IFERROR(__xludf.DUMMYFUNCTION("""COMPUTED_VALUE"""),"Abu Dhabi")</f>
        <v>Abu Dhabi</v>
      </c>
      <c r="B3343" s="2" t="str">
        <f ca="1">IFERROR(__xludf.DUMMYFUNCTION("""COMPUTED_VALUE"""),"Saif Ghobash Building")</f>
        <v>Saif Ghobash Building</v>
      </c>
      <c r="C3343" s="2" t="str">
        <f ca="1">IFERROR(__xludf.DUMMYFUNCTION("""COMPUTED_VALUE"""),"Building")</f>
        <v>Building</v>
      </c>
      <c r="D3343" s="2" t="str">
        <f ca="1">IFERROR(__xludf.DUMMYFUNCTION("""COMPUTED_VALUE"""),"Abu Dhabi&gt;Sheikh Khalifa Bin Zayed Street&gt;Saif Ghobash Building")</f>
        <v>Abu Dhabi&gt;Sheikh Khalifa Bin Zayed Street&gt;Saif Ghobash Building</v>
      </c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</row>
    <row r="3344" spans="1:26" ht="16.5" x14ac:dyDescent="0.35">
      <c r="A3344" s="2" t="str">
        <f ca="1">IFERROR(__xludf.DUMMYFUNCTION("""COMPUTED_VALUE"""),"Abu Dhabi")</f>
        <v>Abu Dhabi</v>
      </c>
      <c r="B3344" s="2" t="str">
        <f ca="1">IFERROR(__xludf.DUMMYFUNCTION("""COMPUTED_VALUE"""),"Zayed Military City Tower 5")</f>
        <v>Zayed Military City Tower 5</v>
      </c>
      <c r="C3344" s="2" t="str">
        <f ca="1">IFERROR(__xludf.DUMMYFUNCTION("""COMPUTED_VALUE"""),"Building")</f>
        <v>Building</v>
      </c>
      <c r="D3344" s="2" t="str">
        <f ca="1">IFERROR(__xludf.DUMMYFUNCTION("""COMPUTED_VALUE"""),"Abu Dhabi&gt;Zayed Military City&gt;Zayed Military City Tower 5")</f>
        <v>Abu Dhabi&gt;Zayed Military City&gt;Zayed Military City Tower 5</v>
      </c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</row>
    <row r="3345" spans="1:26" ht="16.5" x14ac:dyDescent="0.35">
      <c r="A3345" s="2" t="str">
        <f ca="1">IFERROR(__xludf.DUMMYFUNCTION("""COMPUTED_VALUE"""),"Abu Dhabi")</f>
        <v>Abu Dhabi</v>
      </c>
      <c r="B3345" s="2" t="str">
        <f ca="1">IFERROR(__xludf.DUMMYFUNCTION("""COMPUTED_VALUE"""),"Ansam 3")</f>
        <v>Ansam 3</v>
      </c>
      <c r="C3345" s="2" t="str">
        <f ca="1">IFERROR(__xludf.DUMMYFUNCTION("""COMPUTED_VALUE"""),"Building")</f>
        <v>Building</v>
      </c>
      <c r="D3345" s="2" t="str">
        <f ca="1">IFERROR(__xludf.DUMMYFUNCTION("""COMPUTED_VALUE"""),"Abu Dhabi&gt;Yas Island&gt;Ansam&gt;Ansam 3")</f>
        <v>Abu Dhabi&gt;Yas Island&gt;Ansam&gt;Ansam 3</v>
      </c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</row>
    <row r="3346" spans="1:26" ht="16.5" x14ac:dyDescent="0.35">
      <c r="A3346" s="2" t="str">
        <f ca="1">IFERROR(__xludf.DUMMYFUNCTION("""COMPUTED_VALUE"""),"Abu Dhabi")</f>
        <v>Abu Dhabi</v>
      </c>
      <c r="B3346" s="2" t="str">
        <f ca="1">IFERROR(__xludf.DUMMYFUNCTION("""COMPUTED_VALUE"""),"Apartments 4")</f>
        <v>Apartments 4</v>
      </c>
      <c r="C3346" s="2" t="str">
        <f ca="1">IFERROR(__xludf.DUMMYFUNCTION("""COMPUTED_VALUE"""),"Building")</f>
        <v>Building</v>
      </c>
      <c r="D3346" s="2" t="str">
        <f ca="1">IFERROR(__xludf.DUMMYFUNCTION("""COMPUTED_VALUE"""),"Abu Dhabi&gt;Yas Island&gt;Yas Golf Collection&gt;Apartments 4")</f>
        <v>Abu Dhabi&gt;Yas Island&gt;Yas Golf Collection&gt;Apartments 4</v>
      </c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</row>
    <row r="3347" spans="1:26" ht="16.5" x14ac:dyDescent="0.35">
      <c r="A3347" s="2" t="str">
        <f ca="1">IFERROR(__xludf.DUMMYFUNCTION("""COMPUTED_VALUE"""),"Abu Dhabi")</f>
        <v>Abu Dhabi</v>
      </c>
      <c r="B3347" s="2" t="str">
        <f ca="1">IFERROR(__xludf.DUMMYFUNCTION("""COMPUTED_VALUE"""),"Bashayer by Modon")</f>
        <v>Bashayer by Modon</v>
      </c>
      <c r="C3347" s="2" t="str">
        <f ca="1">IFERROR(__xludf.DUMMYFUNCTION("""COMPUTED_VALUE"""),"Neighbourhood")</f>
        <v>Neighbourhood</v>
      </c>
      <c r="D3347" s="2" t="str">
        <f ca="1">IFERROR(__xludf.DUMMYFUNCTION("""COMPUTED_VALUE"""),"Abu Dhabi&gt;Al Hudayriat Island&gt;Bashayer by Modon")</f>
        <v>Abu Dhabi&gt;Al Hudayriat Island&gt;Bashayer by Modon</v>
      </c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</row>
    <row r="3348" spans="1:26" ht="16.5" x14ac:dyDescent="0.35">
      <c r="A3348" s="2" t="str">
        <f ca="1">IFERROR(__xludf.DUMMYFUNCTION("""COMPUTED_VALUE"""),"Abu Dhabi")</f>
        <v>Abu Dhabi</v>
      </c>
      <c r="B3348" s="2" t="str">
        <f ca="1">IFERROR(__xludf.DUMMYFUNCTION("""COMPUTED_VALUE"""),"Al Hashem Marble 1 Building")</f>
        <v>Al Hashem Marble 1 Building</v>
      </c>
      <c r="C3348" s="2" t="str">
        <f ca="1">IFERROR(__xludf.DUMMYFUNCTION("""COMPUTED_VALUE"""),"Building")</f>
        <v>Building</v>
      </c>
      <c r="D3348" s="2" t="str">
        <f ca="1">IFERROR(__xludf.DUMMYFUNCTION("""COMPUTED_VALUE"""),"Abu Dhabi&gt;Mussafah&gt;Mussafah Industrial Area&gt;Al Hashem Marble 1 Building")</f>
        <v>Abu Dhabi&gt;Mussafah&gt;Mussafah Industrial Area&gt;Al Hashem Marble 1 Building</v>
      </c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</row>
    <row r="3349" spans="1:26" ht="16.5" x14ac:dyDescent="0.35">
      <c r="A3349" s="2" t="str">
        <f ca="1">IFERROR(__xludf.DUMMYFUNCTION("""COMPUTED_VALUE"""),"Ajman")</f>
        <v>Ajman</v>
      </c>
      <c r="B3349" s="2" t="str">
        <f ca="1">IFERROR(__xludf.DUMMYFUNCTION("""COMPUTED_VALUE"""),"Al Bahia")</f>
        <v>Al Bahia</v>
      </c>
      <c r="C3349" s="2" t="str">
        <f ca="1">IFERROR(__xludf.DUMMYFUNCTION("""COMPUTED_VALUE"""),"Neighbourhood")</f>
        <v>Neighbourhood</v>
      </c>
      <c r="D3349" s="2" t="str">
        <f ca="1">IFERROR(__xludf.DUMMYFUNCTION("""COMPUTED_VALUE"""),"Ajman&gt;Al Bahia")</f>
        <v>Ajman&gt;Al Bahia</v>
      </c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</row>
    <row r="3350" spans="1:26" ht="16.5" x14ac:dyDescent="0.35">
      <c r="A3350" s="2" t="str">
        <f ca="1">IFERROR(__xludf.DUMMYFUNCTION("""COMPUTED_VALUE"""),"Ajman")</f>
        <v>Ajman</v>
      </c>
      <c r="B3350" s="2" t="str">
        <f ca="1">IFERROR(__xludf.DUMMYFUNCTION("""COMPUTED_VALUE"""),"Fortune Residency")</f>
        <v>Fortune Residency</v>
      </c>
      <c r="C3350" s="2" t="str">
        <f ca="1">IFERROR(__xludf.DUMMYFUNCTION("""COMPUTED_VALUE"""),"Building")</f>
        <v>Building</v>
      </c>
      <c r="D3350" s="2" t="str">
        <f ca="1">IFERROR(__xludf.DUMMYFUNCTION("""COMPUTED_VALUE"""),"Ajman&gt;Emirates City&gt;Fortune Residency")</f>
        <v>Ajman&gt;Emirates City&gt;Fortune Residency</v>
      </c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</row>
    <row r="3351" spans="1:26" ht="16.5" x14ac:dyDescent="0.35">
      <c r="A3351" s="2" t="str">
        <f ca="1">IFERROR(__xludf.DUMMYFUNCTION("""COMPUTED_VALUE"""),"Ajman")</f>
        <v>Ajman</v>
      </c>
      <c r="B3351" s="2" t="str">
        <f ca="1">IFERROR(__xludf.DUMMYFUNCTION("""COMPUTED_VALUE"""),"Fifth Avenue Ajman")</f>
        <v>Fifth Avenue Ajman</v>
      </c>
      <c r="C3351" s="2" t="str">
        <f ca="1">IFERROR(__xludf.DUMMYFUNCTION("""COMPUTED_VALUE"""),"Building")</f>
        <v>Building</v>
      </c>
      <c r="D3351" s="2" t="str">
        <f ca="1">IFERROR(__xludf.DUMMYFUNCTION("""COMPUTED_VALUE"""),"Ajman&gt;Emirates City&gt;Fifth Avenue Ajman")</f>
        <v>Ajman&gt;Emirates City&gt;Fifth Avenue Ajman</v>
      </c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</row>
    <row r="3352" spans="1:26" ht="16.5" x14ac:dyDescent="0.35">
      <c r="A3352" s="2" t="str">
        <f ca="1">IFERROR(__xludf.DUMMYFUNCTION("""COMPUTED_VALUE"""),"Ajman")</f>
        <v>Ajman</v>
      </c>
      <c r="B3352" s="2" t="str">
        <f ca="1">IFERROR(__xludf.DUMMYFUNCTION("""COMPUTED_VALUE"""),"Al Karama Area")</f>
        <v>Al Karama Area</v>
      </c>
      <c r="C3352" s="2"/>
      <c r="D3352" s="2" t="str">
        <f ca="1">IFERROR(__xludf.DUMMYFUNCTION("""COMPUTED_VALUE"""),"Ajman&gt;Al Karama Area")</f>
        <v>Ajman&gt;Al Karama Area</v>
      </c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</row>
    <row r="3353" spans="1:26" ht="16.5" x14ac:dyDescent="0.35">
      <c r="A3353" s="2" t="str">
        <f ca="1">IFERROR(__xludf.DUMMYFUNCTION("""COMPUTED_VALUE"""),"Ajman")</f>
        <v>Ajman</v>
      </c>
      <c r="B3353" s="2" t="str">
        <f ca="1">IFERROR(__xludf.DUMMYFUNCTION("""COMPUTED_VALUE"""),"Geepas Building 4")</f>
        <v>Geepas Building 4</v>
      </c>
      <c r="C3353" s="2"/>
      <c r="D3353" s="2" t="str">
        <f ca="1">IFERROR(__xludf.DUMMYFUNCTION("""COMPUTED_VALUE"""),"Ajman&gt;Al Rumaila&gt;Geepas Building 4")</f>
        <v>Ajman&gt;Al Rumaila&gt;Geepas Building 4</v>
      </c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</row>
    <row r="3354" spans="1:26" ht="16.5" x14ac:dyDescent="0.35">
      <c r="A3354" s="2" t="str">
        <f ca="1">IFERROR(__xludf.DUMMYFUNCTION("""COMPUTED_VALUE"""),"Ajman")</f>
        <v>Ajman</v>
      </c>
      <c r="B3354" s="2" t="str">
        <f ca="1">IFERROR(__xludf.DUMMYFUNCTION("""COMPUTED_VALUE"""),"Grand Residence")</f>
        <v>Grand Residence</v>
      </c>
      <c r="C3354" s="2"/>
      <c r="D3354" s="2" t="str">
        <f ca="1">IFERROR(__xludf.DUMMYFUNCTION("""COMPUTED_VALUE"""),"Ajman&gt;Al Rashidiya&gt;Al Rashidiya 3&gt;Grand Residence")</f>
        <v>Ajman&gt;Al Rashidiya&gt;Al Rashidiya 3&gt;Grand Residence</v>
      </c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</row>
    <row r="3355" spans="1:26" ht="16.5" x14ac:dyDescent="0.35">
      <c r="A3355" s="2" t="str">
        <f ca="1">IFERROR(__xludf.DUMMYFUNCTION("""COMPUTED_VALUE"""),"Ajman")</f>
        <v>Ajman</v>
      </c>
      <c r="B3355" s="2" t="str">
        <f ca="1">IFERROR(__xludf.DUMMYFUNCTION("""COMPUTED_VALUE"""),"Corniche Ajman")</f>
        <v>Corniche Ajman</v>
      </c>
      <c r="C3355" s="2" t="str">
        <f ca="1">IFERROR(__xludf.DUMMYFUNCTION("""COMPUTED_VALUE"""),"Neighbourhood")</f>
        <v>Neighbourhood</v>
      </c>
      <c r="D3355" s="2" t="str">
        <f ca="1">IFERROR(__xludf.DUMMYFUNCTION("""COMPUTED_VALUE"""),"Ajman&gt;Corniche Ajman")</f>
        <v>Ajman&gt;Corniche Ajman</v>
      </c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</row>
    <row r="3356" spans="1:26" ht="16.5" x14ac:dyDescent="0.35">
      <c r="A3356" s="2" t="str">
        <f ca="1">IFERROR(__xludf.DUMMYFUNCTION("""COMPUTED_VALUE"""),"Ajman")</f>
        <v>Ajman</v>
      </c>
      <c r="B3356" s="2" t="str">
        <f ca="1">IFERROR(__xludf.DUMMYFUNCTION("""COMPUTED_VALUE"""),"Guitar Tower")</f>
        <v>Guitar Tower</v>
      </c>
      <c r="C3356" s="2"/>
      <c r="D3356" s="2" t="str">
        <f ca="1">IFERROR(__xludf.DUMMYFUNCTION("""COMPUTED_VALUE"""),"Ajman&gt;Ain Ajman&gt;Guitar Tower")</f>
        <v>Ajman&gt;Ain Ajman&gt;Guitar Tower</v>
      </c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</row>
    <row r="3357" spans="1:26" ht="16.5" x14ac:dyDescent="0.35">
      <c r="A3357" s="2" t="str">
        <f ca="1">IFERROR(__xludf.DUMMYFUNCTION("""COMPUTED_VALUE"""),"Ajman")</f>
        <v>Ajman</v>
      </c>
      <c r="B3357" s="2" t="str">
        <f ca="1">IFERROR(__xludf.DUMMYFUNCTION("""COMPUTED_VALUE"""),"Al Yasmeen")</f>
        <v>Al Yasmeen</v>
      </c>
      <c r="C3357" s="2" t="str">
        <f ca="1">IFERROR(__xludf.DUMMYFUNCTION("""COMPUTED_VALUE"""),"Neighbourhood")</f>
        <v>Neighbourhood</v>
      </c>
      <c r="D3357" s="2" t="str">
        <f ca="1">IFERROR(__xludf.DUMMYFUNCTION("""COMPUTED_VALUE"""),"Ajman&gt;Al Yasmeen")</f>
        <v>Ajman&gt;Al Yasmeen</v>
      </c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</row>
    <row r="3358" spans="1:26" ht="16.5" x14ac:dyDescent="0.35">
      <c r="A3358" s="2" t="str">
        <f ca="1">IFERROR(__xludf.DUMMYFUNCTION("""COMPUTED_VALUE"""),"Ajman")</f>
        <v>Ajman</v>
      </c>
      <c r="B3358" s="2" t="str">
        <f ca="1">IFERROR(__xludf.DUMMYFUNCTION("""COMPUTED_VALUE"""),"Eden Golf Views")</f>
        <v>Eden Golf Views</v>
      </c>
      <c r="C3358" s="2" t="str">
        <f ca="1">IFERROR(__xludf.DUMMYFUNCTION("""COMPUTED_VALUE"""),"Building")</f>
        <v>Building</v>
      </c>
      <c r="D3358" s="2" t="str">
        <f ca="1">IFERROR(__xludf.DUMMYFUNCTION("""COMPUTED_VALUE"""),"Ajman&gt;Al Zorah&gt;Eden Golf Views")</f>
        <v>Ajman&gt;Al Zorah&gt;Eden Golf Views</v>
      </c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</row>
    <row r="3359" spans="1:26" ht="16.5" x14ac:dyDescent="0.35">
      <c r="A3359" s="2" t="str">
        <f ca="1">IFERROR(__xludf.DUMMYFUNCTION("""COMPUTED_VALUE"""),"Ajman")</f>
        <v>Ajman</v>
      </c>
      <c r="B3359" s="2" t="str">
        <f ca="1">IFERROR(__xludf.DUMMYFUNCTION("""COMPUTED_VALUE"""),"Al Hilal Tower")</f>
        <v>Al Hilal Tower</v>
      </c>
      <c r="C3359" s="2" t="str">
        <f ca="1">IFERROR(__xludf.DUMMYFUNCTION("""COMPUTED_VALUE"""),"Building")</f>
        <v>Building</v>
      </c>
      <c r="D3359" s="2" t="str">
        <f ca="1">IFERROR(__xludf.DUMMYFUNCTION("""COMPUTED_VALUE"""),"Ajman&gt;Al Humaid City&gt;Al Hilal Tower")</f>
        <v>Ajman&gt;Al Humaid City&gt;Al Hilal Tower</v>
      </c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</row>
    <row r="3360" spans="1:26" ht="16.5" x14ac:dyDescent="0.35">
      <c r="A3360" s="2" t="str">
        <f ca="1">IFERROR(__xludf.DUMMYFUNCTION("""COMPUTED_VALUE"""),"Ajman")</f>
        <v>Ajman</v>
      </c>
      <c r="B3360" s="2" t="str">
        <f ca="1">IFERROR(__xludf.DUMMYFUNCTION("""COMPUTED_VALUE"""),"Al Nuaimiya Towers")</f>
        <v>Al Nuaimiya Towers</v>
      </c>
      <c r="C3360" s="2" t="str">
        <f ca="1">IFERROR(__xludf.DUMMYFUNCTION("""COMPUTED_VALUE"""),"Building")</f>
        <v>Building</v>
      </c>
      <c r="D3360" s="2" t="str">
        <f ca="1">IFERROR(__xludf.DUMMYFUNCTION("""COMPUTED_VALUE"""),"Ajman&gt;Al Nuaimiya&gt;Al Nuaimiya Towers")</f>
        <v>Ajman&gt;Al Nuaimiya&gt;Al Nuaimiya Towers</v>
      </c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</row>
    <row r="3361" spans="1:26" ht="16.5" x14ac:dyDescent="0.35">
      <c r="A3361" s="2" t="str">
        <f ca="1">IFERROR(__xludf.DUMMYFUNCTION("""COMPUTED_VALUE"""),"Ajman")</f>
        <v>Ajman</v>
      </c>
      <c r="B3361" s="2" t="str">
        <f ca="1">IFERROR(__xludf.DUMMYFUNCTION("""COMPUTED_VALUE"""),"Al Bassam Building")</f>
        <v>Al Bassam Building</v>
      </c>
      <c r="C3361" s="2"/>
      <c r="D3361" s="2" t="str">
        <f ca="1">IFERROR(__xludf.DUMMYFUNCTION("""COMPUTED_VALUE"""),"Ajman&gt;Al Nuaimiya&gt;Al Nuaimiya 2&gt;Al Bassam Building")</f>
        <v>Ajman&gt;Al Nuaimiya&gt;Al Nuaimiya 2&gt;Al Bassam Building</v>
      </c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</row>
    <row r="3362" spans="1:26" ht="16.5" x14ac:dyDescent="0.35">
      <c r="A3362" s="2" t="str">
        <f ca="1">IFERROR(__xludf.DUMMYFUNCTION("""COMPUTED_VALUE"""),"Sharjah")</f>
        <v>Sharjah</v>
      </c>
      <c r="B3362" s="2" t="str">
        <f ca="1">IFERROR(__xludf.DUMMYFUNCTION("""COMPUTED_VALUE"""),"Sahara Tower 2")</f>
        <v>Sahara Tower 2</v>
      </c>
      <c r="C3362" s="2" t="str">
        <f ca="1">IFERROR(__xludf.DUMMYFUNCTION("""COMPUTED_VALUE"""),"Building")</f>
        <v>Building</v>
      </c>
      <c r="D3362" s="2" t="str">
        <f ca="1">IFERROR(__xludf.DUMMYFUNCTION("""COMPUTED_VALUE"""),"Sharjah&gt;Al Nahda (Sharjah)&gt;Sahara Towers&gt;Sahara Tower 2")</f>
        <v>Sharjah&gt;Al Nahda (Sharjah)&gt;Sahara Towers&gt;Sahara Tower 2</v>
      </c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</row>
    <row r="3363" spans="1:26" ht="16.5" x14ac:dyDescent="0.35">
      <c r="A3363" s="2" t="str">
        <f ca="1">IFERROR(__xludf.DUMMYFUNCTION("""COMPUTED_VALUE"""),"Sharjah")</f>
        <v>Sharjah</v>
      </c>
      <c r="B3363" s="2" t="str">
        <f ca="1">IFERROR(__xludf.DUMMYFUNCTION("""COMPUTED_VALUE"""),"Sharjah Gate tower")</f>
        <v>Sharjah Gate tower</v>
      </c>
      <c r="C3363" s="2" t="str">
        <f ca="1">IFERROR(__xludf.DUMMYFUNCTION("""COMPUTED_VALUE"""),"Building")</f>
        <v>Building</v>
      </c>
      <c r="D3363" s="2" t="str">
        <f ca="1">IFERROR(__xludf.DUMMYFUNCTION("""COMPUTED_VALUE"""),"Sharjah&gt;Al Nahda (Sharjah)&gt;Sharjah Gate tower")</f>
        <v>Sharjah&gt;Al Nahda (Sharjah)&gt;Sharjah Gate tower</v>
      </c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</row>
    <row r="3364" spans="1:26" ht="16.5" x14ac:dyDescent="0.35">
      <c r="A3364" s="2" t="str">
        <f ca="1">IFERROR(__xludf.DUMMYFUNCTION("""COMPUTED_VALUE"""),"Sharjah")</f>
        <v>Sharjah</v>
      </c>
      <c r="B3364" s="2" t="str">
        <f ca="1">IFERROR(__xludf.DUMMYFUNCTION("""COMPUTED_VALUE"""),"Al Baraka Building")</f>
        <v>Al Baraka Building</v>
      </c>
      <c r="C3364" s="2"/>
      <c r="D3364" s="2" t="str">
        <f ca="1">IFERROR(__xludf.DUMMYFUNCTION("""COMPUTED_VALUE"""),"Sharjah&gt;Al Nahda (Sharjah)&gt;Al Baraka Building")</f>
        <v>Sharjah&gt;Al Nahda (Sharjah)&gt;Al Baraka Building</v>
      </c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</row>
    <row r="3365" spans="1:26" ht="16.5" x14ac:dyDescent="0.35">
      <c r="A3365" s="2" t="str">
        <f ca="1">IFERROR(__xludf.DUMMYFUNCTION("""COMPUTED_VALUE"""),"Sharjah")</f>
        <v>Sharjah</v>
      </c>
      <c r="B3365" s="2" t="str">
        <f ca="1">IFERROR(__xludf.DUMMYFUNCTION("""COMPUTED_VALUE"""),"Inter Mass Building")</f>
        <v>Inter Mass Building</v>
      </c>
      <c r="C3365" s="2"/>
      <c r="D3365" s="2" t="str">
        <f ca="1">IFERROR(__xludf.DUMMYFUNCTION("""COMPUTED_VALUE"""),"Sharjah&gt;Al Nahda (Sharjah)&gt;Inter Mass Building")</f>
        <v>Sharjah&gt;Al Nahda (Sharjah)&gt;Inter Mass Building</v>
      </c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</row>
    <row r="3366" spans="1:26" ht="16.5" x14ac:dyDescent="0.35">
      <c r="A3366" s="2" t="str">
        <f ca="1">IFERROR(__xludf.DUMMYFUNCTION("""COMPUTED_VALUE"""),"Sharjah")</f>
        <v>Sharjah</v>
      </c>
      <c r="B3366" s="2" t="str">
        <f ca="1">IFERROR(__xludf.DUMMYFUNCTION("""COMPUTED_VALUE"""),"Rizwan Tower")</f>
        <v>Rizwan Tower</v>
      </c>
      <c r="C3366" s="2" t="str">
        <f ca="1">IFERROR(__xludf.DUMMYFUNCTION("""COMPUTED_VALUE"""),"Building")</f>
        <v>Building</v>
      </c>
      <c r="D3366" s="2" t="str">
        <f ca="1">IFERROR(__xludf.DUMMYFUNCTION("""COMPUTED_VALUE"""),"Sharjah&gt;Al Nahda (Sharjah)&gt;Rizwan Tower")</f>
        <v>Sharjah&gt;Al Nahda (Sharjah)&gt;Rizwan Tower</v>
      </c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</row>
    <row r="3367" spans="1:26" ht="16.5" x14ac:dyDescent="0.35">
      <c r="A3367" s="2" t="str">
        <f ca="1">IFERROR(__xludf.DUMMYFUNCTION("""COMPUTED_VALUE"""),"Sharjah")</f>
        <v>Sharjah</v>
      </c>
      <c r="B3367" s="2" t="str">
        <f ca="1">IFERROR(__xludf.DUMMYFUNCTION("""COMPUTED_VALUE"""),"Hayawa")</f>
        <v>Hayawa</v>
      </c>
      <c r="C3367" s="2" t="str">
        <f ca="1">IFERROR(__xludf.DUMMYFUNCTION("""COMPUTED_VALUE"""),"Neighbourhood")</f>
        <v>Neighbourhood</v>
      </c>
      <c r="D3367" s="2" t="str">
        <f ca="1">IFERROR(__xludf.DUMMYFUNCTION("""COMPUTED_VALUE"""),"Sharjah&gt;Khor Fakkan&gt;Hayawa")</f>
        <v>Sharjah&gt;Khor Fakkan&gt;Hayawa</v>
      </c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</row>
    <row r="3368" spans="1:26" ht="16.5" x14ac:dyDescent="0.35">
      <c r="A3368" s="2" t="str">
        <f ca="1">IFERROR(__xludf.DUMMYFUNCTION("""COMPUTED_VALUE"""),"Sharjah")</f>
        <v>Sharjah</v>
      </c>
      <c r="B3368" s="2" t="str">
        <f ca="1">IFERROR(__xludf.DUMMYFUNCTION("""COMPUTED_VALUE"""),"Vida Residence Aljada")</f>
        <v>Vida Residence Aljada</v>
      </c>
      <c r="C3368" s="2" t="str">
        <f ca="1">IFERROR(__xludf.DUMMYFUNCTION("""COMPUTED_VALUE"""),"Building")</f>
        <v>Building</v>
      </c>
      <c r="D3368" s="2" t="str">
        <f ca="1">IFERROR(__xludf.DUMMYFUNCTION("""COMPUTED_VALUE"""),"Sharjah&gt;Aljada&gt;Vida Residence Aljada")</f>
        <v>Sharjah&gt;Aljada&gt;Vida Residence Aljada</v>
      </c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</row>
    <row r="3369" spans="1:26" ht="16.5" x14ac:dyDescent="0.35">
      <c r="A3369" s="2" t="str">
        <f ca="1">IFERROR(__xludf.DUMMYFUNCTION("""COMPUTED_VALUE"""),"Sharjah")</f>
        <v>Sharjah</v>
      </c>
      <c r="B3369" s="2" t="str">
        <f ca="1">IFERROR(__xludf.DUMMYFUNCTION("""COMPUTED_VALUE"""),"The Gate 4")</f>
        <v>The Gate 4</v>
      </c>
      <c r="C3369" s="2" t="str">
        <f ca="1">IFERROR(__xludf.DUMMYFUNCTION("""COMPUTED_VALUE"""),"Building")</f>
        <v>Building</v>
      </c>
      <c r="D3369" s="2" t="str">
        <f ca="1">IFERROR(__xludf.DUMMYFUNCTION("""COMPUTED_VALUE"""),"Sharjah&gt;Aljada&gt;The Gate&gt;The Gate 4")</f>
        <v>Sharjah&gt;Aljada&gt;The Gate&gt;The Gate 4</v>
      </c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</row>
    <row r="3370" spans="1:26" ht="16.5" x14ac:dyDescent="0.35">
      <c r="A3370" s="2" t="str">
        <f ca="1">IFERROR(__xludf.DUMMYFUNCTION("""COMPUTED_VALUE"""),"Sharjah")</f>
        <v>Sharjah</v>
      </c>
      <c r="B3370" s="2" t="str">
        <f ca="1">IFERROR(__xludf.DUMMYFUNCTION("""COMPUTED_VALUE"""),"Al Hamriyah")</f>
        <v>Al Hamriyah</v>
      </c>
      <c r="C3370" s="2" t="str">
        <f ca="1">IFERROR(__xludf.DUMMYFUNCTION("""COMPUTED_VALUE"""),"Neighbourhood")</f>
        <v>Neighbourhood</v>
      </c>
      <c r="D3370" s="2" t="str">
        <f ca="1">IFERROR(__xludf.DUMMYFUNCTION("""COMPUTED_VALUE"""),"Sharjah&gt;Al Hamriyah")</f>
        <v>Sharjah&gt;Al Hamriyah</v>
      </c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</row>
    <row r="3371" spans="1:26" ht="16.5" x14ac:dyDescent="0.35">
      <c r="A3371" s="2" t="str">
        <f ca="1">IFERROR(__xludf.DUMMYFUNCTION("""COMPUTED_VALUE"""),"Sharjah")</f>
        <v>Sharjah</v>
      </c>
      <c r="B3371" s="2" t="str">
        <f ca="1">IFERROR(__xludf.DUMMYFUNCTION("""COMPUTED_VALUE"""),"Saleh Bin Saleh Al Hamadi")</f>
        <v>Saleh Bin Saleh Al Hamadi</v>
      </c>
      <c r="C3371" s="2"/>
      <c r="D3371" s="2" t="str">
        <f ca="1">IFERROR(__xludf.DUMMYFUNCTION("""COMPUTED_VALUE"""),"Sharjah&gt;Abu Shagara&gt;Saleh Bin Saleh Al Hamadi")</f>
        <v>Sharjah&gt;Abu Shagara&gt;Saleh Bin Saleh Al Hamadi</v>
      </c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</row>
    <row r="3372" spans="1:26" ht="16.5" x14ac:dyDescent="0.35">
      <c r="A3372" s="2" t="str">
        <f ca="1">IFERROR(__xludf.DUMMYFUNCTION("""COMPUTED_VALUE"""),"Sharjah")</f>
        <v>Sharjah</v>
      </c>
      <c r="B3372" s="2" t="str">
        <f ca="1">IFERROR(__xludf.DUMMYFUNCTION("""COMPUTED_VALUE"""),"Al Qasba")</f>
        <v>Al Qasba</v>
      </c>
      <c r="C3372" s="2" t="str">
        <f ca="1">IFERROR(__xludf.DUMMYFUNCTION("""COMPUTED_VALUE"""),"Neighbourhood")</f>
        <v>Neighbourhood</v>
      </c>
      <c r="D3372" s="2" t="str">
        <f ca="1">IFERROR(__xludf.DUMMYFUNCTION("""COMPUTED_VALUE"""),"Sharjah&gt;Al Qasba")</f>
        <v>Sharjah&gt;Al Qasba</v>
      </c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</row>
    <row r="3373" spans="1:26" ht="16.5" x14ac:dyDescent="0.35">
      <c r="A3373" s="2" t="str">
        <f ca="1">IFERROR(__xludf.DUMMYFUNCTION("""COMPUTED_VALUE"""),"Sharjah")</f>
        <v>Sharjah</v>
      </c>
      <c r="B3373" s="2" t="str">
        <f ca="1">IFERROR(__xludf.DUMMYFUNCTION("""COMPUTED_VALUE"""),"Emirates American School, Sharjah")</f>
        <v>Emirates American School, Sharjah</v>
      </c>
      <c r="C3373" s="2" t="str">
        <f ca="1">IFERROR(__xludf.DUMMYFUNCTION("""COMPUTED_VALUE"""),"School")</f>
        <v>School</v>
      </c>
      <c r="D3373" s="2" t="str">
        <f ca="1">IFERROR(__xludf.DUMMYFUNCTION("""COMPUTED_VALUE"""),"Sharjah&gt;Al Qarayen&gt;Emirates American School, Sharjah")</f>
        <v>Sharjah&gt;Al Qarayen&gt;Emirates American School, Sharjah</v>
      </c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</row>
    <row r="3374" spans="1:26" ht="16.5" x14ac:dyDescent="0.35">
      <c r="A3374" s="2" t="str">
        <f ca="1">IFERROR(__xludf.DUMMYFUNCTION("""COMPUTED_VALUE"""),"Sharjah")</f>
        <v>Sharjah</v>
      </c>
      <c r="B3374" s="2" t="str">
        <f ca="1">IFERROR(__xludf.DUMMYFUNCTION("""COMPUTED_VALUE"""),"Robinia")</f>
        <v>Robinia</v>
      </c>
      <c r="C3374" s="2" t="str">
        <f ca="1">IFERROR(__xludf.DUMMYFUNCTION("""COMPUTED_VALUE"""),"Neighbourhood")</f>
        <v>Neighbourhood</v>
      </c>
      <c r="D3374" s="2" t="str">
        <f ca="1">IFERROR(__xludf.DUMMYFUNCTION("""COMPUTED_VALUE"""),"Sharjah&gt;Tilal City&gt;Masaar&gt;Robinia")</f>
        <v>Sharjah&gt;Tilal City&gt;Masaar&gt;Robinia</v>
      </c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</row>
    <row r="3375" spans="1:26" ht="16.5" x14ac:dyDescent="0.35">
      <c r="A3375" s="2" t="str">
        <f ca="1">IFERROR(__xludf.DUMMYFUNCTION("""COMPUTED_VALUE"""),"Sharjah")</f>
        <v>Sharjah</v>
      </c>
      <c r="B3375" s="2" t="str">
        <f ca="1">IFERROR(__xludf.DUMMYFUNCTION("""COMPUTED_VALUE"""),"Wasit Suburb")</f>
        <v>Wasit Suburb</v>
      </c>
      <c r="C3375" s="2"/>
      <c r="D3375" s="2" t="str">
        <f ca="1">IFERROR(__xludf.DUMMYFUNCTION("""COMPUTED_VALUE"""),"Sharjah&gt;Wasit Suburb")</f>
        <v>Sharjah&gt;Wasit Suburb</v>
      </c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</row>
    <row r="3376" spans="1:26" ht="16.5" x14ac:dyDescent="0.35">
      <c r="A3376" s="2" t="str">
        <f ca="1">IFERROR(__xludf.DUMMYFUNCTION("""COMPUTED_VALUE"""),"Sharjah")</f>
        <v>Sharjah</v>
      </c>
      <c r="B3376" s="2" t="str">
        <f ca="1">IFERROR(__xludf.DUMMYFUNCTION("""COMPUTED_VALUE"""),"National Building")</f>
        <v>National Building</v>
      </c>
      <c r="C3376" s="2"/>
      <c r="D3376" s="2" t="str">
        <f ca="1">IFERROR(__xludf.DUMMYFUNCTION("""COMPUTED_VALUE"""),"Sharjah&gt;Al Musalla&gt;National Building")</f>
        <v>Sharjah&gt;Al Musalla&gt;National Building</v>
      </c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</row>
    <row r="3377" spans="1:26" ht="16.5" x14ac:dyDescent="0.35">
      <c r="A3377" s="2" t="str">
        <f ca="1">IFERROR(__xludf.DUMMYFUNCTION("""COMPUTED_VALUE"""),"Sharjah")</f>
        <v>Sharjah</v>
      </c>
      <c r="B3377" s="2" t="str">
        <f ca="1">IFERROR(__xludf.DUMMYFUNCTION("""COMPUTED_VALUE"""),"Al Shola Private School")</f>
        <v>Al Shola Private School</v>
      </c>
      <c r="C3377" s="2" t="str">
        <f ca="1">IFERROR(__xludf.DUMMYFUNCTION("""COMPUTED_VALUE"""),"School")</f>
        <v>School</v>
      </c>
      <c r="D3377" s="2" t="str">
        <f ca="1">IFERROR(__xludf.DUMMYFUNCTION("""COMPUTED_VALUE"""),"Sharjah&gt;Al Shahba&gt;Al Shola Private School")</f>
        <v>Sharjah&gt;Al Shahba&gt;Al Shola Private School</v>
      </c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</row>
    <row r="3378" spans="1:26" ht="16.5" x14ac:dyDescent="0.35">
      <c r="A3378" s="2" t="str">
        <f ca="1">IFERROR(__xludf.DUMMYFUNCTION("""COMPUTED_VALUE"""),"Sharjah")</f>
        <v>Sharjah</v>
      </c>
      <c r="B3378" s="2" t="str">
        <f ca="1">IFERROR(__xludf.DUMMYFUNCTION("""COMPUTED_VALUE"""),"Heritage House")</f>
        <v>Heritage House</v>
      </c>
      <c r="C3378" s="2"/>
      <c r="D3378" s="2" t="str">
        <f ca="1">IFERROR(__xludf.DUMMYFUNCTION("""COMPUTED_VALUE"""),"Sharjah&gt;Al Mareija&gt;Heritage House")</f>
        <v>Sharjah&gt;Al Mareija&gt;Heritage House</v>
      </c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</row>
    <row r="3379" spans="1:26" ht="16.5" x14ac:dyDescent="0.35">
      <c r="A3379" s="2" t="str">
        <f ca="1">IFERROR(__xludf.DUMMYFUNCTION("""COMPUTED_VALUE"""),"Sharjah")</f>
        <v>Sharjah</v>
      </c>
      <c r="B3379" s="2" t="str">
        <f ca="1">IFERROR(__xludf.DUMMYFUNCTION("""COMPUTED_VALUE"""),"Mughaidir Suburb")</f>
        <v>Mughaidir Suburb</v>
      </c>
      <c r="C3379" s="2"/>
      <c r="D3379" s="2" t="str">
        <f ca="1">IFERROR(__xludf.DUMMYFUNCTION("""COMPUTED_VALUE"""),"Sharjah&gt;Mughaidir Suburb")</f>
        <v>Sharjah&gt;Mughaidir Suburb</v>
      </c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</row>
    <row r="3380" spans="1:26" ht="16.5" x14ac:dyDescent="0.35">
      <c r="A3380" s="2" t="str">
        <f ca="1">IFERROR(__xludf.DUMMYFUNCTION("""COMPUTED_VALUE"""),"Sharjah")</f>
        <v>Sharjah</v>
      </c>
      <c r="B3380" s="2" t="str">
        <f ca="1">IFERROR(__xludf.DUMMYFUNCTION("""COMPUTED_VALUE"""),"Kshisha 1")</f>
        <v>Kshisha 1</v>
      </c>
      <c r="C3380" s="2" t="str">
        <f ca="1">IFERROR(__xludf.DUMMYFUNCTION("""COMPUTED_VALUE"""),"Neighbourhood")</f>
        <v>Neighbourhood</v>
      </c>
      <c r="D3380" s="2" t="str">
        <f ca="1">IFERROR(__xludf.DUMMYFUNCTION("""COMPUTED_VALUE"""),"Sharjah&gt;Al Rahmaniya&gt;Kshisha 1")</f>
        <v>Sharjah&gt;Al Rahmaniya&gt;Kshisha 1</v>
      </c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</row>
    <row r="3381" spans="1:26" ht="16.5" x14ac:dyDescent="0.35">
      <c r="A3381" s="2" t="str">
        <f ca="1">IFERROR(__xludf.DUMMYFUNCTION("""COMPUTED_VALUE"""),"Sharjah")</f>
        <v>Sharjah</v>
      </c>
      <c r="B3381" s="2" t="str">
        <f ca="1">IFERROR(__xludf.DUMMYFUNCTION("""COMPUTED_VALUE"""),"Turrfana")</f>
        <v>Turrfana</v>
      </c>
      <c r="C3381" s="2"/>
      <c r="D3381" s="2" t="str">
        <f ca="1">IFERROR(__xludf.DUMMYFUNCTION("""COMPUTED_VALUE"""),"Sharjah&gt;Turrfana")</f>
        <v>Sharjah&gt;Turrfana</v>
      </c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</row>
    <row r="3382" spans="1:26" ht="16.5" x14ac:dyDescent="0.35">
      <c r="A3382" s="2" t="str">
        <f ca="1">IFERROR(__xludf.DUMMYFUNCTION("""COMPUTED_VALUE"""),"Sharjah")</f>
        <v>Sharjah</v>
      </c>
      <c r="B3382" s="2" t="str">
        <f ca="1">IFERROR(__xludf.DUMMYFUNCTION("""COMPUTED_VALUE"""),"Al Sondos Tower")</f>
        <v>Al Sondos Tower</v>
      </c>
      <c r="C3382" s="2" t="str">
        <f ca="1">IFERROR(__xludf.DUMMYFUNCTION("""COMPUTED_VALUE"""),"Building")</f>
        <v>Building</v>
      </c>
      <c r="D3382" s="2" t="str">
        <f ca="1">IFERROR(__xludf.DUMMYFUNCTION("""COMPUTED_VALUE"""),"Sharjah&gt;Al Khan&gt;Al Sondos Tower")</f>
        <v>Sharjah&gt;Al Khan&gt;Al Sondos Tower</v>
      </c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</row>
    <row r="3383" spans="1:26" ht="16.5" x14ac:dyDescent="0.35">
      <c r="A3383" s="2" t="str">
        <f ca="1">IFERROR(__xludf.DUMMYFUNCTION("""COMPUTED_VALUE"""),"Sharjah")</f>
        <v>Sharjah</v>
      </c>
      <c r="B3383" s="2" t="str">
        <f ca="1">IFERROR(__xludf.DUMMYFUNCTION("""COMPUTED_VALUE"""),"Shams Residences")</f>
        <v>Shams Residences</v>
      </c>
      <c r="C3383" s="2" t="str">
        <f ca="1">IFERROR(__xludf.DUMMYFUNCTION("""COMPUTED_VALUE"""),"Building")</f>
        <v>Building</v>
      </c>
      <c r="D3383" s="2" t="str">
        <f ca="1">IFERROR(__xludf.DUMMYFUNCTION("""COMPUTED_VALUE"""),"Sharjah&gt;Al Khan&gt;Maryam Island&gt;Maryam Gate Residences&gt;Shams Residences")</f>
        <v>Sharjah&gt;Al Khan&gt;Maryam Island&gt;Maryam Gate Residences&gt;Shams Residences</v>
      </c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</row>
    <row r="3384" spans="1:26" ht="16.5" x14ac:dyDescent="0.35">
      <c r="A3384" s="2" t="str">
        <f ca="1">IFERROR(__xludf.DUMMYFUNCTION("""COMPUTED_VALUE"""),"Sharjah")</f>
        <v>Sharjah</v>
      </c>
      <c r="B3384" s="2" t="str">
        <f ca="1">IFERROR(__xludf.DUMMYFUNCTION("""COMPUTED_VALUE"""),"Al Raees Building")</f>
        <v>Al Raees Building</v>
      </c>
      <c r="C3384" s="2"/>
      <c r="D3384" s="2" t="str">
        <f ca="1">IFERROR(__xludf.DUMMYFUNCTION("""COMPUTED_VALUE"""),"Sharjah&gt;Al Khan&gt;Al Raees Building")</f>
        <v>Sharjah&gt;Al Khan&gt;Al Raees Building</v>
      </c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</row>
    <row r="3385" spans="1:26" ht="16.5" x14ac:dyDescent="0.35">
      <c r="A3385" s="2" t="str">
        <f ca="1">IFERROR(__xludf.DUMMYFUNCTION("""COMPUTED_VALUE"""),"Sharjah")</f>
        <v>Sharjah</v>
      </c>
      <c r="B3385" s="2" t="str">
        <f ca="1">IFERROR(__xludf.DUMMYFUNCTION("""COMPUTED_VALUE"""),"Almaza Tower")</f>
        <v>Almaza Tower</v>
      </c>
      <c r="C3385" s="2" t="str">
        <f ca="1">IFERROR(__xludf.DUMMYFUNCTION("""COMPUTED_VALUE"""),"Building")</f>
        <v>Building</v>
      </c>
      <c r="D3385" s="2" t="str">
        <f ca="1">IFERROR(__xludf.DUMMYFUNCTION("""COMPUTED_VALUE"""),"Sharjah&gt;Al Khan&gt;Almaza Tower")</f>
        <v>Sharjah&gt;Al Khan&gt;Almaza Tower</v>
      </c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</row>
    <row r="3386" spans="1:26" ht="16.5" x14ac:dyDescent="0.35">
      <c r="A3386" s="2" t="str">
        <f ca="1">IFERROR(__xludf.DUMMYFUNCTION("""COMPUTED_VALUE"""),"Sharjah")</f>
        <v>Sharjah</v>
      </c>
      <c r="B3386" s="2" t="str">
        <f ca="1">IFERROR(__xludf.DUMMYFUNCTION("""COMPUTED_VALUE"""),"Al Atlal Tower")</f>
        <v>Al Atlal Tower</v>
      </c>
      <c r="C3386" s="2"/>
      <c r="D3386" s="2" t="str">
        <f ca="1">IFERROR(__xludf.DUMMYFUNCTION("""COMPUTED_VALUE"""),"Sharjah&gt;Al Majaz&gt;Al Majaz 2&gt;Al Atlal Tower")</f>
        <v>Sharjah&gt;Al Majaz&gt;Al Majaz 2&gt;Al Atlal Tower</v>
      </c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</row>
    <row r="3387" spans="1:26" ht="16.5" x14ac:dyDescent="0.35">
      <c r="A3387" s="2" t="str">
        <f ca="1">IFERROR(__xludf.DUMMYFUNCTION("""COMPUTED_VALUE"""),"Sharjah")</f>
        <v>Sharjah</v>
      </c>
      <c r="B3387" s="2" t="str">
        <f ca="1">IFERROR(__xludf.DUMMYFUNCTION("""COMPUTED_VALUE"""),"Nasser Tower")</f>
        <v>Nasser Tower</v>
      </c>
      <c r="C3387" s="2"/>
      <c r="D3387" s="2" t="str">
        <f ca="1">IFERROR(__xludf.DUMMYFUNCTION("""COMPUTED_VALUE"""),"Sharjah&gt;Al Majaz&gt;Al Majaz 2&gt;Nasser Tower")</f>
        <v>Sharjah&gt;Al Majaz&gt;Al Majaz 2&gt;Nasser Tower</v>
      </c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</row>
    <row r="3388" spans="1:26" ht="16.5" x14ac:dyDescent="0.35">
      <c r="A3388" s="2" t="str">
        <f ca="1">IFERROR(__xludf.DUMMYFUNCTION("""COMPUTED_VALUE"""),"Sharjah")</f>
        <v>Sharjah</v>
      </c>
      <c r="B3388" s="2" t="str">
        <f ca="1">IFERROR(__xludf.DUMMYFUNCTION("""COMPUTED_VALUE"""),"Sara Tower")</f>
        <v>Sara Tower</v>
      </c>
      <c r="C3388" s="2"/>
      <c r="D3388" s="2" t="str">
        <f ca="1">IFERROR(__xludf.DUMMYFUNCTION("""COMPUTED_VALUE"""),"Sharjah&gt;Al Majaz&gt;Al Majaz 3&gt;Sara Tower")</f>
        <v>Sharjah&gt;Al Majaz&gt;Al Majaz 3&gt;Sara Tower</v>
      </c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</row>
    <row r="3389" spans="1:26" ht="16.5" x14ac:dyDescent="0.35">
      <c r="A3389" s="2" t="str">
        <f ca="1">IFERROR(__xludf.DUMMYFUNCTION("""COMPUTED_VALUE"""),"Sharjah")</f>
        <v>Sharjah</v>
      </c>
      <c r="B3389" s="2" t="str">
        <f ca="1">IFERROR(__xludf.DUMMYFUNCTION("""COMPUTED_VALUE"""),"Buhamra Tower")</f>
        <v>Buhamra Tower</v>
      </c>
      <c r="C3389" s="2"/>
      <c r="D3389" s="2" t="str">
        <f ca="1">IFERROR(__xludf.DUMMYFUNCTION("""COMPUTED_VALUE"""),"Sharjah&gt;Al Majaz&gt;Al Majaz 3&gt;Buhamra Tower")</f>
        <v>Sharjah&gt;Al Majaz&gt;Al Majaz 3&gt;Buhamra Tower</v>
      </c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</row>
    <row r="3390" spans="1:26" ht="16.5" x14ac:dyDescent="0.35">
      <c r="A3390" s="2" t="str">
        <f ca="1">IFERROR(__xludf.DUMMYFUNCTION("""COMPUTED_VALUE"""),"Sharjah")</f>
        <v>Sharjah</v>
      </c>
      <c r="B3390" s="2" t="str">
        <f ca="1">IFERROR(__xludf.DUMMYFUNCTION("""COMPUTED_VALUE"""),"Watan Building")</f>
        <v>Watan Building</v>
      </c>
      <c r="C3390" s="2"/>
      <c r="D3390" s="2" t="str">
        <f ca="1">IFERROR(__xludf.DUMMYFUNCTION("""COMPUTED_VALUE"""),"Sharjah&gt;Al Majaz&gt;Al Majaz 3&gt;Watan Building")</f>
        <v>Sharjah&gt;Al Majaz&gt;Al Majaz 3&gt;Watan Building</v>
      </c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</row>
    <row r="3391" spans="1:26" ht="16.5" x14ac:dyDescent="0.35">
      <c r="A3391" s="2" t="str">
        <f ca="1">IFERROR(__xludf.DUMMYFUNCTION("""COMPUTED_VALUE"""),"Sharjah")</f>
        <v>Sharjah</v>
      </c>
      <c r="B3391" s="2" t="str">
        <f ca="1">IFERROR(__xludf.DUMMYFUNCTION("""COMPUTED_VALUE"""),"City Center Buildings")</f>
        <v>City Center Buildings</v>
      </c>
      <c r="C3391" s="2" t="str">
        <f ca="1">IFERROR(__xludf.DUMMYFUNCTION("""COMPUTED_VALUE"""),"Cluster")</f>
        <v>Cluster</v>
      </c>
      <c r="D3391" s="2" t="str">
        <f ca="1">IFERROR(__xludf.DUMMYFUNCTION("""COMPUTED_VALUE"""),"Sharjah&gt;Al Majaz&gt;Al Majaz 1&gt;City Center Buildings")</f>
        <v>Sharjah&gt;Al Majaz&gt;Al Majaz 1&gt;City Center Buildings</v>
      </c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</row>
    <row r="3392" spans="1:26" ht="16.5" x14ac:dyDescent="0.35">
      <c r="A3392" s="2" t="str">
        <f ca="1">IFERROR(__xludf.DUMMYFUNCTION("""COMPUTED_VALUE"""),"Sharjah")</f>
        <v>Sharjah</v>
      </c>
      <c r="B3392" s="2" t="str">
        <f ca="1">IFERROR(__xludf.DUMMYFUNCTION("""COMPUTED_VALUE"""),"Athaib")</f>
        <v>Athaib</v>
      </c>
      <c r="C3392" s="2" t="str">
        <f ca="1">IFERROR(__xludf.DUMMYFUNCTION("""COMPUTED_VALUE"""),"Neighbourhood")</f>
        <v>Neighbourhood</v>
      </c>
      <c r="D3392" s="2" t="str">
        <f ca="1">IFERROR(__xludf.DUMMYFUNCTION("""COMPUTED_VALUE"""),"Sharjah&gt;Athaib")</f>
        <v>Sharjah&gt;Athaib</v>
      </c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</row>
    <row r="3393" spans="1:26" ht="16.5" x14ac:dyDescent="0.35">
      <c r="A3393" s="2" t="str">
        <f ca="1">IFERROR(__xludf.DUMMYFUNCTION("""COMPUTED_VALUE"""),"Sharjah")</f>
        <v>Sharjah</v>
      </c>
      <c r="B3393" s="2" t="str">
        <f ca="1">IFERROR(__xludf.DUMMYFUNCTION("""COMPUTED_VALUE"""),"Sharjah Tower Taawun")</f>
        <v>Sharjah Tower Taawun</v>
      </c>
      <c r="C3393" s="2"/>
      <c r="D3393" s="2" t="str">
        <f ca="1">IFERROR(__xludf.DUMMYFUNCTION("""COMPUTED_VALUE"""),"Sharjah&gt;Al Taawun&gt;Sharjah Tower Taawun")</f>
        <v>Sharjah&gt;Al Taawun&gt;Sharjah Tower Taawun</v>
      </c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</row>
    <row r="3394" spans="1:26" ht="16.5" x14ac:dyDescent="0.35">
      <c r="A3394" s="2" t="str">
        <f ca="1">IFERROR(__xludf.DUMMYFUNCTION("""COMPUTED_VALUE"""),"Sharjah")</f>
        <v>Sharjah</v>
      </c>
      <c r="B3394" s="2" t="str">
        <f ca="1">IFERROR(__xludf.DUMMYFUNCTION("""COMPUTED_VALUE"""),"Hafeet 2 Tower")</f>
        <v>Hafeet 2 Tower</v>
      </c>
      <c r="C3394" s="2" t="str">
        <f ca="1">IFERROR(__xludf.DUMMYFUNCTION("""COMPUTED_VALUE"""),"Building")</f>
        <v>Building</v>
      </c>
      <c r="D3394" s="2" t="str">
        <f ca="1">IFERROR(__xludf.DUMMYFUNCTION("""COMPUTED_VALUE"""),"Sharjah&gt;Al Taawun&gt;Hafeet 2 Tower")</f>
        <v>Sharjah&gt;Al Taawun&gt;Hafeet 2 Tower</v>
      </c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</row>
    <row r="3395" spans="1:26" ht="16.5" x14ac:dyDescent="0.35">
      <c r="A3395" s="2" t="str">
        <f ca="1">IFERROR(__xludf.DUMMYFUNCTION("""COMPUTED_VALUE"""),"Sharjah")</f>
        <v>Sharjah</v>
      </c>
      <c r="B3395" s="2" t="str">
        <f ca="1">IFERROR(__xludf.DUMMYFUNCTION("""COMPUTED_VALUE"""),"Al Barakah Halla Building")</f>
        <v>Al Barakah Halla Building</v>
      </c>
      <c r="C3395" s="2" t="str">
        <f ca="1">IFERROR(__xludf.DUMMYFUNCTION("""COMPUTED_VALUE"""),"Building")</f>
        <v>Building</v>
      </c>
      <c r="D3395" s="2" t="str">
        <f ca="1">IFERROR(__xludf.DUMMYFUNCTION("""COMPUTED_VALUE"""),"Sharjah&gt;Al Qasimia&gt;Al Nad&gt;Al Barakah Halla Building")</f>
        <v>Sharjah&gt;Al Qasimia&gt;Al Nad&gt;Al Barakah Halla Building</v>
      </c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</row>
    <row r="3396" spans="1:26" ht="16.5" x14ac:dyDescent="0.35">
      <c r="A3396" s="2" t="str">
        <f ca="1">IFERROR(__xludf.DUMMYFUNCTION("""COMPUTED_VALUE"""),"Sharjah")</f>
        <v>Sharjah</v>
      </c>
      <c r="B3396" s="2" t="str">
        <f ca="1">IFERROR(__xludf.DUMMYFUNCTION("""COMPUTED_VALUE"""),"GGICO Building")</f>
        <v>GGICO Building</v>
      </c>
      <c r="C3396" s="2"/>
      <c r="D3396" s="2" t="str">
        <f ca="1">IFERROR(__xludf.DUMMYFUNCTION("""COMPUTED_VALUE"""),"Sharjah&gt;Al Qasimia&gt;Al Nad&gt;GGICO Building")</f>
        <v>Sharjah&gt;Al Qasimia&gt;Al Nad&gt;GGICO Building</v>
      </c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</row>
    <row r="3397" spans="1:26" ht="16.5" x14ac:dyDescent="0.35">
      <c r="A3397" s="2" t="str">
        <f ca="1">IFERROR(__xludf.DUMMYFUNCTION("""COMPUTED_VALUE"""),"Sharjah")</f>
        <v>Sharjah</v>
      </c>
      <c r="B3397" s="2" t="str">
        <f ca="1">IFERROR(__xludf.DUMMYFUNCTION("""COMPUTED_VALUE"""),"Sun Light Tower")</f>
        <v>Sun Light Tower</v>
      </c>
      <c r="C3397" s="2" t="str">
        <f ca="1">IFERROR(__xludf.DUMMYFUNCTION("""COMPUTED_VALUE"""),"Building")</f>
        <v>Building</v>
      </c>
      <c r="D3397" s="2" t="str">
        <f ca="1">IFERROR(__xludf.DUMMYFUNCTION("""COMPUTED_VALUE"""),"Sharjah&gt;Al Qasimia&gt;Sun Light Tower")</f>
        <v>Sharjah&gt;Al Qasimia&gt;Sun Light Tower</v>
      </c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</row>
    <row r="3398" spans="1:26" ht="16.5" x14ac:dyDescent="0.35">
      <c r="A3398" s="2" t="str">
        <f ca="1">IFERROR(__xludf.DUMMYFUNCTION("""COMPUTED_VALUE"""),"Sharjah")</f>
        <v>Sharjah</v>
      </c>
      <c r="B3398" s="2" t="str">
        <f ca="1">IFERROR(__xludf.DUMMYFUNCTION("""COMPUTED_VALUE"""),"Al Raha")</f>
        <v>Al Raha</v>
      </c>
      <c r="C3398" s="2"/>
      <c r="D3398" s="2" t="str">
        <f ca="1">IFERROR(__xludf.DUMMYFUNCTION("""COMPUTED_VALUE"""),"Sharjah&gt;Al Nabba&gt;Al Raha")</f>
        <v>Sharjah&gt;Al Nabba&gt;Al Raha</v>
      </c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</row>
    <row r="3399" spans="1:26" ht="16.5" x14ac:dyDescent="0.35">
      <c r="A3399" s="2" t="str">
        <f ca="1">IFERROR(__xludf.DUMMYFUNCTION("""COMPUTED_VALUE"""),"Sharjah")</f>
        <v>Sharjah</v>
      </c>
      <c r="B3399" s="2" t="str">
        <f ca="1">IFERROR(__xludf.DUMMYFUNCTION("""COMPUTED_VALUE"""),"Al Yasmin 2 Building")</f>
        <v>Al Yasmin 2 Building</v>
      </c>
      <c r="C3399" s="2" t="str">
        <f ca="1">IFERROR(__xludf.DUMMYFUNCTION("""COMPUTED_VALUE"""),"Building")</f>
        <v>Building</v>
      </c>
      <c r="D3399" s="2" t="str">
        <f ca="1">IFERROR(__xludf.DUMMYFUNCTION("""COMPUTED_VALUE"""),"Sharjah&gt;Industrial Area&gt;Industrial Area 6&gt;Al Yasmin 2 Building")</f>
        <v>Sharjah&gt;Industrial Area&gt;Industrial Area 6&gt;Al Yasmin 2 Building</v>
      </c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</row>
    <row r="3400" spans="1:26" ht="16.5" x14ac:dyDescent="0.35">
      <c r="A3400" s="2" t="str">
        <f ca="1">IFERROR(__xludf.DUMMYFUNCTION("""COMPUTED_VALUE"""),"Sharjah")</f>
        <v>Sharjah</v>
      </c>
      <c r="B3400" s="2" t="str">
        <f ca="1">IFERROR(__xludf.DUMMYFUNCTION("""COMPUTED_VALUE"""),"Industrial Area 8")</f>
        <v>Industrial Area 8</v>
      </c>
      <c r="C3400" s="2" t="str">
        <f ca="1">IFERROR(__xludf.DUMMYFUNCTION("""COMPUTED_VALUE"""),"Neighbourhood")</f>
        <v>Neighbourhood</v>
      </c>
      <c r="D3400" s="2" t="str">
        <f ca="1">IFERROR(__xludf.DUMMYFUNCTION("""COMPUTED_VALUE"""),"Sharjah&gt;Industrial Area&gt;Industrial Area 8")</f>
        <v>Sharjah&gt;Industrial Area&gt;Industrial Area 8</v>
      </c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</row>
    <row r="3401" spans="1:26" ht="16.5" x14ac:dyDescent="0.35">
      <c r="A3401" s="2" t="str">
        <f ca="1">IFERROR(__xludf.DUMMYFUNCTION("""COMPUTED_VALUE"""),"Sharjah")</f>
        <v>Sharjah</v>
      </c>
      <c r="B3401" s="2" t="str">
        <f ca="1">IFERROR(__xludf.DUMMYFUNCTION("""COMPUTED_VALUE"""),"SE 2")</f>
        <v>SE 2</v>
      </c>
      <c r="C3401" s="2" t="str">
        <f ca="1">IFERROR(__xludf.DUMMYFUNCTION("""COMPUTED_VALUE"""),"Building")</f>
        <v>Building</v>
      </c>
      <c r="D3401" s="2" t="str">
        <f ca="1">IFERROR(__xludf.DUMMYFUNCTION("""COMPUTED_VALUE"""),"Sharjah&gt;Muwaileh&gt;Al Mamsha&gt;Souks Residential&gt;SE 2")</f>
        <v>Sharjah&gt;Muwaileh&gt;Al Mamsha&gt;Souks Residential&gt;SE 2</v>
      </c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</row>
    <row r="3402" spans="1:26" ht="16.5" x14ac:dyDescent="0.35">
      <c r="A3402" s="2" t="str">
        <f ca="1">IFERROR(__xludf.DUMMYFUNCTION("""COMPUTED_VALUE"""),"Sharjah")</f>
        <v>Sharjah</v>
      </c>
      <c r="B3402" s="2" t="str">
        <f ca="1">IFERROR(__xludf.DUMMYFUNCTION("""COMPUTED_VALUE"""),"Woroud 3")</f>
        <v>Woroud 3</v>
      </c>
      <c r="C3402" s="2" t="str">
        <f ca="1">IFERROR(__xludf.DUMMYFUNCTION("""COMPUTED_VALUE"""),"Building")</f>
        <v>Building</v>
      </c>
      <c r="D3402" s="2" t="str">
        <f ca="1">IFERROR(__xludf.DUMMYFUNCTION("""COMPUTED_VALUE"""),"Sharjah&gt;Muwaileh&gt;Al Zahia&gt;UpTown Al Zahia&gt;Woroud&gt;Woroud 3")</f>
        <v>Sharjah&gt;Muwaileh&gt;Al Zahia&gt;UpTown Al Zahia&gt;Woroud&gt;Woroud 3</v>
      </c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</row>
    <row r="3403" spans="1:26" ht="16.5" x14ac:dyDescent="0.35">
      <c r="A3403" s="2" t="str">
        <f ca="1">IFERROR(__xludf.DUMMYFUNCTION("""COMPUTED_VALUE"""),"Sharjah")</f>
        <v>Sharjah</v>
      </c>
      <c r="B3403" s="2" t="str">
        <f ca="1">IFERROR(__xludf.DUMMYFUNCTION("""COMPUTED_VALUE"""),"GEMS Cambridge International Private School")</f>
        <v>GEMS Cambridge International Private School</v>
      </c>
      <c r="C3403" s="2" t="str">
        <f ca="1">IFERROR(__xludf.DUMMYFUNCTION("""COMPUTED_VALUE"""),"School")</f>
        <v>School</v>
      </c>
      <c r="D3403" s="2" t="str">
        <f ca="1">IFERROR(__xludf.DUMMYFUNCTION("""COMPUTED_VALUE"""),"Sharjah&gt;Muwaileh Commercial&gt;GEMS Cambridge International Private School")</f>
        <v>Sharjah&gt;Muwaileh Commercial&gt;GEMS Cambridge International Private School</v>
      </c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</row>
    <row r="3404" spans="1:26" ht="16.5" x14ac:dyDescent="0.35">
      <c r="A3404" s="2" t="str">
        <f ca="1">IFERROR(__xludf.DUMMYFUNCTION("""COMPUTED_VALUE"""),"Sharjah")</f>
        <v>Sharjah</v>
      </c>
      <c r="B3404" s="2" t="str">
        <f ca="1">IFERROR(__xludf.DUMMYFUNCTION("""COMPUTED_VALUE"""),"Marji 2 Building")</f>
        <v>Marji 2 Building</v>
      </c>
      <c r="C3404" s="2"/>
      <c r="D3404" s="2" t="str">
        <f ca="1">IFERROR(__xludf.DUMMYFUNCTION("""COMPUTED_VALUE"""),"Sharjah&gt;Muwaileh Commercial&gt;Marji 2 Building")</f>
        <v>Sharjah&gt;Muwaileh Commercial&gt;Marji 2 Building</v>
      </c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</row>
    <row r="3405" spans="1:26" ht="16.5" x14ac:dyDescent="0.35">
      <c r="A3405" s="2" t="str">
        <f ca="1">IFERROR(__xludf.DUMMYFUNCTION("""COMPUTED_VALUE"""),"Sharjah")</f>
        <v>Sharjah</v>
      </c>
      <c r="B3405" s="2" t="str">
        <f ca="1">IFERROR(__xludf.DUMMYFUNCTION("""COMPUTED_VALUE"""),"Binjersh Building")</f>
        <v>Binjersh Building</v>
      </c>
      <c r="C3405" s="2" t="str">
        <f ca="1">IFERROR(__xludf.DUMMYFUNCTION("""COMPUTED_VALUE"""),"Building")</f>
        <v>Building</v>
      </c>
      <c r="D3405" s="2" t="str">
        <f ca="1">IFERROR(__xludf.DUMMYFUNCTION("""COMPUTED_VALUE"""),"Sharjah&gt;Muwaileh Commercial&gt;Binjersh Building")</f>
        <v>Sharjah&gt;Muwaileh Commercial&gt;Binjersh Building</v>
      </c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</row>
    <row r="3406" spans="1:26" ht="16.5" x14ac:dyDescent="0.35">
      <c r="A3406" s="2" t="str">
        <f ca="1">IFERROR(__xludf.DUMMYFUNCTION("""COMPUTED_VALUE"""),"Al Ain")</f>
        <v>Al Ain</v>
      </c>
      <c r="B3406" s="2" t="str">
        <f ca="1">IFERROR(__xludf.DUMMYFUNCTION("""COMPUTED_VALUE"""),"Al Sad")</f>
        <v>Al Sad</v>
      </c>
      <c r="C3406" s="2" t="str">
        <f ca="1">IFERROR(__xludf.DUMMYFUNCTION("""COMPUTED_VALUE"""),"Neighbourhood")</f>
        <v>Neighbourhood</v>
      </c>
      <c r="D3406" s="2" t="str">
        <f ca="1">IFERROR(__xludf.DUMMYFUNCTION("""COMPUTED_VALUE"""),"Al Ain&gt;Al Sad")</f>
        <v>Al Ain&gt;Al Sad</v>
      </c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</row>
    <row r="3407" spans="1:26" ht="16.5" x14ac:dyDescent="0.35">
      <c r="A3407" s="2" t="str">
        <f ca="1">IFERROR(__xludf.DUMMYFUNCTION("""COMPUTED_VALUE"""),"Al Ain")</f>
        <v>Al Ain</v>
      </c>
      <c r="B3407" s="2" t="str">
        <f ca="1">IFERROR(__xludf.DUMMYFUNCTION("""COMPUTED_VALUE"""),"Al Mada Complex 1")</f>
        <v>Al Mada Complex 1</v>
      </c>
      <c r="C3407" s="2" t="str">
        <f ca="1">IFERROR(__xludf.DUMMYFUNCTION("""COMPUTED_VALUE"""),"Building")</f>
        <v>Building</v>
      </c>
      <c r="D3407" s="2" t="str">
        <f ca="1">IFERROR(__xludf.DUMMYFUNCTION("""COMPUTED_VALUE"""),"Al Ain&gt;Central District&gt;Hai Al Salama&gt;Al Mada Complex 1")</f>
        <v>Al Ain&gt;Central District&gt;Hai Al Salama&gt;Al Mada Complex 1</v>
      </c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</row>
    <row r="3408" spans="1:26" ht="16.5" x14ac:dyDescent="0.35">
      <c r="A3408" s="2" t="str">
        <f ca="1">IFERROR(__xludf.DUMMYFUNCTION("""COMPUTED_VALUE"""),"Al Ain")</f>
        <v>Al Ain</v>
      </c>
      <c r="B3408" s="2" t="str">
        <f ca="1">IFERROR(__xludf.DUMMYFUNCTION("""COMPUTED_VALUE"""),"Shareat Al Muwaiji")</f>
        <v>Shareat Al Muwaiji</v>
      </c>
      <c r="C3408" s="2" t="str">
        <f ca="1">IFERROR(__xludf.DUMMYFUNCTION("""COMPUTED_VALUE"""),"Neighbourhood")</f>
        <v>Neighbourhood</v>
      </c>
      <c r="D3408" s="2" t="str">
        <f ca="1">IFERROR(__xludf.DUMMYFUNCTION("""COMPUTED_VALUE"""),"Al Ain&gt;Al Muwaiji&gt;Shareat Al Muwaiji")</f>
        <v>Al Ain&gt;Al Muwaiji&gt;Shareat Al Muwaiji</v>
      </c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</row>
    <row r="3409" spans="1:26" ht="16.5" x14ac:dyDescent="0.35">
      <c r="A3409" s="2" t="str">
        <f ca="1">IFERROR(__xludf.DUMMYFUNCTION("""COMPUTED_VALUE"""),"Al Ain")</f>
        <v>Al Ain</v>
      </c>
      <c r="B3409" s="2" t="str">
        <f ca="1">IFERROR(__xludf.DUMMYFUNCTION("""COMPUTED_VALUE"""),"Al Eidan Al Khodr")</f>
        <v>Al Eidan Al Khodr</v>
      </c>
      <c r="C3409" s="2" t="str">
        <f ca="1">IFERROR(__xludf.DUMMYFUNCTION("""COMPUTED_VALUE"""),"Neighbourhood")</f>
        <v>Neighbourhood</v>
      </c>
      <c r="D3409" s="2" t="str">
        <f ca="1">IFERROR(__xludf.DUMMYFUNCTION("""COMPUTED_VALUE"""),"Al Ain&gt;Hili&gt;Al Eidan Al Khodr")</f>
        <v>Al Ain&gt;Hili&gt;Al Eidan Al Khodr</v>
      </c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</row>
    <row r="3410" spans="1:26" ht="16.5" x14ac:dyDescent="0.35">
      <c r="A3410" s="2" t="str">
        <f ca="1">IFERROR(__xludf.DUMMYFUNCTION("""COMPUTED_VALUE"""),"Al Ain")</f>
        <v>Al Ain</v>
      </c>
      <c r="B3410" s="2" t="str">
        <f ca="1">IFERROR(__xludf.DUMMYFUNCTION("""COMPUTED_VALUE"""),"Manor Hall International School")</f>
        <v>Manor Hall International School</v>
      </c>
      <c r="C3410" s="2" t="str">
        <f ca="1">IFERROR(__xludf.DUMMYFUNCTION("""COMPUTED_VALUE"""),"School")</f>
        <v>School</v>
      </c>
      <c r="D3410" s="2" t="str">
        <f ca="1">IFERROR(__xludf.DUMMYFUNCTION("""COMPUTED_VALUE"""),"Al Ain&gt;Falaj Hazzaa&gt;Manor Hall International School")</f>
        <v>Al Ain&gt;Falaj Hazzaa&gt;Manor Hall International School</v>
      </c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</row>
    <row r="3411" spans="1:26" ht="16.5" x14ac:dyDescent="0.35">
      <c r="A3411" s="2" t="str">
        <f ca="1">IFERROR(__xludf.DUMMYFUNCTION("""COMPUTED_VALUE"""),"Al Ain")</f>
        <v>Al Ain</v>
      </c>
      <c r="B3411" s="2" t="str">
        <f ca="1">IFERROR(__xludf.DUMMYFUNCTION("""COMPUTED_VALUE"""),"Rig Al Hassah")</f>
        <v>Rig Al Hassah</v>
      </c>
      <c r="C3411" s="2" t="str">
        <f ca="1">IFERROR(__xludf.DUMMYFUNCTION("""COMPUTED_VALUE"""),"Neighbourhood")</f>
        <v>Neighbourhood</v>
      </c>
      <c r="D3411" s="2" t="str">
        <f ca="1">IFERROR(__xludf.DUMMYFUNCTION("""COMPUTED_VALUE"""),"Al Ain&gt;Al Maqam&gt;Rig Al Hassah")</f>
        <v>Al Ain&gt;Al Maqam&gt;Rig Al Hassah</v>
      </c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</row>
    <row r="3412" spans="1:26" ht="16.5" x14ac:dyDescent="0.35">
      <c r="A3412" s="2" t="str">
        <f ca="1">IFERROR(__xludf.DUMMYFUNCTION("""COMPUTED_VALUE"""),"Al Ain")</f>
        <v>Al Ain</v>
      </c>
      <c r="B3412" s="2" t="str">
        <f ca="1">IFERROR(__xludf.DUMMYFUNCTION("""COMPUTED_VALUE"""),"Al Dhahrah")</f>
        <v>Al Dhahrah</v>
      </c>
      <c r="C3412" s="2" t="str">
        <f ca="1">IFERROR(__xludf.DUMMYFUNCTION("""COMPUTED_VALUE"""),"Neighbourhood")</f>
        <v>Neighbourhood</v>
      </c>
      <c r="D3412" s="2" t="str">
        <f ca="1">IFERROR(__xludf.DUMMYFUNCTION("""COMPUTED_VALUE"""),"Al Ain&gt;Al Dhahrah")</f>
        <v>Al Ain&gt;Al Dhahrah</v>
      </c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</row>
    <row r="3413" spans="1:26" ht="16.5" x14ac:dyDescent="0.35">
      <c r="A3413" s="2" t="str">
        <f ca="1">IFERROR(__xludf.DUMMYFUNCTION("""COMPUTED_VALUE"""),"Ras Al Khaimah")</f>
        <v>Ras Al Khaimah</v>
      </c>
      <c r="B3413" s="2" t="str">
        <f ca="1">IFERROR(__xludf.DUMMYFUNCTION("""COMPUTED_VALUE"""),"Quattro Del Mar")</f>
        <v>Quattro Del Mar</v>
      </c>
      <c r="C3413" s="2" t="str">
        <f ca="1">IFERROR(__xludf.DUMMYFUNCTION("""COMPUTED_VALUE"""),"Neighbourhood")</f>
        <v>Neighbourhood</v>
      </c>
      <c r="D3413" s="2" t="str">
        <f ca="1">IFERROR(__xludf.DUMMYFUNCTION("""COMPUTED_VALUE"""),"Ras Al Khaimah&gt;Mina Al Arab&gt;Quattro Del Mar")</f>
        <v>Ras Al Khaimah&gt;Mina Al Arab&gt;Quattro Del Mar</v>
      </c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</row>
    <row r="3414" spans="1:26" ht="16.5" x14ac:dyDescent="0.35">
      <c r="A3414" s="2" t="str">
        <f ca="1">IFERROR(__xludf.DUMMYFUNCTION("""COMPUTED_VALUE"""),"Ras Al Khaimah")</f>
        <v>Ras Al Khaimah</v>
      </c>
      <c r="B3414" s="2" t="str">
        <f ca="1">IFERROR(__xludf.DUMMYFUNCTION("""COMPUTED_VALUE"""),"The Santorini")</f>
        <v>The Santorini</v>
      </c>
      <c r="C3414" s="2" t="str">
        <f ca="1">IFERROR(__xludf.DUMMYFUNCTION("""COMPUTED_VALUE"""),"Building")</f>
        <v>Building</v>
      </c>
      <c r="D3414" s="2" t="str">
        <f ca="1">IFERROR(__xludf.DUMMYFUNCTION("""COMPUTED_VALUE"""),"Ras Al Khaimah&gt;Al Marjan Island&gt;The Santorini")</f>
        <v>Ras Al Khaimah&gt;Al Marjan Island&gt;The Santorini</v>
      </c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</row>
    <row r="3415" spans="1:26" ht="16.5" x14ac:dyDescent="0.35">
      <c r="A3415" s="2" t="str">
        <f ca="1">IFERROR(__xludf.DUMMYFUNCTION("""COMPUTED_VALUE"""),"Ras Al Khaimah")</f>
        <v>Ras Al Khaimah</v>
      </c>
      <c r="B3415" s="2" t="str">
        <f ca="1">IFERROR(__xludf.DUMMYFUNCTION("""COMPUTED_VALUE"""),"Fortune Bay")</f>
        <v>Fortune Bay</v>
      </c>
      <c r="C3415" s="2" t="str">
        <f ca="1">IFERROR(__xludf.DUMMYFUNCTION("""COMPUTED_VALUE"""),"Building")</f>
        <v>Building</v>
      </c>
      <c r="D3415" s="2" t="str">
        <f ca="1">IFERROR(__xludf.DUMMYFUNCTION("""COMPUTED_VALUE"""),"Ras Al Khaimah&gt;Al Marjan Island&gt;Fortune Bay")</f>
        <v>Ras Al Khaimah&gt;Al Marjan Island&gt;Fortune Bay</v>
      </c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</row>
    <row r="3416" spans="1:26" ht="16.5" x14ac:dyDescent="0.35">
      <c r="A3416" s="2" t="str">
        <f ca="1">IFERROR(__xludf.DUMMYFUNCTION("""COMPUTED_VALUE"""),"Ras Al Khaimah")</f>
        <v>Ras Al Khaimah</v>
      </c>
      <c r="B3416" s="2" t="str">
        <f ca="1">IFERROR(__xludf.DUMMYFUNCTION("""COMPUTED_VALUE"""),"Marina Apartment A")</f>
        <v>Marina Apartment A</v>
      </c>
      <c r="C3416" s="2" t="str">
        <f ca="1">IFERROR(__xludf.DUMMYFUNCTION("""COMPUTED_VALUE"""),"Building")</f>
        <v>Building</v>
      </c>
      <c r="D3416" s="2" t="str">
        <f ca="1">IFERROR(__xludf.DUMMYFUNCTION("""COMPUTED_VALUE"""),"Ras Al Khaimah&gt;Al Hamra Village&gt;Al Hamra Marina Residences&gt;Marina Apartment A")</f>
        <v>Ras Al Khaimah&gt;Al Hamra Village&gt;Al Hamra Marina Residences&gt;Marina Apartment A</v>
      </c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</row>
    <row r="3417" spans="1:26" ht="16.5" x14ac:dyDescent="0.35">
      <c r="A3417" s="2" t="str">
        <f ca="1">IFERROR(__xludf.DUMMYFUNCTION("""COMPUTED_VALUE"""),"Ras Al Khaimah")</f>
        <v>Ras Al Khaimah</v>
      </c>
      <c r="B3417" s="2" t="str">
        <f ca="1">IFERROR(__xludf.DUMMYFUNCTION("""COMPUTED_VALUE"""),"Al Hamra Waterfront Tower E")</f>
        <v>Al Hamra Waterfront Tower E</v>
      </c>
      <c r="C3417" s="2" t="str">
        <f ca="1">IFERROR(__xludf.DUMMYFUNCTION("""COMPUTED_VALUE"""),"Building")</f>
        <v>Building</v>
      </c>
      <c r="D3417" s="2" t="str">
        <f ca="1">IFERROR(__xludf.DUMMYFUNCTION("""COMPUTED_VALUE"""),"Ras Al Khaimah&gt;Al Hamra Village&gt;Al Hamra Waterfront Tower E")</f>
        <v>Ras Al Khaimah&gt;Al Hamra Village&gt;Al Hamra Waterfront Tower E</v>
      </c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</row>
    <row r="3418" spans="1:26" ht="16.5" x14ac:dyDescent="0.35">
      <c r="A3418" s="2" t="str">
        <f ca="1">IFERROR(__xludf.DUMMYFUNCTION("""COMPUTED_VALUE"""),"Ras Al Khaimah")</f>
        <v>Ras Al Khaimah</v>
      </c>
      <c r="B3418" s="2" t="str">
        <f ca="1">IFERROR(__xludf.DUMMYFUNCTION("""COMPUTED_VALUE"""),"Al Jawhara Building")</f>
        <v>Al Jawhara Building</v>
      </c>
      <c r="C3418" s="2"/>
      <c r="D3418" s="2" t="str">
        <f ca="1">IFERROR(__xludf.DUMMYFUNCTION("""COMPUTED_VALUE"""),"Ras Al Khaimah&gt;Dafan Al Nakheel&gt;Al Jawhara Building")</f>
        <v>Ras Al Khaimah&gt;Dafan Al Nakheel&gt;Al Jawhara Building</v>
      </c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</row>
    <row r="3419" spans="1:26" ht="16.5" x14ac:dyDescent="0.35">
      <c r="A3419" s="2" t="str">
        <f ca="1">IFERROR(__xludf.DUMMYFUNCTION("""COMPUTED_VALUE"""),"Ras Al Khaimah")</f>
        <v>Ras Al Khaimah</v>
      </c>
      <c r="B3419" s="2" t="str">
        <f ca="1">IFERROR(__xludf.DUMMYFUNCTION("""COMPUTED_VALUE"""),"ENI Mangrove")</f>
        <v>ENI Mangrove</v>
      </c>
      <c r="C3419" s="2" t="str">
        <f ca="1">IFERROR(__xludf.DUMMYFUNCTION("""COMPUTED_VALUE"""),"Building")</f>
        <v>Building</v>
      </c>
      <c r="D3419" s="2" t="str">
        <f ca="1">IFERROR(__xludf.DUMMYFUNCTION("""COMPUTED_VALUE"""),"Ras Al Khaimah&gt;Al Qurm&gt;ENI Mangrove")</f>
        <v>Ras Al Khaimah&gt;Al Qurm&gt;ENI Mangrove</v>
      </c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</row>
    <row r="3420" spans="1:26" ht="16.5" x14ac:dyDescent="0.35">
      <c r="A3420" s="2" t="str">
        <f ca="1">IFERROR(__xludf.DUMMYFUNCTION("""COMPUTED_VALUE"""),"Ras Al Khaimah")</f>
        <v>Ras Al Khaimah</v>
      </c>
      <c r="B3420" s="2" t="str">
        <f ca="1">IFERROR(__xludf.DUMMYFUNCTION("""COMPUTED_VALUE"""),"RAK Academy International Secondary School (ISK)")</f>
        <v>RAK Academy International Secondary School (ISK)</v>
      </c>
      <c r="C3420" s="2" t="str">
        <f ca="1">IFERROR(__xludf.DUMMYFUNCTION("""COMPUTED_VALUE"""),"School")</f>
        <v>School</v>
      </c>
      <c r="D3420" s="2" t="str">
        <f ca="1">IFERROR(__xludf.DUMMYFUNCTION("""COMPUTED_VALUE"""),"Ras Al Khaimah&gt;Dafan Al Khor&gt;RAK Academy International Secondary School (ISK)")</f>
        <v>Ras Al Khaimah&gt;Dafan Al Khor&gt;RAK Academy International Secondary School (ISK)</v>
      </c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</row>
    <row r="3421" spans="1:26" ht="16.5" x14ac:dyDescent="0.35">
      <c r="A3421" s="2" t="str">
        <f ca="1">IFERROR(__xludf.DUMMYFUNCTION("""COMPUTED_VALUE"""),"Ras Al Khaimah")</f>
        <v>Ras Al Khaimah</v>
      </c>
      <c r="B3421" s="2" t="str">
        <f ca="1">IFERROR(__xludf.DUMMYFUNCTION("""COMPUTED_VALUE"""),"Butain Al Samer")</f>
        <v>Butain Al Samer</v>
      </c>
      <c r="C3421" s="2" t="str">
        <f ca="1">IFERROR(__xludf.DUMMYFUNCTION("""COMPUTED_VALUE"""),"Neighbourhood")</f>
        <v>Neighbourhood</v>
      </c>
      <c r="D3421" s="2" t="str">
        <f ca="1">IFERROR(__xludf.DUMMYFUNCTION("""COMPUTED_VALUE"""),"Ras Al Khaimah&gt;Butain Al Samer")</f>
        <v>Ras Al Khaimah&gt;Butain Al Samer</v>
      </c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</row>
    <row r="3422" spans="1:26" ht="16.5" x14ac:dyDescent="0.35">
      <c r="A3422" s="2" t="str">
        <f ca="1">IFERROR(__xludf.DUMMYFUNCTION("""COMPUTED_VALUE"""),"Umm Al Quwain")</f>
        <v>Umm Al Quwain</v>
      </c>
      <c r="B3422" s="2" t="str">
        <f ca="1">IFERROR(__xludf.DUMMYFUNCTION("""COMPUTED_VALUE"""),"Al Huboob 2")</f>
        <v>Al Huboob 2</v>
      </c>
      <c r="C3422" s="2" t="str">
        <f ca="1">IFERROR(__xludf.DUMMYFUNCTION("""COMPUTED_VALUE"""),"Neighbourhood")</f>
        <v>Neighbourhood</v>
      </c>
      <c r="D3422" s="2" t="str">
        <f ca="1">IFERROR(__xludf.DUMMYFUNCTION("""COMPUTED_VALUE"""),"Umm Al Quwain&gt;Al Salamah&gt;Al Huboob 2")</f>
        <v>Umm Al Quwain&gt;Al Salamah&gt;Al Huboob 2</v>
      </c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</row>
    <row r="3423" spans="1:26" ht="16.5" x14ac:dyDescent="0.35">
      <c r="A3423" s="2" t="str">
        <f ca="1">IFERROR(__xludf.DUMMYFUNCTION("""COMPUTED_VALUE"""),"Umm Al Quwain")</f>
        <v>Umm Al Quwain</v>
      </c>
      <c r="B3423" s="2" t="str">
        <f ca="1">IFERROR(__xludf.DUMMYFUNCTION("""COMPUTED_VALUE"""),"Al Rass D")</f>
        <v>Al Rass D</v>
      </c>
      <c r="C3423" s="2"/>
      <c r="D3423" s="2" t="str">
        <f ca="1">IFERROR(__xludf.DUMMYFUNCTION("""COMPUTED_VALUE"""),"Umm Al Quwain&gt;Al Rass&gt;Al Rass D")</f>
        <v>Umm Al Quwain&gt;Al Rass&gt;Al Rass D</v>
      </c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</row>
    <row r="3424" spans="1:26" ht="16.5" x14ac:dyDescent="0.35">
      <c r="A3424" s="2" t="str">
        <f ca="1">IFERROR(__xludf.DUMMYFUNCTION("""COMPUTED_VALUE"""),"Umm Al Quwain")</f>
        <v>Umm Al Quwain</v>
      </c>
      <c r="B3424" s="2" t="str">
        <f ca="1">IFERROR(__xludf.DUMMYFUNCTION("""COMPUTED_VALUE"""),"Coastline Beach Residences Tower D")</f>
        <v>Coastline Beach Residences Tower D</v>
      </c>
      <c r="C3424" s="2" t="str">
        <f ca="1">IFERROR(__xludf.DUMMYFUNCTION("""COMPUTED_VALUE"""),"Building")</f>
        <v>Building</v>
      </c>
      <c r="D3424" s="2" t="str">
        <f ca="1">IFERROR(__xludf.DUMMYFUNCTION("""COMPUTED_VALUE"""),"Umm Al Quwain&gt;Al Seanneeah&gt;Sobha Siniya Island&gt;Coastline Beach Residences&gt;Coastline Beach Residences Tower D")</f>
        <v>Umm Al Quwain&gt;Al Seanneeah&gt;Sobha Siniya Island&gt;Coastline Beach Residences&gt;Coastline Beach Residences Tower D</v>
      </c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</row>
    <row r="3425" spans="1:26" ht="16.5" x14ac:dyDescent="0.35">
      <c r="A3425" s="2" t="str">
        <f ca="1">IFERROR(__xludf.DUMMYFUNCTION("""COMPUTED_VALUE"""),"Umm Al Quwain")</f>
        <v>Umm Al Quwain</v>
      </c>
      <c r="B3425" s="2" t="str">
        <f ca="1">IFERROR(__xludf.DUMMYFUNCTION("""COMPUTED_VALUE"""),"Mallah")</f>
        <v>Mallah</v>
      </c>
      <c r="C3425" s="2" t="str">
        <f ca="1">IFERROR(__xludf.DUMMYFUNCTION("""COMPUTED_VALUE"""),"Neighbourhood")</f>
        <v>Neighbourhood</v>
      </c>
      <c r="D3425" s="2" t="str">
        <f ca="1">IFERROR(__xludf.DUMMYFUNCTION("""COMPUTED_VALUE"""),"Umm Al Quwain&gt;Mallah")</f>
        <v>Umm Al Quwain&gt;Mallah</v>
      </c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</row>
    <row r="3426" spans="1:26" ht="16.5" x14ac:dyDescent="0.35">
      <c r="A3426" s="2" t="str">
        <f ca="1">IFERROR(__xludf.DUMMYFUNCTION("""COMPUTED_VALUE"""),"Fujairah")</f>
        <v>Fujairah</v>
      </c>
      <c r="B3426" s="2" t="str">
        <f ca="1">IFERROR(__xludf.DUMMYFUNCTION("""COMPUTED_VALUE"""),"Eagle Hills Fujairah Beach")</f>
        <v>Eagle Hills Fujairah Beach</v>
      </c>
      <c r="C3426" s="2"/>
      <c r="D3426" s="2" t="str">
        <f ca="1">IFERROR(__xludf.DUMMYFUNCTION("""COMPUTED_VALUE"""),"Fujairah&gt;Eagle Hills Fujairah Beach")</f>
        <v>Fujairah&gt;Eagle Hills Fujairah Beach</v>
      </c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</row>
    <row r="3427" spans="1:26" ht="16.5" x14ac:dyDescent="0.35">
      <c r="A3427" s="2" t="str">
        <f ca="1">IFERROR(__xludf.DUMMYFUNCTION("""COMPUTED_VALUE"""),"Fujairah")</f>
        <v>Fujairah</v>
      </c>
      <c r="B3427" s="2" t="str">
        <f ca="1">IFERROR(__xludf.DUMMYFUNCTION("""COMPUTED_VALUE"""),"Town Centre")</f>
        <v>Town Centre</v>
      </c>
      <c r="C3427" s="2" t="str">
        <f ca="1">IFERROR(__xludf.DUMMYFUNCTION("""COMPUTED_VALUE"""),"Neighbourhood")</f>
        <v>Neighbourhood</v>
      </c>
      <c r="D3427" s="2" t="str">
        <f ca="1">IFERROR(__xludf.DUMMYFUNCTION("""COMPUTED_VALUE"""),"Fujairah&gt;Town Centre")</f>
        <v>Fujairah&gt;Town Centre</v>
      </c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</row>
    <row r="3428" spans="1:26" ht="16.5" x14ac:dyDescent="0.35">
      <c r="A3428" s="2" t="str">
        <f ca="1">IFERROR(__xludf.DUMMYFUNCTION("""COMPUTED_VALUE"""),"Dubai")</f>
        <v>Dubai</v>
      </c>
      <c r="B3428" s="2" t="str">
        <f ca="1">IFERROR(__xludf.DUMMYFUNCTION("""COMPUTED_VALUE"""),"Vista Ridge")</f>
        <v>Vista Ridge</v>
      </c>
      <c r="C3428" s="2" t="str">
        <f ca="1">IFERROR(__xludf.DUMMYFUNCTION("""COMPUTED_VALUE"""),"Cluster")</f>
        <v>Cluster</v>
      </c>
      <c r="D3428" s="2" t="str">
        <f ca="1">IFERROR(__xludf.DUMMYFUNCTION("""COMPUTED_VALUE"""),"Dubai&gt;Dubai South&gt;Emaar South&gt;Vista Ridge")</f>
        <v>Dubai&gt;Dubai South&gt;Emaar South&gt;Vista Ridge</v>
      </c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</row>
    <row r="3429" spans="1:26" ht="16.5" x14ac:dyDescent="0.35">
      <c r="A3429" s="2" t="str">
        <f ca="1">IFERROR(__xludf.DUMMYFUNCTION("""COMPUTED_VALUE"""),"Dubai")</f>
        <v>Dubai</v>
      </c>
      <c r="B3429" s="2" t="str">
        <f ca="1">IFERROR(__xludf.DUMMYFUNCTION("""COMPUTED_VALUE"""),"Azizi Venice 1")</f>
        <v>Azizi Venice 1</v>
      </c>
      <c r="C3429" s="2" t="str">
        <f ca="1">IFERROR(__xludf.DUMMYFUNCTION("""COMPUTED_VALUE"""),"Building")</f>
        <v>Building</v>
      </c>
      <c r="D3429" s="2" t="str">
        <f ca="1">IFERROR(__xludf.DUMMYFUNCTION("""COMPUTED_VALUE"""),"Dubai&gt;Dubai South&gt;Azizi Venice&gt;Azizi Venice 1")</f>
        <v>Dubai&gt;Dubai South&gt;Azizi Venice&gt;Azizi Venice 1</v>
      </c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</row>
    <row r="3430" spans="1:26" ht="16.5" x14ac:dyDescent="0.35">
      <c r="A3430" s="2" t="str">
        <f ca="1">IFERROR(__xludf.DUMMYFUNCTION("""COMPUTED_VALUE"""),"Dubai")</f>
        <v>Dubai</v>
      </c>
      <c r="B3430" s="2" t="str">
        <f ca="1">IFERROR(__xludf.DUMMYFUNCTION("""COMPUTED_VALUE"""),"Azizi Venice 14 Building D")</f>
        <v>Azizi Venice 14 Building D</v>
      </c>
      <c r="C3430" s="2" t="str">
        <f ca="1">IFERROR(__xludf.DUMMYFUNCTION("""COMPUTED_VALUE"""),"Building")</f>
        <v>Building</v>
      </c>
      <c r="D3430" s="2" t="str">
        <f ca="1">IFERROR(__xludf.DUMMYFUNCTION("""COMPUTED_VALUE"""),"Dubai&gt;Dubai South&gt;Azizi Venice&gt;Azizi Venice 14&gt;Azizi Venice 14 Building D")</f>
        <v>Dubai&gt;Dubai South&gt;Azizi Venice&gt;Azizi Venice 14&gt;Azizi Venice 14 Building D</v>
      </c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</row>
    <row r="3431" spans="1:26" ht="16.5" x14ac:dyDescent="0.35">
      <c r="A3431" s="2" t="str">
        <f ca="1">IFERROR(__xludf.DUMMYFUNCTION("""COMPUTED_VALUE"""),"Dubai")</f>
        <v>Dubai</v>
      </c>
      <c r="B3431" s="2" t="str">
        <f ca="1">IFERROR(__xludf.DUMMYFUNCTION("""COMPUTED_VALUE"""),"Hayat 5")</f>
        <v>Hayat 5</v>
      </c>
      <c r="C3431" s="2" t="str">
        <f ca="1">IFERROR(__xludf.DUMMYFUNCTION("""COMPUTED_VALUE"""),"Neighbourhood")</f>
        <v>Neighbourhood</v>
      </c>
      <c r="D3431" s="2" t="str">
        <f ca="1">IFERROR(__xludf.DUMMYFUNCTION("""COMPUTED_VALUE"""),"Dubai&gt;Dubai South&gt;Hayat&gt;Hayat 5")</f>
        <v>Dubai&gt;Dubai South&gt;Hayat&gt;Hayat 5</v>
      </c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</row>
    <row r="3432" spans="1:26" ht="16.5" x14ac:dyDescent="0.35">
      <c r="A3432" s="2" t="str">
        <f ca="1">IFERROR(__xludf.DUMMYFUNCTION("""COMPUTED_VALUE"""),"Dubai")</f>
        <v>Dubai</v>
      </c>
      <c r="B3432" s="2" t="str">
        <f ca="1">IFERROR(__xludf.DUMMYFUNCTION("""COMPUTED_VALUE"""),"Spectrum Building")</f>
        <v>Spectrum Building</v>
      </c>
      <c r="C3432" s="2" t="str">
        <f ca="1">IFERROR(__xludf.DUMMYFUNCTION("""COMPUTED_VALUE"""),"Building")</f>
        <v>Building</v>
      </c>
      <c r="D3432" s="2" t="str">
        <f ca="1">IFERROR(__xludf.DUMMYFUNCTION("""COMPUTED_VALUE"""),"Dubai&gt;Bur Dubai&gt;Oud Metha&gt;Spectrum Building")</f>
        <v>Dubai&gt;Bur Dubai&gt;Oud Metha&gt;Spectrum Building</v>
      </c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</row>
    <row r="3433" spans="1:26" ht="16.5" x14ac:dyDescent="0.35">
      <c r="A3433" s="2" t="str">
        <f ca="1">IFERROR(__xludf.DUMMYFUNCTION("""COMPUTED_VALUE"""),"Dubai")</f>
        <v>Dubai</v>
      </c>
      <c r="B3433" s="2" t="str">
        <f ca="1">IFERROR(__xludf.DUMMYFUNCTION("""COMPUTED_VALUE"""),"Al Nasr Square Block C")</f>
        <v>Al Nasr Square Block C</v>
      </c>
      <c r="C3433" s="2" t="str">
        <f ca="1">IFERROR(__xludf.DUMMYFUNCTION("""COMPUTED_VALUE"""),"Building")</f>
        <v>Building</v>
      </c>
      <c r="D3433" s="2" t="str">
        <f ca="1">IFERROR(__xludf.DUMMYFUNCTION("""COMPUTED_VALUE"""),"Dubai&gt;Bur Dubai&gt;Oud Metha&gt;Al Nasr Square Buildings&gt;Al Nasr Square Block C")</f>
        <v>Dubai&gt;Bur Dubai&gt;Oud Metha&gt;Al Nasr Square Buildings&gt;Al Nasr Square Block C</v>
      </c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</row>
    <row r="3434" spans="1:26" ht="16.5" x14ac:dyDescent="0.35">
      <c r="A3434" s="2" t="str">
        <f ca="1">IFERROR(__xludf.DUMMYFUNCTION("""COMPUTED_VALUE"""),"Dubai")</f>
        <v>Dubai</v>
      </c>
      <c r="B3434" s="2" t="str">
        <f ca="1">IFERROR(__xludf.DUMMYFUNCTION("""COMPUTED_VALUE"""),"Khansaheb Building")</f>
        <v>Khansaheb Building</v>
      </c>
      <c r="C3434" s="2" t="str">
        <f ca="1">IFERROR(__xludf.DUMMYFUNCTION("""COMPUTED_VALUE"""),"Building")</f>
        <v>Building</v>
      </c>
      <c r="D3434" s="2" t="str">
        <f ca="1">IFERROR(__xludf.DUMMYFUNCTION("""COMPUTED_VALUE"""),"Dubai&gt;Bur Dubai&gt;Al Raffa&gt;Khansaheb Building")</f>
        <v>Dubai&gt;Bur Dubai&gt;Al Raffa&gt;Khansaheb Building</v>
      </c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</row>
    <row r="3435" spans="1:26" ht="16.5" x14ac:dyDescent="0.35">
      <c r="A3435" s="2" t="str">
        <f ca="1">IFERROR(__xludf.DUMMYFUNCTION("""COMPUTED_VALUE"""),"Dubai")</f>
        <v>Dubai</v>
      </c>
      <c r="B3435" s="2" t="str">
        <f ca="1">IFERROR(__xludf.DUMMYFUNCTION("""COMPUTED_VALUE"""),"The New Gold Souk Centre")</f>
        <v>The New Gold Souk Centre</v>
      </c>
      <c r="C3435" s="2" t="str">
        <f ca="1">IFERROR(__xludf.DUMMYFUNCTION("""COMPUTED_VALUE"""),"Building")</f>
        <v>Building</v>
      </c>
      <c r="D3435" s="2" t="str">
        <f ca="1">IFERROR(__xludf.DUMMYFUNCTION("""COMPUTED_VALUE"""),"Dubai&gt;Bur Dubai&gt;Al Raffa&gt;The New Gold Souk Centre")</f>
        <v>Dubai&gt;Bur Dubai&gt;Al Raffa&gt;The New Gold Souk Centre</v>
      </c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</row>
    <row r="3436" spans="1:26" ht="16.5" x14ac:dyDescent="0.35">
      <c r="A3436" s="2" t="str">
        <f ca="1">IFERROR(__xludf.DUMMYFUNCTION("""COMPUTED_VALUE"""),"Dubai")</f>
        <v>Dubai</v>
      </c>
      <c r="B3436" s="2" t="str">
        <f ca="1">IFERROR(__xludf.DUMMYFUNCTION("""COMPUTED_VALUE"""),"Silver Sands 1")</f>
        <v>Silver Sands 1</v>
      </c>
      <c r="C3436" s="2" t="str">
        <f ca="1">IFERROR(__xludf.DUMMYFUNCTION("""COMPUTED_VALUE"""),"Building")</f>
        <v>Building</v>
      </c>
      <c r="D3436" s="2" t="str">
        <f ca="1">IFERROR(__xludf.DUMMYFUNCTION("""COMPUTED_VALUE"""),"Dubai&gt;Bur Dubai&gt;Al Mankhool&gt;Silver Sands 1")</f>
        <v>Dubai&gt;Bur Dubai&gt;Al Mankhool&gt;Silver Sands 1</v>
      </c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</row>
    <row r="3437" spans="1:26" ht="16.5" x14ac:dyDescent="0.35">
      <c r="A3437" s="2" t="str">
        <f ca="1">IFERROR(__xludf.DUMMYFUNCTION("""COMPUTED_VALUE"""),"Dubai")</f>
        <v>Dubai</v>
      </c>
      <c r="B3437" s="2" t="str">
        <f ca="1">IFERROR(__xludf.DUMMYFUNCTION("""COMPUTED_VALUE"""),"Latifa I Building")</f>
        <v>Latifa I Building</v>
      </c>
      <c r="C3437" s="2" t="str">
        <f ca="1">IFERROR(__xludf.DUMMYFUNCTION("""COMPUTED_VALUE"""),"Building")</f>
        <v>Building</v>
      </c>
      <c r="D3437" s="2" t="str">
        <f ca="1">IFERROR(__xludf.DUMMYFUNCTION("""COMPUTED_VALUE"""),"Dubai&gt;Bur Dubai&gt;Al Mankhool&gt;Latifa I Building")</f>
        <v>Dubai&gt;Bur Dubai&gt;Al Mankhool&gt;Latifa I Building</v>
      </c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</row>
    <row r="3438" spans="1:26" ht="16.5" x14ac:dyDescent="0.35">
      <c r="A3438" s="2" t="str">
        <f ca="1">IFERROR(__xludf.DUMMYFUNCTION("""COMPUTED_VALUE"""),"Dubai")</f>
        <v>Dubai</v>
      </c>
      <c r="B3438" s="2" t="str">
        <f ca="1">IFERROR(__xludf.DUMMYFUNCTION("""COMPUTED_VALUE"""),"Golden Sands 5")</f>
        <v>Golden Sands 5</v>
      </c>
      <c r="C3438" s="2" t="str">
        <f ca="1">IFERROR(__xludf.DUMMYFUNCTION("""COMPUTED_VALUE"""),"Building")</f>
        <v>Building</v>
      </c>
      <c r="D3438" s="2" t="str">
        <f ca="1">IFERROR(__xludf.DUMMYFUNCTION("""COMPUTED_VALUE"""),"Dubai&gt;Bur Dubai&gt;Al Mankhool&gt;Golden Sands 5")</f>
        <v>Dubai&gt;Bur Dubai&gt;Al Mankhool&gt;Golden Sands 5</v>
      </c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</row>
    <row r="3439" spans="1:26" ht="16.5" x14ac:dyDescent="0.35">
      <c r="A3439" s="2" t="str">
        <f ca="1">IFERROR(__xludf.DUMMYFUNCTION("""COMPUTED_VALUE"""),"Dubai")</f>
        <v>Dubai</v>
      </c>
      <c r="B3439" s="2" t="str">
        <f ca="1">IFERROR(__xludf.DUMMYFUNCTION("""COMPUTED_VALUE"""),"1 Residences Building 1")</f>
        <v>1 Residences Building 1</v>
      </c>
      <c r="C3439" s="2" t="str">
        <f ca="1">IFERROR(__xludf.DUMMYFUNCTION("""COMPUTED_VALUE"""),"Building")</f>
        <v>Building</v>
      </c>
      <c r="D3439" s="2" t="str">
        <f ca="1">IFERROR(__xludf.DUMMYFUNCTION("""COMPUTED_VALUE"""),"Dubai&gt;Bur Dubai&gt;Al Kifaf&gt;Wasl 1&gt;1 Residences&gt;1 Residences Building 1")</f>
        <v>Dubai&gt;Bur Dubai&gt;Al Kifaf&gt;Wasl 1&gt;1 Residences&gt;1 Residences Building 1</v>
      </c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</row>
    <row r="3440" spans="1:26" ht="16.5" x14ac:dyDescent="0.35">
      <c r="A3440" s="2" t="str">
        <f ca="1">IFERROR(__xludf.DUMMYFUNCTION("""COMPUTED_VALUE"""),"Dubai")</f>
        <v>Dubai</v>
      </c>
      <c r="B3440" s="2" t="str">
        <f ca="1">IFERROR(__xludf.DUMMYFUNCTION("""COMPUTED_VALUE"""),"Darwish Building")</f>
        <v>Darwish Building</v>
      </c>
      <c r="C3440" s="2" t="str">
        <f ca="1">IFERROR(__xludf.DUMMYFUNCTION("""COMPUTED_VALUE"""),"Building")</f>
        <v>Building</v>
      </c>
      <c r="D3440" s="2" t="str">
        <f ca="1">IFERROR(__xludf.DUMMYFUNCTION("""COMPUTED_VALUE"""),"Dubai&gt;Bur Dubai&gt;Al Souk Al Kabeer (Al Fahidi)&gt;Darwish Building")</f>
        <v>Dubai&gt;Bur Dubai&gt;Al Souk Al Kabeer (Al Fahidi)&gt;Darwish Building</v>
      </c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</row>
    <row r="3441" spans="1:26" ht="16.5" x14ac:dyDescent="0.35">
      <c r="A3441" s="2" t="str">
        <f ca="1">IFERROR(__xludf.DUMMYFUNCTION("""COMPUTED_VALUE"""),"Dubai")</f>
        <v>Dubai</v>
      </c>
      <c r="B3441" s="2" t="str">
        <f ca="1">IFERROR(__xludf.DUMMYFUNCTION("""COMPUTED_VALUE"""),"Souk Al Kabeer Building")</f>
        <v>Souk Al Kabeer Building</v>
      </c>
      <c r="C3441" s="2" t="str">
        <f ca="1">IFERROR(__xludf.DUMMYFUNCTION("""COMPUTED_VALUE"""),"Building")</f>
        <v>Building</v>
      </c>
      <c r="D3441" s="2" t="str">
        <f ca="1">IFERROR(__xludf.DUMMYFUNCTION("""COMPUTED_VALUE"""),"Dubai&gt;Bur Dubai&gt;Al Souk Al Kabeer (Al Fahidi)&gt;Souk Al Kabeer Building")</f>
        <v>Dubai&gt;Bur Dubai&gt;Al Souk Al Kabeer (Al Fahidi)&gt;Souk Al Kabeer Building</v>
      </c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</row>
    <row r="3442" spans="1:26" ht="16.5" x14ac:dyDescent="0.35">
      <c r="A3442" s="2" t="str">
        <f ca="1">IFERROR(__xludf.DUMMYFUNCTION("""COMPUTED_VALUE"""),"Dubai")</f>
        <v>Dubai</v>
      </c>
      <c r="B3442" s="2" t="str">
        <f ca="1">IFERROR(__xludf.DUMMYFUNCTION("""COMPUTED_VALUE"""),"M.Abdullah Qader Building")</f>
        <v>M.Abdullah Qader Building</v>
      </c>
      <c r="C3442" s="2" t="str">
        <f ca="1">IFERROR(__xludf.DUMMYFUNCTION("""COMPUTED_VALUE"""),"Building")</f>
        <v>Building</v>
      </c>
      <c r="D3442" s="2" t="str">
        <f ca="1">IFERROR(__xludf.DUMMYFUNCTION("""COMPUTED_VALUE"""),"Dubai&gt;Bur Dubai&gt;Al Hamriya&gt;M.Abdullah Qader Building")</f>
        <v>Dubai&gt;Bur Dubai&gt;Al Hamriya&gt;M.Abdullah Qader Building</v>
      </c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</row>
    <row r="3443" spans="1:26" ht="16.5" x14ac:dyDescent="0.35">
      <c r="A3443" s="2" t="str">
        <f ca="1">IFERROR(__xludf.DUMMYFUNCTION("""COMPUTED_VALUE"""),"Dubai")</f>
        <v>Dubai</v>
      </c>
      <c r="B3443" s="2" t="str">
        <f ca="1">IFERROR(__xludf.DUMMYFUNCTION("""COMPUTED_VALUE"""),"Al Shindagha")</f>
        <v>Al Shindagha</v>
      </c>
      <c r="C3443" s="2" t="str">
        <f ca="1">IFERROR(__xludf.DUMMYFUNCTION("""COMPUTED_VALUE"""),"Neighbourhood")</f>
        <v>Neighbourhood</v>
      </c>
      <c r="D3443" s="2" t="str">
        <f ca="1">IFERROR(__xludf.DUMMYFUNCTION("""COMPUTED_VALUE"""),"Dubai&gt;Bur Dubai&gt;Al Shindagha")</f>
        <v>Dubai&gt;Bur Dubai&gt;Al Shindagha</v>
      </c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</row>
    <row r="3444" spans="1:26" ht="16.5" x14ac:dyDescent="0.35">
      <c r="A3444" s="2" t="str">
        <f ca="1">IFERROR(__xludf.DUMMYFUNCTION("""COMPUTED_VALUE"""),"Dubai")</f>
        <v>Dubai</v>
      </c>
      <c r="B3444" s="2" t="str">
        <f ca="1">IFERROR(__xludf.DUMMYFUNCTION("""COMPUTED_VALUE"""),"Valencia Grove")</f>
        <v>Valencia Grove</v>
      </c>
      <c r="C3444" s="2" t="str">
        <f ca="1">IFERROR(__xludf.DUMMYFUNCTION("""COMPUTED_VALUE"""),"Neighbourhood")</f>
        <v>Neighbourhood</v>
      </c>
      <c r="D3444" s="2" t="str">
        <f ca="1">IFERROR(__xludf.DUMMYFUNCTION("""COMPUTED_VALUE"""),"Dubai&gt;Jumeirah Golf Estates&gt;Valencia Grove")</f>
        <v>Dubai&gt;Jumeirah Golf Estates&gt;Valencia Grove</v>
      </c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</row>
    <row r="3445" spans="1:26" ht="16.5" x14ac:dyDescent="0.35">
      <c r="A3445" s="2" t="str">
        <f ca="1">IFERROR(__xludf.DUMMYFUNCTION("""COMPUTED_VALUE"""),"Dubai")</f>
        <v>Dubai</v>
      </c>
      <c r="B3445" s="2" t="str">
        <f ca="1">IFERROR(__xludf.DUMMYFUNCTION("""COMPUTED_VALUE"""),"Beach Mansion")</f>
        <v>Beach Mansion</v>
      </c>
      <c r="C3445" s="2" t="str">
        <f ca="1">IFERROR(__xludf.DUMMYFUNCTION("""COMPUTED_VALUE"""),"Cluster")</f>
        <v>Cluster</v>
      </c>
      <c r="D3445" s="2" t="str">
        <f ca="1">IFERROR(__xludf.DUMMYFUNCTION("""COMPUTED_VALUE"""),"Dubai&gt;Dubai Harbour&gt;Emaar Beachfront&gt;Beach Mansion")</f>
        <v>Dubai&gt;Dubai Harbour&gt;Emaar Beachfront&gt;Beach Mansion</v>
      </c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</row>
    <row r="3446" spans="1:26" ht="16.5" x14ac:dyDescent="0.35">
      <c r="A3446" s="2" t="str">
        <f ca="1">IFERROR(__xludf.DUMMYFUNCTION("""COMPUTED_VALUE"""),"Dubai")</f>
        <v>Dubai</v>
      </c>
      <c r="B3446" s="2" t="str">
        <f ca="1">IFERROR(__xludf.DUMMYFUNCTION("""COMPUTED_VALUE"""),"Aster")</f>
        <v>Aster</v>
      </c>
      <c r="C3446" s="2" t="str">
        <f ca="1">IFERROR(__xludf.DUMMYFUNCTION("""COMPUTED_VALUE"""),"Neighbourhood")</f>
        <v>Neighbourhood</v>
      </c>
      <c r="D3446" s="2" t="str">
        <f ca="1">IFERROR(__xludf.DUMMYFUNCTION("""COMPUTED_VALUE"""),"Dubai&gt;DAMAC Hills 2 (Akoya by DAMAC)&gt;Aster")</f>
        <v>Dubai&gt;DAMAC Hills 2 (Akoya by DAMAC)&gt;Aster</v>
      </c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</row>
    <row r="3447" spans="1:26" ht="16.5" x14ac:dyDescent="0.35">
      <c r="A3447" s="2" t="str">
        <f ca="1">IFERROR(__xludf.DUMMYFUNCTION("""COMPUTED_VALUE"""),"Dubai")</f>
        <v>Dubai</v>
      </c>
      <c r="B3447" s="2" t="str">
        <f ca="1">IFERROR(__xludf.DUMMYFUNCTION("""COMPUTED_VALUE"""),"Camelia")</f>
        <v>Camelia</v>
      </c>
      <c r="C3447" s="2" t="str">
        <f ca="1">IFERROR(__xludf.DUMMYFUNCTION("""COMPUTED_VALUE"""),"Neighbourhood")</f>
        <v>Neighbourhood</v>
      </c>
      <c r="D3447" s="2" t="str">
        <f ca="1">IFERROR(__xludf.DUMMYFUNCTION("""COMPUTED_VALUE"""),"Dubai&gt;DAMAC Hills 2 (Akoya by DAMAC)&gt;Camelia")</f>
        <v>Dubai&gt;DAMAC Hills 2 (Akoya by DAMAC)&gt;Camelia</v>
      </c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</row>
    <row r="3448" spans="1:26" ht="16.5" x14ac:dyDescent="0.35">
      <c r="A3448" s="2" t="str">
        <f ca="1">IFERROR(__xludf.DUMMYFUNCTION("""COMPUTED_VALUE"""),"Dubai")</f>
        <v>Dubai</v>
      </c>
      <c r="B3448" s="2" t="str">
        <f ca="1">IFERROR(__xludf.DUMMYFUNCTION("""COMPUTED_VALUE"""),"I-14")</f>
        <v>I-14</v>
      </c>
      <c r="C3448" s="2" t="str">
        <f ca="1">IFERROR(__xludf.DUMMYFUNCTION("""COMPUTED_VALUE"""),"Building")</f>
        <v>Building</v>
      </c>
      <c r="D3448" s="2" t="str">
        <f ca="1">IFERROR(__xludf.DUMMYFUNCTION("""COMPUTED_VALUE"""),"Dubai&gt;International City&gt;Morocco Cluster&gt;I-14")</f>
        <v>Dubai&gt;International City&gt;Morocco Cluster&gt;I-14</v>
      </c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</row>
    <row r="3449" spans="1:26" ht="16.5" x14ac:dyDescent="0.35">
      <c r="A3449" s="2" t="str">
        <f ca="1">IFERROR(__xludf.DUMMYFUNCTION("""COMPUTED_VALUE"""),"Dubai")</f>
        <v>Dubai</v>
      </c>
      <c r="B3449" s="2" t="str">
        <f ca="1">IFERROR(__xludf.DUMMYFUNCTION("""COMPUTED_VALUE"""),"Souk Warsan Block F")</f>
        <v>Souk Warsan Block F</v>
      </c>
      <c r="C3449" s="2" t="str">
        <f ca="1">IFERROR(__xludf.DUMMYFUNCTION("""COMPUTED_VALUE"""),"Building")</f>
        <v>Building</v>
      </c>
      <c r="D3449" s="2" t="str">
        <f ca="1">IFERROR(__xludf.DUMMYFUNCTION("""COMPUTED_VALUE"""),"Dubai&gt;International City&gt;Warsan Village&gt;Souk Warsan&gt;Souk Warsan Block F")</f>
        <v>Dubai&gt;International City&gt;Warsan Village&gt;Souk Warsan&gt;Souk Warsan Block F</v>
      </c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</row>
    <row r="3450" spans="1:26" ht="16.5" x14ac:dyDescent="0.35">
      <c r="A3450" s="2" t="str">
        <f ca="1">IFERROR(__xludf.DUMMYFUNCTION("""COMPUTED_VALUE"""),"Dubai")</f>
        <v>Dubai</v>
      </c>
      <c r="B3450" s="2" t="str">
        <f ca="1">IFERROR(__xludf.DUMMYFUNCTION("""COMPUTED_VALUE"""),"B-01")</f>
        <v>B-01</v>
      </c>
      <c r="C3450" s="2" t="str">
        <f ca="1">IFERROR(__xludf.DUMMYFUNCTION("""COMPUTED_VALUE"""),"Building")</f>
        <v>Building</v>
      </c>
      <c r="D3450" s="2" t="str">
        <f ca="1">IFERROR(__xludf.DUMMYFUNCTION("""COMPUTED_VALUE"""),"Dubai&gt;International City&gt;China Cluster&gt;B-01")</f>
        <v>Dubai&gt;International City&gt;China Cluster&gt;B-01</v>
      </c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</row>
    <row r="3451" spans="1:26" ht="16.5" x14ac:dyDescent="0.35">
      <c r="A3451" s="2" t="str">
        <f ca="1">IFERROR(__xludf.DUMMYFUNCTION("""COMPUTED_VALUE"""),"Dubai")</f>
        <v>Dubai</v>
      </c>
      <c r="B3451" s="2" t="str">
        <f ca="1">IFERROR(__xludf.DUMMYFUNCTION("""COMPUTED_VALUE"""),"D-07")</f>
        <v>D-07</v>
      </c>
      <c r="C3451" s="2" t="str">
        <f ca="1">IFERROR(__xludf.DUMMYFUNCTION("""COMPUTED_VALUE"""),"Building")</f>
        <v>Building</v>
      </c>
      <c r="D3451" s="2" t="str">
        <f ca="1">IFERROR(__xludf.DUMMYFUNCTION("""COMPUTED_VALUE"""),"Dubai&gt;International City&gt;China Cluster&gt;D-07")</f>
        <v>Dubai&gt;International City&gt;China Cluster&gt;D-07</v>
      </c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</row>
    <row r="3452" spans="1:26" ht="16.5" x14ac:dyDescent="0.35">
      <c r="A3452" s="2" t="str">
        <f ca="1">IFERROR(__xludf.DUMMYFUNCTION("""COMPUTED_VALUE"""),"Dubai")</f>
        <v>Dubai</v>
      </c>
      <c r="B3452" s="2" t="str">
        <f ca="1">IFERROR(__xludf.DUMMYFUNCTION("""COMPUTED_VALUE"""),"Olivz by Danube Building 3")</f>
        <v>Olivz by Danube Building 3</v>
      </c>
      <c r="C3452" s="2" t="str">
        <f ca="1">IFERROR(__xludf.DUMMYFUNCTION("""COMPUTED_VALUE"""),"Building")</f>
        <v>Building</v>
      </c>
      <c r="D3452" s="2" t="str">
        <f ca="1">IFERROR(__xludf.DUMMYFUNCTION("""COMPUTED_VALUE"""),"Dubai&gt;International City&gt;Olivz by Danube&gt;Olivz by Danube Building 3")</f>
        <v>Dubai&gt;International City&gt;Olivz by Danube&gt;Olivz by Danube Building 3</v>
      </c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</row>
    <row r="3453" spans="1:26" ht="16.5" x14ac:dyDescent="0.35">
      <c r="A3453" s="2" t="str">
        <f ca="1">IFERROR(__xludf.DUMMYFUNCTION("""COMPUTED_VALUE"""),"Dubai")</f>
        <v>Dubai</v>
      </c>
      <c r="B3453" s="2" t="str">
        <f ca="1">IFERROR(__xludf.DUMMYFUNCTION("""COMPUTED_VALUE"""),"S-03")</f>
        <v>S-03</v>
      </c>
      <c r="C3453" s="2" t="str">
        <f ca="1">IFERROR(__xludf.DUMMYFUNCTION("""COMPUTED_VALUE"""),"Building")</f>
        <v>Building</v>
      </c>
      <c r="D3453" s="2" t="str">
        <f ca="1">IFERROR(__xludf.DUMMYFUNCTION("""COMPUTED_VALUE"""),"Dubai&gt;International City&gt;Spain Cluster&gt;S-03")</f>
        <v>Dubai&gt;International City&gt;Spain Cluster&gt;S-03</v>
      </c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</row>
    <row r="3454" spans="1:26" ht="16.5" x14ac:dyDescent="0.35">
      <c r="A3454" s="2" t="str">
        <f ca="1">IFERROR(__xludf.DUMMYFUNCTION("""COMPUTED_VALUE"""),"Dubai")</f>
        <v>Dubai</v>
      </c>
      <c r="B3454" s="2" t="str">
        <f ca="1">IFERROR(__xludf.DUMMYFUNCTION("""COMPUTED_VALUE"""),"U-24")</f>
        <v>U-24</v>
      </c>
      <c r="C3454" s="2" t="str">
        <f ca="1">IFERROR(__xludf.DUMMYFUNCTION("""COMPUTED_VALUE"""),"Building")</f>
        <v>Building</v>
      </c>
      <c r="D3454" s="2" t="str">
        <f ca="1">IFERROR(__xludf.DUMMYFUNCTION("""COMPUTED_VALUE"""),"Dubai&gt;International City&gt;Italy Cluster&gt;U-24")</f>
        <v>Dubai&gt;International City&gt;Italy Cluster&gt;U-24</v>
      </c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</row>
    <row r="3455" spans="1:26" ht="16.5" x14ac:dyDescent="0.35">
      <c r="A3455" s="2" t="str">
        <f ca="1">IFERROR(__xludf.DUMMYFUNCTION("""COMPUTED_VALUE"""),"Dubai")</f>
        <v>Dubai</v>
      </c>
      <c r="B3455" s="2" t="str">
        <f ca="1">IFERROR(__xludf.DUMMYFUNCTION("""COMPUTED_VALUE"""),"W-06")</f>
        <v>W-06</v>
      </c>
      <c r="C3455" s="2" t="str">
        <f ca="1">IFERROR(__xludf.DUMMYFUNCTION("""COMPUTED_VALUE"""),"Building")</f>
        <v>Building</v>
      </c>
      <c r="D3455" s="2" t="str">
        <f ca="1">IFERROR(__xludf.DUMMYFUNCTION("""COMPUTED_VALUE"""),"Dubai&gt;International City&gt;Russia Cluster&gt;W-06")</f>
        <v>Dubai&gt;International City&gt;Russia Cluster&gt;W-06</v>
      </c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</row>
    <row r="3456" spans="1:26" ht="16.5" x14ac:dyDescent="0.35">
      <c r="A3456" s="2" t="str">
        <f ca="1">IFERROR(__xludf.DUMMYFUNCTION("""COMPUTED_VALUE"""),"Dubai")</f>
        <v>Dubai</v>
      </c>
      <c r="B3456" s="2" t="str">
        <f ca="1">IFERROR(__xludf.DUMMYFUNCTION("""COMPUTED_VALUE"""),"N-14")</f>
        <v>N-14</v>
      </c>
      <c r="C3456" s="2" t="str">
        <f ca="1">IFERROR(__xludf.DUMMYFUNCTION("""COMPUTED_VALUE"""),"Building")</f>
        <v>Building</v>
      </c>
      <c r="D3456" s="2" t="str">
        <f ca="1">IFERROR(__xludf.DUMMYFUNCTION("""COMPUTED_VALUE"""),"Dubai&gt;International City&gt;Persia Cluster&gt;N-14")</f>
        <v>Dubai&gt;International City&gt;Persia Cluster&gt;N-14</v>
      </c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</row>
    <row r="3457" spans="1:26" ht="16.5" x14ac:dyDescent="0.35">
      <c r="A3457" s="2" t="str">
        <f ca="1">IFERROR(__xludf.DUMMYFUNCTION("""COMPUTED_VALUE"""),"Dubai")</f>
        <v>Dubai</v>
      </c>
      <c r="B3457" s="2" t="str">
        <f ca="1">IFERROR(__xludf.DUMMYFUNCTION("""COMPUTED_VALUE"""),"EMR-15")</f>
        <v>EMR-15</v>
      </c>
      <c r="C3457" s="2" t="str">
        <f ca="1">IFERROR(__xludf.DUMMYFUNCTION("""COMPUTED_VALUE"""),"Building")</f>
        <v>Building</v>
      </c>
      <c r="D3457" s="2" t="str">
        <f ca="1">IFERROR(__xludf.DUMMYFUNCTION("""COMPUTED_VALUE"""),"Dubai&gt;International City&gt;Emirates Cluster&gt;EMR-15")</f>
        <v>Dubai&gt;International City&gt;Emirates Cluster&gt;EMR-15</v>
      </c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</row>
    <row r="3458" spans="1:26" ht="16.5" x14ac:dyDescent="0.35">
      <c r="A3458" s="2" t="str">
        <f ca="1">IFERROR(__xludf.DUMMYFUNCTION("""COMPUTED_VALUE"""),"Dubai")</f>
        <v>Dubai</v>
      </c>
      <c r="B3458" s="2" t="str">
        <f ca="1">IFERROR(__xludf.DUMMYFUNCTION("""COMPUTED_VALUE"""),"Y-02")</f>
        <v>Y-02</v>
      </c>
      <c r="C3458" s="2" t="str">
        <f ca="1">IFERROR(__xludf.DUMMYFUNCTION("""COMPUTED_VALUE"""),"Building")</f>
        <v>Building</v>
      </c>
      <c r="D3458" s="2" t="str">
        <f ca="1">IFERROR(__xludf.DUMMYFUNCTION("""COMPUTED_VALUE"""),"Dubai&gt;International City&gt;England Cluster&gt;Y-02")</f>
        <v>Dubai&gt;International City&gt;England Cluster&gt;Y-02</v>
      </c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</row>
    <row r="3459" spans="1:26" ht="16.5" x14ac:dyDescent="0.35">
      <c r="A3459" s="2" t="str">
        <f ca="1">IFERROR(__xludf.DUMMYFUNCTION("""COMPUTED_VALUE"""),"Dubai")</f>
        <v>Dubai</v>
      </c>
      <c r="B3459" s="2" t="str">
        <f ca="1">IFERROR(__xludf.DUMMYFUNCTION("""COMPUTED_VALUE"""),"Hala Residence")</f>
        <v>Hala Residence</v>
      </c>
      <c r="C3459" s="2" t="str">
        <f ca="1">IFERROR(__xludf.DUMMYFUNCTION("""COMPUTED_VALUE"""),"Building")</f>
        <v>Building</v>
      </c>
      <c r="D3459" s="2" t="str">
        <f ca="1">IFERROR(__xludf.DUMMYFUNCTION("""COMPUTED_VALUE"""),"Dubai&gt;International City&gt;International City Phase 2 (Warsan 4)&gt;Hala Residence")</f>
        <v>Dubai&gt;International City&gt;International City Phase 2 (Warsan 4)&gt;Hala Residence</v>
      </c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</row>
    <row r="3460" spans="1:26" ht="16.5" x14ac:dyDescent="0.35">
      <c r="A3460" s="2" t="str">
        <f ca="1">IFERROR(__xludf.DUMMYFUNCTION("""COMPUTED_VALUE"""),"Dubai")</f>
        <v>Dubai</v>
      </c>
      <c r="B3460" s="2" t="str">
        <f ca="1">IFERROR(__xludf.DUMMYFUNCTION("""COMPUTED_VALUE"""),"R01 Building")</f>
        <v>R01 Building</v>
      </c>
      <c r="C3460" s="2" t="str">
        <f ca="1">IFERROR(__xludf.DUMMYFUNCTION("""COMPUTED_VALUE"""),"Building")</f>
        <v>Building</v>
      </c>
      <c r="D3460" s="2" t="str">
        <f ca="1">IFERROR(__xludf.DUMMYFUNCTION("""COMPUTED_VALUE"""),"Dubai&gt;International City&gt;International City Phase 2 (Warsan 4)&gt;R01 Building")</f>
        <v>Dubai&gt;International City&gt;International City Phase 2 (Warsan 4)&gt;R01 Building</v>
      </c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</row>
    <row r="3461" spans="1:26" ht="16.5" x14ac:dyDescent="0.35">
      <c r="A3461" s="2" t="str">
        <f ca="1">IFERROR(__xludf.DUMMYFUNCTION("""COMPUTED_VALUE"""),"Dubai")</f>
        <v>Dubai</v>
      </c>
      <c r="B3461" s="2" t="str">
        <f ca="1">IFERROR(__xludf.DUMMYFUNCTION("""COMPUTED_VALUE"""),"Easy 19")</f>
        <v>Easy 19</v>
      </c>
      <c r="C3461" s="2" t="str">
        <f ca="1">IFERROR(__xludf.DUMMYFUNCTION("""COMPUTED_VALUE"""),"Building")</f>
        <v>Building</v>
      </c>
      <c r="D3461" s="2" t="str">
        <f ca="1">IFERROR(__xludf.DUMMYFUNCTION("""COMPUTED_VALUE"""),"Dubai&gt;International City&gt;International City Phase 2 (Warsan 4)&gt;Easy 19")</f>
        <v>Dubai&gt;International City&gt;International City Phase 2 (Warsan 4)&gt;Easy 19</v>
      </c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</row>
    <row r="3462" spans="1:26" ht="16.5" x14ac:dyDescent="0.35">
      <c r="A3462" s="2" t="str">
        <f ca="1">IFERROR(__xludf.DUMMYFUNCTION("""COMPUTED_VALUE"""),"Dubai")</f>
        <v>Dubai</v>
      </c>
      <c r="B3462" s="2" t="str">
        <f ca="1">IFERROR(__xludf.DUMMYFUNCTION("""COMPUTED_VALUE"""),"Silver Park Residency")</f>
        <v>Silver Park Residency</v>
      </c>
      <c r="C3462" s="2" t="str">
        <f ca="1">IFERROR(__xludf.DUMMYFUNCTION("""COMPUTED_VALUE"""),"Building")</f>
        <v>Building</v>
      </c>
      <c r="D3462" s="2" t="str">
        <f ca="1">IFERROR(__xludf.DUMMYFUNCTION("""COMPUTED_VALUE"""),"Dubai&gt;International City&gt;International City Phase 2 (Warsan 4)&gt;Silver Park Residency")</f>
        <v>Dubai&gt;International City&gt;International City Phase 2 (Warsan 4)&gt;Silver Park Residency</v>
      </c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</row>
    <row r="3463" spans="1:26" ht="16.5" x14ac:dyDescent="0.35">
      <c r="A3463" s="2" t="str">
        <f ca="1">IFERROR(__xludf.DUMMYFUNCTION("""COMPUTED_VALUE"""),"Dubai")</f>
        <v>Dubai</v>
      </c>
      <c r="B3463" s="2" t="str">
        <f ca="1">IFERROR(__xludf.DUMMYFUNCTION("""COMPUTED_VALUE"""),"Zyra Vista Residences")</f>
        <v>Zyra Vista Residences</v>
      </c>
      <c r="C3463" s="2" t="str">
        <f ca="1">IFERROR(__xludf.DUMMYFUNCTION("""COMPUTED_VALUE"""),"Building")</f>
        <v>Building</v>
      </c>
      <c r="D3463" s="2" t="str">
        <f ca="1">IFERROR(__xludf.DUMMYFUNCTION("""COMPUTED_VALUE"""),"Dubai&gt;International City&gt;International City Phase 2 (Warsan 4)&gt;Zyra Vista Residences")</f>
        <v>Dubai&gt;International City&gt;International City Phase 2 (Warsan 4)&gt;Zyra Vista Residences</v>
      </c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</row>
    <row r="3464" spans="1:26" ht="16.5" x14ac:dyDescent="0.35">
      <c r="A3464" s="2" t="str">
        <f ca="1">IFERROR(__xludf.DUMMYFUNCTION("""COMPUTED_VALUE"""),"Dubai")</f>
        <v>Dubai</v>
      </c>
      <c r="B3464" s="2" t="str">
        <f ca="1">IFERROR(__xludf.DUMMYFUNCTION("""COMPUTED_VALUE"""),"L-11")</f>
        <v>L-11</v>
      </c>
      <c r="C3464" s="2" t="str">
        <f ca="1">IFERROR(__xludf.DUMMYFUNCTION("""COMPUTED_VALUE"""),"Building")</f>
        <v>Building</v>
      </c>
      <c r="D3464" s="2" t="str">
        <f ca="1">IFERROR(__xludf.DUMMYFUNCTION("""COMPUTED_VALUE"""),"Dubai&gt;International City&gt;Greece Cluster&gt;L-11")</f>
        <v>Dubai&gt;International City&gt;Greece Cluster&gt;L-11</v>
      </c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</row>
    <row r="3465" spans="1:26" ht="16.5" x14ac:dyDescent="0.35">
      <c r="A3465" s="2" t="str">
        <f ca="1">IFERROR(__xludf.DUMMYFUNCTION("""COMPUTED_VALUE"""),"Dubai")</f>
        <v>Dubai</v>
      </c>
      <c r="B3465" s="2" t="str">
        <f ca="1">IFERROR(__xludf.DUMMYFUNCTION("""COMPUTED_VALUE"""),"R-15")</f>
        <v>R-15</v>
      </c>
      <c r="C3465" s="2" t="str">
        <f ca="1">IFERROR(__xludf.DUMMYFUNCTION("""COMPUTED_VALUE"""),"Building")</f>
        <v>Building</v>
      </c>
      <c r="D3465" s="2" t="str">
        <f ca="1">IFERROR(__xludf.DUMMYFUNCTION("""COMPUTED_VALUE"""),"Dubai&gt;International City&gt;France Cluster&gt;R-15")</f>
        <v>Dubai&gt;International City&gt;France Cluster&gt;R-15</v>
      </c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</row>
    <row r="3466" spans="1:26" ht="16.5" x14ac:dyDescent="0.35">
      <c r="A3466" s="2" t="str">
        <f ca="1">IFERROR(__xludf.DUMMYFUNCTION("""COMPUTED_VALUE"""),"Dubai")</f>
        <v>Dubai</v>
      </c>
      <c r="B3466" s="2" t="str">
        <f ca="1">IFERROR(__xludf.DUMMYFUNCTION("""COMPUTED_VALUE"""),"R-12")</f>
        <v>R-12</v>
      </c>
      <c r="C3466" s="2" t="str">
        <f ca="1">IFERROR(__xludf.DUMMYFUNCTION("""COMPUTED_VALUE"""),"Building")</f>
        <v>Building</v>
      </c>
      <c r="D3466" s="2" t="str">
        <f ca="1">IFERROR(__xludf.DUMMYFUNCTION("""COMPUTED_VALUE"""),"Dubai&gt;International City&gt;France Cluster&gt;R-12")</f>
        <v>Dubai&gt;International City&gt;France Cluster&gt;R-12</v>
      </c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</row>
    <row r="3467" spans="1:26" ht="16.5" x14ac:dyDescent="0.35">
      <c r="A3467" s="2" t="str">
        <f ca="1">IFERROR(__xludf.DUMMYFUNCTION("""COMPUTED_VALUE"""),"Dubai")</f>
        <v>Dubai</v>
      </c>
      <c r="B3467" s="2" t="str">
        <f ca="1">IFERROR(__xludf.DUMMYFUNCTION("""COMPUTED_VALUE"""),"Al Dana 2")</f>
        <v>Al Dana 2</v>
      </c>
      <c r="C3467" s="2" t="str">
        <f ca="1">IFERROR(__xludf.DUMMYFUNCTION("""COMPUTED_VALUE"""),"Building")</f>
        <v>Building</v>
      </c>
      <c r="D3467" s="2" t="str">
        <f ca="1">IFERROR(__xludf.DUMMYFUNCTION("""COMPUTED_VALUE"""),"Dubai&gt;International City&gt;Central Business District&gt;Al Dana&gt;Al Dana 2")</f>
        <v>Dubai&gt;International City&gt;Central Business District&gt;Al Dana&gt;Al Dana 2</v>
      </c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</row>
    <row r="3468" spans="1:26" ht="16.5" x14ac:dyDescent="0.35">
      <c r="A3468" s="2" t="str">
        <f ca="1">IFERROR(__xludf.DUMMYFUNCTION("""COMPUTED_VALUE"""),"Dubai")</f>
        <v>Dubai</v>
      </c>
      <c r="B3468" s="2" t="str">
        <f ca="1">IFERROR(__xludf.DUMMYFUNCTION("""COMPUTED_VALUE"""),"CBD-D03")</f>
        <v>CBD-D03</v>
      </c>
      <c r="C3468" s="2" t="str">
        <f ca="1">IFERROR(__xludf.DUMMYFUNCTION("""COMPUTED_VALUE"""),"Building")</f>
        <v>Building</v>
      </c>
      <c r="D3468" s="2" t="str">
        <f ca="1">IFERROR(__xludf.DUMMYFUNCTION("""COMPUTED_VALUE"""),"Dubai&gt;International City&gt;Central Business District&gt;CBD-D03")</f>
        <v>Dubai&gt;International City&gt;Central Business District&gt;CBD-D03</v>
      </c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</row>
    <row r="3469" spans="1:26" ht="16.5" x14ac:dyDescent="0.35">
      <c r="A3469" s="2" t="str">
        <f ca="1">IFERROR(__xludf.DUMMYFUNCTION("""COMPUTED_VALUE"""),"Dubai")</f>
        <v>Dubai</v>
      </c>
      <c r="B3469" s="2" t="str">
        <f ca="1">IFERROR(__xludf.DUMMYFUNCTION("""COMPUTED_VALUE"""),"Al Sahab Tower 1")</f>
        <v>Al Sahab Tower 1</v>
      </c>
      <c r="C3469" s="2" t="str">
        <f ca="1">IFERROR(__xludf.DUMMYFUNCTION("""COMPUTED_VALUE"""),"Building")</f>
        <v>Building</v>
      </c>
      <c r="D3469" s="2" t="str">
        <f ca="1">IFERROR(__xludf.DUMMYFUNCTION("""COMPUTED_VALUE"""),"Dubai&gt;Dubai Marina&gt;Al Sahab Tower&gt;Al Sahab Tower 1")</f>
        <v>Dubai&gt;Dubai Marina&gt;Al Sahab Tower&gt;Al Sahab Tower 1</v>
      </c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</row>
    <row r="3470" spans="1:26" ht="16.5" x14ac:dyDescent="0.35">
      <c r="A3470" s="2" t="str">
        <f ca="1">IFERROR(__xludf.DUMMYFUNCTION("""COMPUTED_VALUE"""),"Dubai")</f>
        <v>Dubai</v>
      </c>
      <c r="B3470" s="2" t="str">
        <f ca="1">IFERROR(__xludf.DUMMYFUNCTION("""COMPUTED_VALUE"""),"Dusit Princess Residence")</f>
        <v>Dusit Princess Residence</v>
      </c>
      <c r="C3470" s="2" t="str">
        <f ca="1">IFERROR(__xludf.DUMMYFUNCTION("""COMPUTED_VALUE"""),"Building")</f>
        <v>Building</v>
      </c>
      <c r="D3470" s="2" t="str">
        <f ca="1">IFERROR(__xludf.DUMMYFUNCTION("""COMPUTED_VALUE"""),"Dubai&gt;Dubai Marina&gt;Dusit Princess Residence")</f>
        <v>Dubai&gt;Dubai Marina&gt;Dusit Princess Residence</v>
      </c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</row>
    <row r="3471" spans="1:26" ht="16.5" x14ac:dyDescent="0.35">
      <c r="A3471" s="2" t="str">
        <f ca="1">IFERROR(__xludf.DUMMYFUNCTION("""COMPUTED_VALUE"""),"Dubai")</f>
        <v>Dubai</v>
      </c>
      <c r="B3471" s="2" t="str">
        <f ca="1">IFERROR(__xludf.DUMMYFUNCTION("""COMPUTED_VALUE"""),"Yacht Bay")</f>
        <v>Yacht Bay</v>
      </c>
      <c r="C3471" s="2" t="str">
        <f ca="1">IFERROR(__xludf.DUMMYFUNCTION("""COMPUTED_VALUE"""),"Building")</f>
        <v>Building</v>
      </c>
      <c r="D3471" s="2" t="str">
        <f ca="1">IFERROR(__xludf.DUMMYFUNCTION("""COMPUTED_VALUE"""),"Dubai&gt;Dubai Marina&gt;Yacht Bay")</f>
        <v>Dubai&gt;Dubai Marina&gt;Yacht Bay</v>
      </c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</row>
    <row r="3472" spans="1:26" ht="16.5" x14ac:dyDescent="0.35">
      <c r="A3472" s="2" t="str">
        <f ca="1">IFERROR(__xludf.DUMMYFUNCTION("""COMPUTED_VALUE"""),"Dubai")</f>
        <v>Dubai</v>
      </c>
      <c r="B3472" s="2" t="str">
        <f ca="1">IFERROR(__xludf.DUMMYFUNCTION("""COMPUTED_VALUE"""),"Al Yas Villas")</f>
        <v>Al Yas Villas</v>
      </c>
      <c r="C3472" s="2" t="str">
        <f ca="1">IFERROR(__xludf.DUMMYFUNCTION("""COMPUTED_VALUE"""),"Neighbourhood")</f>
        <v>Neighbourhood</v>
      </c>
      <c r="D3472" s="2" t="str">
        <f ca="1">IFERROR(__xludf.DUMMYFUNCTION("""COMPUTED_VALUE"""),"Dubai&gt;Dubai Marina&gt;Dubai Marina Towers&gt;Al Yas Villas")</f>
        <v>Dubai&gt;Dubai Marina&gt;Dubai Marina Towers&gt;Al Yas Villas</v>
      </c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</row>
    <row r="3473" spans="1:26" ht="16.5" x14ac:dyDescent="0.35">
      <c r="A3473" s="2" t="str">
        <f ca="1">IFERROR(__xludf.DUMMYFUNCTION("""COMPUTED_VALUE"""),"Dubai")</f>
        <v>Dubai</v>
      </c>
      <c r="B3473" s="2" t="str">
        <f ca="1">IFERROR(__xludf.DUMMYFUNCTION("""COMPUTED_VALUE"""),"Marina Diamond 6")</f>
        <v>Marina Diamond 6</v>
      </c>
      <c r="C3473" s="2" t="str">
        <f ca="1">IFERROR(__xludf.DUMMYFUNCTION("""COMPUTED_VALUE"""),"Building")</f>
        <v>Building</v>
      </c>
      <c r="D3473" s="2" t="str">
        <f ca="1">IFERROR(__xludf.DUMMYFUNCTION("""COMPUTED_VALUE"""),"Dubai&gt;Dubai Marina&gt;Marina Diamonds&gt;Marina Diamond 6")</f>
        <v>Dubai&gt;Dubai Marina&gt;Marina Diamonds&gt;Marina Diamond 6</v>
      </c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</row>
    <row r="3474" spans="1:26" ht="16.5" x14ac:dyDescent="0.35">
      <c r="A3474" s="2" t="str">
        <f ca="1">IFERROR(__xludf.DUMMYFUNCTION("""COMPUTED_VALUE"""),"Dubai")</f>
        <v>Dubai</v>
      </c>
      <c r="B3474" s="2" t="str">
        <f ca="1">IFERROR(__xludf.DUMMYFUNCTION("""COMPUTED_VALUE"""),"Safeer Tower")</f>
        <v>Safeer Tower</v>
      </c>
      <c r="C3474" s="2" t="str">
        <f ca="1">IFERROR(__xludf.DUMMYFUNCTION("""COMPUTED_VALUE"""),"Building")</f>
        <v>Building</v>
      </c>
      <c r="D3474" s="2" t="str">
        <f ca="1">IFERROR(__xludf.DUMMYFUNCTION("""COMPUTED_VALUE"""),"Dubai&gt;Dubai Marina&gt;Safeer Tower")</f>
        <v>Dubai&gt;Dubai Marina&gt;Safeer Tower</v>
      </c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</row>
    <row r="3475" spans="1:26" ht="16.5" x14ac:dyDescent="0.35">
      <c r="A3475" s="2" t="str">
        <f ca="1">IFERROR(__xludf.DUMMYFUNCTION("""COMPUTED_VALUE"""),"Dubai")</f>
        <v>Dubai</v>
      </c>
      <c r="B3475" s="2" t="str">
        <f ca="1">IFERROR(__xludf.DUMMYFUNCTION("""COMPUTED_VALUE"""),"Westside Marina")</f>
        <v>Westside Marina</v>
      </c>
      <c r="C3475" s="2" t="str">
        <f ca="1">IFERROR(__xludf.DUMMYFUNCTION("""COMPUTED_VALUE"""),"Building")</f>
        <v>Building</v>
      </c>
      <c r="D3475" s="2" t="str">
        <f ca="1">IFERROR(__xludf.DUMMYFUNCTION("""COMPUTED_VALUE"""),"Dubai&gt;Dubai Marina&gt;Westside Marina")</f>
        <v>Dubai&gt;Dubai Marina&gt;Westside Marina</v>
      </c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</row>
    <row r="3476" spans="1:26" ht="16.5" x14ac:dyDescent="0.35">
      <c r="A3476" s="2" t="str">
        <f ca="1">IFERROR(__xludf.DUMMYFUNCTION("""COMPUTED_VALUE"""),"Dubai")</f>
        <v>Dubai</v>
      </c>
      <c r="B3476" s="2" t="str">
        <f ca="1">IFERROR(__xludf.DUMMYFUNCTION("""COMPUTED_VALUE"""),"Bonaire Tower")</f>
        <v>Bonaire Tower</v>
      </c>
      <c r="C3476" s="2" t="str">
        <f ca="1">IFERROR(__xludf.DUMMYFUNCTION("""COMPUTED_VALUE"""),"Building")</f>
        <v>Building</v>
      </c>
      <c r="D3476" s="2" t="str">
        <f ca="1">IFERROR(__xludf.DUMMYFUNCTION("""COMPUTED_VALUE"""),"Dubai&gt;Dubai Marina&gt;Park Island&gt;Bonaire Tower")</f>
        <v>Dubai&gt;Dubai Marina&gt;Park Island&gt;Bonaire Tower</v>
      </c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</row>
    <row r="3477" spans="1:26" ht="16.5" x14ac:dyDescent="0.35">
      <c r="A3477" s="2" t="str">
        <f ca="1">IFERROR(__xludf.DUMMYFUNCTION("""COMPUTED_VALUE"""),"Dubai")</f>
        <v>Dubai</v>
      </c>
      <c r="B3477" s="2" t="str">
        <f ca="1">IFERROR(__xludf.DUMMYFUNCTION("""COMPUTED_VALUE"""),"Rawda Apartments 4")</f>
        <v>Rawda Apartments 4</v>
      </c>
      <c r="C3477" s="2" t="str">
        <f ca="1">IFERROR(__xludf.DUMMYFUNCTION("""COMPUTED_VALUE"""),"Building")</f>
        <v>Building</v>
      </c>
      <c r="D3477" s="2" t="str">
        <f ca="1">IFERROR(__xludf.DUMMYFUNCTION("""COMPUTED_VALUE"""),"Dubai&gt;Town Square&gt;Rawda Apartments&gt;Rawda Apartments 4")</f>
        <v>Dubai&gt;Town Square&gt;Rawda Apartments&gt;Rawda Apartments 4</v>
      </c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</row>
    <row r="3478" spans="1:26" ht="16.5" x14ac:dyDescent="0.35">
      <c r="A3478" s="2" t="str">
        <f ca="1">IFERROR(__xludf.DUMMYFUNCTION("""COMPUTED_VALUE"""),"Dubai")</f>
        <v>Dubai</v>
      </c>
      <c r="B3478" s="2" t="str">
        <f ca="1">IFERROR(__xludf.DUMMYFUNCTION("""COMPUTED_VALUE"""),"Kaya")</f>
        <v>Kaya</v>
      </c>
      <c r="C3478" s="2" t="str">
        <f ca="1">IFERROR(__xludf.DUMMYFUNCTION("""COMPUTED_VALUE"""),"Building")</f>
        <v>Building</v>
      </c>
      <c r="D3478" s="2" t="str">
        <f ca="1">IFERROR(__xludf.DUMMYFUNCTION("""COMPUTED_VALUE"""),"Dubai&gt;Town Square&gt;Kaya")</f>
        <v>Dubai&gt;Town Square&gt;Kaya</v>
      </c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</row>
    <row r="3479" spans="1:26" ht="16.5" x14ac:dyDescent="0.35">
      <c r="A3479" s="2" t="str">
        <f ca="1">IFERROR(__xludf.DUMMYFUNCTION("""COMPUTED_VALUE"""),"Dubai")</f>
        <v>Dubai</v>
      </c>
      <c r="B3479" s="2" t="str">
        <f ca="1">IFERROR(__xludf.DUMMYFUNCTION("""COMPUTED_VALUE"""),"The Arbor School")</f>
        <v>The Arbor School</v>
      </c>
      <c r="C3479" s="2" t="str">
        <f ca="1">IFERROR(__xludf.DUMMYFUNCTION("""COMPUTED_VALUE"""),"School")</f>
        <v>School</v>
      </c>
      <c r="D3479" s="2" t="str">
        <f ca="1">IFERROR(__xludf.DUMMYFUNCTION("""COMPUTED_VALUE"""),"Dubai&gt;Al Furjan&gt;The Arbor School")</f>
        <v>Dubai&gt;Al Furjan&gt;The Arbor School</v>
      </c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</row>
    <row r="3480" spans="1:26" ht="16.5" x14ac:dyDescent="0.35">
      <c r="A3480" s="2" t="str">
        <f ca="1">IFERROR(__xludf.DUMMYFUNCTION("""COMPUTED_VALUE"""),"Dubai")</f>
        <v>Dubai</v>
      </c>
      <c r="B3480" s="2" t="str">
        <f ca="1">IFERROR(__xludf.DUMMYFUNCTION("""COMPUTED_VALUE"""),"Wellington Residences")</f>
        <v>Wellington Residences</v>
      </c>
      <c r="C3480" s="2" t="str">
        <f ca="1">IFERROR(__xludf.DUMMYFUNCTION("""COMPUTED_VALUE"""),"Neighbourhood")</f>
        <v>Neighbourhood</v>
      </c>
      <c r="D3480" s="2" t="str">
        <f ca="1">IFERROR(__xludf.DUMMYFUNCTION("""COMPUTED_VALUE"""),"Dubai&gt;Al Furjan&gt;Al Furjan West&gt;Wellington Residences")</f>
        <v>Dubai&gt;Al Furjan&gt;Al Furjan West&gt;Wellington Residences</v>
      </c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</row>
    <row r="3481" spans="1:26" ht="16.5" x14ac:dyDescent="0.35">
      <c r="A3481" s="2" t="str">
        <f ca="1">IFERROR(__xludf.DUMMYFUNCTION("""COMPUTED_VALUE"""),"Dubai")</f>
        <v>Dubai</v>
      </c>
      <c r="B3481" s="2" t="str">
        <f ca="1">IFERROR(__xludf.DUMMYFUNCTION("""COMPUTED_VALUE"""),"Prime Residency 3")</f>
        <v>Prime Residency 3</v>
      </c>
      <c r="C3481" s="2" t="str">
        <f ca="1">IFERROR(__xludf.DUMMYFUNCTION("""COMPUTED_VALUE"""),"Building")</f>
        <v>Building</v>
      </c>
      <c r="D3481" s="2" t="str">
        <f ca="1">IFERROR(__xludf.DUMMYFUNCTION("""COMPUTED_VALUE"""),"Dubai&gt;Al Furjan&gt;Prime Residency 3")</f>
        <v>Dubai&gt;Al Furjan&gt;Prime Residency 3</v>
      </c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</row>
    <row r="3482" spans="1:26" ht="16.5" x14ac:dyDescent="0.35">
      <c r="A3482" s="2" t="str">
        <f ca="1">IFERROR(__xludf.DUMMYFUNCTION("""COMPUTED_VALUE"""),"Dubai")</f>
        <v>Dubai</v>
      </c>
      <c r="B3482" s="2" t="str">
        <f ca="1">IFERROR(__xludf.DUMMYFUNCTION("""COMPUTED_VALUE"""),"Avenue Residence 5")</f>
        <v>Avenue Residence 5</v>
      </c>
      <c r="C3482" s="2" t="str">
        <f ca="1">IFERROR(__xludf.DUMMYFUNCTION("""COMPUTED_VALUE"""),"Building")</f>
        <v>Building</v>
      </c>
      <c r="D3482" s="2" t="str">
        <f ca="1">IFERROR(__xludf.DUMMYFUNCTION("""COMPUTED_VALUE"""),"Dubai&gt;Al Furjan&gt;Avenue Residence 5")</f>
        <v>Dubai&gt;Al Furjan&gt;Avenue Residence 5</v>
      </c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</row>
    <row r="3483" spans="1:26" ht="16.5" x14ac:dyDescent="0.35">
      <c r="A3483" s="2" t="str">
        <f ca="1">IFERROR(__xludf.DUMMYFUNCTION("""COMPUTED_VALUE"""),"Dubai")</f>
        <v>Dubai</v>
      </c>
      <c r="B3483" s="2" t="str">
        <f ca="1">IFERROR(__xludf.DUMMYFUNCTION("""COMPUTED_VALUE"""),"Vistara House")</f>
        <v>Vistara House</v>
      </c>
      <c r="C3483" s="2" t="str">
        <f ca="1">IFERROR(__xludf.DUMMYFUNCTION("""COMPUTED_VALUE"""),"Building")</f>
        <v>Building</v>
      </c>
      <c r="D3483" s="2" t="str">
        <f ca="1">IFERROR(__xludf.DUMMYFUNCTION("""COMPUTED_VALUE"""),"Dubai&gt;Al Furjan&gt;Vistara House")</f>
        <v>Dubai&gt;Al Furjan&gt;Vistara House</v>
      </c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</row>
    <row r="3484" spans="1:26" ht="16.5" x14ac:dyDescent="0.35">
      <c r="A3484" s="2" t="str">
        <f ca="1">IFERROR(__xludf.DUMMYFUNCTION("""COMPUTED_VALUE"""),"Dubai")</f>
        <v>Dubai</v>
      </c>
      <c r="B3484" s="2" t="str">
        <f ca="1">IFERROR(__xludf.DUMMYFUNCTION("""COMPUTED_VALUE"""),"The Polo Townhouses")</f>
        <v>The Polo Townhouses</v>
      </c>
      <c r="C3484" s="2" t="str">
        <f ca="1">IFERROR(__xludf.DUMMYFUNCTION("""COMPUTED_VALUE"""),"Neighbourhood")</f>
        <v>Neighbourhood</v>
      </c>
      <c r="D3484" s="2" t="str">
        <f ca="1">IFERROR(__xludf.DUMMYFUNCTION("""COMPUTED_VALUE"""),"Dubai&gt;Meydan City&gt;Meydan Gated Community&gt;The Polo Townhouses")</f>
        <v>Dubai&gt;Meydan City&gt;Meydan Gated Community&gt;The Polo Townhouses</v>
      </c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</row>
    <row r="3485" spans="1:26" ht="16.5" x14ac:dyDescent="0.35">
      <c r="A3485" s="2" t="str">
        <f ca="1">IFERROR(__xludf.DUMMYFUNCTION("""COMPUTED_VALUE"""),"Dubai")</f>
        <v>Dubai</v>
      </c>
      <c r="B3485" s="2" t="str">
        <f ca="1">IFERROR(__xludf.DUMMYFUNCTION("""COMPUTED_VALUE"""),"Azizi Riviera 12")</f>
        <v>Azizi Riviera 12</v>
      </c>
      <c r="C3485" s="2" t="str">
        <f ca="1">IFERROR(__xludf.DUMMYFUNCTION("""COMPUTED_VALUE"""),"Building")</f>
        <v>Building</v>
      </c>
      <c r="D3485" s="2" t="str">
        <f ca="1">IFERROR(__xludf.DUMMYFUNCTION("""COMPUTED_VALUE"""),"Dubai&gt;Meydan City&gt;Meydan One&gt;Azizi Riviera&gt;Azizi Riviera 12")</f>
        <v>Dubai&gt;Meydan City&gt;Meydan One&gt;Azizi Riviera&gt;Azizi Riviera 12</v>
      </c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</row>
    <row r="3486" spans="1:26" ht="16.5" x14ac:dyDescent="0.35">
      <c r="A3486" s="2" t="str">
        <f ca="1">IFERROR(__xludf.DUMMYFUNCTION("""COMPUTED_VALUE"""),"Dubai")</f>
        <v>Dubai</v>
      </c>
      <c r="B3486" s="2" t="str">
        <f ca="1">IFERROR(__xludf.DUMMYFUNCTION("""COMPUTED_VALUE"""),"Azizi Riviera Reve")</f>
        <v>Azizi Riviera Reve</v>
      </c>
      <c r="C3486" s="2" t="str">
        <f ca="1">IFERROR(__xludf.DUMMYFUNCTION("""COMPUTED_VALUE"""),"Cluster")</f>
        <v>Cluster</v>
      </c>
      <c r="D3486" s="2" t="str">
        <f ca="1">IFERROR(__xludf.DUMMYFUNCTION("""COMPUTED_VALUE"""),"Dubai&gt;Meydan City&gt;Meydan One&gt;Azizi Riviera&gt;Azizi Riviera Reve")</f>
        <v>Dubai&gt;Meydan City&gt;Meydan One&gt;Azizi Riviera&gt;Azizi Riviera Reve</v>
      </c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</row>
    <row r="3487" spans="1:26" ht="16.5" x14ac:dyDescent="0.35">
      <c r="A3487" s="2" t="str">
        <f ca="1">IFERROR(__xludf.DUMMYFUNCTION("""COMPUTED_VALUE"""),"Dubai")</f>
        <v>Dubai</v>
      </c>
      <c r="B3487" s="2" t="str">
        <f ca="1">IFERROR(__xludf.DUMMYFUNCTION("""COMPUTED_VALUE"""),"Residence 1 Block A")</f>
        <v>Residence 1 Block A</v>
      </c>
      <c r="C3487" s="2" t="str">
        <f ca="1">IFERROR(__xludf.DUMMYFUNCTION("""COMPUTED_VALUE"""),"Building")</f>
        <v>Building</v>
      </c>
      <c r="D3487" s="2" t="str">
        <f ca="1">IFERROR(__xludf.DUMMYFUNCTION("""COMPUTED_VALUE"""),"Dubai&gt;Meydan City&gt;Meydan Avenue&gt;Residence 1 at Meydan Avenue&gt;Residence 1 Block A")</f>
        <v>Dubai&gt;Meydan City&gt;Meydan Avenue&gt;Residence 1 at Meydan Avenue&gt;Residence 1 Block A</v>
      </c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</row>
    <row r="3488" spans="1:26" ht="16.5" x14ac:dyDescent="0.35">
      <c r="A3488" s="2" t="str">
        <f ca="1">IFERROR(__xludf.DUMMYFUNCTION("""COMPUTED_VALUE"""),"Dubai")</f>
        <v>Dubai</v>
      </c>
      <c r="B3488" s="2" t="str">
        <f ca="1">IFERROR(__xludf.DUMMYFUNCTION("""COMPUTED_VALUE"""),"Polo Residence D4")</f>
        <v>Polo Residence D4</v>
      </c>
      <c r="C3488" s="2" t="str">
        <f ca="1">IFERROR(__xludf.DUMMYFUNCTION("""COMPUTED_VALUE"""),"Building")</f>
        <v>Building</v>
      </c>
      <c r="D3488" s="2" t="str">
        <f ca="1">IFERROR(__xludf.DUMMYFUNCTION("""COMPUTED_VALUE"""),"Dubai&gt;Meydan City&gt;Meydan Avenue&gt;Polo Residence&gt;Polo Residence D4")</f>
        <v>Dubai&gt;Meydan City&gt;Meydan Avenue&gt;Polo Residence&gt;Polo Residence D4</v>
      </c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</row>
    <row r="3489" spans="1:26" ht="16.5" x14ac:dyDescent="0.35">
      <c r="A3489" s="2" t="str">
        <f ca="1">IFERROR(__xludf.DUMMYFUNCTION("""COMPUTED_VALUE"""),"Dubai")</f>
        <v>Dubai</v>
      </c>
      <c r="B3489" s="2" t="str">
        <f ca="1">IFERROR(__xludf.DUMMYFUNCTION("""COMPUTED_VALUE"""),"Saddlewood Park")</f>
        <v>Saddlewood Park</v>
      </c>
      <c r="C3489" s="2" t="str">
        <f ca="1">IFERROR(__xludf.DUMMYFUNCTION("""COMPUTED_VALUE"""),"Building")</f>
        <v>Building</v>
      </c>
      <c r="D3489" s="2" t="str">
        <f ca="1">IFERROR(__xludf.DUMMYFUNCTION("""COMPUTED_VALUE"""),"Dubai&gt;Meydan City&gt;Meydan Avenue&gt;Saddlewood Park")</f>
        <v>Dubai&gt;Meydan City&gt;Meydan Avenue&gt;Saddlewood Park</v>
      </c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</row>
    <row r="3490" spans="1:26" ht="16.5" x14ac:dyDescent="0.35">
      <c r="A3490" s="2" t="str">
        <f ca="1">IFERROR(__xludf.DUMMYFUNCTION("""COMPUTED_VALUE"""),"Dubai")</f>
        <v>Dubai</v>
      </c>
      <c r="B3490" s="2" t="str">
        <f ca="1">IFERROR(__xludf.DUMMYFUNCTION("""COMPUTED_VALUE"""),"Al Samar 4")</f>
        <v>Al Samar 4</v>
      </c>
      <c r="C3490" s="2" t="str">
        <f ca="1">IFERROR(__xludf.DUMMYFUNCTION("""COMPUTED_VALUE"""),"Building")</f>
        <v>Building</v>
      </c>
      <c r="D3490" s="2" t="str">
        <f ca="1">IFERROR(__xludf.DUMMYFUNCTION("""COMPUTED_VALUE"""),"Dubai&gt;The Greens&gt;Al Samar&gt;Al Samar 4")</f>
        <v>Dubai&gt;The Greens&gt;Al Samar&gt;Al Samar 4</v>
      </c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</row>
    <row r="3491" spans="1:26" ht="16.5" x14ac:dyDescent="0.35">
      <c r="A3491" s="2" t="str">
        <f ca="1">IFERROR(__xludf.DUMMYFUNCTION("""COMPUTED_VALUE"""),"Dubai")</f>
        <v>Dubai</v>
      </c>
      <c r="B3491" s="2" t="str">
        <f ca="1">IFERROR(__xludf.DUMMYFUNCTION("""COMPUTED_VALUE"""),"Al Sidir 4")</f>
        <v>Al Sidir 4</v>
      </c>
      <c r="C3491" s="2" t="str">
        <f ca="1">IFERROR(__xludf.DUMMYFUNCTION("""COMPUTED_VALUE"""),"Building")</f>
        <v>Building</v>
      </c>
      <c r="D3491" s="2" t="str">
        <f ca="1">IFERROR(__xludf.DUMMYFUNCTION("""COMPUTED_VALUE"""),"Dubai&gt;The Greens&gt;Al Sidir&gt;Al Sidir 4")</f>
        <v>Dubai&gt;The Greens&gt;Al Sidir&gt;Al Sidir 4</v>
      </c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</row>
    <row r="3492" spans="1:26" ht="16.5" x14ac:dyDescent="0.35">
      <c r="A3492" s="2" t="str">
        <f ca="1">IFERROR(__xludf.DUMMYFUNCTION("""COMPUTED_VALUE"""),"Dubai")</f>
        <v>Dubai</v>
      </c>
      <c r="B3492" s="2" t="str">
        <f ca="1">IFERROR(__xludf.DUMMYFUNCTION("""COMPUTED_VALUE"""),"Noor 7")</f>
        <v>Noor 7</v>
      </c>
      <c r="C3492" s="2" t="str">
        <f ca="1">IFERROR(__xludf.DUMMYFUNCTION("""COMPUTED_VALUE"""),"Building")</f>
        <v>Building</v>
      </c>
      <c r="D3492" s="2" t="str">
        <f ca="1">IFERROR(__xludf.DUMMYFUNCTION("""COMPUTED_VALUE"""),"Dubai&gt;Dubai Production City (IMPZ)&gt;Midtown&gt;Noor District&gt;Noor 7")</f>
        <v>Dubai&gt;Dubai Production City (IMPZ)&gt;Midtown&gt;Noor District&gt;Noor 7</v>
      </c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</row>
    <row r="3493" spans="1:26" ht="16.5" x14ac:dyDescent="0.35">
      <c r="A3493" s="2" t="str">
        <f ca="1">IFERROR(__xludf.DUMMYFUNCTION("""COMPUTED_VALUE"""),"Dubai")</f>
        <v>Dubai</v>
      </c>
      <c r="B3493" s="2" t="str">
        <f ca="1">IFERROR(__xludf.DUMMYFUNCTION("""COMPUTED_VALUE"""),"Nasir Building")</f>
        <v>Nasir Building</v>
      </c>
      <c r="C3493" s="2" t="str">
        <f ca="1">IFERROR(__xludf.DUMMYFUNCTION("""COMPUTED_VALUE"""),"Building")</f>
        <v>Building</v>
      </c>
      <c r="D3493" s="2" t="str">
        <f ca="1">IFERROR(__xludf.DUMMYFUNCTION("""COMPUTED_VALUE"""),"Dubai&gt;Dubai Production City (IMPZ)&gt;MJM Residences&gt;Nasir Building")</f>
        <v>Dubai&gt;Dubai Production City (IMPZ)&gt;MJM Residences&gt;Nasir Building</v>
      </c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</row>
    <row r="3494" spans="1:26" ht="16.5" x14ac:dyDescent="0.35">
      <c r="A3494" s="2" t="str">
        <f ca="1">IFERROR(__xludf.DUMMYFUNCTION("""COMPUTED_VALUE"""),"Dubai")</f>
        <v>Dubai</v>
      </c>
      <c r="B3494" s="2" t="str">
        <f ca="1">IFERROR(__xludf.DUMMYFUNCTION("""COMPUTED_VALUE"""),"Domus Indigo 1")</f>
        <v>Domus Indigo 1</v>
      </c>
      <c r="C3494" s="2" t="str">
        <f ca="1">IFERROR(__xludf.DUMMYFUNCTION("""COMPUTED_VALUE"""),"Building")</f>
        <v>Building</v>
      </c>
      <c r="D3494" s="2" t="str">
        <f ca="1">IFERROR(__xludf.DUMMYFUNCTION("""COMPUTED_VALUE"""),"Dubai&gt;Dubai Production City (IMPZ)&gt;Domus Indigo&gt;Domus Indigo 1")</f>
        <v>Dubai&gt;Dubai Production City (IMPZ)&gt;Domus Indigo&gt;Domus Indigo 1</v>
      </c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</row>
    <row r="3495" spans="1:26" ht="16.5" x14ac:dyDescent="0.35">
      <c r="A3495" s="2" t="str">
        <f ca="1">IFERROR(__xludf.DUMMYFUNCTION("""COMPUTED_VALUE"""),"Dubai")</f>
        <v>Dubai</v>
      </c>
      <c r="B3495" s="2" t="str">
        <f ca="1">IFERROR(__xludf.DUMMYFUNCTION("""COMPUTED_VALUE"""),"Sunbeam Homes")</f>
        <v>Sunbeam Homes</v>
      </c>
      <c r="C3495" s="2" t="str">
        <f ca="1">IFERROR(__xludf.DUMMYFUNCTION("""COMPUTED_VALUE"""),"Cluster")</f>
        <v>Cluster</v>
      </c>
      <c r="D3495" s="2" t="str">
        <f ca="1">IFERROR(__xludf.DUMMYFUNCTION("""COMPUTED_VALUE"""),"Dubai&gt;Dubai Industrial City&gt;Sunbeam Homes")</f>
        <v>Dubai&gt;Dubai Industrial City&gt;Sunbeam Homes</v>
      </c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</row>
    <row r="3496" spans="1:26" ht="16.5" x14ac:dyDescent="0.35">
      <c r="A3496" s="2" t="str">
        <f ca="1">IFERROR(__xludf.DUMMYFUNCTION("""COMPUTED_VALUE"""),"Dubai")</f>
        <v>Dubai</v>
      </c>
      <c r="B3496" s="2" t="str">
        <f ca="1">IFERROR(__xludf.DUMMYFUNCTION("""COMPUTED_VALUE"""),"Elegant Homes")</f>
        <v>Elegant Homes</v>
      </c>
      <c r="C3496" s="2" t="str">
        <f ca="1">IFERROR(__xludf.DUMMYFUNCTION("""COMPUTED_VALUE"""),"Cluster")</f>
        <v>Cluster</v>
      </c>
      <c r="D3496" s="2" t="str">
        <f ca="1">IFERROR(__xludf.DUMMYFUNCTION("""COMPUTED_VALUE"""),"Dubai&gt;Dubai Industrial City&gt;Elegant Homes")</f>
        <v>Dubai&gt;Dubai Industrial City&gt;Elegant Homes</v>
      </c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</row>
    <row r="3497" spans="1:26" ht="16.5" x14ac:dyDescent="0.35">
      <c r="A3497" s="2" t="str">
        <f ca="1">IFERROR(__xludf.DUMMYFUNCTION("""COMPUTED_VALUE"""),"Dubai")</f>
        <v>Dubai</v>
      </c>
      <c r="B3497" s="2" t="str">
        <f ca="1">IFERROR(__xludf.DUMMYFUNCTION("""COMPUTED_VALUE"""),"S.P. Metro Building")</f>
        <v>S.P. Metro Building</v>
      </c>
      <c r="C3497" s="2" t="str">
        <f ca="1">IFERROR(__xludf.DUMMYFUNCTION("""COMPUTED_VALUE"""),"Building")</f>
        <v>Building</v>
      </c>
      <c r="D3497" s="2" t="str">
        <f ca="1">IFERROR(__xludf.DUMMYFUNCTION("""COMPUTED_VALUE"""),"Dubai&gt;Umm Al Sheif&gt;S.P. Metro Building")</f>
        <v>Dubai&gt;Umm Al Sheif&gt;S.P. Metro Building</v>
      </c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</row>
    <row r="3498" spans="1:26" ht="16.5" x14ac:dyDescent="0.35">
      <c r="A3498" s="2" t="str">
        <f ca="1">IFERROR(__xludf.DUMMYFUNCTION("""COMPUTED_VALUE"""),"Dubai")</f>
        <v>Dubai</v>
      </c>
      <c r="B3498" s="2" t="str">
        <f ca="1">IFERROR(__xludf.DUMMYFUNCTION("""COMPUTED_VALUE"""),"Iluka by MS Homes")</f>
        <v>Iluka by MS Homes</v>
      </c>
      <c r="C3498" s="2" t="str">
        <f ca="1">IFERROR(__xludf.DUMMYFUNCTION("""COMPUTED_VALUE"""),"Building")</f>
        <v>Building</v>
      </c>
      <c r="D3498" s="2" t="str">
        <f ca="1">IFERROR(__xludf.DUMMYFUNCTION("""COMPUTED_VALUE"""),"Dubai&gt;Dubai Islands&gt;Iluka by MS Homes")</f>
        <v>Dubai&gt;Dubai Islands&gt;Iluka by MS Homes</v>
      </c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</row>
    <row r="3499" spans="1:26" ht="16.5" x14ac:dyDescent="0.35">
      <c r="A3499" s="2" t="str">
        <f ca="1">IFERROR(__xludf.DUMMYFUNCTION("""COMPUTED_VALUE"""),"Dubai")</f>
        <v>Dubai</v>
      </c>
      <c r="B3499" s="2" t="str">
        <f ca="1">IFERROR(__xludf.DUMMYFUNCTION("""COMPUTED_VALUE"""),"Bay Grove Residences C Building 9")</f>
        <v>Bay Grove Residences C Building 9</v>
      </c>
      <c r="C3499" s="2" t="str">
        <f ca="1">IFERROR(__xludf.DUMMYFUNCTION("""COMPUTED_VALUE"""),"Building")</f>
        <v>Building</v>
      </c>
      <c r="D3499" s="2" t="str">
        <f ca="1">IFERROR(__xludf.DUMMYFUNCTION("""COMPUTED_VALUE"""),"Dubai&gt;Dubai Islands&gt;Bay Grove Residences C&gt;Bay Grove Residences C Building 9")</f>
        <v>Dubai&gt;Dubai Islands&gt;Bay Grove Residences C&gt;Bay Grove Residences C Building 9</v>
      </c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</row>
    <row r="3500" spans="1:26" ht="16.5" x14ac:dyDescent="0.35">
      <c r="A3500" s="2" t="str">
        <f ca="1">IFERROR(__xludf.DUMMYFUNCTION("""COMPUTED_VALUE"""),"Dubai")</f>
        <v>Dubai</v>
      </c>
      <c r="B3500" s="2" t="str">
        <f ca="1">IFERROR(__xludf.DUMMYFUNCTION("""COMPUTED_VALUE"""),"Bay Grove Residences B Building B6")</f>
        <v>Bay Grove Residences B Building B6</v>
      </c>
      <c r="C3500" s="2" t="str">
        <f ca="1">IFERROR(__xludf.DUMMYFUNCTION("""COMPUTED_VALUE"""),"Building")</f>
        <v>Building</v>
      </c>
      <c r="D3500" s="2" t="str">
        <f ca="1">IFERROR(__xludf.DUMMYFUNCTION("""COMPUTED_VALUE"""),"Dubai&gt;Dubai Islands&gt;Bay Grove Residences B&gt;Bay Grove Residences B Building B6")</f>
        <v>Dubai&gt;Dubai Islands&gt;Bay Grove Residences B&gt;Bay Grove Residences B Building B6</v>
      </c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</row>
    <row r="3501" spans="1:26" ht="16.5" x14ac:dyDescent="0.35">
      <c r="A3501" s="2" t="str">
        <f ca="1">IFERROR(__xludf.DUMMYFUNCTION("""COMPUTED_VALUE"""),"Dubai")</f>
        <v>Dubai</v>
      </c>
      <c r="B3501" s="2" t="str">
        <f ca="1">IFERROR(__xludf.DUMMYFUNCTION("""COMPUTED_VALUE"""),"Silena Residences Building A")</f>
        <v>Silena Residences Building A</v>
      </c>
      <c r="C3501" s="2" t="str">
        <f ca="1">IFERROR(__xludf.DUMMYFUNCTION("""COMPUTED_VALUE"""),"Building")</f>
        <v>Building</v>
      </c>
      <c r="D3501" s="2" t="str">
        <f ca="1">IFERROR(__xludf.DUMMYFUNCTION("""COMPUTED_VALUE"""),"Dubai&gt;Dubai Islands&gt;Silena Residences&gt;Silena Residences Building A")</f>
        <v>Dubai&gt;Dubai Islands&gt;Silena Residences&gt;Silena Residences Building A</v>
      </c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</row>
    <row r="3502" spans="1:26" ht="16.5" x14ac:dyDescent="0.35">
      <c r="A3502" s="2" t="str">
        <f ca="1">IFERROR(__xludf.DUMMYFUNCTION("""COMPUTED_VALUE"""),"Dubai")</f>
        <v>Dubai</v>
      </c>
      <c r="B3502" s="2" t="str">
        <f ca="1">IFERROR(__xludf.DUMMYFUNCTION("""COMPUTED_VALUE"""),"The Tides by AMIS")</f>
        <v>The Tides by AMIS</v>
      </c>
      <c r="C3502" s="2" t="str">
        <f ca="1">IFERROR(__xludf.DUMMYFUNCTION("""COMPUTED_VALUE"""),"Building")</f>
        <v>Building</v>
      </c>
      <c r="D3502" s="2" t="str">
        <f ca="1">IFERROR(__xludf.DUMMYFUNCTION("""COMPUTED_VALUE"""),"Dubai&gt;Dubai Islands&gt;The Tides by AMIS")</f>
        <v>Dubai&gt;Dubai Islands&gt;The Tides by AMIS</v>
      </c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</row>
    <row r="3503" spans="1:26" ht="16.5" x14ac:dyDescent="0.35">
      <c r="A3503" s="2" t="str">
        <f ca="1">IFERROR(__xludf.DUMMYFUNCTION("""COMPUTED_VALUE"""),"Dubai")</f>
        <v>Dubai</v>
      </c>
      <c r="B3503" s="2" t="str">
        <f ca="1">IFERROR(__xludf.DUMMYFUNCTION("""COMPUTED_VALUE"""),"Rukan 2")</f>
        <v>Rukan 2</v>
      </c>
      <c r="C3503" s="2" t="str">
        <f ca="1">IFERROR(__xludf.DUMMYFUNCTION("""COMPUTED_VALUE"""),"Neighbourhood")</f>
        <v>Neighbourhood</v>
      </c>
      <c r="D3503" s="2" t="str">
        <f ca="1">IFERROR(__xludf.DUMMYFUNCTION("""COMPUTED_VALUE"""),"Dubai&gt;Dubailand&gt;Rukan&gt;Rukan 2")</f>
        <v>Dubai&gt;Dubailand&gt;Rukan&gt;Rukan 2</v>
      </c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</row>
    <row r="3504" spans="1:26" ht="16.5" x14ac:dyDescent="0.35">
      <c r="A3504" s="2" t="str">
        <f ca="1">IFERROR(__xludf.DUMMYFUNCTION("""COMPUTED_VALUE"""),"Dubai")</f>
        <v>Dubai</v>
      </c>
      <c r="B3504" s="2" t="str">
        <f ca="1">IFERROR(__xludf.DUMMYFUNCTION("""COMPUTED_VALUE"""),"Taormina Village 1")</f>
        <v>Taormina Village 1</v>
      </c>
      <c r="C3504" s="2" t="str">
        <f ca="1">IFERROR(__xludf.DUMMYFUNCTION("""COMPUTED_VALUE"""),"Neighbourhood")</f>
        <v>Neighbourhood</v>
      </c>
      <c r="D3504" s="2" t="str">
        <f ca="1">IFERROR(__xludf.DUMMYFUNCTION("""COMPUTED_VALUE"""),"Dubai&gt;Dubailand&gt;Taormina Village 1")</f>
        <v>Dubai&gt;Dubailand&gt;Taormina Village 1</v>
      </c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</row>
    <row r="3505" spans="1:26" ht="16.5" x14ac:dyDescent="0.35">
      <c r="A3505" s="2" t="str">
        <f ca="1">IFERROR(__xludf.DUMMYFUNCTION("""COMPUTED_VALUE"""),"Dubai")</f>
        <v>Dubai</v>
      </c>
      <c r="B3505" s="2" t="str">
        <f ca="1">IFERROR(__xludf.DUMMYFUNCTION("""COMPUTED_VALUE"""),"The Gardens Building 41")</f>
        <v>The Gardens Building 41</v>
      </c>
      <c r="C3505" s="2" t="str">
        <f ca="1">IFERROR(__xludf.DUMMYFUNCTION("""COMPUTED_VALUE"""),"Building")</f>
        <v>Building</v>
      </c>
      <c r="D3505" s="2" t="str">
        <f ca="1">IFERROR(__xludf.DUMMYFUNCTION("""COMPUTED_VALUE"""),"Dubai&gt;The Gardens&gt;The Gardens Building 41")</f>
        <v>Dubai&gt;The Gardens&gt;The Gardens Building 41</v>
      </c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</row>
    <row r="3506" spans="1:26" ht="16.5" x14ac:dyDescent="0.35">
      <c r="A3506" s="2" t="str">
        <f ca="1">IFERROR(__xludf.DUMMYFUNCTION("""COMPUTED_VALUE"""),"Dubai")</f>
        <v>Dubai</v>
      </c>
      <c r="B3506" s="2" t="str">
        <f ca="1">IFERROR(__xludf.DUMMYFUNCTION("""COMPUTED_VALUE"""),"Al Mamzar Towers")</f>
        <v>Al Mamzar Towers</v>
      </c>
      <c r="C3506" s="2" t="str">
        <f ca="1">IFERROR(__xludf.DUMMYFUNCTION("""COMPUTED_VALUE"""),"Cluster")</f>
        <v>Cluster</v>
      </c>
      <c r="D3506" s="2" t="str">
        <f ca="1">IFERROR(__xludf.DUMMYFUNCTION("""COMPUTED_VALUE"""),"Dubai&gt;Al Mamzar&gt;Al Mamzar Towers")</f>
        <v>Dubai&gt;Al Mamzar&gt;Al Mamzar Towers</v>
      </c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</row>
    <row r="3507" spans="1:26" ht="16.5" x14ac:dyDescent="0.35">
      <c r="A3507" s="2" t="str">
        <f ca="1">IFERROR(__xludf.DUMMYFUNCTION("""COMPUTED_VALUE"""),"Dubai")</f>
        <v>Dubai</v>
      </c>
      <c r="B3507" s="2" t="str">
        <f ca="1">IFERROR(__xludf.DUMMYFUNCTION("""COMPUTED_VALUE"""),"Bluewaters Residences")</f>
        <v>Bluewaters Residences</v>
      </c>
      <c r="C3507" s="2" t="str">
        <f ca="1">IFERROR(__xludf.DUMMYFUNCTION("""COMPUTED_VALUE"""),"Cluster")</f>
        <v>Cluster</v>
      </c>
      <c r="D3507" s="2" t="str">
        <f ca="1">IFERROR(__xludf.DUMMYFUNCTION("""COMPUTED_VALUE"""),"Dubai&gt;Bluewaters Island&gt;Bluewaters Residences")</f>
        <v>Dubai&gt;Bluewaters Island&gt;Bluewaters Residences</v>
      </c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</row>
    <row r="3508" spans="1:26" ht="16.5" x14ac:dyDescent="0.35">
      <c r="A3508" s="2" t="str">
        <f ca="1">IFERROR(__xludf.DUMMYFUNCTION("""COMPUTED_VALUE"""),"Dubai")</f>
        <v>Dubai</v>
      </c>
      <c r="B3508" s="2" t="str">
        <f ca="1">IFERROR(__xludf.DUMMYFUNCTION("""COMPUTED_VALUE"""),"Awqaf Building - 232")</f>
        <v>Awqaf Building - 232</v>
      </c>
      <c r="C3508" s="2" t="str">
        <f ca="1">IFERROR(__xludf.DUMMYFUNCTION("""COMPUTED_VALUE"""),"Building")</f>
        <v>Building</v>
      </c>
      <c r="D3508" s="2" t="str">
        <f ca="1">IFERROR(__xludf.DUMMYFUNCTION("""COMPUTED_VALUE"""),"Dubai&gt;Muhaisnah&gt;Muhaisnah 4&gt;Awqaf Building - 232")</f>
        <v>Dubai&gt;Muhaisnah&gt;Muhaisnah 4&gt;Awqaf Building - 232</v>
      </c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</row>
    <row r="3509" spans="1:26" ht="16.5" x14ac:dyDescent="0.35">
      <c r="A3509" s="2" t="str">
        <f ca="1">IFERROR(__xludf.DUMMYFUNCTION("""COMPUTED_VALUE"""),"Dubai")</f>
        <v>Dubai</v>
      </c>
      <c r="B3509" s="2" t="str">
        <f ca="1">IFERROR(__xludf.DUMMYFUNCTION("""COMPUTED_VALUE"""),"Buds Public School, Dubai")</f>
        <v>Buds Public School, Dubai</v>
      </c>
      <c r="C3509" s="2" t="str">
        <f ca="1">IFERROR(__xludf.DUMMYFUNCTION("""COMPUTED_VALUE"""),"School")</f>
        <v>School</v>
      </c>
      <c r="D3509" s="2" t="str">
        <f ca="1">IFERROR(__xludf.DUMMYFUNCTION("""COMPUTED_VALUE"""),"Dubai&gt;Muhaisnah&gt;Muhaisnah 1&gt;Buds Public School, Dubai")</f>
        <v>Dubai&gt;Muhaisnah&gt;Muhaisnah 1&gt;Buds Public School, Dubai</v>
      </c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</row>
    <row r="3510" spans="1:26" ht="16.5" x14ac:dyDescent="0.35">
      <c r="A3510" s="2" t="str">
        <f ca="1">IFERROR(__xludf.DUMMYFUNCTION("""COMPUTED_VALUE"""),"Dubai")</f>
        <v>Dubai</v>
      </c>
      <c r="B3510" s="2" t="str">
        <f ca="1">IFERROR(__xludf.DUMMYFUNCTION("""COMPUTED_VALUE"""),"DXB Tower")</f>
        <v>DXB Tower</v>
      </c>
      <c r="C3510" s="2" t="str">
        <f ca="1">IFERROR(__xludf.DUMMYFUNCTION("""COMPUTED_VALUE"""),"Building")</f>
        <v>Building</v>
      </c>
      <c r="D3510" s="2" t="str">
        <f ca="1">IFERROR(__xludf.DUMMYFUNCTION("""COMPUTED_VALUE"""),"Dubai&gt;Sheikh Zayed Road&gt;DXB Tower")</f>
        <v>Dubai&gt;Sheikh Zayed Road&gt;DXB Tower</v>
      </c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</row>
    <row r="3511" spans="1:26" ht="16.5" x14ac:dyDescent="0.35">
      <c r="A3511" s="2" t="str">
        <f ca="1">IFERROR(__xludf.DUMMYFUNCTION("""COMPUTED_VALUE"""),"Dubai")</f>
        <v>Dubai</v>
      </c>
      <c r="B3511" s="2" t="str">
        <f ca="1">IFERROR(__xludf.DUMMYFUNCTION("""COMPUTED_VALUE"""),"Ghaya Residence")</f>
        <v>Ghaya Residence</v>
      </c>
      <c r="C3511" s="2" t="str">
        <f ca="1">IFERROR(__xludf.DUMMYFUNCTION("""COMPUTED_VALUE"""),"Building")</f>
        <v>Building</v>
      </c>
      <c r="D3511" s="2" t="str">
        <f ca="1">IFERROR(__xludf.DUMMYFUNCTION("""COMPUTED_VALUE"""),"Dubai&gt;Sheikh Zayed Road&gt;Ghaya Residence")</f>
        <v>Dubai&gt;Sheikh Zayed Road&gt;Ghaya Residence</v>
      </c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</row>
    <row r="3512" spans="1:26" ht="16.5" x14ac:dyDescent="0.35">
      <c r="A3512" s="2" t="str">
        <f ca="1">IFERROR(__xludf.DUMMYFUNCTION("""COMPUTED_VALUE"""),"Dubai")</f>
        <v>Dubai</v>
      </c>
      <c r="B3512" s="2" t="str">
        <f ca="1">IFERROR(__xludf.DUMMYFUNCTION("""COMPUTED_VALUE"""),"White Crown Tower")</f>
        <v>White Crown Tower</v>
      </c>
      <c r="C3512" s="2" t="str">
        <f ca="1">IFERROR(__xludf.DUMMYFUNCTION("""COMPUTED_VALUE"""),"Building")</f>
        <v>Building</v>
      </c>
      <c r="D3512" s="2" t="str">
        <f ca="1">IFERROR(__xludf.DUMMYFUNCTION("""COMPUTED_VALUE"""),"Dubai&gt;Sheikh Zayed Road&gt;White Crown Tower")</f>
        <v>Dubai&gt;Sheikh Zayed Road&gt;White Crown Tower</v>
      </c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</row>
    <row r="3513" spans="1:26" ht="16.5" x14ac:dyDescent="0.35">
      <c r="A3513" s="2" t="str">
        <f ca="1">IFERROR(__xludf.DUMMYFUNCTION("""COMPUTED_VALUE"""),"Dubai")</f>
        <v>Dubai</v>
      </c>
      <c r="B3513" s="2" t="str">
        <f ca="1">IFERROR(__xludf.DUMMYFUNCTION("""COMPUTED_VALUE"""),"Al Kharbash Tower")</f>
        <v>Al Kharbash Tower</v>
      </c>
      <c r="C3513" s="2" t="str">
        <f ca="1">IFERROR(__xludf.DUMMYFUNCTION("""COMPUTED_VALUE"""),"Building")</f>
        <v>Building</v>
      </c>
      <c r="D3513" s="2" t="str">
        <f ca="1">IFERROR(__xludf.DUMMYFUNCTION("""COMPUTED_VALUE"""),"Dubai&gt;Sheikh Zayed Road&gt;Al Kharbash Tower")</f>
        <v>Dubai&gt;Sheikh Zayed Road&gt;Al Kharbash Tower</v>
      </c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</row>
    <row r="3514" spans="1:26" ht="16.5" x14ac:dyDescent="0.35">
      <c r="A3514" s="2" t="str">
        <f ca="1">IFERROR(__xludf.DUMMYFUNCTION("""COMPUTED_VALUE"""),"Dubai")</f>
        <v>Dubai</v>
      </c>
      <c r="B3514" s="2" t="str">
        <f ca="1">IFERROR(__xludf.DUMMYFUNCTION("""COMPUTED_VALUE"""),"Himayah Schools For Education")</f>
        <v>Himayah Schools For Education</v>
      </c>
      <c r="C3514" s="2" t="str">
        <f ca="1">IFERROR(__xludf.DUMMYFUNCTION("""COMPUTED_VALUE"""),"School")</f>
        <v>School</v>
      </c>
      <c r="D3514" s="2" t="str">
        <f ca="1">IFERROR(__xludf.DUMMYFUNCTION("""COMPUTED_VALUE"""),"Dubai&gt;Al Karama&gt;Himayah Schools For Education")</f>
        <v>Dubai&gt;Al Karama&gt;Himayah Schools For Education</v>
      </c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</row>
    <row r="3515" spans="1:26" ht="16.5" x14ac:dyDescent="0.35">
      <c r="A3515" s="2" t="str">
        <f ca="1">IFERROR(__xludf.DUMMYFUNCTION("""COMPUTED_VALUE"""),"Dubai")</f>
        <v>Dubai</v>
      </c>
      <c r="B3515" s="2" t="str">
        <f ca="1">IFERROR(__xludf.DUMMYFUNCTION("""COMPUTED_VALUE"""),"Building 8")</f>
        <v>Building 8</v>
      </c>
      <c r="C3515" s="2" t="str">
        <f ca="1">IFERROR(__xludf.DUMMYFUNCTION("""COMPUTED_VALUE"""),"Building")</f>
        <v>Building</v>
      </c>
      <c r="D3515" s="2" t="str">
        <f ca="1">IFERROR(__xludf.DUMMYFUNCTION("""COMPUTED_VALUE"""),"Dubai&gt;Al Karama&gt;Karam Pioneer Buildings&gt;Building 8")</f>
        <v>Dubai&gt;Al Karama&gt;Karam Pioneer Buildings&gt;Building 8</v>
      </c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</row>
    <row r="3516" spans="1:26" ht="16.5" x14ac:dyDescent="0.35">
      <c r="A3516" s="2" t="str">
        <f ca="1">IFERROR(__xludf.DUMMYFUNCTION("""COMPUTED_VALUE"""),"Dubai")</f>
        <v>Dubai</v>
      </c>
      <c r="B3516" s="2" t="str">
        <f ca="1">IFERROR(__xludf.DUMMYFUNCTION("""COMPUTED_VALUE"""),"Building 40")</f>
        <v>Building 40</v>
      </c>
      <c r="C3516" s="2" t="str">
        <f ca="1">IFERROR(__xludf.DUMMYFUNCTION("""COMPUTED_VALUE"""),"Building")</f>
        <v>Building</v>
      </c>
      <c r="D3516" s="2" t="str">
        <f ca="1">IFERROR(__xludf.DUMMYFUNCTION("""COMPUTED_VALUE"""),"Dubai&gt;Al Karama&gt;Karam Pioneer Buildings&gt;Building 40")</f>
        <v>Dubai&gt;Al Karama&gt;Karam Pioneer Buildings&gt;Building 40</v>
      </c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</row>
    <row r="3517" spans="1:26" ht="16.5" x14ac:dyDescent="0.35">
      <c r="A3517" s="2" t="str">
        <f ca="1">IFERROR(__xludf.DUMMYFUNCTION("""COMPUTED_VALUE"""),"Dubai")</f>
        <v>Dubai</v>
      </c>
      <c r="B3517" s="2" t="str">
        <f ca="1">IFERROR(__xludf.DUMMYFUNCTION("""COMPUTED_VALUE"""),"Wasl Aqua")</f>
        <v>Wasl Aqua</v>
      </c>
      <c r="C3517" s="2" t="str">
        <f ca="1">IFERROR(__xludf.DUMMYFUNCTION("""COMPUTED_VALUE"""),"Building")</f>
        <v>Building</v>
      </c>
      <c r="D3517" s="2" t="str">
        <f ca="1">IFERROR(__xludf.DUMMYFUNCTION("""COMPUTED_VALUE"""),"Dubai&gt;Al Karama&gt;Wasl Aqua")</f>
        <v>Dubai&gt;Al Karama&gt;Wasl Aqua</v>
      </c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</row>
    <row r="3518" spans="1:26" ht="16.5" x14ac:dyDescent="0.35">
      <c r="A3518" s="2" t="str">
        <f ca="1">IFERROR(__xludf.DUMMYFUNCTION("""COMPUTED_VALUE"""),"Dubai")</f>
        <v>Dubai</v>
      </c>
      <c r="B3518" s="2" t="str">
        <f ca="1">IFERROR(__xludf.DUMMYFUNCTION("""COMPUTED_VALUE"""),"Dubai Central Post Office")</f>
        <v>Dubai Central Post Office</v>
      </c>
      <c r="C3518" s="2" t="str">
        <f ca="1">IFERROR(__xludf.DUMMYFUNCTION("""COMPUTED_VALUE"""),"Building")</f>
        <v>Building</v>
      </c>
      <c r="D3518" s="2" t="str">
        <f ca="1">IFERROR(__xludf.DUMMYFUNCTION("""COMPUTED_VALUE"""),"Dubai&gt;Al Karama&gt;Dubai Central Post Office")</f>
        <v>Dubai&gt;Al Karama&gt;Dubai Central Post Office</v>
      </c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</row>
    <row r="3519" spans="1:26" ht="16.5" x14ac:dyDescent="0.35">
      <c r="A3519" s="2" t="str">
        <f ca="1">IFERROR(__xludf.DUMMYFUNCTION("""COMPUTED_VALUE"""),"Dubai")</f>
        <v>Dubai</v>
      </c>
      <c r="B3519" s="2" t="str">
        <f ca="1">IFERROR(__xludf.DUMMYFUNCTION("""COMPUTED_VALUE"""),"Al Shraifi 3")</f>
        <v>Al Shraifi 3</v>
      </c>
      <c r="C3519" s="2" t="str">
        <f ca="1">IFERROR(__xludf.DUMMYFUNCTION("""COMPUTED_VALUE"""),"Building")</f>
        <v>Building</v>
      </c>
      <c r="D3519" s="2" t="str">
        <f ca="1">IFERROR(__xludf.DUMMYFUNCTION("""COMPUTED_VALUE"""),"Dubai&gt;Al Karama&gt;Al Shraifi 3")</f>
        <v>Dubai&gt;Al Karama&gt;Al Shraifi 3</v>
      </c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</row>
    <row r="3520" spans="1:26" ht="16.5" x14ac:dyDescent="0.35">
      <c r="A3520" s="2" t="str">
        <f ca="1">IFERROR(__xludf.DUMMYFUNCTION("""COMPUTED_VALUE"""),"Dubai")</f>
        <v>Dubai</v>
      </c>
      <c r="B3520" s="2" t="str">
        <f ca="1">IFERROR(__xludf.DUMMYFUNCTION("""COMPUTED_VALUE"""),"R448 Al Wasl Building")</f>
        <v>R448 Al Wasl Building</v>
      </c>
      <c r="C3520" s="2" t="str">
        <f ca="1">IFERROR(__xludf.DUMMYFUNCTION("""COMPUTED_VALUE"""),"Building")</f>
        <v>Building</v>
      </c>
      <c r="D3520" s="2" t="str">
        <f ca="1">IFERROR(__xludf.DUMMYFUNCTION("""COMPUTED_VALUE"""),"Dubai&gt;Al Karama&gt;R448 Al Wasl Building")</f>
        <v>Dubai&gt;Al Karama&gt;R448 Al Wasl Building</v>
      </c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</row>
    <row r="3521" spans="1:26" ht="16.5" x14ac:dyDescent="0.35">
      <c r="A3521" s="2" t="str">
        <f ca="1">IFERROR(__xludf.DUMMYFUNCTION("""COMPUTED_VALUE"""),"Dubai")</f>
        <v>Dubai</v>
      </c>
      <c r="B3521" s="2" t="str">
        <f ca="1">IFERROR(__xludf.DUMMYFUNCTION("""COMPUTED_VALUE"""),"Al Kifaf Oasis Building")</f>
        <v>Al Kifaf Oasis Building</v>
      </c>
      <c r="C3521" s="2" t="str">
        <f ca="1">IFERROR(__xludf.DUMMYFUNCTION("""COMPUTED_VALUE"""),"Building")</f>
        <v>Building</v>
      </c>
      <c r="D3521" s="2" t="str">
        <f ca="1">IFERROR(__xludf.DUMMYFUNCTION("""COMPUTED_VALUE"""),"Dubai&gt;Al Karama&gt;Al Kifaf Oasis Building")</f>
        <v>Dubai&gt;Al Karama&gt;Al Kifaf Oasis Building</v>
      </c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</row>
    <row r="3522" spans="1:26" ht="16.5" x14ac:dyDescent="0.35">
      <c r="A3522" s="2" t="str">
        <f ca="1">IFERROR(__xludf.DUMMYFUNCTION("""COMPUTED_VALUE"""),"Dubai")</f>
        <v>Dubai</v>
      </c>
      <c r="B3522" s="2" t="str">
        <f ca="1">IFERROR(__xludf.DUMMYFUNCTION("""COMPUTED_VALUE"""),"Interiors Building 1")</f>
        <v>Interiors Building 1</v>
      </c>
      <c r="C3522" s="2" t="str">
        <f ca="1">IFERROR(__xludf.DUMMYFUNCTION("""COMPUTED_VALUE"""),"Building")</f>
        <v>Building</v>
      </c>
      <c r="D3522" s="2" t="str">
        <f ca="1">IFERROR(__xludf.DUMMYFUNCTION("""COMPUTED_VALUE"""),"Dubai&gt;Al Karama&gt;Interiors Building 1")</f>
        <v>Dubai&gt;Al Karama&gt;Interiors Building 1</v>
      </c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</row>
    <row r="3523" spans="1:26" ht="16.5" x14ac:dyDescent="0.35">
      <c r="A3523" s="2" t="str">
        <f ca="1">IFERROR(__xludf.DUMMYFUNCTION("""COMPUTED_VALUE"""),"Dubai")</f>
        <v>Dubai</v>
      </c>
      <c r="B3523" s="2" t="str">
        <f ca="1">IFERROR(__xludf.DUMMYFUNCTION("""COMPUTED_VALUE"""),"Khalid Building 2")</f>
        <v>Khalid Building 2</v>
      </c>
      <c r="C3523" s="2" t="str">
        <f ca="1">IFERROR(__xludf.DUMMYFUNCTION("""COMPUTED_VALUE"""),"Building")</f>
        <v>Building</v>
      </c>
      <c r="D3523" s="2" t="str">
        <f ca="1">IFERROR(__xludf.DUMMYFUNCTION("""COMPUTED_VALUE"""),"Dubai&gt;Al Karama&gt;Khalid Building 2")</f>
        <v>Dubai&gt;Al Karama&gt;Khalid Building 2</v>
      </c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</row>
    <row r="3524" spans="1:26" ht="16.5" x14ac:dyDescent="0.35">
      <c r="A3524" s="2" t="str">
        <f ca="1">IFERROR(__xludf.DUMMYFUNCTION("""COMPUTED_VALUE"""),"Dubai")</f>
        <v>Dubai</v>
      </c>
      <c r="B3524" s="2" t="str">
        <f ca="1">IFERROR(__xludf.DUMMYFUNCTION("""COMPUTED_VALUE"""),"Golden Tower 1")</f>
        <v>Golden Tower 1</v>
      </c>
      <c r="C3524" s="2" t="str">
        <f ca="1">IFERROR(__xludf.DUMMYFUNCTION("""COMPUTED_VALUE"""),"Building")</f>
        <v>Building</v>
      </c>
      <c r="D3524" s="2" t="str">
        <f ca="1">IFERROR(__xludf.DUMMYFUNCTION("""COMPUTED_VALUE"""),"Dubai&gt;Al Karama&gt;Golden Tower 1")</f>
        <v>Dubai&gt;Al Karama&gt;Golden Tower 1</v>
      </c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</row>
    <row r="3525" spans="1:26" ht="16.5" x14ac:dyDescent="0.35">
      <c r="A3525" s="2" t="str">
        <f ca="1">IFERROR(__xludf.DUMMYFUNCTION("""COMPUTED_VALUE"""),"Dubai")</f>
        <v>Dubai</v>
      </c>
      <c r="B3525" s="2" t="str">
        <f ca="1">IFERROR(__xludf.DUMMYFUNCTION("""COMPUTED_VALUE"""),"Farah Alattar Building")</f>
        <v>Farah Alattar Building</v>
      </c>
      <c r="C3525" s="2" t="str">
        <f ca="1">IFERROR(__xludf.DUMMYFUNCTION("""COMPUTED_VALUE"""),"Building")</f>
        <v>Building</v>
      </c>
      <c r="D3525" s="2" t="str">
        <f ca="1">IFERROR(__xludf.DUMMYFUNCTION("""COMPUTED_VALUE"""),"Dubai&gt;Al Karama&gt;Farah Alattar Building")</f>
        <v>Dubai&gt;Al Karama&gt;Farah Alattar Building</v>
      </c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</row>
    <row r="3526" spans="1:26" ht="16.5" x14ac:dyDescent="0.35">
      <c r="A3526" s="2" t="str">
        <f ca="1">IFERROR(__xludf.DUMMYFUNCTION("""COMPUTED_VALUE"""),"Dubai")</f>
        <v>Dubai</v>
      </c>
      <c r="B3526" s="2" t="str">
        <f ca="1">IFERROR(__xludf.DUMMYFUNCTION("""COMPUTED_VALUE"""),"Dilan Tower")</f>
        <v>Dilan Tower</v>
      </c>
      <c r="C3526" s="2" t="str">
        <f ca="1">IFERROR(__xludf.DUMMYFUNCTION("""COMPUTED_VALUE"""),"Building")</f>
        <v>Building</v>
      </c>
      <c r="D3526" s="2" t="str">
        <f ca="1">IFERROR(__xludf.DUMMYFUNCTION("""COMPUTED_VALUE"""),"Dubai&gt;Culture Village (Jaddaf Waterfront)&gt;Dilan Tower")</f>
        <v>Dubai&gt;Culture Village (Jaddaf Waterfront)&gt;Dilan Tower</v>
      </c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</row>
    <row r="3527" spans="1:26" ht="16.5" x14ac:dyDescent="0.35">
      <c r="A3527" s="2" t="str">
        <f ca="1">IFERROR(__xludf.DUMMYFUNCTION("""COMPUTED_VALUE"""),"Dubai")</f>
        <v>Dubai</v>
      </c>
      <c r="B3527" s="2" t="str">
        <f ca="1">IFERROR(__xludf.DUMMYFUNCTION("""COMPUTED_VALUE"""),"Sakura Gardens")</f>
        <v>Sakura Gardens</v>
      </c>
      <c r="C3527" s="2" t="str">
        <f ca="1">IFERROR(__xludf.DUMMYFUNCTION("""COMPUTED_VALUE"""),"Building")</f>
        <v>Building</v>
      </c>
      <c r="D3527" s="2" t="str">
        <f ca="1">IFERROR(__xludf.DUMMYFUNCTION("""COMPUTED_VALUE"""),"Dubai&gt;Falcon City of Wonders&gt;Sakura Gardens")</f>
        <v>Dubai&gt;Falcon City of Wonders&gt;Sakura Gardens</v>
      </c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</row>
    <row r="3528" spans="1:26" ht="16.5" x14ac:dyDescent="0.35">
      <c r="A3528" s="2" t="str">
        <f ca="1">IFERROR(__xludf.DUMMYFUNCTION("""COMPUTED_VALUE"""),"Dubai")</f>
        <v>Dubai</v>
      </c>
      <c r="B3528" s="2" t="str">
        <f ca="1">IFERROR(__xludf.DUMMYFUNCTION("""COMPUTED_VALUE"""),"Al Jazi Building 1")</f>
        <v>Al Jazi Building 1</v>
      </c>
      <c r="C3528" s="2" t="str">
        <f ca="1">IFERROR(__xludf.DUMMYFUNCTION("""COMPUTED_VALUE"""),"Building")</f>
        <v>Building</v>
      </c>
      <c r="D3528" s="2" t="str">
        <f ca="1">IFERROR(__xludf.DUMMYFUNCTION("""COMPUTED_VALUE"""),"Dubai&gt;Umm Suqeim&gt;Madinat Jumeirah Living&gt;Al Jazi&gt;Al Jazi Building 1")</f>
        <v>Dubai&gt;Umm Suqeim&gt;Madinat Jumeirah Living&gt;Al Jazi&gt;Al Jazi Building 1</v>
      </c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</row>
    <row r="3529" spans="1:26" ht="16.5" x14ac:dyDescent="0.35">
      <c r="A3529" s="2" t="str">
        <f ca="1">IFERROR(__xludf.DUMMYFUNCTION("""COMPUTED_VALUE"""),"Dubai")</f>
        <v>Dubai</v>
      </c>
      <c r="B3529" s="2" t="str">
        <f ca="1">IFERROR(__xludf.DUMMYFUNCTION("""COMPUTED_VALUE"""),"Collegiate International School")</f>
        <v>Collegiate International School</v>
      </c>
      <c r="C3529" s="2" t="str">
        <f ca="1">IFERROR(__xludf.DUMMYFUNCTION("""COMPUTED_VALUE"""),"School")</f>
        <v>School</v>
      </c>
      <c r="D3529" s="2" t="str">
        <f ca="1">IFERROR(__xludf.DUMMYFUNCTION("""COMPUTED_VALUE"""),"Dubai&gt;Umm Suqeim&gt;Umm Suqeim 2&gt;Collegiate International School")</f>
        <v>Dubai&gt;Umm Suqeim&gt;Umm Suqeim 2&gt;Collegiate International School</v>
      </c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</row>
    <row r="3530" spans="1:26" ht="16.5" x14ac:dyDescent="0.35">
      <c r="A3530" s="2" t="str">
        <f ca="1">IFERROR(__xludf.DUMMYFUNCTION("""COMPUTED_VALUE"""),"Dubai")</f>
        <v>Dubai</v>
      </c>
      <c r="B3530" s="2" t="str">
        <f ca="1">IFERROR(__xludf.DUMMYFUNCTION("""COMPUTED_VALUE"""),"Azizi Milan 1")</f>
        <v>Azizi Milan 1</v>
      </c>
      <c r="C3530" s="2" t="str">
        <f ca="1">IFERROR(__xludf.DUMMYFUNCTION("""COMPUTED_VALUE"""),"Building")</f>
        <v>Building</v>
      </c>
      <c r="D3530" s="2" t="str">
        <f ca="1">IFERROR(__xludf.DUMMYFUNCTION("""COMPUTED_VALUE"""),"Dubai&gt;City of Arabia&gt;Azizi Milan&gt;Azizi Milan 1")</f>
        <v>Dubai&gt;City of Arabia&gt;Azizi Milan&gt;Azizi Milan 1</v>
      </c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</row>
    <row r="3531" spans="1:26" ht="16.5" x14ac:dyDescent="0.35">
      <c r="A3531" s="2" t="str">
        <f ca="1">IFERROR(__xludf.DUMMYFUNCTION("""COMPUTED_VALUE"""),"Dubai")</f>
        <v>Dubai</v>
      </c>
      <c r="B3531" s="2" t="str">
        <f ca="1">IFERROR(__xludf.DUMMYFUNCTION("""COMPUTED_VALUE"""),"Fatma Rashid Building")</f>
        <v>Fatma Rashid Building</v>
      </c>
      <c r="C3531" s="2" t="str">
        <f ca="1">IFERROR(__xludf.DUMMYFUNCTION("""COMPUTED_VALUE"""),"Building")</f>
        <v>Building</v>
      </c>
      <c r="D3531" s="2" t="str">
        <f ca="1">IFERROR(__xludf.DUMMYFUNCTION("""COMPUTED_VALUE"""),"Dubai&gt;Al Badaa&gt;Fatma Rashid Building")</f>
        <v>Dubai&gt;Al Badaa&gt;Fatma Rashid Building</v>
      </c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</row>
    <row r="3532" spans="1:26" ht="16.5" x14ac:dyDescent="0.35">
      <c r="A3532" s="2" t="str">
        <f ca="1">IFERROR(__xludf.DUMMYFUNCTION("""COMPUTED_VALUE"""),"Dubai")</f>
        <v>Dubai</v>
      </c>
      <c r="B3532" s="2" t="str">
        <f ca="1">IFERROR(__xludf.DUMMYFUNCTION("""COMPUTED_VALUE"""),"Al Baraha Building")</f>
        <v>Al Baraha Building</v>
      </c>
      <c r="C3532" s="2" t="str">
        <f ca="1">IFERROR(__xludf.DUMMYFUNCTION("""COMPUTED_VALUE"""),"Building")</f>
        <v>Building</v>
      </c>
      <c r="D3532" s="2" t="str">
        <f ca="1">IFERROR(__xludf.DUMMYFUNCTION("""COMPUTED_VALUE"""),"Dubai&gt;Al Badaa&gt;Al Baraha Building")</f>
        <v>Dubai&gt;Al Badaa&gt;Al Baraha Building</v>
      </c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</row>
    <row r="3533" spans="1:26" ht="16.5" x14ac:dyDescent="0.35">
      <c r="A3533" s="2" t="str">
        <f ca="1">IFERROR(__xludf.DUMMYFUNCTION("""COMPUTED_VALUE"""),"Dubai")</f>
        <v>Dubai</v>
      </c>
      <c r="B3533" s="2" t="str">
        <f ca="1">IFERROR(__xludf.DUMMYFUNCTION("""COMPUTED_VALUE"""),"Arenco 24 Villas")</f>
        <v>Arenco 24 Villas</v>
      </c>
      <c r="C3533" s="2" t="str">
        <f ca="1">IFERROR(__xludf.DUMMYFUNCTION("""COMPUTED_VALUE"""),"Neighbourhood")</f>
        <v>Neighbourhood</v>
      </c>
      <c r="D3533" s="2" t="str">
        <f ca="1">IFERROR(__xludf.DUMMYFUNCTION("""COMPUTED_VALUE"""),"Dubai&gt;Al Manara&gt;Arenco 24 Villas")</f>
        <v>Dubai&gt;Al Manara&gt;Arenco 24 Villas</v>
      </c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</row>
    <row r="3534" spans="1:26" ht="16.5" x14ac:dyDescent="0.35">
      <c r="A3534" s="2" t="str">
        <f ca="1">IFERROR(__xludf.DUMMYFUNCTION("""COMPUTED_VALUE"""),"Dubai")</f>
        <v>Dubai</v>
      </c>
      <c r="B3534" s="2" t="str">
        <f ca="1">IFERROR(__xludf.DUMMYFUNCTION("""COMPUTED_VALUE"""),"Dubai Outsource City")</f>
        <v>Dubai Outsource City</v>
      </c>
      <c r="C3534" s="2" t="str">
        <f ca="1">IFERROR(__xludf.DUMMYFUNCTION("""COMPUTED_VALUE"""),"Neighbourhood")</f>
        <v>Neighbourhood</v>
      </c>
      <c r="D3534" s="2" t="str">
        <f ca="1">IFERROR(__xludf.DUMMYFUNCTION("""COMPUTED_VALUE"""),"Dubai&gt;Academic City&gt;Dubai Outsource City")</f>
        <v>Dubai&gt;Academic City&gt;Dubai Outsource City</v>
      </c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</row>
    <row r="3535" spans="1:26" ht="16.5" x14ac:dyDescent="0.35">
      <c r="A3535" s="2" t="str">
        <f ca="1">IFERROR(__xludf.DUMMYFUNCTION("""COMPUTED_VALUE"""),"Dubai")</f>
        <v>Dubai</v>
      </c>
      <c r="B3535" s="2" t="str">
        <f ca="1">IFERROR(__xludf.DUMMYFUNCTION("""COMPUTED_VALUE"""),"Design Quarter Tower A")</f>
        <v>Design Quarter Tower A</v>
      </c>
      <c r="C3535" s="2" t="str">
        <f ca="1">IFERROR(__xludf.DUMMYFUNCTION("""COMPUTED_VALUE"""),"Building")</f>
        <v>Building</v>
      </c>
      <c r="D3535" s="2" t="str">
        <f ca="1">IFERROR(__xludf.DUMMYFUNCTION("""COMPUTED_VALUE"""),"Dubai&gt;Dubai Design District&gt;Design Quarter&gt;Design Quarter Tower A")</f>
        <v>Dubai&gt;Dubai Design District&gt;Design Quarter&gt;Design Quarter Tower A</v>
      </c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</row>
    <row r="3536" spans="1:26" ht="16.5" x14ac:dyDescent="0.35">
      <c r="A3536" s="2" t="str">
        <f ca="1">IFERROR(__xludf.DUMMYFUNCTION("""COMPUTED_VALUE"""),"Dubai")</f>
        <v>Dubai</v>
      </c>
      <c r="B3536" s="2" t="str">
        <f ca="1">IFERROR(__xludf.DUMMYFUNCTION("""COMPUTED_VALUE"""),"Naema Building")</f>
        <v>Naema Building</v>
      </c>
      <c r="C3536" s="2" t="str">
        <f ca="1">IFERROR(__xludf.DUMMYFUNCTION("""COMPUTED_VALUE"""),"Building")</f>
        <v>Building</v>
      </c>
      <c r="D3536" s="2" t="str">
        <f ca="1">IFERROR(__xludf.DUMMYFUNCTION("""COMPUTED_VALUE"""),"Dubai&gt;Al Hudaiba&gt;Naema Building")</f>
        <v>Dubai&gt;Al Hudaiba&gt;Naema Building</v>
      </c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</row>
    <row r="3537" spans="1:26" ht="16.5" x14ac:dyDescent="0.35">
      <c r="A3537" s="2" t="str">
        <f ca="1">IFERROR(__xludf.DUMMYFUNCTION("""COMPUTED_VALUE"""),"Dubai")</f>
        <v>Dubai</v>
      </c>
      <c r="B3537" s="2" t="str">
        <f ca="1">IFERROR(__xludf.DUMMYFUNCTION("""COMPUTED_VALUE"""),"Wasl 51 Block C")</f>
        <v>Wasl 51 Block C</v>
      </c>
      <c r="C3537" s="2" t="str">
        <f ca="1">IFERROR(__xludf.DUMMYFUNCTION("""COMPUTED_VALUE"""),"Building")</f>
        <v>Building</v>
      </c>
      <c r="D3537" s="2" t="str">
        <f ca="1">IFERROR(__xludf.DUMMYFUNCTION("""COMPUTED_VALUE"""),"Dubai&gt;Jumeirah&gt;Jumeirah 1&gt;Wasl 51&gt;Wasl 51 Block C")</f>
        <v>Dubai&gt;Jumeirah&gt;Jumeirah 1&gt;Wasl 51&gt;Wasl 51 Block C</v>
      </c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</row>
    <row r="3538" spans="1:26" ht="16.5" x14ac:dyDescent="0.35">
      <c r="A3538" s="2" t="str">
        <f ca="1">IFERROR(__xludf.DUMMYFUNCTION("""COMPUTED_VALUE"""),"Dubai")</f>
        <v>Dubai</v>
      </c>
      <c r="B3538" s="2" t="str">
        <f ca="1">IFERROR(__xludf.DUMMYFUNCTION("""COMPUTED_VALUE"""),"Sunset Residences")</f>
        <v>Sunset Residences</v>
      </c>
      <c r="C3538" s="2" t="str">
        <f ca="1">IFERROR(__xludf.DUMMYFUNCTION("""COMPUTED_VALUE"""),"Building")</f>
        <v>Building</v>
      </c>
      <c r="D3538" s="2" t="str">
        <f ca="1">IFERROR(__xludf.DUMMYFUNCTION("""COMPUTED_VALUE"""),"Dubai&gt;Jumeirah&gt;Jumeirah 3&gt;Sunset Residences")</f>
        <v>Dubai&gt;Jumeirah&gt;Jumeirah 3&gt;Sunset Residences</v>
      </c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</row>
    <row r="3539" spans="1:26" ht="16.5" x14ac:dyDescent="0.35">
      <c r="A3539" s="2" t="str">
        <f ca="1">IFERROR(__xludf.DUMMYFUNCTION("""COMPUTED_VALUE"""),"Dubai")</f>
        <v>Dubai</v>
      </c>
      <c r="B3539" s="2" t="str">
        <f ca="1">IFERROR(__xludf.DUMMYFUNCTION("""COMPUTED_VALUE"""),"Garden Villas")</f>
        <v>Garden Villas</v>
      </c>
      <c r="C3539" s="2" t="str">
        <f ca="1">IFERROR(__xludf.DUMMYFUNCTION("""COMPUTED_VALUE"""),"Neighbourhood")</f>
        <v>Neighbourhood</v>
      </c>
      <c r="D3539" s="2" t="str">
        <f ca="1">IFERROR(__xludf.DUMMYFUNCTION("""COMPUTED_VALUE"""),"Dubai&gt;Jumeirah&gt;Jumeirah 2&gt;Garden Villas")</f>
        <v>Dubai&gt;Jumeirah&gt;Jumeirah 2&gt;Garden Villas</v>
      </c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</row>
    <row r="3540" spans="1:26" ht="16.5" x14ac:dyDescent="0.35">
      <c r="A3540" s="2" t="str">
        <f ca="1">IFERROR(__xludf.DUMMYFUNCTION("""COMPUTED_VALUE"""),"Dubai")</f>
        <v>Dubai</v>
      </c>
      <c r="B3540" s="2" t="str">
        <f ca="1">IFERROR(__xludf.DUMMYFUNCTION("""COMPUTED_VALUE"""),"Le Ciel")</f>
        <v>Le Ciel</v>
      </c>
      <c r="C3540" s="2" t="str">
        <f ca="1">IFERROR(__xludf.DUMMYFUNCTION("""COMPUTED_VALUE"""),"Cluster")</f>
        <v>Cluster</v>
      </c>
      <c r="D3540" s="2" t="str">
        <f ca="1">IFERROR(__xludf.DUMMYFUNCTION("""COMPUTED_VALUE"""),"Dubai&gt;Jumeirah&gt;La Mer&gt;Port de La Mer&gt;Le Ciel")</f>
        <v>Dubai&gt;Jumeirah&gt;La Mer&gt;Port de La Mer&gt;Le Ciel</v>
      </c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</row>
    <row r="3541" spans="1:26" ht="16.5" x14ac:dyDescent="0.35">
      <c r="A3541" s="2" t="str">
        <f ca="1">IFERROR(__xludf.DUMMYFUNCTION("""COMPUTED_VALUE"""),"Dubai")</f>
        <v>Dubai</v>
      </c>
      <c r="B3541" s="2" t="str">
        <f ca="1">IFERROR(__xludf.DUMMYFUNCTION("""COMPUTED_VALUE"""),"17 Icon Bay")</f>
        <v>17 Icon Bay</v>
      </c>
      <c r="C3541" s="2" t="str">
        <f ca="1">IFERROR(__xludf.DUMMYFUNCTION("""COMPUTED_VALUE"""),"Building")</f>
        <v>Building</v>
      </c>
      <c r="D3541" s="2" t="str">
        <f ca="1">IFERROR(__xludf.DUMMYFUNCTION("""COMPUTED_VALUE"""),"Dubai&gt;Dubai Creek Harbour&gt;17 Icon Bay")</f>
        <v>Dubai&gt;Dubai Creek Harbour&gt;17 Icon Bay</v>
      </c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</row>
    <row r="3542" spans="1:26" ht="16.5" x14ac:dyDescent="0.35">
      <c r="A3542" s="2" t="str">
        <f ca="1">IFERROR(__xludf.DUMMYFUNCTION("""COMPUTED_VALUE"""),"Dubai")</f>
        <v>Dubai</v>
      </c>
      <c r="B3542" s="2" t="str">
        <f ca="1">IFERROR(__xludf.DUMMYFUNCTION("""COMPUTED_VALUE"""),"Creek Edge Tower 1")</f>
        <v>Creek Edge Tower 1</v>
      </c>
      <c r="C3542" s="2" t="str">
        <f ca="1">IFERROR(__xludf.DUMMYFUNCTION("""COMPUTED_VALUE"""),"Building")</f>
        <v>Building</v>
      </c>
      <c r="D3542" s="2" t="str">
        <f ca="1">IFERROR(__xludf.DUMMYFUNCTION("""COMPUTED_VALUE"""),"Dubai&gt;Dubai Creek Harbour&gt;Creek Edge&gt;Creek Edge Tower 1")</f>
        <v>Dubai&gt;Dubai Creek Harbour&gt;Creek Edge&gt;Creek Edge Tower 1</v>
      </c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</row>
    <row r="3543" spans="1:26" ht="16.5" x14ac:dyDescent="0.35">
      <c r="A3543" s="2" t="str">
        <f ca="1">IFERROR(__xludf.DUMMYFUNCTION("""COMPUTED_VALUE"""),"Dubai")</f>
        <v>Dubai</v>
      </c>
      <c r="B3543" s="2" t="str">
        <f ca="1">IFERROR(__xludf.DUMMYFUNCTION("""COMPUTED_VALUE"""),"Dubai Creek Residence Tower 1 South")</f>
        <v>Dubai Creek Residence Tower 1 South</v>
      </c>
      <c r="C3543" s="2" t="str">
        <f ca="1">IFERROR(__xludf.DUMMYFUNCTION("""COMPUTED_VALUE"""),"Building")</f>
        <v>Building</v>
      </c>
      <c r="D3543" s="2" t="str">
        <f ca="1">IFERROR(__xludf.DUMMYFUNCTION("""COMPUTED_VALUE"""),"Dubai&gt;Dubai Creek Harbour&gt;Dubai Creek Residences&gt;Dubai Creek Residence Tower 1 South")</f>
        <v>Dubai&gt;Dubai Creek Harbour&gt;Dubai Creek Residences&gt;Dubai Creek Residence Tower 1 South</v>
      </c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</row>
    <row r="3544" spans="1:26" ht="16.5" x14ac:dyDescent="0.35">
      <c r="A3544" s="2" t="str">
        <f ca="1">IFERROR(__xludf.DUMMYFUNCTION("""COMPUTED_VALUE"""),"Dubai")</f>
        <v>Dubai</v>
      </c>
      <c r="B3544" s="2" t="str">
        <f ca="1">IFERROR(__xludf.DUMMYFUNCTION("""COMPUTED_VALUE"""),"Aeon Tower 1")</f>
        <v>Aeon Tower 1</v>
      </c>
      <c r="C3544" s="2" t="str">
        <f ca="1">IFERROR(__xludf.DUMMYFUNCTION("""COMPUTED_VALUE"""),"Building")</f>
        <v>Building</v>
      </c>
      <c r="D3544" s="2" t="str">
        <f ca="1">IFERROR(__xludf.DUMMYFUNCTION("""COMPUTED_VALUE"""),"Dubai&gt;Dubai Creek Harbour&gt;Aeon&gt;Aeon Tower 1")</f>
        <v>Dubai&gt;Dubai Creek Harbour&gt;Aeon&gt;Aeon Tower 1</v>
      </c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</row>
    <row r="3545" spans="1:26" ht="16.5" x14ac:dyDescent="0.35">
      <c r="A3545" s="2" t="str">
        <f ca="1">IFERROR(__xludf.DUMMYFUNCTION("""COMPUTED_VALUE"""),"Dubai")</f>
        <v>Dubai</v>
      </c>
      <c r="B3545" s="2" t="str">
        <f ca="1">IFERROR(__xludf.DUMMYFUNCTION("""COMPUTED_VALUE"""),"Emirates Golf Club Residences")</f>
        <v>Emirates Golf Club Residences</v>
      </c>
      <c r="C3545" s="2" t="str">
        <f ca="1">IFERROR(__xludf.DUMMYFUNCTION("""COMPUTED_VALUE"""),"Neighbourhood")</f>
        <v>Neighbourhood</v>
      </c>
      <c r="D3545" s="2" t="str">
        <f ca="1">IFERROR(__xludf.DUMMYFUNCTION("""COMPUTED_VALUE"""),"Dubai&gt;Emirates Golf Club&gt;Emirates Golf Club Residences")</f>
        <v>Dubai&gt;Emirates Golf Club&gt;Emirates Golf Club Residences</v>
      </c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</row>
    <row r="3546" spans="1:26" ht="16.5" x14ac:dyDescent="0.35">
      <c r="A3546" s="2" t="str">
        <f ca="1">IFERROR(__xludf.DUMMYFUNCTION("""COMPUTED_VALUE"""),"Dubai")</f>
        <v>Dubai</v>
      </c>
      <c r="B3546" s="2" t="str">
        <f ca="1">IFERROR(__xludf.DUMMYFUNCTION("""COMPUTED_VALUE"""),"Art 8")</f>
        <v>Art 8</v>
      </c>
      <c r="C3546" s="2" t="str">
        <f ca="1">IFERROR(__xludf.DUMMYFUNCTION("""COMPUTED_VALUE"""),"Building")</f>
        <v>Building</v>
      </c>
      <c r="D3546" s="2" t="str">
        <f ca="1">IFERROR(__xludf.DUMMYFUNCTION("""COMPUTED_VALUE"""),"Dubai&gt;Barsha Heights (Tecom)&gt;Art 8")</f>
        <v>Dubai&gt;Barsha Heights (Tecom)&gt;Art 8</v>
      </c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</row>
    <row r="3547" spans="1:26" ht="16.5" x14ac:dyDescent="0.35">
      <c r="A3547" s="2" t="str">
        <f ca="1">IFERROR(__xludf.DUMMYFUNCTION("""COMPUTED_VALUE"""),"Dubai")</f>
        <v>Dubai</v>
      </c>
      <c r="B3547" s="2" t="str">
        <f ca="1">IFERROR(__xludf.DUMMYFUNCTION("""COMPUTED_VALUE"""),"I-Rise Tower")</f>
        <v>I-Rise Tower</v>
      </c>
      <c r="C3547" s="2" t="str">
        <f ca="1">IFERROR(__xludf.DUMMYFUNCTION("""COMPUTED_VALUE"""),"Building")</f>
        <v>Building</v>
      </c>
      <c r="D3547" s="2" t="str">
        <f ca="1">IFERROR(__xludf.DUMMYFUNCTION("""COMPUTED_VALUE"""),"Dubai&gt;Barsha Heights (Tecom)&gt;I-Rise Tower")</f>
        <v>Dubai&gt;Barsha Heights (Tecom)&gt;I-Rise Tower</v>
      </c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</row>
    <row r="3548" spans="1:26" ht="16.5" x14ac:dyDescent="0.35">
      <c r="A3548" s="2" t="str">
        <f ca="1">IFERROR(__xludf.DUMMYFUNCTION("""COMPUTED_VALUE"""),"Dubai")</f>
        <v>Dubai</v>
      </c>
      <c r="B3548" s="2" t="str">
        <f ca="1">IFERROR(__xludf.DUMMYFUNCTION("""COMPUTED_VALUE"""),"Al Asmawi Building")</f>
        <v>Al Asmawi Building</v>
      </c>
      <c r="C3548" s="2" t="str">
        <f ca="1">IFERROR(__xludf.DUMMYFUNCTION("""COMPUTED_VALUE"""),"Building")</f>
        <v>Building</v>
      </c>
      <c r="D3548" s="2" t="str">
        <f ca="1">IFERROR(__xludf.DUMMYFUNCTION("""COMPUTED_VALUE"""),"Dubai&gt;Barsha Heights (Tecom)&gt;Al Asmawi Building")</f>
        <v>Dubai&gt;Barsha Heights (Tecom)&gt;Al Asmawi Building</v>
      </c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</row>
    <row r="3549" spans="1:26" ht="16.5" x14ac:dyDescent="0.35">
      <c r="A3549" s="2" t="str">
        <f ca="1">IFERROR(__xludf.DUMMYFUNCTION("""COMPUTED_VALUE"""),"Dubai")</f>
        <v>Dubai</v>
      </c>
      <c r="B3549" s="2" t="str">
        <f ca="1">IFERROR(__xludf.DUMMYFUNCTION("""COMPUTED_VALUE"""),"Vida Residence 1")</f>
        <v>Vida Residence 1</v>
      </c>
      <c r="C3549" s="2" t="str">
        <f ca="1">IFERROR(__xludf.DUMMYFUNCTION("""COMPUTED_VALUE"""),"Building")</f>
        <v>Building</v>
      </c>
      <c r="D3549" s="2" t="str">
        <f ca="1">IFERROR(__xludf.DUMMYFUNCTION("""COMPUTED_VALUE"""),"Dubai&gt;The Hills&gt;Vida Residence (The Hills)&gt;Vida Residence 1")</f>
        <v>Dubai&gt;The Hills&gt;Vida Residence (The Hills)&gt;Vida Residence 1</v>
      </c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</row>
    <row r="3550" spans="1:26" ht="16.5" x14ac:dyDescent="0.35">
      <c r="A3550" s="2" t="str">
        <f ca="1">IFERROR(__xludf.DUMMYFUNCTION("""COMPUTED_VALUE"""),"Dubai")</f>
        <v>Dubai</v>
      </c>
      <c r="B3550" s="2" t="str">
        <f ca="1">IFERROR(__xludf.DUMMYFUNCTION("""COMPUTED_VALUE"""),"Casa Familia")</f>
        <v>Casa Familia</v>
      </c>
      <c r="C3550" s="2" t="str">
        <f ca="1">IFERROR(__xludf.DUMMYFUNCTION("""COMPUTED_VALUE"""),"Neighbourhood")</f>
        <v>Neighbourhood</v>
      </c>
      <c r="D3550" s="2" t="str">
        <f ca="1">IFERROR(__xludf.DUMMYFUNCTION("""COMPUTED_VALUE"""),"Dubai&gt;Motor City&gt;Green Community (Motor City)&gt;Casa Familia")</f>
        <v>Dubai&gt;Motor City&gt;Green Community (Motor City)&gt;Casa Familia</v>
      </c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</row>
    <row r="3551" spans="1:26" ht="16.5" x14ac:dyDescent="0.35">
      <c r="A3551" s="2" t="str">
        <f ca="1">IFERROR(__xludf.DUMMYFUNCTION("""COMPUTED_VALUE"""),"Dubai")</f>
        <v>Dubai</v>
      </c>
      <c r="B3551" s="2" t="str">
        <f ca="1">IFERROR(__xludf.DUMMYFUNCTION("""COMPUTED_VALUE"""),"Abbey Crescent")</f>
        <v>Abbey Crescent</v>
      </c>
      <c r="C3551" s="2" t="str">
        <f ca="1">IFERROR(__xludf.DUMMYFUNCTION("""COMPUTED_VALUE"""),"Cluster")</f>
        <v>Cluster</v>
      </c>
      <c r="D3551" s="2" t="str">
        <f ca="1">IFERROR(__xludf.DUMMYFUNCTION("""COMPUTED_VALUE"""),"Dubai&gt;Motor City&gt;Uptown Motor City&gt;Abbey Crescent")</f>
        <v>Dubai&gt;Motor City&gt;Uptown Motor City&gt;Abbey Crescent</v>
      </c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</row>
    <row r="3552" spans="1:26" ht="16.5" x14ac:dyDescent="0.35">
      <c r="A3552" s="2" t="str">
        <f ca="1">IFERROR(__xludf.DUMMYFUNCTION("""COMPUTED_VALUE"""),"Dubai")</f>
        <v>Dubai</v>
      </c>
      <c r="B3552" s="2" t="str">
        <f ca="1">IFERROR(__xludf.DUMMYFUNCTION("""COMPUTED_VALUE"""),"Windsor Crescent")</f>
        <v>Windsor Crescent</v>
      </c>
      <c r="C3552" s="2" t="str">
        <f ca="1">IFERROR(__xludf.DUMMYFUNCTION("""COMPUTED_VALUE"""),"Neighbourhood")</f>
        <v>Neighbourhood</v>
      </c>
      <c r="D3552" s="2" t="str">
        <f ca="1">IFERROR(__xludf.DUMMYFUNCTION("""COMPUTED_VALUE"""),"Dubai&gt;Motor City&gt;Uptown Motor City&gt;Windsor Crescent")</f>
        <v>Dubai&gt;Motor City&gt;Uptown Motor City&gt;Windsor Crescent</v>
      </c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</row>
    <row r="3553" spans="1:26" ht="16.5" x14ac:dyDescent="0.35">
      <c r="A3553" s="2" t="str">
        <f ca="1">IFERROR(__xludf.DUMMYFUNCTION("""COMPUTED_VALUE"""),"Dubai")</f>
        <v>Dubai</v>
      </c>
      <c r="B3553" s="2" t="str">
        <f ca="1">IFERROR(__xludf.DUMMYFUNCTION("""COMPUTED_VALUE"""),"Capital One")</f>
        <v>Capital One</v>
      </c>
      <c r="C3553" s="2" t="str">
        <f ca="1">IFERROR(__xludf.DUMMYFUNCTION("""COMPUTED_VALUE"""),"Building")</f>
        <v>Building</v>
      </c>
      <c r="D3553" s="2" t="str">
        <f ca="1">IFERROR(__xludf.DUMMYFUNCTION("""COMPUTED_VALUE"""),"Dubai&gt;Motor City&gt;Capital One")</f>
        <v>Dubai&gt;Motor City&gt;Capital One</v>
      </c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</row>
    <row r="3554" spans="1:26" ht="16.5" x14ac:dyDescent="0.35">
      <c r="A3554" s="2" t="str">
        <f ca="1">IFERROR(__xludf.DUMMYFUNCTION("""COMPUTED_VALUE"""),"Dubai")</f>
        <v>Dubai</v>
      </c>
      <c r="B3554" s="2" t="str">
        <f ca="1">IFERROR(__xludf.DUMMYFUNCTION("""COMPUTED_VALUE"""),"Bahia Residence 2")</f>
        <v>Bahia Residence 2</v>
      </c>
      <c r="C3554" s="2" t="str">
        <f ca="1">IFERROR(__xludf.DUMMYFUNCTION("""COMPUTED_VALUE"""),"Building")</f>
        <v>Building</v>
      </c>
      <c r="D3554" s="2" t="str">
        <f ca="1">IFERROR(__xludf.DUMMYFUNCTION("""COMPUTED_VALUE"""),"Dubai&gt;Al Sufouh&gt;Al Sufouh 1&gt;Acacia Avenues&gt;Bahia Residence&gt;Bahia Residence 2")</f>
        <v>Dubai&gt;Al Sufouh&gt;Al Sufouh 1&gt;Acacia Avenues&gt;Bahia Residence&gt;Bahia Residence 2</v>
      </c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</row>
    <row r="3555" spans="1:26" ht="16.5" x14ac:dyDescent="0.35">
      <c r="A3555" s="2" t="str">
        <f ca="1">IFERROR(__xludf.DUMMYFUNCTION("""COMPUTED_VALUE"""),"Dubai")</f>
        <v>Dubai</v>
      </c>
      <c r="B3555" s="2" t="str">
        <f ca="1">IFERROR(__xludf.DUMMYFUNCTION("""COMPUTED_VALUE"""),"Boutique Office 19")</f>
        <v>Boutique Office 19</v>
      </c>
      <c r="C3555" s="2" t="str">
        <f ca="1">IFERROR(__xludf.DUMMYFUNCTION("""COMPUTED_VALUE"""),"Building")</f>
        <v>Building</v>
      </c>
      <c r="D3555" s="2" t="str">
        <f ca="1">IFERROR(__xludf.DUMMYFUNCTION("""COMPUTED_VALUE"""),"Dubai&gt;Al Sufouh&gt;Al Sufouh 2&gt;Boutique Offices&gt;Boutique Office 19")</f>
        <v>Dubai&gt;Al Sufouh&gt;Al Sufouh 2&gt;Boutique Offices&gt;Boutique Office 19</v>
      </c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</row>
    <row r="3556" spans="1:26" ht="16.5" x14ac:dyDescent="0.35">
      <c r="A3556" s="2" t="str">
        <f ca="1">IFERROR(__xludf.DUMMYFUNCTION("""COMPUTED_VALUE"""),"Dubai")</f>
        <v>Dubai</v>
      </c>
      <c r="B3556" s="2" t="str">
        <f ca="1">IFERROR(__xludf.DUMMYFUNCTION("""COMPUTED_VALUE"""),"Al Badia Building 8")</f>
        <v>Al Badia Building 8</v>
      </c>
      <c r="C3556" s="2" t="str">
        <f ca="1">IFERROR(__xludf.DUMMYFUNCTION("""COMPUTED_VALUE"""),"Building")</f>
        <v>Building</v>
      </c>
      <c r="D3556" s="2" t="str">
        <f ca="1">IFERROR(__xludf.DUMMYFUNCTION("""COMPUTED_VALUE"""),"Dubai&gt;Dubai Festival City&gt;Al Badia Buildings&gt;Al Badia Building 8")</f>
        <v>Dubai&gt;Dubai Festival City&gt;Al Badia Buildings&gt;Al Badia Building 8</v>
      </c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</row>
    <row r="3557" spans="1:26" ht="16.5" x14ac:dyDescent="0.35">
      <c r="A3557" s="2" t="str">
        <f ca="1">IFERROR(__xludf.DUMMYFUNCTION("""COMPUTED_VALUE"""),"Dubai")</f>
        <v>Dubai</v>
      </c>
      <c r="B3557" s="2" t="str">
        <f ca="1">IFERROR(__xludf.DUMMYFUNCTION("""COMPUTED_VALUE"""),"Carson Tower C")</f>
        <v>Carson Tower C</v>
      </c>
      <c r="C3557" s="2" t="str">
        <f ca="1">IFERROR(__xludf.DUMMYFUNCTION("""COMPUTED_VALUE"""),"Building")</f>
        <v>Building</v>
      </c>
      <c r="D3557" s="2" t="str">
        <f ca="1">IFERROR(__xludf.DUMMYFUNCTION("""COMPUTED_VALUE"""),"Dubai&gt;DAMAC Hills&gt;Carson - The Drive&gt;Carson Tower C")</f>
        <v>Dubai&gt;DAMAC Hills&gt;Carson - The Drive&gt;Carson Tower C</v>
      </c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</row>
    <row r="3558" spans="1:26" ht="16.5" x14ac:dyDescent="0.35">
      <c r="A3558" s="2" t="str">
        <f ca="1">IFERROR(__xludf.DUMMYFUNCTION("""COMPUTED_VALUE"""),"Dubai")</f>
        <v>Dubai</v>
      </c>
      <c r="B3558" s="2" t="str">
        <f ca="1">IFERROR(__xludf.DUMMYFUNCTION("""COMPUTED_VALUE"""),"Golf Veduta B")</f>
        <v>Golf Veduta B</v>
      </c>
      <c r="C3558" s="2" t="str">
        <f ca="1">IFERROR(__xludf.DUMMYFUNCTION("""COMPUTED_VALUE"""),"Building")</f>
        <v>Building</v>
      </c>
      <c r="D3558" s="2" t="str">
        <f ca="1">IFERROR(__xludf.DUMMYFUNCTION("""COMPUTED_VALUE"""),"Dubai&gt;DAMAC Hills&gt;Golf Town&gt;Golf Veduta&gt;Golf Veduta B")</f>
        <v>Dubai&gt;DAMAC Hills&gt;Golf Town&gt;Golf Veduta&gt;Golf Veduta B</v>
      </c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</row>
    <row r="3559" spans="1:26" ht="16.5" x14ac:dyDescent="0.35">
      <c r="A3559" s="2" t="str">
        <f ca="1">IFERROR(__xludf.DUMMYFUNCTION("""COMPUTED_VALUE"""),"Dubai")</f>
        <v>Dubai</v>
      </c>
      <c r="B3559" s="2" t="str">
        <f ca="1">IFERROR(__xludf.DUMMYFUNCTION("""COMPUTED_VALUE"""),"Golf Horizon")</f>
        <v>Golf Horizon</v>
      </c>
      <c r="C3559" s="2" t="str">
        <f ca="1">IFERROR(__xludf.DUMMYFUNCTION("""COMPUTED_VALUE"""),"Cluster")</f>
        <v>Cluster</v>
      </c>
      <c r="D3559" s="2" t="str">
        <f ca="1">IFERROR(__xludf.DUMMYFUNCTION("""COMPUTED_VALUE"""),"Dubai&gt;DAMAC Hills&gt;Golf Horizon")</f>
        <v>Dubai&gt;DAMAC Hills&gt;Golf Horizon</v>
      </c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</row>
    <row r="3560" spans="1:26" ht="16.5" x14ac:dyDescent="0.35">
      <c r="A3560" s="2" t="str">
        <f ca="1">IFERROR(__xludf.DUMMYFUNCTION("""COMPUTED_VALUE"""),"Dubai")</f>
        <v>Dubai</v>
      </c>
      <c r="B3560" s="2" t="str">
        <f ca="1">IFERROR(__xludf.DUMMYFUNCTION("""COMPUTED_VALUE"""),"Golf Greens 1 Tower A")</f>
        <v>Golf Greens 1 Tower A</v>
      </c>
      <c r="C3560" s="2" t="str">
        <f ca="1">IFERROR(__xludf.DUMMYFUNCTION("""COMPUTED_VALUE"""),"Building")</f>
        <v>Building</v>
      </c>
      <c r="D3560" s="2" t="str">
        <f ca="1">IFERROR(__xludf.DUMMYFUNCTION("""COMPUTED_VALUE"""),"Dubai&gt;DAMAC Hills&gt;Golf Greens 1&gt;Golf Greens 1 Tower A")</f>
        <v>Dubai&gt;DAMAC Hills&gt;Golf Greens 1&gt;Golf Greens 1 Tower A</v>
      </c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</row>
    <row r="3561" spans="1:26" ht="16.5" x14ac:dyDescent="0.35">
      <c r="A3561" s="2" t="str">
        <f ca="1">IFERROR(__xludf.DUMMYFUNCTION("""COMPUTED_VALUE"""),"Dubai")</f>
        <v>Dubai</v>
      </c>
      <c r="B3561" s="2" t="str">
        <f ca="1">IFERROR(__xludf.DUMMYFUNCTION("""COMPUTED_VALUE"""),"Seven Pearls Block E")</f>
        <v>Seven Pearls Block E</v>
      </c>
      <c r="C3561" s="2" t="str">
        <f ca="1">IFERROR(__xludf.DUMMYFUNCTION("""COMPUTED_VALUE"""),"Building")</f>
        <v>Building</v>
      </c>
      <c r="D3561" s="2" t="str">
        <f ca="1">IFERROR(__xludf.DUMMYFUNCTION("""COMPUTED_VALUE"""),"Dubai&gt;Al Mina&gt;Seven Pearls&gt;Seven Pearls Block E")</f>
        <v>Dubai&gt;Al Mina&gt;Seven Pearls&gt;Seven Pearls Block E</v>
      </c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</row>
    <row r="3562" spans="1:26" ht="16.5" x14ac:dyDescent="0.35">
      <c r="A3562" s="2" t="str">
        <f ca="1">IFERROR(__xludf.DUMMYFUNCTION("""COMPUTED_VALUE"""),"Dubai")</f>
        <v>Dubai</v>
      </c>
      <c r="B3562" s="2" t="str">
        <f ca="1">IFERROR(__xludf.DUMMYFUNCTION("""COMPUTED_VALUE"""),"Orise by Beyond")</f>
        <v>Orise by Beyond</v>
      </c>
      <c r="C3562" s="2" t="str">
        <f ca="1">IFERROR(__xludf.DUMMYFUNCTION("""COMPUTED_VALUE"""),"Cluster")</f>
        <v>Cluster</v>
      </c>
      <c r="D3562" s="2" t="str">
        <f ca="1">IFERROR(__xludf.DUMMYFUNCTION("""COMPUTED_VALUE"""),"Dubai&gt;Dubai Maritime City&gt;Orise by Beyond")</f>
        <v>Dubai&gt;Dubai Maritime City&gt;Orise by Beyond</v>
      </c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</row>
    <row r="3563" spans="1:26" ht="16.5" x14ac:dyDescent="0.35">
      <c r="A3563" s="2" t="str">
        <f ca="1">IFERROR(__xludf.DUMMYFUNCTION("""COMPUTED_VALUE"""),"Dubai")</f>
        <v>Dubai</v>
      </c>
      <c r="B3563" s="2" t="str">
        <f ca="1">IFERROR(__xludf.DUMMYFUNCTION("""COMPUTED_VALUE"""),"Panorama Tower 2")</f>
        <v>Panorama Tower 2</v>
      </c>
      <c r="C3563" s="2" t="str">
        <f ca="1">IFERROR(__xludf.DUMMYFUNCTION("""COMPUTED_VALUE"""),"Building")</f>
        <v>Building</v>
      </c>
      <c r="D3563" s="2" t="str">
        <f ca="1">IFERROR(__xludf.DUMMYFUNCTION("""COMPUTED_VALUE"""),"Dubai&gt;The Views&gt;Panorama&gt;Panorama Tower 2")</f>
        <v>Dubai&gt;The Views&gt;Panorama&gt;Panorama Tower 2</v>
      </c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</row>
    <row r="3564" spans="1:26" ht="16.5" x14ac:dyDescent="0.35">
      <c r="A3564" s="2" t="str">
        <f ca="1">IFERROR(__xludf.DUMMYFUNCTION("""COMPUTED_VALUE"""),"Dubai")</f>
        <v>Dubai</v>
      </c>
      <c r="B3564" s="2" t="str">
        <f ca="1">IFERROR(__xludf.DUMMYFUNCTION("""COMPUTED_VALUE"""),"Travo")</f>
        <v>Travo</v>
      </c>
      <c r="C3564" s="2" t="str">
        <f ca="1">IFERROR(__xludf.DUMMYFUNCTION("""COMPUTED_VALUE"""),"Cluster")</f>
        <v>Cluster</v>
      </c>
      <c r="D3564" s="2" t="str">
        <f ca="1">IFERROR(__xludf.DUMMYFUNCTION("""COMPUTED_VALUE"""),"Dubai&gt;The Views&gt;Travo")</f>
        <v>Dubai&gt;The Views&gt;Travo</v>
      </c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</row>
    <row r="3565" spans="1:26" ht="16.5" x14ac:dyDescent="0.35">
      <c r="A3565" s="2" t="str">
        <f ca="1">IFERROR(__xludf.DUMMYFUNCTION("""COMPUTED_VALUE"""),"Dubai")</f>
        <v>Dubai</v>
      </c>
      <c r="B3565" s="2" t="str">
        <f ca="1">IFERROR(__xludf.DUMMYFUNCTION("""COMPUTED_VALUE"""),"Gold and Diamond Park Building 5")</f>
        <v>Gold and Diamond Park Building 5</v>
      </c>
      <c r="C3565" s="2" t="str">
        <f ca="1">IFERROR(__xludf.DUMMYFUNCTION("""COMPUTED_VALUE"""),"Building")</f>
        <v>Building</v>
      </c>
      <c r="D3565" s="2" t="str">
        <f ca="1">IFERROR(__xludf.DUMMYFUNCTION("""COMPUTED_VALUE"""),"Dubai&gt;Al Quoz&gt;Al Quoz Industrial Area&gt;Al Quoz Industrial Area 3&gt;Gold and Diamond Park&gt;Gold and Diamond Park Building 5")</f>
        <v>Dubai&gt;Al Quoz&gt;Al Quoz Industrial Area&gt;Al Quoz Industrial Area 3&gt;Gold and Diamond Park&gt;Gold and Diamond Park Building 5</v>
      </c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</row>
    <row r="3566" spans="1:26" ht="16.5" x14ac:dyDescent="0.35">
      <c r="A3566" s="2" t="str">
        <f ca="1">IFERROR(__xludf.DUMMYFUNCTION("""COMPUTED_VALUE"""),"Dubai")</f>
        <v>Dubai</v>
      </c>
      <c r="B3566" s="2" t="str">
        <f ca="1">IFERROR(__xludf.DUMMYFUNCTION("""COMPUTED_VALUE"""),"Al Khail Heights")</f>
        <v>Al Khail Heights</v>
      </c>
      <c r="C3566" s="2" t="str">
        <f ca="1">IFERROR(__xludf.DUMMYFUNCTION("""COMPUTED_VALUE"""),"Neighbourhood")</f>
        <v>Neighbourhood</v>
      </c>
      <c r="D3566" s="2" t="str">
        <f ca="1">IFERROR(__xludf.DUMMYFUNCTION("""COMPUTED_VALUE"""),"Dubai&gt;Al Quoz&gt;Al Quoz 4&gt;Al Khail Heights")</f>
        <v>Dubai&gt;Al Quoz&gt;Al Quoz 4&gt;Al Khail Heights</v>
      </c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</row>
    <row r="3567" spans="1:26" ht="16.5" x14ac:dyDescent="0.35">
      <c r="A3567" s="2" t="str">
        <f ca="1">IFERROR(__xludf.DUMMYFUNCTION("""COMPUTED_VALUE"""),"Dubai")</f>
        <v>Dubai</v>
      </c>
      <c r="B3567" s="2" t="str">
        <f ca="1">IFERROR(__xludf.DUMMYFUNCTION("""COMPUTED_VALUE"""),"Toddlers International Nursery, DSO")</f>
        <v>Toddlers International Nursery, DSO</v>
      </c>
      <c r="C3567" s="2" t="str">
        <f ca="1">IFERROR(__xludf.DUMMYFUNCTION("""COMPUTED_VALUE"""),"Nursery")</f>
        <v>Nursery</v>
      </c>
      <c r="D3567" s="2" t="str">
        <f ca="1">IFERROR(__xludf.DUMMYFUNCTION("""COMPUTED_VALUE"""),"Dubai&gt;Dubai Silicon Oasis (DSO)&gt;Silicon Gates&gt;Toddlers International Nursery, DSO")</f>
        <v>Dubai&gt;Dubai Silicon Oasis (DSO)&gt;Silicon Gates&gt;Toddlers International Nursery, DSO</v>
      </c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</row>
    <row r="3568" spans="1:26" ht="16.5" x14ac:dyDescent="0.35">
      <c r="A3568" s="2" t="str">
        <f ca="1">IFERROR(__xludf.DUMMYFUNCTION("""COMPUTED_VALUE"""),"Dubai")</f>
        <v>Dubai</v>
      </c>
      <c r="B3568" s="2" t="str">
        <f ca="1">IFERROR(__xludf.DUMMYFUNCTION("""COMPUTED_VALUE"""),"Binghatti Crystals")</f>
        <v>Binghatti Crystals</v>
      </c>
      <c r="C3568" s="2" t="str">
        <f ca="1">IFERROR(__xludf.DUMMYFUNCTION("""COMPUTED_VALUE"""),"Building")</f>
        <v>Building</v>
      </c>
      <c r="D3568" s="2" t="str">
        <f ca="1">IFERROR(__xludf.DUMMYFUNCTION("""COMPUTED_VALUE"""),"Dubai&gt;Dubai Silicon Oasis (DSO)&gt;Binghatti Crystals")</f>
        <v>Dubai&gt;Dubai Silicon Oasis (DSO)&gt;Binghatti Crystals</v>
      </c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</row>
    <row r="3569" spans="1:26" ht="16.5" x14ac:dyDescent="0.35">
      <c r="A3569" s="2" t="str">
        <f ca="1">IFERROR(__xludf.DUMMYFUNCTION("""COMPUTED_VALUE"""),"Dubai")</f>
        <v>Dubai</v>
      </c>
      <c r="B3569" s="2" t="str">
        <f ca="1">IFERROR(__xludf.DUMMYFUNCTION("""COMPUTED_VALUE"""),"The Imperial")</f>
        <v>The Imperial</v>
      </c>
      <c r="C3569" s="2" t="str">
        <f ca="1">IFERROR(__xludf.DUMMYFUNCTION("""COMPUTED_VALUE"""),"Building")</f>
        <v>Building</v>
      </c>
      <c r="D3569" s="2" t="str">
        <f ca="1">IFERROR(__xludf.DUMMYFUNCTION("""COMPUTED_VALUE"""),"Dubai&gt;Dubai Silicon Oasis (DSO)&gt;The Imperial")</f>
        <v>Dubai&gt;Dubai Silicon Oasis (DSO)&gt;The Imperial</v>
      </c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</row>
    <row r="3570" spans="1:26" ht="16.5" x14ac:dyDescent="0.35">
      <c r="A3570" s="2" t="str">
        <f ca="1">IFERROR(__xludf.DUMMYFUNCTION("""COMPUTED_VALUE"""),"Dubai")</f>
        <v>Dubai</v>
      </c>
      <c r="B3570" s="2" t="str">
        <f ca="1">IFERROR(__xludf.DUMMYFUNCTION("""COMPUTED_VALUE"""),"Topaz Residences 2")</f>
        <v>Topaz Residences 2</v>
      </c>
      <c r="C3570" s="2" t="str">
        <f ca="1">IFERROR(__xludf.DUMMYFUNCTION("""COMPUTED_VALUE"""),"Building")</f>
        <v>Building</v>
      </c>
      <c r="D3570" s="2" t="str">
        <f ca="1">IFERROR(__xludf.DUMMYFUNCTION("""COMPUTED_VALUE"""),"Dubai&gt;Dubai Silicon Oasis (DSO)&gt;Topaz Residences 2")</f>
        <v>Dubai&gt;Dubai Silicon Oasis (DSO)&gt;Topaz Residences 2</v>
      </c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</row>
    <row r="3571" spans="1:26" ht="16.5" x14ac:dyDescent="0.35">
      <c r="A3571" s="2" t="str">
        <f ca="1">IFERROR(__xludf.DUMMYFUNCTION("""COMPUTED_VALUE"""),"Dubai")</f>
        <v>Dubai</v>
      </c>
      <c r="B3571" s="2" t="str">
        <f ca="1">IFERROR(__xludf.DUMMYFUNCTION("""COMPUTED_VALUE"""),"Al Telal 10")</f>
        <v>Al Telal 10</v>
      </c>
      <c r="C3571" s="2" t="str">
        <f ca="1">IFERROR(__xludf.DUMMYFUNCTION("""COMPUTED_VALUE"""),"Building")</f>
        <v>Building</v>
      </c>
      <c r="D3571" s="2" t="str">
        <f ca="1">IFERROR(__xludf.DUMMYFUNCTION("""COMPUTED_VALUE"""),"Dubai&gt;Dubai Silicon Oasis (DSO)&gt;Al Telal 10")</f>
        <v>Dubai&gt;Dubai Silicon Oasis (DSO)&gt;Al Telal 10</v>
      </c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</row>
    <row r="3572" spans="1:26" ht="16.5" x14ac:dyDescent="0.35">
      <c r="A3572" s="2" t="str">
        <f ca="1">IFERROR(__xludf.DUMMYFUNCTION("""COMPUTED_VALUE"""),"Dubai")</f>
        <v>Dubai</v>
      </c>
      <c r="B3572" s="2" t="str">
        <f ca="1">IFERROR(__xludf.DUMMYFUNCTION("""COMPUTED_VALUE"""),"Sunrise Building")</f>
        <v>Sunrise Building</v>
      </c>
      <c r="C3572" s="2" t="str">
        <f ca="1">IFERROR(__xludf.DUMMYFUNCTION("""COMPUTED_VALUE"""),"Building")</f>
        <v>Building</v>
      </c>
      <c r="D3572" s="2" t="str">
        <f ca="1">IFERROR(__xludf.DUMMYFUNCTION("""COMPUTED_VALUE"""),"Dubai&gt;Dubai Silicon Oasis (DSO)&gt;Sunrise Building")</f>
        <v>Dubai&gt;Dubai Silicon Oasis (DSO)&gt;Sunrise Building</v>
      </c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</row>
    <row r="3573" spans="1:26" ht="16.5" x14ac:dyDescent="0.35">
      <c r="A3573" s="2" t="str">
        <f ca="1">IFERROR(__xludf.DUMMYFUNCTION("""COMPUTED_VALUE"""),"Dubai")</f>
        <v>Dubai</v>
      </c>
      <c r="B3573" s="2" t="str">
        <f ca="1">IFERROR(__xludf.DUMMYFUNCTION("""COMPUTED_VALUE"""),"Serenova")</f>
        <v>Serenova</v>
      </c>
      <c r="C3573" s="2" t="str">
        <f ca="1">IFERROR(__xludf.DUMMYFUNCTION("""COMPUTED_VALUE"""),"Building")</f>
        <v>Building</v>
      </c>
      <c r="D3573" s="2" t="str">
        <f ca="1">IFERROR(__xludf.DUMMYFUNCTION("""COMPUTED_VALUE"""),"Dubai&gt;Dubai Silicon Oasis (DSO)&gt;Serenova")</f>
        <v>Dubai&gt;Dubai Silicon Oasis (DSO)&gt;Serenova</v>
      </c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</row>
    <row r="3574" spans="1:26" ht="16.5" x14ac:dyDescent="0.35">
      <c r="A3574" s="2" t="str">
        <f ca="1">IFERROR(__xludf.DUMMYFUNCTION("""COMPUTED_VALUE"""),"Dubai")</f>
        <v>Dubai</v>
      </c>
      <c r="B3574" s="2" t="str">
        <f ca="1">IFERROR(__xludf.DUMMYFUNCTION("""COMPUTED_VALUE"""),"The Nest")</f>
        <v>The Nest</v>
      </c>
      <c r="C3574" s="2" t="str">
        <f ca="1">IFERROR(__xludf.DUMMYFUNCTION("""COMPUTED_VALUE"""),"Neighbourhood")</f>
        <v>Neighbourhood</v>
      </c>
      <c r="D3574" s="2" t="str">
        <f ca="1">IFERROR(__xludf.DUMMYFUNCTION("""COMPUTED_VALUE"""),"Dubai&gt;Al Barari&gt;The Nest")</f>
        <v>Dubai&gt;Al Barari&gt;The Nest</v>
      </c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</row>
    <row r="3575" spans="1:26" ht="16.5" x14ac:dyDescent="0.35">
      <c r="A3575" s="2" t="str">
        <f ca="1">IFERROR(__xludf.DUMMYFUNCTION("""COMPUTED_VALUE"""),"Dubai")</f>
        <v>Dubai</v>
      </c>
      <c r="B3575" s="2" t="str">
        <f ca="1">IFERROR(__xludf.DUMMYFUNCTION("""COMPUTED_VALUE"""),"Silk Leaf 3")</f>
        <v>Silk Leaf 3</v>
      </c>
      <c r="C3575" s="2" t="str">
        <f ca="1">IFERROR(__xludf.DUMMYFUNCTION("""COMPUTED_VALUE"""),"Neighbourhood")</f>
        <v>Neighbourhood</v>
      </c>
      <c r="D3575" s="2" t="str">
        <f ca="1">IFERROR(__xludf.DUMMYFUNCTION("""COMPUTED_VALUE"""),"Dubai&gt;Al Barari&gt;The Residences&gt;Silk Leaf&gt;Silk Leaf 3")</f>
        <v>Dubai&gt;Al Barari&gt;The Residences&gt;Silk Leaf&gt;Silk Leaf 3</v>
      </c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</row>
    <row r="3576" spans="1:26" ht="16.5" x14ac:dyDescent="0.35">
      <c r="A3576" s="2" t="str">
        <f ca="1">IFERROR(__xludf.DUMMYFUNCTION("""COMPUTED_VALUE"""),"Dubai")</f>
        <v>Dubai</v>
      </c>
      <c r="B3576" s="2" t="str">
        <f ca="1">IFERROR(__xludf.DUMMYFUNCTION("""COMPUTED_VALUE"""),"The Lakeshore")</f>
        <v>The Lakeshore</v>
      </c>
      <c r="C3576" s="2" t="str">
        <f ca="1">IFERROR(__xludf.DUMMYFUNCTION("""COMPUTED_VALUE"""),"Neighbourhood")</f>
        <v>Neighbourhood</v>
      </c>
      <c r="D3576" s="2" t="str">
        <f ca="1">IFERROR(__xludf.DUMMYFUNCTION("""COMPUTED_VALUE"""),"Dubai&gt;Mohammed Bin Rashid City&gt;District 11&gt;The Sanctuary by Ellington&gt;The Lakeshore")</f>
        <v>Dubai&gt;Mohammed Bin Rashid City&gt;District 11&gt;The Sanctuary by Ellington&gt;The Lakeshore</v>
      </c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</row>
    <row r="3577" spans="1:26" ht="16.5" x14ac:dyDescent="0.35">
      <c r="A3577" s="2" t="str">
        <f ca="1">IFERROR(__xludf.DUMMYFUNCTION("""COMPUTED_VALUE"""),"Dubai")</f>
        <v>Dubai</v>
      </c>
      <c r="B3577" s="2" t="str">
        <f ca="1">IFERROR(__xludf.DUMMYFUNCTION("""COMPUTED_VALUE"""),"Numa Reserve")</f>
        <v>Numa Reserve</v>
      </c>
      <c r="C3577" s="2" t="str">
        <f ca="1">IFERROR(__xludf.DUMMYFUNCTION("""COMPUTED_VALUE"""),"Neighbourhood")</f>
        <v>Neighbourhood</v>
      </c>
      <c r="D3577" s="2" t="str">
        <f ca="1">IFERROR(__xludf.DUMMYFUNCTION("""COMPUTED_VALUE"""),"Dubai&gt;Mohammed Bin Rashid City&gt;District 11&gt;Numa Reserve")</f>
        <v>Dubai&gt;Mohammed Bin Rashid City&gt;District 11&gt;Numa Reserve</v>
      </c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</row>
    <row r="3578" spans="1:26" ht="16.5" x14ac:dyDescent="0.35">
      <c r="A3578" s="2" t="str">
        <f ca="1">IFERROR(__xludf.DUMMYFUNCTION("""COMPUTED_VALUE"""),"Dubai")</f>
        <v>Dubai</v>
      </c>
      <c r="B3578" s="2" t="str">
        <f ca="1">IFERROR(__xludf.DUMMYFUNCTION("""COMPUTED_VALUE"""),"Residences 3")</f>
        <v>Residences 3</v>
      </c>
      <c r="C3578" s="2" t="str">
        <f ca="1">IFERROR(__xludf.DUMMYFUNCTION("""COMPUTED_VALUE"""),"Building")</f>
        <v>Building</v>
      </c>
      <c r="D3578" s="2" t="str">
        <f ca="1">IFERROR(__xludf.DUMMYFUNCTION("""COMPUTED_VALUE"""),"Dubai&gt;Mohammed Bin Rashid City&gt;District One&gt;The Residences at District One&gt;Residences 3")</f>
        <v>Dubai&gt;Mohammed Bin Rashid City&gt;District One&gt;The Residences at District One&gt;Residences 3</v>
      </c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</row>
    <row r="3579" spans="1:26" ht="16.5" x14ac:dyDescent="0.35">
      <c r="A3579" s="2" t="str">
        <f ca="1">IFERROR(__xludf.DUMMYFUNCTION("""COMPUTED_VALUE"""),"Dubai")</f>
        <v>Dubai</v>
      </c>
      <c r="B3579" s="2" t="str">
        <f ca="1">IFERROR(__xludf.DUMMYFUNCTION("""COMPUTED_VALUE"""),"The Pulse Residence 2")</f>
        <v>The Pulse Residence 2</v>
      </c>
      <c r="C3579" s="2" t="str">
        <f ca="1">IFERROR(__xludf.DUMMYFUNCTION("""COMPUTED_VALUE"""),"Building")</f>
        <v>Building</v>
      </c>
      <c r="D3579" s="2" t="str">
        <f ca="1">IFERROR(__xludf.DUMMYFUNCTION("""COMPUTED_VALUE"""),"Dubai&gt;Dubai South&gt;Residential District&gt;The Pulse&gt;The Pulse Residence&gt;The Pulse Residence 2")</f>
        <v>Dubai&gt;Dubai South&gt;Residential District&gt;The Pulse&gt;The Pulse Residence&gt;The Pulse Residence 2</v>
      </c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</row>
    <row r="3580" spans="1:26" ht="16.5" x14ac:dyDescent="0.35">
      <c r="A3580" s="2" t="str">
        <f ca="1">IFERROR(__xludf.DUMMYFUNCTION("""COMPUTED_VALUE"""),"Dubai")</f>
        <v>Dubai</v>
      </c>
      <c r="B3580" s="2" t="str">
        <f ca="1">IFERROR(__xludf.DUMMYFUNCTION("""COMPUTED_VALUE"""),"MAG 510")</f>
        <v>MAG 510</v>
      </c>
      <c r="C3580" s="2" t="str">
        <f ca="1">IFERROR(__xludf.DUMMYFUNCTION("""COMPUTED_VALUE"""),"Building")</f>
        <v>Building</v>
      </c>
      <c r="D3580" s="2" t="str">
        <f ca="1">IFERROR(__xludf.DUMMYFUNCTION("""COMPUTED_VALUE"""),"Dubai&gt;Dubai South&gt;Residential District&gt;MAG 5 Boulevard&gt;MAG 510")</f>
        <v>Dubai&gt;Dubai South&gt;Residential District&gt;MAG 5 Boulevard&gt;MAG 510</v>
      </c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</row>
    <row r="3581" spans="1:26" ht="16.5" x14ac:dyDescent="0.35">
      <c r="A3581" s="2" t="str">
        <f ca="1">IFERROR(__xludf.DUMMYFUNCTION("""COMPUTED_VALUE"""),"Dubai")</f>
        <v>Dubai</v>
      </c>
      <c r="B3581" s="2" t="str">
        <f ca="1">IFERROR(__xludf.DUMMYFUNCTION("""COMPUTED_VALUE"""),"Views 2")</f>
        <v>Views 2</v>
      </c>
      <c r="C3581" s="2" t="str">
        <f ca="1">IFERROR(__xludf.DUMMYFUNCTION("""COMPUTED_VALUE"""),"Building")</f>
        <v>Building</v>
      </c>
      <c r="D3581" s="2" t="str">
        <f ca="1">IFERROR(__xludf.DUMMYFUNCTION("""COMPUTED_VALUE"""),"Dubai&gt;Dubai South&gt;Residential District&gt;Views&gt;Views 2")</f>
        <v>Dubai&gt;Dubai South&gt;Residential District&gt;Views&gt;Views 2</v>
      </c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</row>
    <row r="3582" spans="1:26" ht="16.5" x14ac:dyDescent="0.35">
      <c r="A3582" s="2" t="str">
        <f ca="1">IFERROR(__xludf.DUMMYFUNCTION("""COMPUTED_VALUE"""),"Dubai")</f>
        <v>Dubai</v>
      </c>
      <c r="B3582" s="2" t="str">
        <f ca="1">IFERROR(__xludf.DUMMYFUNCTION("""COMPUTED_VALUE"""),"Tower C")</f>
        <v>Tower C</v>
      </c>
      <c r="C3582" s="2" t="str">
        <f ca="1">IFERROR(__xludf.DUMMYFUNCTION("""COMPUTED_VALUE"""),"Building")</f>
        <v>Building</v>
      </c>
      <c r="D3582" s="2" t="str">
        <f ca="1">IFERROR(__xludf.DUMMYFUNCTION("""COMPUTED_VALUE"""),"Dubai&gt;Dubailand&gt;Rukan&gt;Rukan Tower&gt;Tower C")</f>
        <v>Dubai&gt;Dubailand&gt;Rukan&gt;Rukan Tower&gt;Tower C</v>
      </c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</row>
    <row r="3583" spans="1:26" ht="16.5" x14ac:dyDescent="0.35">
      <c r="A3583" s="2" t="str">
        <f ca="1">IFERROR(__xludf.DUMMYFUNCTION("""COMPUTED_VALUE"""),"Dubai")</f>
        <v>Dubai</v>
      </c>
      <c r="B3583" s="2" t="str">
        <f ca="1">IFERROR(__xludf.DUMMYFUNCTION("""COMPUTED_VALUE"""),"Sobha Reserve")</f>
        <v>Sobha Reserve</v>
      </c>
      <c r="C3583" s="2" t="str">
        <f ca="1">IFERROR(__xludf.DUMMYFUNCTION("""COMPUTED_VALUE"""),"Neighbourhood")</f>
        <v>Neighbourhood</v>
      </c>
      <c r="D3583" s="2" t="str">
        <f ca="1">IFERROR(__xludf.DUMMYFUNCTION("""COMPUTED_VALUE"""),"Dubai&gt;Dubailand&gt;Sobha Reserve")</f>
        <v>Dubai&gt;Dubailand&gt;Sobha Reserve</v>
      </c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</row>
    <row r="3584" spans="1:26" ht="16.5" x14ac:dyDescent="0.35">
      <c r="A3584" s="2" t="str">
        <f ca="1">IFERROR(__xludf.DUMMYFUNCTION("""COMPUTED_VALUE"""),"Dubai")</f>
        <v>Dubai</v>
      </c>
      <c r="B3584" s="2" t="str">
        <f ca="1">IFERROR(__xludf.DUMMYFUNCTION("""COMPUTED_VALUE"""),"The Offices 4")</f>
        <v>The Offices 4</v>
      </c>
      <c r="C3584" s="2" t="str">
        <f ca="1">IFERROR(__xludf.DUMMYFUNCTION("""COMPUTED_VALUE"""),"Building")</f>
        <v>Building</v>
      </c>
      <c r="D3584" s="2" t="str">
        <f ca="1">IFERROR(__xludf.DUMMYFUNCTION("""COMPUTED_VALUE"""),"Dubai&gt;World Trade Centre&gt;One Central&gt;The Offices 4")</f>
        <v>Dubai&gt;World Trade Centre&gt;One Central&gt;The Offices 4</v>
      </c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</row>
    <row r="3585" spans="1:26" ht="16.5" x14ac:dyDescent="0.35">
      <c r="A3585" s="2" t="str">
        <f ca="1">IFERROR(__xludf.DUMMYFUNCTION("""COMPUTED_VALUE"""),"Dubai")</f>
        <v>Dubai</v>
      </c>
      <c r="B3585" s="2" t="str">
        <f ca="1">IFERROR(__xludf.DUMMYFUNCTION("""COMPUTED_VALUE"""),"Al Qusais Residential Area")</f>
        <v>Al Qusais Residential Area</v>
      </c>
      <c r="C3585" s="2" t="str">
        <f ca="1">IFERROR(__xludf.DUMMYFUNCTION("""COMPUTED_VALUE"""),"Neighbourhood")</f>
        <v>Neighbourhood</v>
      </c>
      <c r="D3585" s="2" t="str">
        <f ca="1">IFERROR(__xludf.DUMMYFUNCTION("""COMPUTED_VALUE"""),"Dubai&gt;Al Qusais&gt;Al Qusais Residential Area")</f>
        <v>Dubai&gt;Al Qusais&gt;Al Qusais Residential Area</v>
      </c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</row>
    <row r="3586" spans="1:26" ht="16.5" x14ac:dyDescent="0.35">
      <c r="A3586" s="2" t="str">
        <f ca="1">IFERROR(__xludf.DUMMYFUNCTION("""COMPUTED_VALUE"""),"Dubai")</f>
        <v>Dubai</v>
      </c>
      <c r="B3586" s="2" t="str">
        <f ca="1">IFERROR(__xludf.DUMMYFUNCTION("""COMPUTED_VALUE"""),"H. H. Shaikh Rashid Al Maktoum Pakistan School")</f>
        <v>H. H. Shaikh Rashid Al Maktoum Pakistan School</v>
      </c>
      <c r="C3586" s="2" t="str">
        <f ca="1">IFERROR(__xludf.DUMMYFUNCTION("""COMPUTED_VALUE"""),"School")</f>
        <v>School</v>
      </c>
      <c r="D3586" s="2" t="str">
        <f ca="1">IFERROR(__xludf.DUMMYFUNCTION("""COMPUTED_VALUE"""),"Dubai&gt;Al Qusais&gt;Al Qusais Residential Area&gt;Al Qusais 1&gt;H. H. Shaikh Rashid Al Maktoum Pakistan School")</f>
        <v>Dubai&gt;Al Qusais&gt;Al Qusais Residential Area&gt;Al Qusais 1&gt;H. H. Shaikh Rashid Al Maktoum Pakistan School</v>
      </c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</row>
    <row r="3587" spans="1:26" ht="16.5" x14ac:dyDescent="0.35">
      <c r="A3587" s="2" t="str">
        <f ca="1">IFERROR(__xludf.DUMMYFUNCTION("""COMPUTED_VALUE"""),"Dubai")</f>
        <v>Dubai</v>
      </c>
      <c r="B3587" s="2" t="str">
        <f ca="1">IFERROR(__xludf.DUMMYFUNCTION("""COMPUTED_VALUE"""),"Al Jabri Tower 7")</f>
        <v>Al Jabri Tower 7</v>
      </c>
      <c r="C3587" s="2" t="str">
        <f ca="1">IFERROR(__xludf.DUMMYFUNCTION("""COMPUTED_VALUE"""),"Building")</f>
        <v>Building</v>
      </c>
      <c r="D3587" s="2" t="str">
        <f ca="1">IFERROR(__xludf.DUMMYFUNCTION("""COMPUTED_VALUE"""),"Dubai&gt;Al Qusais&gt;Al Qusais Residential Area&gt;Al Qusais 1&gt;Al Jabri Tower 7")</f>
        <v>Dubai&gt;Al Qusais&gt;Al Qusais Residential Area&gt;Al Qusais 1&gt;Al Jabri Tower 7</v>
      </c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</row>
    <row r="3588" spans="1:26" ht="16.5" x14ac:dyDescent="0.35">
      <c r="A3588" s="2" t="str">
        <f ca="1">IFERROR(__xludf.DUMMYFUNCTION("""COMPUTED_VALUE"""),"Dubai")</f>
        <v>Dubai</v>
      </c>
      <c r="B3588" s="2" t="str">
        <f ca="1">IFERROR(__xludf.DUMMYFUNCTION("""COMPUTED_VALUE"""),"Rahaf Tower")</f>
        <v>Rahaf Tower</v>
      </c>
      <c r="C3588" s="2" t="str">
        <f ca="1">IFERROR(__xludf.DUMMYFUNCTION("""COMPUTED_VALUE"""),"Building")</f>
        <v>Building</v>
      </c>
      <c r="D3588" s="2" t="str">
        <f ca="1">IFERROR(__xludf.DUMMYFUNCTION("""COMPUTED_VALUE"""),"Dubai&gt;Al Qusais&gt;Al Qusais Industrial Area&gt;Al Qusais Industrial 4&gt;Rahaf Tower")</f>
        <v>Dubai&gt;Al Qusais&gt;Al Qusais Industrial Area&gt;Al Qusais Industrial 4&gt;Rahaf Tower</v>
      </c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</row>
    <row r="3589" spans="1:26" ht="16.5" x14ac:dyDescent="0.35">
      <c r="A3589" s="2" t="str">
        <f ca="1">IFERROR(__xludf.DUMMYFUNCTION("""COMPUTED_VALUE"""),"Dubai")</f>
        <v>Dubai</v>
      </c>
      <c r="B3589" s="2" t="str">
        <f ca="1">IFERROR(__xludf.DUMMYFUNCTION("""COMPUTED_VALUE"""),"Park Heights")</f>
        <v>Park Heights</v>
      </c>
      <c r="C3589" s="2" t="str">
        <f ca="1">IFERROR(__xludf.DUMMYFUNCTION("""COMPUTED_VALUE"""),"Neighbourhood")</f>
        <v>Neighbourhood</v>
      </c>
      <c r="D3589" s="2" t="str">
        <f ca="1">IFERROR(__xludf.DUMMYFUNCTION("""COMPUTED_VALUE"""),"Dubai&gt;Dubai Hills Estate&gt;Park Heights")</f>
        <v>Dubai&gt;Dubai Hills Estate&gt;Park Heights</v>
      </c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</row>
    <row r="3590" spans="1:26" ht="16.5" x14ac:dyDescent="0.35">
      <c r="A3590" s="2" t="str">
        <f ca="1">IFERROR(__xludf.DUMMYFUNCTION("""COMPUTED_VALUE"""),"Dubai")</f>
        <v>Dubai</v>
      </c>
      <c r="B3590" s="2" t="str">
        <f ca="1">IFERROR(__xludf.DUMMYFUNCTION("""COMPUTED_VALUE"""),"Park Point Building B")</f>
        <v>Park Point Building B</v>
      </c>
      <c r="C3590" s="2" t="str">
        <f ca="1">IFERROR(__xludf.DUMMYFUNCTION("""COMPUTED_VALUE"""),"Building")</f>
        <v>Building</v>
      </c>
      <c r="D3590" s="2" t="str">
        <f ca="1">IFERROR(__xludf.DUMMYFUNCTION("""COMPUTED_VALUE"""),"Dubai&gt;Dubai Hills Estate&gt;Park Point&gt;Park Point Building B")</f>
        <v>Dubai&gt;Dubai Hills Estate&gt;Park Point&gt;Park Point Building B</v>
      </c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</row>
    <row r="3591" spans="1:26" ht="16.5" x14ac:dyDescent="0.35">
      <c r="A3591" s="2" t="str">
        <f ca="1">IFERROR(__xludf.DUMMYFUNCTION("""COMPUTED_VALUE"""),"Dubai")</f>
        <v>Dubai</v>
      </c>
      <c r="B3591" s="2" t="str">
        <f ca="1">IFERROR(__xludf.DUMMYFUNCTION("""COMPUTED_VALUE"""),"Sway Residences")</f>
        <v>Sway Residences</v>
      </c>
      <c r="C3591" s="2" t="str">
        <f ca="1">IFERROR(__xludf.DUMMYFUNCTION("""COMPUTED_VALUE"""),"Building")</f>
        <v>Building</v>
      </c>
      <c r="D3591" s="2" t="str">
        <f ca="1">IFERROR(__xludf.DUMMYFUNCTION("""COMPUTED_VALUE"""),"Dubai&gt;Dubai Hills Estate&gt;Sway Residences")</f>
        <v>Dubai&gt;Dubai Hills Estate&gt;Sway Residences</v>
      </c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</row>
    <row r="3592" spans="1:26" ht="16.5" x14ac:dyDescent="0.35">
      <c r="A3592" s="2" t="str">
        <f ca="1">IFERROR(__xludf.DUMMYFUNCTION("""COMPUTED_VALUE"""),"Dubai")</f>
        <v>Dubai</v>
      </c>
      <c r="B3592" s="2" t="str">
        <f ca="1">IFERROR(__xludf.DUMMYFUNCTION("""COMPUTED_VALUE"""),"Greenside Residence Tower A")</f>
        <v>Greenside Residence Tower A</v>
      </c>
      <c r="C3592" s="2" t="str">
        <f ca="1">IFERROR(__xludf.DUMMYFUNCTION("""COMPUTED_VALUE"""),"Building")</f>
        <v>Building</v>
      </c>
      <c r="D3592" s="2" t="str">
        <f ca="1">IFERROR(__xludf.DUMMYFUNCTION("""COMPUTED_VALUE"""),"Dubai&gt;Dubai Hills Estate&gt;Greenside Residence&gt;Greenside Residence Tower A")</f>
        <v>Dubai&gt;Dubai Hills Estate&gt;Greenside Residence&gt;Greenside Residence Tower A</v>
      </c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</row>
    <row r="3593" spans="1:26" ht="16.5" x14ac:dyDescent="0.35">
      <c r="A3593" s="2" t="str">
        <f ca="1">IFERROR(__xludf.DUMMYFUNCTION("""COMPUTED_VALUE"""),"Dubai")</f>
        <v>Dubai</v>
      </c>
      <c r="B3593" s="2" t="str">
        <f ca="1">IFERROR(__xludf.DUMMYFUNCTION("""COMPUTED_VALUE"""),"Eden House Dubai Hills")</f>
        <v>Eden House Dubai Hills</v>
      </c>
      <c r="C3593" s="2" t="str">
        <f ca="1">IFERROR(__xludf.DUMMYFUNCTION("""COMPUTED_VALUE"""),"Building")</f>
        <v>Building</v>
      </c>
      <c r="D3593" s="2" t="str">
        <f ca="1">IFERROR(__xludf.DUMMYFUNCTION("""COMPUTED_VALUE"""),"Dubai&gt;Dubai Hills Estate&gt;Eden House Dubai Hills")</f>
        <v>Dubai&gt;Dubai Hills Estate&gt;Eden House Dubai Hills</v>
      </c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</row>
    <row r="3594" spans="1:26" ht="16.5" x14ac:dyDescent="0.35">
      <c r="A3594" s="2" t="str">
        <f ca="1">IFERROR(__xludf.DUMMYFUNCTION("""COMPUTED_VALUE"""),"Dubai")</f>
        <v>Dubai</v>
      </c>
      <c r="B3594" s="2" t="str">
        <f ca="1">IFERROR(__xludf.DUMMYFUNCTION("""COMPUTED_VALUE"""),"Pink Building")</f>
        <v>Pink Building</v>
      </c>
      <c r="C3594" s="2" t="str">
        <f ca="1">IFERROR(__xludf.DUMMYFUNCTION("""COMPUTED_VALUE"""),"Building")</f>
        <v>Building</v>
      </c>
      <c r="D3594" s="2" t="str">
        <f ca="1">IFERROR(__xludf.DUMMYFUNCTION("""COMPUTED_VALUE"""),"Dubai&gt;Deira&gt;Al Muraqqabat&gt;Pink Building")</f>
        <v>Dubai&gt;Deira&gt;Al Muraqqabat&gt;Pink Building</v>
      </c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</row>
    <row r="3595" spans="1:26" ht="16.5" x14ac:dyDescent="0.35">
      <c r="A3595" s="2" t="str">
        <f ca="1">IFERROR(__xludf.DUMMYFUNCTION("""COMPUTED_VALUE"""),"Dubai")</f>
        <v>Dubai</v>
      </c>
      <c r="B3595" s="2" t="str">
        <f ca="1">IFERROR(__xludf.DUMMYFUNCTION("""COMPUTED_VALUE"""),"Bayt Al Muraqqabat 03")</f>
        <v>Bayt Al Muraqqabat 03</v>
      </c>
      <c r="C3595" s="2" t="str">
        <f ca="1">IFERROR(__xludf.DUMMYFUNCTION("""COMPUTED_VALUE"""),"Building")</f>
        <v>Building</v>
      </c>
      <c r="D3595" s="2" t="str">
        <f ca="1">IFERROR(__xludf.DUMMYFUNCTION("""COMPUTED_VALUE"""),"Dubai&gt;Deira&gt;Al Muraqqabat&gt;Bayt Al Muraqqabat 03")</f>
        <v>Dubai&gt;Deira&gt;Al Muraqqabat&gt;Bayt Al Muraqqabat 03</v>
      </c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</row>
    <row r="3596" spans="1:26" ht="16.5" x14ac:dyDescent="0.35">
      <c r="A3596" s="2" t="str">
        <f ca="1">IFERROR(__xludf.DUMMYFUNCTION("""COMPUTED_VALUE"""),"Dubai")</f>
        <v>Dubai</v>
      </c>
      <c r="B3596" s="2" t="str">
        <f ca="1">IFERROR(__xludf.DUMMYFUNCTION("""COMPUTED_VALUE"""),"Al Salemiyah Tower")</f>
        <v>Al Salemiyah Tower</v>
      </c>
      <c r="C3596" s="2" t="str">
        <f ca="1">IFERROR(__xludf.DUMMYFUNCTION("""COMPUTED_VALUE"""),"Building")</f>
        <v>Building</v>
      </c>
      <c r="D3596" s="2" t="str">
        <f ca="1">IFERROR(__xludf.DUMMYFUNCTION("""COMPUTED_VALUE"""),"Dubai&gt;Deira&gt;Riggat Al Buteen&gt;Al Salemiyah Tower")</f>
        <v>Dubai&gt;Deira&gt;Riggat Al Buteen&gt;Al Salemiyah Tower</v>
      </c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</row>
    <row r="3597" spans="1:26" ht="16.5" x14ac:dyDescent="0.35">
      <c r="A3597" s="2" t="str">
        <f ca="1">IFERROR(__xludf.DUMMYFUNCTION("""COMPUTED_VALUE"""),"Dubai")</f>
        <v>Dubai</v>
      </c>
      <c r="B3597" s="2" t="str">
        <f ca="1">IFERROR(__xludf.DUMMYFUNCTION("""COMPUTED_VALUE"""),"Gold Building")</f>
        <v>Gold Building</v>
      </c>
      <c r="C3597" s="2" t="str">
        <f ca="1">IFERROR(__xludf.DUMMYFUNCTION("""COMPUTED_VALUE"""),"Building")</f>
        <v>Building</v>
      </c>
      <c r="D3597" s="2" t="str">
        <f ca="1">IFERROR(__xludf.DUMMYFUNCTION("""COMPUTED_VALUE"""),"Dubai&gt;Deira&gt;Hor Al Anz&gt;Gold Building")</f>
        <v>Dubai&gt;Deira&gt;Hor Al Anz&gt;Gold Building</v>
      </c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</row>
    <row r="3598" spans="1:26" ht="16.5" x14ac:dyDescent="0.35">
      <c r="A3598" s="2" t="str">
        <f ca="1">IFERROR(__xludf.DUMMYFUNCTION("""COMPUTED_VALUE"""),"Dubai")</f>
        <v>Dubai</v>
      </c>
      <c r="B3598" s="2" t="str">
        <f ca="1">IFERROR(__xludf.DUMMYFUNCTION("""COMPUTED_VALUE"""),"Juma Aman Obaid Building")</f>
        <v>Juma Aman Obaid Building</v>
      </c>
      <c r="C3598" s="2" t="str">
        <f ca="1">IFERROR(__xludf.DUMMYFUNCTION("""COMPUTED_VALUE"""),"Building")</f>
        <v>Building</v>
      </c>
      <c r="D3598" s="2" t="str">
        <f ca="1">IFERROR(__xludf.DUMMYFUNCTION("""COMPUTED_VALUE"""),"Dubai&gt;Deira&gt;Hor Al Anz&gt;Juma Aman Obaid Building")</f>
        <v>Dubai&gt;Deira&gt;Hor Al Anz&gt;Juma Aman Obaid Building</v>
      </c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</row>
    <row r="3599" spans="1:26" ht="16.5" x14ac:dyDescent="0.35">
      <c r="A3599" s="2" t="str">
        <f ca="1">IFERROR(__xludf.DUMMYFUNCTION("""COMPUTED_VALUE"""),"Dubai")</f>
        <v>Dubai</v>
      </c>
      <c r="B3599" s="2" t="str">
        <f ca="1">IFERROR(__xludf.DUMMYFUNCTION("""COMPUTED_VALUE"""),"Masaken Al Muteena 02")</f>
        <v>Masaken Al Muteena 02</v>
      </c>
      <c r="C3599" s="2" t="str">
        <f ca="1">IFERROR(__xludf.DUMMYFUNCTION("""COMPUTED_VALUE"""),"Building")</f>
        <v>Building</v>
      </c>
      <c r="D3599" s="2" t="str">
        <f ca="1">IFERROR(__xludf.DUMMYFUNCTION("""COMPUTED_VALUE"""),"Dubai&gt;Deira&gt;Al Muteena&gt;Masaken Al Muteena 02")</f>
        <v>Dubai&gt;Deira&gt;Al Muteena&gt;Masaken Al Muteena 02</v>
      </c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</row>
    <row r="3600" spans="1:26" ht="16.5" x14ac:dyDescent="0.35">
      <c r="A3600" s="2" t="str">
        <f ca="1">IFERROR(__xludf.DUMMYFUNCTION("""COMPUTED_VALUE"""),"Dubai")</f>
        <v>Dubai</v>
      </c>
      <c r="B3600" s="2" t="str">
        <f ca="1">IFERROR(__xludf.DUMMYFUNCTION("""COMPUTED_VALUE"""),"Rashid Al Yateem Building")</f>
        <v>Rashid Al Yateem Building</v>
      </c>
      <c r="C3600" s="2" t="str">
        <f ca="1">IFERROR(__xludf.DUMMYFUNCTION("""COMPUTED_VALUE"""),"Building")</f>
        <v>Building</v>
      </c>
      <c r="D3600" s="2" t="str">
        <f ca="1">IFERROR(__xludf.DUMMYFUNCTION("""COMPUTED_VALUE"""),"Dubai&gt;Deira&gt;Al Rigga&gt;Rashid Al Yateem Building")</f>
        <v>Dubai&gt;Deira&gt;Al Rigga&gt;Rashid Al Yateem Building</v>
      </c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</row>
    <row r="3601" spans="1:26" ht="16.5" x14ac:dyDescent="0.35">
      <c r="A3601" s="2" t="str">
        <f ca="1">IFERROR(__xludf.DUMMYFUNCTION("""COMPUTED_VALUE"""),"Dubai")</f>
        <v>Dubai</v>
      </c>
      <c r="B3601" s="2" t="str">
        <f ca="1">IFERROR(__xludf.DUMMYFUNCTION("""COMPUTED_VALUE"""),"Moza Plaza 2")</f>
        <v>Moza Plaza 2</v>
      </c>
      <c r="C3601" s="2" t="str">
        <f ca="1">IFERROR(__xludf.DUMMYFUNCTION("""COMPUTED_VALUE"""),"Building")</f>
        <v>Building</v>
      </c>
      <c r="D3601" s="2" t="str">
        <f ca="1">IFERROR(__xludf.DUMMYFUNCTION("""COMPUTED_VALUE"""),"Dubai&gt;Deira&gt;Deira Enrichment Project&gt;Moza Plaza&gt;Moza Plaza 2")</f>
        <v>Dubai&gt;Deira&gt;Deira Enrichment Project&gt;Moza Plaza&gt;Moza Plaza 2</v>
      </c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</row>
    <row r="3602" spans="1:26" ht="16.5" x14ac:dyDescent="0.35">
      <c r="A3602" s="2" t="str">
        <f ca="1">IFERROR(__xludf.DUMMYFUNCTION("""COMPUTED_VALUE"""),"Dubai")</f>
        <v>Dubai</v>
      </c>
      <c r="B3602" s="2" t="str">
        <f ca="1">IFERROR(__xludf.DUMMYFUNCTION("""COMPUTED_VALUE"""),"Sabkha Building")</f>
        <v>Sabkha Building</v>
      </c>
      <c r="C3602" s="2" t="str">
        <f ca="1">IFERROR(__xludf.DUMMYFUNCTION("""COMPUTED_VALUE"""),"Building")</f>
        <v>Building</v>
      </c>
      <c r="D3602" s="2" t="str">
        <f ca="1">IFERROR(__xludf.DUMMYFUNCTION("""COMPUTED_VALUE"""),"Dubai&gt;Deira&gt;Naif&gt;Sabkha Building")</f>
        <v>Dubai&gt;Deira&gt;Naif&gt;Sabkha Building</v>
      </c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</row>
    <row r="3603" spans="1:26" ht="16.5" x14ac:dyDescent="0.35">
      <c r="A3603" s="2" t="str">
        <f ca="1">IFERROR(__xludf.DUMMYFUNCTION("""COMPUTED_VALUE"""),"Dubai")</f>
        <v>Dubai</v>
      </c>
      <c r="B3603" s="2" t="str">
        <f ca="1">IFERROR(__xludf.DUMMYFUNCTION("""COMPUTED_VALUE"""),"Nakheel Building")</f>
        <v>Nakheel Building</v>
      </c>
      <c r="C3603" s="2" t="str">
        <f ca="1">IFERROR(__xludf.DUMMYFUNCTION("""COMPUTED_VALUE"""),"Building")</f>
        <v>Building</v>
      </c>
      <c r="D3603" s="2" t="str">
        <f ca="1">IFERROR(__xludf.DUMMYFUNCTION("""COMPUTED_VALUE"""),"Dubai&gt;Deira&gt;Naif&gt;Nakheel Building")</f>
        <v>Dubai&gt;Deira&gt;Naif&gt;Nakheel Building</v>
      </c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</row>
    <row r="3604" spans="1:26" ht="16.5" x14ac:dyDescent="0.35">
      <c r="A3604" s="2" t="str">
        <f ca="1">IFERROR(__xludf.DUMMYFUNCTION("""COMPUTED_VALUE"""),"Dubai")</f>
        <v>Dubai</v>
      </c>
      <c r="B3604" s="2" t="str">
        <f ca="1">IFERROR(__xludf.DUMMYFUNCTION("""COMPUTED_VALUE"""),"Abdulla Mohammad Hassan Al Majed Building")</f>
        <v>Abdulla Mohammad Hassan Al Majed Building</v>
      </c>
      <c r="C3604" s="2" t="str">
        <f ca="1">IFERROR(__xludf.DUMMYFUNCTION("""COMPUTED_VALUE"""),"Building")</f>
        <v>Building</v>
      </c>
      <c r="D3604" s="2" t="str">
        <f ca="1">IFERROR(__xludf.DUMMYFUNCTION("""COMPUTED_VALUE"""),"Dubai&gt;Deira&gt;Al Murar&gt;Abdulla Mohammad Hassan Al Majed Building")</f>
        <v>Dubai&gt;Deira&gt;Al Murar&gt;Abdulla Mohammad Hassan Al Majed Building</v>
      </c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</row>
    <row r="3605" spans="1:26" ht="16.5" x14ac:dyDescent="0.35">
      <c r="A3605" s="2" t="str">
        <f ca="1">IFERROR(__xludf.DUMMYFUNCTION("""COMPUTED_VALUE"""),"Dubai")</f>
        <v>Dubai</v>
      </c>
      <c r="B3605" s="2" t="str">
        <f ca="1">IFERROR(__xludf.DUMMYFUNCTION("""COMPUTED_VALUE"""),"Al Wuheida")</f>
        <v>Al Wuheida</v>
      </c>
      <c r="C3605" s="2" t="str">
        <f ca="1">IFERROR(__xludf.DUMMYFUNCTION("""COMPUTED_VALUE"""),"Neighbourhood")</f>
        <v>Neighbourhood</v>
      </c>
      <c r="D3605" s="2" t="str">
        <f ca="1">IFERROR(__xludf.DUMMYFUNCTION("""COMPUTED_VALUE"""),"Dubai&gt;Deira&gt;Al Wuheida")</f>
        <v>Dubai&gt;Deira&gt;Al Wuheida</v>
      </c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</row>
    <row r="3606" spans="1:26" ht="16.5" x14ac:dyDescent="0.35">
      <c r="A3606" s="2" t="str">
        <f ca="1">IFERROR(__xludf.DUMMYFUNCTION("""COMPUTED_VALUE"""),"Dubai")</f>
        <v>Dubai</v>
      </c>
      <c r="B3606" s="2" t="str">
        <f ca="1">IFERROR(__xludf.DUMMYFUNCTION("""COMPUTED_VALUE"""),"AWR Head Office")</f>
        <v>AWR Head Office</v>
      </c>
      <c r="C3606" s="2" t="str">
        <f ca="1">IFERROR(__xludf.DUMMYFUNCTION("""COMPUTED_VALUE"""),"Building")</f>
        <v>Building</v>
      </c>
      <c r="D3606" s="2" t="str">
        <f ca="1">IFERROR(__xludf.DUMMYFUNCTION("""COMPUTED_VALUE"""),"Dubai&gt;Deira&gt;Port Saeed&gt;AWR Head Office")</f>
        <v>Dubai&gt;Deira&gt;Port Saeed&gt;AWR Head Office</v>
      </c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</row>
    <row r="3607" spans="1:26" ht="16.5" x14ac:dyDescent="0.35">
      <c r="A3607" s="2" t="str">
        <f ca="1">IFERROR(__xludf.DUMMYFUNCTION("""COMPUTED_VALUE"""),"Dubai")</f>
        <v>Dubai</v>
      </c>
      <c r="B3607" s="2" t="str">
        <f ca="1">IFERROR(__xludf.DUMMYFUNCTION("""COMPUTED_VALUE"""),"Al Etihad Building")</f>
        <v>Al Etihad Building</v>
      </c>
      <c r="C3607" s="2" t="str">
        <f ca="1">IFERROR(__xludf.DUMMYFUNCTION("""COMPUTED_VALUE"""),"Building")</f>
        <v>Building</v>
      </c>
      <c r="D3607" s="2" t="str">
        <f ca="1">IFERROR(__xludf.DUMMYFUNCTION("""COMPUTED_VALUE"""),"Dubai&gt;Deira&gt;Port Saeed&gt;Al Etihad Building")</f>
        <v>Dubai&gt;Deira&gt;Port Saeed&gt;Al Etihad Building</v>
      </c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</row>
    <row r="3608" spans="1:26" ht="16.5" x14ac:dyDescent="0.35">
      <c r="A3608" s="2" t="str">
        <f ca="1">IFERROR(__xludf.DUMMYFUNCTION("""COMPUTED_VALUE"""),"Dubai")</f>
        <v>Dubai</v>
      </c>
      <c r="B3608" s="2" t="str">
        <f ca="1">IFERROR(__xludf.DUMMYFUNCTION("""COMPUTED_VALUE"""),"Lake Central")</f>
        <v>Lake Central</v>
      </c>
      <c r="C3608" s="2" t="str">
        <f ca="1">IFERROR(__xludf.DUMMYFUNCTION("""COMPUTED_VALUE"""),"Building")</f>
        <v>Building</v>
      </c>
      <c r="D3608" s="2" t="str">
        <f ca="1">IFERROR(__xludf.DUMMYFUNCTION("""COMPUTED_VALUE"""),"Dubai&gt;Business Bay&gt;Lake Central")</f>
        <v>Dubai&gt;Business Bay&gt;Lake Central</v>
      </c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</row>
    <row r="3609" spans="1:26" ht="16.5" x14ac:dyDescent="0.35">
      <c r="A3609" s="2" t="str">
        <f ca="1">IFERROR(__xludf.DUMMYFUNCTION("""COMPUTED_VALUE"""),"Dubai")</f>
        <v>Dubai</v>
      </c>
      <c r="B3609" s="2" t="str">
        <f ca="1">IFERROR(__xludf.DUMMYFUNCTION("""COMPUTED_VALUE"""),"The Exchange Business Bay")</f>
        <v>The Exchange Business Bay</v>
      </c>
      <c r="C3609" s="2" t="str">
        <f ca="1">IFERROR(__xludf.DUMMYFUNCTION("""COMPUTED_VALUE"""),"Building")</f>
        <v>Building</v>
      </c>
      <c r="D3609" s="2" t="str">
        <f ca="1">IFERROR(__xludf.DUMMYFUNCTION("""COMPUTED_VALUE"""),"Dubai&gt;Business Bay&gt;The Exchange Business Bay")</f>
        <v>Dubai&gt;Business Bay&gt;The Exchange Business Bay</v>
      </c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</row>
    <row r="3610" spans="1:26" ht="16.5" x14ac:dyDescent="0.35">
      <c r="A3610" s="2" t="str">
        <f ca="1">IFERROR(__xludf.DUMMYFUNCTION("""COMPUTED_VALUE"""),"Dubai")</f>
        <v>Dubai</v>
      </c>
      <c r="B3610" s="2" t="str">
        <f ca="1">IFERROR(__xludf.DUMMYFUNCTION("""COMPUTED_VALUE"""),"Empire Heights 2")</f>
        <v>Empire Heights 2</v>
      </c>
      <c r="C3610" s="2" t="str">
        <f ca="1">IFERROR(__xludf.DUMMYFUNCTION("""COMPUTED_VALUE"""),"Building")</f>
        <v>Building</v>
      </c>
      <c r="D3610" s="2" t="str">
        <f ca="1">IFERROR(__xludf.DUMMYFUNCTION("""COMPUTED_VALUE"""),"Dubai&gt;Business Bay&gt;Empire Heights&gt;Empire Heights 2")</f>
        <v>Dubai&gt;Business Bay&gt;Empire Heights&gt;Empire Heights 2</v>
      </c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</row>
    <row r="3611" spans="1:26" ht="16.5" x14ac:dyDescent="0.35">
      <c r="A3611" s="2" t="str">
        <f ca="1">IFERROR(__xludf.DUMMYFUNCTION("""COMPUTED_VALUE"""),"Dubai")</f>
        <v>Dubai</v>
      </c>
      <c r="B3611" s="2" t="str">
        <f ca="1">IFERROR(__xludf.DUMMYFUNCTION("""COMPUTED_VALUE"""),"J One Tower B")</f>
        <v>J One Tower B</v>
      </c>
      <c r="C3611" s="2" t="str">
        <f ca="1">IFERROR(__xludf.DUMMYFUNCTION("""COMPUTED_VALUE"""),"Building")</f>
        <v>Building</v>
      </c>
      <c r="D3611" s="2" t="str">
        <f ca="1">IFERROR(__xludf.DUMMYFUNCTION("""COMPUTED_VALUE"""),"Dubai&gt;Business Bay&gt;J One&gt;J One Tower B")</f>
        <v>Dubai&gt;Business Bay&gt;J One&gt;J One Tower B</v>
      </c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</row>
    <row r="3612" spans="1:26" ht="16.5" x14ac:dyDescent="0.35">
      <c r="A3612" s="2" t="str">
        <f ca="1">IFERROR(__xludf.DUMMYFUNCTION("""COMPUTED_VALUE"""),"Dubai")</f>
        <v>Dubai</v>
      </c>
      <c r="B3612" s="2" t="str">
        <f ca="1">IFERROR(__xludf.DUMMYFUNCTION("""COMPUTED_VALUE"""),"MBK Tower")</f>
        <v>MBK Tower</v>
      </c>
      <c r="C3612" s="2" t="str">
        <f ca="1">IFERROR(__xludf.DUMMYFUNCTION("""COMPUTED_VALUE"""),"Building")</f>
        <v>Building</v>
      </c>
      <c r="D3612" s="2" t="str">
        <f ca="1">IFERROR(__xludf.DUMMYFUNCTION("""COMPUTED_VALUE"""),"Dubai&gt;Business Bay&gt;MBK Tower")</f>
        <v>Dubai&gt;Business Bay&gt;MBK Tower</v>
      </c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</row>
    <row r="3613" spans="1:26" ht="16.5" x14ac:dyDescent="0.35">
      <c r="A3613" s="2" t="str">
        <f ca="1">IFERROR(__xludf.DUMMYFUNCTION("""COMPUTED_VALUE"""),"Dubai")</f>
        <v>Dubai</v>
      </c>
      <c r="B3613" s="2" t="str">
        <f ca="1">IFERROR(__xludf.DUMMYFUNCTION("""COMPUTED_VALUE"""),"One by Omniyat")</f>
        <v>One by Omniyat</v>
      </c>
      <c r="C3613" s="2" t="str">
        <f ca="1">IFERROR(__xludf.DUMMYFUNCTION("""COMPUTED_VALUE"""),"Building")</f>
        <v>Building</v>
      </c>
      <c r="D3613" s="2" t="str">
        <f ca="1">IFERROR(__xludf.DUMMYFUNCTION("""COMPUTED_VALUE"""),"Dubai&gt;Business Bay&gt;One by Omniyat")</f>
        <v>Dubai&gt;Business Bay&gt;One by Omniyat</v>
      </c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</row>
    <row r="3614" spans="1:26" ht="16.5" x14ac:dyDescent="0.35">
      <c r="A3614" s="2" t="str">
        <f ca="1">IFERROR(__xludf.DUMMYFUNCTION("""COMPUTED_VALUE"""),"Dubai")</f>
        <v>Dubai</v>
      </c>
      <c r="B3614" s="2" t="str">
        <f ca="1">IFERROR(__xludf.DUMMYFUNCTION("""COMPUTED_VALUE"""),"The Opus")</f>
        <v>The Opus</v>
      </c>
      <c r="C3614" s="2" t="str">
        <f ca="1">IFERROR(__xludf.DUMMYFUNCTION("""COMPUTED_VALUE"""),"Building")</f>
        <v>Building</v>
      </c>
      <c r="D3614" s="2" t="str">
        <f ca="1">IFERROR(__xludf.DUMMYFUNCTION("""COMPUTED_VALUE"""),"Dubai&gt;Business Bay&gt;The Opus")</f>
        <v>Dubai&gt;Business Bay&gt;The Opus</v>
      </c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</row>
    <row r="3615" spans="1:26" ht="16.5" x14ac:dyDescent="0.35">
      <c r="A3615" s="2" t="str">
        <f ca="1">IFERROR(__xludf.DUMMYFUNCTION("""COMPUTED_VALUE"""),"Dubai")</f>
        <v>Dubai</v>
      </c>
      <c r="B3615" s="2" t="str">
        <f ca="1">IFERROR(__xludf.DUMMYFUNCTION("""COMPUTED_VALUE"""),"Vela by Omniyat")</f>
        <v>Vela by Omniyat</v>
      </c>
      <c r="C3615" s="2" t="str">
        <f ca="1">IFERROR(__xludf.DUMMYFUNCTION("""COMPUTED_VALUE"""),"Building")</f>
        <v>Building</v>
      </c>
      <c r="D3615" s="2" t="str">
        <f ca="1">IFERROR(__xludf.DUMMYFUNCTION("""COMPUTED_VALUE"""),"Dubai&gt;Business Bay&gt;Vela by Omniyat")</f>
        <v>Dubai&gt;Business Bay&gt;Vela by Omniyat</v>
      </c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</row>
    <row r="3616" spans="1:26" ht="16.5" x14ac:dyDescent="0.35">
      <c r="A3616" s="2" t="str">
        <f ca="1">IFERROR(__xludf.DUMMYFUNCTION("""COMPUTED_VALUE"""),"Dubai")</f>
        <v>Dubai</v>
      </c>
      <c r="B3616" s="2" t="str">
        <f ca="1">IFERROR(__xludf.DUMMYFUNCTION("""COMPUTED_VALUE"""),"Binghatti Skyrise Podium")</f>
        <v>Binghatti Skyrise Podium</v>
      </c>
      <c r="C3616" s="2" t="str">
        <f ca="1">IFERROR(__xludf.DUMMYFUNCTION("""COMPUTED_VALUE"""),"Building")</f>
        <v>Building</v>
      </c>
      <c r="D3616" s="2" t="str">
        <f ca="1">IFERROR(__xludf.DUMMYFUNCTION("""COMPUTED_VALUE"""),"Dubai&gt;Business Bay&gt;Binghatti Skyrise&gt;Binghatti Skyrise Podium")</f>
        <v>Dubai&gt;Business Bay&gt;Binghatti Skyrise&gt;Binghatti Skyrise Podium</v>
      </c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</row>
    <row r="3617" spans="1:26" ht="16.5" x14ac:dyDescent="0.35">
      <c r="A3617" s="2" t="str">
        <f ca="1">IFERROR(__xludf.DUMMYFUNCTION("""COMPUTED_VALUE"""),"Dubai")</f>
        <v>Dubai</v>
      </c>
      <c r="B3617" s="2" t="str">
        <f ca="1">IFERROR(__xludf.DUMMYFUNCTION("""COMPUTED_VALUE"""),"Sunmarke School")</f>
        <v>Sunmarke School</v>
      </c>
      <c r="C3617" s="2" t="str">
        <f ca="1">IFERROR(__xludf.DUMMYFUNCTION("""COMPUTED_VALUE"""),"School")</f>
        <v>School</v>
      </c>
      <c r="D3617" s="2" t="str">
        <f ca="1">IFERROR(__xludf.DUMMYFUNCTION("""COMPUTED_VALUE"""),"Dubai&gt;Jumeirah Village Triangle (JVT)&gt;JVT District 5&gt;Sunmarke School")</f>
        <v>Dubai&gt;Jumeirah Village Triangle (JVT)&gt;JVT District 5&gt;Sunmarke School</v>
      </c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</row>
    <row r="3618" spans="1:26" ht="16.5" x14ac:dyDescent="0.35">
      <c r="A3618" s="2" t="str">
        <f ca="1">IFERROR(__xludf.DUMMYFUNCTION("""COMPUTED_VALUE"""),"Dubai")</f>
        <v>Dubai</v>
      </c>
      <c r="B3618" s="2" t="str">
        <f ca="1">IFERROR(__xludf.DUMMYFUNCTION("""COMPUTED_VALUE"""),"District 8F")</f>
        <v>District 8F</v>
      </c>
      <c r="C3618" s="2" t="str">
        <f ca="1">IFERROR(__xludf.DUMMYFUNCTION("""COMPUTED_VALUE"""),"Neighbourhood")</f>
        <v>Neighbourhood</v>
      </c>
      <c r="D3618" s="2" t="str">
        <f ca="1">IFERROR(__xludf.DUMMYFUNCTION("""COMPUTED_VALUE"""),"Dubai&gt;Jumeirah Village Triangle (JVT)&gt;JVT District 8&gt;District 8F")</f>
        <v>Dubai&gt;Jumeirah Village Triangle (JVT)&gt;JVT District 8&gt;District 8F</v>
      </c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</row>
    <row r="3619" spans="1:26" ht="16.5" x14ac:dyDescent="0.35">
      <c r="A3619" s="2" t="str">
        <f ca="1">IFERROR(__xludf.DUMMYFUNCTION("""COMPUTED_VALUE"""),"Dubai")</f>
        <v>Dubai</v>
      </c>
      <c r="B3619" s="2" t="str">
        <f ca="1">IFERROR(__xludf.DUMMYFUNCTION("""COMPUTED_VALUE"""),"District 2G")</f>
        <v>District 2G</v>
      </c>
      <c r="C3619" s="2" t="str">
        <f ca="1">IFERROR(__xludf.DUMMYFUNCTION("""COMPUTED_VALUE"""),"Neighbourhood")</f>
        <v>Neighbourhood</v>
      </c>
      <c r="D3619" s="2" t="str">
        <f ca="1">IFERROR(__xludf.DUMMYFUNCTION("""COMPUTED_VALUE"""),"Dubai&gt;Jumeirah Village Triangle (JVT)&gt;JVT District 2&gt;District 2G")</f>
        <v>Dubai&gt;Jumeirah Village Triangle (JVT)&gt;JVT District 2&gt;District 2G</v>
      </c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</row>
    <row r="3620" spans="1:26" ht="16.5" x14ac:dyDescent="0.35">
      <c r="A3620" s="2" t="str">
        <f ca="1">IFERROR(__xludf.DUMMYFUNCTION("""COMPUTED_VALUE"""),"Dubai")</f>
        <v>Dubai</v>
      </c>
      <c r="B3620" s="2" t="str">
        <f ca="1">IFERROR(__xludf.DUMMYFUNCTION("""COMPUTED_VALUE"""),"District 7E")</f>
        <v>District 7E</v>
      </c>
      <c r="C3620" s="2" t="str">
        <f ca="1">IFERROR(__xludf.DUMMYFUNCTION("""COMPUTED_VALUE"""),"Neighbourhood")</f>
        <v>Neighbourhood</v>
      </c>
      <c r="D3620" s="2" t="str">
        <f ca="1">IFERROR(__xludf.DUMMYFUNCTION("""COMPUTED_VALUE"""),"Dubai&gt;Jumeirah Village Triangle (JVT)&gt;JVT District 7&gt;District 7E")</f>
        <v>Dubai&gt;Jumeirah Village Triangle (JVT)&gt;JVT District 7&gt;District 7E</v>
      </c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</row>
    <row r="3621" spans="1:26" ht="16.5" x14ac:dyDescent="0.35">
      <c r="A3621" s="2" t="str">
        <f ca="1">IFERROR(__xludf.DUMMYFUNCTION("""COMPUTED_VALUE"""),"Dubai")</f>
        <v>Dubai</v>
      </c>
      <c r="B3621" s="2" t="str">
        <f ca="1">IFERROR(__xludf.DUMMYFUNCTION("""COMPUTED_VALUE"""),"District 4G")</f>
        <v>District 4G</v>
      </c>
      <c r="C3621" s="2" t="str">
        <f ca="1">IFERROR(__xludf.DUMMYFUNCTION("""COMPUTED_VALUE"""),"Neighbourhood")</f>
        <v>Neighbourhood</v>
      </c>
      <c r="D3621" s="2" t="str">
        <f ca="1">IFERROR(__xludf.DUMMYFUNCTION("""COMPUTED_VALUE"""),"Dubai&gt;Jumeirah Village Triangle (JVT)&gt;JVT District 4&gt;District 4G")</f>
        <v>Dubai&gt;Jumeirah Village Triangle (JVT)&gt;JVT District 4&gt;District 4G</v>
      </c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</row>
    <row r="3622" spans="1:26" ht="16.5" x14ac:dyDescent="0.35">
      <c r="A3622" s="2" t="str">
        <f ca="1">IFERROR(__xludf.DUMMYFUNCTION("""COMPUTED_VALUE"""),"Dubai")</f>
        <v>Dubai</v>
      </c>
      <c r="B3622" s="2" t="str">
        <f ca="1">IFERROR(__xludf.DUMMYFUNCTION("""COMPUTED_VALUE"""),"Pacific Edmonton")</f>
        <v>Pacific Edmonton</v>
      </c>
      <c r="C3622" s="2" t="str">
        <f ca="1">IFERROR(__xludf.DUMMYFUNCTION("""COMPUTED_VALUE"""),"Building")</f>
        <v>Building</v>
      </c>
      <c r="D3622" s="2" t="str">
        <f ca="1">IFERROR(__xludf.DUMMYFUNCTION("""COMPUTED_VALUE"""),"Dubai&gt;Jumeirah Village Triangle (JVT)&gt;JVT District 3&gt;Pacific Edmonton")</f>
        <v>Dubai&gt;Jumeirah Village Triangle (JVT)&gt;JVT District 3&gt;Pacific Edmonton</v>
      </c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</row>
    <row r="3623" spans="1:26" ht="16.5" x14ac:dyDescent="0.35">
      <c r="A3623" s="2" t="str">
        <f ca="1">IFERROR(__xludf.DUMMYFUNCTION("""COMPUTED_VALUE"""),"Dubai")</f>
        <v>Dubai</v>
      </c>
      <c r="B3623" s="2" t="str">
        <f ca="1">IFERROR(__xludf.DUMMYFUNCTION("""COMPUTED_VALUE"""),"Al Ramth 14")</f>
        <v>Al Ramth 14</v>
      </c>
      <c r="C3623" s="2" t="str">
        <f ca="1">IFERROR(__xludf.DUMMYFUNCTION("""COMPUTED_VALUE"""),"Building")</f>
        <v>Building</v>
      </c>
      <c r="D3623" s="2" t="str">
        <f ca="1">IFERROR(__xludf.DUMMYFUNCTION("""COMPUTED_VALUE"""),"Dubai&gt;Remraam&gt;Al Ramth&gt;Al Ramth 14")</f>
        <v>Dubai&gt;Remraam&gt;Al Ramth&gt;Al Ramth 14</v>
      </c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</row>
    <row r="3624" spans="1:26" ht="16.5" x14ac:dyDescent="0.35">
      <c r="A3624" s="2" t="str">
        <f ca="1">IFERROR(__xludf.DUMMYFUNCTION("""COMPUTED_VALUE"""),"Dubai")</f>
        <v>Dubai</v>
      </c>
      <c r="B3624" s="2" t="str">
        <f ca="1">IFERROR(__xludf.DUMMYFUNCTION("""COMPUTED_VALUE"""),"Al Ramth 17")</f>
        <v>Al Ramth 17</v>
      </c>
      <c r="C3624" s="2" t="str">
        <f ca="1">IFERROR(__xludf.DUMMYFUNCTION("""COMPUTED_VALUE"""),"Building")</f>
        <v>Building</v>
      </c>
      <c r="D3624" s="2" t="str">
        <f ca="1">IFERROR(__xludf.DUMMYFUNCTION("""COMPUTED_VALUE"""),"Dubai&gt;Remraam&gt;Al Ramth&gt;Al Ramth 17")</f>
        <v>Dubai&gt;Remraam&gt;Al Ramth&gt;Al Ramth 17</v>
      </c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</row>
    <row r="3625" spans="1:26" ht="16.5" x14ac:dyDescent="0.35">
      <c r="A3625" s="2" t="str">
        <f ca="1">IFERROR(__xludf.DUMMYFUNCTION("""COMPUTED_VALUE"""),"Dubai")</f>
        <v>Dubai</v>
      </c>
      <c r="B3625" s="2" t="str">
        <f ca="1">IFERROR(__xludf.DUMMYFUNCTION("""COMPUTED_VALUE"""),"Al Thamam 08")</f>
        <v>Al Thamam 08</v>
      </c>
      <c r="C3625" s="2" t="str">
        <f ca="1">IFERROR(__xludf.DUMMYFUNCTION("""COMPUTED_VALUE"""),"Building")</f>
        <v>Building</v>
      </c>
      <c r="D3625" s="2" t="str">
        <f ca="1">IFERROR(__xludf.DUMMYFUNCTION("""COMPUTED_VALUE"""),"Dubai&gt;Remraam&gt;Al Thamam&gt;Al Thamam 08")</f>
        <v>Dubai&gt;Remraam&gt;Al Thamam&gt;Al Thamam 08</v>
      </c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</row>
    <row r="3626" spans="1:26" ht="16.5" x14ac:dyDescent="0.35">
      <c r="A3626" s="2" t="str">
        <f ca="1">IFERROR(__xludf.DUMMYFUNCTION("""COMPUTED_VALUE"""),"Dubai")</f>
        <v>Dubai</v>
      </c>
      <c r="B3626" s="2" t="str">
        <f ca="1">IFERROR(__xludf.DUMMYFUNCTION("""COMPUTED_VALUE"""),"Marriott Residences JVC")</f>
        <v>Marriott Residences JVC</v>
      </c>
      <c r="C3626" s="2" t="str">
        <f ca="1">IFERROR(__xludf.DUMMYFUNCTION("""COMPUTED_VALUE"""),"Building")</f>
        <v>Building</v>
      </c>
      <c r="D3626" s="2" t="str">
        <f ca="1">IFERROR(__xludf.DUMMYFUNCTION("""COMPUTED_VALUE"""),"Dubai&gt;Jumeirah Village Circle (JVC)&gt;JVC District 17&gt;Marriott Residences JVC")</f>
        <v>Dubai&gt;Jumeirah Village Circle (JVC)&gt;JVC District 17&gt;Marriott Residences JVC</v>
      </c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</row>
    <row r="3627" spans="1:26" ht="16.5" x14ac:dyDescent="0.35">
      <c r="A3627" s="2" t="str">
        <f ca="1">IFERROR(__xludf.DUMMYFUNCTION("""COMPUTED_VALUE"""),"Dubai")</f>
        <v>Dubai</v>
      </c>
      <c r="B3627" s="2" t="str">
        <f ca="1">IFERROR(__xludf.DUMMYFUNCTION("""COMPUTED_VALUE"""),"Binghatti Gems")</f>
        <v>Binghatti Gems</v>
      </c>
      <c r="C3627" s="2" t="str">
        <f ca="1">IFERROR(__xludf.DUMMYFUNCTION("""COMPUTED_VALUE"""),"Building")</f>
        <v>Building</v>
      </c>
      <c r="D3627" s="2" t="str">
        <f ca="1">IFERROR(__xludf.DUMMYFUNCTION("""COMPUTED_VALUE"""),"Dubai&gt;Jumeirah Village Circle (JVC)&gt;JVC District 12&gt;Binghatti Gems")</f>
        <v>Dubai&gt;Jumeirah Village Circle (JVC)&gt;JVC District 12&gt;Binghatti Gems</v>
      </c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</row>
    <row r="3628" spans="1:26" ht="16.5" x14ac:dyDescent="0.35">
      <c r="A3628" s="2" t="str">
        <f ca="1">IFERROR(__xludf.DUMMYFUNCTION("""COMPUTED_VALUE"""),"Dubai")</f>
        <v>Dubai</v>
      </c>
      <c r="B3628" s="2" t="str">
        <f ca="1">IFERROR(__xludf.DUMMYFUNCTION("""COMPUTED_VALUE"""),"Binghatti Luna")</f>
        <v>Binghatti Luna</v>
      </c>
      <c r="C3628" s="2" t="str">
        <f ca="1">IFERROR(__xludf.DUMMYFUNCTION("""COMPUTED_VALUE"""),"Building")</f>
        <v>Building</v>
      </c>
      <c r="D3628" s="2" t="str">
        <f ca="1">IFERROR(__xludf.DUMMYFUNCTION("""COMPUTED_VALUE"""),"Dubai&gt;Jumeirah Village Circle (JVC)&gt;JVC District 12&gt;Binghatti Luna")</f>
        <v>Dubai&gt;Jumeirah Village Circle (JVC)&gt;JVC District 12&gt;Binghatti Luna</v>
      </c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</row>
    <row r="3629" spans="1:26" ht="16.5" x14ac:dyDescent="0.35">
      <c r="A3629" s="2" t="str">
        <f ca="1">IFERROR(__xludf.DUMMYFUNCTION("""COMPUTED_VALUE"""),"Dubai")</f>
        <v>Dubai</v>
      </c>
      <c r="B3629" s="2" t="str">
        <f ca="1">IFERROR(__xludf.DUMMYFUNCTION("""COMPUTED_VALUE"""),"Lucky Oasis Residence")</f>
        <v>Lucky Oasis Residence</v>
      </c>
      <c r="C3629" s="2" t="str">
        <f ca="1">IFERROR(__xludf.DUMMYFUNCTION("""COMPUTED_VALUE"""),"Building")</f>
        <v>Building</v>
      </c>
      <c r="D3629" s="2" t="str">
        <f ca="1">IFERROR(__xludf.DUMMYFUNCTION("""COMPUTED_VALUE"""),"Dubai&gt;Jumeirah Village Circle (JVC)&gt;JVC District 12&gt;Lucky Oasis Residence")</f>
        <v>Dubai&gt;Jumeirah Village Circle (JVC)&gt;JVC District 12&gt;Lucky Oasis Residence</v>
      </c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</row>
    <row r="3630" spans="1:26" ht="16.5" x14ac:dyDescent="0.35">
      <c r="A3630" s="2" t="str">
        <f ca="1">IFERROR(__xludf.DUMMYFUNCTION("""COMPUTED_VALUE"""),"Dubai")</f>
        <v>Dubai</v>
      </c>
      <c r="B3630" s="2" t="str">
        <f ca="1">IFERROR(__xludf.DUMMYFUNCTION("""COMPUTED_VALUE"""),"Plaza Residences Block D")</f>
        <v>Plaza Residences Block D</v>
      </c>
      <c r="C3630" s="2" t="str">
        <f ca="1">IFERROR(__xludf.DUMMYFUNCTION("""COMPUTED_VALUE"""),"Building")</f>
        <v>Building</v>
      </c>
      <c r="D3630" s="2" t="str">
        <f ca="1">IFERROR(__xludf.DUMMYFUNCTION("""COMPUTED_VALUE"""),"Dubai&gt;Jumeirah Village Circle (JVC)&gt;JVC District 13&gt;Plaza Residences&gt;Plaza Residences Block D")</f>
        <v>Dubai&gt;Jumeirah Village Circle (JVC)&gt;JVC District 13&gt;Plaza Residences&gt;Plaza Residences Block D</v>
      </c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</row>
    <row r="3631" spans="1:26" ht="16.5" x14ac:dyDescent="0.35">
      <c r="A3631" s="2" t="str">
        <f ca="1">IFERROR(__xludf.DUMMYFUNCTION("""COMPUTED_VALUE"""),"Dubai")</f>
        <v>Dubai</v>
      </c>
      <c r="B3631" s="2" t="str">
        <f ca="1">IFERROR(__xludf.DUMMYFUNCTION("""COMPUTED_VALUE"""),"Beverly Residence")</f>
        <v>Beverly Residence</v>
      </c>
      <c r="C3631" s="2" t="str">
        <f ca="1">IFERROR(__xludf.DUMMYFUNCTION("""COMPUTED_VALUE"""),"Building")</f>
        <v>Building</v>
      </c>
      <c r="D3631" s="2" t="str">
        <f ca="1">IFERROR(__xludf.DUMMYFUNCTION("""COMPUTED_VALUE"""),"Dubai&gt;Jumeirah Village Circle (JVC)&gt;JVC District 13&gt;Beverly Residence")</f>
        <v>Dubai&gt;Jumeirah Village Circle (JVC)&gt;JVC District 13&gt;Beverly Residence</v>
      </c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</row>
    <row r="3632" spans="1:26" ht="16.5" x14ac:dyDescent="0.35">
      <c r="A3632" s="2" t="str">
        <f ca="1">IFERROR(__xludf.DUMMYFUNCTION("""COMPUTED_VALUE"""),"Dubai")</f>
        <v>Dubai</v>
      </c>
      <c r="B3632" s="2" t="str">
        <f ca="1">IFERROR(__xludf.DUMMYFUNCTION("""COMPUTED_VALUE"""),"Tetris Tower")</f>
        <v>Tetris Tower</v>
      </c>
      <c r="C3632" s="2" t="str">
        <f ca="1">IFERROR(__xludf.DUMMYFUNCTION("""COMPUTED_VALUE"""),"Building")</f>
        <v>Building</v>
      </c>
      <c r="D3632" s="2" t="str">
        <f ca="1">IFERROR(__xludf.DUMMYFUNCTION("""COMPUTED_VALUE"""),"Dubai&gt;Jumeirah Village Circle (JVC)&gt;JVC District 13&gt;Tetris Tower")</f>
        <v>Dubai&gt;Jumeirah Village Circle (JVC)&gt;JVC District 13&gt;Tetris Tower</v>
      </c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</row>
    <row r="3633" spans="1:26" ht="16.5" x14ac:dyDescent="0.35">
      <c r="A3633" s="2" t="str">
        <f ca="1">IFERROR(__xludf.DUMMYFUNCTION("""COMPUTED_VALUE"""),"Dubai")</f>
        <v>Dubai</v>
      </c>
      <c r="B3633" s="2" t="str">
        <f ca="1">IFERROR(__xludf.DUMMYFUNCTION("""COMPUTED_VALUE"""),"The Residence VI")</f>
        <v>The Residence VI</v>
      </c>
      <c r="C3633" s="2" t="str">
        <f ca="1">IFERROR(__xludf.DUMMYFUNCTION("""COMPUTED_VALUE"""),"Building")</f>
        <v>Building</v>
      </c>
      <c r="D3633" s="2" t="str">
        <f ca="1">IFERROR(__xludf.DUMMYFUNCTION("""COMPUTED_VALUE"""),"Dubai&gt;Jumeirah Village Circle (JVC)&gt;JVC District 18&gt;The Residence VI")</f>
        <v>Dubai&gt;Jumeirah Village Circle (JVC)&gt;JVC District 18&gt;The Residence VI</v>
      </c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</row>
    <row r="3634" spans="1:26" ht="16.5" x14ac:dyDescent="0.35">
      <c r="A3634" s="2" t="str">
        <f ca="1">IFERROR(__xludf.DUMMYFUNCTION("""COMPUTED_VALUE"""),"Dubai")</f>
        <v>Dubai</v>
      </c>
      <c r="B3634" s="2" t="str">
        <f ca="1">IFERROR(__xludf.DUMMYFUNCTION("""COMPUTED_VALUE"""),"Saleh Bin Lahej JVC Block A")</f>
        <v>Saleh Bin Lahej JVC Block A</v>
      </c>
      <c r="C3634" s="2" t="str">
        <f ca="1">IFERROR(__xludf.DUMMYFUNCTION("""COMPUTED_VALUE"""),"Building")</f>
        <v>Building</v>
      </c>
      <c r="D3634" s="2" t="str">
        <f ca="1">IFERROR(__xludf.DUMMYFUNCTION("""COMPUTED_VALUE"""),"Dubai&gt;Jumeirah Village Circle (JVC)&gt;JVC District 10&gt;Saleh Bin Lahej JVC&gt;Saleh Bin Lahej JVC Block A")</f>
        <v>Dubai&gt;Jumeirah Village Circle (JVC)&gt;JVC District 10&gt;Saleh Bin Lahej JVC&gt;Saleh Bin Lahej JVC Block A</v>
      </c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</row>
    <row r="3635" spans="1:26" ht="16.5" x14ac:dyDescent="0.35">
      <c r="A3635" s="2" t="str">
        <f ca="1">IFERROR(__xludf.DUMMYFUNCTION("""COMPUTED_VALUE"""),"Dubai")</f>
        <v>Dubai</v>
      </c>
      <c r="B3635" s="2" t="str">
        <f ca="1">IFERROR(__xludf.DUMMYFUNCTION("""COMPUTED_VALUE"""),"Hanover Square")</f>
        <v>Hanover Square</v>
      </c>
      <c r="C3635" s="2" t="str">
        <f ca="1">IFERROR(__xludf.DUMMYFUNCTION("""COMPUTED_VALUE"""),"Building")</f>
        <v>Building</v>
      </c>
      <c r="D3635" s="2" t="str">
        <f ca="1">IFERROR(__xludf.DUMMYFUNCTION("""COMPUTED_VALUE"""),"Dubai&gt;Jumeirah Village Circle (JVC)&gt;JVC District 10&gt;Hanover Square")</f>
        <v>Dubai&gt;Jumeirah Village Circle (JVC)&gt;JVC District 10&gt;Hanover Square</v>
      </c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</row>
    <row r="3636" spans="1:26" ht="16.5" x14ac:dyDescent="0.35">
      <c r="A3636" s="2" t="str">
        <f ca="1">IFERROR(__xludf.DUMMYFUNCTION("""COMPUTED_VALUE"""),"Dubai")</f>
        <v>Dubai</v>
      </c>
      <c r="B3636" s="2" t="str">
        <f ca="1">IFERROR(__xludf.DUMMYFUNCTION("""COMPUTED_VALUE"""),"10 Oxford")</f>
        <v>10 Oxford</v>
      </c>
      <c r="C3636" s="2" t="str">
        <f ca="1">IFERROR(__xludf.DUMMYFUNCTION("""COMPUTED_VALUE"""),"Building")</f>
        <v>Building</v>
      </c>
      <c r="D3636" s="2" t="str">
        <f ca="1">IFERROR(__xludf.DUMMYFUNCTION("""COMPUTED_VALUE"""),"Dubai&gt;Jumeirah Village Circle (JVC)&gt;JVC District 10&gt;10 Oxford")</f>
        <v>Dubai&gt;Jumeirah Village Circle (JVC)&gt;JVC District 10&gt;10 Oxford</v>
      </c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</row>
    <row r="3637" spans="1:26" ht="16.5" x14ac:dyDescent="0.35">
      <c r="A3637" s="2" t="str">
        <f ca="1">IFERROR(__xludf.DUMMYFUNCTION("""COMPUTED_VALUE"""),"Dubai")</f>
        <v>Dubai</v>
      </c>
      <c r="B3637" s="2" t="str">
        <f ca="1">IFERROR(__xludf.DUMMYFUNCTION("""COMPUTED_VALUE"""),"Taraf 3 Residence")</f>
        <v>Taraf 3 Residence</v>
      </c>
      <c r="C3637" s="2" t="str">
        <f ca="1">IFERROR(__xludf.DUMMYFUNCTION("""COMPUTED_VALUE"""),"Building")</f>
        <v>Building</v>
      </c>
      <c r="D3637" s="2" t="str">
        <f ca="1">IFERROR(__xludf.DUMMYFUNCTION("""COMPUTED_VALUE"""),"Dubai&gt;Jumeirah Village Circle (JVC)&gt;JVC District 10&gt;Taraf 3 Residence")</f>
        <v>Dubai&gt;Jumeirah Village Circle (JVC)&gt;JVC District 10&gt;Taraf 3 Residence</v>
      </c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</row>
    <row r="3638" spans="1:26" ht="16.5" x14ac:dyDescent="0.35">
      <c r="A3638" s="2" t="str">
        <f ca="1">IFERROR(__xludf.DUMMYFUNCTION("""COMPUTED_VALUE"""),"Dubai")</f>
        <v>Dubai</v>
      </c>
      <c r="B3638" s="2" t="str">
        <f ca="1">IFERROR(__xludf.DUMMYFUNCTION("""COMPUTED_VALUE"""),"Villa Myra")</f>
        <v>Villa Myra</v>
      </c>
      <c r="C3638" s="2" t="str">
        <f ca="1">IFERROR(__xludf.DUMMYFUNCTION("""COMPUTED_VALUE"""),"Building")</f>
        <v>Building</v>
      </c>
      <c r="D3638" s="2" t="str">
        <f ca="1">IFERROR(__xludf.DUMMYFUNCTION("""COMPUTED_VALUE"""),"Dubai&gt;Jumeirah Village Circle (JVC)&gt;JVC District 15&gt;Villa Myra")</f>
        <v>Dubai&gt;Jumeirah Village Circle (JVC)&gt;JVC District 15&gt;Villa Myra</v>
      </c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</row>
    <row r="3639" spans="1:26" ht="16.5" x14ac:dyDescent="0.35">
      <c r="A3639" s="2" t="str">
        <f ca="1">IFERROR(__xludf.DUMMYFUNCTION("""COMPUTED_VALUE"""),"Dubai")</f>
        <v>Dubai</v>
      </c>
      <c r="B3639" s="2" t="str">
        <f ca="1">IFERROR(__xludf.DUMMYFUNCTION("""COMPUTED_VALUE"""),"Chaimaa Premiere")</f>
        <v>Chaimaa Premiere</v>
      </c>
      <c r="C3639" s="2" t="str">
        <f ca="1">IFERROR(__xludf.DUMMYFUNCTION("""COMPUTED_VALUE"""),"Building")</f>
        <v>Building</v>
      </c>
      <c r="D3639" s="2" t="str">
        <f ca="1">IFERROR(__xludf.DUMMYFUNCTION("""COMPUTED_VALUE"""),"Dubai&gt;Jumeirah Village Circle (JVC)&gt;JVC District 15&gt;Chaimaa Premiere")</f>
        <v>Dubai&gt;Jumeirah Village Circle (JVC)&gt;JVC District 15&gt;Chaimaa Premiere</v>
      </c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</row>
    <row r="3640" spans="1:26" ht="16.5" x14ac:dyDescent="0.35">
      <c r="A3640" s="2" t="str">
        <f ca="1">IFERROR(__xludf.DUMMYFUNCTION("""COMPUTED_VALUE"""),"Dubai")</f>
        <v>Dubai</v>
      </c>
      <c r="B3640" s="2" t="str">
        <f ca="1">IFERROR(__xludf.DUMMYFUNCTION("""COMPUTED_VALUE"""),"The Autograph S Series")</f>
        <v>The Autograph S Series</v>
      </c>
      <c r="C3640" s="2" t="str">
        <f ca="1">IFERROR(__xludf.DUMMYFUNCTION("""COMPUTED_VALUE"""),"Building")</f>
        <v>Building</v>
      </c>
      <c r="D3640" s="2" t="str">
        <f ca="1">IFERROR(__xludf.DUMMYFUNCTION("""COMPUTED_VALUE"""),"Dubai&gt;Jumeirah Village Circle (JVC)&gt;JVC District 15&gt;The Autograph S Series")</f>
        <v>Dubai&gt;Jumeirah Village Circle (JVC)&gt;JVC District 15&gt;The Autograph S Series</v>
      </c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</row>
    <row r="3641" spans="1:26" ht="16.5" x14ac:dyDescent="0.35">
      <c r="A3641" s="2" t="str">
        <f ca="1">IFERROR(__xludf.DUMMYFUNCTION("""COMPUTED_VALUE"""),"Dubai")</f>
        <v>Dubai</v>
      </c>
      <c r="B3641" s="2" t="str">
        <f ca="1">IFERROR(__xludf.DUMMYFUNCTION("""COMPUTED_VALUE"""),"Crystal Residence")</f>
        <v>Crystal Residence</v>
      </c>
      <c r="C3641" s="2" t="str">
        <f ca="1">IFERROR(__xludf.DUMMYFUNCTION("""COMPUTED_VALUE"""),"Building")</f>
        <v>Building</v>
      </c>
      <c r="D3641" s="2" t="str">
        <f ca="1">IFERROR(__xludf.DUMMYFUNCTION("""COMPUTED_VALUE"""),"Dubai&gt;Jumeirah Village Circle (JVC)&gt;JVC District 11&gt;Crystal Residence")</f>
        <v>Dubai&gt;Jumeirah Village Circle (JVC)&gt;JVC District 11&gt;Crystal Residence</v>
      </c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</row>
    <row r="3642" spans="1:26" ht="16.5" x14ac:dyDescent="0.35">
      <c r="A3642" s="2" t="str">
        <f ca="1">IFERROR(__xludf.DUMMYFUNCTION("""COMPUTED_VALUE"""),"Dubai")</f>
        <v>Dubai</v>
      </c>
      <c r="B3642" s="2" t="str">
        <f ca="1">IFERROR(__xludf.DUMMYFUNCTION("""COMPUTED_VALUE"""),"RMT Residence")</f>
        <v>RMT Residence</v>
      </c>
      <c r="C3642" s="2" t="str">
        <f ca="1">IFERROR(__xludf.DUMMYFUNCTION("""COMPUTED_VALUE"""),"Building")</f>
        <v>Building</v>
      </c>
      <c r="D3642" s="2" t="str">
        <f ca="1">IFERROR(__xludf.DUMMYFUNCTION("""COMPUTED_VALUE"""),"Dubai&gt;Jumeirah Village Circle (JVC)&gt;JVC District 11&gt;RMT Residence")</f>
        <v>Dubai&gt;Jumeirah Village Circle (JVC)&gt;JVC District 11&gt;RMT Residence</v>
      </c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</row>
    <row r="3643" spans="1:26" ht="16.5" x14ac:dyDescent="0.35">
      <c r="A3643" s="2" t="str">
        <f ca="1">IFERROR(__xludf.DUMMYFUNCTION("""COMPUTED_VALUE"""),"Dubai")</f>
        <v>Dubai</v>
      </c>
      <c r="B3643" s="2" t="str">
        <f ca="1">IFERROR(__xludf.DUMMYFUNCTION("""COMPUTED_VALUE"""),"Diamond Views 3 Villas A")</f>
        <v>Diamond Views 3 Villas A</v>
      </c>
      <c r="C3643" s="2" t="str">
        <f ca="1">IFERROR(__xludf.DUMMYFUNCTION("""COMPUTED_VALUE"""),"Neighbourhood")</f>
        <v>Neighbourhood</v>
      </c>
      <c r="D3643" s="2" t="str">
        <f ca="1">IFERROR(__xludf.DUMMYFUNCTION("""COMPUTED_VALUE"""),"Dubai&gt;Jumeirah Village Circle (JVC)&gt;JVC District 11&gt;Diamond Views 3 Villas A")</f>
        <v>Dubai&gt;Jumeirah Village Circle (JVC)&gt;JVC District 11&gt;Diamond Views 3 Villas A</v>
      </c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</row>
    <row r="3644" spans="1:26" ht="16.5" x14ac:dyDescent="0.35">
      <c r="A3644" s="2" t="str">
        <f ca="1">IFERROR(__xludf.DUMMYFUNCTION("""COMPUTED_VALUE"""),"Dubai")</f>
        <v>Dubai</v>
      </c>
      <c r="B3644" s="2" t="str">
        <f ca="1">IFERROR(__xludf.DUMMYFUNCTION("""COMPUTED_VALUE"""),"Maple 1")</f>
        <v>Maple 1</v>
      </c>
      <c r="C3644" s="2" t="str">
        <f ca="1">IFERROR(__xludf.DUMMYFUNCTION("""COMPUTED_VALUE"""),"Building")</f>
        <v>Building</v>
      </c>
      <c r="D3644" s="2" t="str">
        <f ca="1">IFERROR(__xludf.DUMMYFUNCTION("""COMPUTED_VALUE"""),"Dubai&gt;Jumeirah Village Circle (JVC)&gt;JVC District 14&gt;Emirates Gardens 2&gt;Maple 1")</f>
        <v>Dubai&gt;Jumeirah Village Circle (JVC)&gt;JVC District 14&gt;Emirates Gardens 2&gt;Maple 1</v>
      </c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</row>
    <row r="3645" spans="1:26" ht="16.5" x14ac:dyDescent="0.35">
      <c r="A3645" s="2" t="str">
        <f ca="1">IFERROR(__xludf.DUMMYFUNCTION("""COMPUTED_VALUE"""),"Dubai")</f>
        <v>Dubai</v>
      </c>
      <c r="B3645" s="2" t="str">
        <f ca="1">IFERROR(__xludf.DUMMYFUNCTION("""COMPUTED_VALUE"""),"Divine Homes")</f>
        <v>Divine Homes</v>
      </c>
      <c r="C3645" s="2" t="str">
        <f ca="1">IFERROR(__xludf.DUMMYFUNCTION("""COMPUTED_VALUE"""),"Neighbourhood")</f>
        <v>Neighbourhood</v>
      </c>
      <c r="D3645" s="2" t="str">
        <f ca="1">IFERROR(__xludf.DUMMYFUNCTION("""COMPUTED_VALUE"""),"Dubai&gt;Jumeirah Village Circle (JVC)&gt;JVC District 14&gt;Divine Homes")</f>
        <v>Dubai&gt;Jumeirah Village Circle (JVC)&gt;JVC District 14&gt;Divine Homes</v>
      </c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</row>
    <row r="3646" spans="1:26" ht="16.5" x14ac:dyDescent="0.35">
      <c r="A3646" s="2" t="str">
        <f ca="1">IFERROR(__xludf.DUMMYFUNCTION("""COMPUTED_VALUE"""),"Dubai")</f>
        <v>Dubai</v>
      </c>
      <c r="B3646" s="2" t="str">
        <f ca="1">IFERROR(__xludf.DUMMYFUNCTION("""COMPUTED_VALUE"""),"Park Villas 6")</f>
        <v>Park Villas 6</v>
      </c>
      <c r="C3646" s="2" t="str">
        <f ca="1">IFERROR(__xludf.DUMMYFUNCTION("""COMPUTED_VALUE"""),"Neighbourhood")</f>
        <v>Neighbourhood</v>
      </c>
      <c r="D3646" s="2" t="str">
        <f ca="1">IFERROR(__xludf.DUMMYFUNCTION("""COMPUTED_VALUE"""),"Dubai&gt;Jumeirah Village Circle (JVC)&gt;JVC District 14&gt;Park Villas 6")</f>
        <v>Dubai&gt;Jumeirah Village Circle (JVC)&gt;JVC District 14&gt;Park Villas 6</v>
      </c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</row>
    <row r="3647" spans="1:26" ht="16.5" x14ac:dyDescent="0.35">
      <c r="A3647" s="2" t="str">
        <f ca="1">IFERROR(__xludf.DUMMYFUNCTION("""COMPUTED_VALUE"""),"Dubai")</f>
        <v>Dubai</v>
      </c>
      <c r="B3647" s="2" t="str">
        <f ca="1">IFERROR(__xludf.DUMMYFUNCTION("""COMPUTED_VALUE"""),"Sondos Lilac")</f>
        <v>Sondos Lilac</v>
      </c>
      <c r="C3647" s="2" t="str">
        <f ca="1">IFERROR(__xludf.DUMMYFUNCTION("""COMPUTED_VALUE"""),"Building")</f>
        <v>Building</v>
      </c>
      <c r="D3647" s="2" t="str">
        <f ca="1">IFERROR(__xludf.DUMMYFUNCTION("""COMPUTED_VALUE"""),"Dubai&gt;Dubai Land Residence Complex&gt;Sondos Lilac")</f>
        <v>Dubai&gt;Dubai Land Residence Complex&gt;Sondos Lilac</v>
      </c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</row>
    <row r="3648" spans="1:26" ht="16.5" x14ac:dyDescent="0.35">
      <c r="A3648" s="2" t="str">
        <f ca="1">IFERROR(__xludf.DUMMYFUNCTION("""COMPUTED_VALUE"""),"Dubai")</f>
        <v>Dubai</v>
      </c>
      <c r="B3648" s="2" t="str">
        <f ca="1">IFERROR(__xludf.DUMMYFUNCTION("""COMPUTED_VALUE"""),"Tulip Oasis 7")</f>
        <v>Tulip Oasis 7</v>
      </c>
      <c r="C3648" s="2" t="str">
        <f ca="1">IFERROR(__xludf.DUMMYFUNCTION("""COMPUTED_VALUE"""),"Building")</f>
        <v>Building</v>
      </c>
      <c r="D3648" s="2" t="str">
        <f ca="1">IFERROR(__xludf.DUMMYFUNCTION("""COMPUTED_VALUE"""),"Dubai&gt;Dubai Land Residence Complex&gt;Tulip Oasis 7")</f>
        <v>Dubai&gt;Dubai Land Residence Complex&gt;Tulip Oasis 7</v>
      </c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</row>
    <row r="3649" spans="1:26" ht="16.5" x14ac:dyDescent="0.35">
      <c r="A3649" s="2" t="str">
        <f ca="1">IFERROR(__xludf.DUMMYFUNCTION("""COMPUTED_VALUE"""),"Dubai")</f>
        <v>Dubai</v>
      </c>
      <c r="B3649" s="2" t="str">
        <f ca="1">IFERROR(__xludf.DUMMYFUNCTION("""COMPUTED_VALUE"""),"Samana Ivy Gardens 2")</f>
        <v>Samana Ivy Gardens 2</v>
      </c>
      <c r="C3649" s="2" t="str">
        <f ca="1">IFERROR(__xludf.DUMMYFUNCTION("""COMPUTED_VALUE"""),"Building")</f>
        <v>Building</v>
      </c>
      <c r="D3649" s="2" t="str">
        <f ca="1">IFERROR(__xludf.DUMMYFUNCTION("""COMPUTED_VALUE"""),"Dubai&gt;Dubai Land Residence Complex&gt;Samana Ivy Gardens 2")</f>
        <v>Dubai&gt;Dubai Land Residence Complex&gt;Samana Ivy Gardens 2</v>
      </c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</row>
    <row r="3650" spans="1:26" ht="16.5" x14ac:dyDescent="0.35">
      <c r="A3650" s="2" t="str">
        <f ca="1">IFERROR(__xludf.DUMMYFUNCTION("""COMPUTED_VALUE"""),"Dubai")</f>
        <v>Dubai</v>
      </c>
      <c r="B3650" s="2" t="str">
        <f ca="1">IFERROR(__xludf.DUMMYFUNCTION("""COMPUTED_VALUE"""),"KAY 10 Building")</f>
        <v>KAY 10 Building</v>
      </c>
      <c r="C3650" s="2" t="str">
        <f ca="1">IFERROR(__xludf.DUMMYFUNCTION("""COMPUTED_VALUE"""),"Building")</f>
        <v>Building</v>
      </c>
      <c r="D3650" s="2" t="str">
        <f ca="1">IFERROR(__xludf.DUMMYFUNCTION("""COMPUTED_VALUE"""),"Dubai&gt;Dubai Land Residence Complex&gt;KAY 10 Building")</f>
        <v>Dubai&gt;Dubai Land Residence Complex&gt;KAY 10 Building</v>
      </c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</row>
    <row r="3651" spans="1:26" ht="16.5" x14ac:dyDescent="0.35">
      <c r="A3651" s="2" t="str">
        <f ca="1">IFERROR(__xludf.DUMMYFUNCTION("""COMPUTED_VALUE"""),"Dubai")</f>
        <v>Dubai</v>
      </c>
      <c r="B3651" s="2" t="str">
        <f ca="1">IFERROR(__xludf.DUMMYFUNCTION("""COMPUTED_VALUE"""),"Haven Views 1")</f>
        <v>Haven Views 1</v>
      </c>
      <c r="C3651" s="2" t="str">
        <f ca="1">IFERROR(__xludf.DUMMYFUNCTION("""COMPUTED_VALUE"""),"Building")</f>
        <v>Building</v>
      </c>
      <c r="D3651" s="2" t="str">
        <f ca="1">IFERROR(__xludf.DUMMYFUNCTION("""COMPUTED_VALUE"""),"Dubai&gt;Dubai Land Residence Complex&gt;Haven Views 1")</f>
        <v>Dubai&gt;Dubai Land Residence Complex&gt;Haven Views 1</v>
      </c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</row>
    <row r="3652" spans="1:26" ht="16.5" x14ac:dyDescent="0.35">
      <c r="A3652" s="2" t="str">
        <f ca="1">IFERROR(__xludf.DUMMYFUNCTION("""COMPUTED_VALUE"""),"Dubai")</f>
        <v>Dubai</v>
      </c>
      <c r="B3652" s="2" t="str">
        <f ca="1">IFERROR(__xludf.DUMMYFUNCTION("""COMPUTED_VALUE"""),"Abaya Mall")</f>
        <v>Abaya Mall</v>
      </c>
      <c r="C3652" s="2" t="str">
        <f ca="1">IFERROR(__xludf.DUMMYFUNCTION("""COMPUTED_VALUE"""),"Building")</f>
        <v>Building</v>
      </c>
      <c r="D3652" s="2" t="str">
        <f ca="1">IFERROR(__xludf.DUMMYFUNCTION("""COMPUTED_VALUE"""),"Dubai&gt;Mirdif&gt;Abaya Mall")</f>
        <v>Dubai&gt;Mirdif&gt;Abaya Mall</v>
      </c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</row>
    <row r="3653" spans="1:26" ht="16.5" x14ac:dyDescent="0.35">
      <c r="A3653" s="2" t="str">
        <f ca="1">IFERROR(__xludf.DUMMYFUNCTION("""COMPUTED_VALUE"""),"Dubai")</f>
        <v>Dubai</v>
      </c>
      <c r="B3653" s="2" t="str">
        <f ca="1">IFERROR(__xludf.DUMMYFUNCTION("""COMPUTED_VALUE"""),"Mirdif 35")</f>
        <v>Mirdif 35</v>
      </c>
      <c r="C3653" s="2" t="str">
        <f ca="1">IFERROR(__xludf.DUMMYFUNCTION("""COMPUTED_VALUE"""),"Building")</f>
        <v>Building</v>
      </c>
      <c r="D3653" s="2" t="str">
        <f ca="1">IFERROR(__xludf.DUMMYFUNCTION("""COMPUTED_VALUE"""),"Dubai&gt;Mirdif&gt;Mirdif 35")</f>
        <v>Dubai&gt;Mirdif&gt;Mirdif 35</v>
      </c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</row>
    <row r="3654" spans="1:26" ht="16.5" x14ac:dyDescent="0.35">
      <c r="A3654" s="2" t="str">
        <f ca="1">IFERROR(__xludf.DUMMYFUNCTION("""COMPUTED_VALUE"""),"Dubai")</f>
        <v>Dubai</v>
      </c>
      <c r="B3654" s="2" t="str">
        <f ca="1">IFERROR(__xludf.DUMMYFUNCTION("""COMPUTED_VALUE"""),"Forat")</f>
        <v>Forat</v>
      </c>
      <c r="C3654" s="2" t="str">
        <f ca="1">IFERROR(__xludf.DUMMYFUNCTION("""COMPUTED_VALUE"""),"Neighbourhood")</f>
        <v>Neighbourhood</v>
      </c>
      <c r="D3654" s="2" t="str">
        <f ca="1">IFERROR(__xludf.DUMMYFUNCTION("""COMPUTED_VALUE"""),"Dubai&gt;The Lakes&gt;Forat")</f>
        <v>Dubai&gt;The Lakes&gt;Forat</v>
      </c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</row>
    <row r="3655" spans="1:26" ht="16.5" x14ac:dyDescent="0.35">
      <c r="A3655" s="2" t="str">
        <f ca="1">IFERROR(__xludf.DUMMYFUNCTION("""COMPUTED_VALUE"""),"Dubai")</f>
        <v>Dubai</v>
      </c>
      <c r="B3655" s="2" t="str">
        <f ca="1">IFERROR(__xludf.DUMMYFUNCTION("""COMPUTED_VALUE"""),"Manazel Garhoud")</f>
        <v>Manazel Garhoud</v>
      </c>
      <c r="C3655" s="2" t="str">
        <f ca="1">IFERROR(__xludf.DUMMYFUNCTION("""COMPUTED_VALUE"""),"Building")</f>
        <v>Building</v>
      </c>
      <c r="D3655" s="2" t="str">
        <f ca="1">IFERROR(__xludf.DUMMYFUNCTION("""COMPUTED_VALUE"""),"Dubai&gt;Al Garhoud&gt;Manazel Garhoud")</f>
        <v>Dubai&gt;Al Garhoud&gt;Manazel Garhoud</v>
      </c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</row>
    <row r="3656" spans="1:26" ht="16.5" x14ac:dyDescent="0.35">
      <c r="A3656" s="2" t="str">
        <f ca="1">IFERROR(__xludf.DUMMYFUNCTION("""COMPUTED_VALUE"""),"Dubai")</f>
        <v>Dubai</v>
      </c>
      <c r="B3656" s="2" t="str">
        <f ca="1">IFERROR(__xludf.DUMMYFUNCTION("""COMPUTED_VALUE"""),"Aero 1 Residence")</f>
        <v>Aero 1 Residence</v>
      </c>
      <c r="C3656" s="2" t="str">
        <f ca="1">IFERROR(__xludf.DUMMYFUNCTION("""COMPUTED_VALUE"""),"Building")</f>
        <v>Building</v>
      </c>
      <c r="D3656" s="2" t="str">
        <f ca="1">IFERROR(__xludf.DUMMYFUNCTION("""COMPUTED_VALUE"""),"Dubai&gt;Dubai South&gt;Residential District&gt;Aero 1 Residence")</f>
        <v>Dubai&gt;Dubai South&gt;Residential District&gt;Aero 1 Residence</v>
      </c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</row>
    <row r="3657" spans="1:26" ht="16.5" x14ac:dyDescent="0.35">
      <c r="A3657" s="2" t="str">
        <f ca="1">IFERROR(__xludf.DUMMYFUNCTION("""COMPUTED_VALUE"""),"Dubai")</f>
        <v>Dubai</v>
      </c>
      <c r="B3657" s="2" t="str">
        <f ca="1">IFERROR(__xludf.DUMMYFUNCTION("""COMPUTED_VALUE"""),"Golf Views Block A")</f>
        <v>Golf Views Block A</v>
      </c>
      <c r="C3657" s="2" t="str">
        <f ca="1">IFERROR(__xludf.DUMMYFUNCTION("""COMPUTED_VALUE"""),"Building")</f>
        <v>Building</v>
      </c>
      <c r="D3657" s="2" t="str">
        <f ca="1">IFERROR(__xludf.DUMMYFUNCTION("""COMPUTED_VALUE"""),"Dubai&gt;Dubai South&gt;Emaar South&gt;Golf Views&gt;Golf Views Block A")</f>
        <v>Dubai&gt;Dubai South&gt;Emaar South&gt;Golf Views&gt;Golf Views Block A</v>
      </c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</row>
    <row r="3658" spans="1:26" ht="16.5" x14ac:dyDescent="0.35">
      <c r="A3658" s="2" t="str">
        <f ca="1">IFERROR(__xludf.DUMMYFUNCTION("""COMPUTED_VALUE"""),"Dubai")</f>
        <v>Dubai</v>
      </c>
      <c r="B3658" s="2" t="str">
        <f ca="1">IFERROR(__xludf.DUMMYFUNCTION("""COMPUTED_VALUE"""),"Commercial District")</f>
        <v>Commercial District</v>
      </c>
      <c r="C3658" s="2" t="str">
        <f ca="1">IFERROR(__xludf.DUMMYFUNCTION("""COMPUTED_VALUE"""),"Neighbourhood")</f>
        <v>Neighbourhood</v>
      </c>
      <c r="D3658" s="2" t="str">
        <f ca="1">IFERROR(__xludf.DUMMYFUNCTION("""COMPUTED_VALUE"""),"Dubai&gt;Dubai South&gt;Commercial District")</f>
        <v>Dubai&gt;Dubai South&gt;Commercial District</v>
      </c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</row>
    <row r="3659" spans="1:26" ht="16.5" x14ac:dyDescent="0.35">
      <c r="A3659" s="2" t="str">
        <f ca="1">IFERROR(__xludf.DUMMYFUNCTION("""COMPUTED_VALUE"""),"Dubai")</f>
        <v>Dubai</v>
      </c>
      <c r="B3659" s="2" t="str">
        <f ca="1">IFERROR(__xludf.DUMMYFUNCTION("""COMPUTED_VALUE"""),"Azizi Venice 3 Building A")</f>
        <v>Azizi Venice 3 Building A</v>
      </c>
      <c r="C3659" s="2" t="str">
        <f ca="1">IFERROR(__xludf.DUMMYFUNCTION("""COMPUTED_VALUE"""),"Building")</f>
        <v>Building</v>
      </c>
      <c r="D3659" s="2" t="str">
        <f ca="1">IFERROR(__xludf.DUMMYFUNCTION("""COMPUTED_VALUE"""),"Dubai&gt;Dubai South&gt;Azizi Venice&gt;Azizi Venice 3&gt;Azizi Venice 3 Building A")</f>
        <v>Dubai&gt;Dubai South&gt;Azizi Venice&gt;Azizi Venice 3&gt;Azizi Venice 3 Building A</v>
      </c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</row>
    <row r="3660" spans="1:26" ht="16.5" x14ac:dyDescent="0.35">
      <c r="A3660" s="2" t="str">
        <f ca="1">IFERROR(__xludf.DUMMYFUNCTION("""COMPUTED_VALUE"""),"Dubai")</f>
        <v>Dubai</v>
      </c>
      <c r="B3660" s="2" t="str">
        <f ca="1">IFERROR(__xludf.DUMMYFUNCTION("""COMPUTED_VALUE"""),"Azizi Venice 14 Building G")</f>
        <v>Azizi Venice 14 Building G</v>
      </c>
      <c r="C3660" s="2" t="str">
        <f ca="1">IFERROR(__xludf.DUMMYFUNCTION("""COMPUTED_VALUE"""),"Building")</f>
        <v>Building</v>
      </c>
      <c r="D3660" s="2" t="str">
        <f ca="1">IFERROR(__xludf.DUMMYFUNCTION("""COMPUTED_VALUE"""),"Dubai&gt;Dubai South&gt;Azizi Venice&gt;Azizi Venice 14&gt;Azizi Venice 14 Building G")</f>
        <v>Dubai&gt;Dubai South&gt;Azizi Venice&gt;Azizi Venice 14&gt;Azizi Venice 14 Building G</v>
      </c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</row>
    <row r="3661" spans="1:26" ht="16.5" x14ac:dyDescent="0.35">
      <c r="A3661" s="2" t="str">
        <f ca="1">IFERROR(__xludf.DUMMYFUNCTION("""COMPUTED_VALUE"""),"Dubai")</f>
        <v>Dubai</v>
      </c>
      <c r="B3661" s="2" t="str">
        <f ca="1">IFERROR(__xludf.DUMMYFUNCTION("""COMPUTED_VALUE"""),"The Meadows 3")</f>
        <v>The Meadows 3</v>
      </c>
      <c r="C3661" s="2" t="str">
        <f ca="1">IFERROR(__xludf.DUMMYFUNCTION("""COMPUTED_VALUE"""),"Neighbourhood")</f>
        <v>Neighbourhood</v>
      </c>
      <c r="D3661" s="2" t="str">
        <f ca="1">IFERROR(__xludf.DUMMYFUNCTION("""COMPUTED_VALUE"""),"Dubai&gt;The Meadows&gt;The Meadows 3")</f>
        <v>Dubai&gt;The Meadows&gt;The Meadows 3</v>
      </c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</row>
    <row r="3662" spans="1:26" ht="16.5" x14ac:dyDescent="0.35">
      <c r="A3662" s="2" t="str">
        <f ca="1">IFERROR(__xludf.DUMMYFUNCTION("""COMPUTED_VALUE"""),"Dubai")</f>
        <v>Dubai</v>
      </c>
      <c r="B3662" s="2" t="str">
        <f ca="1">IFERROR(__xludf.DUMMYFUNCTION("""COMPUTED_VALUE"""),"Sunrise Building")</f>
        <v>Sunrise Building</v>
      </c>
      <c r="C3662" s="2" t="str">
        <f ca="1">IFERROR(__xludf.DUMMYFUNCTION("""COMPUTED_VALUE"""),"Building")</f>
        <v>Building</v>
      </c>
      <c r="D3662" s="2" t="str">
        <f ca="1">IFERROR(__xludf.DUMMYFUNCTION("""COMPUTED_VALUE"""),"Dubai&gt;Bur Dubai&gt;Oud Metha&gt;Sunrise Building")</f>
        <v>Dubai&gt;Bur Dubai&gt;Oud Metha&gt;Sunrise Building</v>
      </c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</row>
    <row r="3663" spans="1:26" ht="16.5" x14ac:dyDescent="0.35">
      <c r="A3663" s="2" t="str">
        <f ca="1">IFERROR(__xludf.DUMMYFUNCTION("""COMPUTED_VALUE"""),"Dubai")</f>
        <v>Dubai</v>
      </c>
      <c r="B3663" s="2" t="str">
        <f ca="1">IFERROR(__xludf.DUMMYFUNCTION("""COMPUTED_VALUE"""),"Al Nasr Club Residence")</f>
        <v>Al Nasr Club Residence</v>
      </c>
      <c r="C3663" s="2" t="str">
        <f ca="1">IFERROR(__xludf.DUMMYFUNCTION("""COMPUTED_VALUE"""),"Building")</f>
        <v>Building</v>
      </c>
      <c r="D3663" s="2" t="str">
        <f ca="1">IFERROR(__xludf.DUMMYFUNCTION("""COMPUTED_VALUE"""),"Dubai&gt;Bur Dubai&gt;Oud Metha&gt;Al Nasr Club Residence")</f>
        <v>Dubai&gt;Bur Dubai&gt;Oud Metha&gt;Al Nasr Club Residence</v>
      </c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</row>
    <row r="3664" spans="1:26" ht="16.5" x14ac:dyDescent="0.35">
      <c r="A3664" s="2" t="str">
        <f ca="1">IFERROR(__xludf.DUMMYFUNCTION("""COMPUTED_VALUE"""),"Dubai")</f>
        <v>Dubai</v>
      </c>
      <c r="B3664" s="2" t="str">
        <f ca="1">IFERROR(__xludf.DUMMYFUNCTION("""COMPUTED_VALUE"""),"Manazil Al Raffa 03")</f>
        <v>Manazil Al Raffa 03</v>
      </c>
      <c r="C3664" s="2" t="str">
        <f ca="1">IFERROR(__xludf.DUMMYFUNCTION("""COMPUTED_VALUE"""),"Building")</f>
        <v>Building</v>
      </c>
      <c r="D3664" s="2" t="str">
        <f ca="1">IFERROR(__xludf.DUMMYFUNCTION("""COMPUTED_VALUE"""),"Dubai&gt;Bur Dubai&gt;Al Raffa&gt;Manazil Al Raffa 03")</f>
        <v>Dubai&gt;Bur Dubai&gt;Al Raffa&gt;Manazil Al Raffa 03</v>
      </c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</row>
    <row r="3665" spans="1:26" ht="16.5" x14ac:dyDescent="0.35">
      <c r="A3665" s="2" t="str">
        <f ca="1">IFERROR(__xludf.DUMMYFUNCTION("""COMPUTED_VALUE"""),"Dubai")</f>
        <v>Dubai</v>
      </c>
      <c r="B3665" s="2" t="str">
        <f ca="1">IFERROR(__xludf.DUMMYFUNCTION("""COMPUTED_VALUE"""),"KJN Reffa B")</f>
        <v>KJN Reffa B</v>
      </c>
      <c r="C3665" s="2" t="str">
        <f ca="1">IFERROR(__xludf.DUMMYFUNCTION("""COMPUTED_VALUE"""),"Building")</f>
        <v>Building</v>
      </c>
      <c r="D3665" s="2" t="str">
        <f ca="1">IFERROR(__xludf.DUMMYFUNCTION("""COMPUTED_VALUE"""),"Dubai&gt;Bur Dubai&gt;Al Raffa&gt;KJN Reffa B")</f>
        <v>Dubai&gt;Bur Dubai&gt;Al Raffa&gt;KJN Reffa B</v>
      </c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</row>
    <row r="3666" spans="1:26" ht="16.5" x14ac:dyDescent="0.35">
      <c r="A3666" s="2" t="str">
        <f ca="1">IFERROR(__xludf.DUMMYFUNCTION("""COMPUTED_VALUE"""),"Dubai")</f>
        <v>Dubai</v>
      </c>
      <c r="B3666" s="2" t="str">
        <f ca="1">IFERROR(__xludf.DUMMYFUNCTION("""COMPUTED_VALUE"""),"Blue Diamond Building")</f>
        <v>Blue Diamond Building</v>
      </c>
      <c r="C3666" s="2" t="str">
        <f ca="1">IFERROR(__xludf.DUMMYFUNCTION("""COMPUTED_VALUE"""),"Building")</f>
        <v>Building</v>
      </c>
      <c r="D3666" s="2" t="str">
        <f ca="1">IFERROR(__xludf.DUMMYFUNCTION("""COMPUTED_VALUE"""),"Dubai&gt;Bur Dubai&gt;Al Mankhool&gt;Blue Diamond Building")</f>
        <v>Dubai&gt;Bur Dubai&gt;Al Mankhool&gt;Blue Diamond Building</v>
      </c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</row>
    <row r="3667" spans="1:26" ht="16.5" x14ac:dyDescent="0.35">
      <c r="A3667" s="2" t="str">
        <f ca="1">IFERROR(__xludf.DUMMYFUNCTION("""COMPUTED_VALUE"""),"Dubai")</f>
        <v>Dubai</v>
      </c>
      <c r="B3667" s="2" t="str">
        <f ca="1">IFERROR(__xludf.DUMMYFUNCTION("""COMPUTED_VALUE"""),"Al Nada Building")</f>
        <v>Al Nada Building</v>
      </c>
      <c r="C3667" s="2" t="str">
        <f ca="1">IFERROR(__xludf.DUMMYFUNCTION("""COMPUTED_VALUE"""),"Building")</f>
        <v>Building</v>
      </c>
      <c r="D3667" s="2" t="str">
        <f ca="1">IFERROR(__xludf.DUMMYFUNCTION("""COMPUTED_VALUE"""),"Dubai&gt;Bur Dubai&gt;Al Mankhool&gt;Al Nada Building")</f>
        <v>Dubai&gt;Bur Dubai&gt;Al Mankhool&gt;Al Nada Building</v>
      </c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</row>
    <row r="3668" spans="1:26" ht="16.5" x14ac:dyDescent="0.35">
      <c r="A3668" s="2" t="str">
        <f ca="1">IFERROR(__xludf.DUMMYFUNCTION("""COMPUTED_VALUE"""),"Dubai")</f>
        <v>Dubai</v>
      </c>
      <c r="B3668" s="2" t="str">
        <f ca="1">IFERROR(__xludf.DUMMYFUNCTION("""COMPUTED_VALUE"""),"Oasis Residence")</f>
        <v>Oasis Residence</v>
      </c>
      <c r="C3668" s="2" t="str">
        <f ca="1">IFERROR(__xludf.DUMMYFUNCTION("""COMPUTED_VALUE"""),"Building")</f>
        <v>Building</v>
      </c>
      <c r="D3668" s="2" t="str">
        <f ca="1">IFERROR(__xludf.DUMMYFUNCTION("""COMPUTED_VALUE"""),"Dubai&gt;Bur Dubai&gt;Al Mankhool&gt;Oasis Residence")</f>
        <v>Dubai&gt;Bur Dubai&gt;Al Mankhool&gt;Oasis Residence</v>
      </c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</row>
    <row r="3669" spans="1:26" ht="16.5" x14ac:dyDescent="0.35">
      <c r="A3669" s="2" t="str">
        <f ca="1">IFERROR(__xludf.DUMMYFUNCTION("""COMPUTED_VALUE"""),"Dubai")</f>
        <v>Dubai</v>
      </c>
      <c r="B3669" s="2" t="str">
        <f ca="1">IFERROR(__xludf.DUMMYFUNCTION("""COMPUTED_VALUE"""),"Avenue Park Tower A")</f>
        <v>Avenue Park Tower A</v>
      </c>
      <c r="C3669" s="2" t="str">
        <f ca="1">IFERROR(__xludf.DUMMYFUNCTION("""COMPUTED_VALUE"""),"Building")</f>
        <v>Building</v>
      </c>
      <c r="D3669" s="2" t="str">
        <f ca="1">IFERROR(__xludf.DUMMYFUNCTION("""COMPUTED_VALUE"""),"Dubai&gt;Bur Dubai&gt;Al Kifaf&gt;Avenue Park Towers&gt;Avenue Park Tower A")</f>
        <v>Dubai&gt;Bur Dubai&gt;Al Kifaf&gt;Avenue Park Towers&gt;Avenue Park Tower A</v>
      </c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</row>
    <row r="3670" spans="1:26" ht="16.5" x14ac:dyDescent="0.35">
      <c r="A3670" s="2" t="str">
        <f ca="1">IFERROR(__xludf.DUMMYFUNCTION("""COMPUTED_VALUE"""),"Dubai")</f>
        <v>Dubai</v>
      </c>
      <c r="B3670" s="2" t="str">
        <f ca="1">IFERROR(__xludf.DUMMYFUNCTION("""COMPUTED_VALUE"""),"Al Sharafi Centre")</f>
        <v>Al Sharafi Centre</v>
      </c>
      <c r="C3670" s="2" t="str">
        <f ca="1">IFERROR(__xludf.DUMMYFUNCTION("""COMPUTED_VALUE"""),"Building")</f>
        <v>Building</v>
      </c>
      <c r="D3670" s="2" t="str">
        <f ca="1">IFERROR(__xludf.DUMMYFUNCTION("""COMPUTED_VALUE"""),"Dubai&gt;Bur Dubai&gt;Al Souk Al Kabeer (Al Fahidi)&gt;Al Sharafi Centre")</f>
        <v>Dubai&gt;Bur Dubai&gt;Al Souk Al Kabeer (Al Fahidi)&gt;Al Sharafi Centre</v>
      </c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</row>
    <row r="3671" spans="1:26" ht="16.5" x14ac:dyDescent="0.35">
      <c r="A3671" s="2" t="str">
        <f ca="1">IFERROR(__xludf.DUMMYFUNCTION("""COMPUTED_VALUE"""),"Dubai")</f>
        <v>Dubai</v>
      </c>
      <c r="B3671" s="2" t="str">
        <f ca="1">IFERROR(__xludf.DUMMYFUNCTION("""COMPUTED_VALUE"""),"Sultan Mohammad Abdullah Karmstaji Building")</f>
        <v>Sultan Mohammad Abdullah Karmstaji Building</v>
      </c>
      <c r="C3671" s="2" t="str">
        <f ca="1">IFERROR(__xludf.DUMMYFUNCTION("""COMPUTED_VALUE"""),"Building")</f>
        <v>Building</v>
      </c>
      <c r="D3671" s="2" t="str">
        <f ca="1">IFERROR(__xludf.DUMMYFUNCTION("""COMPUTED_VALUE"""),"Dubai&gt;Bur Dubai&gt;Al Souk Al Kabeer (Al Fahidi)&gt;Sultan Mohammad Abdullah Karmstaji Building")</f>
        <v>Dubai&gt;Bur Dubai&gt;Al Souk Al Kabeer (Al Fahidi)&gt;Sultan Mohammad Abdullah Karmstaji Building</v>
      </c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</row>
    <row r="3672" spans="1:26" ht="16.5" x14ac:dyDescent="0.35">
      <c r="A3672" s="2" t="str">
        <f ca="1">IFERROR(__xludf.DUMMYFUNCTION("""COMPUTED_VALUE"""),"Dubai")</f>
        <v>Dubai</v>
      </c>
      <c r="B3672" s="2" t="str">
        <f ca="1">IFERROR(__xludf.DUMMYFUNCTION("""COMPUTED_VALUE"""),"Al Hamad Building 1")</f>
        <v>Al Hamad Building 1</v>
      </c>
      <c r="C3672" s="2" t="str">
        <f ca="1">IFERROR(__xludf.DUMMYFUNCTION("""COMPUTED_VALUE"""),"Building")</f>
        <v>Building</v>
      </c>
      <c r="D3672" s="2" t="str">
        <f ca="1">IFERROR(__xludf.DUMMYFUNCTION("""COMPUTED_VALUE"""),"Dubai&gt;Bur Dubai&gt;Al Hamriya&gt;Al Hamad Building 1")</f>
        <v>Dubai&gt;Bur Dubai&gt;Al Hamriya&gt;Al Hamad Building 1</v>
      </c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</row>
    <row r="3673" spans="1:26" ht="16.5" x14ac:dyDescent="0.35">
      <c r="A3673" s="2" t="str">
        <f ca="1">IFERROR(__xludf.DUMMYFUNCTION("""COMPUTED_VALUE"""),"Dubai")</f>
        <v>Dubai</v>
      </c>
      <c r="B3673" s="2" t="str">
        <f ca="1">IFERROR(__xludf.DUMMYFUNCTION("""COMPUTED_VALUE"""),"Marina Cube 2")</f>
        <v>Marina Cube 2</v>
      </c>
      <c r="C3673" s="2" t="str">
        <f ca="1">IFERROR(__xludf.DUMMYFUNCTION("""COMPUTED_VALUE"""),"Building")</f>
        <v>Building</v>
      </c>
      <c r="D3673" s="2" t="str">
        <f ca="1">IFERROR(__xludf.DUMMYFUNCTION("""COMPUTED_VALUE"""),"Dubai&gt;Bur Dubai&gt;Marina Cubes&gt;Marina Cube 2")</f>
        <v>Dubai&gt;Bur Dubai&gt;Marina Cubes&gt;Marina Cube 2</v>
      </c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</row>
    <row r="3674" spans="1:26" ht="16.5" x14ac:dyDescent="0.35">
      <c r="A3674" s="2" t="str">
        <f ca="1">IFERROR(__xludf.DUMMYFUNCTION("""COMPUTED_VALUE"""),"Dubai")</f>
        <v>Dubai</v>
      </c>
      <c r="B3674" s="2" t="str">
        <f ca="1">IFERROR(__xludf.DUMMYFUNCTION("""COMPUTED_VALUE"""),"Jouri Hills")</f>
        <v>Jouri Hills</v>
      </c>
      <c r="C3674" s="2" t="str">
        <f ca="1">IFERROR(__xludf.DUMMYFUNCTION("""COMPUTED_VALUE"""),"Neighbourhood")</f>
        <v>Neighbourhood</v>
      </c>
      <c r="D3674" s="2" t="str">
        <f ca="1">IFERROR(__xludf.DUMMYFUNCTION("""COMPUTED_VALUE"""),"Dubai&gt;Jumeirah Golf Estates&gt;Jouri Hills")</f>
        <v>Dubai&gt;Jumeirah Golf Estates&gt;Jouri Hills</v>
      </c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</row>
    <row r="3675" spans="1:26" ht="16.5" x14ac:dyDescent="0.35">
      <c r="A3675" s="2" t="str">
        <f ca="1">IFERROR(__xludf.DUMMYFUNCTION("""COMPUTED_VALUE"""),"Dubai")</f>
        <v>Dubai</v>
      </c>
      <c r="B3675" s="2" t="str">
        <f ca="1">IFERROR(__xludf.DUMMYFUNCTION("""COMPUTED_VALUE"""),"Grand Bleu Towers")</f>
        <v>Grand Bleu Towers</v>
      </c>
      <c r="C3675" s="2" t="str">
        <f ca="1">IFERROR(__xludf.DUMMYFUNCTION("""COMPUTED_VALUE"""),"Cluster")</f>
        <v>Cluster</v>
      </c>
      <c r="D3675" s="2" t="str">
        <f ca="1">IFERROR(__xludf.DUMMYFUNCTION("""COMPUTED_VALUE"""),"Dubai&gt;Dubai Harbour&gt;Emaar Beachfront&gt;Grand Bleu Towers")</f>
        <v>Dubai&gt;Dubai Harbour&gt;Emaar Beachfront&gt;Grand Bleu Towers</v>
      </c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</row>
    <row r="3676" spans="1:26" ht="16.5" x14ac:dyDescent="0.35">
      <c r="A3676" s="2" t="str">
        <f ca="1">IFERROR(__xludf.DUMMYFUNCTION("""COMPUTED_VALUE"""),"Dubai")</f>
        <v>Dubai</v>
      </c>
      <c r="B3676" s="2" t="str">
        <f ca="1">IFERROR(__xludf.DUMMYFUNCTION("""COMPUTED_VALUE"""),"Mimosa")</f>
        <v>Mimosa</v>
      </c>
      <c r="C3676" s="2" t="str">
        <f ca="1">IFERROR(__xludf.DUMMYFUNCTION("""COMPUTED_VALUE"""),"Neighbourhood")</f>
        <v>Neighbourhood</v>
      </c>
      <c r="D3676" s="2" t="str">
        <f ca="1">IFERROR(__xludf.DUMMYFUNCTION("""COMPUTED_VALUE"""),"Dubai&gt;DAMAC Hills 2 (Akoya by DAMAC)&gt;Mimosa")</f>
        <v>Dubai&gt;DAMAC Hills 2 (Akoya by DAMAC)&gt;Mimosa</v>
      </c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</row>
    <row r="3677" spans="1:26" ht="16.5" x14ac:dyDescent="0.35">
      <c r="A3677" s="2" t="str">
        <f ca="1">IFERROR(__xludf.DUMMYFUNCTION("""COMPUTED_VALUE"""),"Dubai")</f>
        <v>Dubai</v>
      </c>
      <c r="B3677" s="2" t="str">
        <f ca="1">IFERROR(__xludf.DUMMYFUNCTION("""COMPUTED_VALUE"""),"The Farmhouses")</f>
        <v>The Farmhouses</v>
      </c>
      <c r="C3677" s="2" t="str">
        <f ca="1">IFERROR(__xludf.DUMMYFUNCTION("""COMPUTED_VALUE"""),"Neighbourhood")</f>
        <v>Neighbourhood</v>
      </c>
      <c r="D3677" s="2" t="str">
        <f ca="1">IFERROR(__xludf.DUMMYFUNCTION("""COMPUTED_VALUE"""),"Dubai&gt;DAMAC Hills 2 (Akoya by DAMAC)&gt;The Farmhouses")</f>
        <v>Dubai&gt;DAMAC Hills 2 (Akoya by DAMAC)&gt;The Farmhouses</v>
      </c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</row>
    <row r="3678" spans="1:26" ht="16.5" x14ac:dyDescent="0.35">
      <c r="A3678" s="2" t="str">
        <f ca="1">IFERROR(__xludf.DUMMYFUNCTION("""COMPUTED_VALUE"""),"Dubai")</f>
        <v>Dubai</v>
      </c>
      <c r="B3678" s="2" t="str">
        <f ca="1">IFERROR(__xludf.DUMMYFUNCTION("""COMPUTED_VALUE"""),"I-09")</f>
        <v>I-09</v>
      </c>
      <c r="C3678" s="2" t="str">
        <f ca="1">IFERROR(__xludf.DUMMYFUNCTION("""COMPUTED_VALUE"""),"Building")</f>
        <v>Building</v>
      </c>
      <c r="D3678" s="2" t="str">
        <f ca="1">IFERROR(__xludf.DUMMYFUNCTION("""COMPUTED_VALUE"""),"Dubai&gt;International City&gt;Morocco Cluster&gt;I-09")</f>
        <v>Dubai&gt;International City&gt;Morocco Cluster&gt;I-09</v>
      </c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</row>
    <row r="3679" spans="1:26" ht="16.5" x14ac:dyDescent="0.35">
      <c r="A3679" s="2" t="str">
        <f ca="1">IFERROR(__xludf.DUMMYFUNCTION("""COMPUTED_VALUE"""),"Dubai")</f>
        <v>Dubai</v>
      </c>
      <c r="B3679" s="2" t="str">
        <f ca="1">IFERROR(__xludf.DUMMYFUNCTION("""COMPUTED_VALUE"""),"Privilege")</f>
        <v>Privilege</v>
      </c>
      <c r="C3679" s="2" t="str">
        <f ca="1">IFERROR(__xludf.DUMMYFUNCTION("""COMPUTED_VALUE"""),"Building")</f>
        <v>Building</v>
      </c>
      <c r="D3679" s="2" t="str">
        <f ca="1">IFERROR(__xludf.DUMMYFUNCTION("""COMPUTED_VALUE"""),"Dubai&gt;International City&gt;Warsan Village&gt;Privilege")</f>
        <v>Dubai&gt;International City&gt;Warsan Village&gt;Privilege</v>
      </c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</row>
    <row r="3680" spans="1:26" ht="16.5" x14ac:dyDescent="0.35">
      <c r="A3680" s="2" t="str">
        <f ca="1">IFERROR(__xludf.DUMMYFUNCTION("""COMPUTED_VALUE"""),"Dubai")</f>
        <v>Dubai</v>
      </c>
      <c r="B3680" s="2" t="str">
        <f ca="1">IFERROR(__xludf.DUMMYFUNCTION("""COMPUTED_VALUE"""),"B-04")</f>
        <v>B-04</v>
      </c>
      <c r="C3680" s="2" t="str">
        <f ca="1">IFERROR(__xludf.DUMMYFUNCTION("""COMPUTED_VALUE"""),"Building")</f>
        <v>Building</v>
      </c>
      <c r="D3680" s="2" t="str">
        <f ca="1">IFERROR(__xludf.DUMMYFUNCTION("""COMPUTED_VALUE"""),"Dubai&gt;International City&gt;China Cluster&gt;B-04")</f>
        <v>Dubai&gt;International City&gt;China Cluster&gt;B-04</v>
      </c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</row>
    <row r="3681" spans="1:26" ht="16.5" x14ac:dyDescent="0.35">
      <c r="A3681" s="2" t="str">
        <f ca="1">IFERROR(__xludf.DUMMYFUNCTION("""COMPUTED_VALUE"""),"Dubai")</f>
        <v>Dubai</v>
      </c>
      <c r="B3681" s="2" t="str">
        <f ca="1">IFERROR(__xludf.DUMMYFUNCTION("""COMPUTED_VALUE"""),"E-03")</f>
        <v>E-03</v>
      </c>
      <c r="C3681" s="2" t="str">
        <f ca="1">IFERROR(__xludf.DUMMYFUNCTION("""COMPUTED_VALUE"""),"Building")</f>
        <v>Building</v>
      </c>
      <c r="D3681" s="2" t="str">
        <f ca="1">IFERROR(__xludf.DUMMYFUNCTION("""COMPUTED_VALUE"""),"Dubai&gt;International City&gt;China Cluster&gt;E-03")</f>
        <v>Dubai&gt;International City&gt;China Cluster&gt;E-03</v>
      </c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</row>
    <row r="3682" spans="1:26" ht="16.5" x14ac:dyDescent="0.35">
      <c r="A3682" s="2" t="str">
        <f ca="1">IFERROR(__xludf.DUMMYFUNCTION("""COMPUTED_VALUE"""),"Dubai")</f>
        <v>Dubai</v>
      </c>
      <c r="B3682" s="2" t="str">
        <f ca="1">IFERROR(__xludf.DUMMYFUNCTION("""COMPUTED_VALUE"""),"T-05")</f>
        <v>T-05</v>
      </c>
      <c r="C3682" s="2" t="str">
        <f ca="1">IFERROR(__xludf.DUMMYFUNCTION("""COMPUTED_VALUE"""),"Building")</f>
        <v>Building</v>
      </c>
      <c r="D3682" s="2" t="str">
        <f ca="1">IFERROR(__xludf.DUMMYFUNCTION("""COMPUTED_VALUE"""),"Dubai&gt;International City&gt;Spain Cluster&gt;T-05")</f>
        <v>Dubai&gt;International City&gt;Spain Cluster&gt;T-05</v>
      </c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</row>
    <row r="3683" spans="1:26" ht="16.5" x14ac:dyDescent="0.35">
      <c r="A3683" s="2" t="str">
        <f ca="1">IFERROR(__xludf.DUMMYFUNCTION("""COMPUTED_VALUE"""),"Dubai")</f>
        <v>Dubai</v>
      </c>
      <c r="B3683" s="2" t="str">
        <f ca="1">IFERROR(__xludf.DUMMYFUNCTION("""COMPUTED_VALUE"""),"T-07")</f>
        <v>T-07</v>
      </c>
      <c r="C3683" s="2" t="str">
        <f ca="1">IFERROR(__xludf.DUMMYFUNCTION("""COMPUTED_VALUE"""),"Building")</f>
        <v>Building</v>
      </c>
      <c r="D3683" s="2" t="str">
        <f ca="1">IFERROR(__xludf.DUMMYFUNCTION("""COMPUTED_VALUE"""),"Dubai&gt;International City&gt;Spain Cluster&gt;T-07")</f>
        <v>Dubai&gt;International City&gt;Spain Cluster&gt;T-07</v>
      </c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</row>
    <row r="3684" spans="1:26" ht="16.5" x14ac:dyDescent="0.35">
      <c r="A3684" s="2" t="str">
        <f ca="1">IFERROR(__xludf.DUMMYFUNCTION("""COMPUTED_VALUE"""),"Dubai")</f>
        <v>Dubai</v>
      </c>
      <c r="B3684" s="2" t="str">
        <f ca="1">IFERROR(__xludf.DUMMYFUNCTION("""COMPUTED_VALUE"""),"V-15")</f>
        <v>V-15</v>
      </c>
      <c r="C3684" s="2" t="str">
        <f ca="1">IFERROR(__xludf.DUMMYFUNCTION("""COMPUTED_VALUE"""),"Building")</f>
        <v>Building</v>
      </c>
      <c r="D3684" s="2" t="str">
        <f ca="1">IFERROR(__xludf.DUMMYFUNCTION("""COMPUTED_VALUE"""),"Dubai&gt;International City&gt;Russia Cluster&gt;V-15")</f>
        <v>Dubai&gt;International City&gt;Russia Cluster&gt;V-15</v>
      </c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</row>
    <row r="3685" spans="1:26" ht="16.5" x14ac:dyDescent="0.35">
      <c r="A3685" s="2" t="str">
        <f ca="1">IFERROR(__xludf.DUMMYFUNCTION("""COMPUTED_VALUE"""),"Dubai")</f>
        <v>Dubai</v>
      </c>
      <c r="B3685" s="2" t="str">
        <f ca="1">IFERROR(__xludf.DUMMYFUNCTION("""COMPUTED_VALUE"""),"W-09")</f>
        <v>W-09</v>
      </c>
      <c r="C3685" s="2" t="str">
        <f ca="1">IFERROR(__xludf.DUMMYFUNCTION("""COMPUTED_VALUE"""),"Building")</f>
        <v>Building</v>
      </c>
      <c r="D3685" s="2" t="str">
        <f ca="1">IFERROR(__xludf.DUMMYFUNCTION("""COMPUTED_VALUE"""),"Dubai&gt;International City&gt;Russia Cluster&gt;W-09")</f>
        <v>Dubai&gt;International City&gt;Russia Cluster&gt;W-09</v>
      </c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</row>
    <row r="3686" spans="1:26" ht="16.5" x14ac:dyDescent="0.35">
      <c r="A3686" s="2" t="str">
        <f ca="1">IFERROR(__xludf.DUMMYFUNCTION("""COMPUTED_VALUE"""),"Dubai")</f>
        <v>Dubai</v>
      </c>
      <c r="B3686" s="2" t="str">
        <f ca="1">IFERROR(__xludf.DUMMYFUNCTION("""COMPUTED_VALUE"""),"Lawnz by Danube Block 1")</f>
        <v>Lawnz by Danube Block 1</v>
      </c>
      <c r="C3686" s="2" t="str">
        <f ca="1">IFERROR(__xludf.DUMMYFUNCTION("""COMPUTED_VALUE"""),"Building")</f>
        <v>Building</v>
      </c>
      <c r="D3686" s="2" t="str">
        <f ca="1">IFERROR(__xludf.DUMMYFUNCTION("""COMPUTED_VALUE"""),"Dubai&gt;International City&gt;Lawnz by Danube&gt;Lawnz by Danube Block 1")</f>
        <v>Dubai&gt;International City&gt;Lawnz by Danube&gt;Lawnz by Danube Block 1</v>
      </c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</row>
    <row r="3687" spans="1:26" ht="16.5" x14ac:dyDescent="0.35">
      <c r="A3687" s="2" t="str">
        <f ca="1">IFERROR(__xludf.DUMMYFUNCTION("""COMPUTED_VALUE"""),"Dubai")</f>
        <v>Dubai</v>
      </c>
      <c r="B3687" s="2" t="str">
        <f ca="1">IFERROR(__xludf.DUMMYFUNCTION("""COMPUTED_VALUE"""),"EMR-26")</f>
        <v>EMR-26</v>
      </c>
      <c r="C3687" s="2" t="str">
        <f ca="1">IFERROR(__xludf.DUMMYFUNCTION("""COMPUTED_VALUE"""),"Building")</f>
        <v>Building</v>
      </c>
      <c r="D3687" s="2" t="str">
        <f ca="1">IFERROR(__xludf.DUMMYFUNCTION("""COMPUTED_VALUE"""),"Dubai&gt;International City&gt;Emirates Cluster&gt;EMR-26")</f>
        <v>Dubai&gt;International City&gt;Emirates Cluster&gt;EMR-26</v>
      </c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</row>
    <row r="3688" spans="1:26" ht="16.5" x14ac:dyDescent="0.35">
      <c r="A3688" s="2" t="str">
        <f ca="1">IFERROR(__xludf.DUMMYFUNCTION("""COMPUTED_VALUE"""),"Dubai")</f>
        <v>Dubai</v>
      </c>
      <c r="B3688" s="2" t="str">
        <f ca="1">IFERROR(__xludf.DUMMYFUNCTION("""COMPUTED_VALUE"""),"Y-05")</f>
        <v>Y-05</v>
      </c>
      <c r="C3688" s="2" t="str">
        <f ca="1">IFERROR(__xludf.DUMMYFUNCTION("""COMPUTED_VALUE"""),"Building")</f>
        <v>Building</v>
      </c>
      <c r="D3688" s="2" t="str">
        <f ca="1">IFERROR(__xludf.DUMMYFUNCTION("""COMPUTED_VALUE"""),"Dubai&gt;International City&gt;England Cluster&gt;Y-05")</f>
        <v>Dubai&gt;International City&gt;England Cluster&gt;Y-05</v>
      </c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</row>
    <row r="3689" spans="1:26" ht="16.5" x14ac:dyDescent="0.35">
      <c r="A3689" s="2" t="str">
        <f ca="1">IFERROR(__xludf.DUMMYFUNCTION("""COMPUTED_VALUE"""),"Dubai")</f>
        <v>Dubai</v>
      </c>
      <c r="B3689" s="2" t="str">
        <f ca="1">IFERROR(__xludf.DUMMYFUNCTION("""COMPUTED_VALUE"""),"Al Hikma Residence")</f>
        <v>Al Hikma Residence</v>
      </c>
      <c r="C3689" s="2" t="str">
        <f ca="1">IFERROR(__xludf.DUMMYFUNCTION("""COMPUTED_VALUE"""),"Building")</f>
        <v>Building</v>
      </c>
      <c r="D3689" s="2" t="str">
        <f ca="1">IFERROR(__xludf.DUMMYFUNCTION("""COMPUTED_VALUE"""),"Dubai&gt;International City&gt;International City Phase 2 (Warsan 4)&gt;Al Hikma Residence")</f>
        <v>Dubai&gt;International City&gt;International City Phase 2 (Warsan 4)&gt;Al Hikma Residence</v>
      </c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</row>
    <row r="3690" spans="1:26" ht="16.5" x14ac:dyDescent="0.35">
      <c r="A3690" s="2" t="str">
        <f ca="1">IFERROR(__xludf.DUMMYFUNCTION("""COMPUTED_VALUE"""),"Dubai")</f>
        <v>Dubai</v>
      </c>
      <c r="B3690" s="2" t="str">
        <f ca="1">IFERROR(__xludf.DUMMYFUNCTION("""COMPUTED_VALUE"""),"Aamna Residency")</f>
        <v>Aamna Residency</v>
      </c>
      <c r="C3690" s="2" t="str">
        <f ca="1">IFERROR(__xludf.DUMMYFUNCTION("""COMPUTED_VALUE"""),"Building")</f>
        <v>Building</v>
      </c>
      <c r="D3690" s="2" t="str">
        <f ca="1">IFERROR(__xludf.DUMMYFUNCTION("""COMPUTED_VALUE"""),"Dubai&gt;International City&gt;International City Phase 2 (Warsan 4)&gt;Aamna Residency")</f>
        <v>Dubai&gt;International City&gt;International City Phase 2 (Warsan 4)&gt;Aamna Residency</v>
      </c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</row>
    <row r="3691" spans="1:26" ht="16.5" x14ac:dyDescent="0.35">
      <c r="A3691" s="2" t="str">
        <f ca="1">IFERROR(__xludf.DUMMYFUNCTION("""COMPUTED_VALUE"""),"Dubai")</f>
        <v>Dubai</v>
      </c>
      <c r="B3691" s="2" t="str">
        <f ca="1">IFERROR(__xludf.DUMMYFUNCTION("""COMPUTED_VALUE"""),"Al Zarooni Building")</f>
        <v>Al Zarooni Building</v>
      </c>
      <c r="C3691" s="2" t="str">
        <f ca="1">IFERROR(__xludf.DUMMYFUNCTION("""COMPUTED_VALUE"""),"Building")</f>
        <v>Building</v>
      </c>
      <c r="D3691" s="2" t="str">
        <f ca="1">IFERROR(__xludf.DUMMYFUNCTION("""COMPUTED_VALUE"""),"Dubai&gt;International City&gt;International City Phase 2 (Warsan 4)&gt;Al Zarooni Building")</f>
        <v>Dubai&gt;International City&gt;International City Phase 2 (Warsan 4)&gt;Al Zarooni Building</v>
      </c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</row>
    <row r="3692" spans="1:26" ht="16.5" x14ac:dyDescent="0.35">
      <c r="A3692" s="2" t="str">
        <f ca="1">IFERROR(__xludf.DUMMYFUNCTION("""COMPUTED_VALUE"""),"Dubai")</f>
        <v>Dubai</v>
      </c>
      <c r="B3692" s="2" t="str">
        <f ca="1">IFERROR(__xludf.DUMMYFUNCTION("""COMPUTED_VALUE"""),"HZ Residences 5")</f>
        <v>HZ Residences 5</v>
      </c>
      <c r="C3692" s="2" t="str">
        <f ca="1">IFERROR(__xludf.DUMMYFUNCTION("""COMPUTED_VALUE"""),"Building")</f>
        <v>Building</v>
      </c>
      <c r="D3692" s="2" t="str">
        <f ca="1">IFERROR(__xludf.DUMMYFUNCTION("""COMPUTED_VALUE"""),"Dubai&gt;International City&gt;International City Phase 2 (Warsan 4)&gt;HZ Residences 5")</f>
        <v>Dubai&gt;International City&gt;International City Phase 2 (Warsan 4)&gt;HZ Residences 5</v>
      </c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</row>
    <row r="3693" spans="1:26" ht="16.5" x14ac:dyDescent="0.35">
      <c r="A3693" s="2" t="str">
        <f ca="1">IFERROR(__xludf.DUMMYFUNCTION("""COMPUTED_VALUE"""),"Dubai")</f>
        <v>Dubai</v>
      </c>
      <c r="B3693" s="2" t="str">
        <f ca="1">IFERROR(__xludf.DUMMYFUNCTION("""COMPUTED_VALUE"""),"Zenith by Amber")</f>
        <v>Zenith by Amber</v>
      </c>
      <c r="C3693" s="2" t="str">
        <f ca="1">IFERROR(__xludf.DUMMYFUNCTION("""COMPUTED_VALUE"""),"Building")</f>
        <v>Building</v>
      </c>
      <c r="D3693" s="2" t="str">
        <f ca="1">IFERROR(__xludf.DUMMYFUNCTION("""COMPUTED_VALUE"""),"Dubai&gt;International City&gt;International City Phase 2 (Warsan 4)&gt;Zenith by Amber")</f>
        <v>Dubai&gt;International City&gt;International City Phase 2 (Warsan 4)&gt;Zenith by Amber</v>
      </c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</row>
    <row r="3694" spans="1:26" ht="16.5" x14ac:dyDescent="0.35">
      <c r="A3694" s="2" t="str">
        <f ca="1">IFERROR(__xludf.DUMMYFUNCTION("""COMPUTED_VALUE"""),"Dubai")</f>
        <v>Dubai</v>
      </c>
      <c r="B3694" s="2" t="str">
        <f ca="1">IFERROR(__xludf.DUMMYFUNCTION("""COMPUTED_VALUE"""),"K-16")</f>
        <v>K-16</v>
      </c>
      <c r="C3694" s="2" t="str">
        <f ca="1">IFERROR(__xludf.DUMMYFUNCTION("""COMPUTED_VALUE"""),"Building")</f>
        <v>Building</v>
      </c>
      <c r="D3694" s="2" t="str">
        <f ca="1">IFERROR(__xludf.DUMMYFUNCTION("""COMPUTED_VALUE"""),"Dubai&gt;International City&gt;Greece Cluster&gt;K-16")</f>
        <v>Dubai&gt;International City&gt;Greece Cluster&gt;K-16</v>
      </c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</row>
    <row r="3695" spans="1:26" ht="16.5" x14ac:dyDescent="0.35">
      <c r="A3695" s="2" t="str">
        <f ca="1">IFERROR(__xludf.DUMMYFUNCTION("""COMPUTED_VALUE"""),"Dubai")</f>
        <v>Dubai</v>
      </c>
      <c r="B3695" s="2" t="str">
        <f ca="1">IFERROR(__xludf.DUMMYFUNCTION("""COMPUTED_VALUE"""),"Q-04")</f>
        <v>Q-04</v>
      </c>
      <c r="C3695" s="2" t="str">
        <f ca="1">IFERROR(__xludf.DUMMYFUNCTION("""COMPUTED_VALUE"""),"Building")</f>
        <v>Building</v>
      </c>
      <c r="D3695" s="2" t="str">
        <f ca="1">IFERROR(__xludf.DUMMYFUNCTION("""COMPUTED_VALUE"""),"Dubai&gt;International City&gt;France Cluster&gt;Q-04")</f>
        <v>Dubai&gt;International City&gt;France Cluster&gt;Q-04</v>
      </c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</row>
    <row r="3696" spans="1:26" ht="16.5" x14ac:dyDescent="0.35">
      <c r="A3696" s="2" t="str">
        <f ca="1">IFERROR(__xludf.DUMMYFUNCTION("""COMPUTED_VALUE"""),"Dubai")</f>
        <v>Dubai</v>
      </c>
      <c r="B3696" s="2" t="str">
        <f ca="1">IFERROR(__xludf.DUMMYFUNCTION("""COMPUTED_VALUE"""),"R-16")</f>
        <v>R-16</v>
      </c>
      <c r="C3696" s="2" t="str">
        <f ca="1">IFERROR(__xludf.DUMMYFUNCTION("""COMPUTED_VALUE"""),"Building")</f>
        <v>Building</v>
      </c>
      <c r="D3696" s="2" t="str">
        <f ca="1">IFERROR(__xludf.DUMMYFUNCTION("""COMPUTED_VALUE"""),"Dubai&gt;International City&gt;France Cluster&gt;R-16")</f>
        <v>Dubai&gt;International City&gt;France Cluster&gt;R-16</v>
      </c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</row>
    <row r="3697" spans="1:26" ht="16.5" x14ac:dyDescent="0.35">
      <c r="A3697" s="2" t="str">
        <f ca="1">IFERROR(__xludf.DUMMYFUNCTION("""COMPUTED_VALUE"""),"Dubai")</f>
        <v>Dubai</v>
      </c>
      <c r="B3697" s="2" t="str">
        <f ca="1">IFERROR(__xludf.DUMMYFUNCTION("""COMPUTED_VALUE"""),"CBD-E01")</f>
        <v>CBD-E01</v>
      </c>
      <c r="C3697" s="2" t="str">
        <f ca="1">IFERROR(__xludf.DUMMYFUNCTION("""COMPUTED_VALUE"""),"Building")</f>
        <v>Building</v>
      </c>
      <c r="D3697" s="2" t="str">
        <f ca="1">IFERROR(__xludf.DUMMYFUNCTION("""COMPUTED_VALUE"""),"Dubai&gt;International City&gt;Central Business District&gt;CBD-E01")</f>
        <v>Dubai&gt;International City&gt;Central Business District&gt;CBD-E01</v>
      </c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</row>
    <row r="3698" spans="1:26" ht="16.5" x14ac:dyDescent="0.35">
      <c r="A3698" s="2" t="str">
        <f ca="1">IFERROR(__xludf.DUMMYFUNCTION("""COMPUTED_VALUE"""),"Dubai")</f>
        <v>Dubai</v>
      </c>
      <c r="B3698" s="2" t="str">
        <f ca="1">IFERROR(__xludf.DUMMYFUNCTION("""COMPUTED_VALUE"""),"CBD-D01")</f>
        <v>CBD-D01</v>
      </c>
      <c r="C3698" s="2" t="str">
        <f ca="1">IFERROR(__xludf.DUMMYFUNCTION("""COMPUTED_VALUE"""),"Building")</f>
        <v>Building</v>
      </c>
      <c r="D3698" s="2" t="str">
        <f ca="1">IFERROR(__xludf.DUMMYFUNCTION("""COMPUTED_VALUE"""),"Dubai&gt;International City&gt;Central Business District&gt;CBD-D01")</f>
        <v>Dubai&gt;International City&gt;Central Business District&gt;CBD-D01</v>
      </c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</row>
    <row r="3699" spans="1:26" ht="16.5" x14ac:dyDescent="0.35">
      <c r="A3699" s="2" t="str">
        <f ca="1">IFERROR(__xludf.DUMMYFUNCTION("""COMPUTED_VALUE"""),"Dubai")</f>
        <v>Dubai</v>
      </c>
      <c r="B3699" s="2" t="str">
        <f ca="1">IFERROR(__xludf.DUMMYFUNCTION("""COMPUTED_VALUE"""),"5242 Towers")</f>
        <v>5242 Towers</v>
      </c>
      <c r="C3699" s="2" t="str">
        <f ca="1">IFERROR(__xludf.DUMMYFUNCTION("""COMPUTED_VALUE"""),"Cluster")</f>
        <v>Cluster</v>
      </c>
      <c r="D3699" s="2" t="str">
        <f ca="1">IFERROR(__xludf.DUMMYFUNCTION("""COMPUTED_VALUE"""),"Dubai&gt;Dubai Marina&gt;5242 Towers")</f>
        <v>Dubai&gt;Dubai Marina&gt;5242 Towers</v>
      </c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</row>
    <row r="3700" spans="1:26" ht="16.5" x14ac:dyDescent="0.35">
      <c r="A3700" s="2" t="str">
        <f ca="1">IFERROR(__xludf.DUMMYFUNCTION("""COMPUTED_VALUE"""),"Dubai")</f>
        <v>Dubai</v>
      </c>
      <c r="B3700" s="2" t="str">
        <f ca="1">IFERROR(__xludf.DUMMYFUNCTION("""COMPUTED_VALUE"""),"Al Majara")</f>
        <v>Al Majara</v>
      </c>
      <c r="C3700" s="2" t="str">
        <f ca="1">IFERROR(__xludf.DUMMYFUNCTION("""COMPUTED_VALUE"""),"Cluster")</f>
        <v>Cluster</v>
      </c>
      <c r="D3700" s="2" t="str">
        <f ca="1">IFERROR(__xludf.DUMMYFUNCTION("""COMPUTED_VALUE"""),"Dubai&gt;Dubai Marina&gt;Al Majara")</f>
        <v>Dubai&gt;Dubai Marina&gt;Al Majara</v>
      </c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</row>
    <row r="3701" spans="1:26" ht="16.5" x14ac:dyDescent="0.35">
      <c r="A3701" s="2" t="str">
        <f ca="1">IFERROR(__xludf.DUMMYFUNCTION("""COMPUTED_VALUE"""),"Dubai")</f>
        <v>Dubai</v>
      </c>
      <c r="B3701" s="2" t="str">
        <f ca="1">IFERROR(__xludf.DUMMYFUNCTION("""COMPUTED_VALUE"""),"Mag 218 Tower")</f>
        <v>Mag 218 Tower</v>
      </c>
      <c r="C3701" s="2" t="str">
        <f ca="1">IFERROR(__xludf.DUMMYFUNCTION("""COMPUTED_VALUE"""),"Building")</f>
        <v>Building</v>
      </c>
      <c r="D3701" s="2" t="str">
        <f ca="1">IFERROR(__xludf.DUMMYFUNCTION("""COMPUTED_VALUE"""),"Dubai&gt;Dubai Marina&gt;Mag 218 Tower")</f>
        <v>Dubai&gt;Dubai Marina&gt;Mag 218 Tower</v>
      </c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</row>
    <row r="3702" spans="1:26" ht="16.5" x14ac:dyDescent="0.35">
      <c r="A3702" s="2" t="str">
        <f ca="1">IFERROR(__xludf.DUMMYFUNCTION("""COMPUTED_VALUE"""),"Dubai")</f>
        <v>Dubai</v>
      </c>
      <c r="B3702" s="2" t="str">
        <f ca="1">IFERROR(__xludf.DUMMYFUNCTION("""COMPUTED_VALUE"""),"Marina Residence")</f>
        <v>Marina Residence</v>
      </c>
      <c r="C3702" s="2" t="str">
        <f ca="1">IFERROR(__xludf.DUMMYFUNCTION("""COMPUTED_VALUE"""),"Cluster")</f>
        <v>Cluster</v>
      </c>
      <c r="D3702" s="2" t="str">
        <f ca="1">IFERROR(__xludf.DUMMYFUNCTION("""COMPUTED_VALUE"""),"Dubai&gt;Dubai Marina&gt;Marina Residence")</f>
        <v>Dubai&gt;Dubai Marina&gt;Marina Residence</v>
      </c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</row>
    <row r="3703" spans="1:26" ht="16.5" x14ac:dyDescent="0.35">
      <c r="A3703" s="2" t="str">
        <f ca="1">IFERROR(__xludf.DUMMYFUNCTION("""COMPUTED_VALUE"""),"Dubai")</f>
        <v>Dubai</v>
      </c>
      <c r="B3703" s="2" t="str">
        <f ca="1">IFERROR(__xludf.DUMMYFUNCTION("""COMPUTED_VALUE"""),"Azure")</f>
        <v>Azure</v>
      </c>
      <c r="C3703" s="2" t="str">
        <f ca="1">IFERROR(__xludf.DUMMYFUNCTION("""COMPUTED_VALUE"""),"Building")</f>
        <v>Building</v>
      </c>
      <c r="D3703" s="2" t="str">
        <f ca="1">IFERROR(__xludf.DUMMYFUNCTION("""COMPUTED_VALUE"""),"Dubai&gt;Dubai Marina&gt;Azure")</f>
        <v>Dubai&gt;Dubai Marina&gt;Azure</v>
      </c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</row>
    <row r="3704" spans="1:26" ht="16.5" x14ac:dyDescent="0.35">
      <c r="A3704" s="2" t="str">
        <f ca="1">IFERROR(__xludf.DUMMYFUNCTION("""COMPUTED_VALUE"""),"Dubai")</f>
        <v>Dubai</v>
      </c>
      <c r="B3704" s="2" t="str">
        <f ca="1">IFERROR(__xludf.DUMMYFUNCTION("""COMPUTED_VALUE"""),"Marina View Tower")</f>
        <v>Marina View Tower</v>
      </c>
      <c r="C3704" s="2" t="str">
        <f ca="1">IFERROR(__xludf.DUMMYFUNCTION("""COMPUTED_VALUE"""),"Cluster")</f>
        <v>Cluster</v>
      </c>
      <c r="D3704" s="2" t="str">
        <f ca="1">IFERROR(__xludf.DUMMYFUNCTION("""COMPUTED_VALUE"""),"Dubai&gt;Dubai Marina&gt;Marina View Tower")</f>
        <v>Dubai&gt;Dubai Marina&gt;Marina View Tower</v>
      </c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</row>
    <row r="3705" spans="1:26" ht="16.5" x14ac:dyDescent="0.35">
      <c r="A3705" s="2" t="str">
        <f ca="1">IFERROR(__xludf.DUMMYFUNCTION("""COMPUTED_VALUE"""),"Dubai")</f>
        <v>Dubai</v>
      </c>
      <c r="B3705" s="2" t="str">
        <f ca="1">IFERROR(__xludf.DUMMYFUNCTION("""COMPUTED_VALUE"""),"Silverene Tower B")</f>
        <v>Silverene Tower B</v>
      </c>
      <c r="C3705" s="2" t="str">
        <f ca="1">IFERROR(__xludf.DUMMYFUNCTION("""COMPUTED_VALUE"""),"Building")</f>
        <v>Building</v>
      </c>
      <c r="D3705" s="2" t="str">
        <f ca="1">IFERROR(__xludf.DUMMYFUNCTION("""COMPUTED_VALUE"""),"Dubai&gt;Dubai Marina&gt;Silverene&gt;Silverene Tower B")</f>
        <v>Dubai&gt;Dubai Marina&gt;Silverene&gt;Silverene Tower B</v>
      </c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</row>
    <row r="3706" spans="1:26" ht="16.5" x14ac:dyDescent="0.35">
      <c r="A3706" s="2" t="str">
        <f ca="1">IFERROR(__xludf.DUMMYFUNCTION("""COMPUTED_VALUE"""),"Dubai")</f>
        <v>Dubai</v>
      </c>
      <c r="B3706" s="2" t="str">
        <f ca="1">IFERROR(__xludf.DUMMYFUNCTION("""COMPUTED_VALUE"""),"Town Square")</f>
        <v>Town Square</v>
      </c>
      <c r="C3706" s="2" t="str">
        <f ca="1">IFERROR(__xludf.DUMMYFUNCTION("""COMPUTED_VALUE"""),"Neighbourhood")</f>
        <v>Neighbourhood</v>
      </c>
      <c r="D3706" s="2" t="str">
        <f ca="1">IFERROR(__xludf.DUMMYFUNCTION("""COMPUTED_VALUE"""),"Dubai&gt;Town Square")</f>
        <v>Dubai&gt;Town Square</v>
      </c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</row>
    <row r="3707" spans="1:26" ht="16.5" x14ac:dyDescent="0.35">
      <c r="A3707" s="2" t="str">
        <f ca="1">IFERROR(__xludf.DUMMYFUNCTION("""COMPUTED_VALUE"""),"Dubai")</f>
        <v>Dubai</v>
      </c>
      <c r="B3707" s="2" t="str">
        <f ca="1">IFERROR(__xludf.DUMMYFUNCTION("""COMPUTED_VALUE"""),"Hayat Boulevard 1B")</f>
        <v>Hayat Boulevard 1B</v>
      </c>
      <c r="C3707" s="2" t="str">
        <f ca="1">IFERROR(__xludf.DUMMYFUNCTION("""COMPUTED_VALUE"""),"Building")</f>
        <v>Building</v>
      </c>
      <c r="D3707" s="2" t="str">
        <f ca="1">IFERROR(__xludf.DUMMYFUNCTION("""COMPUTED_VALUE"""),"Dubai&gt;Town Square&gt;Hayat Boulevard&gt;Hayat Boulevard 1B")</f>
        <v>Dubai&gt;Town Square&gt;Hayat Boulevard&gt;Hayat Boulevard 1B</v>
      </c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</row>
    <row r="3708" spans="1:26" ht="16.5" x14ac:dyDescent="0.35">
      <c r="A3708" s="2" t="str">
        <f ca="1">IFERROR(__xludf.DUMMYFUNCTION("""COMPUTED_VALUE"""),"Dubai")</f>
        <v>Dubai</v>
      </c>
      <c r="B3708" s="2" t="str">
        <f ca="1">IFERROR(__xludf.DUMMYFUNCTION("""COMPUTED_VALUE"""),"Lana on the Park")</f>
        <v>Lana on the Park</v>
      </c>
      <c r="C3708" s="2" t="str">
        <f ca="1">IFERROR(__xludf.DUMMYFUNCTION("""COMPUTED_VALUE"""),"Building")</f>
        <v>Building</v>
      </c>
      <c r="D3708" s="2" t="str">
        <f ca="1">IFERROR(__xludf.DUMMYFUNCTION("""COMPUTED_VALUE"""),"Dubai&gt;Town Square&gt;Lana on the Park")</f>
        <v>Dubai&gt;Town Square&gt;Lana on the Park</v>
      </c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</row>
    <row r="3709" spans="1:26" ht="16.5" x14ac:dyDescent="0.35">
      <c r="A3709" s="2" t="str">
        <f ca="1">IFERROR(__xludf.DUMMYFUNCTION("""COMPUTED_VALUE"""),"Dubai")</f>
        <v>Dubai</v>
      </c>
      <c r="B3709" s="2" t="str">
        <f ca="1">IFERROR(__xludf.DUMMYFUNCTION("""COMPUTED_VALUE"""),"Montrell")</f>
        <v>Montrell</v>
      </c>
      <c r="C3709" s="2" t="str">
        <f ca="1">IFERROR(__xludf.DUMMYFUNCTION("""COMPUTED_VALUE"""),"Building")</f>
        <v>Building</v>
      </c>
      <c r="D3709" s="2" t="str">
        <f ca="1">IFERROR(__xludf.DUMMYFUNCTION("""COMPUTED_VALUE"""),"Dubai&gt;Al Furjan&gt;Montrell")</f>
        <v>Dubai&gt;Al Furjan&gt;Montrell</v>
      </c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</row>
    <row r="3710" spans="1:26" ht="16.5" x14ac:dyDescent="0.35">
      <c r="A3710" s="2" t="str">
        <f ca="1">IFERROR(__xludf.DUMMYFUNCTION("""COMPUTED_VALUE"""),"Dubai")</f>
        <v>Dubai</v>
      </c>
      <c r="B3710" s="2" t="str">
        <f ca="1">IFERROR(__xludf.DUMMYFUNCTION("""COMPUTED_VALUE"""),"North Townhouses by NED Al Ghurair")</f>
        <v>North Townhouses by NED Al Ghurair</v>
      </c>
      <c r="C3710" s="2" t="str">
        <f ca="1">IFERROR(__xludf.DUMMYFUNCTION("""COMPUTED_VALUE"""),"Neighbourhood")</f>
        <v>Neighbourhood</v>
      </c>
      <c r="D3710" s="2" t="str">
        <f ca="1">IFERROR(__xludf.DUMMYFUNCTION("""COMPUTED_VALUE"""),"Dubai&gt;Al Furjan&gt;Al Furjan West&gt;North Townhouses by NED Al Ghurair")</f>
        <v>Dubai&gt;Al Furjan&gt;Al Furjan West&gt;North Townhouses by NED Al Ghurair</v>
      </c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</row>
    <row r="3711" spans="1:26" ht="16.5" x14ac:dyDescent="0.35">
      <c r="A3711" s="2" t="str">
        <f ca="1">IFERROR(__xludf.DUMMYFUNCTION("""COMPUTED_VALUE"""),"Dubai")</f>
        <v>Dubai</v>
      </c>
      <c r="B3711" s="2" t="str">
        <f ca="1">IFERROR(__xludf.DUMMYFUNCTION("""COMPUTED_VALUE"""),"Gemz by Danube")</f>
        <v>Gemz by Danube</v>
      </c>
      <c r="C3711" s="2" t="str">
        <f ca="1">IFERROR(__xludf.DUMMYFUNCTION("""COMPUTED_VALUE"""),"Building")</f>
        <v>Building</v>
      </c>
      <c r="D3711" s="2" t="str">
        <f ca="1">IFERROR(__xludf.DUMMYFUNCTION("""COMPUTED_VALUE"""),"Dubai&gt;Al Furjan&gt;Gemz by Danube")</f>
        <v>Dubai&gt;Al Furjan&gt;Gemz by Danube</v>
      </c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</row>
    <row r="3712" spans="1:26" ht="16.5" x14ac:dyDescent="0.35">
      <c r="A3712" s="2" t="str">
        <f ca="1">IFERROR(__xludf.DUMMYFUNCTION("""COMPUTED_VALUE"""),"Dubai")</f>
        <v>Dubai</v>
      </c>
      <c r="B3712" s="2" t="str">
        <f ca="1">IFERROR(__xludf.DUMMYFUNCTION("""COMPUTED_VALUE"""),"Nadine Residence 1")</f>
        <v>Nadine Residence 1</v>
      </c>
      <c r="C3712" s="2" t="str">
        <f ca="1">IFERROR(__xludf.DUMMYFUNCTION("""COMPUTED_VALUE"""),"Building")</f>
        <v>Building</v>
      </c>
      <c r="D3712" s="2" t="str">
        <f ca="1">IFERROR(__xludf.DUMMYFUNCTION("""COMPUTED_VALUE"""),"Dubai&gt;Al Furjan&gt;Nadine Residence&gt;Nadine Residence 1")</f>
        <v>Dubai&gt;Al Furjan&gt;Nadine Residence&gt;Nadine Residence 1</v>
      </c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</row>
    <row r="3713" spans="1:26" ht="16.5" x14ac:dyDescent="0.35">
      <c r="A3713" s="2" t="str">
        <f ca="1">IFERROR(__xludf.DUMMYFUNCTION("""COMPUTED_VALUE"""),"Dubai")</f>
        <v>Dubai</v>
      </c>
      <c r="B3713" s="2" t="str">
        <f ca="1">IFERROR(__xludf.DUMMYFUNCTION("""COMPUTED_VALUE"""),"The Hub Residences by ZaZEN")</f>
        <v>The Hub Residences by ZaZEN</v>
      </c>
      <c r="C3713" s="2" t="str">
        <f ca="1">IFERROR(__xludf.DUMMYFUNCTION("""COMPUTED_VALUE"""),"Building")</f>
        <v>Building</v>
      </c>
      <c r="D3713" s="2" t="str">
        <f ca="1">IFERROR(__xludf.DUMMYFUNCTION("""COMPUTED_VALUE"""),"Dubai&gt;Al Furjan&gt;The Hub Residences by ZaZEN")</f>
        <v>Dubai&gt;Al Furjan&gt;The Hub Residences by ZaZEN</v>
      </c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</row>
    <row r="3714" spans="1:26" ht="16.5" x14ac:dyDescent="0.35">
      <c r="A3714" s="2" t="str">
        <f ca="1">IFERROR(__xludf.DUMMYFUNCTION("""COMPUTED_VALUE"""),"Dubai")</f>
        <v>Dubai</v>
      </c>
      <c r="B3714" s="2" t="str">
        <f ca="1">IFERROR(__xludf.DUMMYFUNCTION("""COMPUTED_VALUE"""),"Tonino Lamborghini Residences")</f>
        <v>Tonino Lamborghini Residences</v>
      </c>
      <c r="C3714" s="2" t="str">
        <f ca="1">IFERROR(__xludf.DUMMYFUNCTION("""COMPUTED_VALUE"""),"Cluster")</f>
        <v>Cluster</v>
      </c>
      <c r="D3714" s="2" t="str">
        <f ca="1">IFERROR(__xludf.DUMMYFUNCTION("""COMPUTED_VALUE"""),"Dubai&gt;Meydan City&gt;Tonino Lamborghini Residences")</f>
        <v>Dubai&gt;Meydan City&gt;Tonino Lamborghini Residences</v>
      </c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</row>
    <row r="3715" spans="1:26" ht="16.5" x14ac:dyDescent="0.35">
      <c r="A3715" s="2" t="str">
        <f ca="1">IFERROR(__xludf.DUMMYFUNCTION("""COMPUTED_VALUE"""),"Dubai")</f>
        <v>Dubai</v>
      </c>
      <c r="B3715" s="2" t="str">
        <f ca="1">IFERROR(__xludf.DUMMYFUNCTION("""COMPUTED_VALUE"""),"Azizi Riviera 4")</f>
        <v>Azizi Riviera 4</v>
      </c>
      <c r="C3715" s="2" t="str">
        <f ca="1">IFERROR(__xludf.DUMMYFUNCTION("""COMPUTED_VALUE"""),"Building")</f>
        <v>Building</v>
      </c>
      <c r="D3715" s="2" t="str">
        <f ca="1">IFERROR(__xludf.DUMMYFUNCTION("""COMPUTED_VALUE"""),"Dubai&gt;Meydan City&gt;Meydan One&gt;Azizi Riviera&gt;Azizi Riviera 4")</f>
        <v>Dubai&gt;Meydan City&gt;Meydan One&gt;Azizi Riviera&gt;Azizi Riviera 4</v>
      </c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</row>
    <row r="3716" spans="1:26" ht="16.5" x14ac:dyDescent="0.35">
      <c r="A3716" s="2" t="str">
        <f ca="1">IFERROR(__xludf.DUMMYFUNCTION("""COMPUTED_VALUE"""),"Dubai")</f>
        <v>Dubai</v>
      </c>
      <c r="B3716" s="2" t="str">
        <f ca="1">IFERROR(__xludf.DUMMYFUNCTION("""COMPUTED_VALUE"""),"Azizi Riviera Reve Tower 3")</f>
        <v>Azizi Riviera Reve Tower 3</v>
      </c>
      <c r="C3716" s="2" t="str">
        <f ca="1">IFERROR(__xludf.DUMMYFUNCTION("""COMPUTED_VALUE"""),"Building")</f>
        <v>Building</v>
      </c>
      <c r="D3716" s="2" t="str">
        <f ca="1">IFERROR(__xludf.DUMMYFUNCTION("""COMPUTED_VALUE"""),"Dubai&gt;Meydan City&gt;Meydan One&gt;Azizi Riviera&gt;Azizi Riviera Reve&gt;Azizi Riviera Reve Tower 3")</f>
        <v>Dubai&gt;Meydan City&gt;Meydan One&gt;Azizi Riviera&gt;Azizi Riviera Reve&gt;Azizi Riviera Reve Tower 3</v>
      </c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</row>
    <row r="3717" spans="1:26" ht="16.5" x14ac:dyDescent="0.35">
      <c r="A3717" s="2" t="str">
        <f ca="1">IFERROR(__xludf.DUMMYFUNCTION("""COMPUTED_VALUE"""),"Dubai")</f>
        <v>Dubai</v>
      </c>
      <c r="B3717" s="2" t="str">
        <f ca="1">IFERROR(__xludf.DUMMYFUNCTION("""COMPUTED_VALUE"""),"Residence 1 Block D")</f>
        <v>Residence 1 Block D</v>
      </c>
      <c r="C3717" s="2" t="str">
        <f ca="1">IFERROR(__xludf.DUMMYFUNCTION("""COMPUTED_VALUE"""),"Building")</f>
        <v>Building</v>
      </c>
      <c r="D3717" s="2" t="str">
        <f ca="1">IFERROR(__xludf.DUMMYFUNCTION("""COMPUTED_VALUE"""),"Dubai&gt;Meydan City&gt;Meydan Avenue&gt;Residence 1 at Meydan Avenue&gt;Residence 1 Block D")</f>
        <v>Dubai&gt;Meydan City&gt;Meydan Avenue&gt;Residence 1 at Meydan Avenue&gt;Residence 1 Block D</v>
      </c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</row>
    <row r="3718" spans="1:26" ht="16.5" x14ac:dyDescent="0.35">
      <c r="A3718" s="2" t="str">
        <f ca="1">IFERROR(__xludf.DUMMYFUNCTION("""COMPUTED_VALUE"""),"Dubai")</f>
        <v>Dubai</v>
      </c>
      <c r="B3718" s="2" t="str">
        <f ca="1">IFERROR(__xludf.DUMMYFUNCTION("""COMPUTED_VALUE"""),"Polo Residence E1")</f>
        <v>Polo Residence E1</v>
      </c>
      <c r="C3718" s="2" t="str">
        <f ca="1">IFERROR(__xludf.DUMMYFUNCTION("""COMPUTED_VALUE"""),"Building")</f>
        <v>Building</v>
      </c>
      <c r="D3718" s="2" t="str">
        <f ca="1">IFERROR(__xludf.DUMMYFUNCTION("""COMPUTED_VALUE"""),"Dubai&gt;Meydan City&gt;Meydan Avenue&gt;Polo Residence&gt;Polo Residence E1")</f>
        <v>Dubai&gt;Meydan City&gt;Meydan Avenue&gt;Polo Residence&gt;Polo Residence E1</v>
      </c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</row>
    <row r="3719" spans="1:26" ht="16.5" x14ac:dyDescent="0.35">
      <c r="A3719" s="2" t="str">
        <f ca="1">IFERROR(__xludf.DUMMYFUNCTION("""COMPUTED_VALUE"""),"Dubai")</f>
        <v>Dubai</v>
      </c>
      <c r="B3719" s="2" t="str">
        <f ca="1">IFERROR(__xludf.DUMMYFUNCTION("""COMPUTED_VALUE"""),"Meydan Business Park")</f>
        <v>Meydan Business Park</v>
      </c>
      <c r="C3719" s="2" t="str">
        <f ca="1">IFERROR(__xludf.DUMMYFUNCTION("""COMPUTED_VALUE"""),"Neighbourhood")</f>
        <v>Neighbourhood</v>
      </c>
      <c r="D3719" s="2" t="str">
        <f ca="1">IFERROR(__xludf.DUMMYFUNCTION("""COMPUTED_VALUE"""),"Dubai&gt;Meydan City&gt;Meydan Business Park")</f>
        <v>Dubai&gt;Meydan City&gt;Meydan Business Park</v>
      </c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</row>
    <row r="3720" spans="1:26" ht="16.5" x14ac:dyDescent="0.35">
      <c r="A3720" s="2" t="str">
        <f ca="1">IFERROR(__xludf.DUMMYFUNCTION("""COMPUTED_VALUE"""),"Dubai")</f>
        <v>Dubai</v>
      </c>
      <c r="B3720" s="2" t="str">
        <f ca="1">IFERROR(__xludf.DUMMYFUNCTION("""COMPUTED_VALUE"""),"Al Ghozlan 2")</f>
        <v>Al Ghozlan 2</v>
      </c>
      <c r="C3720" s="2" t="str">
        <f ca="1">IFERROR(__xludf.DUMMYFUNCTION("""COMPUTED_VALUE"""),"Building")</f>
        <v>Building</v>
      </c>
      <c r="D3720" s="2" t="str">
        <f ca="1">IFERROR(__xludf.DUMMYFUNCTION("""COMPUTED_VALUE"""),"Dubai&gt;The Greens&gt;Al Ghozlan&gt;Al Ghozlan 2")</f>
        <v>Dubai&gt;The Greens&gt;Al Ghozlan&gt;Al Ghozlan 2</v>
      </c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</row>
    <row r="3721" spans="1:26" ht="16.5" x14ac:dyDescent="0.35">
      <c r="A3721" s="2" t="str">
        <f ca="1">IFERROR(__xludf.DUMMYFUNCTION("""COMPUTED_VALUE"""),"Dubai")</f>
        <v>Dubai</v>
      </c>
      <c r="B3721" s="2" t="str">
        <f ca="1">IFERROR(__xludf.DUMMYFUNCTION("""COMPUTED_VALUE"""),"Al Sidir 3")</f>
        <v>Al Sidir 3</v>
      </c>
      <c r="C3721" s="2" t="str">
        <f ca="1">IFERROR(__xludf.DUMMYFUNCTION("""COMPUTED_VALUE"""),"Building")</f>
        <v>Building</v>
      </c>
      <c r="D3721" s="2" t="str">
        <f ca="1">IFERROR(__xludf.DUMMYFUNCTION("""COMPUTED_VALUE"""),"Dubai&gt;The Greens&gt;Al Sidir&gt;Al Sidir 3")</f>
        <v>Dubai&gt;The Greens&gt;Al Sidir&gt;Al Sidir 3</v>
      </c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</row>
    <row r="3722" spans="1:26" ht="16.5" x14ac:dyDescent="0.35">
      <c r="A3722" s="2" t="str">
        <f ca="1">IFERROR(__xludf.DUMMYFUNCTION("""COMPUTED_VALUE"""),"Dubai")</f>
        <v>Dubai</v>
      </c>
      <c r="B3722" s="2" t="str">
        <f ca="1">IFERROR(__xludf.DUMMYFUNCTION("""COMPUTED_VALUE"""),"Afnan 3")</f>
        <v>Afnan 3</v>
      </c>
      <c r="C3722" s="2" t="str">
        <f ca="1">IFERROR(__xludf.DUMMYFUNCTION("""COMPUTED_VALUE"""),"Building")</f>
        <v>Building</v>
      </c>
      <c r="D3722" s="2" t="str">
        <f ca="1">IFERROR(__xludf.DUMMYFUNCTION("""COMPUTED_VALUE"""),"Dubai&gt;Dubai Production City (IMPZ)&gt;Midtown&gt;Afnan District&gt;Afnan 3")</f>
        <v>Dubai&gt;Dubai Production City (IMPZ)&gt;Midtown&gt;Afnan District&gt;Afnan 3</v>
      </c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</row>
    <row r="3723" spans="1:26" ht="16.5" x14ac:dyDescent="0.35">
      <c r="A3723" s="2" t="str">
        <f ca="1">IFERROR(__xludf.DUMMYFUNCTION("""COMPUTED_VALUE"""),"Dubai")</f>
        <v>Dubai</v>
      </c>
      <c r="B3723" s="2" t="str">
        <f ca="1">IFERROR(__xludf.DUMMYFUNCTION("""COMPUTED_VALUE"""),"Lago Vista")</f>
        <v>Lago Vista</v>
      </c>
      <c r="C3723" s="2" t="str">
        <f ca="1">IFERROR(__xludf.DUMMYFUNCTION("""COMPUTED_VALUE"""),"Cluster")</f>
        <v>Cluster</v>
      </c>
      <c r="D3723" s="2" t="str">
        <f ca="1">IFERROR(__xludf.DUMMYFUNCTION("""COMPUTED_VALUE"""),"Dubai&gt;Dubai Production City (IMPZ)&gt;Lago Vista")</f>
        <v>Dubai&gt;Dubai Production City (IMPZ)&gt;Lago Vista</v>
      </c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</row>
    <row r="3724" spans="1:26" ht="16.5" x14ac:dyDescent="0.35">
      <c r="A3724" s="2" t="str">
        <f ca="1">IFERROR(__xludf.DUMMYFUNCTION("""COMPUTED_VALUE"""),"Dubai")</f>
        <v>Dubai</v>
      </c>
      <c r="B3724" s="2" t="str">
        <f ca="1">IFERROR(__xludf.DUMMYFUNCTION("""COMPUTED_VALUE"""),"Domus Indigo 4")</f>
        <v>Domus Indigo 4</v>
      </c>
      <c r="C3724" s="2" t="str">
        <f ca="1">IFERROR(__xludf.DUMMYFUNCTION("""COMPUTED_VALUE"""),"Building")</f>
        <v>Building</v>
      </c>
      <c r="D3724" s="2" t="str">
        <f ca="1">IFERROR(__xludf.DUMMYFUNCTION("""COMPUTED_VALUE"""),"Dubai&gt;Dubai Production City (IMPZ)&gt;Domus Indigo&gt;Domus Indigo 4")</f>
        <v>Dubai&gt;Dubai Production City (IMPZ)&gt;Domus Indigo&gt;Domus Indigo 4</v>
      </c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</row>
    <row r="3725" spans="1:26" ht="16.5" x14ac:dyDescent="0.35">
      <c r="A3725" s="2" t="str">
        <f ca="1">IFERROR(__xludf.DUMMYFUNCTION("""COMPUTED_VALUE"""),"Dubai")</f>
        <v>Dubai</v>
      </c>
      <c r="B3725" s="2" t="str">
        <f ca="1">IFERROR(__xludf.DUMMYFUNCTION("""COMPUTED_VALUE"""),"Sunbeam Homes Block C")</f>
        <v>Sunbeam Homes Block C</v>
      </c>
      <c r="C3725" s="2" t="str">
        <f ca="1">IFERROR(__xludf.DUMMYFUNCTION("""COMPUTED_VALUE"""),"Building")</f>
        <v>Building</v>
      </c>
      <c r="D3725" s="2" t="str">
        <f ca="1">IFERROR(__xludf.DUMMYFUNCTION("""COMPUTED_VALUE"""),"Dubai&gt;Dubai Industrial City&gt;Sunbeam Homes&gt;Sunbeam Homes Block C")</f>
        <v>Dubai&gt;Dubai Industrial City&gt;Sunbeam Homes&gt;Sunbeam Homes Block C</v>
      </c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</row>
    <row r="3726" spans="1:26" ht="16.5" x14ac:dyDescent="0.35">
      <c r="A3726" s="2" t="str">
        <f ca="1">IFERROR(__xludf.DUMMYFUNCTION("""COMPUTED_VALUE"""),"Dubai")</f>
        <v>Dubai</v>
      </c>
      <c r="B3726" s="2" t="str">
        <f ca="1">IFERROR(__xludf.DUMMYFUNCTION("""COMPUTED_VALUE"""),"Julnar Building")</f>
        <v>Julnar Building</v>
      </c>
      <c r="C3726" s="2" t="str">
        <f ca="1">IFERROR(__xludf.DUMMYFUNCTION("""COMPUTED_VALUE"""),"Building")</f>
        <v>Building</v>
      </c>
      <c r="D3726" s="2" t="str">
        <f ca="1">IFERROR(__xludf.DUMMYFUNCTION("""COMPUTED_VALUE"""),"Dubai&gt;Dubai Industrial City&gt;Julnar Building")</f>
        <v>Dubai&gt;Dubai Industrial City&gt;Julnar Building</v>
      </c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</row>
    <row r="3727" spans="1:26" ht="16.5" x14ac:dyDescent="0.35">
      <c r="A3727" s="2" t="str">
        <f ca="1">IFERROR(__xludf.DUMMYFUNCTION("""COMPUTED_VALUE"""),"Dubai")</f>
        <v>Dubai</v>
      </c>
      <c r="B3727" s="2" t="str">
        <f ca="1">IFERROR(__xludf.DUMMYFUNCTION("""COMPUTED_VALUE"""),"Tilal Al Ghaf")</f>
        <v>Tilal Al Ghaf</v>
      </c>
      <c r="C3727" s="2" t="str">
        <f ca="1">IFERROR(__xludf.DUMMYFUNCTION("""COMPUTED_VALUE"""),"Neighbourhood")</f>
        <v>Neighbourhood</v>
      </c>
      <c r="D3727" s="2" t="str">
        <f ca="1">IFERROR(__xludf.DUMMYFUNCTION("""COMPUTED_VALUE"""),"Dubai&gt;Tilal Al Ghaf")</f>
        <v>Dubai&gt;Tilal Al Ghaf</v>
      </c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</row>
    <row r="3728" spans="1:26" ht="16.5" x14ac:dyDescent="0.35">
      <c r="A3728" s="2" t="str">
        <f ca="1">IFERROR(__xludf.DUMMYFUNCTION("""COMPUTED_VALUE"""),"Dubai")</f>
        <v>Dubai</v>
      </c>
      <c r="B3728" s="2" t="str">
        <f ca="1">IFERROR(__xludf.DUMMYFUNCTION("""COMPUTED_VALUE"""),"Edgewater Residences 2")</f>
        <v>Edgewater Residences 2</v>
      </c>
      <c r="C3728" s="2" t="str">
        <f ca="1">IFERROR(__xludf.DUMMYFUNCTION("""COMPUTED_VALUE"""),"Building")</f>
        <v>Building</v>
      </c>
      <c r="D3728" s="2" t="str">
        <f ca="1">IFERROR(__xludf.DUMMYFUNCTION("""COMPUTED_VALUE"""),"Dubai&gt;Dubai Islands&gt;Edgewater Residences&gt;Edgewater Residences 2")</f>
        <v>Dubai&gt;Dubai Islands&gt;Edgewater Residences&gt;Edgewater Residences 2</v>
      </c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</row>
    <row r="3729" spans="1:26" ht="16.5" x14ac:dyDescent="0.35">
      <c r="A3729" s="2" t="str">
        <f ca="1">IFERROR(__xludf.DUMMYFUNCTION("""COMPUTED_VALUE"""),"Dubai")</f>
        <v>Dubai</v>
      </c>
      <c r="B3729" s="2" t="str">
        <f ca="1">IFERROR(__xludf.DUMMYFUNCTION("""COMPUTED_VALUE"""),"Esme Beach Residences")</f>
        <v>Esme Beach Residences</v>
      </c>
      <c r="C3729" s="2" t="str">
        <f ca="1">IFERROR(__xludf.DUMMYFUNCTION("""COMPUTED_VALUE"""),"Building")</f>
        <v>Building</v>
      </c>
      <c r="D3729" s="2" t="str">
        <f ca="1">IFERROR(__xludf.DUMMYFUNCTION("""COMPUTED_VALUE"""),"Dubai&gt;Dubai Islands&gt;Esme Beach Residences")</f>
        <v>Dubai&gt;Dubai Islands&gt;Esme Beach Residences</v>
      </c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</row>
    <row r="3730" spans="1:26" ht="16.5" x14ac:dyDescent="0.35">
      <c r="A3730" s="2" t="str">
        <f ca="1">IFERROR(__xludf.DUMMYFUNCTION("""COMPUTED_VALUE"""),"Dubai")</f>
        <v>Dubai</v>
      </c>
      <c r="B3730" s="2" t="str">
        <f ca="1">IFERROR(__xludf.DUMMYFUNCTION("""COMPUTED_VALUE"""),"Nautis Residences")</f>
        <v>Nautis Residences</v>
      </c>
      <c r="C3730" s="2" t="str">
        <f ca="1">IFERROR(__xludf.DUMMYFUNCTION("""COMPUTED_VALUE"""),"Building")</f>
        <v>Building</v>
      </c>
      <c r="D3730" s="2" t="str">
        <f ca="1">IFERROR(__xludf.DUMMYFUNCTION("""COMPUTED_VALUE"""),"Dubai&gt;Dubai Islands&gt;Nautis Residences")</f>
        <v>Dubai&gt;Dubai Islands&gt;Nautis Residences</v>
      </c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</row>
    <row r="3731" spans="1:26" ht="16.5" x14ac:dyDescent="0.35">
      <c r="A3731" s="2" t="str">
        <f ca="1">IFERROR(__xludf.DUMMYFUNCTION("""COMPUTED_VALUE"""),"Dubai")</f>
        <v>Dubai</v>
      </c>
      <c r="B3731" s="2" t="str">
        <f ca="1">IFERROR(__xludf.DUMMYFUNCTION("""COMPUTED_VALUE"""),"House of Well")</f>
        <v>House of Well</v>
      </c>
      <c r="C3731" s="2" t="str">
        <f ca="1">IFERROR(__xludf.DUMMYFUNCTION("""COMPUTED_VALUE"""),"Building")</f>
        <v>Building</v>
      </c>
      <c r="D3731" s="2" t="str">
        <f ca="1">IFERROR(__xludf.DUMMYFUNCTION("""COMPUTED_VALUE"""),"Dubai&gt;Dubai Islands&gt;House of Well")</f>
        <v>Dubai&gt;Dubai Islands&gt;House of Well</v>
      </c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</row>
    <row r="3732" spans="1:26" ht="16.5" x14ac:dyDescent="0.35">
      <c r="A3732" s="2" t="str">
        <f ca="1">IFERROR(__xludf.DUMMYFUNCTION("""COMPUTED_VALUE"""),"Dubai")</f>
        <v>Dubai</v>
      </c>
      <c r="B3732" s="2" t="str">
        <f ca="1">IFERROR(__xludf.DUMMYFUNCTION("""COMPUTED_VALUE"""),"Hado by Beyond Tower A")</f>
        <v>Hado by Beyond Tower A</v>
      </c>
      <c r="C3732" s="2" t="str">
        <f ca="1">IFERROR(__xludf.DUMMYFUNCTION("""COMPUTED_VALUE"""),"Building")</f>
        <v>Building</v>
      </c>
      <c r="D3732" s="2" t="str">
        <f ca="1">IFERROR(__xludf.DUMMYFUNCTION("""COMPUTED_VALUE"""),"Dubai&gt;Dubai Islands&gt;Hado by Beyond&gt;Hado by Beyond Tower A")</f>
        <v>Dubai&gt;Dubai Islands&gt;Hado by Beyond&gt;Hado by Beyond Tower A</v>
      </c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</row>
    <row r="3733" spans="1:26" ht="16.5" x14ac:dyDescent="0.35">
      <c r="A3733" s="2" t="str">
        <f ca="1">IFERROR(__xludf.DUMMYFUNCTION("""COMPUTED_VALUE"""),"Dubai")</f>
        <v>Dubai</v>
      </c>
      <c r="B3733" s="2" t="str">
        <f ca="1">IFERROR(__xludf.DUMMYFUNCTION("""COMPUTED_VALUE"""),"Zalfa Building")</f>
        <v>Zalfa Building</v>
      </c>
      <c r="C3733" s="2" t="str">
        <f ca="1">IFERROR(__xludf.DUMMYFUNCTION("""COMPUTED_VALUE"""),"Building")</f>
        <v>Building</v>
      </c>
      <c r="D3733" s="2" t="str">
        <f ca="1">IFERROR(__xludf.DUMMYFUNCTION("""COMPUTED_VALUE"""),"Dubai&gt;Al Garhoud&gt;Zalfa Building")</f>
        <v>Dubai&gt;Al Garhoud&gt;Zalfa Building</v>
      </c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</row>
    <row r="3734" spans="1:26" ht="16.5" x14ac:dyDescent="0.35">
      <c r="A3734" s="2" t="str">
        <f ca="1">IFERROR(__xludf.DUMMYFUNCTION("""COMPUTED_VALUE"""),"Dubai")</f>
        <v>Dubai</v>
      </c>
      <c r="B3734" s="2" t="str">
        <f ca="1">IFERROR(__xludf.DUMMYFUNCTION("""COMPUTED_VALUE"""),"Jumeirah Islands Townhouses")</f>
        <v>Jumeirah Islands Townhouses</v>
      </c>
      <c r="C3734" s="2" t="str">
        <f ca="1">IFERROR(__xludf.DUMMYFUNCTION("""COMPUTED_VALUE"""),"Neighbourhood")</f>
        <v>Neighbourhood</v>
      </c>
      <c r="D3734" s="2" t="str">
        <f ca="1">IFERROR(__xludf.DUMMYFUNCTION("""COMPUTED_VALUE"""),"Dubai&gt;Jumeirah Islands&gt;Jumeirah Islands Townhouses")</f>
        <v>Dubai&gt;Jumeirah Islands&gt;Jumeirah Islands Townhouses</v>
      </c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</row>
    <row r="3735" spans="1:26" ht="16.5" x14ac:dyDescent="0.35">
      <c r="A3735" s="2" t="str">
        <f ca="1">IFERROR(__xludf.DUMMYFUNCTION("""COMPUTED_VALUE"""),"Dubai")</f>
        <v>Dubai</v>
      </c>
      <c r="B3735" s="2" t="str">
        <f ca="1">IFERROR(__xludf.DUMMYFUNCTION("""COMPUTED_VALUE"""),"Cluster 36")</f>
        <v>Cluster 36</v>
      </c>
      <c r="C3735" s="2" t="str">
        <f ca="1">IFERROR(__xludf.DUMMYFUNCTION("""COMPUTED_VALUE"""),"Neighbourhood")</f>
        <v>Neighbourhood</v>
      </c>
      <c r="D3735" s="2" t="str">
        <f ca="1">IFERROR(__xludf.DUMMYFUNCTION("""COMPUTED_VALUE"""),"Dubai&gt;Jumeirah Islands&gt;Cluster 36")</f>
        <v>Dubai&gt;Jumeirah Islands&gt;Cluster 36</v>
      </c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</row>
    <row r="3736" spans="1:26" ht="16.5" x14ac:dyDescent="0.35">
      <c r="A3736" s="2" t="str">
        <f ca="1">IFERROR(__xludf.DUMMYFUNCTION("""COMPUTED_VALUE"""),"Dubai")</f>
        <v>Dubai</v>
      </c>
      <c r="B3736" s="2" t="str">
        <f ca="1">IFERROR(__xludf.DUMMYFUNCTION("""COMPUTED_VALUE"""),"Garden West Apartments G")</f>
        <v>Garden West Apartments G</v>
      </c>
      <c r="C3736" s="2" t="str">
        <f ca="1">IFERROR(__xludf.DUMMYFUNCTION("""COMPUTED_VALUE"""),"Building")</f>
        <v>Building</v>
      </c>
      <c r="D3736" s="2" t="str">
        <f ca="1">IFERROR(__xludf.DUMMYFUNCTION("""COMPUTED_VALUE"""),"Dubai&gt;Green Community&gt;Garden West Apartments&gt;Garden West Apartments G")</f>
        <v>Dubai&gt;Green Community&gt;Garden West Apartments&gt;Garden West Apartments G</v>
      </c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</row>
    <row r="3737" spans="1:26" ht="16.5" x14ac:dyDescent="0.35">
      <c r="A3737" s="2" t="str">
        <f ca="1">IFERROR(__xludf.DUMMYFUNCTION("""COMPUTED_VALUE"""),"Dubai")</f>
        <v>Dubai</v>
      </c>
      <c r="B3737" s="2" t="str">
        <f ca="1">IFERROR(__xludf.DUMMYFUNCTION("""COMPUTED_VALUE"""),"Terrace Apartments F")</f>
        <v>Terrace Apartments F</v>
      </c>
      <c r="C3737" s="2" t="str">
        <f ca="1">IFERROR(__xludf.DUMMYFUNCTION("""COMPUTED_VALUE"""),"Building")</f>
        <v>Building</v>
      </c>
      <c r="D3737" s="2" t="str">
        <f ca="1">IFERROR(__xludf.DUMMYFUNCTION("""COMPUTED_VALUE"""),"Dubai&gt;Green Community&gt;Green Community East&gt;Terrace Apartments&gt;Terrace Apartments F")</f>
        <v>Dubai&gt;Green Community&gt;Green Community East&gt;Terrace Apartments&gt;Terrace Apartments F</v>
      </c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</row>
    <row r="3738" spans="1:26" ht="16.5" x14ac:dyDescent="0.35">
      <c r="A3738" s="2" t="str">
        <f ca="1">IFERROR(__xludf.DUMMYFUNCTION("""COMPUTED_VALUE"""),"Dubai")</f>
        <v>Dubai</v>
      </c>
      <c r="B3738" s="2" t="str">
        <f ca="1">IFERROR(__xludf.DUMMYFUNCTION("""COMPUTED_VALUE"""),"Royal Residence")</f>
        <v>Royal Residence</v>
      </c>
      <c r="C3738" s="2" t="str">
        <f ca="1">IFERROR(__xludf.DUMMYFUNCTION("""COMPUTED_VALUE"""),"Cluster")</f>
        <v>Cluster</v>
      </c>
      <c r="D3738" s="2" t="str">
        <f ca="1">IFERROR(__xludf.DUMMYFUNCTION("""COMPUTED_VALUE"""),"Dubai&gt;Dubai Sports City&gt;Royal Residence")</f>
        <v>Dubai&gt;Dubai Sports City&gt;Royal Residence</v>
      </c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</row>
    <row r="3739" spans="1:26" ht="16.5" x14ac:dyDescent="0.35">
      <c r="A3739" s="2" t="str">
        <f ca="1">IFERROR(__xludf.DUMMYFUNCTION("""COMPUTED_VALUE"""),"Dubai")</f>
        <v>Dubai</v>
      </c>
      <c r="B3739" s="2" t="str">
        <f ca="1">IFERROR(__xludf.DUMMYFUNCTION("""COMPUTED_VALUE"""),"Frankfurt Sports Tower")</f>
        <v>Frankfurt Sports Tower</v>
      </c>
      <c r="C3739" s="2" t="str">
        <f ca="1">IFERROR(__xludf.DUMMYFUNCTION("""COMPUTED_VALUE"""),"Building")</f>
        <v>Building</v>
      </c>
      <c r="D3739" s="2" t="str">
        <f ca="1">IFERROR(__xludf.DUMMYFUNCTION("""COMPUTED_VALUE"""),"Dubai&gt;Dubai Sports City&gt;Frankfurt Sports Tower")</f>
        <v>Dubai&gt;Dubai Sports City&gt;Frankfurt Sports Tower</v>
      </c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</row>
    <row r="3740" spans="1:26" ht="16.5" x14ac:dyDescent="0.35">
      <c r="A3740" s="2" t="str">
        <f ca="1">IFERROR(__xludf.DUMMYFUNCTION("""COMPUTED_VALUE"""),"Dubai")</f>
        <v>Dubai</v>
      </c>
      <c r="B3740" s="2" t="str">
        <f ca="1">IFERROR(__xludf.DUMMYFUNCTION("""COMPUTED_VALUE"""),"Ice Hockey Tower")</f>
        <v>Ice Hockey Tower</v>
      </c>
      <c r="C3740" s="2" t="str">
        <f ca="1">IFERROR(__xludf.DUMMYFUNCTION("""COMPUTED_VALUE"""),"Building")</f>
        <v>Building</v>
      </c>
      <c r="D3740" s="2" t="str">
        <f ca="1">IFERROR(__xludf.DUMMYFUNCTION("""COMPUTED_VALUE"""),"Dubai&gt;Dubai Sports City&gt;Ice Hockey Tower")</f>
        <v>Dubai&gt;Dubai Sports City&gt;Ice Hockey Tower</v>
      </c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</row>
    <row r="3741" spans="1:26" ht="16.5" x14ac:dyDescent="0.35">
      <c r="A3741" s="2" t="str">
        <f ca="1">IFERROR(__xludf.DUMMYFUNCTION("""COMPUTED_VALUE"""),"Dubai")</f>
        <v>Dubai</v>
      </c>
      <c r="B3741" s="2" t="str">
        <f ca="1">IFERROR(__xludf.DUMMYFUNCTION("""COMPUTED_VALUE"""),"Global Golf Residence 2")</f>
        <v>Global Golf Residence 2</v>
      </c>
      <c r="C3741" s="2" t="str">
        <f ca="1">IFERROR(__xludf.DUMMYFUNCTION("""COMPUTED_VALUE"""),"Building")</f>
        <v>Building</v>
      </c>
      <c r="D3741" s="2" t="str">
        <f ca="1">IFERROR(__xludf.DUMMYFUNCTION("""COMPUTED_VALUE"""),"Dubai&gt;Dubai Sports City&gt;Global Golf Residence&gt;Global Golf Residence 2")</f>
        <v>Dubai&gt;Dubai Sports City&gt;Global Golf Residence&gt;Global Golf Residence 2</v>
      </c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</row>
    <row r="3742" spans="1:26" ht="16.5" x14ac:dyDescent="0.35">
      <c r="A3742" s="2" t="str">
        <f ca="1">IFERROR(__xludf.DUMMYFUNCTION("""COMPUTED_VALUE"""),"Dubai")</f>
        <v>Dubai</v>
      </c>
      <c r="B3742" s="2" t="str">
        <f ca="1">IFERROR(__xludf.DUMMYFUNCTION("""COMPUTED_VALUE"""),"Al Nahda 1")</f>
        <v>Al Nahda 1</v>
      </c>
      <c r="C3742" s="2" t="str">
        <f ca="1">IFERROR(__xludf.DUMMYFUNCTION("""COMPUTED_VALUE"""),"Neighbourhood")</f>
        <v>Neighbourhood</v>
      </c>
      <c r="D3742" s="2" t="str">
        <f ca="1">IFERROR(__xludf.DUMMYFUNCTION("""COMPUTED_VALUE"""),"Dubai&gt;Al Nahda (Dubai)&gt;Al Nahda 1")</f>
        <v>Dubai&gt;Al Nahda (Dubai)&gt;Al Nahda 1</v>
      </c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</row>
    <row r="3743" spans="1:26" ht="16.5" x14ac:dyDescent="0.35">
      <c r="A3743" s="2" t="str">
        <f ca="1">IFERROR(__xludf.DUMMYFUNCTION("""COMPUTED_VALUE"""),"Dubai")</f>
        <v>Dubai</v>
      </c>
      <c r="B3743" s="2" t="str">
        <f ca="1">IFERROR(__xludf.DUMMYFUNCTION("""COMPUTED_VALUE"""),"Bin Juma 5")</f>
        <v>Bin Juma 5</v>
      </c>
      <c r="C3743" s="2" t="str">
        <f ca="1">IFERROR(__xludf.DUMMYFUNCTION("""COMPUTED_VALUE"""),"Building")</f>
        <v>Building</v>
      </c>
      <c r="D3743" s="2" t="str">
        <f ca="1">IFERROR(__xludf.DUMMYFUNCTION("""COMPUTED_VALUE"""),"Dubai&gt;Al Nahda (Dubai)&gt;Al Nahda 1&gt;Bin Juma&gt;Bin Juma 5")</f>
        <v>Dubai&gt;Al Nahda (Dubai)&gt;Al Nahda 1&gt;Bin Juma&gt;Bin Juma 5</v>
      </c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</row>
    <row r="3744" spans="1:26" ht="16.5" x14ac:dyDescent="0.35">
      <c r="A3744" s="2" t="str">
        <f ca="1">IFERROR(__xludf.DUMMYFUNCTION("""COMPUTED_VALUE"""),"Dubai")</f>
        <v>Dubai</v>
      </c>
      <c r="B3744" s="2" t="str">
        <f ca="1">IFERROR(__xludf.DUMMYFUNCTION("""COMPUTED_VALUE"""),"Abdulla Tower 1")</f>
        <v>Abdulla Tower 1</v>
      </c>
      <c r="C3744" s="2" t="str">
        <f ca="1">IFERROR(__xludf.DUMMYFUNCTION("""COMPUTED_VALUE"""),"Building")</f>
        <v>Building</v>
      </c>
      <c r="D3744" s="2" t="str">
        <f ca="1">IFERROR(__xludf.DUMMYFUNCTION("""COMPUTED_VALUE"""),"Dubai&gt;Al Nahda (Dubai)&gt;Al Nahda 2&gt;Abdulla Tower 1")</f>
        <v>Dubai&gt;Al Nahda (Dubai)&gt;Al Nahda 2&gt;Abdulla Tower 1</v>
      </c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</row>
    <row r="3745" spans="1:26" ht="16.5" x14ac:dyDescent="0.35">
      <c r="A3745" s="2" t="str">
        <f ca="1">IFERROR(__xludf.DUMMYFUNCTION("""COMPUTED_VALUE"""),"Dubai")</f>
        <v>Dubai</v>
      </c>
      <c r="B3745" s="2" t="str">
        <f ca="1">IFERROR(__xludf.DUMMYFUNCTION("""COMPUTED_VALUE"""),"Al Murjan Tower")</f>
        <v>Al Murjan Tower</v>
      </c>
      <c r="C3745" s="2" t="str">
        <f ca="1">IFERROR(__xludf.DUMMYFUNCTION("""COMPUTED_VALUE"""),"Building")</f>
        <v>Building</v>
      </c>
      <c r="D3745" s="2" t="str">
        <f ca="1">IFERROR(__xludf.DUMMYFUNCTION("""COMPUTED_VALUE"""),"Dubai&gt;Al Nahda (Dubai)&gt;Al Nahda 2&gt;Al Murjan Tower")</f>
        <v>Dubai&gt;Al Nahda (Dubai)&gt;Al Nahda 2&gt;Al Murjan Tower</v>
      </c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</row>
    <row r="3746" spans="1:26" ht="16.5" x14ac:dyDescent="0.35">
      <c r="A3746" s="2" t="str">
        <f ca="1">IFERROR(__xludf.DUMMYFUNCTION("""COMPUTED_VALUE"""),"Dubai")</f>
        <v>Dubai</v>
      </c>
      <c r="B3746" s="2" t="str">
        <f ca="1">IFERROR(__xludf.DUMMYFUNCTION("""COMPUTED_VALUE"""),"Al Nahda Residence")</f>
        <v>Al Nahda Residence</v>
      </c>
      <c r="C3746" s="2" t="str">
        <f ca="1">IFERROR(__xludf.DUMMYFUNCTION("""COMPUTED_VALUE"""),"Building")</f>
        <v>Building</v>
      </c>
      <c r="D3746" s="2" t="str">
        <f ca="1">IFERROR(__xludf.DUMMYFUNCTION("""COMPUTED_VALUE"""),"Dubai&gt;Al Nahda (Dubai)&gt;Al Nahda 2&gt;Al Nahda Residence")</f>
        <v>Dubai&gt;Al Nahda (Dubai)&gt;Al Nahda 2&gt;Al Nahda Residence</v>
      </c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</row>
    <row r="3747" spans="1:26" ht="16.5" x14ac:dyDescent="0.35">
      <c r="A3747" s="2" t="str">
        <f ca="1">IFERROR(__xludf.DUMMYFUNCTION("""COMPUTED_VALUE"""),"Dubai")</f>
        <v>Dubai</v>
      </c>
      <c r="B3747" s="2" t="str">
        <f ca="1">IFERROR(__xludf.DUMMYFUNCTION("""COMPUTED_VALUE"""),"Al Zarooni Building 1")</f>
        <v>Al Zarooni Building 1</v>
      </c>
      <c r="C3747" s="2" t="str">
        <f ca="1">IFERROR(__xludf.DUMMYFUNCTION("""COMPUTED_VALUE"""),"Building")</f>
        <v>Building</v>
      </c>
      <c r="D3747" s="2" t="str">
        <f ca="1">IFERROR(__xludf.DUMMYFUNCTION("""COMPUTED_VALUE"""),"Dubai&gt;Al Nahda (Dubai)&gt;Al Nahda 2&gt;Al Zarooni Building 1")</f>
        <v>Dubai&gt;Al Nahda (Dubai)&gt;Al Nahda 2&gt;Al Zarooni Building 1</v>
      </c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</row>
    <row r="3748" spans="1:26" ht="16.5" x14ac:dyDescent="0.35">
      <c r="A3748" s="2" t="str">
        <f ca="1">IFERROR(__xludf.DUMMYFUNCTION("""COMPUTED_VALUE"""),"Dubai")</f>
        <v>Dubai</v>
      </c>
      <c r="B3748" s="2" t="str">
        <f ca="1">IFERROR(__xludf.DUMMYFUNCTION("""COMPUTED_VALUE"""),"District 3")</f>
        <v>District 3</v>
      </c>
      <c r="C3748" s="2" t="str">
        <f ca="1">IFERROR(__xludf.DUMMYFUNCTION("""COMPUTED_VALUE"""),"Neighbourhood")</f>
        <v>Neighbourhood</v>
      </c>
      <c r="D3748" s="2" t="str">
        <f ca="1">IFERROR(__xludf.DUMMYFUNCTION("""COMPUTED_VALUE"""),"Dubai&gt;Jumeirah Park&gt;District 3")</f>
        <v>Dubai&gt;Jumeirah Park&gt;District 3</v>
      </c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</row>
    <row r="3749" spans="1:26" ht="16.5" x14ac:dyDescent="0.35">
      <c r="A3749" s="2" t="str">
        <f ca="1">IFERROR(__xludf.DUMMYFUNCTION("""COMPUTED_VALUE"""),"Dubai")</f>
        <v>Dubai</v>
      </c>
      <c r="B3749" s="2" t="str">
        <f ca="1">IFERROR(__xludf.DUMMYFUNCTION("""COMPUTED_VALUE"""),"Morocco")</f>
        <v>Morocco</v>
      </c>
      <c r="C3749" s="2" t="str">
        <f ca="1">IFERROR(__xludf.DUMMYFUNCTION("""COMPUTED_VALUE"""),"Neighbourhood")</f>
        <v>Neighbourhood</v>
      </c>
      <c r="D3749" s="2" t="str">
        <f ca="1">IFERROR(__xludf.DUMMYFUNCTION("""COMPUTED_VALUE"""),"Dubai&gt;DAMAC Lagoons&gt;Morocco")</f>
        <v>Dubai&gt;DAMAC Lagoons&gt;Morocco</v>
      </c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</row>
    <row r="3750" spans="1:26" ht="16.5" x14ac:dyDescent="0.35">
      <c r="A3750" s="2" t="str">
        <f ca="1">IFERROR(__xludf.DUMMYFUNCTION("""COMPUTED_VALUE"""),"Dubai")</f>
        <v>Dubai</v>
      </c>
      <c r="B3750" s="2" t="str">
        <f ca="1">IFERROR(__xludf.DUMMYFUNCTION("""COMPUTED_VALUE"""),"Halim 1")</f>
        <v>Halim 1</v>
      </c>
      <c r="C3750" s="2" t="str">
        <f ca="1">IFERROR(__xludf.DUMMYFUNCTION("""COMPUTED_VALUE"""),"Building")</f>
        <v>Building</v>
      </c>
      <c r="D3750" s="2" t="str">
        <f ca="1">IFERROR(__xludf.DUMMYFUNCTION("""COMPUTED_VALUE"""),"Dubai&gt;Liwan 2&gt;Halim 1")</f>
        <v>Dubai&gt;Liwan 2&gt;Halim 1</v>
      </c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</row>
    <row r="3751" spans="1:26" ht="16.5" x14ac:dyDescent="0.35">
      <c r="A3751" s="2" t="str">
        <f ca="1">IFERROR(__xludf.DUMMYFUNCTION("""COMPUTED_VALUE"""),"Dubai")</f>
        <v>Dubai</v>
      </c>
      <c r="B3751" s="2" t="str">
        <f ca="1">IFERROR(__xludf.DUMMYFUNCTION("""COMPUTED_VALUE"""),"DGM Pearl")</f>
        <v>DGM Pearl</v>
      </c>
      <c r="C3751" s="2" t="str">
        <f ca="1">IFERROR(__xludf.DUMMYFUNCTION("""COMPUTED_VALUE"""),"Building")</f>
        <v>Building</v>
      </c>
      <c r="D3751" s="2" t="str">
        <f ca="1">IFERROR(__xludf.DUMMYFUNCTION("""COMPUTED_VALUE"""),"Dubai&gt;Liwan 2&gt;DGM Pearl")</f>
        <v>Dubai&gt;Liwan 2&gt;DGM Pearl</v>
      </c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</row>
    <row r="3752" spans="1:26" ht="16.5" x14ac:dyDescent="0.35">
      <c r="A3752" s="2" t="str">
        <f ca="1">IFERROR(__xludf.DUMMYFUNCTION("""COMPUTED_VALUE"""),"Dubai")</f>
        <v>Dubai</v>
      </c>
      <c r="B3752" s="2" t="str">
        <f ca="1">IFERROR(__xludf.DUMMYFUNCTION("""COMPUTED_VALUE"""),"Dubai Investment Park 1")</f>
        <v>Dubai Investment Park 1</v>
      </c>
      <c r="C3752" s="2" t="str">
        <f ca="1">IFERROR(__xludf.DUMMYFUNCTION("""COMPUTED_VALUE"""),"Neighbourhood")</f>
        <v>Neighbourhood</v>
      </c>
      <c r="D3752" s="2" t="str">
        <f ca="1">IFERROR(__xludf.DUMMYFUNCTION("""COMPUTED_VALUE"""),"Dubai&gt;Dubai Investment Park (DIP)&gt;Dubai Investment Park 1")</f>
        <v>Dubai&gt;Dubai Investment Park (DIP)&gt;Dubai Investment Park 1</v>
      </c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</row>
    <row r="3753" spans="1:26" ht="16.5" x14ac:dyDescent="0.35">
      <c r="A3753" s="2" t="str">
        <f ca="1">IFERROR(__xludf.DUMMYFUNCTION("""COMPUTED_VALUE"""),"Dubai")</f>
        <v>Dubai</v>
      </c>
      <c r="B3753" s="2" t="str">
        <f ca="1">IFERROR(__xludf.DUMMYFUNCTION("""COMPUTED_VALUE"""),"The 7even Block E")</f>
        <v>The 7even Block E</v>
      </c>
      <c r="C3753" s="2" t="str">
        <f ca="1">IFERROR(__xludf.DUMMYFUNCTION("""COMPUTED_VALUE"""),"Building")</f>
        <v>Building</v>
      </c>
      <c r="D3753" s="2" t="str">
        <f ca="1">IFERROR(__xludf.DUMMYFUNCTION("""COMPUTED_VALUE"""),"Dubai&gt;Dubai Investment Park (DIP)&gt;Dubai Investment Park 1&gt;The 7even&gt;The 7even Block E")</f>
        <v>Dubai&gt;Dubai Investment Park (DIP)&gt;Dubai Investment Park 1&gt;The 7even&gt;The 7even Block E</v>
      </c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</row>
    <row r="3754" spans="1:26" ht="16.5" x14ac:dyDescent="0.35">
      <c r="A3754" s="2" t="str">
        <f ca="1">IFERROR(__xludf.DUMMYFUNCTION("""COMPUTED_VALUE"""),"Dubai")</f>
        <v>Dubai</v>
      </c>
      <c r="B3754" s="2" t="str">
        <f ca="1">IFERROR(__xludf.DUMMYFUNCTION("""COMPUTED_VALUE"""),"Emirates Post Group Labour Camp")</f>
        <v>Emirates Post Group Labour Camp</v>
      </c>
      <c r="C3754" s="2" t="str">
        <f ca="1">IFERROR(__xludf.DUMMYFUNCTION("""COMPUTED_VALUE"""),"Building")</f>
        <v>Building</v>
      </c>
      <c r="D3754" s="2" t="str">
        <f ca="1">IFERROR(__xludf.DUMMYFUNCTION("""COMPUTED_VALUE"""),"Dubai&gt;Dubai Investment Park (DIP)&gt;Dubai Investment Park 1&gt;Emirates Post Group Labour Camp")</f>
        <v>Dubai&gt;Dubai Investment Park (DIP)&gt;Dubai Investment Park 1&gt;Emirates Post Group Labour Camp</v>
      </c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</row>
    <row r="3755" spans="1:26" ht="16.5" x14ac:dyDescent="0.35">
      <c r="A3755" s="2" t="str">
        <f ca="1">IFERROR(__xludf.DUMMYFUNCTION("""COMPUTED_VALUE"""),"Dubai")</f>
        <v>Dubai</v>
      </c>
      <c r="B3755" s="2" t="str">
        <f ca="1">IFERROR(__xludf.DUMMYFUNCTION("""COMPUTED_VALUE"""),"Falcon House")</f>
        <v>Falcon House</v>
      </c>
      <c r="C3755" s="2" t="str">
        <f ca="1">IFERROR(__xludf.DUMMYFUNCTION("""COMPUTED_VALUE"""),"Building")</f>
        <v>Building</v>
      </c>
      <c r="D3755" s="2" t="str">
        <f ca="1">IFERROR(__xludf.DUMMYFUNCTION("""COMPUTED_VALUE"""),"Dubai&gt;Dubai Investment Park (DIP)&gt;Falcon House")</f>
        <v>Dubai&gt;Dubai Investment Park (DIP)&gt;Falcon House</v>
      </c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</row>
    <row r="3756" spans="1:26" ht="16.5" x14ac:dyDescent="0.35">
      <c r="A3756" s="2" t="str">
        <f ca="1">IFERROR(__xludf.DUMMYFUNCTION("""COMPUTED_VALUE"""),"Dubai")</f>
        <v>Dubai</v>
      </c>
      <c r="B3756" s="2" t="str">
        <f ca="1">IFERROR(__xludf.DUMMYFUNCTION("""COMPUTED_VALUE"""),"B9")</f>
        <v>B9</v>
      </c>
      <c r="C3756" s="2" t="str">
        <f ca="1">IFERROR(__xludf.DUMMYFUNCTION("""COMPUTED_VALUE"""),"Building")</f>
        <v>Building</v>
      </c>
      <c r="D3756" s="2" t="str">
        <f ca="1">IFERROR(__xludf.DUMMYFUNCTION("""COMPUTED_VALUE"""),"Dubai&gt;Dubai Investment Park (DIP)&gt;Dubai Investment Park 2&gt;Dunes Village&gt;B9")</f>
        <v>Dubai&gt;Dubai Investment Park (DIP)&gt;Dubai Investment Park 2&gt;Dunes Village&gt;B9</v>
      </c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</row>
    <row r="3757" spans="1:26" ht="16.5" x14ac:dyDescent="0.35">
      <c r="A3757" s="2" t="str">
        <f ca="1">IFERROR(__xludf.DUMMYFUNCTION("""COMPUTED_VALUE"""),"Dubai")</f>
        <v>Dubai</v>
      </c>
      <c r="B3757" s="2" t="str">
        <f ca="1">IFERROR(__xludf.DUMMYFUNCTION("""COMPUTED_VALUE"""),"Verdana Residence")</f>
        <v>Verdana Residence</v>
      </c>
      <c r="C3757" s="2" t="str">
        <f ca="1">IFERROR(__xludf.DUMMYFUNCTION("""COMPUTED_VALUE"""),"Building")</f>
        <v>Building</v>
      </c>
      <c r="D3757" s="2" t="str">
        <f ca="1">IFERROR(__xludf.DUMMYFUNCTION("""COMPUTED_VALUE"""),"Dubai&gt;Dubai Investment Park (DIP)&gt;Verdana Residence")</f>
        <v>Dubai&gt;Dubai Investment Park (DIP)&gt;Verdana Residence</v>
      </c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</row>
    <row r="3758" spans="1:26" ht="16.5" x14ac:dyDescent="0.35">
      <c r="A3758" s="2" t="str">
        <f ca="1">IFERROR(__xludf.DUMMYFUNCTION("""COMPUTED_VALUE"""),"Dubai")</f>
        <v>Dubai</v>
      </c>
      <c r="B3758" s="2" t="str">
        <f ca="1">IFERROR(__xludf.DUMMYFUNCTION("""COMPUTED_VALUE"""),"Grand Polo Club &amp; Resort")</f>
        <v>Grand Polo Club &amp; Resort</v>
      </c>
      <c r="C3758" s="2" t="str">
        <f ca="1">IFERROR(__xludf.DUMMYFUNCTION("""COMPUTED_VALUE"""),"Neighbourhood")</f>
        <v>Neighbourhood</v>
      </c>
      <c r="D3758" s="2" t="str">
        <f ca="1">IFERROR(__xludf.DUMMYFUNCTION("""COMPUTED_VALUE"""),"Dubai&gt;Dubai Investment Park (DIP)&gt;Grand Polo Club &amp; Resort")</f>
        <v>Dubai&gt;Dubai Investment Park (DIP)&gt;Grand Polo Club &amp; Resort</v>
      </c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</row>
    <row r="3759" spans="1:26" ht="16.5" x14ac:dyDescent="0.35">
      <c r="A3759" s="2" t="str">
        <f ca="1">IFERROR(__xludf.DUMMYFUNCTION("""COMPUTED_VALUE"""),"Dubai")</f>
        <v>Dubai</v>
      </c>
      <c r="B3759" s="2" t="str">
        <f ca="1">IFERROR(__xludf.DUMMYFUNCTION("""COMPUTED_VALUE"""),"Al Rabia Tower")</f>
        <v>Al Rabia Tower</v>
      </c>
      <c r="C3759" s="2" t="str">
        <f ca="1">IFERROR(__xludf.DUMMYFUNCTION("""COMPUTED_VALUE"""),"Building")</f>
        <v>Building</v>
      </c>
      <c r="D3759" s="2" t="str">
        <f ca="1">IFERROR(__xludf.DUMMYFUNCTION("""COMPUTED_VALUE"""),"Dubai&gt;Majan&gt;Al Rabia Tower")</f>
        <v>Dubai&gt;Majan&gt;Al Rabia Tower</v>
      </c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</row>
    <row r="3760" spans="1:26" ht="16.5" x14ac:dyDescent="0.35">
      <c r="A3760" s="2" t="str">
        <f ca="1">IFERROR(__xludf.DUMMYFUNCTION("""COMPUTED_VALUE"""),"Dubai")</f>
        <v>Dubai</v>
      </c>
      <c r="B3760" s="2" t="str">
        <f ca="1">IFERROR(__xludf.DUMMYFUNCTION("""COMPUTED_VALUE"""),"Aras Heights")</f>
        <v>Aras Heights</v>
      </c>
      <c r="C3760" s="2" t="str">
        <f ca="1">IFERROR(__xludf.DUMMYFUNCTION("""COMPUTED_VALUE"""),"Building")</f>
        <v>Building</v>
      </c>
      <c r="D3760" s="2" t="str">
        <f ca="1">IFERROR(__xludf.DUMMYFUNCTION("""COMPUTED_VALUE"""),"Dubai&gt;Majan&gt;Aras Heights")</f>
        <v>Dubai&gt;Majan&gt;Aras Heights</v>
      </c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</row>
    <row r="3761" spans="1:26" ht="16.5" x14ac:dyDescent="0.35">
      <c r="A3761" s="2" t="str">
        <f ca="1">IFERROR(__xludf.DUMMYFUNCTION("""COMPUTED_VALUE"""),"Dubai")</f>
        <v>Dubai</v>
      </c>
      <c r="B3761" s="2" t="str">
        <f ca="1">IFERROR(__xludf.DUMMYFUNCTION("""COMPUTED_VALUE"""),"OST Tower 11")</f>
        <v>OST Tower 11</v>
      </c>
      <c r="C3761" s="2" t="str">
        <f ca="1">IFERROR(__xludf.DUMMYFUNCTION("""COMPUTED_VALUE"""),"Building")</f>
        <v>Building</v>
      </c>
      <c r="D3761" s="2" t="str">
        <f ca="1">IFERROR(__xludf.DUMMYFUNCTION("""COMPUTED_VALUE"""),"Dubai&gt;Majan&gt;OST Tower 11")</f>
        <v>Dubai&gt;Majan&gt;OST Tower 11</v>
      </c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</row>
    <row r="3762" spans="1:26" ht="16.5" x14ac:dyDescent="0.35">
      <c r="A3762" s="2" t="str">
        <f ca="1">IFERROR(__xludf.DUMMYFUNCTION("""COMPUTED_VALUE"""),"Dubai")</f>
        <v>Dubai</v>
      </c>
      <c r="B3762" s="2" t="str">
        <f ca="1">IFERROR(__xludf.DUMMYFUNCTION("""COMPUTED_VALUE"""),"350 Riverside Crescent")</f>
        <v>350 Riverside Crescent</v>
      </c>
      <c r="C3762" s="2" t="str">
        <f ca="1">IFERROR(__xludf.DUMMYFUNCTION("""COMPUTED_VALUE"""),"Building")</f>
        <v>Building</v>
      </c>
      <c r="D3762" s="2" t="str">
        <f ca="1">IFERROR(__xludf.DUMMYFUNCTION("""COMPUTED_VALUE"""),"Dubai&gt;Sobha Hartland 2&gt;Riverside Crescent&gt;350 Riverside Crescent")</f>
        <v>Dubai&gt;Sobha Hartland 2&gt;Riverside Crescent&gt;350 Riverside Crescent</v>
      </c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</row>
    <row r="3763" spans="1:26" ht="16.5" x14ac:dyDescent="0.35">
      <c r="A3763" s="2" t="str">
        <f ca="1">IFERROR(__xludf.DUMMYFUNCTION("""COMPUTED_VALUE"""),"Dubai")</f>
        <v>Dubai</v>
      </c>
      <c r="B3763" s="2" t="str">
        <f ca="1">IFERROR(__xludf.DUMMYFUNCTION("""COMPUTED_VALUE"""),"Laya Heights")</f>
        <v>Laya Heights</v>
      </c>
      <c r="C3763" s="2" t="str">
        <f ca="1">IFERROR(__xludf.DUMMYFUNCTION("""COMPUTED_VALUE"""),"Building")</f>
        <v>Building</v>
      </c>
      <c r="D3763" s="2" t="str">
        <f ca="1">IFERROR(__xludf.DUMMYFUNCTION("""COMPUTED_VALUE"""),"Dubai&gt;Dubai Studio City&gt;Laya Heights")</f>
        <v>Dubai&gt;Dubai Studio City&gt;Laya Heights</v>
      </c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</row>
    <row r="3764" spans="1:26" ht="16.5" x14ac:dyDescent="0.35">
      <c r="A3764" s="2" t="str">
        <f ca="1">IFERROR(__xludf.DUMMYFUNCTION("""COMPUTED_VALUE"""),"Dubai")</f>
        <v>Dubai</v>
      </c>
      <c r="B3764" s="2" t="str">
        <f ca="1">IFERROR(__xludf.DUMMYFUNCTION("""COMPUTED_VALUE"""),"Azizi Beach Oasis 2")</f>
        <v>Azizi Beach Oasis 2</v>
      </c>
      <c r="C3764" s="2" t="str">
        <f ca="1">IFERROR(__xludf.DUMMYFUNCTION("""COMPUTED_VALUE"""),"Cluster")</f>
        <v>Cluster</v>
      </c>
      <c r="D3764" s="2" t="str">
        <f ca="1">IFERROR(__xludf.DUMMYFUNCTION("""COMPUTED_VALUE"""),"Dubai&gt;Dubai Studio City&gt;Azizi Beach Oasis 2")</f>
        <v>Dubai&gt;Dubai Studio City&gt;Azizi Beach Oasis 2</v>
      </c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</row>
    <row r="3765" spans="1:26" ht="16.5" x14ac:dyDescent="0.35">
      <c r="A3765" s="2" t="str">
        <f ca="1">IFERROR(__xludf.DUMMYFUNCTION("""COMPUTED_VALUE"""),"Dubai")</f>
        <v>Dubai</v>
      </c>
      <c r="B3765" s="2" t="str">
        <f ca="1">IFERROR(__xludf.DUMMYFUNCTION("""COMPUTED_VALUE"""),"Quad Homes")</f>
        <v>Quad Homes</v>
      </c>
      <c r="C3765" s="2" t="str">
        <f ca="1">IFERROR(__xludf.DUMMYFUNCTION("""COMPUTED_VALUE"""),"Neighbourhood")</f>
        <v>Neighbourhood</v>
      </c>
      <c r="D3765" s="2" t="str">
        <f ca="1">IFERROR(__xludf.DUMMYFUNCTION("""COMPUTED_VALUE"""),"Dubai&gt;Sobha Hartland&gt;Quad Homes")</f>
        <v>Dubai&gt;Sobha Hartland&gt;Quad Homes</v>
      </c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</row>
    <row r="3766" spans="1:26" ht="16.5" x14ac:dyDescent="0.35">
      <c r="A3766" s="2" t="str">
        <f ca="1">IFERROR(__xludf.DUMMYFUNCTION("""COMPUTED_VALUE"""),"Dubai")</f>
        <v>Dubai</v>
      </c>
      <c r="B3766" s="2" t="str">
        <f ca="1">IFERROR(__xludf.DUMMYFUNCTION("""COMPUTED_VALUE"""),"The Element")</f>
        <v>The Element</v>
      </c>
      <c r="C3766" s="2" t="str">
        <f ca="1">IFERROR(__xludf.DUMMYFUNCTION("""COMPUTED_VALUE"""),"Building")</f>
        <v>Building</v>
      </c>
      <c r="D3766" s="2" t="str">
        <f ca="1">IFERROR(__xludf.DUMMYFUNCTION("""COMPUTED_VALUE"""),"Dubai&gt;Sobha Hartland&gt;Sobha One&gt;The Element")</f>
        <v>Dubai&gt;Sobha Hartland&gt;Sobha One&gt;The Element</v>
      </c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</row>
    <row r="3767" spans="1:26" ht="16.5" x14ac:dyDescent="0.35">
      <c r="A3767" s="2" t="str">
        <f ca="1">IFERROR(__xludf.DUMMYFUNCTION("""COMPUTED_VALUE"""),"Dubai")</f>
        <v>Dubai</v>
      </c>
      <c r="B3767" s="2" t="str">
        <f ca="1">IFERROR(__xludf.DUMMYFUNCTION("""COMPUTED_VALUE"""),"Residences 3")</f>
        <v>Residences 3</v>
      </c>
      <c r="C3767" s="2" t="str">
        <f ca="1">IFERROR(__xludf.DUMMYFUNCTION("""COMPUTED_VALUE"""),"Cluster")</f>
        <v>Cluster</v>
      </c>
      <c r="D3767" s="2" t="str">
        <f ca="1">IFERROR(__xludf.DUMMYFUNCTION("""COMPUTED_VALUE"""),"Dubai&gt;Expo City&gt;Expo Village&gt;Residences 3")</f>
        <v>Dubai&gt;Expo City&gt;Expo Village&gt;Residences 3</v>
      </c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</row>
    <row r="3768" spans="1:26" ht="16.5" x14ac:dyDescent="0.35">
      <c r="A3768" s="2" t="str">
        <f ca="1">IFERROR(__xludf.DUMMYFUNCTION("""COMPUTED_VALUE"""),"Dubai")</f>
        <v>Dubai</v>
      </c>
      <c r="B3768" s="2" t="str">
        <f ca="1">IFERROR(__xludf.DUMMYFUNCTION("""COMPUTED_VALUE"""),"Terra Heights Building 4")</f>
        <v>Terra Heights Building 4</v>
      </c>
      <c r="C3768" s="2" t="str">
        <f ca="1">IFERROR(__xludf.DUMMYFUNCTION("""COMPUTED_VALUE"""),"Building")</f>
        <v>Building</v>
      </c>
      <c r="D3768" s="2" t="str">
        <f ca="1">IFERROR(__xludf.DUMMYFUNCTION("""COMPUTED_VALUE"""),"Dubai&gt;Expo City&gt;Terra Heights&gt;Terra Heights Building 4")</f>
        <v>Dubai&gt;Expo City&gt;Terra Heights&gt;Terra Heights Building 4</v>
      </c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</row>
    <row r="3769" spans="1:26" ht="16.5" x14ac:dyDescent="0.35">
      <c r="A3769" s="2" t="str">
        <f ca="1">IFERROR(__xludf.DUMMYFUNCTION("""COMPUTED_VALUE"""),"Dubai")</f>
        <v>Dubai</v>
      </c>
      <c r="B3769" s="2" t="str">
        <f ca="1">IFERROR(__xludf.DUMMYFUNCTION("""COMPUTED_VALUE"""),"Mint")</f>
        <v>Mint</v>
      </c>
      <c r="C3769" s="2" t="str">
        <f ca="1">IFERROR(__xludf.DUMMYFUNCTION("""COMPUTED_VALUE"""),"Building")</f>
        <v>Building</v>
      </c>
      <c r="D3769" s="2" t="str">
        <f ca="1">IFERROR(__xludf.DUMMYFUNCTION("""COMPUTED_VALUE"""),"Dubai&gt;Haven by Aldar&gt;Verdes by Haven&gt;Mint")</f>
        <v>Dubai&gt;Haven by Aldar&gt;Verdes by Haven&gt;Mint</v>
      </c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</row>
    <row r="3770" spans="1:26" ht="16.5" x14ac:dyDescent="0.35">
      <c r="A3770" s="2" t="str">
        <f ca="1">IFERROR(__xludf.DUMMYFUNCTION("""COMPUTED_VALUE"""),"Dubai")</f>
        <v>Dubai</v>
      </c>
      <c r="B3770" s="2" t="str">
        <f ca="1">IFERROR(__xludf.DUMMYFUNCTION("""COMPUTED_VALUE"""),"The Acres")</f>
        <v>The Acres</v>
      </c>
      <c r="C3770" s="2" t="str">
        <f ca="1">IFERROR(__xludf.DUMMYFUNCTION("""COMPUTED_VALUE"""),"Neighbourhood")</f>
        <v>Neighbourhood</v>
      </c>
      <c r="D3770" s="2" t="str">
        <f ca="1">IFERROR(__xludf.DUMMYFUNCTION("""COMPUTED_VALUE"""),"Dubai&gt;The Acres")</f>
        <v>Dubai&gt;The Acres</v>
      </c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</row>
    <row r="3771" spans="1:26" ht="16.5" x14ac:dyDescent="0.35">
      <c r="A3771" s="2" t="str">
        <f ca="1">IFERROR(__xludf.DUMMYFUNCTION("""COMPUTED_VALUE"""),"Dubai")</f>
        <v>Dubai</v>
      </c>
      <c r="B3771" s="2" t="str">
        <f ca="1">IFERROR(__xludf.DUMMYFUNCTION("""COMPUTED_VALUE"""),"Serra Building 6")</f>
        <v>Serra Building 6</v>
      </c>
      <c r="C3771" s="2" t="str">
        <f ca="1">IFERROR(__xludf.DUMMYFUNCTION("""COMPUTED_VALUE"""),"Building")</f>
        <v>Building</v>
      </c>
      <c r="D3771" s="2" t="str">
        <f ca="1">IFERROR(__xludf.DUMMYFUNCTION("""COMPUTED_VALUE"""),"Dubai&gt;Ghaf Woods&gt;Serra&gt;Serra Building 6")</f>
        <v>Dubai&gt;Ghaf Woods&gt;Serra&gt;Serra Building 6</v>
      </c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</row>
    <row r="3772" spans="1:26" ht="16.5" x14ac:dyDescent="0.35">
      <c r="A3772" s="2" t="str">
        <f ca="1">IFERROR(__xludf.DUMMYFUNCTION("""COMPUTED_VALUE"""),"Dubai")</f>
        <v>Dubai</v>
      </c>
      <c r="B3772" s="2" t="str">
        <f ca="1">IFERROR(__xludf.DUMMYFUNCTION("""COMPUTED_VALUE"""),"Bali")</f>
        <v>Bali</v>
      </c>
      <c r="C3772" s="2" t="str">
        <f ca="1">IFERROR(__xludf.DUMMYFUNCTION("""COMPUTED_VALUE"""),"Neighbourhood")</f>
        <v>Neighbourhood</v>
      </c>
      <c r="D3772" s="2" t="str">
        <f ca="1">IFERROR(__xludf.DUMMYFUNCTION("""COMPUTED_VALUE"""),"Dubai&gt;DAMAC Islands&gt;Bali")</f>
        <v>Dubai&gt;DAMAC Islands&gt;Bali</v>
      </c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</row>
    <row r="3773" spans="1:26" ht="16.5" x14ac:dyDescent="0.35">
      <c r="A3773" s="2" t="str">
        <f ca="1">IFERROR(__xludf.DUMMYFUNCTION("""COMPUTED_VALUE"""),"Dubai")</f>
        <v>Dubai</v>
      </c>
      <c r="B3773" s="2" t="str">
        <f ca="1">IFERROR(__xludf.DUMMYFUNCTION("""COMPUTED_VALUE"""),"One JBR")</f>
        <v>One JBR</v>
      </c>
      <c r="C3773" s="2" t="str">
        <f ca="1">IFERROR(__xludf.DUMMYFUNCTION("""COMPUTED_VALUE"""),"Building")</f>
        <v>Building</v>
      </c>
      <c r="D3773" s="2" t="str">
        <f ca="1">IFERROR(__xludf.DUMMYFUNCTION("""COMPUTED_VALUE"""),"Dubai&gt;Jumeirah Beach Residence (JBR)&gt;One JBR")</f>
        <v>Dubai&gt;Jumeirah Beach Residence (JBR)&gt;One JBR</v>
      </c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</row>
    <row r="3774" spans="1:26" ht="16.5" x14ac:dyDescent="0.35">
      <c r="A3774" s="2" t="str">
        <f ca="1">IFERROR(__xludf.DUMMYFUNCTION("""COMPUTED_VALUE"""),"Dubai")</f>
        <v>Dubai</v>
      </c>
      <c r="B3774" s="2" t="str">
        <f ca="1">IFERROR(__xludf.DUMMYFUNCTION("""COMPUTED_VALUE"""),"DoubleTree by Hilton")</f>
        <v>DoubleTree by Hilton</v>
      </c>
      <c r="C3774" s="2" t="str">
        <f ca="1">IFERROR(__xludf.DUMMYFUNCTION("""COMPUTED_VALUE"""),"Building")</f>
        <v>Building</v>
      </c>
      <c r="D3774" s="2" t="str">
        <f ca="1">IFERROR(__xludf.DUMMYFUNCTION("""COMPUTED_VALUE"""),"Dubai&gt;Jumeirah Beach Residence (JBR)&gt;DoubleTree by Hilton")</f>
        <v>Dubai&gt;Jumeirah Beach Residence (JBR)&gt;DoubleTree by Hilton</v>
      </c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</row>
    <row r="3775" spans="1:26" ht="16.5" x14ac:dyDescent="0.35">
      <c r="A3775" s="2" t="str">
        <f ca="1">IFERROR(__xludf.DUMMYFUNCTION("""COMPUTED_VALUE"""),"Dubai")</f>
        <v>Dubai</v>
      </c>
      <c r="B3775" s="2" t="str">
        <f ca="1">IFERROR(__xludf.DUMMYFUNCTION("""COMPUTED_VALUE"""),"Eiwan Heights I")</f>
        <v>Eiwan Heights I</v>
      </c>
      <c r="C3775" s="2" t="str">
        <f ca="1">IFERROR(__xludf.DUMMYFUNCTION("""COMPUTED_VALUE"""),"Building")</f>
        <v>Building</v>
      </c>
      <c r="D3775" s="2" t="str">
        <f ca="1">IFERROR(__xludf.DUMMYFUNCTION("""COMPUTED_VALUE"""),"Dubai&gt;Meydan Horizon&gt;Eiwan Heights I")</f>
        <v>Dubai&gt;Meydan Horizon&gt;Eiwan Heights I</v>
      </c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</row>
    <row r="3776" spans="1:26" ht="16.5" x14ac:dyDescent="0.35">
      <c r="A3776" s="2" t="str">
        <f ca="1">IFERROR(__xludf.DUMMYFUNCTION("""COMPUTED_VALUE"""),"Dubai")</f>
        <v>Dubai</v>
      </c>
      <c r="B3776" s="2" t="str">
        <f ca="1">IFERROR(__xludf.DUMMYFUNCTION("""COMPUTED_VALUE"""),"Ladybird Nursery Jumeirah")</f>
        <v>Ladybird Nursery Jumeirah</v>
      </c>
      <c r="C3776" s="2" t="str">
        <f ca="1">IFERROR(__xludf.DUMMYFUNCTION("""COMPUTED_VALUE"""),"Nursery")</f>
        <v>Nursery</v>
      </c>
      <c r="D3776" s="2" t="str">
        <f ca="1">IFERROR(__xludf.DUMMYFUNCTION("""COMPUTED_VALUE"""),"Dubai&gt;Al Wasl&gt;Ladybird Nursery Jumeirah")</f>
        <v>Dubai&gt;Al Wasl&gt;Ladybird Nursery Jumeirah</v>
      </c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</row>
    <row r="3777" spans="1:26" ht="16.5" x14ac:dyDescent="0.35">
      <c r="A3777" s="2" t="str">
        <f ca="1">IFERROR(__xludf.DUMMYFUNCTION("""COMPUTED_VALUE"""),"Dubai")</f>
        <v>Dubai</v>
      </c>
      <c r="B3777" s="2" t="str">
        <f ca="1">IFERROR(__xludf.DUMMYFUNCTION("""COMPUTED_VALUE"""),"Building 17")</f>
        <v>Building 17</v>
      </c>
      <c r="C3777" s="2" t="str">
        <f ca="1">IFERROR(__xludf.DUMMYFUNCTION("""COMPUTED_VALUE"""),"Building")</f>
        <v>Building</v>
      </c>
      <c r="D3777" s="2" t="str">
        <f ca="1">IFERROR(__xludf.DUMMYFUNCTION("""COMPUTED_VALUE"""),"Dubai&gt;Al Wasl&gt;City Walk&gt;Building 17")</f>
        <v>Dubai&gt;Al Wasl&gt;City Walk&gt;Building 17</v>
      </c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</row>
    <row r="3778" spans="1:26" ht="16.5" x14ac:dyDescent="0.35">
      <c r="A3778" s="2" t="str">
        <f ca="1">IFERROR(__xludf.DUMMYFUNCTION("""COMPUTED_VALUE"""),"Dubai")</f>
        <v>Dubai</v>
      </c>
      <c r="B3778" s="2" t="str">
        <f ca="1">IFERROR(__xludf.DUMMYFUNCTION("""COMPUTED_VALUE"""),"Building 8")</f>
        <v>Building 8</v>
      </c>
      <c r="C3778" s="2" t="str">
        <f ca="1">IFERROR(__xludf.DUMMYFUNCTION("""COMPUTED_VALUE"""),"Building")</f>
        <v>Building</v>
      </c>
      <c r="D3778" s="2" t="str">
        <f ca="1">IFERROR(__xludf.DUMMYFUNCTION("""COMPUTED_VALUE"""),"Dubai&gt;Al Wasl&gt;City Walk&gt;Building 8")</f>
        <v>Dubai&gt;Al Wasl&gt;City Walk&gt;Building 8</v>
      </c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</row>
    <row r="3779" spans="1:26" ht="16.5" x14ac:dyDescent="0.35">
      <c r="A3779" s="2" t="str">
        <f ca="1">IFERROR(__xludf.DUMMYFUNCTION("""COMPUTED_VALUE"""),"Dubai")</f>
        <v>Dubai</v>
      </c>
      <c r="B3779" s="2" t="str">
        <f ca="1">IFERROR(__xludf.DUMMYFUNCTION("""COMPUTED_VALUE"""),"Canal Front Residences 6")</f>
        <v>Canal Front Residences 6</v>
      </c>
      <c r="C3779" s="2" t="str">
        <f ca="1">IFERROR(__xludf.DUMMYFUNCTION("""COMPUTED_VALUE"""),"Building")</f>
        <v>Building</v>
      </c>
      <c r="D3779" s="2" t="str">
        <f ca="1">IFERROR(__xludf.DUMMYFUNCTION("""COMPUTED_VALUE"""),"Dubai&gt;Al Wasl&gt;Canal Front Residences&gt;Canal Front Residences 6")</f>
        <v>Dubai&gt;Al Wasl&gt;Canal Front Residences&gt;Canal Front Residences 6</v>
      </c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</row>
    <row r="3780" spans="1:26" ht="16.5" x14ac:dyDescent="0.35">
      <c r="A3780" s="2" t="str">
        <f ca="1">IFERROR(__xludf.DUMMYFUNCTION("""COMPUTED_VALUE"""),"Dubai")</f>
        <v>Dubai</v>
      </c>
      <c r="B3780" s="2" t="str">
        <f ca="1">IFERROR(__xludf.DUMMYFUNCTION("""COMPUTED_VALUE"""),"Arjan")</f>
        <v>Arjan</v>
      </c>
      <c r="C3780" s="2" t="str">
        <f ca="1">IFERROR(__xludf.DUMMYFUNCTION("""COMPUTED_VALUE"""),"Neighbourhood")</f>
        <v>Neighbourhood</v>
      </c>
      <c r="D3780" s="2" t="str">
        <f ca="1">IFERROR(__xludf.DUMMYFUNCTION("""COMPUTED_VALUE"""),"Dubai&gt;Arjan")</f>
        <v>Dubai&gt;Arjan</v>
      </c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</row>
    <row r="3781" spans="1:26" ht="16.5" x14ac:dyDescent="0.35">
      <c r="A3781" s="2" t="str">
        <f ca="1">IFERROR(__xludf.DUMMYFUNCTION("""COMPUTED_VALUE"""),"Dubai")</f>
        <v>Dubai</v>
      </c>
      <c r="B3781" s="2" t="str">
        <f ca="1">IFERROR(__xludf.DUMMYFUNCTION("""COMPUTED_VALUE"""),"Al Sayyah Residence B")</f>
        <v>Al Sayyah Residence B</v>
      </c>
      <c r="C3781" s="2" t="str">
        <f ca="1">IFERROR(__xludf.DUMMYFUNCTION("""COMPUTED_VALUE"""),"Building")</f>
        <v>Building</v>
      </c>
      <c r="D3781" s="2" t="str">
        <f ca="1">IFERROR(__xludf.DUMMYFUNCTION("""COMPUTED_VALUE"""),"Dubai&gt;Arjan&gt;Al Sayyah Residence&gt;Al Sayyah Residence B")</f>
        <v>Dubai&gt;Arjan&gt;Al Sayyah Residence&gt;Al Sayyah Residence B</v>
      </c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</row>
    <row r="3782" spans="1:26" ht="16.5" x14ac:dyDescent="0.35">
      <c r="A3782" s="2" t="str">
        <f ca="1">IFERROR(__xludf.DUMMYFUNCTION("""COMPUTED_VALUE"""),"Dubai")</f>
        <v>Dubai</v>
      </c>
      <c r="B3782" s="2" t="str">
        <f ca="1">IFERROR(__xludf.DUMMYFUNCTION("""COMPUTED_VALUE"""),"ARA Building")</f>
        <v>ARA Building</v>
      </c>
      <c r="C3782" s="2" t="str">
        <f ca="1">IFERROR(__xludf.DUMMYFUNCTION("""COMPUTED_VALUE"""),"Building")</f>
        <v>Building</v>
      </c>
      <c r="D3782" s="2" t="str">
        <f ca="1">IFERROR(__xludf.DUMMYFUNCTION("""COMPUTED_VALUE"""),"Dubai&gt;Arjan&gt;ARA Building")</f>
        <v>Dubai&gt;Arjan&gt;ARA Building</v>
      </c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</row>
    <row r="3783" spans="1:26" ht="16.5" x14ac:dyDescent="0.35">
      <c r="A3783" s="2" t="str">
        <f ca="1">IFERROR(__xludf.DUMMYFUNCTION("""COMPUTED_VALUE"""),"Dubai")</f>
        <v>Dubai</v>
      </c>
      <c r="B3783" s="2" t="str">
        <f ca="1">IFERROR(__xludf.DUMMYFUNCTION("""COMPUTED_VALUE"""),"Abdul Wahed Bin Shabib Building")</f>
        <v>Abdul Wahed Bin Shabib Building</v>
      </c>
      <c r="C3783" s="2" t="str">
        <f ca="1">IFERROR(__xludf.DUMMYFUNCTION("""COMPUTED_VALUE"""),"Building")</f>
        <v>Building</v>
      </c>
      <c r="D3783" s="2" t="str">
        <f ca="1">IFERROR(__xludf.DUMMYFUNCTION("""COMPUTED_VALUE"""),"Dubai&gt;Arjan&gt;Abdul Wahed Bin Shabib Building")</f>
        <v>Dubai&gt;Arjan&gt;Abdul Wahed Bin Shabib Building</v>
      </c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</row>
    <row r="3784" spans="1:26" ht="16.5" x14ac:dyDescent="0.35">
      <c r="A3784" s="2" t="str">
        <f ca="1">IFERROR(__xludf.DUMMYFUNCTION("""COMPUTED_VALUE"""),"Dubai")</f>
        <v>Dubai</v>
      </c>
      <c r="B3784" s="2" t="str">
        <f ca="1">IFERROR(__xludf.DUMMYFUNCTION("""COMPUTED_VALUE"""),"Divine Living")</f>
        <v>Divine Living</v>
      </c>
      <c r="C3784" s="2" t="str">
        <f ca="1">IFERROR(__xludf.DUMMYFUNCTION("""COMPUTED_VALUE"""),"Building")</f>
        <v>Building</v>
      </c>
      <c r="D3784" s="2" t="str">
        <f ca="1">IFERROR(__xludf.DUMMYFUNCTION("""COMPUTED_VALUE"""),"Dubai&gt;Arjan&gt;Divine Living")</f>
        <v>Dubai&gt;Arjan&gt;Divine Living</v>
      </c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</row>
    <row r="3785" spans="1:26" ht="16.5" x14ac:dyDescent="0.35">
      <c r="A3785" s="2" t="str">
        <f ca="1">IFERROR(__xludf.DUMMYFUNCTION("""COMPUTED_VALUE"""),"Dubai")</f>
        <v>Dubai</v>
      </c>
      <c r="B3785" s="2" t="str">
        <f ca="1">IFERROR(__xludf.DUMMYFUNCTION("""COMPUTED_VALUE"""),"The Central Downtown Tower C")</f>
        <v>The Central Downtown Tower C</v>
      </c>
      <c r="C3785" s="2" t="str">
        <f ca="1">IFERROR(__xludf.DUMMYFUNCTION("""COMPUTED_VALUE"""),"Building")</f>
        <v>Building</v>
      </c>
      <c r="D3785" s="2" t="str">
        <f ca="1">IFERROR(__xludf.DUMMYFUNCTION("""COMPUTED_VALUE"""),"Dubai&gt;Arjan&gt;The Central Downtown&gt;The Central Downtown Tower C")</f>
        <v>Dubai&gt;Arjan&gt;The Central Downtown&gt;The Central Downtown Tower C</v>
      </c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</row>
    <row r="3786" spans="1:26" ht="16.5" x14ac:dyDescent="0.35">
      <c r="A3786" s="2" t="str">
        <f ca="1">IFERROR(__xludf.DUMMYFUNCTION("""COMPUTED_VALUE"""),"Dubai")</f>
        <v>Dubai</v>
      </c>
      <c r="B3786" s="2" t="str">
        <f ca="1">IFERROR(__xludf.DUMMYFUNCTION("""COMPUTED_VALUE"""),"The Offices by Archetype Properties")</f>
        <v>The Offices by Archetype Properties</v>
      </c>
      <c r="C3786" s="2" t="str">
        <f ca="1">IFERROR(__xludf.DUMMYFUNCTION("""COMPUTED_VALUE"""),"Building")</f>
        <v>Building</v>
      </c>
      <c r="D3786" s="2" t="str">
        <f ca="1">IFERROR(__xludf.DUMMYFUNCTION("""COMPUTED_VALUE"""),"Dubai&gt;Arjan&gt;The Offices by Archetype Properties")</f>
        <v>Dubai&gt;Arjan&gt;The Offices by Archetype Properties</v>
      </c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</row>
    <row r="3787" spans="1:26" ht="16.5" x14ac:dyDescent="0.35">
      <c r="A3787" s="2" t="str">
        <f ca="1">IFERROR(__xludf.DUMMYFUNCTION("""COMPUTED_VALUE"""),"Dubai")</f>
        <v>Dubai</v>
      </c>
      <c r="B3787" s="2" t="str">
        <f ca="1">IFERROR(__xludf.DUMMYFUNCTION("""COMPUTED_VALUE"""),"Al Ferdous 2")</f>
        <v>Al Ferdous 2</v>
      </c>
      <c r="C3787" s="2" t="str">
        <f ca="1">IFERROR(__xludf.DUMMYFUNCTION("""COMPUTED_VALUE"""),"Building")</f>
        <v>Building</v>
      </c>
      <c r="D3787" s="2" t="str">
        <f ca="1">IFERROR(__xludf.DUMMYFUNCTION("""COMPUTED_VALUE"""),"Dubai&gt;Al Safa&gt;Al Safa 1&gt;Al Ferdous 2")</f>
        <v>Dubai&gt;Al Safa&gt;Al Safa 1&gt;Al Ferdous 2</v>
      </c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</row>
    <row r="3788" spans="1:26" ht="16.5" x14ac:dyDescent="0.35">
      <c r="A3788" s="2" t="str">
        <f ca="1">IFERROR(__xludf.DUMMYFUNCTION("""COMPUTED_VALUE"""),"Dubai")</f>
        <v>Dubai</v>
      </c>
      <c r="B3788" s="2" t="str">
        <f ca="1">IFERROR(__xludf.DUMMYFUNCTION("""COMPUTED_VALUE"""),"Butterfly A")</f>
        <v>Butterfly A</v>
      </c>
      <c r="C3788" s="2" t="str">
        <f ca="1">IFERROR(__xludf.DUMMYFUNCTION("""COMPUTED_VALUE"""),"Building")</f>
        <v>Building</v>
      </c>
      <c r="D3788" s="2" t="str">
        <f ca="1">IFERROR(__xludf.DUMMYFUNCTION("""COMPUTED_VALUE"""),"Dubai&gt;Dubai Media City&gt;The Butterfly&gt;Butterfly A")</f>
        <v>Dubai&gt;Dubai Media City&gt;The Butterfly&gt;Butterfly A</v>
      </c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</row>
    <row r="3789" spans="1:26" ht="16.5" x14ac:dyDescent="0.35">
      <c r="A3789" s="2" t="str">
        <f ca="1">IFERROR(__xludf.DUMMYFUNCTION("""COMPUTED_VALUE"""),"Abu Dhabi")</f>
        <v>Abu Dhabi</v>
      </c>
      <c r="B3789" s="2" t="str">
        <f ca="1">IFERROR(__xludf.DUMMYFUNCTION("""COMPUTED_VALUE"""),"Al Diar Sawa Hotel Apartments")</f>
        <v>Al Diar Sawa Hotel Apartments</v>
      </c>
      <c r="C3789" s="2" t="str">
        <f ca="1">IFERROR(__xludf.DUMMYFUNCTION("""COMPUTED_VALUE"""),"Building")</f>
        <v>Building</v>
      </c>
      <c r="D3789" s="2" t="str">
        <f ca="1">IFERROR(__xludf.DUMMYFUNCTION("""COMPUTED_VALUE"""),"Abu Dhabi&gt;Al Nahyan&gt;Al Diar Sawa Hotel Apartments")</f>
        <v>Abu Dhabi&gt;Al Nahyan&gt;Al Diar Sawa Hotel Apartments</v>
      </c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</row>
    <row r="3790" spans="1:26" ht="16.5" x14ac:dyDescent="0.35">
      <c r="A3790" s="2" t="str">
        <f ca="1">IFERROR(__xludf.DUMMYFUNCTION("""COMPUTED_VALUE"""),"Abu Dhabi")</f>
        <v>Abu Dhabi</v>
      </c>
      <c r="B3790" s="2" t="str">
        <f ca="1">IFERROR(__xludf.DUMMYFUNCTION("""COMPUTED_VALUE"""),"Al Wahdah")</f>
        <v>Al Wahdah</v>
      </c>
      <c r="C3790" s="2" t="str">
        <f ca="1">IFERROR(__xludf.DUMMYFUNCTION("""COMPUTED_VALUE"""),"Neighbourhood")</f>
        <v>Neighbourhood</v>
      </c>
      <c r="D3790" s="2" t="str">
        <f ca="1">IFERROR(__xludf.DUMMYFUNCTION("""COMPUTED_VALUE"""),"Abu Dhabi&gt;Al Wahdah")</f>
        <v>Abu Dhabi&gt;Al Wahdah</v>
      </c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</row>
    <row r="3791" spans="1:26" ht="16.5" x14ac:dyDescent="0.35">
      <c r="A3791" s="2" t="str">
        <f ca="1">IFERROR(__xludf.DUMMYFUNCTION("""COMPUTED_VALUE"""),"Abu Dhabi")</f>
        <v>Abu Dhabi</v>
      </c>
      <c r="B3791" s="2" t="str">
        <f ca="1">IFERROR(__xludf.DUMMYFUNCTION("""COMPUTED_VALUE"""),"Abu Dhabi Trade Towers")</f>
        <v>Abu Dhabi Trade Towers</v>
      </c>
      <c r="C3791" s="2" t="str">
        <f ca="1">IFERROR(__xludf.DUMMYFUNCTION("""COMPUTED_VALUE"""),"Building")</f>
        <v>Building</v>
      </c>
      <c r="D3791" s="2" t="str">
        <f ca="1">IFERROR(__xludf.DUMMYFUNCTION("""COMPUTED_VALUE"""),"Abu Dhabi&gt;Tourist Club Area (TCA)&gt;Abu Dhabi Trade Towers")</f>
        <v>Abu Dhabi&gt;Tourist Club Area (TCA)&gt;Abu Dhabi Trade Towers</v>
      </c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</row>
    <row r="3792" spans="1:26" ht="16.5" x14ac:dyDescent="0.35">
      <c r="A3792" s="2" t="str">
        <f ca="1">IFERROR(__xludf.DUMMYFUNCTION("""COMPUTED_VALUE"""),"Abu Dhabi")</f>
        <v>Abu Dhabi</v>
      </c>
      <c r="B3792" s="2" t="str">
        <f ca="1">IFERROR(__xludf.DUMMYFUNCTION("""COMPUTED_VALUE"""),"Al Shaya Tower")</f>
        <v>Al Shaya Tower</v>
      </c>
      <c r="C3792" s="2" t="str">
        <f ca="1">IFERROR(__xludf.DUMMYFUNCTION("""COMPUTED_VALUE"""),"Building")</f>
        <v>Building</v>
      </c>
      <c r="D3792" s="2" t="str">
        <f ca="1">IFERROR(__xludf.DUMMYFUNCTION("""COMPUTED_VALUE"""),"Abu Dhabi&gt;Al Zahiyah&gt;Al Shaya Tower")</f>
        <v>Abu Dhabi&gt;Al Zahiyah&gt;Al Shaya Tower</v>
      </c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</row>
    <row r="3793" spans="1:26" ht="16.5" x14ac:dyDescent="0.35">
      <c r="A3793" s="2" t="str">
        <f ca="1">IFERROR(__xludf.DUMMYFUNCTION("""COMPUTED_VALUE"""),"Abu Dhabi")</f>
        <v>Abu Dhabi</v>
      </c>
      <c r="B3793" s="2" t="str">
        <f ca="1">IFERROR(__xludf.DUMMYFUNCTION("""COMPUTED_VALUE"""),"Palm Oasis Villas")</f>
        <v>Palm Oasis Villas</v>
      </c>
      <c r="C3793" s="2"/>
      <c r="D3793" s="2" t="str">
        <f ca="1">IFERROR(__xludf.DUMMYFUNCTION("""COMPUTED_VALUE"""),"Abu Dhabi&gt;Al Mushrif&gt;Palm Oasis Villas")</f>
        <v>Abu Dhabi&gt;Al Mushrif&gt;Palm Oasis Villas</v>
      </c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</row>
    <row r="3794" spans="1:26" ht="16.5" x14ac:dyDescent="0.35">
      <c r="A3794" s="2" t="str">
        <f ca="1">IFERROR(__xludf.DUMMYFUNCTION("""COMPUTED_VALUE"""),"Abu Dhabi")</f>
        <v>Abu Dhabi</v>
      </c>
      <c r="B3794" s="2" t="str">
        <f ca="1">IFERROR(__xludf.DUMMYFUNCTION("""COMPUTED_VALUE"""),"Nation Towers")</f>
        <v>Nation Towers</v>
      </c>
      <c r="C3794" s="2" t="str">
        <f ca="1">IFERROR(__xludf.DUMMYFUNCTION("""COMPUTED_VALUE"""),"Cluster")</f>
        <v>Cluster</v>
      </c>
      <c r="D3794" s="2" t="str">
        <f ca="1">IFERROR(__xludf.DUMMYFUNCTION("""COMPUTED_VALUE"""),"Abu Dhabi&gt;Corniche Area&gt;Nation Towers")</f>
        <v>Abu Dhabi&gt;Corniche Area&gt;Nation Towers</v>
      </c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</row>
    <row r="3795" spans="1:26" ht="16.5" x14ac:dyDescent="0.35">
      <c r="A3795" s="2" t="str">
        <f ca="1">IFERROR(__xludf.DUMMYFUNCTION("""COMPUTED_VALUE"""),"Abu Dhabi")</f>
        <v>Abu Dhabi</v>
      </c>
      <c r="B3795" s="2" t="str">
        <f ca="1">IFERROR(__xludf.DUMMYFUNCTION("""COMPUTED_VALUE"""),"Baniyas North")</f>
        <v>Baniyas North</v>
      </c>
      <c r="C3795" s="2"/>
      <c r="D3795" s="2" t="str">
        <f ca="1">IFERROR(__xludf.DUMMYFUNCTION("""COMPUTED_VALUE"""),"Abu Dhabi&gt;Baniyas&gt;Baniyas North")</f>
        <v>Abu Dhabi&gt;Baniyas&gt;Baniyas North</v>
      </c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</row>
    <row r="3796" spans="1:26" ht="16.5" x14ac:dyDescent="0.35">
      <c r="A3796" s="2" t="str">
        <f ca="1">IFERROR(__xludf.DUMMYFUNCTION("""COMPUTED_VALUE"""),"Abu Dhabi")</f>
        <v>Abu Dhabi</v>
      </c>
      <c r="B3796" s="2" t="str">
        <f ca="1">IFERROR(__xludf.DUMMYFUNCTION("""COMPUTED_VALUE"""),"Fay Hills")</f>
        <v>Fay Hills</v>
      </c>
      <c r="C3796" s="2" t="str">
        <f ca="1">IFERROR(__xludf.DUMMYFUNCTION("""COMPUTED_VALUE"""),"Neighbourhood")</f>
        <v>Neighbourhood</v>
      </c>
      <c r="D3796" s="2" t="str">
        <f ca="1">IFERROR(__xludf.DUMMYFUNCTION("""COMPUTED_VALUE"""),"Abu Dhabi&gt;Masdar City&gt;Fay Hills")</f>
        <v>Abu Dhabi&gt;Masdar City&gt;Fay Hills</v>
      </c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</row>
    <row r="3797" spans="1:26" ht="16.5" x14ac:dyDescent="0.35">
      <c r="A3797" s="2" t="str">
        <f ca="1">IFERROR(__xludf.DUMMYFUNCTION("""COMPUTED_VALUE"""),"Abu Dhabi")</f>
        <v>Abu Dhabi</v>
      </c>
      <c r="B3797" s="2" t="str">
        <f ca="1">IFERROR(__xludf.DUMMYFUNCTION("""COMPUTED_VALUE"""),"P-2737")</f>
        <v>P-2737</v>
      </c>
      <c r="C3797" s="2" t="str">
        <f ca="1">IFERROR(__xludf.DUMMYFUNCTION("""COMPUTED_VALUE"""),"Building")</f>
        <v>Building</v>
      </c>
      <c r="D3797" s="2" t="str">
        <f ca="1">IFERROR(__xludf.DUMMYFUNCTION("""COMPUTED_VALUE"""),"Abu Dhabi&gt;Al Danah&gt;P-2737")</f>
        <v>Abu Dhabi&gt;Al Danah&gt;P-2737</v>
      </c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</row>
    <row r="3798" spans="1:26" ht="16.5" x14ac:dyDescent="0.35">
      <c r="A3798" s="2" t="str">
        <f ca="1">IFERROR(__xludf.DUMMYFUNCTION("""COMPUTED_VALUE"""),"Abu Dhabi")</f>
        <v>Abu Dhabi</v>
      </c>
      <c r="B3798" s="2" t="str">
        <f ca="1">IFERROR(__xludf.DUMMYFUNCTION("""COMPUTED_VALUE"""),"Falcon British Nursery")</f>
        <v>Falcon British Nursery</v>
      </c>
      <c r="C3798" s="2" t="str">
        <f ca="1">IFERROR(__xludf.DUMMYFUNCTION("""COMPUTED_VALUE"""),"Nursery")</f>
        <v>Nursery</v>
      </c>
      <c r="D3798" s="2" t="str">
        <f ca="1">IFERROR(__xludf.DUMMYFUNCTION("""COMPUTED_VALUE"""),"Abu Dhabi&gt;Zayed Sports City&gt;Falcon British Nursery")</f>
        <v>Abu Dhabi&gt;Zayed Sports City&gt;Falcon British Nursery</v>
      </c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</row>
    <row r="3799" spans="1:26" ht="16.5" x14ac:dyDescent="0.35">
      <c r="A3799" s="2" t="str">
        <f ca="1">IFERROR(__xludf.DUMMYFUNCTION("""COMPUTED_VALUE"""),"Abu Dhabi")</f>
        <v>Abu Dhabi</v>
      </c>
      <c r="B3799" s="2" t="str">
        <f ca="1">IFERROR(__xludf.DUMMYFUNCTION("""COMPUTED_VALUE"""),"MSH1")</f>
        <v>MSH1</v>
      </c>
      <c r="C3799" s="2" t="str">
        <f ca="1">IFERROR(__xludf.DUMMYFUNCTION("""COMPUTED_VALUE"""),"Neighbourhood")</f>
        <v>Neighbourhood</v>
      </c>
      <c r="D3799" s="2" t="str">
        <f ca="1">IFERROR(__xludf.DUMMYFUNCTION("""COMPUTED_VALUE"""),"Abu Dhabi&gt;Shakhbout City&gt;MSH1")</f>
        <v>Abu Dhabi&gt;Shakhbout City&gt;MSH1</v>
      </c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</row>
    <row r="3800" spans="1:26" ht="16.5" x14ac:dyDescent="0.35">
      <c r="A3800" s="2" t="str">
        <f ca="1">IFERROR(__xludf.DUMMYFUNCTION("""COMPUTED_VALUE"""),"Abu Dhabi")</f>
        <v>Abu Dhabi</v>
      </c>
      <c r="B3800" s="2" t="str">
        <f ca="1">IFERROR(__xludf.DUMMYFUNCTION("""COMPUTED_VALUE"""),"MSH33")</f>
        <v>MSH33</v>
      </c>
      <c r="C3800" s="2" t="str">
        <f ca="1">IFERROR(__xludf.DUMMYFUNCTION("""COMPUTED_VALUE"""),"Neighbourhood")</f>
        <v>Neighbourhood</v>
      </c>
      <c r="D3800" s="2" t="str">
        <f ca="1">IFERROR(__xludf.DUMMYFUNCTION("""COMPUTED_VALUE"""),"Abu Dhabi&gt;Shakhbout City&gt;MSH33")</f>
        <v>Abu Dhabi&gt;Shakhbout City&gt;MSH33</v>
      </c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</row>
    <row r="3801" spans="1:26" ht="16.5" x14ac:dyDescent="0.35">
      <c r="A3801" s="2" t="str">
        <f ca="1">IFERROR(__xludf.DUMMYFUNCTION("""COMPUTED_VALUE"""),"Abu Dhabi")</f>
        <v>Abu Dhabi</v>
      </c>
      <c r="B3801" s="2" t="str">
        <f ca="1">IFERROR(__xludf.DUMMYFUNCTION("""COMPUTED_VALUE"""),"Al Basma British School, Abu Dhabi")</f>
        <v>Al Basma British School, Abu Dhabi</v>
      </c>
      <c r="C3801" s="2" t="str">
        <f ca="1">IFERROR(__xludf.DUMMYFUNCTION("""COMPUTED_VALUE"""),"School")</f>
        <v>School</v>
      </c>
      <c r="D3801" s="2" t="str">
        <f ca="1">IFERROR(__xludf.DUMMYFUNCTION("""COMPUTED_VALUE"""),"Abu Dhabi&gt;Al Bahia&gt;Al Basma British School, Abu Dhabi")</f>
        <v>Abu Dhabi&gt;Al Bahia&gt;Al Basma British School, Abu Dhabi</v>
      </c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</row>
    <row r="3802" spans="1:26" ht="16.5" x14ac:dyDescent="0.35">
      <c r="A3802" s="2" t="str">
        <f ca="1">IFERROR(__xludf.DUMMYFUNCTION("""COMPUTED_VALUE"""),"Abu Dhabi")</f>
        <v>Abu Dhabi</v>
      </c>
      <c r="B3802" s="2" t="str">
        <f ca="1">IFERROR(__xludf.DUMMYFUNCTION("""COMPUTED_VALUE"""),"Mafraq Hotel And Resort")</f>
        <v>Mafraq Hotel And Resort</v>
      </c>
      <c r="C3802" s="2" t="str">
        <f ca="1">IFERROR(__xludf.DUMMYFUNCTION("""COMPUTED_VALUE"""),"Building")</f>
        <v>Building</v>
      </c>
      <c r="D3802" s="2" t="str">
        <f ca="1">IFERROR(__xludf.DUMMYFUNCTION("""COMPUTED_VALUE"""),"Abu Dhabi&gt;Al Mafraq&gt;Mafraq Hotel And Resort")</f>
        <v>Abu Dhabi&gt;Al Mafraq&gt;Mafraq Hotel And Resort</v>
      </c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</row>
    <row r="3803" spans="1:26" ht="16.5" x14ac:dyDescent="0.35">
      <c r="A3803" s="2" t="str">
        <f ca="1">IFERROR(__xludf.DUMMYFUNCTION("""COMPUTED_VALUE"""),"Abu Dhabi")</f>
        <v>Abu Dhabi</v>
      </c>
      <c r="B3803" s="2" t="str">
        <f ca="1">IFERROR(__xludf.DUMMYFUNCTION("""COMPUTED_VALUE"""),"Olvera")</f>
        <v>Olvera</v>
      </c>
      <c r="C3803" s="2" t="str">
        <f ca="1">IFERROR(__xludf.DUMMYFUNCTION("""COMPUTED_VALUE"""),"Neighbourhood")</f>
        <v>Neighbourhood</v>
      </c>
      <c r="D3803" s="2" t="str">
        <f ca="1">IFERROR(__xludf.DUMMYFUNCTION("""COMPUTED_VALUE"""),"Abu Dhabi&gt;Zayed City&gt;Bloom Living&gt;Olvera")</f>
        <v>Abu Dhabi&gt;Zayed City&gt;Bloom Living&gt;Olvera</v>
      </c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</row>
    <row r="3804" spans="1:26" ht="16.5" x14ac:dyDescent="0.35">
      <c r="A3804" s="2" t="str">
        <f ca="1">IFERROR(__xludf.DUMMYFUNCTION("""COMPUTED_VALUE"""),"Abu Dhabi")</f>
        <v>Abu Dhabi</v>
      </c>
      <c r="B3804" s="2" t="str">
        <f ca="1">IFERROR(__xludf.DUMMYFUNCTION("""COMPUTED_VALUE"""),"Arzana Tower")</f>
        <v>Arzana Tower</v>
      </c>
      <c r="C3804" s="2" t="str">
        <f ca="1">IFERROR(__xludf.DUMMYFUNCTION("""COMPUTED_VALUE"""),"Building")</f>
        <v>Building</v>
      </c>
      <c r="D3804" s="2" t="str">
        <f ca="1">IFERROR(__xludf.DUMMYFUNCTION("""COMPUTED_VALUE"""),"Abu Dhabi&gt;Electra Street&gt;Arzana Tower")</f>
        <v>Abu Dhabi&gt;Electra Street&gt;Arzana Tower</v>
      </c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</row>
    <row r="3805" spans="1:26" ht="16.5" x14ac:dyDescent="0.35">
      <c r="A3805" s="2" t="str">
        <f ca="1">IFERROR(__xludf.DUMMYFUNCTION("""COMPUTED_VALUE"""),"Abu Dhabi")</f>
        <v>Abu Dhabi</v>
      </c>
      <c r="B3805" s="2" t="str">
        <f ca="1">IFERROR(__xludf.DUMMYFUNCTION("""COMPUTED_VALUE"""),"Repton School Abu Dhabi")</f>
        <v>Repton School Abu Dhabi</v>
      </c>
      <c r="C3805" s="2" t="str">
        <f ca="1">IFERROR(__xludf.DUMMYFUNCTION("""COMPUTED_VALUE"""),"School")</f>
        <v>School</v>
      </c>
      <c r="D3805" s="2" t="str">
        <f ca="1">IFERROR(__xludf.DUMMYFUNCTION("""COMPUTED_VALUE"""),"Abu Dhabi&gt;Al Reem Island&gt;Tamouh&gt;Repton School Abu Dhabi")</f>
        <v>Abu Dhabi&gt;Al Reem Island&gt;Tamouh&gt;Repton School Abu Dhabi</v>
      </c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</row>
    <row r="3806" spans="1:26" ht="16.5" x14ac:dyDescent="0.35">
      <c r="A3806" s="2" t="str">
        <f ca="1">IFERROR(__xludf.DUMMYFUNCTION("""COMPUTED_VALUE"""),"Abu Dhabi")</f>
        <v>Abu Dhabi</v>
      </c>
      <c r="B3806" s="2" t="str">
        <f ca="1">IFERROR(__xludf.DUMMYFUNCTION("""COMPUTED_VALUE"""),"Wafra Tower")</f>
        <v>Wafra Tower</v>
      </c>
      <c r="C3806" s="2" t="str">
        <f ca="1">IFERROR(__xludf.DUMMYFUNCTION("""COMPUTED_VALUE"""),"Building")</f>
        <v>Building</v>
      </c>
      <c r="D3806" s="2" t="str">
        <f ca="1">IFERROR(__xludf.DUMMYFUNCTION("""COMPUTED_VALUE"""),"Abu Dhabi&gt;Al Reem Island&gt;Najmat Abu Dhabi&gt;Wafra Tower")</f>
        <v>Abu Dhabi&gt;Al Reem Island&gt;Najmat Abu Dhabi&gt;Wafra Tower</v>
      </c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</row>
    <row r="3807" spans="1:26" ht="16.5" x14ac:dyDescent="0.35">
      <c r="A3807" s="2" t="str">
        <f ca="1">IFERROR(__xludf.DUMMYFUNCTION("""COMPUTED_VALUE"""),"Abu Dhabi")</f>
        <v>Abu Dhabi</v>
      </c>
      <c r="B3807" s="2" t="str">
        <f ca="1">IFERROR(__xludf.DUMMYFUNCTION("""COMPUTED_VALUE"""),"Shams Abu Dhabi")</f>
        <v>Shams Abu Dhabi</v>
      </c>
      <c r="C3807" s="2" t="str">
        <f ca="1">IFERROR(__xludf.DUMMYFUNCTION("""COMPUTED_VALUE"""),"Neighbourhood")</f>
        <v>Neighbourhood</v>
      </c>
      <c r="D3807" s="2" t="str">
        <f ca="1">IFERROR(__xludf.DUMMYFUNCTION("""COMPUTED_VALUE"""),"Abu Dhabi&gt;Al Reem Island&gt;Shams Abu Dhabi")</f>
        <v>Abu Dhabi&gt;Al Reem Island&gt;Shams Abu Dhabi</v>
      </c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</row>
    <row r="3808" spans="1:26" ht="16.5" x14ac:dyDescent="0.35">
      <c r="A3808" s="2" t="str">
        <f ca="1">IFERROR(__xludf.DUMMYFUNCTION("""COMPUTED_VALUE"""),"Abu Dhabi")</f>
        <v>Abu Dhabi</v>
      </c>
      <c r="B3808" s="2" t="str">
        <f ca="1">IFERROR(__xludf.DUMMYFUNCTION("""COMPUTED_VALUE"""),"Reflection Tower A")</f>
        <v>Reflection Tower A</v>
      </c>
      <c r="C3808" s="2" t="str">
        <f ca="1">IFERROR(__xludf.DUMMYFUNCTION("""COMPUTED_VALUE"""),"Building")</f>
        <v>Building</v>
      </c>
      <c r="D3808" s="2" t="str">
        <f ca="1">IFERROR(__xludf.DUMMYFUNCTION("""COMPUTED_VALUE"""),"Abu Dhabi&gt;Al Reem Island&gt;Shams Abu Dhabi&gt;Reflection&gt;Reflection Tower A")</f>
        <v>Abu Dhabi&gt;Al Reem Island&gt;Shams Abu Dhabi&gt;Reflection&gt;Reflection Tower A</v>
      </c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</row>
    <row r="3809" spans="1:26" ht="16.5" x14ac:dyDescent="0.35">
      <c r="A3809" s="2" t="str">
        <f ca="1">IFERROR(__xludf.DUMMYFUNCTION("""COMPUTED_VALUE"""),"Abu Dhabi")</f>
        <v>Abu Dhabi</v>
      </c>
      <c r="B3809" s="2" t="str">
        <f ca="1">IFERROR(__xludf.DUMMYFUNCTION("""COMPUTED_VALUE"""),"Addax Port")</f>
        <v>Addax Port</v>
      </c>
      <c r="C3809" s="2" t="str">
        <f ca="1">IFERROR(__xludf.DUMMYFUNCTION("""COMPUTED_VALUE"""),"Cluster")</f>
        <v>Cluster</v>
      </c>
      <c r="D3809" s="2" t="str">
        <f ca="1">IFERROR(__xludf.DUMMYFUNCTION("""COMPUTED_VALUE"""),"Abu Dhabi&gt;Al Reem Island&gt;Addax Port")</f>
        <v>Abu Dhabi&gt;Al Reem Island&gt;Addax Port</v>
      </c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</row>
    <row r="3810" spans="1:26" ht="16.5" x14ac:dyDescent="0.35">
      <c r="A3810" s="2" t="str">
        <f ca="1">IFERROR(__xludf.DUMMYFUNCTION("""COMPUTED_VALUE"""),"Abu Dhabi")</f>
        <v>Abu Dhabi</v>
      </c>
      <c r="B3810" s="2" t="str">
        <f ca="1">IFERROR(__xludf.DUMMYFUNCTION("""COMPUTED_VALUE"""),"Omega Tower")</f>
        <v>Omega Tower</v>
      </c>
      <c r="C3810" s="2" t="str">
        <f ca="1">IFERROR(__xludf.DUMMYFUNCTION("""COMPUTED_VALUE"""),"Building")</f>
        <v>Building</v>
      </c>
      <c r="D3810" s="2" t="str">
        <f ca="1">IFERROR(__xludf.DUMMYFUNCTION("""COMPUTED_VALUE"""),"Abu Dhabi&gt;Al Reem Island&gt;Omega Tower")</f>
        <v>Abu Dhabi&gt;Al Reem Island&gt;Omega Tower</v>
      </c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</row>
    <row r="3811" spans="1:26" ht="16.5" x14ac:dyDescent="0.35">
      <c r="A3811" s="2" t="str">
        <f ca="1">IFERROR(__xludf.DUMMYFUNCTION("""COMPUTED_VALUE"""),"Abu Dhabi")</f>
        <v>Abu Dhabi</v>
      </c>
      <c r="B3811" s="2" t="str">
        <f ca="1">IFERROR(__xludf.DUMMYFUNCTION("""COMPUTED_VALUE"""),"Garden Homes")</f>
        <v>Garden Homes</v>
      </c>
      <c r="C3811" s="2" t="str">
        <f ca="1">IFERROR(__xludf.DUMMYFUNCTION("""COMPUTED_VALUE"""),"Neighbourhood")</f>
        <v>Neighbourhood</v>
      </c>
      <c r="D3811" s="2" t="str">
        <f ca="1">IFERROR(__xludf.DUMMYFUNCTION("""COMPUTED_VALUE"""),"Abu Dhabi&gt;Al Reem Island&gt;Reem Hills&gt;Garden Homes")</f>
        <v>Abu Dhabi&gt;Al Reem Island&gt;Reem Hills&gt;Garden Homes</v>
      </c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</row>
    <row r="3812" spans="1:26" ht="16.5" x14ac:dyDescent="0.35">
      <c r="A3812" s="2" t="str">
        <f ca="1">IFERROR(__xludf.DUMMYFUNCTION("""COMPUTED_VALUE"""),"Abu Dhabi")</f>
        <v>Abu Dhabi</v>
      </c>
      <c r="B3812" s="2" t="str">
        <f ca="1">IFERROR(__xludf.DUMMYFUNCTION("""COMPUTED_VALUE"""),"Al Fardan Building")</f>
        <v>Al Fardan Building</v>
      </c>
      <c r="C3812" s="2" t="str">
        <f ca="1">IFERROR(__xludf.DUMMYFUNCTION("""COMPUTED_VALUE"""),"Building")</f>
        <v>Building</v>
      </c>
      <c r="D3812" s="2" t="str">
        <f ca="1">IFERROR(__xludf.DUMMYFUNCTION("""COMPUTED_VALUE"""),"Abu Dhabi&gt;Hamdan Street&gt;Al Fardan Building")</f>
        <v>Abu Dhabi&gt;Hamdan Street&gt;Al Fardan Building</v>
      </c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</row>
    <row r="3813" spans="1:26" ht="16.5" x14ac:dyDescent="0.35">
      <c r="A3813" s="2" t="str">
        <f ca="1">IFERROR(__xludf.DUMMYFUNCTION("""COMPUTED_VALUE"""),"Abu Dhabi")</f>
        <v>Abu Dhabi</v>
      </c>
      <c r="B3813" s="2" t="str">
        <f ca="1">IFERROR(__xludf.DUMMYFUNCTION("""COMPUTED_VALUE"""),"Cornich Al Khalidiyah")</f>
        <v>Cornich Al Khalidiyah</v>
      </c>
      <c r="C3813" s="2"/>
      <c r="D3813" s="2" t="str">
        <f ca="1">IFERROR(__xludf.DUMMYFUNCTION("""COMPUTED_VALUE"""),"Abu Dhabi&gt;Al Khalidiyah&gt;Cornich Al Khalidiyah")</f>
        <v>Abu Dhabi&gt;Al Khalidiyah&gt;Cornich Al Khalidiyah</v>
      </c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</row>
    <row r="3814" spans="1:26" ht="16.5" x14ac:dyDescent="0.35">
      <c r="A3814" s="2" t="str">
        <f ca="1">IFERROR(__xludf.DUMMYFUNCTION("""COMPUTED_VALUE"""),"Abu Dhabi")</f>
        <v>Abu Dhabi</v>
      </c>
      <c r="B3814" s="2" t="str">
        <f ca="1">IFERROR(__xludf.DUMMYFUNCTION("""COMPUTED_VALUE"""),"Horizon Private School")</f>
        <v>Horizon Private School</v>
      </c>
      <c r="C3814" s="2" t="str">
        <f ca="1">IFERROR(__xludf.DUMMYFUNCTION("""COMPUTED_VALUE"""),"School")</f>
        <v>School</v>
      </c>
      <c r="D3814" s="2" t="str">
        <f ca="1">IFERROR(__xludf.DUMMYFUNCTION("""COMPUTED_VALUE"""),"Abu Dhabi&gt;Khalifa City&gt;Horizon Private School")</f>
        <v>Abu Dhabi&gt;Khalifa City&gt;Horizon Private School</v>
      </c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</row>
    <row r="3815" spans="1:26" ht="16.5" x14ac:dyDescent="0.35">
      <c r="A3815" s="2" t="str">
        <f ca="1">IFERROR(__xludf.DUMMYFUNCTION("""COMPUTED_VALUE"""),"Abu Dhabi")</f>
        <v>Abu Dhabi</v>
      </c>
      <c r="B3815" s="2" t="str">
        <f ca="1">IFERROR(__xludf.DUMMYFUNCTION("""COMPUTED_VALUE"""),"Khuzama")</f>
        <v>Khuzama</v>
      </c>
      <c r="C3815" s="2" t="str">
        <f ca="1">IFERROR(__xludf.DUMMYFUNCTION("""COMPUTED_VALUE"""),"Neighbourhood")</f>
        <v>Neighbourhood</v>
      </c>
      <c r="D3815" s="2" t="str">
        <f ca="1">IFERROR(__xludf.DUMMYFUNCTION("""COMPUTED_VALUE"""),"Abu Dhabi&gt;Khalifa City&gt;Golf Gardens&gt;Khuzama")</f>
        <v>Abu Dhabi&gt;Khalifa City&gt;Golf Gardens&gt;Khuzama</v>
      </c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</row>
    <row r="3816" spans="1:26" ht="16.5" x14ac:dyDescent="0.35">
      <c r="A3816" s="2" t="str">
        <f ca="1">IFERROR(__xludf.DUMMYFUNCTION("""COMPUTED_VALUE"""),"Abu Dhabi")</f>
        <v>Abu Dhabi</v>
      </c>
      <c r="B3816" s="2" t="str">
        <f ca="1">IFERROR(__xludf.DUMMYFUNCTION("""COMPUTED_VALUE"""),"Capital Plaza")</f>
        <v>Capital Plaza</v>
      </c>
      <c r="C3816" s="2" t="str">
        <f ca="1">IFERROR(__xludf.DUMMYFUNCTION("""COMPUTED_VALUE"""),"Neighbourhood")</f>
        <v>Neighbourhood</v>
      </c>
      <c r="D3816" s="2" t="str">
        <f ca="1">IFERROR(__xludf.DUMMYFUNCTION("""COMPUTED_VALUE"""),"Abu Dhabi&gt;Al Markaziya&gt;Capital Plaza")</f>
        <v>Abu Dhabi&gt;Al Markaziya&gt;Capital Plaza</v>
      </c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</row>
    <row r="3817" spans="1:26" ht="16.5" x14ac:dyDescent="0.35">
      <c r="A3817" s="2" t="str">
        <f ca="1">IFERROR(__xludf.DUMMYFUNCTION("""COMPUTED_VALUE"""),"Abu Dhabi")</f>
        <v>Abu Dhabi</v>
      </c>
      <c r="B3817" s="2" t="str">
        <f ca="1">IFERROR(__xludf.DUMMYFUNCTION("""COMPUTED_VALUE"""),"Al Ghadeer")</f>
        <v>Al Ghadeer</v>
      </c>
      <c r="C3817" s="2" t="str">
        <f ca="1">IFERROR(__xludf.DUMMYFUNCTION("""COMPUTED_VALUE"""),"Neighbourhood")</f>
        <v>Neighbourhood</v>
      </c>
      <c r="D3817" s="2" t="str">
        <f ca="1">IFERROR(__xludf.DUMMYFUNCTION("""COMPUTED_VALUE"""),"Abu Dhabi&gt;Al Ghadeer")</f>
        <v>Abu Dhabi&gt;Al Ghadeer</v>
      </c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</row>
    <row r="3818" spans="1:26" ht="16.5" x14ac:dyDescent="0.35">
      <c r="A3818" s="2" t="str">
        <f ca="1">IFERROR(__xludf.DUMMYFUNCTION("""COMPUTED_VALUE"""),"Abu Dhabi")</f>
        <v>Abu Dhabi</v>
      </c>
      <c r="B3818" s="2" t="str">
        <f ca="1">IFERROR(__xludf.DUMMYFUNCTION("""COMPUTED_VALUE"""),"Park View")</f>
        <v>Park View</v>
      </c>
      <c r="C3818" s="2" t="str">
        <f ca="1">IFERROR(__xludf.DUMMYFUNCTION("""COMPUTED_VALUE"""),"Building")</f>
        <v>Building</v>
      </c>
      <c r="D3818" s="2" t="str">
        <f ca="1">IFERROR(__xludf.DUMMYFUNCTION("""COMPUTED_VALUE"""),"Abu Dhabi&gt;Saadiyat Island&gt;Park View")</f>
        <v>Abu Dhabi&gt;Saadiyat Island&gt;Park View</v>
      </c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</row>
    <row r="3819" spans="1:26" ht="16.5" x14ac:dyDescent="0.35">
      <c r="A3819" s="2" t="str">
        <f ca="1">IFERROR(__xludf.DUMMYFUNCTION("""COMPUTED_VALUE"""),"Abu Dhabi")</f>
        <v>Abu Dhabi</v>
      </c>
      <c r="B3819" s="2" t="str">
        <f ca="1">IFERROR(__xludf.DUMMYFUNCTION("""COMPUTED_VALUE"""),"The Row Saadiyat")</f>
        <v>The Row Saadiyat</v>
      </c>
      <c r="C3819" s="2" t="str">
        <f ca="1">IFERROR(__xludf.DUMMYFUNCTION("""COMPUTED_VALUE"""),"Building")</f>
        <v>Building</v>
      </c>
      <c r="D3819" s="2" t="str">
        <f ca="1">IFERROR(__xludf.DUMMYFUNCTION("""COMPUTED_VALUE"""),"Abu Dhabi&gt;Saadiyat Island&gt;Saadiyat Cultural District&gt;The Row Saadiyat")</f>
        <v>Abu Dhabi&gt;Saadiyat Island&gt;Saadiyat Cultural District&gt;The Row Saadiyat</v>
      </c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</row>
    <row r="3820" spans="1:26" ht="16.5" x14ac:dyDescent="0.35">
      <c r="A3820" s="2" t="str">
        <f ca="1">IFERROR(__xludf.DUMMYFUNCTION("""COMPUTED_VALUE"""),"Abu Dhabi")</f>
        <v>Abu Dhabi</v>
      </c>
      <c r="B3820" s="2" t="str">
        <f ca="1">IFERROR(__xludf.DUMMYFUNCTION("""COMPUTED_VALUE"""),"Yellow Submarine Nursery Saadiyat")</f>
        <v>Yellow Submarine Nursery Saadiyat</v>
      </c>
      <c r="C3820" s="2" t="str">
        <f ca="1">IFERROR(__xludf.DUMMYFUNCTION("""COMPUTED_VALUE"""),"Nursery")</f>
        <v>Nursery</v>
      </c>
      <c r="D3820" s="2" t="str">
        <f ca="1">IFERROR(__xludf.DUMMYFUNCTION("""COMPUTED_VALUE"""),"Abu Dhabi&gt;Saadiyat Island&gt;Saadiyat Beach&gt;Saadiyat St Regis Residences&gt;Yellow Submarine Nursery Saadiyat")</f>
        <v>Abu Dhabi&gt;Saadiyat Island&gt;Saadiyat Beach&gt;Saadiyat St Regis Residences&gt;Yellow Submarine Nursery Saadiyat</v>
      </c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</row>
    <row r="3821" spans="1:26" ht="16.5" x14ac:dyDescent="0.35">
      <c r="A3821" s="2" t="str">
        <f ca="1">IFERROR(__xludf.DUMMYFUNCTION("""COMPUTED_VALUE"""),"Abu Dhabi")</f>
        <v>Abu Dhabi</v>
      </c>
      <c r="B3821" s="2" t="str">
        <f ca="1">IFERROR(__xludf.DUMMYFUNCTION("""COMPUTED_VALUE"""),"Riman Tower")</f>
        <v>Riman Tower</v>
      </c>
      <c r="C3821" s="2" t="str">
        <f ca="1">IFERROR(__xludf.DUMMYFUNCTION("""COMPUTED_VALUE"""),"Building")</f>
        <v>Building</v>
      </c>
      <c r="D3821" s="2" t="str">
        <f ca="1">IFERROR(__xludf.DUMMYFUNCTION("""COMPUTED_VALUE"""),"Abu Dhabi&gt;Al Raha Beach&gt;Riman Tower")</f>
        <v>Abu Dhabi&gt;Al Raha Beach&gt;Riman Tower</v>
      </c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</row>
    <row r="3822" spans="1:26" ht="16.5" x14ac:dyDescent="0.35">
      <c r="A3822" s="2" t="str">
        <f ca="1">IFERROR(__xludf.DUMMYFUNCTION("""COMPUTED_VALUE"""),"Abu Dhabi")</f>
        <v>Abu Dhabi</v>
      </c>
      <c r="B3822" s="2" t="str">
        <f ca="1">IFERROR(__xludf.DUMMYFUNCTION("""COMPUTED_VALUE"""),"Al Zeina Building E")</f>
        <v>Al Zeina Building E</v>
      </c>
      <c r="C3822" s="2" t="str">
        <f ca="1">IFERROR(__xludf.DUMMYFUNCTION("""COMPUTED_VALUE"""),"Building")</f>
        <v>Building</v>
      </c>
      <c r="D3822" s="2" t="str">
        <f ca="1">IFERROR(__xludf.DUMMYFUNCTION("""COMPUTED_VALUE"""),"Abu Dhabi&gt;Al Raha Beach&gt;Al Zeina&gt;Al Zeina Building E")</f>
        <v>Abu Dhabi&gt;Al Raha Beach&gt;Al Zeina&gt;Al Zeina Building E</v>
      </c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</row>
    <row r="3823" spans="1:26" ht="16.5" x14ac:dyDescent="0.35">
      <c r="A3823" s="2" t="str">
        <f ca="1">IFERROR(__xludf.DUMMYFUNCTION("""COMPUTED_VALUE"""),"Abu Dhabi")</f>
        <v>Abu Dhabi</v>
      </c>
      <c r="B3823" s="2" t="str">
        <f ca="1">IFERROR(__xludf.DUMMYFUNCTION("""COMPUTED_VALUE"""),"Al Dana")</f>
        <v>Al Dana</v>
      </c>
      <c r="C3823" s="2" t="str">
        <f ca="1">IFERROR(__xludf.DUMMYFUNCTION("""COMPUTED_VALUE"""),"Neighbourhood")</f>
        <v>Neighbourhood</v>
      </c>
      <c r="D3823" s="2" t="str">
        <f ca="1">IFERROR(__xludf.DUMMYFUNCTION("""COMPUTED_VALUE"""),"Abu Dhabi&gt;Al Raha Beach&gt;Al Dana")</f>
        <v>Abu Dhabi&gt;Al Raha Beach&gt;Al Dana</v>
      </c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</row>
    <row r="3824" spans="1:26" ht="16.5" x14ac:dyDescent="0.35">
      <c r="A3824" s="2" t="str">
        <f ca="1">IFERROR(__xludf.DUMMYFUNCTION("""COMPUTED_VALUE"""),"Abu Dhabi")</f>
        <v>Abu Dhabi</v>
      </c>
      <c r="B3824" s="2" t="str">
        <f ca="1">IFERROR(__xludf.DUMMYFUNCTION("""COMPUTED_VALUE"""),"P-2773")</f>
        <v>P-2773</v>
      </c>
      <c r="C3824" s="2" t="str">
        <f ca="1">IFERROR(__xludf.DUMMYFUNCTION("""COMPUTED_VALUE"""),"Building")</f>
        <v>Building</v>
      </c>
      <c r="D3824" s="2" t="str">
        <f ca="1">IFERROR(__xludf.DUMMYFUNCTION("""COMPUTED_VALUE"""),"Abu Dhabi&gt;Al Raha Beach&gt;P-2773")</f>
        <v>Abu Dhabi&gt;Al Raha Beach&gt;P-2773</v>
      </c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</row>
    <row r="3825" spans="1:26" ht="16.5" x14ac:dyDescent="0.35">
      <c r="A3825" s="2" t="str">
        <f ca="1">IFERROR(__xludf.DUMMYFUNCTION("""COMPUTED_VALUE"""),"Abu Dhabi")</f>
        <v>Abu Dhabi</v>
      </c>
      <c r="B3825" s="2" t="str">
        <f ca="1">IFERROR(__xludf.DUMMYFUNCTION("""COMPUTED_VALUE"""),"Al Muroor")</f>
        <v>Al Muroor</v>
      </c>
      <c r="C3825" s="2" t="str">
        <f ca="1">IFERROR(__xludf.DUMMYFUNCTION("""COMPUTED_VALUE"""),"Neighbourhood")</f>
        <v>Neighbourhood</v>
      </c>
      <c r="D3825" s="2" t="str">
        <f ca="1">IFERROR(__xludf.DUMMYFUNCTION("""COMPUTED_VALUE"""),"Abu Dhabi&gt;Al Muroor")</f>
        <v>Abu Dhabi&gt;Al Muroor</v>
      </c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</row>
    <row r="3826" spans="1:26" ht="16.5" x14ac:dyDescent="0.35">
      <c r="A3826" s="2" t="str">
        <f ca="1">IFERROR(__xludf.DUMMYFUNCTION("""COMPUTED_VALUE"""),"Abu Dhabi")</f>
        <v>Abu Dhabi</v>
      </c>
      <c r="B3826" s="2" t="str">
        <f ca="1">IFERROR(__xludf.DUMMYFUNCTION("""COMPUTED_VALUE"""),"Diyafah International School, Abu Dhabi")</f>
        <v>Diyafah International School, Abu Dhabi</v>
      </c>
      <c r="C3826" s="2" t="str">
        <f ca="1">IFERROR(__xludf.DUMMYFUNCTION("""COMPUTED_VALUE"""),"School")</f>
        <v>School</v>
      </c>
      <c r="D3826" s="2" t="str">
        <f ca="1">IFERROR(__xludf.DUMMYFUNCTION("""COMPUTED_VALUE"""),"Abu Dhabi&gt;Mohamed Bin Zayed City&gt;Diyafah International School, Abu Dhabi")</f>
        <v>Abu Dhabi&gt;Mohamed Bin Zayed City&gt;Diyafah International School, Abu Dhabi</v>
      </c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</row>
    <row r="3827" spans="1:26" ht="16.5" x14ac:dyDescent="0.35">
      <c r="A3827" s="2" t="str">
        <f ca="1">IFERROR(__xludf.DUMMYFUNCTION("""COMPUTED_VALUE"""),"Abu Dhabi")</f>
        <v>Abu Dhabi</v>
      </c>
      <c r="B3827" s="2" t="str">
        <f ca="1">IFERROR(__xludf.DUMMYFUNCTION("""COMPUTED_VALUE"""),"Zone 25")</f>
        <v>Zone 25</v>
      </c>
      <c r="C3827" s="2" t="str">
        <f ca="1">IFERROR(__xludf.DUMMYFUNCTION("""COMPUTED_VALUE"""),"Neighbourhood")</f>
        <v>Neighbourhood</v>
      </c>
      <c r="D3827" s="2" t="str">
        <f ca="1">IFERROR(__xludf.DUMMYFUNCTION("""COMPUTED_VALUE"""),"Abu Dhabi&gt;Mohamed Bin Zayed City&gt;Zone 25")</f>
        <v>Abu Dhabi&gt;Mohamed Bin Zayed City&gt;Zone 25</v>
      </c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</row>
    <row r="3828" spans="1:26" ht="16.5" x14ac:dyDescent="0.35">
      <c r="A3828" s="2" t="str">
        <f ca="1">IFERROR(__xludf.DUMMYFUNCTION("""COMPUTED_VALUE"""),"Abu Dhabi")</f>
        <v>Abu Dhabi</v>
      </c>
      <c r="B3828" s="2" t="str">
        <f ca="1">IFERROR(__xludf.DUMMYFUNCTION("""COMPUTED_VALUE"""),"Shabiya 12")</f>
        <v>Shabiya 12</v>
      </c>
      <c r="C3828" s="2" t="str">
        <f ca="1">IFERROR(__xludf.DUMMYFUNCTION("""COMPUTED_VALUE"""),"Neighbourhood")</f>
        <v>Neighbourhood</v>
      </c>
      <c r="D3828" s="2" t="str">
        <f ca="1">IFERROR(__xludf.DUMMYFUNCTION("""COMPUTED_VALUE"""),"Abu Dhabi&gt;Mohamed Bin Zayed City&gt;Mussafah Community&gt;Shabiya 12")</f>
        <v>Abu Dhabi&gt;Mohamed Bin Zayed City&gt;Mussafah Community&gt;Shabiya 12</v>
      </c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</row>
    <row r="3829" spans="1:26" ht="16.5" x14ac:dyDescent="0.35">
      <c r="A3829" s="2" t="str">
        <f ca="1">IFERROR(__xludf.DUMMYFUNCTION("""COMPUTED_VALUE"""),"Abu Dhabi")</f>
        <v>Abu Dhabi</v>
      </c>
      <c r="B3829" s="2" t="str">
        <f ca="1">IFERROR(__xludf.DUMMYFUNCTION("""COMPUTED_VALUE"""),"Building 17")</f>
        <v>Building 17</v>
      </c>
      <c r="C3829" s="2" t="str">
        <f ca="1">IFERROR(__xludf.DUMMYFUNCTION("""COMPUTED_VALUE"""),"Building")</f>
        <v>Building</v>
      </c>
      <c r="D3829" s="2" t="str">
        <f ca="1">IFERROR(__xludf.DUMMYFUNCTION("""COMPUTED_VALUE"""),"Abu Dhabi&gt;Al Reef&gt;Al Reef Downtown&gt;Building 17")</f>
        <v>Abu Dhabi&gt;Al Reef&gt;Al Reef Downtown&gt;Building 17</v>
      </c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</row>
    <row r="3830" spans="1:26" ht="16.5" x14ac:dyDescent="0.35">
      <c r="A3830" s="2" t="str">
        <f ca="1">IFERROR(__xludf.DUMMYFUNCTION("""COMPUTED_VALUE"""),"Abu Dhabi")</f>
        <v>Abu Dhabi</v>
      </c>
      <c r="B3830" s="2" t="str">
        <f ca="1">IFERROR(__xludf.DUMMYFUNCTION("""COMPUTED_VALUE"""),"Zone 8")</f>
        <v>Zone 8</v>
      </c>
      <c r="C3830" s="2" t="str">
        <f ca="1">IFERROR(__xludf.DUMMYFUNCTION("""COMPUTED_VALUE"""),"Neighbourhood")</f>
        <v>Neighbourhood</v>
      </c>
      <c r="D3830" s="2" t="str">
        <f ca="1">IFERROR(__xludf.DUMMYFUNCTION("""COMPUTED_VALUE"""),"Abu Dhabi&gt;Hydra Village&gt;Zone 8")</f>
        <v>Abu Dhabi&gt;Hydra Village&gt;Zone 8</v>
      </c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</row>
    <row r="3831" spans="1:26" ht="16.5" x14ac:dyDescent="0.35">
      <c r="A3831" s="2" t="str">
        <f ca="1">IFERROR(__xludf.DUMMYFUNCTION("""COMPUTED_VALUE"""),"Abu Dhabi")</f>
        <v>Abu Dhabi</v>
      </c>
      <c r="B3831" s="2" t="str">
        <f ca="1">IFERROR(__xludf.DUMMYFUNCTION("""COMPUTED_VALUE"""),"Abu Dhabi Gate City (Officers City)")</f>
        <v>Abu Dhabi Gate City (Officers City)</v>
      </c>
      <c r="C3831" s="2" t="str">
        <f ca="1">IFERROR(__xludf.DUMMYFUNCTION("""COMPUTED_VALUE"""),"Neighbourhood")</f>
        <v>Neighbourhood</v>
      </c>
      <c r="D3831" s="2" t="str">
        <f ca="1">IFERROR(__xludf.DUMMYFUNCTION("""COMPUTED_VALUE"""),"Abu Dhabi&gt;Abu Dhabi Gate City (Officers City)")</f>
        <v>Abu Dhabi&gt;Abu Dhabi Gate City (Officers City)</v>
      </c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</row>
    <row r="3832" spans="1:26" ht="16.5" x14ac:dyDescent="0.35">
      <c r="A3832" s="2" t="str">
        <f ca="1">IFERROR(__xludf.DUMMYFUNCTION("""COMPUTED_VALUE"""),"Abu Dhabi")</f>
        <v>Abu Dhabi</v>
      </c>
      <c r="B3832" s="2" t="str">
        <f ca="1">IFERROR(__xludf.DUMMYFUNCTION("""COMPUTED_VALUE"""),"Zayed Military City Tower 6")</f>
        <v>Zayed Military City Tower 6</v>
      </c>
      <c r="C3832" s="2" t="str">
        <f ca="1">IFERROR(__xludf.DUMMYFUNCTION("""COMPUTED_VALUE"""),"Building")</f>
        <v>Building</v>
      </c>
      <c r="D3832" s="2" t="str">
        <f ca="1">IFERROR(__xludf.DUMMYFUNCTION("""COMPUTED_VALUE"""),"Abu Dhabi&gt;Zayed Military City&gt;Zayed Military City Tower 6")</f>
        <v>Abu Dhabi&gt;Zayed Military City&gt;Zayed Military City Tower 6</v>
      </c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</row>
    <row r="3833" spans="1:26" ht="16.5" x14ac:dyDescent="0.35">
      <c r="A3833" s="2" t="str">
        <f ca="1">IFERROR(__xludf.DUMMYFUNCTION("""COMPUTED_VALUE"""),"Abu Dhabi")</f>
        <v>Abu Dhabi</v>
      </c>
      <c r="B3833" s="2" t="str">
        <f ca="1">IFERROR(__xludf.DUMMYFUNCTION("""COMPUTED_VALUE"""),"Ansam 4")</f>
        <v>Ansam 4</v>
      </c>
      <c r="C3833" s="2" t="str">
        <f ca="1">IFERROR(__xludf.DUMMYFUNCTION("""COMPUTED_VALUE"""),"Building")</f>
        <v>Building</v>
      </c>
      <c r="D3833" s="2" t="str">
        <f ca="1">IFERROR(__xludf.DUMMYFUNCTION("""COMPUTED_VALUE"""),"Abu Dhabi&gt;Yas Island&gt;Ansam&gt;Ansam 4")</f>
        <v>Abu Dhabi&gt;Yas Island&gt;Ansam&gt;Ansam 4</v>
      </c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</row>
    <row r="3834" spans="1:26" ht="16.5" x14ac:dyDescent="0.35">
      <c r="A3834" s="2" t="str">
        <f ca="1">IFERROR(__xludf.DUMMYFUNCTION("""COMPUTED_VALUE"""),"Abu Dhabi")</f>
        <v>Abu Dhabi</v>
      </c>
      <c r="B3834" s="2" t="str">
        <f ca="1">IFERROR(__xludf.DUMMYFUNCTION("""COMPUTED_VALUE"""),"Yas Park Gate")</f>
        <v>Yas Park Gate</v>
      </c>
      <c r="C3834" s="2" t="str">
        <f ca="1">IFERROR(__xludf.DUMMYFUNCTION("""COMPUTED_VALUE"""),"Neighbourhood")</f>
        <v>Neighbourhood</v>
      </c>
      <c r="D3834" s="2" t="str">
        <f ca="1">IFERROR(__xludf.DUMMYFUNCTION("""COMPUTED_VALUE"""),"Abu Dhabi&gt;Yas Island&gt;Yas Park Gate")</f>
        <v>Abu Dhabi&gt;Yas Island&gt;Yas Park Gate</v>
      </c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</row>
    <row r="3835" spans="1:26" ht="16.5" x14ac:dyDescent="0.35">
      <c r="A3835" s="2" t="str">
        <f ca="1">IFERROR(__xludf.DUMMYFUNCTION("""COMPUTED_VALUE"""),"Abu Dhabi")</f>
        <v>Abu Dhabi</v>
      </c>
      <c r="B3835" s="2" t="str">
        <f ca="1">IFERROR(__xludf.DUMMYFUNCTION("""COMPUTED_VALUE"""),"Al Sila")</f>
        <v>Al Sila</v>
      </c>
      <c r="C3835" s="2" t="str">
        <f ca="1">IFERROR(__xludf.DUMMYFUNCTION("""COMPUTED_VALUE"""),"Neighbourhood")</f>
        <v>Neighbourhood</v>
      </c>
      <c r="D3835" s="2" t="str">
        <f ca="1">IFERROR(__xludf.DUMMYFUNCTION("""COMPUTED_VALUE"""),"Abu Dhabi&gt;Al Sila")</f>
        <v>Abu Dhabi&gt;Al Sila</v>
      </c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</row>
    <row r="3836" spans="1:26" ht="16.5" x14ac:dyDescent="0.35">
      <c r="A3836" s="2" t="str">
        <f ca="1">IFERROR(__xludf.DUMMYFUNCTION("""COMPUTED_VALUE"""),"Abu Dhabi")</f>
        <v>Abu Dhabi</v>
      </c>
      <c r="B3836" s="2" t="str">
        <f ca="1">IFERROR(__xludf.DUMMYFUNCTION("""COMPUTED_VALUE"""),"Mussafah Gardens")</f>
        <v>Mussafah Gardens</v>
      </c>
      <c r="C3836" s="2" t="str">
        <f ca="1">IFERROR(__xludf.DUMMYFUNCTION("""COMPUTED_VALUE"""),"Building")</f>
        <v>Building</v>
      </c>
      <c r="D3836" s="2" t="str">
        <f ca="1">IFERROR(__xludf.DUMMYFUNCTION("""COMPUTED_VALUE"""),"Abu Dhabi&gt;Mussafah&gt;Mussafah Gardens")</f>
        <v>Abu Dhabi&gt;Mussafah&gt;Mussafah Gardens</v>
      </c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</row>
    <row r="3837" spans="1:26" ht="16.5" x14ac:dyDescent="0.35">
      <c r="A3837" s="2" t="str">
        <f ca="1">IFERROR(__xludf.DUMMYFUNCTION("""COMPUTED_VALUE"""),"Ajman")</f>
        <v>Ajman</v>
      </c>
      <c r="B3837" s="2" t="str">
        <f ca="1">IFERROR(__xludf.DUMMYFUNCTION("""COMPUTED_VALUE"""),"Liwara 2")</f>
        <v>Liwara 2</v>
      </c>
      <c r="C3837" s="2" t="str">
        <f ca="1">IFERROR(__xludf.DUMMYFUNCTION("""COMPUTED_VALUE"""),"Neighbourhood")</f>
        <v>Neighbourhood</v>
      </c>
      <c r="D3837" s="2" t="str">
        <f ca="1">IFERROR(__xludf.DUMMYFUNCTION("""COMPUTED_VALUE"""),"Ajman&gt;Liwara 2")</f>
        <v>Ajman&gt;Liwara 2</v>
      </c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</row>
    <row r="3838" spans="1:26" ht="16.5" x14ac:dyDescent="0.35">
      <c r="A3838" s="2" t="str">
        <f ca="1">IFERROR(__xludf.DUMMYFUNCTION("""COMPUTED_VALUE"""),"Ajman")</f>
        <v>Ajman</v>
      </c>
      <c r="B3838" s="2" t="str">
        <f ca="1">IFERROR(__xludf.DUMMYFUNCTION("""COMPUTED_VALUE"""),"Bsel Pearl Tower")</f>
        <v>Bsel Pearl Tower</v>
      </c>
      <c r="C3838" s="2"/>
      <c r="D3838" s="2" t="str">
        <f ca="1">IFERROR(__xludf.DUMMYFUNCTION("""COMPUTED_VALUE"""),"Ajman&gt;Emirates City&gt;Bsel Pearl Tower")</f>
        <v>Ajman&gt;Emirates City&gt;Bsel Pearl Tower</v>
      </c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</row>
    <row r="3839" spans="1:26" ht="16.5" x14ac:dyDescent="0.35">
      <c r="A3839" s="2" t="str">
        <f ca="1">IFERROR(__xludf.DUMMYFUNCTION("""COMPUTED_VALUE"""),"Ajman")</f>
        <v>Ajman</v>
      </c>
      <c r="B3839" s="2" t="str">
        <f ca="1">IFERROR(__xludf.DUMMYFUNCTION("""COMPUTED_VALUE"""),"Garden Residences")</f>
        <v>Garden Residences</v>
      </c>
      <c r="C3839" s="2" t="str">
        <f ca="1">IFERROR(__xludf.DUMMYFUNCTION("""COMPUTED_VALUE"""),"Building")</f>
        <v>Building</v>
      </c>
      <c r="D3839" s="2" t="str">
        <f ca="1">IFERROR(__xludf.DUMMYFUNCTION("""COMPUTED_VALUE"""),"Ajman&gt;Emirates City&gt;Garden Residences")</f>
        <v>Ajman&gt;Emirates City&gt;Garden Residences</v>
      </c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</row>
    <row r="3840" spans="1:26" ht="16.5" x14ac:dyDescent="0.35">
      <c r="A3840" s="2" t="str">
        <f ca="1">IFERROR(__xludf.DUMMYFUNCTION("""COMPUTED_VALUE"""),"Ajman")</f>
        <v>Ajman</v>
      </c>
      <c r="B3840" s="2" t="str">
        <f ca="1">IFERROR(__xludf.DUMMYFUNCTION("""COMPUTED_VALUE"""),"Ajman Downtown")</f>
        <v>Ajman Downtown</v>
      </c>
      <c r="C3840" s="2" t="str">
        <f ca="1">IFERROR(__xludf.DUMMYFUNCTION("""COMPUTED_VALUE"""),"Neighbourhood")</f>
        <v>Neighbourhood</v>
      </c>
      <c r="D3840" s="2" t="str">
        <f ca="1">IFERROR(__xludf.DUMMYFUNCTION("""COMPUTED_VALUE"""),"Ajman&gt;Ajman Downtown")</f>
        <v>Ajman&gt;Ajman Downtown</v>
      </c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</row>
    <row r="3841" spans="1:26" ht="16.5" x14ac:dyDescent="0.35">
      <c r="A3841" s="2" t="str">
        <f ca="1">IFERROR(__xludf.DUMMYFUNCTION("""COMPUTED_VALUE"""),"Ajman")</f>
        <v>Ajman</v>
      </c>
      <c r="B3841" s="2" t="str">
        <f ca="1">IFERROR(__xludf.DUMMYFUNCTION("""COMPUTED_VALUE"""),"Rumaila 2 Building")</f>
        <v>Rumaila 2 Building</v>
      </c>
      <c r="C3841" s="2" t="str">
        <f ca="1">IFERROR(__xludf.DUMMYFUNCTION("""COMPUTED_VALUE"""),"Building")</f>
        <v>Building</v>
      </c>
      <c r="D3841" s="2" t="str">
        <f ca="1">IFERROR(__xludf.DUMMYFUNCTION("""COMPUTED_VALUE"""),"Ajman&gt;Al Rumaila&gt;Rumaila 2 Building")</f>
        <v>Ajman&gt;Al Rumaila&gt;Rumaila 2 Building</v>
      </c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</row>
    <row r="3842" spans="1:26" ht="16.5" x14ac:dyDescent="0.35">
      <c r="A3842" s="2" t="str">
        <f ca="1">IFERROR(__xludf.DUMMYFUNCTION("""COMPUTED_VALUE"""),"Ajman")</f>
        <v>Ajman</v>
      </c>
      <c r="B3842" s="2" t="str">
        <f ca="1">IFERROR(__xludf.DUMMYFUNCTION("""COMPUTED_VALUE"""),"Ajman One Towers")</f>
        <v>Ajman One Towers</v>
      </c>
      <c r="C3842" s="2" t="str">
        <f ca="1">IFERROR(__xludf.DUMMYFUNCTION("""COMPUTED_VALUE"""),"Cluster")</f>
        <v>Cluster</v>
      </c>
      <c r="D3842" s="2" t="str">
        <f ca="1">IFERROR(__xludf.DUMMYFUNCTION("""COMPUTED_VALUE"""),"Ajman&gt;Al Rashidiya&gt;Al Rashidiya 3&gt;Ajman One Towers")</f>
        <v>Ajman&gt;Al Rashidiya&gt;Al Rashidiya 3&gt;Ajman One Towers</v>
      </c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</row>
    <row r="3843" spans="1:26" ht="16.5" x14ac:dyDescent="0.35">
      <c r="A3843" s="2" t="str">
        <f ca="1">IFERROR(__xludf.DUMMYFUNCTION("""COMPUTED_VALUE"""),"Ajman")</f>
        <v>Ajman</v>
      </c>
      <c r="B3843" s="2" t="str">
        <f ca="1">IFERROR(__xludf.DUMMYFUNCTION("""COMPUTED_VALUE"""),"Corniche Tower")</f>
        <v>Corniche Tower</v>
      </c>
      <c r="C3843" s="2" t="str">
        <f ca="1">IFERROR(__xludf.DUMMYFUNCTION("""COMPUTED_VALUE"""),"Building")</f>
        <v>Building</v>
      </c>
      <c r="D3843" s="2" t="str">
        <f ca="1">IFERROR(__xludf.DUMMYFUNCTION("""COMPUTED_VALUE"""),"Ajman&gt;Corniche Ajman&gt;Corniche Tower")</f>
        <v>Ajman&gt;Corniche Ajman&gt;Corniche Tower</v>
      </c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</row>
    <row r="3844" spans="1:26" ht="16.5" x14ac:dyDescent="0.35">
      <c r="A3844" s="2" t="str">
        <f ca="1">IFERROR(__xludf.DUMMYFUNCTION("""COMPUTED_VALUE"""),"Ajman")</f>
        <v>Ajman</v>
      </c>
      <c r="B3844" s="2" t="str">
        <f ca="1">IFERROR(__xludf.DUMMYFUNCTION("""COMPUTED_VALUE"""),"La Blanch")</f>
        <v>La Blanch</v>
      </c>
      <c r="C3844" s="2"/>
      <c r="D3844" s="2" t="str">
        <f ca="1">IFERROR(__xludf.DUMMYFUNCTION("""COMPUTED_VALUE"""),"Ajman&gt;Ain Ajman&gt;La Blanch")</f>
        <v>Ajman&gt;Ain Ajman&gt;La Blanch</v>
      </c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</row>
    <row r="3845" spans="1:26" ht="16.5" x14ac:dyDescent="0.35">
      <c r="A3845" s="2" t="str">
        <f ca="1">IFERROR(__xludf.DUMMYFUNCTION("""COMPUTED_VALUE"""),"Ajman")</f>
        <v>Ajman</v>
      </c>
      <c r="B3845" s="2" t="str">
        <f ca="1">IFERROR(__xludf.DUMMYFUNCTION("""COMPUTED_VALUE"""),"Al Ameera Village")</f>
        <v>Al Ameera Village</v>
      </c>
      <c r="C3845" s="2" t="str">
        <f ca="1">IFERROR(__xludf.DUMMYFUNCTION("""COMPUTED_VALUE"""),"Neighbourhood")</f>
        <v>Neighbourhood</v>
      </c>
      <c r="D3845" s="2" t="str">
        <f ca="1">IFERROR(__xludf.DUMMYFUNCTION("""COMPUTED_VALUE"""),"Ajman&gt;Al Yasmeen&gt;Al Ameera Village")</f>
        <v>Ajman&gt;Al Yasmeen&gt;Al Ameera Village</v>
      </c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</row>
    <row r="3846" spans="1:26" ht="16.5" x14ac:dyDescent="0.35">
      <c r="A3846" s="2" t="str">
        <f ca="1">IFERROR(__xludf.DUMMYFUNCTION("""COMPUTED_VALUE"""),"Ajman")</f>
        <v>Ajman</v>
      </c>
      <c r="B3846" s="2" t="str">
        <f ca="1">IFERROR(__xludf.DUMMYFUNCTION("""COMPUTED_VALUE"""),"Al Zahya")</f>
        <v>Al Zahya</v>
      </c>
      <c r="C3846" s="2" t="str">
        <f ca="1">IFERROR(__xludf.DUMMYFUNCTION("""COMPUTED_VALUE"""),"Neighbourhood")</f>
        <v>Neighbourhood</v>
      </c>
      <c r="D3846" s="2" t="str">
        <f ca="1">IFERROR(__xludf.DUMMYFUNCTION("""COMPUTED_VALUE"""),"Ajman&gt;Al Zahya")</f>
        <v>Ajman&gt;Al Zahya</v>
      </c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</row>
    <row r="3847" spans="1:26" ht="16.5" x14ac:dyDescent="0.35">
      <c r="A3847" s="2" t="str">
        <f ca="1">IFERROR(__xludf.DUMMYFUNCTION("""COMPUTED_VALUE"""),"Ajman")</f>
        <v>Ajman</v>
      </c>
      <c r="B3847" s="2" t="str">
        <f ca="1">IFERROR(__xludf.DUMMYFUNCTION("""COMPUTED_VALUE"""),"Wings Tower")</f>
        <v>Wings Tower</v>
      </c>
      <c r="C3847" s="2"/>
      <c r="D3847" s="2" t="str">
        <f ca="1">IFERROR(__xludf.DUMMYFUNCTION("""COMPUTED_VALUE"""),"Ajman&gt;Al Humaid City&gt;Wings Tower")</f>
        <v>Ajman&gt;Al Humaid City&gt;Wings Tower</v>
      </c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</row>
    <row r="3848" spans="1:26" ht="16.5" x14ac:dyDescent="0.35">
      <c r="A3848" s="2" t="str">
        <f ca="1">IFERROR(__xludf.DUMMYFUNCTION("""COMPUTED_VALUE"""),"Ajman")</f>
        <v>Ajman</v>
      </c>
      <c r="B3848" s="2" t="str">
        <f ca="1">IFERROR(__xludf.DUMMYFUNCTION("""COMPUTED_VALUE"""),"Al Nuaimiya 1")</f>
        <v>Al Nuaimiya 1</v>
      </c>
      <c r="C3848" s="2" t="str">
        <f ca="1">IFERROR(__xludf.DUMMYFUNCTION("""COMPUTED_VALUE"""),"Neighbourhood")</f>
        <v>Neighbourhood</v>
      </c>
      <c r="D3848" s="2" t="str">
        <f ca="1">IFERROR(__xludf.DUMMYFUNCTION("""COMPUTED_VALUE"""),"Ajman&gt;Al Nuaimiya&gt;Al Nuaimiya 1")</f>
        <v>Ajman&gt;Al Nuaimiya&gt;Al Nuaimiya 1</v>
      </c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</row>
    <row r="3849" spans="1:26" ht="16.5" x14ac:dyDescent="0.35">
      <c r="A3849" s="2" t="str">
        <f ca="1">IFERROR(__xludf.DUMMYFUNCTION("""COMPUTED_VALUE"""),"Ajman")</f>
        <v>Ajman</v>
      </c>
      <c r="B3849" s="2" t="str">
        <f ca="1">IFERROR(__xludf.DUMMYFUNCTION("""COMPUTED_VALUE"""),"Moosani Tower")</f>
        <v>Moosani Tower</v>
      </c>
      <c r="C3849" s="2"/>
      <c r="D3849" s="2" t="str">
        <f ca="1">IFERROR(__xludf.DUMMYFUNCTION("""COMPUTED_VALUE"""),"Ajman&gt;Al Nuaimiya&gt;Al Nuaimiya 2&gt;Moosani Tower")</f>
        <v>Ajman&gt;Al Nuaimiya&gt;Al Nuaimiya 2&gt;Moosani Tower</v>
      </c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</row>
    <row r="3850" spans="1:26" ht="16.5" x14ac:dyDescent="0.35">
      <c r="A3850" s="2" t="str">
        <f ca="1">IFERROR(__xludf.DUMMYFUNCTION("""COMPUTED_VALUE"""),"Sharjah")</f>
        <v>Sharjah</v>
      </c>
      <c r="B3850" s="2" t="str">
        <f ca="1">IFERROR(__xludf.DUMMYFUNCTION("""COMPUTED_VALUE"""),"Sahara Tower 3")</f>
        <v>Sahara Tower 3</v>
      </c>
      <c r="C3850" s="2" t="str">
        <f ca="1">IFERROR(__xludf.DUMMYFUNCTION("""COMPUTED_VALUE"""),"Building")</f>
        <v>Building</v>
      </c>
      <c r="D3850" s="2" t="str">
        <f ca="1">IFERROR(__xludf.DUMMYFUNCTION("""COMPUTED_VALUE"""),"Sharjah&gt;Al Nahda (Sharjah)&gt;Sahara Towers&gt;Sahara Tower 3")</f>
        <v>Sharjah&gt;Al Nahda (Sharjah)&gt;Sahara Towers&gt;Sahara Tower 3</v>
      </c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</row>
    <row r="3851" spans="1:26" ht="16.5" x14ac:dyDescent="0.35">
      <c r="A3851" s="2" t="str">
        <f ca="1">IFERROR(__xludf.DUMMYFUNCTION("""COMPUTED_VALUE"""),"Sharjah")</f>
        <v>Sharjah</v>
      </c>
      <c r="B3851" s="2" t="str">
        <f ca="1">IFERROR(__xludf.DUMMYFUNCTION("""COMPUTED_VALUE"""),"Moon Tower 2")</f>
        <v>Moon Tower 2</v>
      </c>
      <c r="C3851" s="2" t="str">
        <f ca="1">IFERROR(__xludf.DUMMYFUNCTION("""COMPUTED_VALUE"""),"Building")</f>
        <v>Building</v>
      </c>
      <c r="D3851" s="2" t="str">
        <f ca="1">IFERROR(__xludf.DUMMYFUNCTION("""COMPUTED_VALUE"""),"Sharjah&gt;Al Nahda (Sharjah)&gt;Moon Tower 2")</f>
        <v>Sharjah&gt;Al Nahda (Sharjah)&gt;Moon Tower 2</v>
      </c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</row>
    <row r="3852" spans="1:26" ht="16.5" x14ac:dyDescent="0.35">
      <c r="A3852" s="2" t="str">
        <f ca="1">IFERROR(__xludf.DUMMYFUNCTION("""COMPUTED_VALUE"""),"Sharjah")</f>
        <v>Sharjah</v>
      </c>
      <c r="B3852" s="2" t="str">
        <f ca="1">IFERROR(__xludf.DUMMYFUNCTION("""COMPUTED_VALUE"""),"Al Bawazir Building")</f>
        <v>Al Bawazir Building</v>
      </c>
      <c r="C3852" s="2"/>
      <c r="D3852" s="2" t="str">
        <f ca="1">IFERROR(__xludf.DUMMYFUNCTION("""COMPUTED_VALUE"""),"Sharjah&gt;Al Nahda (Sharjah)&gt;Al Bawazir Building")</f>
        <v>Sharjah&gt;Al Nahda (Sharjah)&gt;Al Bawazir Building</v>
      </c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</row>
    <row r="3853" spans="1:26" ht="16.5" x14ac:dyDescent="0.35">
      <c r="A3853" s="2" t="str">
        <f ca="1">IFERROR(__xludf.DUMMYFUNCTION("""COMPUTED_VALUE"""),"Sharjah")</f>
        <v>Sharjah</v>
      </c>
      <c r="B3853" s="2" t="str">
        <f ca="1">IFERROR(__xludf.DUMMYFUNCTION("""COMPUTED_VALUE"""),"Kanoon Building")</f>
        <v>Kanoon Building</v>
      </c>
      <c r="C3853" s="2"/>
      <c r="D3853" s="2" t="str">
        <f ca="1">IFERROR(__xludf.DUMMYFUNCTION("""COMPUTED_VALUE"""),"Sharjah&gt;Al Nahda (Sharjah)&gt;Kanoon Building")</f>
        <v>Sharjah&gt;Al Nahda (Sharjah)&gt;Kanoon Building</v>
      </c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</row>
    <row r="3854" spans="1:26" ht="16.5" x14ac:dyDescent="0.35">
      <c r="A3854" s="2" t="str">
        <f ca="1">IFERROR(__xludf.DUMMYFUNCTION("""COMPUTED_VALUE"""),"Sharjah")</f>
        <v>Sharjah</v>
      </c>
      <c r="B3854" s="2" t="str">
        <f ca="1">IFERROR(__xludf.DUMMYFUNCTION("""COMPUTED_VALUE"""),"Salem Ahmed Al Moosa Enterprises Tower 1")</f>
        <v>Salem Ahmed Al Moosa Enterprises Tower 1</v>
      </c>
      <c r="C3854" s="2" t="str">
        <f ca="1">IFERROR(__xludf.DUMMYFUNCTION("""COMPUTED_VALUE"""),"Building")</f>
        <v>Building</v>
      </c>
      <c r="D3854" s="2" t="str">
        <f ca="1">IFERROR(__xludf.DUMMYFUNCTION("""COMPUTED_VALUE"""),"Sharjah&gt;Al Nahda (Sharjah)&gt;Salem Ahmed Al Moosa Enterprises Tower 1")</f>
        <v>Sharjah&gt;Al Nahda (Sharjah)&gt;Salem Ahmed Al Moosa Enterprises Tower 1</v>
      </c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</row>
    <row r="3855" spans="1:26" ht="16.5" x14ac:dyDescent="0.35">
      <c r="A3855" s="2" t="str">
        <f ca="1">IFERROR(__xludf.DUMMYFUNCTION("""COMPUTED_VALUE"""),"Sharjah")</f>
        <v>Sharjah</v>
      </c>
      <c r="B3855" s="2" t="str">
        <f ca="1">IFERROR(__xludf.DUMMYFUNCTION("""COMPUTED_VALUE"""),"Mattar Residence")</f>
        <v>Mattar Residence</v>
      </c>
      <c r="C3855" s="2" t="str">
        <f ca="1">IFERROR(__xludf.DUMMYFUNCTION("""COMPUTED_VALUE"""),"Building")</f>
        <v>Building</v>
      </c>
      <c r="D3855" s="2" t="str">
        <f ca="1">IFERROR(__xludf.DUMMYFUNCTION("""COMPUTED_VALUE"""),"Sharjah&gt;Khor Fakkan&gt;Hayawa&gt;Mattar Residence")</f>
        <v>Sharjah&gt;Khor Fakkan&gt;Hayawa&gt;Mattar Residence</v>
      </c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</row>
    <row r="3856" spans="1:26" ht="16.5" x14ac:dyDescent="0.35">
      <c r="A3856" s="2" t="str">
        <f ca="1">IFERROR(__xludf.DUMMYFUNCTION("""COMPUTED_VALUE"""),"Sharjah")</f>
        <v>Sharjah</v>
      </c>
      <c r="B3856" s="2" t="str">
        <f ca="1">IFERROR(__xludf.DUMMYFUNCTION("""COMPUTED_VALUE"""),"Naseej District")</f>
        <v>Naseej District</v>
      </c>
      <c r="C3856" s="2" t="str">
        <f ca="1">IFERROR(__xludf.DUMMYFUNCTION("""COMPUTED_VALUE"""),"Neighbourhood")</f>
        <v>Neighbourhood</v>
      </c>
      <c r="D3856" s="2" t="str">
        <f ca="1">IFERROR(__xludf.DUMMYFUNCTION("""COMPUTED_VALUE"""),"Sharjah&gt;Aljada&gt;Naseej District")</f>
        <v>Sharjah&gt;Aljada&gt;Naseej District</v>
      </c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</row>
    <row r="3857" spans="1:26" ht="16.5" x14ac:dyDescent="0.35">
      <c r="A3857" s="2" t="str">
        <f ca="1">IFERROR(__xludf.DUMMYFUNCTION("""COMPUTED_VALUE"""),"Sharjah")</f>
        <v>Sharjah</v>
      </c>
      <c r="B3857" s="2" t="str">
        <f ca="1">IFERROR(__xludf.DUMMYFUNCTION("""COMPUTED_VALUE"""),"Nasaq")</f>
        <v>Nasaq</v>
      </c>
      <c r="C3857" s="2" t="str">
        <f ca="1">IFERROR(__xludf.DUMMYFUNCTION("""COMPUTED_VALUE"""),"Cluster")</f>
        <v>Cluster</v>
      </c>
      <c r="D3857" s="2" t="str">
        <f ca="1">IFERROR(__xludf.DUMMYFUNCTION("""COMPUTED_VALUE"""),"Sharjah&gt;Aljada&gt;Nasaq")</f>
        <v>Sharjah&gt;Aljada&gt;Nasaq</v>
      </c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</row>
    <row r="3858" spans="1:26" ht="16.5" x14ac:dyDescent="0.35">
      <c r="A3858" s="2" t="str">
        <f ca="1">IFERROR(__xludf.DUMMYFUNCTION("""COMPUTED_VALUE"""),"Sharjah")</f>
        <v>Sharjah</v>
      </c>
      <c r="B3858" s="2" t="str">
        <f ca="1">IFERROR(__xludf.DUMMYFUNCTION("""COMPUTED_VALUE"""),"Argoub Industrial")</f>
        <v>Argoub Industrial</v>
      </c>
      <c r="C3858" s="2" t="str">
        <f ca="1">IFERROR(__xludf.DUMMYFUNCTION("""COMPUTED_VALUE"""),"Neighbourhood")</f>
        <v>Neighbourhood</v>
      </c>
      <c r="D3858" s="2" t="str">
        <f ca="1">IFERROR(__xludf.DUMMYFUNCTION("""COMPUTED_VALUE"""),"Sharjah&gt;Al Hamriyah&gt;Argoub Industrial")</f>
        <v>Sharjah&gt;Al Hamriyah&gt;Argoub Industrial</v>
      </c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</row>
    <row r="3859" spans="1:26" ht="16.5" x14ac:dyDescent="0.35">
      <c r="A3859" s="2" t="str">
        <f ca="1">IFERROR(__xludf.DUMMYFUNCTION("""COMPUTED_VALUE"""),"Sharjah")</f>
        <v>Sharjah</v>
      </c>
      <c r="B3859" s="2" t="str">
        <f ca="1">IFERROR(__xludf.DUMMYFUNCTION("""COMPUTED_VALUE"""),"Abdullah Al Dousery Building")</f>
        <v>Abdullah Al Dousery Building</v>
      </c>
      <c r="C3859" s="2"/>
      <c r="D3859" s="2" t="str">
        <f ca="1">IFERROR(__xludf.DUMMYFUNCTION("""COMPUTED_VALUE"""),"Sharjah&gt;Abu Shagara&gt;Abdullah Al Dousery Building")</f>
        <v>Sharjah&gt;Abu Shagara&gt;Abdullah Al Dousery Building</v>
      </c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</row>
    <row r="3860" spans="1:26" ht="16.5" x14ac:dyDescent="0.35">
      <c r="A3860" s="2" t="str">
        <f ca="1">IFERROR(__xludf.DUMMYFUNCTION("""COMPUTED_VALUE"""),"Sharjah")</f>
        <v>Sharjah</v>
      </c>
      <c r="B3860" s="2" t="str">
        <f ca="1">IFERROR(__xludf.DUMMYFUNCTION("""COMPUTED_VALUE"""),"Robot Park Tower")</f>
        <v>Robot Park Tower</v>
      </c>
      <c r="C3860" s="2" t="str">
        <f ca="1">IFERROR(__xludf.DUMMYFUNCTION("""COMPUTED_VALUE"""),"Building")</f>
        <v>Building</v>
      </c>
      <c r="D3860" s="2" t="str">
        <f ca="1">IFERROR(__xludf.DUMMYFUNCTION("""COMPUTED_VALUE"""),"Sharjah&gt;Al Qasba&gt;Robot Park Tower")</f>
        <v>Sharjah&gt;Al Qasba&gt;Robot Park Tower</v>
      </c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</row>
    <row r="3861" spans="1:26" ht="16.5" x14ac:dyDescent="0.35">
      <c r="A3861" s="2" t="str">
        <f ca="1">IFERROR(__xludf.DUMMYFUNCTION("""COMPUTED_VALUE"""),"Sharjah")</f>
        <v>Sharjah</v>
      </c>
      <c r="B3861" s="2" t="str">
        <f ca="1">IFERROR(__xludf.DUMMYFUNCTION("""COMPUTED_VALUE"""),"Al Qarayen 1")</f>
        <v>Al Qarayen 1</v>
      </c>
      <c r="C3861" s="2" t="str">
        <f ca="1">IFERROR(__xludf.DUMMYFUNCTION("""COMPUTED_VALUE"""),"Neighbourhood")</f>
        <v>Neighbourhood</v>
      </c>
      <c r="D3861" s="2" t="str">
        <f ca="1">IFERROR(__xludf.DUMMYFUNCTION("""COMPUTED_VALUE"""),"Sharjah&gt;Al Qarayen&gt;Al Qarayen 1")</f>
        <v>Sharjah&gt;Al Qarayen&gt;Al Qarayen 1</v>
      </c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</row>
    <row r="3862" spans="1:26" ht="16.5" x14ac:dyDescent="0.35">
      <c r="A3862" s="2" t="str">
        <f ca="1">IFERROR(__xludf.DUMMYFUNCTION("""COMPUTED_VALUE"""),"Sharjah")</f>
        <v>Sharjah</v>
      </c>
      <c r="B3862" s="2" t="str">
        <f ca="1">IFERROR(__xludf.DUMMYFUNCTION("""COMPUTED_VALUE"""),"Azalea")</f>
        <v>Azalea</v>
      </c>
      <c r="C3862" s="2" t="str">
        <f ca="1">IFERROR(__xludf.DUMMYFUNCTION("""COMPUTED_VALUE"""),"Neighbourhood")</f>
        <v>Neighbourhood</v>
      </c>
      <c r="D3862" s="2" t="str">
        <f ca="1">IFERROR(__xludf.DUMMYFUNCTION("""COMPUTED_VALUE"""),"Sharjah&gt;Tilal City&gt;Masaar&gt;Azalea")</f>
        <v>Sharjah&gt;Tilal City&gt;Masaar&gt;Azalea</v>
      </c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</row>
    <row r="3863" spans="1:26" ht="16.5" x14ac:dyDescent="0.35">
      <c r="A3863" s="2" t="str">
        <f ca="1">IFERROR(__xludf.DUMMYFUNCTION("""COMPUTED_VALUE"""),"Sharjah")</f>
        <v>Sharjah</v>
      </c>
      <c r="B3863" s="2" t="str">
        <f ca="1">IFERROR(__xludf.DUMMYFUNCTION("""COMPUTED_VALUE"""),"Al Mirgab")</f>
        <v>Al Mirgab</v>
      </c>
      <c r="C3863" s="2" t="str">
        <f ca="1">IFERROR(__xludf.DUMMYFUNCTION("""COMPUTED_VALUE"""),"Neighbourhood")</f>
        <v>Neighbourhood</v>
      </c>
      <c r="D3863" s="2" t="str">
        <f ca="1">IFERROR(__xludf.DUMMYFUNCTION("""COMPUTED_VALUE"""),"Sharjah&gt;Al Mirgab")</f>
        <v>Sharjah&gt;Al Mirgab</v>
      </c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</row>
    <row r="3864" spans="1:26" ht="16.5" x14ac:dyDescent="0.35">
      <c r="A3864" s="2" t="str">
        <f ca="1">IFERROR(__xludf.DUMMYFUNCTION("""COMPUTED_VALUE"""),"Sharjah")</f>
        <v>Sharjah</v>
      </c>
      <c r="B3864" s="2" t="str">
        <f ca="1">IFERROR(__xludf.DUMMYFUNCTION("""COMPUTED_VALUE"""),"Al Bisher And Sons")</f>
        <v>Al Bisher And Sons</v>
      </c>
      <c r="C3864" s="2"/>
      <c r="D3864" s="2" t="str">
        <f ca="1">IFERROR(__xludf.DUMMYFUNCTION("""COMPUTED_VALUE"""),"Sharjah&gt;Al Musalla&gt;Al Bisher And Sons")</f>
        <v>Sharjah&gt;Al Musalla&gt;Al Bisher And Sons</v>
      </c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</row>
    <row r="3865" spans="1:26" ht="16.5" x14ac:dyDescent="0.35">
      <c r="A3865" s="2" t="str">
        <f ca="1">IFERROR(__xludf.DUMMYFUNCTION("""COMPUTED_VALUE"""),"Sharjah")</f>
        <v>Sharjah</v>
      </c>
      <c r="B3865" s="2" t="str">
        <f ca="1">IFERROR(__xludf.DUMMYFUNCTION("""COMPUTED_VALUE"""),"Al Riqqa Suburb")</f>
        <v>Al Riqqa Suburb</v>
      </c>
      <c r="C3865" s="2"/>
      <c r="D3865" s="2" t="str">
        <f ca="1">IFERROR(__xludf.DUMMYFUNCTION("""COMPUTED_VALUE"""),"Sharjah&gt;Al Riqqa Suburb")</f>
        <v>Sharjah&gt;Al Riqqa Suburb</v>
      </c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</row>
    <row r="3866" spans="1:26" ht="16.5" x14ac:dyDescent="0.35">
      <c r="A3866" s="2" t="str">
        <f ca="1">IFERROR(__xludf.DUMMYFUNCTION("""COMPUTED_VALUE"""),"Sharjah")</f>
        <v>Sharjah</v>
      </c>
      <c r="B3866" s="2" t="str">
        <f ca="1">IFERROR(__xludf.DUMMYFUNCTION("""COMPUTED_VALUE"""),"Jethanand Lalchand apartments")</f>
        <v>Jethanand Lalchand apartments</v>
      </c>
      <c r="C3866" s="2"/>
      <c r="D3866" s="2" t="str">
        <f ca="1">IFERROR(__xludf.DUMMYFUNCTION("""COMPUTED_VALUE"""),"Sharjah&gt;Al Mareija&gt;Jethanand Lalchand apartments")</f>
        <v>Sharjah&gt;Al Mareija&gt;Jethanand Lalchand apartments</v>
      </c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</row>
    <row r="3867" spans="1:26" ht="16.5" x14ac:dyDescent="0.35">
      <c r="A3867" s="2" t="str">
        <f ca="1">IFERROR(__xludf.DUMMYFUNCTION("""COMPUTED_VALUE"""),"Sharjah")</f>
        <v>Sharjah</v>
      </c>
      <c r="B3867" s="2" t="str">
        <f ca="1">IFERROR(__xludf.DUMMYFUNCTION("""COMPUTED_VALUE"""),"Al Soor")</f>
        <v>Al Soor</v>
      </c>
      <c r="C3867" s="2" t="str">
        <f ca="1">IFERROR(__xludf.DUMMYFUNCTION("""COMPUTED_VALUE"""),"Neighbourhood")</f>
        <v>Neighbourhood</v>
      </c>
      <c r="D3867" s="2" t="str">
        <f ca="1">IFERROR(__xludf.DUMMYFUNCTION("""COMPUTED_VALUE"""),"Sharjah&gt;Al Soor")</f>
        <v>Sharjah&gt;Al Soor</v>
      </c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</row>
    <row r="3868" spans="1:26" ht="16.5" x14ac:dyDescent="0.35">
      <c r="A3868" s="2" t="str">
        <f ca="1">IFERROR(__xludf.DUMMYFUNCTION("""COMPUTED_VALUE"""),"Sharjah")</f>
        <v>Sharjah</v>
      </c>
      <c r="B3868" s="2" t="str">
        <f ca="1">IFERROR(__xludf.DUMMYFUNCTION("""COMPUTED_VALUE"""),"Kshisha 2")</f>
        <v>Kshisha 2</v>
      </c>
      <c r="C3868" s="2" t="str">
        <f ca="1">IFERROR(__xludf.DUMMYFUNCTION("""COMPUTED_VALUE"""),"Neighbourhood")</f>
        <v>Neighbourhood</v>
      </c>
      <c r="D3868" s="2" t="str">
        <f ca="1">IFERROR(__xludf.DUMMYFUNCTION("""COMPUTED_VALUE"""),"Sharjah&gt;Al Rahmaniya&gt;Kshisha 2")</f>
        <v>Sharjah&gt;Al Rahmaniya&gt;Kshisha 2</v>
      </c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</row>
    <row r="3869" spans="1:26" ht="16.5" x14ac:dyDescent="0.35">
      <c r="A3869" s="2" t="str">
        <f ca="1">IFERROR(__xludf.DUMMYFUNCTION("""COMPUTED_VALUE"""),"Sharjah")</f>
        <v>Sharjah</v>
      </c>
      <c r="B3869" s="2" t="str">
        <f ca="1">IFERROR(__xludf.DUMMYFUNCTION("""COMPUTED_VALUE"""),"Kalba")</f>
        <v>Kalba</v>
      </c>
      <c r="C3869" s="2" t="str">
        <f ca="1">IFERROR(__xludf.DUMMYFUNCTION("""COMPUTED_VALUE"""),"Neighbourhood")</f>
        <v>Neighbourhood</v>
      </c>
      <c r="D3869" s="2" t="str">
        <f ca="1">IFERROR(__xludf.DUMMYFUNCTION("""COMPUTED_VALUE"""),"Sharjah&gt;Kalba")</f>
        <v>Sharjah&gt;Kalba</v>
      </c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</row>
    <row r="3870" spans="1:26" ht="16.5" x14ac:dyDescent="0.35">
      <c r="A3870" s="2" t="str">
        <f ca="1">IFERROR(__xludf.DUMMYFUNCTION("""COMPUTED_VALUE"""),"Sharjah")</f>
        <v>Sharjah</v>
      </c>
      <c r="B3870" s="2" t="str">
        <f ca="1">IFERROR(__xludf.DUMMYFUNCTION("""COMPUTED_VALUE"""),"Al Khan Building")</f>
        <v>Al Khan Building</v>
      </c>
      <c r="C3870" s="2"/>
      <c r="D3870" s="2" t="str">
        <f ca="1">IFERROR(__xludf.DUMMYFUNCTION("""COMPUTED_VALUE"""),"Sharjah&gt;Al Khan&gt;Al Khan Building")</f>
        <v>Sharjah&gt;Al Khan&gt;Al Khan Building</v>
      </c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</row>
    <row r="3871" spans="1:26" ht="16.5" x14ac:dyDescent="0.35">
      <c r="A3871" s="2" t="str">
        <f ca="1">IFERROR(__xludf.DUMMYFUNCTION("""COMPUTED_VALUE"""),"Sharjah")</f>
        <v>Sharjah</v>
      </c>
      <c r="B3871" s="2" t="str">
        <f ca="1">IFERROR(__xludf.DUMMYFUNCTION("""COMPUTED_VALUE"""),"Rimal Residences")</f>
        <v>Rimal Residences</v>
      </c>
      <c r="C3871" s="2" t="str">
        <f ca="1">IFERROR(__xludf.DUMMYFUNCTION("""COMPUTED_VALUE"""),"Building")</f>
        <v>Building</v>
      </c>
      <c r="D3871" s="2" t="str">
        <f ca="1">IFERROR(__xludf.DUMMYFUNCTION("""COMPUTED_VALUE"""),"Sharjah&gt;Al Khan&gt;Maryam Island&gt;Maryam Gate Residences&gt;Rimal Residences")</f>
        <v>Sharjah&gt;Al Khan&gt;Maryam Island&gt;Maryam Gate Residences&gt;Rimal Residences</v>
      </c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</row>
    <row r="3872" spans="1:26" ht="16.5" x14ac:dyDescent="0.35">
      <c r="A3872" s="2" t="str">
        <f ca="1">IFERROR(__xludf.DUMMYFUNCTION("""COMPUTED_VALUE"""),"Sharjah")</f>
        <v>Sharjah</v>
      </c>
      <c r="B3872" s="2" t="str">
        <f ca="1">IFERROR(__xludf.DUMMYFUNCTION("""COMPUTED_VALUE"""),"Al Shamsi Tower")</f>
        <v>Al Shamsi Tower</v>
      </c>
      <c r="C3872" s="2"/>
      <c r="D3872" s="2" t="str">
        <f ca="1">IFERROR(__xludf.DUMMYFUNCTION("""COMPUTED_VALUE"""),"Sharjah&gt;Al Khan&gt;Al Shamsi Tower")</f>
        <v>Sharjah&gt;Al Khan&gt;Al Shamsi Tower</v>
      </c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</row>
    <row r="3873" spans="1:26" ht="16.5" x14ac:dyDescent="0.35">
      <c r="A3873" s="2" t="str">
        <f ca="1">IFERROR(__xludf.DUMMYFUNCTION("""COMPUTED_VALUE"""),"Sharjah")</f>
        <v>Sharjah</v>
      </c>
      <c r="B3873" s="2" t="str">
        <f ca="1">IFERROR(__xludf.DUMMYFUNCTION("""COMPUTED_VALUE"""),"Manar 1")</f>
        <v>Manar 1</v>
      </c>
      <c r="C3873" s="2" t="str">
        <f ca="1">IFERROR(__xludf.DUMMYFUNCTION("""COMPUTED_VALUE"""),"Building")</f>
        <v>Building</v>
      </c>
      <c r="D3873" s="2" t="str">
        <f ca="1">IFERROR(__xludf.DUMMYFUNCTION("""COMPUTED_VALUE"""),"Sharjah&gt;Al Khan&gt;Manar 1")</f>
        <v>Sharjah&gt;Al Khan&gt;Manar 1</v>
      </c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</row>
    <row r="3874" spans="1:26" ht="16.5" x14ac:dyDescent="0.35">
      <c r="A3874" s="2" t="str">
        <f ca="1">IFERROR(__xludf.DUMMYFUNCTION("""COMPUTED_VALUE"""),"Sharjah")</f>
        <v>Sharjah</v>
      </c>
      <c r="B3874" s="2" t="str">
        <f ca="1">IFERROR(__xludf.DUMMYFUNCTION("""COMPUTED_VALUE"""),"Al Buhaira Hotel Apartments")</f>
        <v>Al Buhaira Hotel Apartments</v>
      </c>
      <c r="C3874" s="2"/>
      <c r="D3874" s="2" t="str">
        <f ca="1">IFERROR(__xludf.DUMMYFUNCTION("""COMPUTED_VALUE"""),"Sharjah&gt;Al Majaz&gt;Al Majaz 2&gt;Al Buhaira Hotel Apartments")</f>
        <v>Sharjah&gt;Al Majaz&gt;Al Majaz 2&gt;Al Buhaira Hotel Apartments</v>
      </c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</row>
    <row r="3875" spans="1:26" ht="16.5" x14ac:dyDescent="0.35">
      <c r="A3875" s="2" t="str">
        <f ca="1">IFERROR(__xludf.DUMMYFUNCTION("""COMPUTED_VALUE"""),"Sharjah")</f>
        <v>Sharjah</v>
      </c>
      <c r="B3875" s="2" t="str">
        <f ca="1">IFERROR(__xludf.DUMMYFUNCTION("""COMPUTED_VALUE"""),"Qasr Al Amal")</f>
        <v>Qasr Al Amal</v>
      </c>
      <c r="C3875" s="2"/>
      <c r="D3875" s="2" t="str">
        <f ca="1">IFERROR(__xludf.DUMMYFUNCTION("""COMPUTED_VALUE"""),"Sharjah&gt;Al Majaz&gt;Al Majaz 2&gt;Qasr Al Amal")</f>
        <v>Sharjah&gt;Al Majaz&gt;Al Majaz 2&gt;Qasr Al Amal</v>
      </c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</row>
    <row r="3876" spans="1:26" ht="16.5" x14ac:dyDescent="0.35">
      <c r="A3876" s="2" t="str">
        <f ca="1">IFERROR(__xludf.DUMMYFUNCTION("""COMPUTED_VALUE"""),"Sharjah")</f>
        <v>Sharjah</v>
      </c>
      <c r="B3876" s="2" t="str">
        <f ca="1">IFERROR(__xludf.DUMMYFUNCTION("""COMPUTED_VALUE"""),"Al Salam Residence")</f>
        <v>Al Salam Residence</v>
      </c>
      <c r="C3876" s="2"/>
      <c r="D3876" s="2" t="str">
        <f ca="1">IFERROR(__xludf.DUMMYFUNCTION("""COMPUTED_VALUE"""),"Sharjah&gt;Al Majaz&gt;Al Majaz 3&gt;Al Salam Residence")</f>
        <v>Sharjah&gt;Al Majaz&gt;Al Majaz 3&gt;Al Salam Residence</v>
      </c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</row>
    <row r="3877" spans="1:26" ht="16.5" x14ac:dyDescent="0.35">
      <c r="A3877" s="2" t="str">
        <f ca="1">IFERROR(__xludf.DUMMYFUNCTION("""COMPUTED_VALUE"""),"Sharjah")</f>
        <v>Sharjah</v>
      </c>
      <c r="B3877" s="2" t="str">
        <f ca="1">IFERROR(__xludf.DUMMYFUNCTION("""COMPUTED_VALUE"""),"Bukhatir Tower")</f>
        <v>Bukhatir Tower</v>
      </c>
      <c r="C3877" s="2"/>
      <c r="D3877" s="2" t="str">
        <f ca="1">IFERROR(__xludf.DUMMYFUNCTION("""COMPUTED_VALUE"""),"Sharjah&gt;Al Majaz&gt;Al Majaz 3&gt;Bukhatir Tower")</f>
        <v>Sharjah&gt;Al Majaz&gt;Al Majaz 3&gt;Bukhatir Tower</v>
      </c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</row>
    <row r="3878" spans="1:26" ht="16.5" x14ac:dyDescent="0.35">
      <c r="A3878" s="2" t="str">
        <f ca="1">IFERROR(__xludf.DUMMYFUNCTION("""COMPUTED_VALUE"""),"Sharjah")</f>
        <v>Sharjah</v>
      </c>
      <c r="B3878" s="2" t="str">
        <f ca="1">IFERROR(__xludf.DUMMYFUNCTION("""COMPUTED_VALUE"""),"Wathqi Tower")</f>
        <v>Wathqi Tower</v>
      </c>
      <c r="C3878" s="2"/>
      <c r="D3878" s="2" t="str">
        <f ca="1">IFERROR(__xludf.DUMMYFUNCTION("""COMPUTED_VALUE"""),"Sharjah&gt;Al Majaz&gt;Al Majaz 3&gt;Wathqi Tower")</f>
        <v>Sharjah&gt;Al Majaz&gt;Al Majaz 3&gt;Wathqi Tower</v>
      </c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</row>
    <row r="3879" spans="1:26" ht="16.5" x14ac:dyDescent="0.35">
      <c r="A3879" s="2" t="str">
        <f ca="1">IFERROR(__xludf.DUMMYFUNCTION("""COMPUTED_VALUE"""),"Sharjah")</f>
        <v>Sharjah</v>
      </c>
      <c r="B3879" s="2" t="str">
        <f ca="1">IFERROR(__xludf.DUMMYFUNCTION("""COMPUTED_VALUE"""),"Golden Tower")</f>
        <v>Golden Tower</v>
      </c>
      <c r="C3879" s="2"/>
      <c r="D3879" s="2" t="str">
        <f ca="1">IFERROR(__xludf.DUMMYFUNCTION("""COMPUTED_VALUE"""),"Sharjah&gt;Al Majaz&gt;Al Majaz 1&gt;Golden Tower")</f>
        <v>Sharjah&gt;Al Majaz&gt;Al Majaz 1&gt;Golden Tower</v>
      </c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</row>
    <row r="3880" spans="1:26" ht="16.5" x14ac:dyDescent="0.35">
      <c r="A3880" s="2" t="str">
        <f ca="1">IFERROR(__xludf.DUMMYFUNCTION("""COMPUTED_VALUE"""),"Sharjah")</f>
        <v>Sharjah</v>
      </c>
      <c r="B3880" s="2" t="str">
        <f ca="1">IFERROR(__xludf.DUMMYFUNCTION("""COMPUTED_VALUE"""),"Al Belaida")</f>
        <v>Al Belaida</v>
      </c>
      <c r="C3880" s="2" t="str">
        <f ca="1">IFERROR(__xludf.DUMMYFUNCTION("""COMPUTED_VALUE"""),"Neighbourhood")</f>
        <v>Neighbourhood</v>
      </c>
      <c r="D3880" s="2" t="str">
        <f ca="1">IFERROR(__xludf.DUMMYFUNCTION("""COMPUTED_VALUE"""),"Sharjah&gt;Al Belaida")</f>
        <v>Sharjah&gt;Al Belaida</v>
      </c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</row>
    <row r="3881" spans="1:26" ht="16.5" x14ac:dyDescent="0.35">
      <c r="A3881" s="2" t="str">
        <f ca="1">IFERROR(__xludf.DUMMYFUNCTION("""COMPUTED_VALUE"""),"Sharjah")</f>
        <v>Sharjah</v>
      </c>
      <c r="B3881" s="2" t="str">
        <f ca="1">IFERROR(__xludf.DUMMYFUNCTION("""COMPUTED_VALUE"""),"The Courtyard Building")</f>
        <v>The Courtyard Building</v>
      </c>
      <c r="C3881" s="2" t="str">
        <f ca="1">IFERROR(__xludf.DUMMYFUNCTION("""COMPUTED_VALUE"""),"Building")</f>
        <v>Building</v>
      </c>
      <c r="D3881" s="2" t="str">
        <f ca="1">IFERROR(__xludf.DUMMYFUNCTION("""COMPUTED_VALUE"""),"Sharjah&gt;Al Taawun&gt;The Courtyard Building")</f>
        <v>Sharjah&gt;Al Taawun&gt;The Courtyard Building</v>
      </c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</row>
    <row r="3882" spans="1:26" ht="16.5" x14ac:dyDescent="0.35">
      <c r="A3882" s="2" t="str">
        <f ca="1">IFERROR(__xludf.DUMMYFUNCTION("""COMPUTED_VALUE"""),"Sharjah")</f>
        <v>Sharjah</v>
      </c>
      <c r="B3882" s="2" t="str">
        <f ca="1">IFERROR(__xludf.DUMMYFUNCTION("""COMPUTED_VALUE"""),"Al Qasimia")</f>
        <v>Al Qasimia</v>
      </c>
      <c r="C3882" s="2" t="str">
        <f ca="1">IFERROR(__xludf.DUMMYFUNCTION("""COMPUTED_VALUE"""),"Neighbourhood")</f>
        <v>Neighbourhood</v>
      </c>
      <c r="D3882" s="2" t="str">
        <f ca="1">IFERROR(__xludf.DUMMYFUNCTION("""COMPUTED_VALUE"""),"Sharjah&gt;Al Qasimia")</f>
        <v>Sharjah&gt;Al Qasimia</v>
      </c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</row>
    <row r="3883" spans="1:26" ht="16.5" x14ac:dyDescent="0.35">
      <c r="A3883" s="2" t="str">
        <f ca="1">IFERROR(__xludf.DUMMYFUNCTION("""COMPUTED_VALUE"""),"Sharjah")</f>
        <v>Sharjah</v>
      </c>
      <c r="B3883" s="2" t="str">
        <f ca="1">IFERROR(__xludf.DUMMYFUNCTION("""COMPUTED_VALUE"""),"Al Bustan Hotel Flats Building")</f>
        <v>Al Bustan Hotel Flats Building</v>
      </c>
      <c r="C3883" s="2"/>
      <c r="D3883" s="2" t="str">
        <f ca="1">IFERROR(__xludf.DUMMYFUNCTION("""COMPUTED_VALUE"""),"Sharjah&gt;Al Qasimia&gt;Al Nad&gt;Al Bustan Hotel Flats Building")</f>
        <v>Sharjah&gt;Al Qasimia&gt;Al Nad&gt;Al Bustan Hotel Flats Building</v>
      </c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</row>
    <row r="3884" spans="1:26" ht="16.5" x14ac:dyDescent="0.35">
      <c r="A3884" s="2" t="str">
        <f ca="1">IFERROR(__xludf.DUMMYFUNCTION("""COMPUTED_VALUE"""),"Sharjah")</f>
        <v>Sharjah</v>
      </c>
      <c r="B3884" s="2" t="str">
        <f ca="1">IFERROR(__xludf.DUMMYFUNCTION("""COMPUTED_VALUE"""),"Gurair Building")</f>
        <v>Gurair Building</v>
      </c>
      <c r="C3884" s="2"/>
      <c r="D3884" s="2" t="str">
        <f ca="1">IFERROR(__xludf.DUMMYFUNCTION("""COMPUTED_VALUE"""),"Sharjah&gt;Al Qasimia&gt;Al Nad&gt;Gurair Building")</f>
        <v>Sharjah&gt;Al Qasimia&gt;Al Nad&gt;Gurair Building</v>
      </c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</row>
    <row r="3885" spans="1:26" ht="16.5" x14ac:dyDescent="0.35">
      <c r="A3885" s="2" t="str">
        <f ca="1">IFERROR(__xludf.DUMMYFUNCTION("""COMPUTED_VALUE"""),"Sharjah")</f>
        <v>Sharjah</v>
      </c>
      <c r="B3885" s="2" t="str">
        <f ca="1">IFERROR(__xludf.DUMMYFUNCTION("""COMPUTED_VALUE"""),"AHII Qasimiya Building")</f>
        <v>AHII Qasimiya Building</v>
      </c>
      <c r="C3885" s="2"/>
      <c r="D3885" s="2" t="str">
        <f ca="1">IFERROR(__xludf.DUMMYFUNCTION("""COMPUTED_VALUE"""),"Sharjah&gt;Al Qasimia&gt;AHII Qasimiya Building")</f>
        <v>Sharjah&gt;Al Qasimia&gt;AHII Qasimiya Building</v>
      </c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</row>
    <row r="3886" spans="1:26" ht="16.5" x14ac:dyDescent="0.35">
      <c r="A3886" s="2" t="str">
        <f ca="1">IFERROR(__xludf.DUMMYFUNCTION("""COMPUTED_VALUE"""),"Sharjah")</f>
        <v>Sharjah</v>
      </c>
      <c r="B3886" s="2" t="str">
        <f ca="1">IFERROR(__xludf.DUMMYFUNCTION("""COMPUTED_VALUE"""),"Al Shaheen Al Abiadh Building")</f>
        <v>Al Shaheen Al Abiadh Building</v>
      </c>
      <c r="C3886" s="2"/>
      <c r="D3886" s="2" t="str">
        <f ca="1">IFERROR(__xludf.DUMMYFUNCTION("""COMPUTED_VALUE"""),"Sharjah&gt;Al Nabba&gt;Al Shaheen Al Abiadh Building")</f>
        <v>Sharjah&gt;Al Nabba&gt;Al Shaheen Al Abiadh Building</v>
      </c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</row>
    <row r="3887" spans="1:26" ht="16.5" x14ac:dyDescent="0.35">
      <c r="A3887" s="2" t="str">
        <f ca="1">IFERROR(__xludf.DUMMYFUNCTION("""COMPUTED_VALUE"""),"Sharjah")</f>
        <v>Sharjah</v>
      </c>
      <c r="B3887" s="2" t="str">
        <f ca="1">IFERROR(__xludf.DUMMYFUNCTION("""COMPUTED_VALUE"""),"Al Yasmin 3 Building")</f>
        <v>Al Yasmin 3 Building</v>
      </c>
      <c r="C3887" s="2" t="str">
        <f ca="1">IFERROR(__xludf.DUMMYFUNCTION("""COMPUTED_VALUE"""),"Building")</f>
        <v>Building</v>
      </c>
      <c r="D3887" s="2" t="str">
        <f ca="1">IFERROR(__xludf.DUMMYFUNCTION("""COMPUTED_VALUE"""),"Sharjah&gt;Industrial Area&gt;Industrial Area 6&gt;Al Yasmin 3 Building")</f>
        <v>Sharjah&gt;Industrial Area&gt;Industrial Area 6&gt;Al Yasmin 3 Building</v>
      </c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</row>
    <row r="3888" spans="1:26" ht="16.5" x14ac:dyDescent="0.35">
      <c r="A3888" s="2" t="str">
        <f ca="1">IFERROR(__xludf.DUMMYFUNCTION("""COMPUTED_VALUE"""),"Sharjah")</f>
        <v>Sharjah</v>
      </c>
      <c r="B3888" s="2" t="str">
        <f ca="1">IFERROR(__xludf.DUMMYFUNCTION("""COMPUTED_VALUE"""),"Al Durrah International School")</f>
        <v>Al Durrah International School</v>
      </c>
      <c r="C3888" s="2" t="str">
        <f ca="1">IFERROR(__xludf.DUMMYFUNCTION("""COMPUTED_VALUE"""),"School")</f>
        <v>School</v>
      </c>
      <c r="D3888" s="2" t="str">
        <f ca="1">IFERROR(__xludf.DUMMYFUNCTION("""COMPUTED_VALUE"""),"Sharjah&gt;Industrial Area&gt;Industrial Area 8&gt;Al Durrah International School")</f>
        <v>Sharjah&gt;Industrial Area&gt;Industrial Area 8&gt;Al Durrah International School</v>
      </c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</row>
    <row r="3889" spans="1:26" ht="16.5" x14ac:dyDescent="0.35">
      <c r="A3889" s="2" t="str">
        <f ca="1">IFERROR(__xludf.DUMMYFUNCTION("""COMPUTED_VALUE"""),"Sharjah")</f>
        <v>Sharjah</v>
      </c>
      <c r="B3889" s="2" t="str">
        <f ca="1">IFERROR(__xludf.DUMMYFUNCTION("""COMPUTED_VALUE"""),"SE 3")</f>
        <v>SE 3</v>
      </c>
      <c r="C3889" s="2" t="str">
        <f ca="1">IFERROR(__xludf.DUMMYFUNCTION("""COMPUTED_VALUE"""),"Building")</f>
        <v>Building</v>
      </c>
      <c r="D3889" s="2" t="str">
        <f ca="1">IFERROR(__xludf.DUMMYFUNCTION("""COMPUTED_VALUE"""),"Sharjah&gt;Muwaileh&gt;Al Mamsha&gt;Souks Residential&gt;SE 3")</f>
        <v>Sharjah&gt;Muwaileh&gt;Al Mamsha&gt;Souks Residential&gt;SE 3</v>
      </c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</row>
    <row r="3890" spans="1:26" ht="16.5" x14ac:dyDescent="0.35">
      <c r="A3890" s="2" t="str">
        <f ca="1">IFERROR(__xludf.DUMMYFUNCTION("""COMPUTED_VALUE"""),"Sharjah")</f>
        <v>Sharjah</v>
      </c>
      <c r="B3890" s="2" t="str">
        <f ca="1">IFERROR(__xludf.DUMMYFUNCTION("""COMPUTED_VALUE"""),"Woroud 4")</f>
        <v>Woroud 4</v>
      </c>
      <c r="C3890" s="2" t="str">
        <f ca="1">IFERROR(__xludf.DUMMYFUNCTION("""COMPUTED_VALUE"""),"Building")</f>
        <v>Building</v>
      </c>
      <c r="D3890" s="2" t="str">
        <f ca="1">IFERROR(__xludf.DUMMYFUNCTION("""COMPUTED_VALUE"""),"Sharjah&gt;Muwaileh&gt;Al Zahia&gt;UpTown Al Zahia&gt;Woroud&gt;Woroud 4")</f>
        <v>Sharjah&gt;Muwaileh&gt;Al Zahia&gt;UpTown Al Zahia&gt;Woroud&gt;Woroud 4</v>
      </c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</row>
    <row r="3891" spans="1:26" ht="16.5" x14ac:dyDescent="0.35">
      <c r="A3891" s="2" t="str">
        <f ca="1">IFERROR(__xludf.DUMMYFUNCTION("""COMPUTED_VALUE"""),"Sharjah")</f>
        <v>Sharjah</v>
      </c>
      <c r="B3891" s="2" t="str">
        <f ca="1">IFERROR(__xludf.DUMMYFUNCTION("""COMPUTED_VALUE"""),"India International School Sharjah")</f>
        <v>India International School Sharjah</v>
      </c>
      <c r="C3891" s="2" t="str">
        <f ca="1">IFERROR(__xludf.DUMMYFUNCTION("""COMPUTED_VALUE"""),"School")</f>
        <v>School</v>
      </c>
      <c r="D3891" s="2" t="str">
        <f ca="1">IFERROR(__xludf.DUMMYFUNCTION("""COMPUTED_VALUE"""),"Sharjah&gt;Muwaileh Commercial&gt;India International School Sharjah")</f>
        <v>Sharjah&gt;Muwaileh Commercial&gt;India International School Sharjah</v>
      </c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</row>
    <row r="3892" spans="1:26" ht="16.5" x14ac:dyDescent="0.35">
      <c r="A3892" s="2" t="str">
        <f ca="1">IFERROR(__xludf.DUMMYFUNCTION("""COMPUTED_VALUE"""),"Sharjah")</f>
        <v>Sharjah</v>
      </c>
      <c r="B3892" s="2" t="str">
        <f ca="1">IFERROR(__xludf.DUMMYFUNCTION("""COMPUTED_VALUE"""),"Shahba 3 Building")</f>
        <v>Shahba 3 Building</v>
      </c>
      <c r="C3892" s="2"/>
      <c r="D3892" s="2" t="str">
        <f ca="1">IFERROR(__xludf.DUMMYFUNCTION("""COMPUTED_VALUE"""),"Sharjah&gt;Muwaileh Commercial&gt;Shahba 3 Building")</f>
        <v>Sharjah&gt;Muwaileh Commercial&gt;Shahba 3 Building</v>
      </c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</row>
    <row r="3893" spans="1:26" ht="16.5" x14ac:dyDescent="0.35">
      <c r="A3893" s="2" t="str">
        <f ca="1">IFERROR(__xludf.DUMMYFUNCTION("""COMPUTED_VALUE"""),"Sharjah")</f>
        <v>Sharjah</v>
      </c>
      <c r="B3893" s="2" t="str">
        <f ca="1">IFERROR(__xludf.DUMMYFUNCTION("""COMPUTED_VALUE"""),"Building 6668")</f>
        <v>Building 6668</v>
      </c>
      <c r="C3893" s="2" t="str">
        <f ca="1">IFERROR(__xludf.DUMMYFUNCTION("""COMPUTED_VALUE"""),"Building")</f>
        <v>Building</v>
      </c>
      <c r="D3893" s="2" t="str">
        <f ca="1">IFERROR(__xludf.DUMMYFUNCTION("""COMPUTED_VALUE"""),"Sharjah&gt;Muwaileh Commercial&gt;Building 6668")</f>
        <v>Sharjah&gt;Muwaileh Commercial&gt;Building 6668</v>
      </c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</row>
    <row r="3894" spans="1:26" ht="16.5" x14ac:dyDescent="0.35">
      <c r="A3894" s="2" t="str">
        <f ca="1">IFERROR(__xludf.DUMMYFUNCTION("""COMPUTED_VALUE"""),"Al Ain")</f>
        <v>Al Ain</v>
      </c>
      <c r="B3894" s="2" t="str">
        <f ca="1">IFERROR(__xludf.DUMMYFUNCTION("""COMPUTED_VALUE"""),"Sheibat Al Watah")</f>
        <v>Sheibat Al Watah</v>
      </c>
      <c r="C3894" s="2" t="str">
        <f ca="1">IFERROR(__xludf.DUMMYFUNCTION("""COMPUTED_VALUE"""),"Neighbourhood")</f>
        <v>Neighbourhood</v>
      </c>
      <c r="D3894" s="2" t="str">
        <f ca="1">IFERROR(__xludf.DUMMYFUNCTION("""COMPUTED_VALUE"""),"Al Ain&gt;Sheibat Al Watah")</f>
        <v>Al Ain&gt;Sheibat Al Watah</v>
      </c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</row>
    <row r="3895" spans="1:26" ht="16.5" x14ac:dyDescent="0.35">
      <c r="A3895" s="2" t="str">
        <f ca="1">IFERROR(__xludf.DUMMYFUNCTION("""COMPUTED_VALUE"""),"Al Ain")</f>
        <v>Al Ain</v>
      </c>
      <c r="B3895" s="2" t="str">
        <f ca="1">IFERROR(__xludf.DUMMYFUNCTION("""COMPUTED_VALUE"""),"Al Mada Complex 2")</f>
        <v>Al Mada Complex 2</v>
      </c>
      <c r="C3895" s="2" t="str">
        <f ca="1">IFERROR(__xludf.DUMMYFUNCTION("""COMPUTED_VALUE"""),"Building")</f>
        <v>Building</v>
      </c>
      <c r="D3895" s="2" t="str">
        <f ca="1">IFERROR(__xludf.DUMMYFUNCTION("""COMPUTED_VALUE"""),"Al Ain&gt;Central District&gt;Hai Al Salama&gt;Al Mada Complex 2")</f>
        <v>Al Ain&gt;Central District&gt;Hai Al Salama&gt;Al Mada Complex 2</v>
      </c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</row>
    <row r="3896" spans="1:26" ht="16.5" x14ac:dyDescent="0.35">
      <c r="A3896" s="2" t="str">
        <f ca="1">IFERROR(__xludf.DUMMYFUNCTION("""COMPUTED_VALUE"""),"Al Ain")</f>
        <v>Al Ain</v>
      </c>
      <c r="B3896" s="2" t="str">
        <f ca="1">IFERROR(__xludf.DUMMYFUNCTION("""COMPUTED_VALUE"""),"Majlood")</f>
        <v>Majlood</v>
      </c>
      <c r="C3896" s="2" t="str">
        <f ca="1">IFERROR(__xludf.DUMMYFUNCTION("""COMPUTED_VALUE"""),"Neighbourhood")</f>
        <v>Neighbourhood</v>
      </c>
      <c r="D3896" s="2" t="str">
        <f ca="1">IFERROR(__xludf.DUMMYFUNCTION("""COMPUTED_VALUE"""),"Al Ain&gt;Al Muwaiji&gt;Majlood")</f>
        <v>Al Ain&gt;Al Muwaiji&gt;Majlood</v>
      </c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</row>
    <row r="3897" spans="1:26" ht="16.5" x14ac:dyDescent="0.35">
      <c r="A3897" s="2" t="str">
        <f ca="1">IFERROR(__xludf.DUMMYFUNCTION("""COMPUTED_VALUE"""),"Al Ain")</f>
        <v>Al Ain</v>
      </c>
      <c r="B3897" s="2" t="str">
        <f ca="1">IFERROR(__xludf.DUMMYFUNCTION("""COMPUTED_VALUE"""),"Um Al Mader")</f>
        <v>Um Al Mader</v>
      </c>
      <c r="C3897" s="2" t="str">
        <f ca="1">IFERROR(__xludf.DUMMYFUNCTION("""COMPUTED_VALUE"""),"Neighbourhood")</f>
        <v>Neighbourhood</v>
      </c>
      <c r="D3897" s="2" t="str">
        <f ca="1">IFERROR(__xludf.DUMMYFUNCTION("""COMPUTED_VALUE"""),"Al Ain&gt;Hili&gt;Um Al Mader")</f>
        <v>Al Ain&gt;Hili&gt;Um Al Mader</v>
      </c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</row>
    <row r="3898" spans="1:26" ht="16.5" x14ac:dyDescent="0.35">
      <c r="A3898" s="2" t="str">
        <f ca="1">IFERROR(__xludf.DUMMYFUNCTION("""COMPUTED_VALUE"""),"Al Ain")</f>
        <v>Al Ain</v>
      </c>
      <c r="B3898" s="2" t="str">
        <f ca="1">IFERROR(__xludf.DUMMYFUNCTION("""COMPUTED_VALUE"""),"Al Adhwa Private School, Al Ain")</f>
        <v>Al Adhwa Private School, Al Ain</v>
      </c>
      <c r="C3898" s="2" t="str">
        <f ca="1">IFERROR(__xludf.DUMMYFUNCTION("""COMPUTED_VALUE"""),"School")</f>
        <v>School</v>
      </c>
      <c r="D3898" s="2" t="str">
        <f ca="1">IFERROR(__xludf.DUMMYFUNCTION("""COMPUTED_VALUE"""),"Al Ain&gt;Falaj Hazzaa&gt;Al Adhwa Private School, Al Ain")</f>
        <v>Al Ain&gt;Falaj Hazzaa&gt;Al Adhwa Private School, Al Ain</v>
      </c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</row>
    <row r="3899" spans="1:26" ht="16.5" x14ac:dyDescent="0.35">
      <c r="A3899" s="2" t="str">
        <f ca="1">IFERROR(__xludf.DUMMYFUNCTION("""COMPUTED_VALUE"""),"Al Ain")</f>
        <v>Al Ain</v>
      </c>
      <c r="B3899" s="2" t="str">
        <f ca="1">IFERROR(__xludf.DUMMYFUNCTION("""COMPUTED_VALUE"""),"Tawam")</f>
        <v>Tawam</v>
      </c>
      <c r="C3899" s="2"/>
      <c r="D3899" s="2" t="str">
        <f ca="1">IFERROR(__xludf.DUMMYFUNCTION("""COMPUTED_VALUE"""),"Al Ain&gt;Tawam")</f>
        <v>Al Ain&gt;Tawam</v>
      </c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</row>
    <row r="3900" spans="1:26" ht="16.5" x14ac:dyDescent="0.35">
      <c r="A3900" s="2" t="str">
        <f ca="1">IFERROR(__xludf.DUMMYFUNCTION("""COMPUTED_VALUE"""),"Al Ain")</f>
        <v>Al Ain</v>
      </c>
      <c r="B3900" s="2" t="str">
        <f ca="1">IFERROR(__xludf.DUMMYFUNCTION("""COMPUTED_VALUE"""),"Abu Hiraybah")</f>
        <v>Abu Hiraybah</v>
      </c>
      <c r="C3900" s="2" t="str">
        <f ca="1">IFERROR(__xludf.DUMMYFUNCTION("""COMPUTED_VALUE"""),"Neighbourhood")</f>
        <v>Neighbourhood</v>
      </c>
      <c r="D3900" s="2" t="str">
        <f ca="1">IFERROR(__xludf.DUMMYFUNCTION("""COMPUTED_VALUE"""),"Al Ain&gt;Abu Hiraybah")</f>
        <v>Al Ain&gt;Abu Hiraybah</v>
      </c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</row>
    <row r="3901" spans="1:26" ht="16.5" x14ac:dyDescent="0.35">
      <c r="A3901" s="2" t="str">
        <f ca="1">IFERROR(__xludf.DUMMYFUNCTION("""COMPUTED_VALUE"""),"Ras Al Khaimah")</f>
        <v>Ras Al Khaimah</v>
      </c>
      <c r="B3901" s="2" t="str">
        <f ca="1">IFERROR(__xludf.DUMMYFUNCTION("""COMPUTED_VALUE"""),"Quattro Del Mar Building 1")</f>
        <v>Quattro Del Mar Building 1</v>
      </c>
      <c r="C3901" s="2" t="str">
        <f ca="1">IFERROR(__xludf.DUMMYFUNCTION("""COMPUTED_VALUE"""),"Building")</f>
        <v>Building</v>
      </c>
      <c r="D3901" s="2" t="str">
        <f ca="1">IFERROR(__xludf.DUMMYFUNCTION("""COMPUTED_VALUE"""),"Ras Al Khaimah&gt;Mina Al Arab&gt;Quattro Del Mar&gt;Quattro Del Mar Building 1")</f>
        <v>Ras Al Khaimah&gt;Mina Al Arab&gt;Quattro Del Mar&gt;Quattro Del Mar Building 1</v>
      </c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</row>
    <row r="3902" spans="1:26" ht="16.5" x14ac:dyDescent="0.35">
      <c r="A3902" s="2" t="str">
        <f ca="1">IFERROR(__xludf.DUMMYFUNCTION("""COMPUTED_VALUE"""),"Ras Al Khaimah")</f>
        <v>Ras Al Khaimah</v>
      </c>
      <c r="B3902" s="2" t="str">
        <f ca="1">IFERROR(__xludf.DUMMYFUNCTION("""COMPUTED_VALUE"""),"Global Sea View")</f>
        <v>Global Sea View</v>
      </c>
      <c r="C3902" s="2" t="str">
        <f ca="1">IFERROR(__xludf.DUMMYFUNCTION("""COMPUTED_VALUE"""),"Building")</f>
        <v>Building</v>
      </c>
      <c r="D3902" s="2" t="str">
        <f ca="1">IFERROR(__xludf.DUMMYFUNCTION("""COMPUTED_VALUE"""),"Ras Al Khaimah&gt;Al Marjan Island&gt;Global Sea View")</f>
        <v>Ras Al Khaimah&gt;Al Marjan Island&gt;Global Sea View</v>
      </c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</row>
    <row r="3903" spans="1:26" ht="16.5" x14ac:dyDescent="0.35">
      <c r="A3903" s="2" t="str">
        <f ca="1">IFERROR(__xludf.DUMMYFUNCTION("""COMPUTED_VALUE"""),"Ras Al Khaimah")</f>
        <v>Ras Al Khaimah</v>
      </c>
      <c r="B3903" s="2" t="str">
        <f ca="1">IFERROR(__xludf.DUMMYFUNCTION("""COMPUTED_VALUE"""),"Ola Residences")</f>
        <v>Ola Residences</v>
      </c>
      <c r="C3903" s="2" t="str">
        <f ca="1">IFERROR(__xludf.DUMMYFUNCTION("""COMPUTED_VALUE"""),"Building")</f>
        <v>Building</v>
      </c>
      <c r="D3903" s="2" t="str">
        <f ca="1">IFERROR(__xludf.DUMMYFUNCTION("""COMPUTED_VALUE"""),"Ras Al Khaimah&gt;Al Marjan Island&gt;Ola Residences")</f>
        <v>Ras Al Khaimah&gt;Al Marjan Island&gt;Ola Residences</v>
      </c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</row>
    <row r="3904" spans="1:26" ht="16.5" x14ac:dyDescent="0.35">
      <c r="A3904" s="2" t="str">
        <f ca="1">IFERROR(__xludf.DUMMYFUNCTION("""COMPUTED_VALUE"""),"Ras Al Khaimah")</f>
        <v>Ras Al Khaimah</v>
      </c>
      <c r="B3904" s="2" t="str">
        <f ca="1">IFERROR(__xludf.DUMMYFUNCTION("""COMPUTED_VALUE"""),"Marina Apartment B")</f>
        <v>Marina Apartment B</v>
      </c>
      <c r="C3904" s="2" t="str">
        <f ca="1">IFERROR(__xludf.DUMMYFUNCTION("""COMPUTED_VALUE"""),"Building")</f>
        <v>Building</v>
      </c>
      <c r="D3904" s="2" t="str">
        <f ca="1">IFERROR(__xludf.DUMMYFUNCTION("""COMPUTED_VALUE"""),"Ras Al Khaimah&gt;Al Hamra Village&gt;Al Hamra Marina Residences&gt;Marina Apartment B")</f>
        <v>Ras Al Khaimah&gt;Al Hamra Village&gt;Al Hamra Marina Residences&gt;Marina Apartment B</v>
      </c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</row>
    <row r="3905" spans="1:26" ht="16.5" x14ac:dyDescent="0.35">
      <c r="A3905" s="2" t="str">
        <f ca="1">IFERROR(__xludf.DUMMYFUNCTION("""COMPUTED_VALUE"""),"Ras Al Khaimah")</f>
        <v>Ras Al Khaimah</v>
      </c>
      <c r="B3905" s="2" t="str">
        <f ca="1">IFERROR(__xludf.DUMMYFUNCTION("""COMPUTED_VALUE"""),"Waldorf Astoria Ras Al Khaimah")</f>
        <v>Waldorf Astoria Ras Al Khaimah</v>
      </c>
      <c r="C3905" s="2" t="str">
        <f ca="1">IFERROR(__xludf.DUMMYFUNCTION("""COMPUTED_VALUE"""),"Building")</f>
        <v>Building</v>
      </c>
      <c r="D3905" s="2" t="str">
        <f ca="1">IFERROR(__xludf.DUMMYFUNCTION("""COMPUTED_VALUE"""),"Ras Al Khaimah&gt;Al Hamra Village&gt;Waldorf Astoria Ras Al Khaimah")</f>
        <v>Ras Al Khaimah&gt;Al Hamra Village&gt;Waldorf Astoria Ras Al Khaimah</v>
      </c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</row>
    <row r="3906" spans="1:26" ht="16.5" x14ac:dyDescent="0.35">
      <c r="A3906" s="2" t="str">
        <f ca="1">IFERROR(__xludf.DUMMYFUNCTION("""COMPUTED_VALUE"""),"Ras Al Khaimah")</f>
        <v>Ras Al Khaimah</v>
      </c>
      <c r="B3906" s="2" t="str">
        <f ca="1">IFERROR(__xludf.DUMMYFUNCTION("""COMPUTED_VALUE"""),"Julphar Towers")</f>
        <v>Julphar Towers</v>
      </c>
      <c r="C3906" s="2" t="str">
        <f ca="1">IFERROR(__xludf.DUMMYFUNCTION("""COMPUTED_VALUE"""),"Cluster")</f>
        <v>Cluster</v>
      </c>
      <c r="D3906" s="2" t="str">
        <f ca="1">IFERROR(__xludf.DUMMYFUNCTION("""COMPUTED_VALUE"""),"Ras Al Khaimah&gt;Dafan Al Nakheel&gt;Julphar Towers")</f>
        <v>Ras Al Khaimah&gt;Dafan Al Nakheel&gt;Julphar Towers</v>
      </c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</row>
    <row r="3907" spans="1:26" ht="16.5" x14ac:dyDescent="0.35">
      <c r="A3907" s="2" t="str">
        <f ca="1">IFERROR(__xludf.DUMMYFUNCTION("""COMPUTED_VALUE"""),"Ras Al Khaimah")</f>
        <v>Ras Al Khaimah</v>
      </c>
      <c r="B3907" s="2" t="str">
        <f ca="1">IFERROR(__xludf.DUMMYFUNCTION("""COMPUTED_VALUE"""),"Rose Building")</f>
        <v>Rose Building</v>
      </c>
      <c r="C3907" s="2" t="str">
        <f ca="1">IFERROR(__xludf.DUMMYFUNCTION("""COMPUTED_VALUE"""),"Building")</f>
        <v>Building</v>
      </c>
      <c r="D3907" s="2" t="str">
        <f ca="1">IFERROR(__xludf.DUMMYFUNCTION("""COMPUTED_VALUE"""),"Ras Al Khaimah&gt;Al Qurm&gt;Rose Building")</f>
        <v>Ras Al Khaimah&gt;Al Qurm&gt;Rose Building</v>
      </c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</row>
    <row r="3908" spans="1:26" ht="16.5" x14ac:dyDescent="0.35">
      <c r="A3908" s="2" t="str">
        <f ca="1">IFERROR(__xludf.DUMMYFUNCTION("""COMPUTED_VALUE"""),"Ras Al Khaimah")</f>
        <v>Ras Al Khaimah</v>
      </c>
      <c r="B3908" s="2" t="str">
        <f ca="1">IFERROR(__xludf.DUMMYFUNCTION("""COMPUTED_VALUE"""),"The Square Executive Bay Building")</f>
        <v>The Square Executive Bay Building</v>
      </c>
      <c r="C3908" s="2" t="str">
        <f ca="1">IFERROR(__xludf.DUMMYFUNCTION("""COMPUTED_VALUE"""),"Building")</f>
        <v>Building</v>
      </c>
      <c r="D3908" s="2" t="str">
        <f ca="1">IFERROR(__xludf.DUMMYFUNCTION("""COMPUTED_VALUE"""),"Ras Al Khaimah&gt;Dafan Al Khor&gt;The Square Executive Bay Building")</f>
        <v>Ras Al Khaimah&gt;Dafan Al Khor&gt;The Square Executive Bay Building</v>
      </c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</row>
    <row r="3909" spans="1:26" ht="16.5" x14ac:dyDescent="0.35">
      <c r="A3909" s="2" t="str">
        <f ca="1">IFERROR(__xludf.DUMMYFUNCTION("""COMPUTED_VALUE"""),"Ras Al Khaimah")</f>
        <v>Ras Al Khaimah</v>
      </c>
      <c r="B3909" s="2" t="str">
        <f ca="1">IFERROR(__xludf.DUMMYFUNCTION("""COMPUTED_VALUE"""),"Shawka")</f>
        <v>Shawka</v>
      </c>
      <c r="C3909" s="2" t="str">
        <f ca="1">IFERROR(__xludf.DUMMYFUNCTION("""COMPUTED_VALUE"""),"Neighbourhood")</f>
        <v>Neighbourhood</v>
      </c>
      <c r="D3909" s="2" t="str">
        <f ca="1">IFERROR(__xludf.DUMMYFUNCTION("""COMPUTED_VALUE"""),"Ras Al Khaimah&gt;Shawka")</f>
        <v>Ras Al Khaimah&gt;Shawka</v>
      </c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</row>
    <row r="3910" spans="1:26" ht="16.5" x14ac:dyDescent="0.35">
      <c r="A3910" s="2" t="str">
        <f ca="1">IFERROR(__xludf.DUMMYFUNCTION("""COMPUTED_VALUE"""),"Umm Al Quwain")</f>
        <v>Umm Al Quwain</v>
      </c>
      <c r="B3910" s="2" t="str">
        <f ca="1">IFERROR(__xludf.DUMMYFUNCTION("""COMPUTED_VALUE"""),"Al Maidan")</f>
        <v>Al Maidan</v>
      </c>
      <c r="C3910" s="2" t="str">
        <f ca="1">IFERROR(__xludf.DUMMYFUNCTION("""COMPUTED_VALUE"""),"Neighbourhood")</f>
        <v>Neighbourhood</v>
      </c>
      <c r="D3910" s="2" t="str">
        <f ca="1">IFERROR(__xludf.DUMMYFUNCTION("""COMPUTED_VALUE"""),"Umm Al Quwain&gt;Al Maidan")</f>
        <v>Umm Al Quwain&gt;Al Maidan</v>
      </c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</row>
    <row r="3911" spans="1:26" ht="16.5" x14ac:dyDescent="0.35">
      <c r="A3911" s="2" t="str">
        <f ca="1">IFERROR(__xludf.DUMMYFUNCTION("""COMPUTED_VALUE"""),"Umm Al Quwain")</f>
        <v>Umm Al Quwain</v>
      </c>
      <c r="B3911" s="2" t="str">
        <f ca="1">IFERROR(__xludf.DUMMYFUNCTION("""COMPUTED_VALUE"""),"Al Aahad")</f>
        <v>Al Aahad</v>
      </c>
      <c r="C3911" s="2" t="str">
        <f ca="1">IFERROR(__xludf.DUMMYFUNCTION("""COMPUTED_VALUE"""),"Neighbourhood")</f>
        <v>Neighbourhood</v>
      </c>
      <c r="D3911" s="2" t="str">
        <f ca="1">IFERROR(__xludf.DUMMYFUNCTION("""COMPUTED_VALUE"""),"Umm Al Quwain&gt;Al Aahad")</f>
        <v>Umm Al Quwain&gt;Al Aahad</v>
      </c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</row>
    <row r="3912" spans="1:26" ht="16.5" x14ac:dyDescent="0.35">
      <c r="A3912" s="2" t="str">
        <f ca="1">IFERROR(__xludf.DUMMYFUNCTION("""COMPUTED_VALUE"""),"Umm Al Quwain")</f>
        <v>Umm Al Quwain</v>
      </c>
      <c r="B3912" s="2" t="str">
        <f ca="1">IFERROR(__xludf.DUMMYFUNCTION("""COMPUTED_VALUE"""),"Bayside Marina Residences")</f>
        <v>Bayside Marina Residences</v>
      </c>
      <c r="C3912" s="2" t="str">
        <f ca="1">IFERROR(__xludf.DUMMYFUNCTION("""COMPUTED_VALUE"""),"Cluster")</f>
        <v>Cluster</v>
      </c>
      <c r="D3912" s="2" t="str">
        <f ca="1">IFERROR(__xludf.DUMMYFUNCTION("""COMPUTED_VALUE"""),"Umm Al Quwain&gt;Al Seanneeah&gt;Sobha Siniya Island&gt;Bayside Marina Residences")</f>
        <v>Umm Al Quwain&gt;Al Seanneeah&gt;Sobha Siniya Island&gt;Bayside Marina Residences</v>
      </c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</row>
    <row r="3913" spans="1:26" ht="16.5" x14ac:dyDescent="0.35">
      <c r="A3913" s="2" t="str">
        <f ca="1">IFERROR(__xludf.DUMMYFUNCTION("""COMPUTED_VALUE"""),"Umm Al Quwain")</f>
        <v>Umm Al Quwain</v>
      </c>
      <c r="B3913" s="2" t="str">
        <f ca="1">IFERROR(__xludf.DUMMYFUNCTION("""COMPUTED_VALUE"""),"Khalifah City")</f>
        <v>Khalifah City</v>
      </c>
      <c r="C3913" s="2" t="str">
        <f ca="1">IFERROR(__xludf.DUMMYFUNCTION("""COMPUTED_VALUE"""),"Neighbourhood")</f>
        <v>Neighbourhood</v>
      </c>
      <c r="D3913" s="2" t="str">
        <f ca="1">IFERROR(__xludf.DUMMYFUNCTION("""COMPUTED_VALUE"""),"Umm Al Quwain&gt;Khalifah City")</f>
        <v>Umm Al Quwain&gt;Khalifah City</v>
      </c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</row>
    <row r="3914" spans="1:26" ht="16.5" x14ac:dyDescent="0.35">
      <c r="A3914" s="2" t="str">
        <f ca="1">IFERROR(__xludf.DUMMYFUNCTION("""COMPUTED_VALUE"""),"Fujairah")</f>
        <v>Fujairah</v>
      </c>
      <c r="B3914" s="2" t="str">
        <f ca="1">IFERROR(__xludf.DUMMYFUNCTION("""COMPUTED_VALUE"""),"Dhadna")</f>
        <v>Dhadna</v>
      </c>
      <c r="C3914" s="2" t="str">
        <f ca="1">IFERROR(__xludf.DUMMYFUNCTION("""COMPUTED_VALUE"""),"Neighbourhood")</f>
        <v>Neighbourhood</v>
      </c>
      <c r="D3914" s="2" t="str">
        <f ca="1">IFERROR(__xludf.DUMMYFUNCTION("""COMPUTED_VALUE"""),"Fujairah&gt;Dhadna")</f>
        <v>Fujairah&gt;Dhadna</v>
      </c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</row>
    <row r="3915" spans="1:26" ht="16.5" x14ac:dyDescent="0.35">
      <c r="A3915" s="2" t="str">
        <f ca="1">IFERROR(__xludf.DUMMYFUNCTION("""COMPUTED_VALUE"""),"Fujairah")</f>
        <v>Fujairah</v>
      </c>
      <c r="B3915" s="2" t="str">
        <f ca="1">IFERROR(__xludf.DUMMYFUNCTION("""COMPUTED_VALUE"""),"Fujairah Trade Centre")</f>
        <v>Fujairah Trade Centre</v>
      </c>
      <c r="C3915" s="2" t="str">
        <f ca="1">IFERROR(__xludf.DUMMYFUNCTION("""COMPUTED_VALUE"""),"Building")</f>
        <v>Building</v>
      </c>
      <c r="D3915" s="2" t="str">
        <f ca="1">IFERROR(__xludf.DUMMYFUNCTION("""COMPUTED_VALUE"""),"Fujairah&gt;Town Centre&gt;Fujairah Trade Centre")</f>
        <v>Fujairah&gt;Town Centre&gt;Fujairah Trade Centre</v>
      </c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</row>
    <row r="3916" spans="1:26" ht="16.5" x14ac:dyDescent="0.35">
      <c r="A3916" s="2" t="str">
        <f ca="1">IFERROR(__xludf.DUMMYFUNCTION("""COMPUTED_VALUE"""),"Dubai")</f>
        <v>Dubai</v>
      </c>
      <c r="B3916" s="2" t="str">
        <f ca="1">IFERROR(__xludf.DUMMYFUNCTION("""COMPUTED_VALUE"""),"The Offices 5")</f>
        <v>The Offices 5</v>
      </c>
      <c r="C3916" s="2" t="str">
        <f ca="1">IFERROR(__xludf.DUMMYFUNCTION("""COMPUTED_VALUE"""),"Building")</f>
        <v>Building</v>
      </c>
      <c r="D3916" s="2" t="str">
        <f ca="1">IFERROR(__xludf.DUMMYFUNCTION("""COMPUTED_VALUE"""),"Dubai&gt;World Trade Centre&gt;One Central&gt;The Offices 5")</f>
        <v>Dubai&gt;World Trade Centre&gt;One Central&gt;The Offices 5</v>
      </c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</row>
    <row r="3917" spans="1:26" ht="16.5" x14ac:dyDescent="0.35">
      <c r="A3917" s="2" t="str">
        <f ca="1">IFERROR(__xludf.DUMMYFUNCTION("""COMPUTED_VALUE"""),"Dubai")</f>
        <v>Dubai</v>
      </c>
      <c r="B3917" s="2" t="str">
        <f ca="1">IFERROR(__xludf.DUMMYFUNCTION("""COMPUTED_VALUE"""),"Al Qusais 2")</f>
        <v>Al Qusais 2</v>
      </c>
      <c r="C3917" s="2" t="str">
        <f ca="1">IFERROR(__xludf.DUMMYFUNCTION("""COMPUTED_VALUE"""),"Neighbourhood")</f>
        <v>Neighbourhood</v>
      </c>
      <c r="D3917" s="2" t="str">
        <f ca="1">IFERROR(__xludf.DUMMYFUNCTION("""COMPUTED_VALUE"""),"Dubai&gt;Al Qusais&gt;Al Qusais Residential Area&gt;Al Qusais 2")</f>
        <v>Dubai&gt;Al Qusais&gt;Al Qusais Residential Area&gt;Al Qusais 2</v>
      </c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</row>
    <row r="3918" spans="1:26" ht="16.5" x14ac:dyDescent="0.35">
      <c r="A3918" s="2" t="str">
        <f ca="1">IFERROR(__xludf.DUMMYFUNCTION("""COMPUTED_VALUE"""),"Dubai")</f>
        <v>Dubai</v>
      </c>
      <c r="B3918" s="2" t="str">
        <f ca="1">IFERROR(__xludf.DUMMYFUNCTION("""COMPUTED_VALUE"""),"The Millennium School, Dubai")</f>
        <v>The Millennium School, Dubai</v>
      </c>
      <c r="C3918" s="2" t="str">
        <f ca="1">IFERROR(__xludf.DUMMYFUNCTION("""COMPUTED_VALUE"""),"School")</f>
        <v>School</v>
      </c>
      <c r="D3918" s="2" t="str">
        <f ca="1">IFERROR(__xludf.DUMMYFUNCTION("""COMPUTED_VALUE"""),"Dubai&gt;Al Qusais&gt;Al Qusais Residential Area&gt;Al Qusais 1&gt;The Millennium School, Dubai")</f>
        <v>Dubai&gt;Al Qusais&gt;Al Qusais Residential Area&gt;Al Qusais 1&gt;The Millennium School, Dubai</v>
      </c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</row>
    <row r="3919" spans="1:26" ht="16.5" x14ac:dyDescent="0.35">
      <c r="A3919" s="2" t="str">
        <f ca="1">IFERROR(__xludf.DUMMYFUNCTION("""COMPUTED_VALUE"""),"Dubai")</f>
        <v>Dubai</v>
      </c>
      <c r="B3919" s="2" t="str">
        <f ca="1">IFERROR(__xludf.DUMMYFUNCTION("""COMPUTED_VALUE"""),"Al Jabri Tower 3")</f>
        <v>Al Jabri Tower 3</v>
      </c>
      <c r="C3919" s="2" t="str">
        <f ca="1">IFERROR(__xludf.DUMMYFUNCTION("""COMPUTED_VALUE"""),"Building")</f>
        <v>Building</v>
      </c>
      <c r="D3919" s="2" t="str">
        <f ca="1">IFERROR(__xludf.DUMMYFUNCTION("""COMPUTED_VALUE"""),"Dubai&gt;Al Qusais&gt;Al Qusais Residential Area&gt;Al Qusais 1&gt;Al Jabri Tower 3")</f>
        <v>Dubai&gt;Al Qusais&gt;Al Qusais Residential Area&gt;Al Qusais 1&gt;Al Jabri Tower 3</v>
      </c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</row>
    <row r="3920" spans="1:26" ht="16.5" x14ac:dyDescent="0.35">
      <c r="A3920" s="2" t="str">
        <f ca="1">IFERROR(__xludf.DUMMYFUNCTION("""COMPUTED_VALUE"""),"Dubai")</f>
        <v>Dubai</v>
      </c>
      <c r="B3920" s="2" t="str">
        <f ca="1">IFERROR(__xludf.DUMMYFUNCTION("""COMPUTED_VALUE"""),"Tasaheel Building")</f>
        <v>Tasaheel Building</v>
      </c>
      <c r="C3920" s="2" t="str">
        <f ca="1">IFERROR(__xludf.DUMMYFUNCTION("""COMPUTED_VALUE"""),"Building")</f>
        <v>Building</v>
      </c>
      <c r="D3920" s="2" t="str">
        <f ca="1">IFERROR(__xludf.DUMMYFUNCTION("""COMPUTED_VALUE"""),"Dubai&gt;Al Qusais&gt;Al Qusais Industrial Area&gt;Al Qusais Industrial 4&gt;Tasaheel Building")</f>
        <v>Dubai&gt;Al Qusais&gt;Al Qusais Industrial Area&gt;Al Qusais Industrial 4&gt;Tasaheel Building</v>
      </c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</row>
    <row r="3921" spans="1:26" ht="16.5" x14ac:dyDescent="0.35">
      <c r="A3921" s="2" t="str">
        <f ca="1">IFERROR(__xludf.DUMMYFUNCTION("""COMPUTED_VALUE"""),"Dubai")</f>
        <v>Dubai</v>
      </c>
      <c r="B3921" s="2" t="str">
        <f ca="1">IFERROR(__xludf.DUMMYFUNCTION("""COMPUTED_VALUE"""),"Park Heights 2")</f>
        <v>Park Heights 2</v>
      </c>
      <c r="C3921" s="2" t="str">
        <f ca="1">IFERROR(__xludf.DUMMYFUNCTION("""COMPUTED_VALUE"""),"Cluster")</f>
        <v>Cluster</v>
      </c>
      <c r="D3921" s="2" t="str">
        <f ca="1">IFERROR(__xludf.DUMMYFUNCTION("""COMPUTED_VALUE"""),"Dubai&gt;Dubai Hills Estate&gt;Park Heights&gt;Park Heights 2")</f>
        <v>Dubai&gt;Dubai Hills Estate&gt;Park Heights&gt;Park Heights 2</v>
      </c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</row>
    <row r="3922" spans="1:26" ht="16.5" x14ac:dyDescent="0.35">
      <c r="A3922" s="2" t="str">
        <f ca="1">IFERROR(__xludf.DUMMYFUNCTION("""COMPUTED_VALUE"""),"Dubai")</f>
        <v>Dubai</v>
      </c>
      <c r="B3922" s="2" t="str">
        <f ca="1">IFERROR(__xludf.DUMMYFUNCTION("""COMPUTED_VALUE"""),"Park Point Building C")</f>
        <v>Park Point Building C</v>
      </c>
      <c r="C3922" s="2" t="str">
        <f ca="1">IFERROR(__xludf.DUMMYFUNCTION("""COMPUTED_VALUE"""),"Building")</f>
        <v>Building</v>
      </c>
      <c r="D3922" s="2" t="str">
        <f ca="1">IFERROR(__xludf.DUMMYFUNCTION("""COMPUTED_VALUE"""),"Dubai&gt;Dubai Hills Estate&gt;Park Point&gt;Park Point Building C")</f>
        <v>Dubai&gt;Dubai Hills Estate&gt;Park Point&gt;Park Point Building C</v>
      </c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</row>
    <row r="3923" spans="1:26" ht="16.5" x14ac:dyDescent="0.35">
      <c r="A3923" s="2" t="str">
        <f ca="1">IFERROR(__xludf.DUMMYFUNCTION("""COMPUTED_VALUE"""),"Dubai")</f>
        <v>Dubai</v>
      </c>
      <c r="B3923" s="2" t="str">
        <f ca="1">IFERROR(__xludf.DUMMYFUNCTION("""COMPUTED_VALUE"""),"Dubai Hills Estate Business Park")</f>
        <v>Dubai Hills Estate Business Park</v>
      </c>
      <c r="C3923" s="2" t="str">
        <f ca="1">IFERROR(__xludf.DUMMYFUNCTION("""COMPUTED_VALUE"""),"Cluster")</f>
        <v>Cluster</v>
      </c>
      <c r="D3923" s="2" t="str">
        <f ca="1">IFERROR(__xludf.DUMMYFUNCTION("""COMPUTED_VALUE"""),"Dubai&gt;Dubai Hills Estate&gt;Dubai Hills Estate Business Park")</f>
        <v>Dubai&gt;Dubai Hills Estate&gt;Dubai Hills Estate Business Park</v>
      </c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</row>
    <row r="3924" spans="1:26" ht="16.5" x14ac:dyDescent="0.35">
      <c r="A3924" s="2" t="str">
        <f ca="1">IFERROR(__xludf.DUMMYFUNCTION("""COMPUTED_VALUE"""),"Dubai")</f>
        <v>Dubai</v>
      </c>
      <c r="B3924" s="2" t="str">
        <f ca="1">IFERROR(__xludf.DUMMYFUNCTION("""COMPUTED_VALUE"""),"Greenside Residence Tower B")</f>
        <v>Greenside Residence Tower B</v>
      </c>
      <c r="C3924" s="2" t="str">
        <f ca="1">IFERROR(__xludf.DUMMYFUNCTION("""COMPUTED_VALUE"""),"Building")</f>
        <v>Building</v>
      </c>
      <c r="D3924" s="2" t="str">
        <f ca="1">IFERROR(__xludf.DUMMYFUNCTION("""COMPUTED_VALUE"""),"Dubai&gt;Dubai Hills Estate&gt;Greenside Residence&gt;Greenside Residence Tower B")</f>
        <v>Dubai&gt;Dubai Hills Estate&gt;Greenside Residence&gt;Greenside Residence Tower B</v>
      </c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</row>
    <row r="3925" spans="1:26" ht="16.5" x14ac:dyDescent="0.35">
      <c r="A3925" s="2" t="str">
        <f ca="1">IFERROR(__xludf.DUMMYFUNCTION("""COMPUTED_VALUE"""),"Dubai")</f>
        <v>Dubai</v>
      </c>
      <c r="B3925" s="2" t="str">
        <f ca="1">IFERROR(__xludf.DUMMYFUNCTION("""COMPUTED_VALUE"""),"Vida Residences Club Point")</f>
        <v>Vida Residences Club Point</v>
      </c>
      <c r="C3925" s="2" t="str">
        <f ca="1">IFERROR(__xludf.DUMMYFUNCTION("""COMPUTED_VALUE"""),"Building")</f>
        <v>Building</v>
      </c>
      <c r="D3925" s="2" t="str">
        <f ca="1">IFERROR(__xludf.DUMMYFUNCTION("""COMPUTED_VALUE"""),"Dubai&gt;Dubai Hills Estate&gt;Vida Residences Club Point")</f>
        <v>Dubai&gt;Dubai Hills Estate&gt;Vida Residences Club Point</v>
      </c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</row>
    <row r="3926" spans="1:26" ht="16.5" x14ac:dyDescent="0.35">
      <c r="A3926" s="2" t="str">
        <f ca="1">IFERROR(__xludf.DUMMYFUNCTION("""COMPUTED_VALUE"""),"Dubai")</f>
        <v>Dubai</v>
      </c>
      <c r="B3926" s="2" t="str">
        <f ca="1">IFERROR(__xludf.DUMMYFUNCTION("""COMPUTED_VALUE"""),"Al Ashrafiya Building")</f>
        <v>Al Ashrafiya Building</v>
      </c>
      <c r="C3926" s="2" t="str">
        <f ca="1">IFERROR(__xludf.DUMMYFUNCTION("""COMPUTED_VALUE"""),"Building")</f>
        <v>Building</v>
      </c>
      <c r="D3926" s="2" t="str">
        <f ca="1">IFERROR(__xludf.DUMMYFUNCTION("""COMPUTED_VALUE"""),"Dubai&gt;Deira&gt;Al Muraqqabat&gt;Al Ashrafiya Building")</f>
        <v>Dubai&gt;Deira&gt;Al Muraqqabat&gt;Al Ashrafiya Building</v>
      </c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</row>
    <row r="3927" spans="1:26" ht="16.5" x14ac:dyDescent="0.35">
      <c r="A3927" s="2" t="str">
        <f ca="1">IFERROR(__xludf.DUMMYFUNCTION("""COMPUTED_VALUE"""),"Dubai")</f>
        <v>Dubai</v>
      </c>
      <c r="B3927" s="2" t="str">
        <f ca="1">IFERROR(__xludf.DUMMYFUNCTION("""COMPUTED_VALUE"""),"Liwa Plaza Building")</f>
        <v>Liwa Plaza Building</v>
      </c>
      <c r="C3927" s="2" t="str">
        <f ca="1">IFERROR(__xludf.DUMMYFUNCTION("""COMPUTED_VALUE"""),"Building")</f>
        <v>Building</v>
      </c>
      <c r="D3927" s="2" t="str">
        <f ca="1">IFERROR(__xludf.DUMMYFUNCTION("""COMPUTED_VALUE"""),"Dubai&gt;Deira&gt;Al Muraqqabat&gt;Liwa Plaza Building")</f>
        <v>Dubai&gt;Deira&gt;Al Muraqqabat&gt;Liwa Plaza Building</v>
      </c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</row>
    <row r="3928" spans="1:26" ht="16.5" x14ac:dyDescent="0.35">
      <c r="A3928" s="2" t="str">
        <f ca="1">IFERROR(__xludf.DUMMYFUNCTION("""COMPUTED_VALUE"""),"Dubai")</f>
        <v>Dubai</v>
      </c>
      <c r="B3928" s="2" t="str">
        <f ca="1">IFERROR(__xludf.DUMMYFUNCTION("""COMPUTED_VALUE"""),"Al Masaood Tower")</f>
        <v>Al Masaood Tower</v>
      </c>
      <c r="C3928" s="2" t="str">
        <f ca="1">IFERROR(__xludf.DUMMYFUNCTION("""COMPUTED_VALUE"""),"Building")</f>
        <v>Building</v>
      </c>
      <c r="D3928" s="2" t="str">
        <f ca="1">IFERROR(__xludf.DUMMYFUNCTION("""COMPUTED_VALUE"""),"Dubai&gt;Deira&gt;Riggat Al Buteen&gt;Al Masaood Tower")</f>
        <v>Dubai&gt;Deira&gt;Riggat Al Buteen&gt;Al Masaood Tower</v>
      </c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</row>
    <row r="3929" spans="1:26" ht="16.5" x14ac:dyDescent="0.35">
      <c r="A3929" s="2" t="str">
        <f ca="1">IFERROR(__xludf.DUMMYFUNCTION("""COMPUTED_VALUE"""),"Dubai")</f>
        <v>Dubai</v>
      </c>
      <c r="B3929" s="2" t="str">
        <f ca="1">IFERROR(__xludf.DUMMYFUNCTION("""COMPUTED_VALUE"""),"Al Canna Building")</f>
        <v>Al Canna Building</v>
      </c>
      <c r="C3929" s="2" t="str">
        <f ca="1">IFERROR(__xludf.DUMMYFUNCTION("""COMPUTED_VALUE"""),"Building")</f>
        <v>Building</v>
      </c>
      <c r="D3929" s="2" t="str">
        <f ca="1">IFERROR(__xludf.DUMMYFUNCTION("""COMPUTED_VALUE"""),"Dubai&gt;Deira&gt;Hor Al Anz&gt;Al Canna Building")</f>
        <v>Dubai&gt;Deira&gt;Hor Al Anz&gt;Al Canna Building</v>
      </c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</row>
    <row r="3930" spans="1:26" ht="16.5" x14ac:dyDescent="0.35">
      <c r="A3930" s="2" t="str">
        <f ca="1">IFERROR(__xludf.DUMMYFUNCTION("""COMPUTED_VALUE"""),"Dubai")</f>
        <v>Dubai</v>
      </c>
      <c r="B3930" s="2" t="str">
        <f ca="1">IFERROR(__xludf.DUMMYFUNCTION("""COMPUTED_VALUE"""),"Al Rayyan Residence")</f>
        <v>Al Rayyan Residence</v>
      </c>
      <c r="C3930" s="2" t="str">
        <f ca="1">IFERROR(__xludf.DUMMYFUNCTION("""COMPUTED_VALUE"""),"Building")</f>
        <v>Building</v>
      </c>
      <c r="D3930" s="2" t="str">
        <f ca="1">IFERROR(__xludf.DUMMYFUNCTION("""COMPUTED_VALUE"""),"Dubai&gt;Deira&gt;Hor Al Anz&gt;Al Rayyan Residence")</f>
        <v>Dubai&gt;Deira&gt;Hor Al Anz&gt;Al Rayyan Residence</v>
      </c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</row>
    <row r="3931" spans="1:26" ht="16.5" x14ac:dyDescent="0.35">
      <c r="A3931" s="2" t="str">
        <f ca="1">IFERROR(__xludf.DUMMYFUNCTION("""COMPUTED_VALUE"""),"Dubai")</f>
        <v>Dubai</v>
      </c>
      <c r="B3931" s="2" t="str">
        <f ca="1">IFERROR(__xludf.DUMMYFUNCTION("""COMPUTED_VALUE"""),"Masaken Al Muteena 01")</f>
        <v>Masaken Al Muteena 01</v>
      </c>
      <c r="C3931" s="2" t="str">
        <f ca="1">IFERROR(__xludf.DUMMYFUNCTION("""COMPUTED_VALUE"""),"Building")</f>
        <v>Building</v>
      </c>
      <c r="D3931" s="2" t="str">
        <f ca="1">IFERROR(__xludf.DUMMYFUNCTION("""COMPUTED_VALUE"""),"Dubai&gt;Deira&gt;Al Muteena&gt;Masaken Al Muteena 01")</f>
        <v>Dubai&gt;Deira&gt;Al Muteena&gt;Masaken Al Muteena 01</v>
      </c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</row>
    <row r="3932" spans="1:26" ht="16.5" x14ac:dyDescent="0.35">
      <c r="A3932" s="2" t="str">
        <f ca="1">IFERROR(__xludf.DUMMYFUNCTION("""COMPUTED_VALUE"""),"Dubai")</f>
        <v>Dubai</v>
      </c>
      <c r="B3932" s="2" t="str">
        <f ca="1">IFERROR(__xludf.DUMMYFUNCTION("""COMPUTED_VALUE"""),"Radisson Blu Hotel Dubai Deira Creek")</f>
        <v>Radisson Blu Hotel Dubai Deira Creek</v>
      </c>
      <c r="C3932" s="2" t="str">
        <f ca="1">IFERROR(__xludf.DUMMYFUNCTION("""COMPUTED_VALUE"""),"Building")</f>
        <v>Building</v>
      </c>
      <c r="D3932" s="2" t="str">
        <f ca="1">IFERROR(__xludf.DUMMYFUNCTION("""COMPUTED_VALUE"""),"Dubai&gt;Deira&gt;Al Rigga&gt;Radisson Blu Hotel Dubai Deira Creek")</f>
        <v>Dubai&gt;Deira&gt;Al Rigga&gt;Radisson Blu Hotel Dubai Deira Creek</v>
      </c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</row>
    <row r="3933" spans="1:26" ht="16.5" x14ac:dyDescent="0.35">
      <c r="A3933" s="2" t="str">
        <f ca="1">IFERROR(__xludf.DUMMYFUNCTION("""COMPUTED_VALUE"""),"Dubai")</f>
        <v>Dubai</v>
      </c>
      <c r="B3933" s="2" t="str">
        <f ca="1">IFERROR(__xludf.DUMMYFUNCTION("""COMPUTED_VALUE"""),"Moza Plaza 3")</f>
        <v>Moza Plaza 3</v>
      </c>
      <c r="C3933" s="2" t="str">
        <f ca="1">IFERROR(__xludf.DUMMYFUNCTION("""COMPUTED_VALUE"""),"Building")</f>
        <v>Building</v>
      </c>
      <c r="D3933" s="2" t="str">
        <f ca="1">IFERROR(__xludf.DUMMYFUNCTION("""COMPUTED_VALUE"""),"Dubai&gt;Deira&gt;Deira Enrichment Project&gt;Moza Plaza&gt;Moza Plaza 3")</f>
        <v>Dubai&gt;Deira&gt;Deira Enrichment Project&gt;Moza Plaza&gt;Moza Plaza 3</v>
      </c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</row>
    <row r="3934" spans="1:26" ht="16.5" x14ac:dyDescent="0.35">
      <c r="A3934" s="2" t="str">
        <f ca="1">IFERROR(__xludf.DUMMYFUNCTION("""COMPUTED_VALUE"""),"Dubai")</f>
        <v>Dubai</v>
      </c>
      <c r="B3934" s="2" t="str">
        <f ca="1">IFERROR(__xludf.DUMMYFUNCTION("""COMPUTED_VALUE"""),"Sameera Yousaf Baker Building")</f>
        <v>Sameera Yousaf Baker Building</v>
      </c>
      <c r="C3934" s="2" t="str">
        <f ca="1">IFERROR(__xludf.DUMMYFUNCTION("""COMPUTED_VALUE"""),"Building")</f>
        <v>Building</v>
      </c>
      <c r="D3934" s="2" t="str">
        <f ca="1">IFERROR(__xludf.DUMMYFUNCTION("""COMPUTED_VALUE"""),"Dubai&gt;Deira&gt;Naif&gt;Sameera Yousaf Baker Building")</f>
        <v>Dubai&gt;Deira&gt;Naif&gt;Sameera Yousaf Baker Building</v>
      </c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</row>
    <row r="3935" spans="1:26" ht="16.5" x14ac:dyDescent="0.35">
      <c r="A3935" s="2" t="str">
        <f ca="1">IFERROR(__xludf.DUMMYFUNCTION("""COMPUTED_VALUE"""),"Dubai")</f>
        <v>Dubai</v>
      </c>
      <c r="B3935" s="2" t="str">
        <f ca="1">IFERROR(__xludf.DUMMYFUNCTION("""COMPUTED_VALUE"""),"Mohd Mardas Building")</f>
        <v>Mohd Mardas Building</v>
      </c>
      <c r="C3935" s="2" t="str">
        <f ca="1">IFERROR(__xludf.DUMMYFUNCTION("""COMPUTED_VALUE"""),"Building")</f>
        <v>Building</v>
      </c>
      <c r="D3935" s="2" t="str">
        <f ca="1">IFERROR(__xludf.DUMMYFUNCTION("""COMPUTED_VALUE"""),"Dubai&gt;Deira&gt;Naif&gt;Mohd Mardas Building")</f>
        <v>Dubai&gt;Deira&gt;Naif&gt;Mohd Mardas Building</v>
      </c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</row>
    <row r="3936" spans="1:26" ht="16.5" x14ac:dyDescent="0.35">
      <c r="A3936" s="2" t="str">
        <f ca="1">IFERROR(__xludf.DUMMYFUNCTION("""COMPUTED_VALUE"""),"Dubai")</f>
        <v>Dubai</v>
      </c>
      <c r="B3936" s="2" t="str">
        <f ca="1">IFERROR(__xludf.DUMMYFUNCTION("""COMPUTED_VALUE"""),"Al Murar 1 Building")</f>
        <v>Al Murar 1 Building</v>
      </c>
      <c r="C3936" s="2" t="str">
        <f ca="1">IFERROR(__xludf.DUMMYFUNCTION("""COMPUTED_VALUE"""),"Building")</f>
        <v>Building</v>
      </c>
      <c r="D3936" s="2" t="str">
        <f ca="1">IFERROR(__xludf.DUMMYFUNCTION("""COMPUTED_VALUE"""),"Dubai&gt;Deira&gt;Al Murar&gt;Al Murar 1 Building")</f>
        <v>Dubai&gt;Deira&gt;Al Murar&gt;Al Murar 1 Building</v>
      </c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</row>
    <row r="3937" spans="1:26" ht="16.5" x14ac:dyDescent="0.35">
      <c r="A3937" s="2" t="str">
        <f ca="1">IFERROR(__xludf.DUMMYFUNCTION("""COMPUTED_VALUE"""),"Dubai")</f>
        <v>Dubai</v>
      </c>
      <c r="B3937" s="2" t="str">
        <f ca="1">IFERROR(__xludf.DUMMYFUNCTION("""COMPUTED_VALUE"""),"Sabari Indian School (SIS)")</f>
        <v>Sabari Indian School (SIS)</v>
      </c>
      <c r="C3937" s="2" t="str">
        <f ca="1">IFERROR(__xludf.DUMMYFUNCTION("""COMPUTED_VALUE"""),"School")</f>
        <v>School</v>
      </c>
      <c r="D3937" s="2" t="str">
        <f ca="1">IFERROR(__xludf.DUMMYFUNCTION("""COMPUTED_VALUE"""),"Dubai&gt;Deira&gt;Al Wuheida&gt;Sabari Indian School (SIS)")</f>
        <v>Dubai&gt;Deira&gt;Al Wuheida&gt;Sabari Indian School (SIS)</v>
      </c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</row>
    <row r="3938" spans="1:26" ht="16.5" x14ac:dyDescent="0.35">
      <c r="A3938" s="2" t="str">
        <f ca="1">IFERROR(__xludf.DUMMYFUNCTION("""COMPUTED_VALUE"""),"Dubai")</f>
        <v>Dubai</v>
      </c>
      <c r="B3938" s="2" t="str">
        <f ca="1">IFERROR(__xludf.DUMMYFUNCTION("""COMPUTED_VALUE"""),"Al Aman House")</f>
        <v>Al Aman House</v>
      </c>
      <c r="C3938" s="2" t="str">
        <f ca="1">IFERROR(__xludf.DUMMYFUNCTION("""COMPUTED_VALUE"""),"Building")</f>
        <v>Building</v>
      </c>
      <c r="D3938" s="2" t="str">
        <f ca="1">IFERROR(__xludf.DUMMYFUNCTION("""COMPUTED_VALUE"""),"Dubai&gt;Deira&gt;Port Saeed&gt;Al Aman House")</f>
        <v>Dubai&gt;Deira&gt;Port Saeed&gt;Al Aman House</v>
      </c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</row>
    <row r="3939" spans="1:26" ht="16.5" x14ac:dyDescent="0.35">
      <c r="A3939" s="2" t="str">
        <f ca="1">IFERROR(__xludf.DUMMYFUNCTION("""COMPUTED_VALUE"""),"Dubai")</f>
        <v>Dubai</v>
      </c>
      <c r="B3939" s="2" t="str">
        <f ca="1">IFERROR(__xludf.DUMMYFUNCTION("""COMPUTED_VALUE"""),"Copthorne Hotel")</f>
        <v>Copthorne Hotel</v>
      </c>
      <c r="C3939" s="2" t="str">
        <f ca="1">IFERROR(__xludf.DUMMYFUNCTION("""COMPUTED_VALUE"""),"Building")</f>
        <v>Building</v>
      </c>
      <c r="D3939" s="2" t="str">
        <f ca="1">IFERROR(__xludf.DUMMYFUNCTION("""COMPUTED_VALUE"""),"Dubai&gt;Deira&gt;Port Saeed&gt;Copthorne Hotel")</f>
        <v>Dubai&gt;Deira&gt;Port Saeed&gt;Copthorne Hotel</v>
      </c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</row>
    <row r="3940" spans="1:26" ht="16.5" x14ac:dyDescent="0.35">
      <c r="A3940" s="2" t="str">
        <f ca="1">IFERROR(__xludf.DUMMYFUNCTION("""COMPUTED_VALUE"""),"Dubai")</f>
        <v>Dubai</v>
      </c>
      <c r="B3940" s="2" t="str">
        <f ca="1">IFERROR(__xludf.DUMMYFUNCTION("""COMPUTED_VALUE"""),"Avanti Tower")</f>
        <v>Avanti Tower</v>
      </c>
      <c r="C3940" s="2" t="str">
        <f ca="1">IFERROR(__xludf.DUMMYFUNCTION("""COMPUTED_VALUE"""),"Building")</f>
        <v>Building</v>
      </c>
      <c r="D3940" s="2" t="str">
        <f ca="1">IFERROR(__xludf.DUMMYFUNCTION("""COMPUTED_VALUE"""),"Dubai&gt;Business Bay&gt;Avanti Tower")</f>
        <v>Dubai&gt;Business Bay&gt;Avanti Tower</v>
      </c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</row>
    <row r="3941" spans="1:26" ht="16.5" x14ac:dyDescent="0.35">
      <c r="A3941" s="2" t="str">
        <f ca="1">IFERROR(__xludf.DUMMYFUNCTION("""COMPUTED_VALUE"""),"Dubai")</f>
        <v>Dubai</v>
      </c>
      <c r="B3941" s="2" t="str">
        <f ca="1">IFERROR(__xludf.DUMMYFUNCTION("""COMPUTED_VALUE"""),"The Sterling")</f>
        <v>The Sterling</v>
      </c>
      <c r="C3941" s="2" t="str">
        <f ca="1">IFERROR(__xludf.DUMMYFUNCTION("""COMPUTED_VALUE"""),"Cluster")</f>
        <v>Cluster</v>
      </c>
      <c r="D3941" s="2" t="str">
        <f ca="1">IFERROR(__xludf.DUMMYFUNCTION("""COMPUTED_VALUE"""),"Dubai&gt;Business Bay&gt;The Sterling")</f>
        <v>Dubai&gt;Business Bay&gt;The Sterling</v>
      </c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</row>
    <row r="3942" spans="1:26" ht="16.5" x14ac:dyDescent="0.35">
      <c r="A3942" s="2" t="str">
        <f ca="1">IFERROR(__xludf.DUMMYFUNCTION("""COMPUTED_VALUE"""),"Dubai")</f>
        <v>Dubai</v>
      </c>
      <c r="B3942" s="2" t="str">
        <f ca="1">IFERROR(__xludf.DUMMYFUNCTION("""COMPUTED_VALUE"""),"Empire Heights 1")</f>
        <v>Empire Heights 1</v>
      </c>
      <c r="C3942" s="2" t="str">
        <f ca="1">IFERROR(__xludf.DUMMYFUNCTION("""COMPUTED_VALUE"""),"Building")</f>
        <v>Building</v>
      </c>
      <c r="D3942" s="2" t="str">
        <f ca="1">IFERROR(__xludf.DUMMYFUNCTION("""COMPUTED_VALUE"""),"Dubai&gt;Business Bay&gt;Empire Heights&gt;Empire Heights 1")</f>
        <v>Dubai&gt;Business Bay&gt;Empire Heights&gt;Empire Heights 1</v>
      </c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</row>
    <row r="3943" spans="1:26" ht="16.5" x14ac:dyDescent="0.35">
      <c r="A3943" s="2" t="str">
        <f ca="1">IFERROR(__xludf.DUMMYFUNCTION("""COMPUTED_VALUE"""),"Dubai")</f>
        <v>Dubai</v>
      </c>
      <c r="B3943" s="2" t="str">
        <f ca="1">IFERROR(__xludf.DUMMYFUNCTION("""COMPUTED_VALUE"""),"J One Tower A")</f>
        <v>J One Tower A</v>
      </c>
      <c r="C3943" s="2" t="str">
        <f ca="1">IFERROR(__xludf.DUMMYFUNCTION("""COMPUTED_VALUE"""),"Building")</f>
        <v>Building</v>
      </c>
      <c r="D3943" s="2" t="str">
        <f ca="1">IFERROR(__xludf.DUMMYFUNCTION("""COMPUTED_VALUE"""),"Dubai&gt;Business Bay&gt;J One&gt;J One Tower A")</f>
        <v>Dubai&gt;Business Bay&gt;J One&gt;J One Tower A</v>
      </c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</row>
    <row r="3944" spans="1:26" ht="16.5" x14ac:dyDescent="0.35">
      <c r="A3944" s="2" t="str">
        <f ca="1">IFERROR(__xludf.DUMMYFUNCTION("""COMPUTED_VALUE"""),"Dubai")</f>
        <v>Dubai</v>
      </c>
      <c r="B3944" s="2" t="str">
        <f ca="1">IFERROR(__xludf.DUMMYFUNCTION("""COMPUTED_VALUE"""),"The Court Tower")</f>
        <v>The Court Tower</v>
      </c>
      <c r="C3944" s="2" t="str">
        <f ca="1">IFERROR(__xludf.DUMMYFUNCTION("""COMPUTED_VALUE"""),"Building")</f>
        <v>Building</v>
      </c>
      <c r="D3944" s="2" t="str">
        <f ca="1">IFERROR(__xludf.DUMMYFUNCTION("""COMPUTED_VALUE"""),"Dubai&gt;Business Bay&gt;The Court Tower")</f>
        <v>Dubai&gt;Business Bay&gt;The Court Tower</v>
      </c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</row>
    <row r="3945" spans="1:26" ht="16.5" x14ac:dyDescent="0.35">
      <c r="A3945" s="2" t="str">
        <f ca="1">IFERROR(__xludf.DUMMYFUNCTION("""COMPUTED_VALUE"""),"Dubai")</f>
        <v>Dubai</v>
      </c>
      <c r="B3945" s="2" t="str">
        <f ca="1">IFERROR(__xludf.DUMMYFUNCTION("""COMPUTED_VALUE"""),"The St. Regis Downtown")</f>
        <v>The St. Regis Downtown</v>
      </c>
      <c r="C3945" s="2" t="str">
        <f ca="1">IFERROR(__xludf.DUMMYFUNCTION("""COMPUTED_VALUE"""),"Building")</f>
        <v>Building</v>
      </c>
      <c r="D3945" s="2" t="str">
        <f ca="1">IFERROR(__xludf.DUMMYFUNCTION("""COMPUTED_VALUE"""),"Dubai&gt;Business Bay&gt;The St. Regis Downtown")</f>
        <v>Dubai&gt;Business Bay&gt;The St. Regis Downtown</v>
      </c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</row>
    <row r="3946" spans="1:26" ht="16.5" x14ac:dyDescent="0.35">
      <c r="A3946" s="2" t="str">
        <f ca="1">IFERROR(__xludf.DUMMYFUNCTION("""COMPUTED_VALUE"""),"Dubai")</f>
        <v>Dubai</v>
      </c>
      <c r="B3946" s="2" t="str">
        <f ca="1">IFERROR(__xludf.DUMMYFUNCTION("""COMPUTED_VALUE"""),"The Citadel")</f>
        <v>The Citadel</v>
      </c>
      <c r="C3946" s="2" t="str">
        <f ca="1">IFERROR(__xludf.DUMMYFUNCTION("""COMPUTED_VALUE"""),"Building")</f>
        <v>Building</v>
      </c>
      <c r="D3946" s="2" t="str">
        <f ca="1">IFERROR(__xludf.DUMMYFUNCTION("""COMPUTED_VALUE"""),"Dubai&gt;Business Bay&gt;The Citadel")</f>
        <v>Dubai&gt;Business Bay&gt;The Citadel</v>
      </c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</row>
    <row r="3947" spans="1:26" ht="16.5" x14ac:dyDescent="0.35">
      <c r="A3947" s="2" t="str">
        <f ca="1">IFERROR(__xludf.DUMMYFUNCTION("""COMPUTED_VALUE"""),"Dubai")</f>
        <v>Dubai</v>
      </c>
      <c r="B3947" s="2" t="str">
        <f ca="1">IFERROR(__xludf.DUMMYFUNCTION("""COMPUTED_VALUE"""),"Pullman Dubai Downtown")</f>
        <v>Pullman Dubai Downtown</v>
      </c>
      <c r="C3947" s="2" t="str">
        <f ca="1">IFERROR(__xludf.DUMMYFUNCTION("""COMPUTED_VALUE"""),"Building")</f>
        <v>Building</v>
      </c>
      <c r="D3947" s="2" t="str">
        <f ca="1">IFERROR(__xludf.DUMMYFUNCTION("""COMPUTED_VALUE"""),"Dubai&gt;Business Bay&gt;Pullman Dubai Downtown")</f>
        <v>Dubai&gt;Business Bay&gt;Pullman Dubai Downtown</v>
      </c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</row>
    <row r="3948" spans="1:26" ht="16.5" x14ac:dyDescent="0.35">
      <c r="A3948" s="2" t="str">
        <f ca="1">IFERROR(__xludf.DUMMYFUNCTION("""COMPUTED_VALUE"""),"Dubai")</f>
        <v>Dubai</v>
      </c>
      <c r="B3948" s="2" t="str">
        <f ca="1">IFERROR(__xludf.DUMMYFUNCTION("""COMPUTED_VALUE"""),"Binghatti Skyrise Tower A")</f>
        <v>Binghatti Skyrise Tower A</v>
      </c>
      <c r="C3948" s="2" t="str">
        <f ca="1">IFERROR(__xludf.DUMMYFUNCTION("""COMPUTED_VALUE"""),"Building")</f>
        <v>Building</v>
      </c>
      <c r="D3948" s="2" t="str">
        <f ca="1">IFERROR(__xludf.DUMMYFUNCTION("""COMPUTED_VALUE"""),"Dubai&gt;Business Bay&gt;Binghatti Skyrise&gt;Binghatti Skyrise Tower A")</f>
        <v>Dubai&gt;Business Bay&gt;Binghatti Skyrise&gt;Binghatti Skyrise Tower A</v>
      </c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</row>
    <row r="3949" spans="1:26" ht="16.5" x14ac:dyDescent="0.35">
      <c r="A3949" s="2" t="str">
        <f ca="1">IFERROR(__xludf.DUMMYFUNCTION("""COMPUTED_VALUE"""),"Dubai")</f>
        <v>Dubai</v>
      </c>
      <c r="B3949" s="2" t="str">
        <f ca="1">IFERROR(__xludf.DUMMYFUNCTION("""COMPUTED_VALUE"""),"The Imperial Residence")</f>
        <v>The Imperial Residence</v>
      </c>
      <c r="C3949" s="2" t="str">
        <f ca="1">IFERROR(__xludf.DUMMYFUNCTION("""COMPUTED_VALUE"""),"Cluster")</f>
        <v>Cluster</v>
      </c>
      <c r="D3949" s="2" t="str">
        <f ca="1">IFERROR(__xludf.DUMMYFUNCTION("""COMPUTED_VALUE"""),"Dubai&gt;Jumeirah Village Triangle (JVT)&gt;JVT District 5&gt;The Imperial Residence")</f>
        <v>Dubai&gt;Jumeirah Village Triangle (JVT)&gt;JVT District 5&gt;The Imperial Residence</v>
      </c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</row>
    <row r="3950" spans="1:26" ht="16.5" x14ac:dyDescent="0.35">
      <c r="A3950" s="2" t="str">
        <f ca="1">IFERROR(__xludf.DUMMYFUNCTION("""COMPUTED_VALUE"""),"Dubai")</f>
        <v>Dubai</v>
      </c>
      <c r="B3950" s="2" t="str">
        <f ca="1">IFERROR(__xludf.DUMMYFUNCTION("""COMPUTED_VALUE"""),"District 8M")</f>
        <v>District 8M</v>
      </c>
      <c r="C3950" s="2" t="str">
        <f ca="1">IFERROR(__xludf.DUMMYFUNCTION("""COMPUTED_VALUE"""),"Neighbourhood")</f>
        <v>Neighbourhood</v>
      </c>
      <c r="D3950" s="2" t="str">
        <f ca="1">IFERROR(__xludf.DUMMYFUNCTION("""COMPUTED_VALUE"""),"Dubai&gt;Jumeirah Village Triangle (JVT)&gt;JVT District 8&gt;District 8M")</f>
        <v>Dubai&gt;Jumeirah Village Triangle (JVT)&gt;JVT District 8&gt;District 8M</v>
      </c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</row>
    <row r="3951" spans="1:26" ht="16.5" x14ac:dyDescent="0.35">
      <c r="A3951" s="2" t="str">
        <f ca="1">IFERROR(__xludf.DUMMYFUNCTION("""COMPUTED_VALUE"""),"Dubai")</f>
        <v>Dubai</v>
      </c>
      <c r="B3951" s="2" t="str">
        <f ca="1">IFERROR(__xludf.DUMMYFUNCTION("""COMPUTED_VALUE"""),"District 2D")</f>
        <v>District 2D</v>
      </c>
      <c r="C3951" s="2" t="str">
        <f ca="1">IFERROR(__xludf.DUMMYFUNCTION("""COMPUTED_VALUE"""),"Neighbourhood")</f>
        <v>Neighbourhood</v>
      </c>
      <c r="D3951" s="2" t="str">
        <f ca="1">IFERROR(__xludf.DUMMYFUNCTION("""COMPUTED_VALUE"""),"Dubai&gt;Jumeirah Village Triangle (JVT)&gt;JVT District 2&gt;District 2D")</f>
        <v>Dubai&gt;Jumeirah Village Triangle (JVT)&gt;JVT District 2&gt;District 2D</v>
      </c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</row>
    <row r="3952" spans="1:26" ht="16.5" x14ac:dyDescent="0.35">
      <c r="A3952" s="2" t="str">
        <f ca="1">IFERROR(__xludf.DUMMYFUNCTION("""COMPUTED_VALUE"""),"Dubai")</f>
        <v>Dubai</v>
      </c>
      <c r="B3952" s="2" t="str">
        <f ca="1">IFERROR(__xludf.DUMMYFUNCTION("""COMPUTED_VALUE"""),"District 7D")</f>
        <v>District 7D</v>
      </c>
      <c r="C3952" s="2" t="str">
        <f ca="1">IFERROR(__xludf.DUMMYFUNCTION("""COMPUTED_VALUE"""),"Neighbourhood")</f>
        <v>Neighbourhood</v>
      </c>
      <c r="D3952" s="2" t="str">
        <f ca="1">IFERROR(__xludf.DUMMYFUNCTION("""COMPUTED_VALUE"""),"Dubai&gt;Jumeirah Village Triangle (JVT)&gt;JVT District 7&gt;District 7D")</f>
        <v>Dubai&gt;Jumeirah Village Triangle (JVT)&gt;JVT District 7&gt;District 7D</v>
      </c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</row>
    <row r="3953" spans="1:26" ht="16.5" x14ac:dyDescent="0.35">
      <c r="A3953" s="2" t="str">
        <f ca="1">IFERROR(__xludf.DUMMYFUNCTION("""COMPUTED_VALUE"""),"Dubai")</f>
        <v>Dubai</v>
      </c>
      <c r="B3953" s="2" t="str">
        <f ca="1">IFERROR(__xludf.DUMMYFUNCTION("""COMPUTED_VALUE"""),"Al Khail Plaza")</f>
        <v>Al Khail Plaza</v>
      </c>
      <c r="C3953" s="2" t="str">
        <f ca="1">IFERROR(__xludf.DUMMYFUNCTION("""COMPUTED_VALUE"""),"Building")</f>
        <v>Building</v>
      </c>
      <c r="D3953" s="2" t="str">
        <f ca="1">IFERROR(__xludf.DUMMYFUNCTION("""COMPUTED_VALUE"""),"Dubai&gt;Jumeirah Village Triangle (JVT)&gt;JVT District 4&gt;Al Khail Plaza")</f>
        <v>Dubai&gt;Jumeirah Village Triangle (JVT)&gt;JVT District 4&gt;Al Khail Plaza</v>
      </c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</row>
    <row r="3954" spans="1:26" ht="16.5" x14ac:dyDescent="0.35">
      <c r="A3954" s="2" t="str">
        <f ca="1">IFERROR(__xludf.DUMMYFUNCTION("""COMPUTED_VALUE"""),"Dubai")</f>
        <v>Dubai</v>
      </c>
      <c r="B3954" s="2" t="str">
        <f ca="1">IFERROR(__xludf.DUMMYFUNCTION("""COMPUTED_VALUE"""),"District 3C")</f>
        <v>District 3C</v>
      </c>
      <c r="C3954" s="2" t="str">
        <f ca="1">IFERROR(__xludf.DUMMYFUNCTION("""COMPUTED_VALUE"""),"Neighbourhood")</f>
        <v>Neighbourhood</v>
      </c>
      <c r="D3954" s="2" t="str">
        <f ca="1">IFERROR(__xludf.DUMMYFUNCTION("""COMPUTED_VALUE"""),"Dubai&gt;Jumeirah Village Triangle (JVT)&gt;JVT District 3&gt;District 3C")</f>
        <v>Dubai&gt;Jumeirah Village Triangle (JVT)&gt;JVT District 3&gt;District 3C</v>
      </c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</row>
    <row r="3955" spans="1:26" ht="16.5" x14ac:dyDescent="0.35">
      <c r="A3955" s="2" t="str">
        <f ca="1">IFERROR(__xludf.DUMMYFUNCTION("""COMPUTED_VALUE"""),"Dubai")</f>
        <v>Dubai</v>
      </c>
      <c r="B3955" s="2" t="str">
        <f ca="1">IFERROR(__xludf.DUMMYFUNCTION("""COMPUTED_VALUE"""),"Al Ramth 09")</f>
        <v>Al Ramth 09</v>
      </c>
      <c r="C3955" s="2" t="str">
        <f ca="1">IFERROR(__xludf.DUMMYFUNCTION("""COMPUTED_VALUE"""),"Building")</f>
        <v>Building</v>
      </c>
      <c r="D3955" s="2" t="str">
        <f ca="1">IFERROR(__xludf.DUMMYFUNCTION("""COMPUTED_VALUE"""),"Dubai&gt;Remraam&gt;Al Ramth&gt;Al Ramth 09")</f>
        <v>Dubai&gt;Remraam&gt;Al Ramth&gt;Al Ramth 09</v>
      </c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</row>
    <row r="3956" spans="1:26" ht="16.5" x14ac:dyDescent="0.35">
      <c r="A3956" s="2" t="str">
        <f ca="1">IFERROR(__xludf.DUMMYFUNCTION("""COMPUTED_VALUE"""),"Dubai")</f>
        <v>Dubai</v>
      </c>
      <c r="B3956" s="2" t="str">
        <f ca="1">IFERROR(__xludf.DUMMYFUNCTION("""COMPUTED_VALUE"""),"Al Ramth 19")</f>
        <v>Al Ramth 19</v>
      </c>
      <c r="C3956" s="2" t="str">
        <f ca="1">IFERROR(__xludf.DUMMYFUNCTION("""COMPUTED_VALUE"""),"Building")</f>
        <v>Building</v>
      </c>
      <c r="D3956" s="2" t="str">
        <f ca="1">IFERROR(__xludf.DUMMYFUNCTION("""COMPUTED_VALUE"""),"Dubai&gt;Remraam&gt;Al Ramth&gt;Al Ramth 19")</f>
        <v>Dubai&gt;Remraam&gt;Al Ramth&gt;Al Ramth 19</v>
      </c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</row>
    <row r="3957" spans="1:26" ht="16.5" x14ac:dyDescent="0.35">
      <c r="A3957" s="2" t="str">
        <f ca="1">IFERROR(__xludf.DUMMYFUNCTION("""COMPUTED_VALUE"""),"Dubai")</f>
        <v>Dubai</v>
      </c>
      <c r="B3957" s="2" t="str">
        <f ca="1">IFERROR(__xludf.DUMMYFUNCTION("""COMPUTED_VALUE"""),"Al Thamam 13")</f>
        <v>Al Thamam 13</v>
      </c>
      <c r="C3957" s="2" t="str">
        <f ca="1">IFERROR(__xludf.DUMMYFUNCTION("""COMPUTED_VALUE"""),"Building")</f>
        <v>Building</v>
      </c>
      <c r="D3957" s="2" t="str">
        <f ca="1">IFERROR(__xludf.DUMMYFUNCTION("""COMPUTED_VALUE"""),"Dubai&gt;Remraam&gt;Al Thamam&gt;Al Thamam 13")</f>
        <v>Dubai&gt;Remraam&gt;Al Thamam&gt;Al Thamam 13</v>
      </c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</row>
    <row r="3958" spans="1:26" ht="16.5" x14ac:dyDescent="0.35">
      <c r="A3958" s="2" t="str">
        <f ca="1">IFERROR(__xludf.DUMMYFUNCTION("""COMPUTED_VALUE"""),"Dubai")</f>
        <v>Dubai</v>
      </c>
      <c r="B3958" s="2" t="str">
        <f ca="1">IFERROR(__xludf.DUMMYFUNCTION("""COMPUTED_VALUE"""),"Vita Grande")</f>
        <v>Vita Grande</v>
      </c>
      <c r="C3958" s="2" t="str">
        <f ca="1">IFERROR(__xludf.DUMMYFUNCTION("""COMPUTED_VALUE"""),"Building")</f>
        <v>Building</v>
      </c>
      <c r="D3958" s="2" t="str">
        <f ca="1">IFERROR(__xludf.DUMMYFUNCTION("""COMPUTED_VALUE"""),"Dubai&gt;Jumeirah Village Circle (JVC)&gt;JVC District 17&gt;Vita Grande")</f>
        <v>Dubai&gt;Jumeirah Village Circle (JVC)&gt;JVC District 17&gt;Vita Grande</v>
      </c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</row>
    <row r="3959" spans="1:26" ht="16.5" x14ac:dyDescent="0.35">
      <c r="A3959" s="2" t="str">
        <f ca="1">IFERROR(__xludf.DUMMYFUNCTION("""COMPUTED_VALUE"""),"Dubai")</f>
        <v>Dubai</v>
      </c>
      <c r="B3959" s="2" t="str">
        <f ca="1">IFERROR(__xludf.DUMMYFUNCTION("""COMPUTED_VALUE"""),"Erantis Villas")</f>
        <v>Erantis Villas</v>
      </c>
      <c r="C3959" s="2" t="str">
        <f ca="1">IFERROR(__xludf.DUMMYFUNCTION("""COMPUTED_VALUE"""),"Neighbourhood")</f>
        <v>Neighbourhood</v>
      </c>
      <c r="D3959" s="2" t="str">
        <f ca="1">IFERROR(__xludf.DUMMYFUNCTION("""COMPUTED_VALUE"""),"Dubai&gt;Jumeirah Village Circle (JVC)&gt;JVC District 12&gt;Erantis Villas")</f>
        <v>Dubai&gt;Jumeirah Village Circle (JVC)&gt;JVC District 12&gt;Erantis Villas</v>
      </c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</row>
    <row r="3960" spans="1:26" ht="16.5" x14ac:dyDescent="0.35">
      <c r="A3960" s="2" t="str">
        <f ca="1">IFERROR(__xludf.DUMMYFUNCTION("""COMPUTED_VALUE"""),"Dubai")</f>
        <v>Dubai</v>
      </c>
      <c r="B3960" s="2" t="str">
        <f ca="1">IFERROR(__xludf.DUMMYFUNCTION("""COMPUTED_VALUE"""),"Burj Sabah")</f>
        <v>Burj Sabah</v>
      </c>
      <c r="C3960" s="2" t="str">
        <f ca="1">IFERROR(__xludf.DUMMYFUNCTION("""COMPUTED_VALUE"""),"Building")</f>
        <v>Building</v>
      </c>
      <c r="D3960" s="2" t="str">
        <f ca="1">IFERROR(__xludf.DUMMYFUNCTION("""COMPUTED_VALUE"""),"Dubai&gt;Jumeirah Village Circle (JVC)&gt;JVC District 12&gt;Burj Sabah")</f>
        <v>Dubai&gt;Jumeirah Village Circle (JVC)&gt;JVC District 12&gt;Burj Sabah</v>
      </c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</row>
    <row r="3961" spans="1:26" ht="16.5" x14ac:dyDescent="0.35">
      <c r="A3961" s="2" t="str">
        <f ca="1">IFERROR(__xludf.DUMMYFUNCTION("""COMPUTED_VALUE"""),"Dubai")</f>
        <v>Dubai</v>
      </c>
      <c r="B3961" s="2" t="str">
        <f ca="1">IFERROR(__xludf.DUMMYFUNCTION("""COMPUTED_VALUE"""),"Casa Vista Residence")</f>
        <v>Casa Vista Residence</v>
      </c>
      <c r="C3961" s="2" t="str">
        <f ca="1">IFERROR(__xludf.DUMMYFUNCTION("""COMPUTED_VALUE"""),"Building")</f>
        <v>Building</v>
      </c>
      <c r="D3961" s="2" t="str">
        <f ca="1">IFERROR(__xludf.DUMMYFUNCTION("""COMPUTED_VALUE"""),"Dubai&gt;Jumeirah Village Circle (JVC)&gt;JVC District 12&gt;Casa Vista Residence")</f>
        <v>Dubai&gt;Jumeirah Village Circle (JVC)&gt;JVC District 12&gt;Casa Vista Residence</v>
      </c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</row>
    <row r="3962" spans="1:26" ht="16.5" x14ac:dyDescent="0.35">
      <c r="A3962" s="2" t="str">
        <f ca="1">IFERROR(__xludf.DUMMYFUNCTION("""COMPUTED_VALUE"""),"Dubai")</f>
        <v>Dubai</v>
      </c>
      <c r="B3962" s="2" t="str">
        <f ca="1">IFERROR(__xludf.DUMMYFUNCTION("""COMPUTED_VALUE"""),"Continents Tower")</f>
        <v>Continents Tower</v>
      </c>
      <c r="C3962" s="2" t="str">
        <f ca="1">IFERROR(__xludf.DUMMYFUNCTION("""COMPUTED_VALUE"""),"Building")</f>
        <v>Building</v>
      </c>
      <c r="D3962" s="2" t="str">
        <f ca="1">IFERROR(__xludf.DUMMYFUNCTION("""COMPUTED_VALUE"""),"Dubai&gt;Jumeirah Village Circle (JVC)&gt;JVC District 13&gt;Continents Tower")</f>
        <v>Dubai&gt;Jumeirah Village Circle (JVC)&gt;JVC District 13&gt;Continents Tower</v>
      </c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</row>
    <row r="3963" spans="1:26" ht="16.5" x14ac:dyDescent="0.35">
      <c r="A3963" s="2" t="str">
        <f ca="1">IFERROR(__xludf.DUMMYFUNCTION("""COMPUTED_VALUE"""),"Dubai")</f>
        <v>Dubai</v>
      </c>
      <c r="B3963" s="2" t="str">
        <f ca="1">IFERROR(__xludf.DUMMYFUNCTION("""COMPUTED_VALUE"""),"Kensington Manor")</f>
        <v>Kensington Manor</v>
      </c>
      <c r="C3963" s="2" t="str">
        <f ca="1">IFERROR(__xludf.DUMMYFUNCTION("""COMPUTED_VALUE"""),"Building")</f>
        <v>Building</v>
      </c>
      <c r="D3963" s="2" t="str">
        <f ca="1">IFERROR(__xludf.DUMMYFUNCTION("""COMPUTED_VALUE"""),"Dubai&gt;Jumeirah Village Circle (JVC)&gt;JVC District 13&gt;Kensington Manor")</f>
        <v>Dubai&gt;Jumeirah Village Circle (JVC)&gt;JVC District 13&gt;Kensington Manor</v>
      </c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</row>
    <row r="3964" spans="1:26" ht="16.5" x14ac:dyDescent="0.35">
      <c r="A3964" s="2" t="str">
        <f ca="1">IFERROR(__xludf.DUMMYFUNCTION("""COMPUTED_VALUE"""),"Dubai")</f>
        <v>Dubai</v>
      </c>
      <c r="B3964" s="2" t="str">
        <f ca="1">IFERROR(__xludf.DUMMYFUNCTION("""COMPUTED_VALUE"""),"IR1DIAN Park")</f>
        <v>IR1DIAN Park</v>
      </c>
      <c r="C3964" s="2" t="str">
        <f ca="1">IFERROR(__xludf.DUMMYFUNCTION("""COMPUTED_VALUE"""),"Building")</f>
        <v>Building</v>
      </c>
      <c r="D3964" s="2" t="str">
        <f ca="1">IFERROR(__xludf.DUMMYFUNCTION("""COMPUTED_VALUE"""),"Dubai&gt;Jumeirah Village Circle (JVC)&gt;JVC District 13&gt;IR1DIAN Park")</f>
        <v>Dubai&gt;Jumeirah Village Circle (JVC)&gt;JVC District 13&gt;IR1DIAN Park</v>
      </c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</row>
    <row r="3965" spans="1:26" ht="16.5" x14ac:dyDescent="0.35">
      <c r="A3965" s="2" t="str">
        <f ca="1">IFERROR(__xludf.DUMMYFUNCTION("""COMPUTED_VALUE"""),"Dubai")</f>
        <v>Dubai</v>
      </c>
      <c r="B3965" s="2" t="str">
        <f ca="1">IFERROR(__xludf.DUMMYFUNCTION("""COMPUTED_VALUE"""),"Lume Residences")</f>
        <v>Lume Residences</v>
      </c>
      <c r="C3965" s="2" t="str">
        <f ca="1">IFERROR(__xludf.DUMMYFUNCTION("""COMPUTED_VALUE"""),"Building")</f>
        <v>Building</v>
      </c>
      <c r="D3965" s="2" t="str">
        <f ca="1">IFERROR(__xludf.DUMMYFUNCTION("""COMPUTED_VALUE"""),"Dubai&gt;Jumeirah Village Circle (JVC)&gt;JVC District 18&gt;Lume Residences")</f>
        <v>Dubai&gt;Jumeirah Village Circle (JVC)&gt;JVC District 18&gt;Lume Residences</v>
      </c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</row>
    <row r="3966" spans="1:26" ht="16.5" x14ac:dyDescent="0.35">
      <c r="A3966" s="2" t="str">
        <f ca="1">IFERROR(__xludf.DUMMYFUNCTION("""COMPUTED_VALUE"""),"Dubai")</f>
        <v>Dubai</v>
      </c>
      <c r="B3966" s="2" t="str">
        <f ca="1">IFERROR(__xludf.DUMMYFUNCTION("""COMPUTED_VALUE"""),"Saleh Bin Lahej JVC Block B")</f>
        <v>Saleh Bin Lahej JVC Block B</v>
      </c>
      <c r="C3966" s="2" t="str">
        <f ca="1">IFERROR(__xludf.DUMMYFUNCTION("""COMPUTED_VALUE"""),"Building")</f>
        <v>Building</v>
      </c>
      <c r="D3966" s="2" t="str">
        <f ca="1">IFERROR(__xludf.DUMMYFUNCTION("""COMPUTED_VALUE"""),"Dubai&gt;Jumeirah Village Circle (JVC)&gt;JVC District 10&gt;Saleh Bin Lahej JVC&gt;Saleh Bin Lahej JVC Block B")</f>
        <v>Dubai&gt;Jumeirah Village Circle (JVC)&gt;JVC District 10&gt;Saleh Bin Lahej JVC&gt;Saleh Bin Lahej JVC Block B</v>
      </c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</row>
    <row r="3967" spans="1:26" ht="16.5" x14ac:dyDescent="0.35">
      <c r="A3967" s="2" t="str">
        <f ca="1">IFERROR(__xludf.DUMMYFUNCTION("""COMPUTED_VALUE"""),"Dubai")</f>
        <v>Dubai</v>
      </c>
      <c r="B3967" s="2" t="str">
        <f ca="1">IFERROR(__xludf.DUMMYFUNCTION("""COMPUTED_VALUE"""),"Le Grand Chateau")</f>
        <v>Le Grand Chateau</v>
      </c>
      <c r="C3967" s="2" t="str">
        <f ca="1">IFERROR(__xludf.DUMMYFUNCTION("""COMPUTED_VALUE"""),"Cluster")</f>
        <v>Cluster</v>
      </c>
      <c r="D3967" s="2" t="str">
        <f ca="1">IFERROR(__xludf.DUMMYFUNCTION("""COMPUTED_VALUE"""),"Dubai&gt;Jumeirah Village Circle (JVC)&gt;JVC District 10&gt;Le Grand Chateau")</f>
        <v>Dubai&gt;Jumeirah Village Circle (JVC)&gt;JVC District 10&gt;Le Grand Chateau</v>
      </c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</row>
    <row r="3968" spans="1:26" ht="16.5" x14ac:dyDescent="0.35">
      <c r="A3968" s="2" t="str">
        <f ca="1">IFERROR(__xludf.DUMMYFUNCTION("""COMPUTED_VALUE"""),"Dubai")</f>
        <v>Dubai</v>
      </c>
      <c r="B3968" s="2" t="str">
        <f ca="1">IFERROR(__xludf.DUMMYFUNCTION("""COMPUTED_VALUE"""),"Marwa Homes 4")</f>
        <v>Marwa Homes 4</v>
      </c>
      <c r="C3968" s="2" t="str">
        <f ca="1">IFERROR(__xludf.DUMMYFUNCTION("""COMPUTED_VALUE"""),"Neighbourhood")</f>
        <v>Neighbourhood</v>
      </c>
      <c r="D3968" s="2" t="str">
        <f ca="1">IFERROR(__xludf.DUMMYFUNCTION("""COMPUTED_VALUE"""),"Dubai&gt;Jumeirah Village Circle (JVC)&gt;JVC District 10&gt;Marwa Homes 4")</f>
        <v>Dubai&gt;Jumeirah Village Circle (JVC)&gt;JVC District 10&gt;Marwa Homes 4</v>
      </c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</row>
    <row r="3969" spans="1:26" ht="16.5" x14ac:dyDescent="0.35">
      <c r="A3969" s="2" t="str">
        <f ca="1">IFERROR(__xludf.DUMMYFUNCTION("""COMPUTED_VALUE"""),"Dubai")</f>
        <v>Dubai</v>
      </c>
      <c r="B3969" s="2" t="str">
        <f ca="1">IFERROR(__xludf.DUMMYFUNCTION("""COMPUTED_VALUE"""),"368 Park Lane")</f>
        <v>368 Park Lane</v>
      </c>
      <c r="C3969" s="2" t="str">
        <f ca="1">IFERROR(__xludf.DUMMYFUNCTION("""COMPUTED_VALUE"""),"Building")</f>
        <v>Building</v>
      </c>
      <c r="D3969" s="2" t="str">
        <f ca="1">IFERROR(__xludf.DUMMYFUNCTION("""COMPUTED_VALUE"""),"Dubai&gt;Jumeirah Village Circle (JVC)&gt;JVC District 10&gt;368 Park Lane")</f>
        <v>Dubai&gt;Jumeirah Village Circle (JVC)&gt;JVC District 10&gt;368 Park Lane</v>
      </c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</row>
    <row r="3970" spans="1:26" ht="16.5" x14ac:dyDescent="0.35">
      <c r="A3970" s="2" t="str">
        <f ca="1">IFERROR(__xludf.DUMMYFUNCTION("""COMPUTED_VALUE"""),"Dubai")</f>
        <v>Dubai</v>
      </c>
      <c r="B3970" s="2" t="str">
        <f ca="1">IFERROR(__xludf.DUMMYFUNCTION("""COMPUTED_VALUE"""),"Mulberry Park")</f>
        <v>Mulberry Park</v>
      </c>
      <c r="C3970" s="2" t="str">
        <f ca="1">IFERROR(__xludf.DUMMYFUNCTION("""COMPUTED_VALUE"""),"Neighbourhood")</f>
        <v>Neighbourhood</v>
      </c>
      <c r="D3970" s="2" t="str">
        <f ca="1">IFERROR(__xludf.DUMMYFUNCTION("""COMPUTED_VALUE"""),"Dubai&gt;Jumeirah Village Circle (JVC)&gt;JVC District 15&gt;Mulberry Park")</f>
        <v>Dubai&gt;Jumeirah Village Circle (JVC)&gt;JVC District 15&gt;Mulberry Park</v>
      </c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</row>
    <row r="3971" spans="1:26" ht="16.5" x14ac:dyDescent="0.35">
      <c r="A3971" s="2" t="str">
        <f ca="1">IFERROR(__xludf.DUMMYFUNCTION("""COMPUTED_VALUE"""),"Dubai")</f>
        <v>Dubai</v>
      </c>
      <c r="B3971" s="2" t="str">
        <f ca="1">IFERROR(__xludf.DUMMYFUNCTION("""COMPUTED_VALUE"""),"Indigo Ville 8")</f>
        <v>Indigo Ville 8</v>
      </c>
      <c r="C3971" s="2" t="str">
        <f ca="1">IFERROR(__xludf.DUMMYFUNCTION("""COMPUTED_VALUE"""),"Neighbourhood")</f>
        <v>Neighbourhood</v>
      </c>
      <c r="D3971" s="2" t="str">
        <f ca="1">IFERROR(__xludf.DUMMYFUNCTION("""COMPUTED_VALUE"""),"Dubai&gt;Jumeirah Village Circle (JVC)&gt;JVC District 15&gt;Indigo Ville 8")</f>
        <v>Dubai&gt;Jumeirah Village Circle (JVC)&gt;JVC District 15&gt;Indigo Ville 8</v>
      </c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</row>
    <row r="3972" spans="1:26" ht="16.5" x14ac:dyDescent="0.35">
      <c r="A3972" s="2" t="str">
        <f ca="1">IFERROR(__xludf.DUMMYFUNCTION("""COMPUTED_VALUE"""),"Dubai")</f>
        <v>Dubai</v>
      </c>
      <c r="B3972" s="2" t="str">
        <f ca="1">IFERROR(__xludf.DUMMYFUNCTION("""COMPUTED_VALUE"""),"Ayla Residence")</f>
        <v>Ayla Residence</v>
      </c>
      <c r="C3972" s="2" t="str">
        <f ca="1">IFERROR(__xludf.DUMMYFUNCTION("""COMPUTED_VALUE"""),"Building")</f>
        <v>Building</v>
      </c>
      <c r="D3972" s="2" t="str">
        <f ca="1">IFERROR(__xludf.DUMMYFUNCTION("""COMPUTED_VALUE"""),"Dubai&gt;Jumeirah Village Circle (JVC)&gt;JVC District 15&gt;Ayla Residence")</f>
        <v>Dubai&gt;Jumeirah Village Circle (JVC)&gt;JVC District 15&gt;Ayla Residence</v>
      </c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</row>
    <row r="3973" spans="1:26" ht="16.5" x14ac:dyDescent="0.35">
      <c r="A3973" s="2" t="str">
        <f ca="1">IFERROR(__xludf.DUMMYFUNCTION("""COMPUTED_VALUE"""),"Dubai")</f>
        <v>Dubai</v>
      </c>
      <c r="B3973" s="2" t="str">
        <f ca="1">IFERROR(__xludf.DUMMYFUNCTION("""COMPUTED_VALUE"""),"Pulse Smart Residence")</f>
        <v>Pulse Smart Residence</v>
      </c>
      <c r="C3973" s="2" t="str">
        <f ca="1">IFERROR(__xludf.DUMMYFUNCTION("""COMPUTED_VALUE"""),"Building")</f>
        <v>Building</v>
      </c>
      <c r="D3973" s="2" t="str">
        <f ca="1">IFERROR(__xludf.DUMMYFUNCTION("""COMPUTED_VALUE"""),"Dubai&gt;Jumeirah Village Circle (JVC)&gt;JVC District 11&gt;Pulse Smart Residence")</f>
        <v>Dubai&gt;Jumeirah Village Circle (JVC)&gt;JVC District 11&gt;Pulse Smart Residence</v>
      </c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</row>
    <row r="3974" spans="1:26" ht="16.5" x14ac:dyDescent="0.35">
      <c r="A3974" s="2" t="str">
        <f ca="1">IFERROR(__xludf.DUMMYFUNCTION("""COMPUTED_VALUE"""),"Dubai")</f>
        <v>Dubai</v>
      </c>
      <c r="B3974" s="2" t="str">
        <f ca="1">IFERROR(__xludf.DUMMYFUNCTION("""COMPUTED_VALUE"""),"Vermont Tower")</f>
        <v>Vermont Tower</v>
      </c>
      <c r="C3974" s="2" t="str">
        <f ca="1">IFERROR(__xludf.DUMMYFUNCTION("""COMPUTED_VALUE"""),"Building")</f>
        <v>Building</v>
      </c>
      <c r="D3974" s="2" t="str">
        <f ca="1">IFERROR(__xludf.DUMMYFUNCTION("""COMPUTED_VALUE"""),"Dubai&gt;Jumeirah Village Circle (JVC)&gt;JVC District 11&gt;Vermont Tower")</f>
        <v>Dubai&gt;Jumeirah Village Circle (JVC)&gt;JVC District 11&gt;Vermont Tower</v>
      </c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</row>
    <row r="3975" spans="1:26" ht="16.5" x14ac:dyDescent="0.35">
      <c r="A3975" s="2" t="str">
        <f ca="1">IFERROR(__xludf.DUMMYFUNCTION("""COMPUTED_VALUE"""),"Dubai")</f>
        <v>Dubai</v>
      </c>
      <c r="B3975" s="2" t="str">
        <f ca="1">IFERROR(__xludf.DUMMYFUNCTION("""COMPUTED_VALUE"""),"Diamond Views 3 Villas B")</f>
        <v>Diamond Views 3 Villas B</v>
      </c>
      <c r="C3975" s="2" t="str">
        <f ca="1">IFERROR(__xludf.DUMMYFUNCTION("""COMPUTED_VALUE"""),"Neighbourhood")</f>
        <v>Neighbourhood</v>
      </c>
      <c r="D3975" s="2" t="str">
        <f ca="1">IFERROR(__xludf.DUMMYFUNCTION("""COMPUTED_VALUE"""),"Dubai&gt;Jumeirah Village Circle (JVC)&gt;JVC District 11&gt;Diamond Views 3 Villas B")</f>
        <v>Dubai&gt;Jumeirah Village Circle (JVC)&gt;JVC District 11&gt;Diamond Views 3 Villas B</v>
      </c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</row>
    <row r="3976" spans="1:26" ht="16.5" x14ac:dyDescent="0.35">
      <c r="A3976" s="2" t="str">
        <f ca="1">IFERROR(__xludf.DUMMYFUNCTION("""COMPUTED_VALUE"""),"Dubai")</f>
        <v>Dubai</v>
      </c>
      <c r="B3976" s="2" t="str">
        <f ca="1">IFERROR(__xludf.DUMMYFUNCTION("""COMPUTED_VALUE"""),"Mulberry 1")</f>
        <v>Mulberry 1</v>
      </c>
      <c r="C3976" s="2" t="str">
        <f ca="1">IFERROR(__xludf.DUMMYFUNCTION("""COMPUTED_VALUE"""),"Building")</f>
        <v>Building</v>
      </c>
      <c r="D3976" s="2" t="str">
        <f ca="1">IFERROR(__xludf.DUMMYFUNCTION("""COMPUTED_VALUE"""),"Dubai&gt;Jumeirah Village Circle (JVC)&gt;JVC District 14&gt;Emirates Gardens 2&gt;Mulberry 1")</f>
        <v>Dubai&gt;Jumeirah Village Circle (JVC)&gt;JVC District 14&gt;Emirates Gardens 2&gt;Mulberry 1</v>
      </c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</row>
    <row r="3977" spans="1:26" ht="16.5" x14ac:dyDescent="0.35">
      <c r="A3977" s="2" t="str">
        <f ca="1">IFERROR(__xludf.DUMMYFUNCTION("""COMPUTED_VALUE"""),"Dubai")</f>
        <v>Dubai</v>
      </c>
      <c r="B3977" s="2" t="str">
        <f ca="1">IFERROR(__xludf.DUMMYFUNCTION("""COMPUTED_VALUE"""),"Blue Ice")</f>
        <v>Blue Ice</v>
      </c>
      <c r="C3977" s="2" t="str">
        <f ca="1">IFERROR(__xludf.DUMMYFUNCTION("""COMPUTED_VALUE"""),"Building")</f>
        <v>Building</v>
      </c>
      <c r="D3977" s="2" t="str">
        <f ca="1">IFERROR(__xludf.DUMMYFUNCTION("""COMPUTED_VALUE"""),"Dubai&gt;Jumeirah Village Circle (JVC)&gt;JVC District 14&gt;Blue Ice")</f>
        <v>Dubai&gt;Jumeirah Village Circle (JVC)&gt;JVC District 14&gt;Blue Ice</v>
      </c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</row>
    <row r="3978" spans="1:26" ht="16.5" x14ac:dyDescent="0.35">
      <c r="A3978" s="2" t="str">
        <f ca="1">IFERROR(__xludf.DUMMYFUNCTION("""COMPUTED_VALUE"""),"Dubai")</f>
        <v>Dubai</v>
      </c>
      <c r="B3978" s="2" t="str">
        <f ca="1">IFERROR(__xludf.DUMMYFUNCTION("""COMPUTED_VALUE"""),"Celeste by Westar")</f>
        <v>Celeste by Westar</v>
      </c>
      <c r="C3978" s="2" t="str">
        <f ca="1">IFERROR(__xludf.DUMMYFUNCTION("""COMPUTED_VALUE"""),"Neighbourhood")</f>
        <v>Neighbourhood</v>
      </c>
      <c r="D3978" s="2" t="str">
        <f ca="1">IFERROR(__xludf.DUMMYFUNCTION("""COMPUTED_VALUE"""),"Dubai&gt;Jumeirah Village Circle (JVC)&gt;JVC District 14&gt;Celeste by Westar")</f>
        <v>Dubai&gt;Jumeirah Village Circle (JVC)&gt;JVC District 14&gt;Celeste by Westar</v>
      </c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</row>
    <row r="3979" spans="1:26" ht="16.5" x14ac:dyDescent="0.35">
      <c r="A3979" s="2" t="str">
        <f ca="1">IFERROR(__xludf.DUMMYFUNCTION("""COMPUTED_VALUE"""),"Dubai")</f>
        <v>Dubai</v>
      </c>
      <c r="B3979" s="2" t="str">
        <f ca="1">IFERROR(__xludf.DUMMYFUNCTION("""COMPUTED_VALUE"""),"Galah Residence")</f>
        <v>Galah Residence</v>
      </c>
      <c r="C3979" s="2" t="str">
        <f ca="1">IFERROR(__xludf.DUMMYFUNCTION("""COMPUTED_VALUE"""),"Building")</f>
        <v>Building</v>
      </c>
      <c r="D3979" s="2" t="str">
        <f ca="1">IFERROR(__xludf.DUMMYFUNCTION("""COMPUTED_VALUE"""),"Dubai&gt;Dubai Land Residence Complex&gt;Galah Residence")</f>
        <v>Dubai&gt;Dubai Land Residence Complex&gt;Galah Residence</v>
      </c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</row>
    <row r="3980" spans="1:26" ht="16.5" x14ac:dyDescent="0.35">
      <c r="A3980" s="2" t="str">
        <f ca="1">IFERROR(__xludf.DUMMYFUNCTION("""COMPUTED_VALUE"""),"Dubai")</f>
        <v>Dubai</v>
      </c>
      <c r="B3980" s="2" t="str">
        <f ca="1">IFERROR(__xludf.DUMMYFUNCTION("""COMPUTED_VALUE"""),"Luna Residence")</f>
        <v>Luna Residence</v>
      </c>
      <c r="C3980" s="2" t="str">
        <f ca="1">IFERROR(__xludf.DUMMYFUNCTION("""COMPUTED_VALUE"""),"Building")</f>
        <v>Building</v>
      </c>
      <c r="D3980" s="2" t="str">
        <f ca="1">IFERROR(__xludf.DUMMYFUNCTION("""COMPUTED_VALUE"""),"Dubai&gt;Dubai Land Residence Complex&gt;Luna Residence")</f>
        <v>Dubai&gt;Dubai Land Residence Complex&gt;Luna Residence</v>
      </c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</row>
    <row r="3981" spans="1:26" ht="16.5" x14ac:dyDescent="0.35">
      <c r="A3981" s="2" t="str">
        <f ca="1">IFERROR(__xludf.DUMMYFUNCTION("""COMPUTED_VALUE"""),"Dubai")</f>
        <v>Dubai</v>
      </c>
      <c r="B3981" s="2" t="str">
        <f ca="1">IFERROR(__xludf.DUMMYFUNCTION("""COMPUTED_VALUE"""),"Bliss Homes")</f>
        <v>Bliss Homes</v>
      </c>
      <c r="C3981" s="2" t="str">
        <f ca="1">IFERROR(__xludf.DUMMYFUNCTION("""COMPUTED_VALUE"""),"Building")</f>
        <v>Building</v>
      </c>
      <c r="D3981" s="2" t="str">
        <f ca="1">IFERROR(__xludf.DUMMYFUNCTION("""COMPUTED_VALUE"""),"Dubai&gt;Dubai Land Residence Complex&gt;Bliss Homes")</f>
        <v>Dubai&gt;Dubai Land Residence Complex&gt;Bliss Homes</v>
      </c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</row>
    <row r="3982" spans="1:26" ht="16.5" x14ac:dyDescent="0.35">
      <c r="A3982" s="2" t="str">
        <f ca="1">IFERROR(__xludf.DUMMYFUNCTION("""COMPUTED_VALUE"""),"Dubai")</f>
        <v>Dubai</v>
      </c>
      <c r="B3982" s="2" t="str">
        <f ca="1">IFERROR(__xludf.DUMMYFUNCTION("""COMPUTED_VALUE"""),"Dalmore Tower")</f>
        <v>Dalmore Tower</v>
      </c>
      <c r="C3982" s="2" t="str">
        <f ca="1">IFERROR(__xludf.DUMMYFUNCTION("""COMPUTED_VALUE"""),"Building")</f>
        <v>Building</v>
      </c>
      <c r="D3982" s="2" t="str">
        <f ca="1">IFERROR(__xludf.DUMMYFUNCTION("""COMPUTED_VALUE"""),"Dubai&gt;Dubai Land Residence Complex&gt;Dalmore Tower")</f>
        <v>Dubai&gt;Dubai Land Residence Complex&gt;Dalmore Tower</v>
      </c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</row>
    <row r="3983" spans="1:26" ht="16.5" x14ac:dyDescent="0.35">
      <c r="A3983" s="2" t="str">
        <f ca="1">IFERROR(__xludf.DUMMYFUNCTION("""COMPUTED_VALUE"""),"Dubai")</f>
        <v>Dubai</v>
      </c>
      <c r="B3983" s="2" t="str">
        <f ca="1">IFERROR(__xludf.DUMMYFUNCTION("""COMPUTED_VALUE"""),"Saray Prime Residence")</f>
        <v>Saray Prime Residence</v>
      </c>
      <c r="C3983" s="2" t="str">
        <f ca="1">IFERROR(__xludf.DUMMYFUNCTION("""COMPUTED_VALUE"""),"Building")</f>
        <v>Building</v>
      </c>
      <c r="D3983" s="2" t="str">
        <f ca="1">IFERROR(__xludf.DUMMYFUNCTION("""COMPUTED_VALUE"""),"Dubai&gt;Dubai Land Residence Complex&gt;Saray Prime Residence")</f>
        <v>Dubai&gt;Dubai Land Residence Complex&gt;Saray Prime Residence</v>
      </c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</row>
    <row r="3984" spans="1:26" ht="16.5" x14ac:dyDescent="0.35">
      <c r="A3984" s="2" t="str">
        <f ca="1">IFERROR(__xludf.DUMMYFUNCTION("""COMPUTED_VALUE"""),"Dubai")</f>
        <v>Dubai</v>
      </c>
      <c r="B3984" s="2" t="str">
        <f ca="1">IFERROR(__xludf.DUMMYFUNCTION("""COMPUTED_VALUE"""),"Al Badi Complex")</f>
        <v>Al Badi Complex</v>
      </c>
      <c r="C3984" s="2" t="str">
        <f ca="1">IFERROR(__xludf.DUMMYFUNCTION("""COMPUTED_VALUE"""),"Neighbourhood")</f>
        <v>Neighbourhood</v>
      </c>
      <c r="D3984" s="2" t="str">
        <f ca="1">IFERROR(__xludf.DUMMYFUNCTION("""COMPUTED_VALUE"""),"Dubai&gt;Mirdif&gt;Al Badi Complex")</f>
        <v>Dubai&gt;Mirdif&gt;Al Badi Complex</v>
      </c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</row>
    <row r="3985" spans="1:26" ht="16.5" x14ac:dyDescent="0.35">
      <c r="A3985" s="2" t="str">
        <f ca="1">IFERROR(__xludf.DUMMYFUNCTION("""COMPUTED_VALUE"""),"Dubai")</f>
        <v>Dubai</v>
      </c>
      <c r="B3985" s="2" t="str">
        <f ca="1">IFERROR(__xludf.DUMMYFUNCTION("""COMPUTED_VALUE"""),"Park Centre")</f>
        <v>Park Centre</v>
      </c>
      <c r="C3985" s="2" t="str">
        <f ca="1">IFERROR(__xludf.DUMMYFUNCTION("""COMPUTED_VALUE"""),"Building")</f>
        <v>Building</v>
      </c>
      <c r="D3985" s="2" t="str">
        <f ca="1">IFERROR(__xludf.DUMMYFUNCTION("""COMPUTED_VALUE"""),"Dubai&gt;Mirdif&gt;Park Centre")</f>
        <v>Dubai&gt;Mirdif&gt;Park Centre</v>
      </c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</row>
    <row r="3986" spans="1:26" ht="16.5" x14ac:dyDescent="0.35">
      <c r="A3986" s="2" t="str">
        <f ca="1">IFERROR(__xludf.DUMMYFUNCTION("""COMPUTED_VALUE"""),"Dubai")</f>
        <v>Dubai</v>
      </c>
      <c r="B3986" s="2" t="str">
        <f ca="1">IFERROR(__xludf.DUMMYFUNCTION("""COMPUTED_VALUE"""),"Hattan")</f>
        <v>Hattan</v>
      </c>
      <c r="C3986" s="2" t="str">
        <f ca="1">IFERROR(__xludf.DUMMYFUNCTION("""COMPUTED_VALUE"""),"Neighbourhood")</f>
        <v>Neighbourhood</v>
      </c>
      <c r="D3986" s="2" t="str">
        <f ca="1">IFERROR(__xludf.DUMMYFUNCTION("""COMPUTED_VALUE"""),"Dubai&gt;The Lakes&gt;Hattan")</f>
        <v>Dubai&gt;The Lakes&gt;Hattan</v>
      </c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</row>
    <row r="3987" spans="1:26" ht="16.5" x14ac:dyDescent="0.35">
      <c r="A3987" s="2" t="str">
        <f ca="1">IFERROR(__xludf.DUMMYFUNCTION("""COMPUTED_VALUE"""),"Dubai")</f>
        <v>Dubai</v>
      </c>
      <c r="B3987" s="2" t="str">
        <f ca="1">IFERROR(__xludf.DUMMYFUNCTION("""COMPUTED_VALUE"""),"Grand Mercure Dubai City")</f>
        <v>Grand Mercure Dubai City</v>
      </c>
      <c r="C3987" s="2" t="str">
        <f ca="1">IFERROR(__xludf.DUMMYFUNCTION("""COMPUTED_VALUE"""),"Building")</f>
        <v>Building</v>
      </c>
      <c r="D3987" s="2" t="str">
        <f ca="1">IFERROR(__xludf.DUMMYFUNCTION("""COMPUTED_VALUE"""),"Dubai&gt;Al Garhoud&gt;Grand Mercure Dubai City")</f>
        <v>Dubai&gt;Al Garhoud&gt;Grand Mercure Dubai City</v>
      </c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</row>
    <row r="3988" spans="1:26" ht="16.5" x14ac:dyDescent="0.35">
      <c r="A3988" s="2" t="str">
        <f ca="1">IFERROR(__xludf.DUMMYFUNCTION("""COMPUTED_VALUE"""),"Dubai")</f>
        <v>Dubai</v>
      </c>
      <c r="B3988" s="2" t="str">
        <f ca="1">IFERROR(__xludf.DUMMYFUNCTION("""COMPUTED_VALUE"""),"Al Garhoud Centre")</f>
        <v>Al Garhoud Centre</v>
      </c>
      <c r="C3988" s="2" t="str">
        <f ca="1">IFERROR(__xludf.DUMMYFUNCTION("""COMPUTED_VALUE"""),"Building")</f>
        <v>Building</v>
      </c>
      <c r="D3988" s="2" t="str">
        <f ca="1">IFERROR(__xludf.DUMMYFUNCTION("""COMPUTED_VALUE"""),"Dubai&gt;Al Garhoud&gt;Al Garhoud Centre")</f>
        <v>Dubai&gt;Al Garhoud&gt;Al Garhoud Centre</v>
      </c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</row>
    <row r="3989" spans="1:26" ht="16.5" x14ac:dyDescent="0.35">
      <c r="A3989" s="2" t="str">
        <f ca="1">IFERROR(__xludf.DUMMYFUNCTION("""COMPUTED_VALUE"""),"Dubai")</f>
        <v>Dubai</v>
      </c>
      <c r="B3989" s="2" t="str">
        <f ca="1">IFERROR(__xludf.DUMMYFUNCTION("""COMPUTED_VALUE"""),"Cluster 5")</f>
        <v>Cluster 5</v>
      </c>
      <c r="C3989" s="2" t="str">
        <f ca="1">IFERROR(__xludf.DUMMYFUNCTION("""COMPUTED_VALUE"""),"Neighbourhood")</f>
        <v>Neighbourhood</v>
      </c>
      <c r="D3989" s="2" t="str">
        <f ca="1">IFERROR(__xludf.DUMMYFUNCTION("""COMPUTED_VALUE"""),"Dubai&gt;Jumeirah Islands&gt;Cluster 5")</f>
        <v>Dubai&gt;Jumeirah Islands&gt;Cluster 5</v>
      </c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</row>
    <row r="3990" spans="1:26" ht="16.5" x14ac:dyDescent="0.35">
      <c r="A3990" s="2" t="str">
        <f ca="1">IFERROR(__xludf.DUMMYFUNCTION("""COMPUTED_VALUE"""),"Dubai")</f>
        <v>Dubai</v>
      </c>
      <c r="B3990" s="2" t="str">
        <f ca="1">IFERROR(__xludf.DUMMYFUNCTION("""COMPUTED_VALUE"""),"Cluster 37")</f>
        <v>Cluster 37</v>
      </c>
      <c r="C3990" s="2" t="str">
        <f ca="1">IFERROR(__xludf.DUMMYFUNCTION("""COMPUTED_VALUE"""),"Neighbourhood")</f>
        <v>Neighbourhood</v>
      </c>
      <c r="D3990" s="2" t="str">
        <f ca="1">IFERROR(__xludf.DUMMYFUNCTION("""COMPUTED_VALUE"""),"Dubai&gt;Jumeirah Islands&gt;Cluster 37")</f>
        <v>Dubai&gt;Jumeirah Islands&gt;Cluster 37</v>
      </c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</row>
    <row r="3991" spans="1:26" ht="16.5" x14ac:dyDescent="0.35">
      <c r="A3991" s="2" t="str">
        <f ca="1">IFERROR(__xludf.DUMMYFUNCTION("""COMPUTED_VALUE"""),"Dubai")</f>
        <v>Dubai</v>
      </c>
      <c r="B3991" s="2" t="str">
        <f ca="1">IFERROR(__xludf.DUMMYFUNCTION("""COMPUTED_VALUE"""),"Garden West Apartments H")</f>
        <v>Garden West Apartments H</v>
      </c>
      <c r="C3991" s="2" t="str">
        <f ca="1">IFERROR(__xludf.DUMMYFUNCTION("""COMPUTED_VALUE"""),"Building")</f>
        <v>Building</v>
      </c>
      <c r="D3991" s="2" t="str">
        <f ca="1">IFERROR(__xludf.DUMMYFUNCTION("""COMPUTED_VALUE"""),"Dubai&gt;Green Community&gt;Garden West Apartments&gt;Garden West Apartments H")</f>
        <v>Dubai&gt;Green Community&gt;Garden West Apartments&gt;Garden West Apartments H</v>
      </c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</row>
    <row r="3992" spans="1:26" ht="16.5" x14ac:dyDescent="0.35">
      <c r="A3992" s="2" t="str">
        <f ca="1">IFERROR(__xludf.DUMMYFUNCTION("""COMPUTED_VALUE"""),"Dubai")</f>
        <v>Dubai</v>
      </c>
      <c r="B3992" s="2" t="str">
        <f ca="1">IFERROR(__xludf.DUMMYFUNCTION("""COMPUTED_VALUE"""),"Terrace Apartments G")</f>
        <v>Terrace Apartments G</v>
      </c>
      <c r="C3992" s="2" t="str">
        <f ca="1">IFERROR(__xludf.DUMMYFUNCTION("""COMPUTED_VALUE"""),"Building")</f>
        <v>Building</v>
      </c>
      <c r="D3992" s="2" t="str">
        <f ca="1">IFERROR(__xludf.DUMMYFUNCTION("""COMPUTED_VALUE"""),"Dubai&gt;Green Community&gt;Green Community East&gt;Terrace Apartments&gt;Terrace Apartments G")</f>
        <v>Dubai&gt;Green Community&gt;Green Community East&gt;Terrace Apartments&gt;Terrace Apartments G</v>
      </c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</row>
    <row r="3993" spans="1:26" ht="16.5" x14ac:dyDescent="0.35">
      <c r="A3993" s="2" t="str">
        <f ca="1">IFERROR(__xludf.DUMMYFUNCTION("""COMPUTED_VALUE"""),"Dubai")</f>
        <v>Dubai</v>
      </c>
      <c r="B3993" s="2" t="str">
        <f ca="1">IFERROR(__xludf.DUMMYFUNCTION("""COMPUTED_VALUE"""),"Royal Residence 2")</f>
        <v>Royal Residence 2</v>
      </c>
      <c r="C3993" s="2" t="str">
        <f ca="1">IFERROR(__xludf.DUMMYFUNCTION("""COMPUTED_VALUE"""),"Building")</f>
        <v>Building</v>
      </c>
      <c r="D3993" s="2" t="str">
        <f ca="1">IFERROR(__xludf.DUMMYFUNCTION("""COMPUTED_VALUE"""),"Dubai&gt;Dubai Sports City&gt;Royal Residence&gt;Royal Residence 2")</f>
        <v>Dubai&gt;Dubai Sports City&gt;Royal Residence&gt;Royal Residence 2</v>
      </c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</row>
    <row r="3994" spans="1:26" ht="16.5" x14ac:dyDescent="0.35">
      <c r="A3994" s="2" t="str">
        <f ca="1">IFERROR(__xludf.DUMMYFUNCTION("""COMPUTED_VALUE"""),"Dubai")</f>
        <v>Dubai</v>
      </c>
      <c r="B3994" s="2" t="str">
        <f ca="1">IFERROR(__xludf.DUMMYFUNCTION("""COMPUTED_VALUE"""),"Wimbledon Tower")</f>
        <v>Wimbledon Tower</v>
      </c>
      <c r="C3994" s="2" t="str">
        <f ca="1">IFERROR(__xludf.DUMMYFUNCTION("""COMPUTED_VALUE"""),"Building")</f>
        <v>Building</v>
      </c>
      <c r="D3994" s="2" t="str">
        <f ca="1">IFERROR(__xludf.DUMMYFUNCTION("""COMPUTED_VALUE"""),"Dubai&gt;Dubai Sports City&gt;Wimbledon Tower")</f>
        <v>Dubai&gt;Dubai Sports City&gt;Wimbledon Tower</v>
      </c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</row>
    <row r="3995" spans="1:26" ht="16.5" x14ac:dyDescent="0.35">
      <c r="A3995" s="2" t="str">
        <f ca="1">IFERROR(__xludf.DUMMYFUNCTION("""COMPUTED_VALUE"""),"Dubai")</f>
        <v>Dubai</v>
      </c>
      <c r="B3995" s="2" t="str">
        <f ca="1">IFERROR(__xludf.DUMMYFUNCTION("""COMPUTED_VALUE"""),"Tennis Tower")</f>
        <v>Tennis Tower</v>
      </c>
      <c r="C3995" s="2" t="str">
        <f ca="1">IFERROR(__xludf.DUMMYFUNCTION("""COMPUTED_VALUE"""),"Building")</f>
        <v>Building</v>
      </c>
      <c r="D3995" s="2" t="str">
        <f ca="1">IFERROR(__xludf.DUMMYFUNCTION("""COMPUTED_VALUE"""),"Dubai&gt;Dubai Sports City&gt;Tennis Tower")</f>
        <v>Dubai&gt;Dubai Sports City&gt;Tennis Tower</v>
      </c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</row>
    <row r="3996" spans="1:26" ht="16.5" x14ac:dyDescent="0.35">
      <c r="A3996" s="2" t="str">
        <f ca="1">IFERROR(__xludf.DUMMYFUNCTION("""COMPUTED_VALUE"""),"Dubai")</f>
        <v>Dubai</v>
      </c>
      <c r="B3996" s="2" t="str">
        <f ca="1">IFERROR(__xludf.DUMMYFUNCTION("""COMPUTED_VALUE"""),"Intima Villas")</f>
        <v>Intima Villas</v>
      </c>
      <c r="C3996" s="2" t="str">
        <f ca="1">IFERROR(__xludf.DUMMYFUNCTION("""COMPUTED_VALUE"""),"Neighbourhood")</f>
        <v>Neighbourhood</v>
      </c>
      <c r="D3996" s="2" t="str">
        <f ca="1">IFERROR(__xludf.DUMMYFUNCTION("""COMPUTED_VALUE"""),"Dubai&gt;Dubai Sports City&gt;Intima Villas")</f>
        <v>Dubai&gt;Dubai Sports City&gt;Intima Villas</v>
      </c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</row>
    <row r="3997" spans="1:26" ht="16.5" x14ac:dyDescent="0.35">
      <c r="A3997" s="2" t="str">
        <f ca="1">IFERROR(__xludf.DUMMYFUNCTION("""COMPUTED_VALUE"""),"Dubai")</f>
        <v>Dubai</v>
      </c>
      <c r="B3997" s="2" t="str">
        <f ca="1">IFERROR(__xludf.DUMMYFUNCTION("""COMPUTED_VALUE"""),"Singing Birds Nursery")</f>
        <v>Singing Birds Nursery</v>
      </c>
      <c r="C3997" s="2" t="str">
        <f ca="1">IFERROR(__xludf.DUMMYFUNCTION("""COMPUTED_VALUE"""),"Nursery")</f>
        <v>Nursery</v>
      </c>
      <c r="D3997" s="2" t="str">
        <f ca="1">IFERROR(__xludf.DUMMYFUNCTION("""COMPUTED_VALUE"""),"Dubai&gt;Al Nahda (Dubai)&gt;Al Nahda 1&gt;Singing Birds Nursery")</f>
        <v>Dubai&gt;Al Nahda (Dubai)&gt;Al Nahda 1&gt;Singing Birds Nursery</v>
      </c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</row>
    <row r="3998" spans="1:26" ht="16.5" x14ac:dyDescent="0.35">
      <c r="A3998" s="2" t="str">
        <f ca="1">IFERROR(__xludf.DUMMYFUNCTION("""COMPUTED_VALUE"""),"Dubai")</f>
        <v>Dubai</v>
      </c>
      <c r="B3998" s="2" t="str">
        <f ca="1">IFERROR(__xludf.DUMMYFUNCTION("""COMPUTED_VALUE"""),"Bin Juma 1")</f>
        <v>Bin Juma 1</v>
      </c>
      <c r="C3998" s="2" t="str">
        <f ca="1">IFERROR(__xludf.DUMMYFUNCTION("""COMPUTED_VALUE"""),"Building")</f>
        <v>Building</v>
      </c>
      <c r="D3998" s="2" t="str">
        <f ca="1">IFERROR(__xludf.DUMMYFUNCTION("""COMPUTED_VALUE"""),"Dubai&gt;Al Nahda (Dubai)&gt;Al Nahda 1&gt;Bin Juma&gt;Bin Juma 1")</f>
        <v>Dubai&gt;Al Nahda (Dubai)&gt;Al Nahda 1&gt;Bin Juma&gt;Bin Juma 1</v>
      </c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</row>
    <row r="3999" spans="1:26" ht="16.5" x14ac:dyDescent="0.35">
      <c r="A3999" s="2" t="str">
        <f ca="1">IFERROR(__xludf.DUMMYFUNCTION("""COMPUTED_VALUE"""),"Dubai")</f>
        <v>Dubai</v>
      </c>
      <c r="B3999" s="2" t="str">
        <f ca="1">IFERROR(__xludf.DUMMYFUNCTION("""COMPUTED_VALUE"""),"Al Noor Tower")</f>
        <v>Al Noor Tower</v>
      </c>
      <c r="C3999" s="2" t="str">
        <f ca="1">IFERROR(__xludf.DUMMYFUNCTION("""COMPUTED_VALUE"""),"Building")</f>
        <v>Building</v>
      </c>
      <c r="D3999" s="2" t="str">
        <f ca="1">IFERROR(__xludf.DUMMYFUNCTION("""COMPUTED_VALUE"""),"Dubai&gt;Al Nahda (Dubai)&gt;Al Nahda 2&gt;Al Noor Tower")</f>
        <v>Dubai&gt;Al Nahda (Dubai)&gt;Al Nahda 2&gt;Al Noor Tower</v>
      </c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</row>
    <row r="4000" spans="1:26" ht="16.5" x14ac:dyDescent="0.35">
      <c r="A4000" s="2" t="str">
        <f ca="1">IFERROR(__xludf.DUMMYFUNCTION("""COMPUTED_VALUE"""),"Dubai")</f>
        <v>Dubai</v>
      </c>
      <c r="B4000" s="2" t="str">
        <f ca="1">IFERROR(__xludf.DUMMYFUNCTION("""COMPUTED_VALUE"""),"Dawn Building")</f>
        <v>Dawn Building</v>
      </c>
      <c r="C4000" s="2" t="str">
        <f ca="1">IFERROR(__xludf.DUMMYFUNCTION("""COMPUTED_VALUE"""),"Building")</f>
        <v>Building</v>
      </c>
      <c r="D4000" s="2" t="str">
        <f ca="1">IFERROR(__xludf.DUMMYFUNCTION("""COMPUTED_VALUE"""),"Dubai&gt;Al Nahda (Dubai)&gt;Al Nahda 2&gt;Dawn Building")</f>
        <v>Dubai&gt;Al Nahda (Dubai)&gt;Al Nahda 2&gt;Dawn Building</v>
      </c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</row>
    <row r="4001" spans="1:26" ht="16.5" x14ac:dyDescent="0.35">
      <c r="A4001" s="2" t="str">
        <f ca="1">IFERROR(__xludf.DUMMYFUNCTION("""COMPUTED_VALUE"""),"Dubai")</f>
        <v>Dubai</v>
      </c>
      <c r="B4001" s="2" t="str">
        <f ca="1">IFERROR(__xludf.DUMMYFUNCTION("""COMPUTED_VALUE"""),"Al Thani Building")</f>
        <v>Al Thani Building</v>
      </c>
      <c r="C4001" s="2" t="str">
        <f ca="1">IFERROR(__xludf.DUMMYFUNCTION("""COMPUTED_VALUE"""),"Building")</f>
        <v>Building</v>
      </c>
      <c r="D4001" s="2" t="str">
        <f ca="1">IFERROR(__xludf.DUMMYFUNCTION("""COMPUTED_VALUE"""),"Dubai&gt;Al Nahda (Dubai)&gt;Al Nahda 2&gt;Al Thani Building")</f>
        <v>Dubai&gt;Al Nahda (Dubai)&gt;Al Nahda 2&gt;Al Thani Building</v>
      </c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</row>
    <row r="4002" spans="1:26" ht="16.5" x14ac:dyDescent="0.35">
      <c r="A4002" s="2" t="str">
        <f ca="1">IFERROR(__xludf.DUMMYFUNCTION("""COMPUTED_VALUE"""),"Dubai")</f>
        <v>Dubai</v>
      </c>
      <c r="B4002" s="2" t="str">
        <f ca="1">IFERROR(__xludf.DUMMYFUNCTION("""COMPUTED_VALUE"""),"Jassim Ali Abdul Gafoor Al Arif Building")</f>
        <v>Jassim Ali Abdul Gafoor Al Arif Building</v>
      </c>
      <c r="C4002" s="2" t="str">
        <f ca="1">IFERROR(__xludf.DUMMYFUNCTION("""COMPUTED_VALUE"""),"Building")</f>
        <v>Building</v>
      </c>
      <c r="D4002" s="2" t="str">
        <f ca="1">IFERROR(__xludf.DUMMYFUNCTION("""COMPUTED_VALUE"""),"Dubai&gt;Al Nahda (Dubai)&gt;Al Nahda 2&gt;Jassim Ali Abdul Gafoor Al Arif Building")</f>
        <v>Dubai&gt;Al Nahda (Dubai)&gt;Al Nahda 2&gt;Jassim Ali Abdul Gafoor Al Arif Building</v>
      </c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</row>
    <row r="4003" spans="1:26" ht="16.5" x14ac:dyDescent="0.35">
      <c r="A4003" s="2" t="str">
        <f ca="1">IFERROR(__xludf.DUMMYFUNCTION("""COMPUTED_VALUE"""),"Dubai")</f>
        <v>Dubai</v>
      </c>
      <c r="B4003" s="2" t="str">
        <f ca="1">IFERROR(__xludf.DUMMYFUNCTION("""COMPUTED_VALUE"""),"District 4")</f>
        <v>District 4</v>
      </c>
      <c r="C4003" s="2" t="str">
        <f ca="1">IFERROR(__xludf.DUMMYFUNCTION("""COMPUTED_VALUE"""),"Neighbourhood")</f>
        <v>Neighbourhood</v>
      </c>
      <c r="D4003" s="2" t="str">
        <f ca="1">IFERROR(__xludf.DUMMYFUNCTION("""COMPUTED_VALUE"""),"Dubai&gt;Jumeirah Park&gt;District 4")</f>
        <v>Dubai&gt;Jumeirah Park&gt;District 4</v>
      </c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</row>
    <row r="4004" spans="1:26" ht="16.5" x14ac:dyDescent="0.35">
      <c r="A4004" s="2" t="str">
        <f ca="1">IFERROR(__xludf.DUMMYFUNCTION("""COMPUTED_VALUE"""),"Dubai")</f>
        <v>Dubai</v>
      </c>
      <c r="B4004" s="2" t="str">
        <f ca="1">IFERROR(__xludf.DUMMYFUNCTION("""COMPUTED_VALUE"""),"Lagoon Views")</f>
        <v>Lagoon Views</v>
      </c>
      <c r="C4004" s="2" t="str">
        <f ca="1">IFERROR(__xludf.DUMMYFUNCTION("""COMPUTED_VALUE"""),"Cluster")</f>
        <v>Cluster</v>
      </c>
      <c r="D4004" s="2" t="str">
        <f ca="1">IFERROR(__xludf.DUMMYFUNCTION("""COMPUTED_VALUE"""),"Dubai&gt;DAMAC Lagoons&gt;Lagoon Views")</f>
        <v>Dubai&gt;DAMAC Lagoons&gt;Lagoon Views</v>
      </c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</row>
    <row r="4005" spans="1:26" ht="16.5" x14ac:dyDescent="0.35">
      <c r="A4005" s="2" t="str">
        <f ca="1">IFERROR(__xludf.DUMMYFUNCTION("""COMPUTED_VALUE"""),"Dubai")</f>
        <v>Dubai</v>
      </c>
      <c r="B4005" s="2" t="str">
        <f ca="1">IFERROR(__xludf.DUMMYFUNCTION("""COMPUTED_VALUE"""),"Liwan Gate")</f>
        <v>Liwan Gate</v>
      </c>
      <c r="C4005" s="2" t="str">
        <f ca="1">IFERROR(__xludf.DUMMYFUNCTION("""COMPUTED_VALUE"""),"Cluster")</f>
        <v>Cluster</v>
      </c>
      <c r="D4005" s="2" t="str">
        <f ca="1">IFERROR(__xludf.DUMMYFUNCTION("""COMPUTED_VALUE"""),"Dubai&gt;Liwan 2&gt;Liwan Gate")</f>
        <v>Dubai&gt;Liwan 2&gt;Liwan Gate</v>
      </c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</row>
    <row r="4006" spans="1:26" ht="16.5" x14ac:dyDescent="0.35">
      <c r="A4006" s="2" t="str">
        <f ca="1">IFERROR(__xludf.DUMMYFUNCTION("""COMPUTED_VALUE"""),"Dubai")</f>
        <v>Dubai</v>
      </c>
      <c r="B4006" s="2" t="str">
        <f ca="1">IFERROR(__xludf.DUMMYFUNCTION("""COMPUTED_VALUE"""),"Sandos Building")</f>
        <v>Sandos Building</v>
      </c>
      <c r="C4006" s="2" t="str">
        <f ca="1">IFERROR(__xludf.DUMMYFUNCTION("""COMPUTED_VALUE"""),"Building")</f>
        <v>Building</v>
      </c>
      <c r="D4006" s="2" t="str">
        <f ca="1">IFERROR(__xludf.DUMMYFUNCTION("""COMPUTED_VALUE"""),"Dubai&gt;Liwan 2&gt;Sandos Building")</f>
        <v>Dubai&gt;Liwan 2&gt;Sandos Building</v>
      </c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</row>
    <row r="4007" spans="1:26" ht="16.5" x14ac:dyDescent="0.35">
      <c r="A4007" s="2" t="str">
        <f ca="1">IFERROR(__xludf.DUMMYFUNCTION("""COMPUTED_VALUE"""),"Dubai")</f>
        <v>Dubai</v>
      </c>
      <c r="B4007" s="2" t="str">
        <f ca="1">IFERROR(__xludf.DUMMYFUNCTION("""COMPUTED_VALUE"""),"Arenco Offices")</f>
        <v>Arenco Offices</v>
      </c>
      <c r="C4007" s="2" t="str">
        <f ca="1">IFERROR(__xludf.DUMMYFUNCTION("""COMPUTED_VALUE"""),"Cluster")</f>
        <v>Cluster</v>
      </c>
      <c r="D4007" s="2" t="str">
        <f ca="1">IFERROR(__xludf.DUMMYFUNCTION("""COMPUTED_VALUE"""),"Dubai&gt;Dubai Investment Park (DIP)&gt;Dubai Investment Park 1&gt;Arenco Offices")</f>
        <v>Dubai&gt;Dubai Investment Park (DIP)&gt;Dubai Investment Park 1&gt;Arenco Offices</v>
      </c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</row>
    <row r="4008" spans="1:26" ht="16.5" x14ac:dyDescent="0.35">
      <c r="A4008" s="2" t="str">
        <f ca="1">IFERROR(__xludf.DUMMYFUNCTION("""COMPUTED_VALUE"""),"Dubai")</f>
        <v>Dubai</v>
      </c>
      <c r="B4008" s="2" t="str">
        <f ca="1">IFERROR(__xludf.DUMMYFUNCTION("""COMPUTED_VALUE"""),"The 7even Block F")</f>
        <v>The 7even Block F</v>
      </c>
      <c r="C4008" s="2" t="str">
        <f ca="1">IFERROR(__xludf.DUMMYFUNCTION("""COMPUTED_VALUE"""),"Building")</f>
        <v>Building</v>
      </c>
      <c r="D4008" s="2" t="str">
        <f ca="1">IFERROR(__xludf.DUMMYFUNCTION("""COMPUTED_VALUE"""),"Dubai&gt;Dubai Investment Park (DIP)&gt;Dubai Investment Park 1&gt;The 7even&gt;The 7even Block F")</f>
        <v>Dubai&gt;Dubai Investment Park (DIP)&gt;Dubai Investment Park 1&gt;The 7even&gt;The 7even Block F</v>
      </c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</row>
    <row r="4009" spans="1:26" ht="16.5" x14ac:dyDescent="0.35">
      <c r="A4009" s="2" t="str">
        <f ca="1">IFERROR(__xludf.DUMMYFUNCTION("""COMPUTED_VALUE"""),"Dubai")</f>
        <v>Dubai</v>
      </c>
      <c r="B4009" s="2" t="str">
        <f ca="1">IFERROR(__xludf.DUMMYFUNCTION("""COMPUTED_VALUE"""),"Hassani Group New Staff Accommodation")</f>
        <v>Hassani Group New Staff Accommodation</v>
      </c>
      <c r="C4009" s="2" t="str">
        <f ca="1">IFERROR(__xludf.DUMMYFUNCTION("""COMPUTED_VALUE"""),"Building")</f>
        <v>Building</v>
      </c>
      <c r="D4009" s="2" t="str">
        <f ca="1">IFERROR(__xludf.DUMMYFUNCTION("""COMPUTED_VALUE"""),"Dubai&gt;Dubai Investment Park (DIP)&gt;Dubai Investment Park 1&gt;Hassani Group New Staff Accommodation")</f>
        <v>Dubai&gt;Dubai Investment Park (DIP)&gt;Dubai Investment Park 1&gt;Hassani Group New Staff Accommodation</v>
      </c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</row>
    <row r="4010" spans="1:26" ht="16.5" x14ac:dyDescent="0.35">
      <c r="A4010" s="2" t="str">
        <f ca="1">IFERROR(__xludf.DUMMYFUNCTION("""COMPUTED_VALUE"""),"Dubai")</f>
        <v>Dubai</v>
      </c>
      <c r="B4010" s="2" t="str">
        <f ca="1">IFERROR(__xludf.DUMMYFUNCTION("""COMPUTED_VALUE"""),"The Village")</f>
        <v>The Village</v>
      </c>
      <c r="C4010" s="2" t="str">
        <f ca="1">IFERROR(__xludf.DUMMYFUNCTION("""COMPUTED_VALUE"""),"Neighbourhood")</f>
        <v>Neighbourhood</v>
      </c>
      <c r="D4010" s="2" t="str">
        <f ca="1">IFERROR(__xludf.DUMMYFUNCTION("""COMPUTED_VALUE"""),"Dubai&gt;Dubai Investment Park (DIP)&gt;The Village")</f>
        <v>Dubai&gt;Dubai Investment Park (DIP)&gt;The Village</v>
      </c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</row>
    <row r="4011" spans="1:26" ht="16.5" x14ac:dyDescent="0.35">
      <c r="A4011" s="2" t="str">
        <f ca="1">IFERROR(__xludf.DUMMYFUNCTION("""COMPUTED_VALUE"""),"Dubai")</f>
        <v>Dubai</v>
      </c>
      <c r="B4011" s="2" t="str">
        <f ca="1">IFERROR(__xludf.DUMMYFUNCTION("""COMPUTED_VALUE"""),"B10")</f>
        <v>B10</v>
      </c>
      <c r="C4011" s="2" t="str">
        <f ca="1">IFERROR(__xludf.DUMMYFUNCTION("""COMPUTED_VALUE"""),"Building")</f>
        <v>Building</v>
      </c>
      <c r="D4011" s="2" t="str">
        <f ca="1">IFERROR(__xludf.DUMMYFUNCTION("""COMPUTED_VALUE"""),"Dubai&gt;Dubai Investment Park (DIP)&gt;Dubai Investment Park 2&gt;Dunes Village&gt;B10")</f>
        <v>Dubai&gt;Dubai Investment Park (DIP)&gt;Dubai Investment Park 2&gt;Dunes Village&gt;B10</v>
      </c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</row>
    <row r="4012" spans="1:26" ht="16.5" x14ac:dyDescent="0.35">
      <c r="A4012" s="2" t="str">
        <f ca="1">IFERROR(__xludf.DUMMYFUNCTION("""COMPUTED_VALUE"""),"Dubai")</f>
        <v>Dubai</v>
      </c>
      <c r="B4012" s="2" t="str">
        <f ca="1">IFERROR(__xludf.DUMMYFUNCTION("""COMPUTED_VALUE"""),"Premier Inn")</f>
        <v>Premier Inn</v>
      </c>
      <c r="C4012" s="2" t="str">
        <f ca="1">IFERROR(__xludf.DUMMYFUNCTION("""COMPUTED_VALUE"""),"Building")</f>
        <v>Building</v>
      </c>
      <c r="D4012" s="2" t="str">
        <f ca="1">IFERROR(__xludf.DUMMYFUNCTION("""COMPUTED_VALUE"""),"Dubai&gt;Dubai Investment Park (DIP)&gt;Premier Inn")</f>
        <v>Dubai&gt;Dubai Investment Park (DIP)&gt;Premier Inn</v>
      </c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</row>
    <row r="4013" spans="1:26" ht="16.5" x14ac:dyDescent="0.35">
      <c r="A4013" s="2" t="str">
        <f ca="1">IFERROR(__xludf.DUMMYFUNCTION("""COMPUTED_VALUE"""),"Dubai")</f>
        <v>Dubai</v>
      </c>
      <c r="B4013" s="2" t="str">
        <f ca="1">IFERROR(__xludf.DUMMYFUNCTION("""COMPUTED_VALUE"""),"Chevalia Estate")</f>
        <v>Chevalia Estate</v>
      </c>
      <c r="C4013" s="2" t="str">
        <f ca="1">IFERROR(__xludf.DUMMYFUNCTION("""COMPUTED_VALUE"""),"Neighbourhood")</f>
        <v>Neighbourhood</v>
      </c>
      <c r="D4013" s="2" t="str">
        <f ca="1">IFERROR(__xludf.DUMMYFUNCTION("""COMPUTED_VALUE"""),"Dubai&gt;Dubai Investment Park (DIP)&gt;Grand Polo Club &amp; Resort&gt;Chevalia Estate")</f>
        <v>Dubai&gt;Dubai Investment Park (DIP)&gt;Grand Polo Club &amp; Resort&gt;Chevalia Estate</v>
      </c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</row>
    <row r="4014" spans="1:26" ht="16.5" x14ac:dyDescent="0.35">
      <c r="A4014" s="2" t="str">
        <f ca="1">IFERROR(__xludf.DUMMYFUNCTION("""COMPUTED_VALUE"""),"Dubai")</f>
        <v>Dubai</v>
      </c>
      <c r="B4014" s="2" t="str">
        <f ca="1">IFERROR(__xludf.DUMMYFUNCTION("""COMPUTED_VALUE"""),"Queen Sheba Tower")</f>
        <v>Queen Sheba Tower</v>
      </c>
      <c r="C4014" s="2" t="str">
        <f ca="1">IFERROR(__xludf.DUMMYFUNCTION("""COMPUTED_VALUE"""),"Building")</f>
        <v>Building</v>
      </c>
      <c r="D4014" s="2" t="str">
        <f ca="1">IFERROR(__xludf.DUMMYFUNCTION("""COMPUTED_VALUE"""),"Dubai&gt;Majan&gt;Queen Sheba Tower")</f>
        <v>Dubai&gt;Majan&gt;Queen Sheba Tower</v>
      </c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</row>
    <row r="4015" spans="1:26" ht="16.5" x14ac:dyDescent="0.35">
      <c r="A4015" s="2" t="str">
        <f ca="1">IFERROR(__xludf.DUMMYFUNCTION("""COMPUTED_VALUE"""),"Dubai")</f>
        <v>Dubai</v>
      </c>
      <c r="B4015" s="2" t="str">
        <f ca="1">IFERROR(__xludf.DUMMYFUNCTION("""COMPUTED_VALUE"""),"Samana Barari Views")</f>
        <v>Samana Barari Views</v>
      </c>
      <c r="C4015" s="2" t="str">
        <f ca="1">IFERROR(__xludf.DUMMYFUNCTION("""COMPUTED_VALUE"""),"Building")</f>
        <v>Building</v>
      </c>
      <c r="D4015" s="2" t="str">
        <f ca="1">IFERROR(__xludf.DUMMYFUNCTION("""COMPUTED_VALUE"""),"Dubai&gt;Majan&gt;Samana Barari Views")</f>
        <v>Dubai&gt;Majan&gt;Samana Barari Views</v>
      </c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</row>
    <row r="4016" spans="1:26" ht="16.5" x14ac:dyDescent="0.35">
      <c r="A4016" s="2" t="str">
        <f ca="1">IFERROR(__xludf.DUMMYFUNCTION("""COMPUTED_VALUE"""),"Dubai")</f>
        <v>Dubai</v>
      </c>
      <c r="B4016" s="2" t="str">
        <f ca="1">IFERROR(__xludf.DUMMYFUNCTION("""COMPUTED_VALUE"""),"Binghatti Titania")</f>
        <v>Binghatti Titania</v>
      </c>
      <c r="C4016" s="2" t="str">
        <f ca="1">IFERROR(__xludf.DUMMYFUNCTION("""COMPUTED_VALUE"""),"Building")</f>
        <v>Building</v>
      </c>
      <c r="D4016" s="2" t="str">
        <f ca="1">IFERROR(__xludf.DUMMYFUNCTION("""COMPUTED_VALUE"""),"Dubai&gt;Majan&gt;Binghatti Titania")</f>
        <v>Dubai&gt;Majan&gt;Binghatti Titania</v>
      </c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</row>
    <row r="4017" spans="1:26" ht="16.5" x14ac:dyDescent="0.35">
      <c r="A4017" s="2" t="str">
        <f ca="1">IFERROR(__xludf.DUMMYFUNCTION("""COMPUTED_VALUE"""),"Dubai")</f>
        <v>Dubai</v>
      </c>
      <c r="B4017" s="2" t="str">
        <f ca="1">IFERROR(__xludf.DUMMYFUNCTION("""COMPUTED_VALUE"""),"340 Riverside Crescent")</f>
        <v>340 Riverside Crescent</v>
      </c>
      <c r="C4017" s="2" t="str">
        <f ca="1">IFERROR(__xludf.DUMMYFUNCTION("""COMPUTED_VALUE"""),"Building")</f>
        <v>Building</v>
      </c>
      <c r="D4017" s="2" t="str">
        <f ca="1">IFERROR(__xludf.DUMMYFUNCTION("""COMPUTED_VALUE"""),"Dubai&gt;Sobha Hartland 2&gt;Riverside Crescent&gt;340 Riverside Crescent")</f>
        <v>Dubai&gt;Sobha Hartland 2&gt;Riverside Crescent&gt;340 Riverside Crescent</v>
      </c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</row>
    <row r="4018" spans="1:26" ht="16.5" x14ac:dyDescent="0.35">
      <c r="A4018" s="2" t="str">
        <f ca="1">IFERROR(__xludf.DUMMYFUNCTION("""COMPUTED_VALUE"""),"Dubai")</f>
        <v>Dubai</v>
      </c>
      <c r="B4018" s="2" t="str">
        <f ca="1">IFERROR(__xludf.DUMMYFUNCTION("""COMPUTED_VALUE"""),"Samana Santorini")</f>
        <v>Samana Santorini</v>
      </c>
      <c r="C4018" s="2" t="str">
        <f ca="1">IFERROR(__xludf.DUMMYFUNCTION("""COMPUTED_VALUE"""),"Building")</f>
        <v>Building</v>
      </c>
      <c r="D4018" s="2" t="str">
        <f ca="1">IFERROR(__xludf.DUMMYFUNCTION("""COMPUTED_VALUE"""),"Dubai&gt;Dubai Studio City&gt;Samana Santorini")</f>
        <v>Dubai&gt;Dubai Studio City&gt;Samana Santorini</v>
      </c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</row>
    <row r="4019" spans="1:26" ht="16.5" x14ac:dyDescent="0.35">
      <c r="A4019" s="2" t="str">
        <f ca="1">IFERROR(__xludf.DUMMYFUNCTION("""COMPUTED_VALUE"""),"Dubai")</f>
        <v>Dubai</v>
      </c>
      <c r="B4019" s="2" t="str">
        <f ca="1">IFERROR(__xludf.DUMMYFUNCTION("""COMPUTED_VALUE"""),"Azizi Beach Oasis 2 Tower A")</f>
        <v>Azizi Beach Oasis 2 Tower A</v>
      </c>
      <c r="C4019" s="2" t="str">
        <f ca="1">IFERROR(__xludf.DUMMYFUNCTION("""COMPUTED_VALUE"""),"Building")</f>
        <v>Building</v>
      </c>
      <c r="D4019" s="2" t="str">
        <f ca="1">IFERROR(__xludf.DUMMYFUNCTION("""COMPUTED_VALUE"""),"Dubai&gt;Dubai Studio City&gt;Azizi Beach Oasis 2&gt;Azizi Beach Oasis 2 Tower A")</f>
        <v>Dubai&gt;Dubai Studio City&gt;Azizi Beach Oasis 2&gt;Azizi Beach Oasis 2 Tower A</v>
      </c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</row>
    <row r="4020" spans="1:26" ht="16.5" x14ac:dyDescent="0.35">
      <c r="A4020" s="2" t="str">
        <f ca="1">IFERROR(__xludf.DUMMYFUNCTION("""COMPUTED_VALUE"""),"Dubai")</f>
        <v>Dubai</v>
      </c>
      <c r="B4020" s="2" t="str">
        <f ca="1">IFERROR(__xludf.DUMMYFUNCTION("""COMPUTED_VALUE"""),"Hartland Water Canal Villas")</f>
        <v>Hartland Water Canal Villas</v>
      </c>
      <c r="C4020" s="2" t="str">
        <f ca="1">IFERROR(__xludf.DUMMYFUNCTION("""COMPUTED_VALUE"""),"Neighbourhood")</f>
        <v>Neighbourhood</v>
      </c>
      <c r="D4020" s="2" t="str">
        <f ca="1">IFERROR(__xludf.DUMMYFUNCTION("""COMPUTED_VALUE"""),"Dubai&gt;Sobha Hartland&gt;Hartland Water Canal Villas")</f>
        <v>Dubai&gt;Sobha Hartland&gt;Hartland Water Canal Villas</v>
      </c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</row>
    <row r="4021" spans="1:26" ht="16.5" x14ac:dyDescent="0.35">
      <c r="A4021" s="2" t="str">
        <f ca="1">IFERROR(__xludf.DUMMYFUNCTION("""COMPUTED_VALUE"""),"Dubai")</f>
        <v>Dubai</v>
      </c>
      <c r="B4021" s="2" t="str">
        <f ca="1">IFERROR(__xludf.DUMMYFUNCTION("""COMPUTED_VALUE"""),"The Highbury")</f>
        <v>The Highbury</v>
      </c>
      <c r="C4021" s="2" t="str">
        <f ca="1">IFERROR(__xludf.DUMMYFUNCTION("""COMPUTED_VALUE"""),"Building")</f>
        <v>Building</v>
      </c>
      <c r="D4021" s="2" t="str">
        <f ca="1">IFERROR(__xludf.DUMMYFUNCTION("""COMPUTED_VALUE"""),"Dubai&gt;Sobha Hartland&gt;The Highbury")</f>
        <v>Dubai&gt;Sobha Hartland&gt;The Highbury</v>
      </c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</row>
    <row r="4022" spans="1:26" ht="16.5" x14ac:dyDescent="0.35">
      <c r="A4022" s="2" t="str">
        <f ca="1">IFERROR(__xludf.DUMMYFUNCTION("""COMPUTED_VALUE"""),"Dubai")</f>
        <v>Dubai</v>
      </c>
      <c r="B4022" s="2" t="str">
        <f ca="1">IFERROR(__xludf.DUMMYFUNCTION("""COMPUTED_VALUE"""),"Building 3A")</f>
        <v>Building 3A</v>
      </c>
      <c r="C4022" s="2" t="str">
        <f ca="1">IFERROR(__xludf.DUMMYFUNCTION("""COMPUTED_VALUE"""),"Building")</f>
        <v>Building</v>
      </c>
      <c r="D4022" s="2" t="str">
        <f ca="1">IFERROR(__xludf.DUMMYFUNCTION("""COMPUTED_VALUE"""),"Dubai&gt;Expo City&gt;Expo Village&gt;Residences 3&gt;Building 3A")</f>
        <v>Dubai&gt;Expo City&gt;Expo Village&gt;Residences 3&gt;Building 3A</v>
      </c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</row>
    <row r="4023" spans="1:26" ht="16.5" x14ac:dyDescent="0.35">
      <c r="A4023" s="2" t="str">
        <f ca="1">IFERROR(__xludf.DUMMYFUNCTION("""COMPUTED_VALUE"""),"Dubai")</f>
        <v>Dubai</v>
      </c>
      <c r="B4023" s="2" t="str">
        <f ca="1">IFERROR(__xludf.DUMMYFUNCTION("""COMPUTED_VALUE"""),"Al Waha Residences")</f>
        <v>Al Waha Residences</v>
      </c>
      <c r="C4023" s="2" t="str">
        <f ca="1">IFERROR(__xludf.DUMMYFUNCTION("""COMPUTED_VALUE"""),"Cluster")</f>
        <v>Cluster</v>
      </c>
      <c r="D4023" s="2" t="str">
        <f ca="1">IFERROR(__xludf.DUMMYFUNCTION("""COMPUTED_VALUE"""),"Dubai&gt;Expo City&gt;Al Waha Residences")</f>
        <v>Dubai&gt;Expo City&gt;Al Waha Residences</v>
      </c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</row>
    <row r="4024" spans="1:26" ht="16.5" x14ac:dyDescent="0.35">
      <c r="A4024" s="2" t="str">
        <f ca="1">IFERROR(__xludf.DUMMYFUNCTION("""COMPUTED_VALUE"""),"Dubai")</f>
        <v>Dubai</v>
      </c>
      <c r="B4024" s="2" t="str">
        <f ca="1">IFERROR(__xludf.DUMMYFUNCTION("""COMPUTED_VALUE"""),"Moss")</f>
        <v>Moss</v>
      </c>
      <c r="C4024" s="2" t="str">
        <f ca="1">IFERROR(__xludf.DUMMYFUNCTION("""COMPUTED_VALUE"""),"Building")</f>
        <v>Building</v>
      </c>
      <c r="D4024" s="2" t="str">
        <f ca="1">IFERROR(__xludf.DUMMYFUNCTION("""COMPUTED_VALUE"""),"Dubai&gt;Haven by Aldar&gt;Verdes by Haven&gt;Moss")</f>
        <v>Dubai&gt;Haven by Aldar&gt;Verdes by Haven&gt;Moss</v>
      </c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</row>
    <row r="4025" spans="1:26" ht="16.5" x14ac:dyDescent="0.35">
      <c r="A4025" s="2" t="str">
        <f ca="1">IFERROR(__xludf.DUMMYFUNCTION("""COMPUTED_VALUE"""),"Dubai")</f>
        <v>Dubai</v>
      </c>
      <c r="B4025" s="2" t="str">
        <f ca="1">IFERROR(__xludf.DUMMYFUNCTION("""COMPUTED_VALUE"""),"The Acres (Phase 3)")</f>
        <v>The Acres (Phase 3)</v>
      </c>
      <c r="C4025" s="2" t="str">
        <f ca="1">IFERROR(__xludf.DUMMYFUNCTION("""COMPUTED_VALUE"""),"Neighbourhood")</f>
        <v>Neighbourhood</v>
      </c>
      <c r="D4025" s="2" t="str">
        <f ca="1">IFERROR(__xludf.DUMMYFUNCTION("""COMPUTED_VALUE"""),"Dubai&gt;The Acres&gt;The Acres (Phase 3)")</f>
        <v>Dubai&gt;The Acres&gt;The Acres (Phase 3)</v>
      </c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</row>
    <row r="4026" spans="1:26" ht="16.5" x14ac:dyDescent="0.35">
      <c r="A4026" s="2" t="str">
        <f ca="1">IFERROR(__xludf.DUMMYFUNCTION("""COMPUTED_VALUE"""),"Dubai")</f>
        <v>Dubai</v>
      </c>
      <c r="B4026" s="2" t="str">
        <f ca="1">IFERROR(__xludf.DUMMYFUNCTION("""COMPUTED_VALUE"""),"Serra Building 7")</f>
        <v>Serra Building 7</v>
      </c>
      <c r="C4026" s="2" t="str">
        <f ca="1">IFERROR(__xludf.DUMMYFUNCTION("""COMPUTED_VALUE"""),"Building")</f>
        <v>Building</v>
      </c>
      <c r="D4026" s="2" t="str">
        <f ca="1">IFERROR(__xludf.DUMMYFUNCTION("""COMPUTED_VALUE"""),"Dubai&gt;Ghaf Woods&gt;Serra&gt;Serra Building 7")</f>
        <v>Dubai&gt;Ghaf Woods&gt;Serra&gt;Serra Building 7</v>
      </c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</row>
    <row r="4027" spans="1:26" ht="16.5" x14ac:dyDescent="0.35">
      <c r="A4027" s="2" t="str">
        <f ca="1">IFERROR(__xludf.DUMMYFUNCTION("""COMPUTED_VALUE"""),"Dubai")</f>
        <v>Dubai</v>
      </c>
      <c r="B4027" s="2" t="str">
        <f ca="1">IFERROR(__xludf.DUMMYFUNCTION("""COMPUTED_VALUE"""),"Fiji 1")</f>
        <v>Fiji 1</v>
      </c>
      <c r="C4027" s="2" t="str">
        <f ca="1">IFERROR(__xludf.DUMMYFUNCTION("""COMPUTED_VALUE"""),"Neighbourhood")</f>
        <v>Neighbourhood</v>
      </c>
      <c r="D4027" s="2" t="str">
        <f ca="1">IFERROR(__xludf.DUMMYFUNCTION("""COMPUTED_VALUE"""),"Dubai&gt;DAMAC Islands&gt;Fiji 1")</f>
        <v>Dubai&gt;DAMAC Islands&gt;Fiji 1</v>
      </c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</row>
    <row r="4028" spans="1:26" ht="16.5" x14ac:dyDescent="0.35">
      <c r="A4028" s="2" t="str">
        <f ca="1">IFERROR(__xludf.DUMMYFUNCTION("""COMPUTED_VALUE"""),"Dubai")</f>
        <v>Dubai</v>
      </c>
      <c r="B4028" s="2" t="str">
        <f ca="1">IFERROR(__xludf.DUMMYFUNCTION("""COMPUTED_VALUE"""),"Rimal")</f>
        <v>Rimal</v>
      </c>
      <c r="C4028" s="2" t="str">
        <f ca="1">IFERROR(__xludf.DUMMYFUNCTION("""COMPUTED_VALUE"""),"Cluster")</f>
        <v>Cluster</v>
      </c>
      <c r="D4028" s="2" t="str">
        <f ca="1">IFERROR(__xludf.DUMMYFUNCTION("""COMPUTED_VALUE"""),"Dubai&gt;Jumeirah Beach Residence (JBR)&gt;Rimal")</f>
        <v>Dubai&gt;Jumeirah Beach Residence (JBR)&gt;Rimal</v>
      </c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</row>
    <row r="4029" spans="1:26" ht="16.5" x14ac:dyDescent="0.35">
      <c r="A4029" s="2" t="str">
        <f ca="1">IFERROR(__xludf.DUMMYFUNCTION("""COMPUTED_VALUE"""),"Dubai")</f>
        <v>Dubai</v>
      </c>
      <c r="B4029" s="2" t="str">
        <f ca="1">IFERROR(__xludf.DUMMYFUNCTION("""COMPUTED_VALUE"""),"Hilton Dubai Jumeirah Beach Resort")</f>
        <v>Hilton Dubai Jumeirah Beach Resort</v>
      </c>
      <c r="C4029" s="2" t="str">
        <f ca="1">IFERROR(__xludf.DUMMYFUNCTION("""COMPUTED_VALUE"""),"Building")</f>
        <v>Building</v>
      </c>
      <c r="D4029" s="2" t="str">
        <f ca="1">IFERROR(__xludf.DUMMYFUNCTION("""COMPUTED_VALUE"""),"Dubai&gt;Jumeirah Beach Residence (JBR)&gt;Hilton Dubai Jumeirah Beach Resort")</f>
        <v>Dubai&gt;Jumeirah Beach Residence (JBR)&gt;Hilton Dubai Jumeirah Beach Resort</v>
      </c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</row>
    <row r="4030" spans="1:26" ht="16.5" x14ac:dyDescent="0.35">
      <c r="A4030" s="2" t="str">
        <f ca="1">IFERROR(__xludf.DUMMYFUNCTION("""COMPUTED_VALUE"""),"Dubai")</f>
        <v>Dubai</v>
      </c>
      <c r="B4030" s="2" t="str">
        <f ca="1">IFERROR(__xludf.DUMMYFUNCTION("""COMPUTED_VALUE"""),"Ayaan Heights I")</f>
        <v>Ayaan Heights I</v>
      </c>
      <c r="C4030" s="2" t="str">
        <f ca="1">IFERROR(__xludf.DUMMYFUNCTION("""COMPUTED_VALUE"""),"Building")</f>
        <v>Building</v>
      </c>
      <c r="D4030" s="2" t="str">
        <f ca="1">IFERROR(__xludf.DUMMYFUNCTION("""COMPUTED_VALUE"""),"Dubai&gt;Meydan Horizon&gt;Ayaan Heights I")</f>
        <v>Dubai&gt;Meydan Horizon&gt;Ayaan Heights I</v>
      </c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</row>
    <row r="4031" spans="1:26" ht="16.5" x14ac:dyDescent="0.35">
      <c r="A4031" s="2" t="str">
        <f ca="1">IFERROR(__xludf.DUMMYFUNCTION("""COMPUTED_VALUE"""),"Dubai")</f>
        <v>Dubai</v>
      </c>
      <c r="B4031" s="2" t="str">
        <f ca="1">IFERROR(__xludf.DUMMYFUNCTION("""COMPUTED_VALUE"""),"My Nursery Al Wasl")</f>
        <v>My Nursery Al Wasl</v>
      </c>
      <c r="C4031" s="2" t="str">
        <f ca="1">IFERROR(__xludf.DUMMYFUNCTION("""COMPUTED_VALUE"""),"Nursery")</f>
        <v>Nursery</v>
      </c>
      <c r="D4031" s="2" t="str">
        <f ca="1">IFERROR(__xludf.DUMMYFUNCTION("""COMPUTED_VALUE"""),"Dubai&gt;Al Wasl&gt;My Nursery Al Wasl")</f>
        <v>Dubai&gt;Al Wasl&gt;My Nursery Al Wasl</v>
      </c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</row>
    <row r="4032" spans="1:26" ht="16.5" x14ac:dyDescent="0.35">
      <c r="A4032" s="2" t="str">
        <f ca="1">IFERROR(__xludf.DUMMYFUNCTION("""COMPUTED_VALUE"""),"Dubai")</f>
        <v>Dubai</v>
      </c>
      <c r="B4032" s="2" t="str">
        <f ca="1">IFERROR(__xludf.DUMMYFUNCTION("""COMPUTED_VALUE"""),"Building 10")</f>
        <v>Building 10</v>
      </c>
      <c r="C4032" s="2" t="str">
        <f ca="1">IFERROR(__xludf.DUMMYFUNCTION("""COMPUTED_VALUE"""),"Building")</f>
        <v>Building</v>
      </c>
      <c r="D4032" s="2" t="str">
        <f ca="1">IFERROR(__xludf.DUMMYFUNCTION("""COMPUTED_VALUE"""),"Dubai&gt;Al Wasl&gt;City Walk&gt;Building 10")</f>
        <v>Dubai&gt;Al Wasl&gt;City Walk&gt;Building 10</v>
      </c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</row>
    <row r="4033" spans="1:26" ht="16.5" x14ac:dyDescent="0.35">
      <c r="A4033" s="2" t="str">
        <f ca="1">IFERROR(__xludf.DUMMYFUNCTION("""COMPUTED_VALUE"""),"Dubai")</f>
        <v>Dubai</v>
      </c>
      <c r="B4033" s="2" t="str">
        <f ca="1">IFERROR(__xludf.DUMMYFUNCTION("""COMPUTED_VALUE"""),"La Ville Hotel &amp; Suites")</f>
        <v>La Ville Hotel &amp; Suites</v>
      </c>
      <c r="C4033" s="2" t="str">
        <f ca="1">IFERROR(__xludf.DUMMYFUNCTION("""COMPUTED_VALUE"""),"Building")</f>
        <v>Building</v>
      </c>
      <c r="D4033" s="2" t="str">
        <f ca="1">IFERROR(__xludf.DUMMYFUNCTION("""COMPUTED_VALUE"""),"Dubai&gt;Al Wasl&gt;City Walk&gt;La Ville Hotel &amp; Suites")</f>
        <v>Dubai&gt;Al Wasl&gt;City Walk&gt;La Ville Hotel &amp; Suites</v>
      </c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</row>
    <row r="4034" spans="1:26" ht="16.5" x14ac:dyDescent="0.35">
      <c r="A4034" s="2" t="str">
        <f ca="1">IFERROR(__xludf.DUMMYFUNCTION("""COMPUTED_VALUE"""),"Dubai")</f>
        <v>Dubai</v>
      </c>
      <c r="B4034" s="2" t="str">
        <f ca="1">IFERROR(__xludf.DUMMYFUNCTION("""COMPUTED_VALUE"""),"Canal Front Residences 7")</f>
        <v>Canal Front Residences 7</v>
      </c>
      <c r="C4034" s="2" t="str">
        <f ca="1">IFERROR(__xludf.DUMMYFUNCTION("""COMPUTED_VALUE"""),"Building")</f>
        <v>Building</v>
      </c>
      <c r="D4034" s="2" t="str">
        <f ca="1">IFERROR(__xludf.DUMMYFUNCTION("""COMPUTED_VALUE"""),"Dubai&gt;Al Wasl&gt;Canal Front Residences&gt;Canal Front Residences 7")</f>
        <v>Dubai&gt;Al Wasl&gt;Canal Front Residences&gt;Canal Front Residences 7</v>
      </c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</row>
    <row r="4035" spans="1:26" ht="16.5" x14ac:dyDescent="0.35">
      <c r="A4035" s="2" t="str">
        <f ca="1">IFERROR(__xludf.DUMMYFUNCTION("""COMPUTED_VALUE"""),"Dubai")</f>
        <v>Dubai</v>
      </c>
      <c r="B4035" s="2" t="str">
        <f ca="1">IFERROR(__xludf.DUMMYFUNCTION("""COMPUTED_VALUE"""),"Nord Anglia International School (NAS)")</f>
        <v>Nord Anglia International School (NAS)</v>
      </c>
      <c r="C4035" s="2" t="str">
        <f ca="1">IFERROR(__xludf.DUMMYFUNCTION("""COMPUTED_VALUE"""),"School")</f>
        <v>School</v>
      </c>
      <c r="D4035" s="2" t="str">
        <f ca="1">IFERROR(__xludf.DUMMYFUNCTION("""COMPUTED_VALUE"""),"Dubai&gt;Arjan&gt;Nord Anglia International School (NAS)")</f>
        <v>Dubai&gt;Arjan&gt;Nord Anglia International School (NAS)</v>
      </c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</row>
    <row r="4036" spans="1:26" ht="16.5" x14ac:dyDescent="0.35">
      <c r="A4036" s="2" t="str">
        <f ca="1">IFERROR(__xludf.DUMMYFUNCTION("""COMPUTED_VALUE"""),"Dubai")</f>
        <v>Dubai</v>
      </c>
      <c r="B4036" s="2" t="str">
        <f ca="1">IFERROR(__xludf.DUMMYFUNCTION("""COMPUTED_VALUE"""),"Al Sayyah Residence C")</f>
        <v>Al Sayyah Residence C</v>
      </c>
      <c r="C4036" s="2" t="str">
        <f ca="1">IFERROR(__xludf.DUMMYFUNCTION("""COMPUTED_VALUE"""),"Building")</f>
        <v>Building</v>
      </c>
      <c r="D4036" s="2" t="str">
        <f ca="1">IFERROR(__xludf.DUMMYFUNCTION("""COMPUTED_VALUE"""),"Dubai&gt;Arjan&gt;Al Sayyah Residence&gt;Al Sayyah Residence C")</f>
        <v>Dubai&gt;Arjan&gt;Al Sayyah Residence&gt;Al Sayyah Residence C</v>
      </c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</row>
    <row r="4037" spans="1:26" ht="16.5" x14ac:dyDescent="0.35">
      <c r="A4037" s="2" t="str">
        <f ca="1">IFERROR(__xludf.DUMMYFUNCTION("""COMPUTED_VALUE"""),"Dubai")</f>
        <v>Dubai</v>
      </c>
      <c r="B4037" s="2" t="str">
        <f ca="1">IFERROR(__xludf.DUMMYFUNCTION("""COMPUTED_VALUE"""),"Arjan Tower")</f>
        <v>Arjan Tower</v>
      </c>
      <c r="C4037" s="2" t="str">
        <f ca="1">IFERROR(__xludf.DUMMYFUNCTION("""COMPUTED_VALUE"""),"Building")</f>
        <v>Building</v>
      </c>
      <c r="D4037" s="2" t="str">
        <f ca="1">IFERROR(__xludf.DUMMYFUNCTION("""COMPUTED_VALUE"""),"Dubai&gt;Arjan&gt;Arjan Tower")</f>
        <v>Dubai&gt;Arjan&gt;Arjan Tower</v>
      </c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</row>
    <row r="4038" spans="1:26" ht="16.5" x14ac:dyDescent="0.35">
      <c r="A4038" s="2" t="str">
        <f ca="1">IFERROR(__xludf.DUMMYFUNCTION("""COMPUTED_VALUE"""),"Dubai")</f>
        <v>Dubai</v>
      </c>
      <c r="B4038" s="2" t="str">
        <f ca="1">IFERROR(__xludf.DUMMYFUNCTION("""COMPUTED_VALUE"""),"The V")</f>
        <v>The V</v>
      </c>
      <c r="C4038" s="2" t="str">
        <f ca="1">IFERROR(__xludf.DUMMYFUNCTION("""COMPUTED_VALUE"""),"Building")</f>
        <v>Building</v>
      </c>
      <c r="D4038" s="2" t="str">
        <f ca="1">IFERROR(__xludf.DUMMYFUNCTION("""COMPUTED_VALUE"""),"Dubai&gt;Arjan&gt;The V")</f>
        <v>Dubai&gt;Arjan&gt;The V</v>
      </c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</row>
    <row r="4039" spans="1:26" ht="16.5" x14ac:dyDescent="0.35">
      <c r="A4039" s="2" t="str">
        <f ca="1">IFERROR(__xludf.DUMMYFUNCTION("""COMPUTED_VALUE"""),"Dubai")</f>
        <v>Dubai</v>
      </c>
      <c r="B4039" s="2" t="str">
        <f ca="1">IFERROR(__xludf.DUMMYFUNCTION("""COMPUTED_VALUE"""),"Elano By Oro24")</f>
        <v>Elano By Oro24</v>
      </c>
      <c r="C4039" s="2" t="str">
        <f ca="1">IFERROR(__xludf.DUMMYFUNCTION("""COMPUTED_VALUE"""),"Building")</f>
        <v>Building</v>
      </c>
      <c r="D4039" s="2" t="str">
        <f ca="1">IFERROR(__xludf.DUMMYFUNCTION("""COMPUTED_VALUE"""),"Dubai&gt;Arjan&gt;Elano By Oro24")</f>
        <v>Dubai&gt;Arjan&gt;Elano By Oro24</v>
      </c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</row>
    <row r="4040" spans="1:26" ht="16.5" x14ac:dyDescent="0.35">
      <c r="A4040" s="2" t="str">
        <f ca="1">IFERROR(__xludf.DUMMYFUNCTION("""COMPUTED_VALUE"""),"Dubai")</f>
        <v>Dubai</v>
      </c>
      <c r="B4040" s="2" t="str">
        <f ca="1">IFERROR(__xludf.DUMMYFUNCTION("""COMPUTED_VALUE"""),"The Central Downtown Tower D")</f>
        <v>The Central Downtown Tower D</v>
      </c>
      <c r="C4040" s="2" t="str">
        <f ca="1">IFERROR(__xludf.DUMMYFUNCTION("""COMPUTED_VALUE"""),"Building")</f>
        <v>Building</v>
      </c>
      <c r="D4040" s="2" t="str">
        <f ca="1">IFERROR(__xludf.DUMMYFUNCTION("""COMPUTED_VALUE"""),"Dubai&gt;Arjan&gt;The Central Downtown&gt;The Central Downtown Tower D")</f>
        <v>Dubai&gt;Arjan&gt;The Central Downtown&gt;The Central Downtown Tower D</v>
      </c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</row>
    <row r="4041" spans="1:26" ht="16.5" x14ac:dyDescent="0.35">
      <c r="A4041" s="2" t="str">
        <f ca="1">IFERROR(__xludf.DUMMYFUNCTION("""COMPUTED_VALUE"""),"Dubai")</f>
        <v>Dubai</v>
      </c>
      <c r="B4041" s="2" t="str">
        <f ca="1">IFERROR(__xludf.DUMMYFUNCTION("""COMPUTED_VALUE"""),"Floarea  Grande")</f>
        <v>Floarea  Grande</v>
      </c>
      <c r="C4041" s="2" t="str">
        <f ca="1">IFERROR(__xludf.DUMMYFUNCTION("""COMPUTED_VALUE"""),"Building")</f>
        <v>Building</v>
      </c>
      <c r="D4041" s="2" t="str">
        <f ca="1">IFERROR(__xludf.DUMMYFUNCTION("""COMPUTED_VALUE"""),"Dubai&gt;Arjan&gt;Floarea  Grande")</f>
        <v>Dubai&gt;Arjan&gt;Floarea  Grande</v>
      </c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</row>
    <row r="4042" spans="1:26" ht="16.5" x14ac:dyDescent="0.35">
      <c r="A4042" s="2" t="str">
        <f ca="1">IFERROR(__xludf.DUMMYFUNCTION("""COMPUTED_VALUE"""),"Dubai")</f>
        <v>Dubai</v>
      </c>
      <c r="B4042" s="2" t="str">
        <f ca="1">IFERROR(__xludf.DUMMYFUNCTION("""COMPUTED_VALUE"""),"Al Ferdous 3")</f>
        <v>Al Ferdous 3</v>
      </c>
      <c r="C4042" s="2" t="str">
        <f ca="1">IFERROR(__xludf.DUMMYFUNCTION("""COMPUTED_VALUE"""),"Building")</f>
        <v>Building</v>
      </c>
      <c r="D4042" s="2" t="str">
        <f ca="1">IFERROR(__xludf.DUMMYFUNCTION("""COMPUTED_VALUE"""),"Dubai&gt;Al Safa&gt;Al Safa 1&gt;Al Ferdous 3")</f>
        <v>Dubai&gt;Al Safa&gt;Al Safa 1&gt;Al Ferdous 3</v>
      </c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</row>
    <row r="4043" spans="1:26" ht="16.5" x14ac:dyDescent="0.35">
      <c r="A4043" s="2" t="str">
        <f ca="1">IFERROR(__xludf.DUMMYFUNCTION("""COMPUTED_VALUE"""),"Dubai")</f>
        <v>Dubai</v>
      </c>
      <c r="B4043" s="2" t="str">
        <f ca="1">IFERROR(__xludf.DUMMYFUNCTION("""COMPUTED_VALUE"""),"Butterfly B")</f>
        <v>Butterfly B</v>
      </c>
      <c r="C4043" s="2" t="str">
        <f ca="1">IFERROR(__xludf.DUMMYFUNCTION("""COMPUTED_VALUE"""),"Building")</f>
        <v>Building</v>
      </c>
      <c r="D4043" s="2" t="str">
        <f ca="1">IFERROR(__xludf.DUMMYFUNCTION("""COMPUTED_VALUE"""),"Dubai&gt;Dubai Media City&gt;The Butterfly&gt;Butterfly B")</f>
        <v>Dubai&gt;Dubai Media City&gt;The Butterfly&gt;Butterfly B</v>
      </c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</row>
    <row r="4044" spans="1:26" ht="16.5" x14ac:dyDescent="0.35">
      <c r="A4044" s="2" t="str">
        <f ca="1">IFERROR(__xludf.DUMMYFUNCTION("""COMPUTED_VALUE"""),"Abu Dhabi")</f>
        <v>Abu Dhabi</v>
      </c>
      <c r="B4044" s="2" t="str">
        <f ca="1">IFERROR(__xludf.DUMMYFUNCTION("""COMPUTED_VALUE"""),"Times Inn Hotel Apartments")</f>
        <v>Times Inn Hotel Apartments</v>
      </c>
      <c r="C4044" s="2" t="str">
        <f ca="1">IFERROR(__xludf.DUMMYFUNCTION("""COMPUTED_VALUE"""),"Building")</f>
        <v>Building</v>
      </c>
      <c r="D4044" s="2" t="str">
        <f ca="1">IFERROR(__xludf.DUMMYFUNCTION("""COMPUTED_VALUE"""),"Abu Dhabi&gt;Al Nahyan&gt;Times Inn Hotel Apartments")</f>
        <v>Abu Dhabi&gt;Al Nahyan&gt;Times Inn Hotel Apartments</v>
      </c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</row>
    <row r="4045" spans="1:26" ht="16.5" x14ac:dyDescent="0.35">
      <c r="A4045" s="2" t="str">
        <f ca="1">IFERROR(__xludf.DUMMYFUNCTION("""COMPUTED_VALUE"""),"Abu Dhabi")</f>
        <v>Abu Dhabi</v>
      </c>
      <c r="B4045" s="2" t="str">
        <f ca="1">IFERROR(__xludf.DUMMYFUNCTION("""COMPUTED_VALUE"""),"Al Bateen Scientific Private School")</f>
        <v>Al Bateen Scientific Private School</v>
      </c>
      <c r="C4045" s="2" t="str">
        <f ca="1">IFERROR(__xludf.DUMMYFUNCTION("""COMPUTED_VALUE"""),"School")</f>
        <v>School</v>
      </c>
      <c r="D4045" s="2" t="str">
        <f ca="1">IFERROR(__xludf.DUMMYFUNCTION("""COMPUTED_VALUE"""),"Abu Dhabi&gt;Al Wahdah&gt;Al Bateen Scientific Private School")</f>
        <v>Abu Dhabi&gt;Al Wahdah&gt;Al Bateen Scientific Private School</v>
      </c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</row>
    <row r="4046" spans="1:26" ht="16.5" x14ac:dyDescent="0.35">
      <c r="A4046" s="2" t="str">
        <f ca="1">IFERROR(__xludf.DUMMYFUNCTION("""COMPUTED_VALUE"""),"Abu Dhabi")</f>
        <v>Abu Dhabi</v>
      </c>
      <c r="B4046" s="2" t="str">
        <f ca="1">IFERROR(__xludf.DUMMYFUNCTION("""COMPUTED_VALUE"""),"C34")</f>
        <v>C34</v>
      </c>
      <c r="C4046" s="2" t="str">
        <f ca="1">IFERROR(__xludf.DUMMYFUNCTION("""COMPUTED_VALUE"""),"Building")</f>
        <v>Building</v>
      </c>
      <c r="D4046" s="2" t="str">
        <f ca="1">IFERROR(__xludf.DUMMYFUNCTION("""COMPUTED_VALUE"""),"Abu Dhabi&gt;Tourist Club Area (TCA)&gt;C34")</f>
        <v>Abu Dhabi&gt;Tourist Club Area (TCA)&gt;C34</v>
      </c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</row>
    <row r="4047" spans="1:26" ht="16.5" x14ac:dyDescent="0.35">
      <c r="A4047" s="2" t="str">
        <f ca="1">IFERROR(__xludf.DUMMYFUNCTION("""COMPUTED_VALUE"""),"Abu Dhabi")</f>
        <v>Abu Dhabi</v>
      </c>
      <c r="B4047" s="2" t="str">
        <f ca="1">IFERROR(__xludf.DUMMYFUNCTION("""COMPUTED_VALUE"""),"Al Salam Tower")</f>
        <v>Al Salam Tower</v>
      </c>
      <c r="C4047" s="2" t="str">
        <f ca="1">IFERROR(__xludf.DUMMYFUNCTION("""COMPUTED_VALUE"""),"Building")</f>
        <v>Building</v>
      </c>
      <c r="D4047" s="2" t="str">
        <f ca="1">IFERROR(__xludf.DUMMYFUNCTION("""COMPUTED_VALUE"""),"Abu Dhabi&gt;Al Zahiyah&gt;Al Salam Tower")</f>
        <v>Abu Dhabi&gt;Al Zahiyah&gt;Al Salam Tower</v>
      </c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</row>
    <row r="4048" spans="1:26" ht="16.5" x14ac:dyDescent="0.35">
      <c r="A4048" s="2" t="str">
        <f ca="1">IFERROR(__xludf.DUMMYFUNCTION("""COMPUTED_VALUE"""),"Abu Dhabi")</f>
        <v>Abu Dhabi</v>
      </c>
      <c r="B4048" s="2" t="str">
        <f ca="1">IFERROR(__xludf.DUMMYFUNCTION("""COMPUTED_VALUE"""),"AL Maha Complex")</f>
        <v>AL Maha Complex</v>
      </c>
      <c r="C4048" s="2"/>
      <c r="D4048" s="2" t="str">
        <f ca="1">IFERROR(__xludf.DUMMYFUNCTION("""COMPUTED_VALUE"""),"Abu Dhabi&gt;Al Mushrif&gt;AL Maha Complex")</f>
        <v>Abu Dhabi&gt;Al Mushrif&gt;AL Maha Complex</v>
      </c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</row>
    <row r="4049" spans="1:26" ht="16.5" x14ac:dyDescent="0.35">
      <c r="A4049" s="2" t="str">
        <f ca="1">IFERROR(__xludf.DUMMYFUNCTION("""COMPUTED_VALUE"""),"Abu Dhabi")</f>
        <v>Abu Dhabi</v>
      </c>
      <c r="B4049" s="2" t="str">
        <f ca="1">IFERROR(__xludf.DUMMYFUNCTION("""COMPUTED_VALUE"""),"Nation Tower A")</f>
        <v>Nation Tower A</v>
      </c>
      <c r="C4049" s="2" t="str">
        <f ca="1">IFERROR(__xludf.DUMMYFUNCTION("""COMPUTED_VALUE"""),"Building")</f>
        <v>Building</v>
      </c>
      <c r="D4049" s="2" t="str">
        <f ca="1">IFERROR(__xludf.DUMMYFUNCTION("""COMPUTED_VALUE"""),"Abu Dhabi&gt;Corniche Area&gt;Nation Towers&gt;Nation Tower A")</f>
        <v>Abu Dhabi&gt;Corniche Area&gt;Nation Towers&gt;Nation Tower A</v>
      </c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</row>
    <row r="4050" spans="1:26" ht="16.5" x14ac:dyDescent="0.35">
      <c r="A4050" s="2" t="str">
        <f ca="1">IFERROR(__xludf.DUMMYFUNCTION("""COMPUTED_VALUE"""),"Abu Dhabi")</f>
        <v>Abu Dhabi</v>
      </c>
      <c r="B4050" s="2" t="str">
        <f ca="1">IFERROR(__xludf.DUMMYFUNCTION("""COMPUTED_VALUE"""),"Al Dar Labour Village")</f>
        <v>Al Dar Labour Village</v>
      </c>
      <c r="C4050" s="2" t="str">
        <f ca="1">IFERROR(__xludf.DUMMYFUNCTION("""COMPUTED_VALUE"""),"Neighbourhood")</f>
        <v>Neighbourhood</v>
      </c>
      <c r="D4050" s="2" t="str">
        <f ca="1">IFERROR(__xludf.DUMMYFUNCTION("""COMPUTED_VALUE"""),"Abu Dhabi&gt;Baniyas&gt;Baniyas North&gt;Al Dar Labour Village")</f>
        <v>Abu Dhabi&gt;Baniyas&gt;Baniyas North&gt;Al Dar Labour Village</v>
      </c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</row>
    <row r="4051" spans="1:26" ht="16.5" x14ac:dyDescent="0.35">
      <c r="A4051" s="2" t="str">
        <f ca="1">IFERROR(__xludf.DUMMYFUNCTION("""COMPUTED_VALUE"""),"Abu Dhabi")</f>
        <v>Abu Dhabi</v>
      </c>
      <c r="B4051" s="2" t="str">
        <f ca="1">IFERROR(__xludf.DUMMYFUNCTION("""COMPUTED_VALUE"""),"Nareel Island")</f>
        <v>Nareel Island</v>
      </c>
      <c r="C4051" s="2" t="str">
        <f ca="1">IFERROR(__xludf.DUMMYFUNCTION("""COMPUTED_VALUE"""),"Neighbourhood")</f>
        <v>Neighbourhood</v>
      </c>
      <c r="D4051" s="2" t="str">
        <f ca="1">IFERROR(__xludf.DUMMYFUNCTION("""COMPUTED_VALUE"""),"Abu Dhabi&gt;Nareel Island")</f>
        <v>Abu Dhabi&gt;Nareel Island</v>
      </c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</row>
    <row r="4052" spans="1:26" ht="16.5" x14ac:dyDescent="0.35">
      <c r="A4052" s="2" t="str">
        <f ca="1">IFERROR(__xludf.DUMMYFUNCTION("""COMPUTED_VALUE"""),"Abu Dhabi")</f>
        <v>Abu Dhabi</v>
      </c>
      <c r="B4052" s="2" t="str">
        <f ca="1">IFERROR(__xludf.DUMMYFUNCTION("""COMPUTED_VALUE"""),"Deena Building")</f>
        <v>Deena Building</v>
      </c>
      <c r="C4052" s="2" t="str">
        <f ca="1">IFERROR(__xludf.DUMMYFUNCTION("""COMPUTED_VALUE"""),"Building")</f>
        <v>Building</v>
      </c>
      <c r="D4052" s="2" t="str">
        <f ca="1">IFERROR(__xludf.DUMMYFUNCTION("""COMPUTED_VALUE"""),"Abu Dhabi&gt;Al Danah&gt;Deena Building")</f>
        <v>Abu Dhabi&gt;Al Danah&gt;Deena Building</v>
      </c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</row>
    <row r="4053" spans="1:26" ht="16.5" x14ac:dyDescent="0.35">
      <c r="A4053" s="2" t="str">
        <f ca="1">IFERROR(__xludf.DUMMYFUNCTION("""COMPUTED_VALUE"""),"Abu Dhabi")</f>
        <v>Abu Dhabi</v>
      </c>
      <c r="B4053" s="2" t="str">
        <f ca="1">IFERROR(__xludf.DUMMYFUNCTION("""COMPUTED_VALUE"""),"Rihan Heights Towers")</f>
        <v>Rihan Heights Towers</v>
      </c>
      <c r="C4053" s="2" t="str">
        <f ca="1">IFERROR(__xludf.DUMMYFUNCTION("""COMPUTED_VALUE"""),"Cluster")</f>
        <v>Cluster</v>
      </c>
      <c r="D4053" s="2" t="str">
        <f ca="1">IFERROR(__xludf.DUMMYFUNCTION("""COMPUTED_VALUE"""),"Abu Dhabi&gt;Zayed Sports City&gt;Rihan Heights Towers")</f>
        <v>Abu Dhabi&gt;Zayed Sports City&gt;Rihan Heights Towers</v>
      </c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</row>
    <row r="4054" spans="1:26" ht="16.5" x14ac:dyDescent="0.35">
      <c r="A4054" s="2" t="str">
        <f ca="1">IFERROR(__xludf.DUMMYFUNCTION("""COMPUTED_VALUE"""),"Abu Dhabi")</f>
        <v>Abu Dhabi</v>
      </c>
      <c r="B4054" s="2" t="str">
        <f ca="1">IFERROR(__xludf.DUMMYFUNCTION("""COMPUTED_VALUE"""),"MSH2")</f>
        <v>MSH2</v>
      </c>
      <c r="C4054" s="2" t="str">
        <f ca="1">IFERROR(__xludf.DUMMYFUNCTION("""COMPUTED_VALUE"""),"Neighbourhood")</f>
        <v>Neighbourhood</v>
      </c>
      <c r="D4054" s="2" t="str">
        <f ca="1">IFERROR(__xludf.DUMMYFUNCTION("""COMPUTED_VALUE"""),"Abu Dhabi&gt;Shakhbout City&gt;MSH2")</f>
        <v>Abu Dhabi&gt;Shakhbout City&gt;MSH2</v>
      </c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</row>
    <row r="4055" spans="1:26" ht="16.5" x14ac:dyDescent="0.35">
      <c r="A4055" s="2" t="str">
        <f ca="1">IFERROR(__xludf.DUMMYFUNCTION("""COMPUTED_VALUE"""),"Abu Dhabi")</f>
        <v>Abu Dhabi</v>
      </c>
      <c r="B4055" s="2" t="str">
        <f ca="1">IFERROR(__xludf.DUMMYFUNCTION("""COMPUTED_VALUE"""),"MSH34")</f>
        <v>MSH34</v>
      </c>
      <c r="C4055" s="2" t="str">
        <f ca="1">IFERROR(__xludf.DUMMYFUNCTION("""COMPUTED_VALUE"""),"Neighbourhood")</f>
        <v>Neighbourhood</v>
      </c>
      <c r="D4055" s="2" t="str">
        <f ca="1">IFERROR(__xludf.DUMMYFUNCTION("""COMPUTED_VALUE"""),"Abu Dhabi&gt;Shakhbout City&gt;MSH34")</f>
        <v>Abu Dhabi&gt;Shakhbout City&gt;MSH34</v>
      </c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</row>
    <row r="4056" spans="1:26" ht="16.5" x14ac:dyDescent="0.35">
      <c r="A4056" s="2" t="str">
        <f ca="1">IFERROR(__xludf.DUMMYFUNCTION("""COMPUTED_VALUE"""),"Abu Dhabi")</f>
        <v>Abu Dhabi</v>
      </c>
      <c r="B4056" s="2" t="str">
        <f ca="1">IFERROR(__xludf.DUMMYFUNCTION("""COMPUTED_VALUE"""),"Amity International School")</f>
        <v>Amity International School</v>
      </c>
      <c r="C4056" s="2" t="str">
        <f ca="1">IFERROR(__xludf.DUMMYFUNCTION("""COMPUTED_VALUE"""),"School")</f>
        <v>School</v>
      </c>
      <c r="D4056" s="2" t="str">
        <f ca="1">IFERROR(__xludf.DUMMYFUNCTION("""COMPUTED_VALUE"""),"Abu Dhabi&gt;Al Bahia&gt;Amity International School")</f>
        <v>Abu Dhabi&gt;Al Bahia&gt;Amity International School</v>
      </c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</row>
    <row r="4057" spans="1:26" ht="16.5" x14ac:dyDescent="0.35">
      <c r="A4057" s="2" t="str">
        <f ca="1">IFERROR(__xludf.DUMMYFUNCTION("""COMPUTED_VALUE"""),"Abu Dhabi")</f>
        <v>Abu Dhabi</v>
      </c>
      <c r="B4057" s="2" t="str">
        <f ca="1">IFERROR(__xludf.DUMMYFUNCTION("""COMPUTED_VALUE"""),"Al Zahraa")</f>
        <v>Al Zahraa</v>
      </c>
      <c r="C4057" s="2" t="str">
        <f ca="1">IFERROR(__xludf.DUMMYFUNCTION("""COMPUTED_VALUE"""),"Neighbourhood")</f>
        <v>Neighbourhood</v>
      </c>
      <c r="D4057" s="2" t="str">
        <f ca="1">IFERROR(__xludf.DUMMYFUNCTION("""COMPUTED_VALUE"""),"Abu Dhabi&gt;Al Zahraa")</f>
        <v>Abu Dhabi&gt;Al Zahraa</v>
      </c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</row>
    <row r="4058" spans="1:26" ht="16.5" x14ac:dyDescent="0.35">
      <c r="A4058" s="2" t="str">
        <f ca="1">IFERROR(__xludf.DUMMYFUNCTION("""COMPUTED_VALUE"""),"Abu Dhabi")</f>
        <v>Abu Dhabi</v>
      </c>
      <c r="B4058" s="2" t="str">
        <f ca="1">IFERROR(__xludf.DUMMYFUNCTION("""COMPUTED_VALUE"""),"Almeria")</f>
        <v>Almeria</v>
      </c>
      <c r="C4058" s="2" t="str">
        <f ca="1">IFERROR(__xludf.DUMMYFUNCTION("""COMPUTED_VALUE"""),"Neighbourhood")</f>
        <v>Neighbourhood</v>
      </c>
      <c r="D4058" s="2" t="str">
        <f ca="1">IFERROR(__xludf.DUMMYFUNCTION("""COMPUTED_VALUE"""),"Abu Dhabi&gt;Zayed City&gt;Bloom Living&gt;Almeria")</f>
        <v>Abu Dhabi&gt;Zayed City&gt;Bloom Living&gt;Almeria</v>
      </c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</row>
    <row r="4059" spans="1:26" ht="16.5" x14ac:dyDescent="0.35">
      <c r="A4059" s="2" t="str">
        <f ca="1">IFERROR(__xludf.DUMMYFUNCTION("""COMPUTED_VALUE"""),"Abu Dhabi")</f>
        <v>Abu Dhabi</v>
      </c>
      <c r="B4059" s="2" t="str">
        <f ca="1">IFERROR(__xludf.DUMMYFUNCTION("""COMPUTED_VALUE"""),"Delma")</f>
        <v>Delma</v>
      </c>
      <c r="C4059" s="2" t="str">
        <f ca="1">IFERROR(__xludf.DUMMYFUNCTION("""COMPUTED_VALUE"""),"Neighbourhood")</f>
        <v>Neighbourhood</v>
      </c>
      <c r="D4059" s="2" t="str">
        <f ca="1">IFERROR(__xludf.DUMMYFUNCTION("""COMPUTED_VALUE"""),"Abu Dhabi&gt;Delma")</f>
        <v>Abu Dhabi&gt;Delma</v>
      </c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</row>
    <row r="4060" spans="1:26" ht="16.5" x14ac:dyDescent="0.35">
      <c r="A4060" s="2" t="str">
        <f ca="1">IFERROR(__xludf.DUMMYFUNCTION("""COMPUTED_VALUE"""),"Abu Dhabi")</f>
        <v>Abu Dhabi</v>
      </c>
      <c r="B4060" s="2" t="str">
        <f ca="1">IFERROR(__xludf.DUMMYFUNCTION("""COMPUTED_VALUE"""),"Leaf Tower")</f>
        <v>Leaf Tower</v>
      </c>
      <c r="C4060" s="2" t="str">
        <f ca="1">IFERROR(__xludf.DUMMYFUNCTION("""COMPUTED_VALUE"""),"Building")</f>
        <v>Building</v>
      </c>
      <c r="D4060" s="2" t="str">
        <f ca="1">IFERROR(__xludf.DUMMYFUNCTION("""COMPUTED_VALUE"""),"Abu Dhabi&gt;Al Reem Island&gt;Tamouh&gt;Leaf Tower")</f>
        <v>Abu Dhabi&gt;Al Reem Island&gt;Tamouh&gt;Leaf Tower</v>
      </c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</row>
    <row r="4061" spans="1:26" ht="16.5" x14ac:dyDescent="0.35">
      <c r="A4061" s="2" t="str">
        <f ca="1">IFERROR(__xludf.DUMMYFUNCTION("""COMPUTED_VALUE"""),"Abu Dhabi")</f>
        <v>Abu Dhabi</v>
      </c>
      <c r="B4061" s="2" t="str">
        <f ca="1">IFERROR(__xludf.DUMMYFUNCTION("""COMPUTED_VALUE"""),"The Wings")</f>
        <v>The Wings</v>
      </c>
      <c r="C4061" s="2" t="str">
        <f ca="1">IFERROR(__xludf.DUMMYFUNCTION("""COMPUTED_VALUE"""),"Building")</f>
        <v>Building</v>
      </c>
      <c r="D4061" s="2" t="str">
        <f ca="1">IFERROR(__xludf.DUMMYFUNCTION("""COMPUTED_VALUE"""),"Abu Dhabi&gt;Al Reem Island&gt;Najmat Abu Dhabi&gt;The Wings")</f>
        <v>Abu Dhabi&gt;Al Reem Island&gt;Najmat Abu Dhabi&gt;The Wings</v>
      </c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</row>
    <row r="4062" spans="1:26" ht="16.5" x14ac:dyDescent="0.35">
      <c r="A4062" s="2" t="str">
        <f ca="1">IFERROR(__xludf.DUMMYFUNCTION("""COMPUTED_VALUE"""),"Abu Dhabi")</f>
        <v>Abu Dhabi</v>
      </c>
      <c r="B4062" s="2" t="str">
        <f ca="1">IFERROR(__xludf.DUMMYFUNCTION("""COMPUTED_VALUE"""),"Maple Bear Nursery Al Reem Island")</f>
        <v>Maple Bear Nursery Al Reem Island</v>
      </c>
      <c r="C4062" s="2" t="str">
        <f ca="1">IFERROR(__xludf.DUMMYFUNCTION("""COMPUTED_VALUE"""),"Nursery")</f>
        <v>Nursery</v>
      </c>
      <c r="D4062" s="2" t="str">
        <f ca="1">IFERROR(__xludf.DUMMYFUNCTION("""COMPUTED_VALUE"""),"Abu Dhabi&gt;Al Reem Island&gt;Shams Abu Dhabi&gt;Maple Bear Nursery Al Reem Island")</f>
        <v>Abu Dhabi&gt;Al Reem Island&gt;Shams Abu Dhabi&gt;Maple Bear Nursery Al Reem Island</v>
      </c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</row>
    <row r="4063" spans="1:26" ht="16.5" x14ac:dyDescent="0.35">
      <c r="A4063" s="2" t="str">
        <f ca="1">IFERROR(__xludf.DUMMYFUNCTION("""COMPUTED_VALUE"""),"Abu Dhabi")</f>
        <v>Abu Dhabi</v>
      </c>
      <c r="B4063" s="2" t="str">
        <f ca="1">IFERROR(__xludf.DUMMYFUNCTION("""COMPUTED_VALUE"""),"Reflection Tower B")</f>
        <v>Reflection Tower B</v>
      </c>
      <c r="C4063" s="2" t="str">
        <f ca="1">IFERROR(__xludf.DUMMYFUNCTION("""COMPUTED_VALUE"""),"Building")</f>
        <v>Building</v>
      </c>
      <c r="D4063" s="2" t="str">
        <f ca="1">IFERROR(__xludf.DUMMYFUNCTION("""COMPUTED_VALUE"""),"Abu Dhabi&gt;Al Reem Island&gt;Shams Abu Dhabi&gt;Reflection&gt;Reflection Tower B")</f>
        <v>Abu Dhabi&gt;Al Reem Island&gt;Shams Abu Dhabi&gt;Reflection&gt;Reflection Tower B</v>
      </c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</row>
    <row r="4064" spans="1:26" ht="16.5" x14ac:dyDescent="0.35">
      <c r="A4064" s="2" t="str">
        <f ca="1">IFERROR(__xludf.DUMMYFUNCTION("""COMPUTED_VALUE"""),"Abu Dhabi")</f>
        <v>Abu Dhabi</v>
      </c>
      <c r="B4064" s="2" t="str">
        <f ca="1">IFERROR(__xludf.DUMMYFUNCTION("""COMPUTED_VALUE"""),"Addax Park Tower")</f>
        <v>Addax Park Tower</v>
      </c>
      <c r="C4064" s="2" t="str">
        <f ca="1">IFERROR(__xludf.DUMMYFUNCTION("""COMPUTED_VALUE"""),"Building")</f>
        <v>Building</v>
      </c>
      <c r="D4064" s="2" t="str">
        <f ca="1">IFERROR(__xludf.DUMMYFUNCTION("""COMPUTED_VALUE"""),"Abu Dhabi&gt;Al Reem Island&gt;Addax Port&gt;Addax Park Tower")</f>
        <v>Abu Dhabi&gt;Al Reem Island&gt;Addax Port&gt;Addax Park Tower</v>
      </c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</row>
    <row r="4065" spans="1:26" ht="16.5" x14ac:dyDescent="0.35">
      <c r="A4065" s="2" t="str">
        <f ca="1">IFERROR(__xludf.DUMMYFUNCTION("""COMPUTED_VALUE"""),"Abu Dhabi")</f>
        <v>Abu Dhabi</v>
      </c>
      <c r="B4065" s="2" t="str">
        <f ca="1">IFERROR(__xludf.DUMMYFUNCTION("""COMPUTED_VALUE"""),"Hydra Corporate Towers")</f>
        <v>Hydra Corporate Towers</v>
      </c>
      <c r="C4065" s="2" t="str">
        <f ca="1">IFERROR(__xludf.DUMMYFUNCTION("""COMPUTED_VALUE"""),"Building")</f>
        <v>Building</v>
      </c>
      <c r="D4065" s="2" t="str">
        <f ca="1">IFERROR(__xludf.DUMMYFUNCTION("""COMPUTED_VALUE"""),"Abu Dhabi&gt;Al Reem Island&gt;Hydra Corporate Towers")</f>
        <v>Abu Dhabi&gt;Al Reem Island&gt;Hydra Corporate Towers</v>
      </c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</row>
    <row r="4066" spans="1:26" ht="16.5" x14ac:dyDescent="0.35">
      <c r="A4066" s="2" t="str">
        <f ca="1">IFERROR(__xludf.DUMMYFUNCTION("""COMPUTED_VALUE"""),"Abu Dhabi")</f>
        <v>Abu Dhabi</v>
      </c>
      <c r="B4066" s="2" t="str">
        <f ca="1">IFERROR(__xludf.DUMMYFUNCTION("""COMPUTED_VALUE"""),"Vista 3")</f>
        <v>Vista 3</v>
      </c>
      <c r="C4066" s="2" t="str">
        <f ca="1">IFERROR(__xludf.DUMMYFUNCTION("""COMPUTED_VALUE"""),"Building")</f>
        <v>Building</v>
      </c>
      <c r="D4066" s="2" t="str">
        <f ca="1">IFERROR(__xludf.DUMMYFUNCTION("""COMPUTED_VALUE"""),"Abu Dhabi&gt;Al Reem Island&gt;Vista 3")</f>
        <v>Abu Dhabi&gt;Al Reem Island&gt;Vista 3</v>
      </c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</row>
    <row r="4067" spans="1:26" ht="16.5" x14ac:dyDescent="0.35">
      <c r="A4067" s="2" t="str">
        <f ca="1">IFERROR(__xludf.DUMMYFUNCTION("""COMPUTED_VALUE"""),"Abu Dhabi")</f>
        <v>Abu Dhabi</v>
      </c>
      <c r="B4067" s="2" t="str">
        <f ca="1">IFERROR(__xludf.DUMMYFUNCTION("""COMPUTED_VALUE"""),"City Centre Building")</f>
        <v>City Centre Building</v>
      </c>
      <c r="C4067" s="2" t="str">
        <f ca="1">IFERROR(__xludf.DUMMYFUNCTION("""COMPUTED_VALUE"""),"Building")</f>
        <v>Building</v>
      </c>
      <c r="D4067" s="2" t="str">
        <f ca="1">IFERROR(__xludf.DUMMYFUNCTION("""COMPUTED_VALUE"""),"Abu Dhabi&gt;Hamdan Street&gt;City Centre Building")</f>
        <v>Abu Dhabi&gt;Hamdan Street&gt;City Centre Building</v>
      </c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</row>
    <row r="4068" spans="1:26" ht="16.5" x14ac:dyDescent="0.35">
      <c r="A4068" s="2" t="str">
        <f ca="1">IFERROR(__xludf.DUMMYFUNCTION("""COMPUTED_VALUE"""),"Abu Dhabi")</f>
        <v>Abu Dhabi</v>
      </c>
      <c r="B4068" s="2" t="str">
        <f ca="1">IFERROR(__xludf.DUMMYFUNCTION("""COMPUTED_VALUE"""),"Salama Residence")</f>
        <v>Salama Residence</v>
      </c>
      <c r="C4068" s="2" t="str">
        <f ca="1">IFERROR(__xludf.DUMMYFUNCTION("""COMPUTED_VALUE"""),"Building")</f>
        <v>Building</v>
      </c>
      <c r="D4068" s="2" t="str">
        <f ca="1">IFERROR(__xludf.DUMMYFUNCTION("""COMPUTED_VALUE"""),"Abu Dhabi&gt;Al Khalidiyah&gt;Cornich Al Khalidiyah&gt;Salama Residence")</f>
        <v>Abu Dhabi&gt;Al Khalidiyah&gt;Cornich Al Khalidiyah&gt;Salama Residence</v>
      </c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</row>
    <row r="4069" spans="1:26" ht="16.5" x14ac:dyDescent="0.35">
      <c r="A4069" s="2" t="str">
        <f ca="1">IFERROR(__xludf.DUMMYFUNCTION("""COMPUTED_VALUE"""),"Abu Dhabi")</f>
        <v>Abu Dhabi</v>
      </c>
      <c r="B4069" s="2" t="str">
        <f ca="1">IFERROR(__xludf.DUMMYFUNCTION("""COMPUTED_VALUE"""),"Al Ittihad National Private School Abu Dhabi")</f>
        <v>Al Ittihad National Private School Abu Dhabi</v>
      </c>
      <c r="C4069" s="2" t="str">
        <f ca="1">IFERROR(__xludf.DUMMYFUNCTION("""COMPUTED_VALUE"""),"School")</f>
        <v>School</v>
      </c>
      <c r="D4069" s="2" t="str">
        <f ca="1">IFERROR(__xludf.DUMMYFUNCTION("""COMPUTED_VALUE"""),"Abu Dhabi&gt;Khalifa City&gt;Al Ittihad National Private School Abu Dhabi")</f>
        <v>Abu Dhabi&gt;Khalifa City&gt;Al Ittihad National Private School Abu Dhabi</v>
      </c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</row>
    <row r="4070" spans="1:26" ht="16.5" x14ac:dyDescent="0.35">
      <c r="A4070" s="2" t="str">
        <f ca="1">IFERROR(__xludf.DUMMYFUNCTION("""COMPUTED_VALUE"""),"Abu Dhabi")</f>
        <v>Abu Dhabi</v>
      </c>
      <c r="B4070" s="2" t="str">
        <f ca="1">IFERROR(__xludf.DUMMYFUNCTION("""COMPUTED_VALUE"""),"Al Dhafra Complex")</f>
        <v>Al Dhafra Complex</v>
      </c>
      <c r="C4070" s="2" t="str">
        <f ca="1">IFERROR(__xludf.DUMMYFUNCTION("""COMPUTED_VALUE"""),"Neighbourhood")</f>
        <v>Neighbourhood</v>
      </c>
      <c r="D4070" s="2" t="str">
        <f ca="1">IFERROR(__xludf.DUMMYFUNCTION("""COMPUTED_VALUE"""),"Abu Dhabi&gt;Khalifa City&gt;Al Dhafra Complex")</f>
        <v>Abu Dhabi&gt;Khalifa City&gt;Al Dhafra Complex</v>
      </c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</row>
    <row r="4071" spans="1:26" ht="16.5" x14ac:dyDescent="0.35">
      <c r="A4071" s="2" t="str">
        <f ca="1">IFERROR(__xludf.DUMMYFUNCTION("""COMPUTED_VALUE"""),"Abu Dhabi")</f>
        <v>Abu Dhabi</v>
      </c>
      <c r="B4071" s="2" t="str">
        <f ca="1">IFERROR(__xludf.DUMMYFUNCTION("""COMPUTED_VALUE"""),"Capital Plaza Tower A")</f>
        <v>Capital Plaza Tower A</v>
      </c>
      <c r="C4071" s="2" t="str">
        <f ca="1">IFERROR(__xludf.DUMMYFUNCTION("""COMPUTED_VALUE"""),"Building")</f>
        <v>Building</v>
      </c>
      <c r="D4071" s="2" t="str">
        <f ca="1">IFERROR(__xludf.DUMMYFUNCTION("""COMPUTED_VALUE"""),"Abu Dhabi&gt;Al Markaziya&gt;Capital Plaza&gt;Capital Plaza Tower A")</f>
        <v>Abu Dhabi&gt;Al Markaziya&gt;Capital Plaza&gt;Capital Plaza Tower A</v>
      </c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</row>
    <row r="4072" spans="1:26" ht="16.5" x14ac:dyDescent="0.35">
      <c r="A4072" s="2" t="str">
        <f ca="1">IFERROR(__xludf.DUMMYFUNCTION("""COMPUTED_VALUE"""),"Abu Dhabi")</f>
        <v>Abu Dhabi</v>
      </c>
      <c r="B4072" s="2" t="str">
        <f ca="1">IFERROR(__xludf.DUMMYFUNCTION("""COMPUTED_VALUE"""),"Al Ghadeer Phase 2")</f>
        <v>Al Ghadeer Phase 2</v>
      </c>
      <c r="C4072" s="2" t="str">
        <f ca="1">IFERROR(__xludf.DUMMYFUNCTION("""COMPUTED_VALUE"""),"Neighbourhood")</f>
        <v>Neighbourhood</v>
      </c>
      <c r="D4072" s="2" t="str">
        <f ca="1">IFERROR(__xludf.DUMMYFUNCTION("""COMPUTED_VALUE"""),"Abu Dhabi&gt;Al Ghadeer&gt;Al Ghadeer Phase 2")</f>
        <v>Abu Dhabi&gt;Al Ghadeer&gt;Al Ghadeer Phase 2</v>
      </c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</row>
    <row r="4073" spans="1:26" ht="16.5" x14ac:dyDescent="0.35">
      <c r="A4073" s="2" t="str">
        <f ca="1">IFERROR(__xludf.DUMMYFUNCTION("""COMPUTED_VALUE"""),"Abu Dhabi")</f>
        <v>Abu Dhabi</v>
      </c>
      <c r="B4073" s="2" t="str">
        <f ca="1">IFERROR(__xludf.DUMMYFUNCTION("""COMPUTED_VALUE"""),"Al Saadiyat Avenue")</f>
        <v>Al Saadiyat Avenue</v>
      </c>
      <c r="C4073" s="2" t="str">
        <f ca="1">IFERROR(__xludf.DUMMYFUNCTION("""COMPUTED_VALUE"""),"Building")</f>
        <v>Building</v>
      </c>
      <c r="D4073" s="2" t="str">
        <f ca="1">IFERROR(__xludf.DUMMYFUNCTION("""COMPUTED_VALUE"""),"Abu Dhabi&gt;Saadiyat Island&gt;Al Saadiyat Avenue")</f>
        <v>Abu Dhabi&gt;Saadiyat Island&gt;Al Saadiyat Avenue</v>
      </c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</row>
    <row r="4074" spans="1:26" ht="16.5" x14ac:dyDescent="0.35">
      <c r="A4074" s="2" t="str">
        <f ca="1">IFERROR(__xludf.DUMMYFUNCTION("""COMPUTED_VALUE"""),"Abu Dhabi")</f>
        <v>Abu Dhabi</v>
      </c>
      <c r="B4074" s="2" t="str">
        <f ca="1">IFERROR(__xludf.DUMMYFUNCTION("""COMPUTED_VALUE"""),"Saadiyat Al Marina")</f>
        <v>Saadiyat Al Marina</v>
      </c>
      <c r="C4074" s="2" t="str">
        <f ca="1">IFERROR(__xludf.DUMMYFUNCTION("""COMPUTED_VALUE"""),"Neighbourhood")</f>
        <v>Neighbourhood</v>
      </c>
      <c r="D4074" s="2" t="str">
        <f ca="1">IFERROR(__xludf.DUMMYFUNCTION("""COMPUTED_VALUE"""),"Abu Dhabi&gt;Saadiyat Island&gt;Saadiyat Al Marina")</f>
        <v>Abu Dhabi&gt;Saadiyat Island&gt;Saadiyat Al Marina</v>
      </c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</row>
    <row r="4075" spans="1:26" ht="16.5" x14ac:dyDescent="0.35">
      <c r="A4075" s="2" t="str">
        <f ca="1">IFERROR(__xludf.DUMMYFUNCTION("""COMPUTED_VALUE"""),"Abu Dhabi")</f>
        <v>Abu Dhabi</v>
      </c>
      <c r="B4075" s="2" t="str">
        <f ca="1">IFERROR(__xludf.DUMMYFUNCTION("""COMPUTED_VALUE"""),"The Collection")</f>
        <v>The Collection</v>
      </c>
      <c r="C4075" s="2" t="str">
        <f ca="1">IFERROR(__xludf.DUMMYFUNCTION("""COMPUTED_VALUE"""),"Building")</f>
        <v>Building</v>
      </c>
      <c r="D4075" s="2" t="str">
        <f ca="1">IFERROR(__xludf.DUMMYFUNCTION("""COMPUTED_VALUE"""),"Abu Dhabi&gt;Saadiyat Island&gt;Saadiyat Beach&gt;Saadiyat St Regis Residences&gt;The Collection")</f>
        <v>Abu Dhabi&gt;Saadiyat Island&gt;Saadiyat Beach&gt;Saadiyat St Regis Residences&gt;The Collection</v>
      </c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</row>
    <row r="4076" spans="1:26" ht="16.5" x14ac:dyDescent="0.35">
      <c r="A4076" s="2" t="str">
        <f ca="1">IFERROR(__xludf.DUMMYFUNCTION("""COMPUTED_VALUE"""),"Abu Dhabi")</f>
        <v>Abu Dhabi</v>
      </c>
      <c r="B4076" s="2" t="str">
        <f ca="1">IFERROR(__xludf.DUMMYFUNCTION("""COMPUTED_VALUE"""),"Azzam One Residence")</f>
        <v>Azzam One Residence</v>
      </c>
      <c r="C4076" s="2" t="str">
        <f ca="1">IFERROR(__xludf.DUMMYFUNCTION("""COMPUTED_VALUE"""),"Building")</f>
        <v>Building</v>
      </c>
      <c r="D4076" s="2" t="str">
        <f ca="1">IFERROR(__xludf.DUMMYFUNCTION("""COMPUTED_VALUE"""),"Abu Dhabi&gt;Al Raha Beach&gt;Azzam One Residence")</f>
        <v>Abu Dhabi&gt;Al Raha Beach&gt;Azzam One Residence</v>
      </c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</row>
    <row r="4077" spans="1:26" ht="16.5" x14ac:dyDescent="0.35">
      <c r="A4077" s="2" t="str">
        <f ca="1">IFERROR(__xludf.DUMMYFUNCTION("""COMPUTED_VALUE"""),"Abu Dhabi")</f>
        <v>Abu Dhabi</v>
      </c>
      <c r="B4077" s="2" t="str">
        <f ca="1">IFERROR(__xludf.DUMMYFUNCTION("""COMPUTED_VALUE"""),"Al Zeina Building C")</f>
        <v>Al Zeina Building C</v>
      </c>
      <c r="C4077" s="2" t="str">
        <f ca="1">IFERROR(__xludf.DUMMYFUNCTION("""COMPUTED_VALUE"""),"Building")</f>
        <v>Building</v>
      </c>
      <c r="D4077" s="2" t="str">
        <f ca="1">IFERROR(__xludf.DUMMYFUNCTION("""COMPUTED_VALUE"""),"Abu Dhabi&gt;Al Raha Beach&gt;Al Zeina&gt;Al Zeina Building C")</f>
        <v>Abu Dhabi&gt;Al Raha Beach&gt;Al Zeina&gt;Al Zeina Building C</v>
      </c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</row>
    <row r="4078" spans="1:26" ht="16.5" x14ac:dyDescent="0.35">
      <c r="A4078" s="2" t="str">
        <f ca="1">IFERROR(__xludf.DUMMYFUNCTION("""COMPUTED_VALUE"""),"Abu Dhabi")</f>
        <v>Abu Dhabi</v>
      </c>
      <c r="B4078" s="2" t="str">
        <f ca="1">IFERROR(__xludf.DUMMYFUNCTION("""COMPUTED_VALUE"""),"Al Sail Tower")</f>
        <v>Al Sail Tower</v>
      </c>
      <c r="C4078" s="2" t="str">
        <f ca="1">IFERROR(__xludf.DUMMYFUNCTION("""COMPUTED_VALUE"""),"Building")</f>
        <v>Building</v>
      </c>
      <c r="D4078" s="2" t="str">
        <f ca="1">IFERROR(__xludf.DUMMYFUNCTION("""COMPUTED_VALUE"""),"Abu Dhabi&gt;Al Raha Beach&gt;Al Dana&gt;Al Sail Tower")</f>
        <v>Abu Dhabi&gt;Al Raha Beach&gt;Al Dana&gt;Al Sail Tower</v>
      </c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</row>
    <row r="4079" spans="1:26" ht="16.5" x14ac:dyDescent="0.35">
      <c r="A4079" s="2" t="str">
        <f ca="1">IFERROR(__xludf.DUMMYFUNCTION("""COMPUTED_VALUE"""),"Abu Dhabi")</f>
        <v>Abu Dhabi</v>
      </c>
      <c r="B4079" s="2" t="str">
        <f ca="1">IFERROR(__xludf.DUMMYFUNCTION("""COMPUTED_VALUE"""),"P-2777")</f>
        <v>P-2777</v>
      </c>
      <c r="C4079" s="2" t="str">
        <f ca="1">IFERROR(__xludf.DUMMYFUNCTION("""COMPUTED_VALUE"""),"Building")</f>
        <v>Building</v>
      </c>
      <c r="D4079" s="2" t="str">
        <f ca="1">IFERROR(__xludf.DUMMYFUNCTION("""COMPUTED_VALUE"""),"Abu Dhabi&gt;Al Raha Beach&gt;P-2777")</f>
        <v>Abu Dhabi&gt;Al Raha Beach&gt;P-2777</v>
      </c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</row>
    <row r="4080" spans="1:26" ht="16.5" x14ac:dyDescent="0.35">
      <c r="A4080" s="2" t="str">
        <f ca="1">IFERROR(__xludf.DUMMYFUNCTION("""COMPUTED_VALUE"""),"Abu Dhabi")</f>
        <v>Abu Dhabi</v>
      </c>
      <c r="B4080" s="2" t="str">
        <f ca="1">IFERROR(__xludf.DUMMYFUNCTION("""COMPUTED_VALUE"""),"Abu Dhabi Indian School")</f>
        <v>Abu Dhabi Indian School</v>
      </c>
      <c r="C4080" s="2" t="str">
        <f ca="1">IFERROR(__xludf.DUMMYFUNCTION("""COMPUTED_VALUE"""),"School")</f>
        <v>School</v>
      </c>
      <c r="D4080" s="2" t="str">
        <f ca="1">IFERROR(__xludf.DUMMYFUNCTION("""COMPUTED_VALUE"""),"Abu Dhabi&gt;Al Muroor&gt;Abu Dhabi Indian School")</f>
        <v>Abu Dhabi&gt;Al Muroor&gt;Abu Dhabi Indian School</v>
      </c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</row>
    <row r="4081" spans="1:26" ht="16.5" x14ac:dyDescent="0.35">
      <c r="A4081" s="2" t="str">
        <f ca="1">IFERROR(__xludf.DUMMYFUNCTION("""COMPUTED_VALUE"""),"Abu Dhabi")</f>
        <v>Abu Dhabi</v>
      </c>
      <c r="B4081" s="2" t="str">
        <f ca="1">IFERROR(__xludf.DUMMYFUNCTION("""COMPUTED_VALUE"""),"Elite Private School, Abu Dhabi")</f>
        <v>Elite Private School, Abu Dhabi</v>
      </c>
      <c r="C4081" s="2" t="str">
        <f ca="1">IFERROR(__xludf.DUMMYFUNCTION("""COMPUTED_VALUE"""),"School")</f>
        <v>School</v>
      </c>
      <c r="D4081" s="2" t="str">
        <f ca="1">IFERROR(__xludf.DUMMYFUNCTION("""COMPUTED_VALUE"""),"Abu Dhabi&gt;Mohamed Bin Zayed City&gt;Elite Private School, Abu Dhabi")</f>
        <v>Abu Dhabi&gt;Mohamed Bin Zayed City&gt;Elite Private School, Abu Dhabi</v>
      </c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</row>
    <row r="4082" spans="1:26" ht="16.5" x14ac:dyDescent="0.35">
      <c r="A4082" s="2" t="str">
        <f ca="1">IFERROR(__xludf.DUMMYFUNCTION("""COMPUTED_VALUE"""),"Abu Dhabi")</f>
        <v>Abu Dhabi</v>
      </c>
      <c r="B4082" s="2" t="str">
        <f ca="1">IFERROR(__xludf.DUMMYFUNCTION("""COMPUTED_VALUE"""),"Zone 17")</f>
        <v>Zone 17</v>
      </c>
      <c r="C4082" s="2" t="str">
        <f ca="1">IFERROR(__xludf.DUMMYFUNCTION("""COMPUTED_VALUE"""),"Neighbourhood")</f>
        <v>Neighbourhood</v>
      </c>
      <c r="D4082" s="2" t="str">
        <f ca="1">IFERROR(__xludf.DUMMYFUNCTION("""COMPUTED_VALUE"""),"Abu Dhabi&gt;Mohamed Bin Zayed City&gt;Zone 17")</f>
        <v>Abu Dhabi&gt;Mohamed Bin Zayed City&gt;Zone 17</v>
      </c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</row>
    <row r="4083" spans="1:26" ht="16.5" x14ac:dyDescent="0.35">
      <c r="A4083" s="2" t="str">
        <f ca="1">IFERROR(__xludf.DUMMYFUNCTION("""COMPUTED_VALUE"""),"Abu Dhabi")</f>
        <v>Abu Dhabi</v>
      </c>
      <c r="B4083" s="2" t="str">
        <f ca="1">IFERROR(__xludf.DUMMYFUNCTION("""COMPUTED_VALUE"""),"Shabiya 09")</f>
        <v>Shabiya 09</v>
      </c>
      <c r="C4083" s="2" t="str">
        <f ca="1">IFERROR(__xludf.DUMMYFUNCTION("""COMPUTED_VALUE"""),"Neighbourhood")</f>
        <v>Neighbourhood</v>
      </c>
      <c r="D4083" s="2" t="str">
        <f ca="1">IFERROR(__xludf.DUMMYFUNCTION("""COMPUTED_VALUE"""),"Abu Dhabi&gt;Mohamed Bin Zayed City&gt;Mussafah Community&gt;Shabiya 09")</f>
        <v>Abu Dhabi&gt;Mohamed Bin Zayed City&gt;Mussafah Community&gt;Shabiya 09</v>
      </c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</row>
    <row r="4084" spans="1:26" ht="16.5" x14ac:dyDescent="0.35">
      <c r="A4084" s="2" t="str">
        <f ca="1">IFERROR(__xludf.DUMMYFUNCTION("""COMPUTED_VALUE"""),"Abu Dhabi")</f>
        <v>Abu Dhabi</v>
      </c>
      <c r="B4084" s="2" t="str">
        <f ca="1">IFERROR(__xludf.DUMMYFUNCTION("""COMPUTED_VALUE"""),"Building 18")</f>
        <v>Building 18</v>
      </c>
      <c r="C4084" s="2" t="str">
        <f ca="1">IFERROR(__xludf.DUMMYFUNCTION("""COMPUTED_VALUE"""),"Building")</f>
        <v>Building</v>
      </c>
      <c r="D4084" s="2" t="str">
        <f ca="1">IFERROR(__xludf.DUMMYFUNCTION("""COMPUTED_VALUE"""),"Abu Dhabi&gt;Al Reef&gt;Al Reef Downtown&gt;Building 18")</f>
        <v>Abu Dhabi&gt;Al Reef&gt;Al Reef Downtown&gt;Building 18</v>
      </c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</row>
    <row r="4085" spans="1:26" ht="16.5" x14ac:dyDescent="0.35">
      <c r="A4085" s="2" t="str">
        <f ca="1">IFERROR(__xludf.DUMMYFUNCTION("""COMPUTED_VALUE"""),"Abu Dhabi")</f>
        <v>Abu Dhabi</v>
      </c>
      <c r="B4085" s="2" t="str">
        <f ca="1">IFERROR(__xludf.DUMMYFUNCTION("""COMPUTED_VALUE"""),"Zone 1")</f>
        <v>Zone 1</v>
      </c>
      <c r="C4085" s="2" t="str">
        <f ca="1">IFERROR(__xludf.DUMMYFUNCTION("""COMPUTED_VALUE"""),"Neighbourhood")</f>
        <v>Neighbourhood</v>
      </c>
      <c r="D4085" s="2" t="str">
        <f ca="1">IFERROR(__xludf.DUMMYFUNCTION("""COMPUTED_VALUE"""),"Abu Dhabi&gt;Hydra Village&gt;Zone 1")</f>
        <v>Abu Dhabi&gt;Hydra Village&gt;Zone 1</v>
      </c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</row>
    <row r="4086" spans="1:26" ht="16.5" x14ac:dyDescent="0.35">
      <c r="A4086" s="2" t="str">
        <f ca="1">IFERROR(__xludf.DUMMYFUNCTION("""COMPUTED_VALUE"""),"Abu Dhabi")</f>
        <v>Abu Dhabi</v>
      </c>
      <c r="B4086" s="2" t="str">
        <f ca="1">IFERROR(__xludf.DUMMYFUNCTION("""COMPUTED_VALUE"""),"Rawdhat Abu Dhabi")</f>
        <v>Rawdhat Abu Dhabi</v>
      </c>
      <c r="C4086" s="2" t="str">
        <f ca="1">IFERROR(__xludf.DUMMYFUNCTION("""COMPUTED_VALUE"""),"Neighbourhood")</f>
        <v>Neighbourhood</v>
      </c>
      <c r="D4086" s="2" t="str">
        <f ca="1">IFERROR(__xludf.DUMMYFUNCTION("""COMPUTED_VALUE"""),"Abu Dhabi&gt;Rawdhat Abu Dhabi")</f>
        <v>Abu Dhabi&gt;Rawdhat Abu Dhabi</v>
      </c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</row>
    <row r="4087" spans="1:26" ht="16.5" x14ac:dyDescent="0.35">
      <c r="A4087" s="2" t="str">
        <f ca="1">IFERROR(__xludf.DUMMYFUNCTION("""COMPUTED_VALUE"""),"Abu Dhabi")</f>
        <v>Abu Dhabi</v>
      </c>
      <c r="B4087" s="2" t="str">
        <f ca="1">IFERROR(__xludf.DUMMYFUNCTION("""COMPUTED_VALUE"""),"Zayed Military City Tower 7")</f>
        <v>Zayed Military City Tower 7</v>
      </c>
      <c r="C4087" s="2" t="str">
        <f ca="1">IFERROR(__xludf.DUMMYFUNCTION("""COMPUTED_VALUE"""),"Building")</f>
        <v>Building</v>
      </c>
      <c r="D4087" s="2" t="str">
        <f ca="1">IFERROR(__xludf.DUMMYFUNCTION("""COMPUTED_VALUE"""),"Abu Dhabi&gt;Zayed Military City&gt;Zayed Military City Tower 7")</f>
        <v>Abu Dhabi&gt;Zayed Military City&gt;Zayed Military City Tower 7</v>
      </c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</row>
    <row r="4088" spans="1:26" ht="16.5" x14ac:dyDescent="0.35">
      <c r="A4088" s="2" t="str">
        <f ca="1">IFERROR(__xludf.DUMMYFUNCTION("""COMPUTED_VALUE"""),"Abu Dhabi")</f>
        <v>Abu Dhabi</v>
      </c>
      <c r="B4088" s="2" t="str">
        <f ca="1">IFERROR(__xludf.DUMMYFUNCTION("""COMPUTED_VALUE"""),"Noya Luma")</f>
        <v>Noya Luma</v>
      </c>
      <c r="C4088" s="2" t="str">
        <f ca="1">IFERROR(__xludf.DUMMYFUNCTION("""COMPUTED_VALUE"""),"Neighbourhood")</f>
        <v>Neighbourhood</v>
      </c>
      <c r="D4088" s="2" t="str">
        <f ca="1">IFERROR(__xludf.DUMMYFUNCTION("""COMPUTED_VALUE"""),"Abu Dhabi&gt;Yas Island&gt;Noya Luma")</f>
        <v>Abu Dhabi&gt;Yas Island&gt;Noya Luma</v>
      </c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</row>
    <row r="4089" spans="1:26" ht="16.5" x14ac:dyDescent="0.35">
      <c r="A4089" s="2" t="str">
        <f ca="1">IFERROR(__xludf.DUMMYFUNCTION("""COMPUTED_VALUE"""),"Abu Dhabi")</f>
        <v>Abu Dhabi</v>
      </c>
      <c r="B4089" s="2" t="str">
        <f ca="1">IFERROR(__xludf.DUMMYFUNCTION("""COMPUTED_VALUE"""),"Yas Park Views")</f>
        <v>Yas Park Views</v>
      </c>
      <c r="C4089" s="2" t="str">
        <f ca="1">IFERROR(__xludf.DUMMYFUNCTION("""COMPUTED_VALUE"""),"Neighbourhood")</f>
        <v>Neighbourhood</v>
      </c>
      <c r="D4089" s="2" t="str">
        <f ca="1">IFERROR(__xludf.DUMMYFUNCTION("""COMPUTED_VALUE"""),"Abu Dhabi&gt;Yas Island&gt;Yas Park Views")</f>
        <v>Abu Dhabi&gt;Yas Island&gt;Yas Park Views</v>
      </c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</row>
    <row r="4090" spans="1:26" ht="16.5" x14ac:dyDescent="0.35">
      <c r="A4090" s="2" t="str">
        <f ca="1">IFERROR(__xludf.DUMMYFUNCTION("""COMPUTED_VALUE"""),"Abu Dhabi")</f>
        <v>Abu Dhabi</v>
      </c>
      <c r="B4090" s="2" t="str">
        <f ca="1">IFERROR(__xludf.DUMMYFUNCTION("""COMPUTED_VALUE"""),"Ramhan Island")</f>
        <v>Ramhan Island</v>
      </c>
      <c r="C4090" s="2" t="str">
        <f ca="1">IFERROR(__xludf.DUMMYFUNCTION("""COMPUTED_VALUE"""),"Neighbourhood")</f>
        <v>Neighbourhood</v>
      </c>
      <c r="D4090" s="2" t="str">
        <f ca="1">IFERROR(__xludf.DUMMYFUNCTION("""COMPUTED_VALUE"""),"Abu Dhabi&gt;Ramhan Island")</f>
        <v>Abu Dhabi&gt;Ramhan Island</v>
      </c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</row>
    <row r="4091" spans="1:26" ht="16.5" x14ac:dyDescent="0.35">
      <c r="A4091" s="2" t="str">
        <f ca="1">IFERROR(__xludf.DUMMYFUNCTION("""COMPUTED_VALUE"""),"Abu Dhabi")</f>
        <v>Abu Dhabi</v>
      </c>
      <c r="B4091" s="2" t="str">
        <f ca="1">IFERROR(__xludf.DUMMYFUNCTION("""COMPUTED_VALUE"""),"Desert Towers")</f>
        <v>Desert Towers</v>
      </c>
      <c r="C4091" s="2"/>
      <c r="D4091" s="2" t="str">
        <f ca="1">IFERROR(__xludf.DUMMYFUNCTION("""COMPUTED_VALUE"""),"Abu Dhabi&gt;Mussafah&gt;Desert Towers")</f>
        <v>Abu Dhabi&gt;Mussafah&gt;Desert Towers</v>
      </c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</row>
    <row r="4092" spans="1:26" ht="16.5" x14ac:dyDescent="0.35">
      <c r="A4092" s="2" t="str">
        <f ca="1">IFERROR(__xludf.DUMMYFUNCTION("""COMPUTED_VALUE"""),"Ajman")</f>
        <v>Ajman</v>
      </c>
      <c r="B4092" s="2" t="str">
        <f ca="1">IFERROR(__xludf.DUMMYFUNCTION("""COMPUTED_VALUE"""),"The National Charity School")</f>
        <v>The National Charity School</v>
      </c>
      <c r="C4092" s="2" t="str">
        <f ca="1">IFERROR(__xludf.DUMMYFUNCTION("""COMPUTED_VALUE"""),"School")</f>
        <v>School</v>
      </c>
      <c r="D4092" s="2" t="str">
        <f ca="1">IFERROR(__xludf.DUMMYFUNCTION("""COMPUTED_VALUE"""),"Ajman&gt;Liwara 2&gt;The National Charity School")</f>
        <v>Ajman&gt;Liwara 2&gt;The National Charity School</v>
      </c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</row>
    <row r="4093" spans="1:26" ht="16.5" x14ac:dyDescent="0.35">
      <c r="A4093" s="2" t="str">
        <f ca="1">IFERROR(__xludf.DUMMYFUNCTION("""COMPUTED_VALUE"""),"Ajman")</f>
        <v>Ajman</v>
      </c>
      <c r="B4093" s="2" t="str">
        <f ca="1">IFERROR(__xludf.DUMMYFUNCTION("""COMPUTED_VALUE"""),"Chapal The Legacy")</f>
        <v>Chapal The Legacy</v>
      </c>
      <c r="C4093" s="2" t="str">
        <f ca="1">IFERROR(__xludf.DUMMYFUNCTION("""COMPUTED_VALUE"""),"Building")</f>
        <v>Building</v>
      </c>
      <c r="D4093" s="2" t="str">
        <f ca="1">IFERROR(__xludf.DUMMYFUNCTION("""COMPUTED_VALUE"""),"Ajman&gt;Emirates City&gt;Chapal The Legacy")</f>
        <v>Ajman&gt;Emirates City&gt;Chapal The Legacy</v>
      </c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</row>
    <row r="4094" spans="1:26" ht="16.5" x14ac:dyDescent="0.35">
      <c r="A4094" s="2" t="str">
        <f ca="1">IFERROR(__xludf.DUMMYFUNCTION("""COMPUTED_VALUE"""),"Ajman")</f>
        <v>Ajman</v>
      </c>
      <c r="B4094" s="2" t="str">
        <f ca="1">IFERROR(__xludf.DUMMYFUNCTION("""COMPUTED_VALUE"""),"Waves Tower")</f>
        <v>Waves Tower</v>
      </c>
      <c r="C4094" s="2" t="str">
        <f ca="1">IFERROR(__xludf.DUMMYFUNCTION("""COMPUTED_VALUE"""),"Building")</f>
        <v>Building</v>
      </c>
      <c r="D4094" s="2" t="str">
        <f ca="1">IFERROR(__xludf.DUMMYFUNCTION("""COMPUTED_VALUE"""),"Ajman&gt;Emirates City&gt;Waves Tower")</f>
        <v>Ajman&gt;Emirates City&gt;Waves Tower</v>
      </c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</row>
    <row r="4095" spans="1:26" ht="16.5" x14ac:dyDescent="0.35">
      <c r="A4095" s="2" t="str">
        <f ca="1">IFERROR(__xludf.DUMMYFUNCTION("""COMPUTED_VALUE"""),"Ajman")</f>
        <v>Ajman</v>
      </c>
      <c r="B4095" s="2" t="str">
        <f ca="1">IFERROR(__xludf.DUMMYFUNCTION("""COMPUTED_VALUE"""),"Horizon Tower")</f>
        <v>Horizon Tower</v>
      </c>
      <c r="C4095" s="2" t="str">
        <f ca="1">IFERROR(__xludf.DUMMYFUNCTION("""COMPUTED_VALUE"""),"Building")</f>
        <v>Building</v>
      </c>
      <c r="D4095" s="2" t="str">
        <f ca="1">IFERROR(__xludf.DUMMYFUNCTION("""COMPUTED_VALUE"""),"Ajman&gt;Ajman Downtown&gt;Horizon Tower")</f>
        <v>Ajman&gt;Ajman Downtown&gt;Horizon Tower</v>
      </c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</row>
    <row r="4096" spans="1:26" ht="16.5" x14ac:dyDescent="0.35">
      <c r="A4096" s="2" t="str">
        <f ca="1">IFERROR(__xludf.DUMMYFUNCTION("""COMPUTED_VALUE"""),"Ajman")</f>
        <v>Ajman</v>
      </c>
      <c r="B4096" s="2" t="str">
        <f ca="1">IFERROR(__xludf.DUMMYFUNCTION("""COMPUTED_VALUE"""),"Al Rashidiya")</f>
        <v>Al Rashidiya</v>
      </c>
      <c r="C4096" s="2" t="str">
        <f ca="1">IFERROR(__xludf.DUMMYFUNCTION("""COMPUTED_VALUE"""),"Neighbourhood")</f>
        <v>Neighbourhood</v>
      </c>
      <c r="D4096" s="2" t="str">
        <f ca="1">IFERROR(__xludf.DUMMYFUNCTION("""COMPUTED_VALUE"""),"Ajman&gt;Al Rashidiya")</f>
        <v>Ajman&gt;Al Rashidiya</v>
      </c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</row>
    <row r="4097" spans="1:26" ht="16.5" x14ac:dyDescent="0.35">
      <c r="A4097" s="2" t="str">
        <f ca="1">IFERROR(__xludf.DUMMYFUNCTION("""COMPUTED_VALUE"""),"Ajman")</f>
        <v>Ajman</v>
      </c>
      <c r="B4097" s="2" t="str">
        <f ca="1">IFERROR(__xludf.DUMMYFUNCTION("""COMPUTED_VALUE"""),"Ajman One Tower 1")</f>
        <v>Ajman One Tower 1</v>
      </c>
      <c r="C4097" s="2"/>
      <c r="D4097" s="2" t="str">
        <f ca="1">IFERROR(__xludf.DUMMYFUNCTION("""COMPUTED_VALUE"""),"Ajman&gt;Al Rashidiya&gt;Al Rashidiya 3&gt;Ajman One Towers&gt;Ajman One Tower 1")</f>
        <v>Ajman&gt;Al Rashidiya&gt;Al Rashidiya 3&gt;Ajman One Towers&gt;Ajman One Tower 1</v>
      </c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</row>
    <row r="4098" spans="1:26" ht="16.5" x14ac:dyDescent="0.35">
      <c r="A4098" s="2" t="str">
        <f ca="1">IFERROR(__xludf.DUMMYFUNCTION("""COMPUTED_VALUE"""),"Ajman")</f>
        <v>Ajman</v>
      </c>
      <c r="B4098" s="2" t="str">
        <f ca="1">IFERROR(__xludf.DUMMYFUNCTION("""COMPUTED_VALUE"""),"Ajman Corniche Residence")</f>
        <v>Ajman Corniche Residence</v>
      </c>
      <c r="C4098" s="2" t="str">
        <f ca="1">IFERROR(__xludf.DUMMYFUNCTION("""COMPUTED_VALUE"""),"Building")</f>
        <v>Building</v>
      </c>
      <c r="D4098" s="2" t="str">
        <f ca="1">IFERROR(__xludf.DUMMYFUNCTION("""COMPUTED_VALUE"""),"Ajman&gt;Corniche Ajman&gt;Ajman Corniche Residence")</f>
        <v>Ajman&gt;Corniche Ajman&gt;Ajman Corniche Residence</v>
      </c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</row>
    <row r="4099" spans="1:26" ht="16.5" x14ac:dyDescent="0.35">
      <c r="A4099" s="2" t="str">
        <f ca="1">IFERROR(__xludf.DUMMYFUNCTION("""COMPUTED_VALUE"""),"Ajman")</f>
        <v>Ajman</v>
      </c>
      <c r="B4099" s="2" t="str">
        <f ca="1">IFERROR(__xludf.DUMMYFUNCTION("""COMPUTED_VALUE"""),"Skymax Burj Al Ain")</f>
        <v>Skymax Burj Al Ain</v>
      </c>
      <c r="C4099" s="2"/>
      <c r="D4099" s="2" t="str">
        <f ca="1">IFERROR(__xludf.DUMMYFUNCTION("""COMPUTED_VALUE"""),"Ajman&gt;Ain Ajman&gt;Skymax Burj Al Ain")</f>
        <v>Ajman&gt;Ain Ajman&gt;Skymax Burj Al Ain</v>
      </c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</row>
    <row r="4100" spans="1:26" ht="16.5" x14ac:dyDescent="0.35">
      <c r="A4100" s="2" t="str">
        <f ca="1">IFERROR(__xludf.DUMMYFUNCTION("""COMPUTED_VALUE"""),"Ajman")</f>
        <v>Ajman</v>
      </c>
      <c r="B4100" s="2" t="str">
        <f ca="1">IFERROR(__xludf.DUMMYFUNCTION("""COMPUTED_VALUE"""),"Al Ameera Village A1")</f>
        <v>Al Ameera Village A1</v>
      </c>
      <c r="C4100" s="2" t="str">
        <f ca="1">IFERROR(__xludf.DUMMYFUNCTION("""COMPUTED_VALUE"""),"Building")</f>
        <v>Building</v>
      </c>
      <c r="D4100" s="2" t="str">
        <f ca="1">IFERROR(__xludf.DUMMYFUNCTION("""COMPUTED_VALUE"""),"Ajman&gt;Al Yasmeen&gt;Al Ameera Village&gt;Al Ameera Village A1")</f>
        <v>Ajman&gt;Al Yasmeen&gt;Al Ameera Village&gt;Al Ameera Village A1</v>
      </c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</row>
    <row r="4101" spans="1:26" ht="16.5" x14ac:dyDescent="0.35">
      <c r="A4101" s="2" t="str">
        <f ca="1">IFERROR(__xludf.DUMMYFUNCTION("""COMPUTED_VALUE"""),"Ajman")</f>
        <v>Ajman</v>
      </c>
      <c r="B4101" s="2" t="str">
        <f ca="1">IFERROR(__xludf.DUMMYFUNCTION("""COMPUTED_VALUE"""),"Al Nakhil")</f>
        <v>Al Nakhil</v>
      </c>
      <c r="C4101" s="2" t="str">
        <f ca="1">IFERROR(__xludf.DUMMYFUNCTION("""COMPUTED_VALUE"""),"Neighbourhood")</f>
        <v>Neighbourhood</v>
      </c>
      <c r="D4101" s="2" t="str">
        <f ca="1">IFERROR(__xludf.DUMMYFUNCTION("""COMPUTED_VALUE"""),"Ajman&gt;Al Nakhil")</f>
        <v>Ajman&gt;Al Nakhil</v>
      </c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</row>
    <row r="4102" spans="1:26" ht="16.5" x14ac:dyDescent="0.35">
      <c r="A4102" s="2" t="str">
        <f ca="1">IFERROR(__xludf.DUMMYFUNCTION("""COMPUTED_VALUE"""),"Ajman")</f>
        <v>Ajman</v>
      </c>
      <c r="B4102" s="2" t="str">
        <f ca="1">IFERROR(__xludf.DUMMYFUNCTION("""COMPUTED_VALUE"""),"Tide Tower")</f>
        <v>Tide Tower</v>
      </c>
      <c r="C4102" s="2"/>
      <c r="D4102" s="2" t="str">
        <f ca="1">IFERROR(__xludf.DUMMYFUNCTION("""COMPUTED_VALUE"""),"Ajman&gt;Al Humaid City&gt;Tide Tower")</f>
        <v>Ajman&gt;Al Humaid City&gt;Tide Tower</v>
      </c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</row>
    <row r="4103" spans="1:26" ht="16.5" x14ac:dyDescent="0.35">
      <c r="A4103" s="2" t="str">
        <f ca="1">IFERROR(__xludf.DUMMYFUNCTION("""COMPUTED_VALUE"""),"Ajman")</f>
        <v>Ajman</v>
      </c>
      <c r="B4103" s="2" t="str">
        <f ca="1">IFERROR(__xludf.DUMMYFUNCTION("""COMPUTED_VALUE"""),"Al Hikmah Private School -nuaimya")</f>
        <v>Al Hikmah Private School -nuaimya</v>
      </c>
      <c r="C4103" s="2" t="str">
        <f ca="1">IFERROR(__xludf.DUMMYFUNCTION("""COMPUTED_VALUE"""),"School")</f>
        <v>School</v>
      </c>
      <c r="D4103" s="2" t="str">
        <f ca="1">IFERROR(__xludf.DUMMYFUNCTION("""COMPUTED_VALUE"""),"Ajman&gt;Al Nuaimiya&gt;Al Nuaimiya 1&gt;Al Hikmah Private School -nuaimya")</f>
        <v>Ajman&gt;Al Nuaimiya&gt;Al Nuaimiya 1&gt;Al Hikmah Private School -nuaimya</v>
      </c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</row>
    <row r="4104" spans="1:26" ht="16.5" x14ac:dyDescent="0.35">
      <c r="A4104" s="2" t="str">
        <f ca="1">IFERROR(__xludf.DUMMYFUNCTION("""COMPUTED_VALUE"""),"Ajman")</f>
        <v>Ajman</v>
      </c>
      <c r="B4104" s="2" t="str">
        <f ca="1">IFERROR(__xludf.DUMMYFUNCTION("""COMPUTED_VALUE"""),"Pariz Tower")</f>
        <v>Pariz Tower</v>
      </c>
      <c r="C4104" s="2" t="str">
        <f ca="1">IFERROR(__xludf.DUMMYFUNCTION("""COMPUTED_VALUE"""),"Building")</f>
        <v>Building</v>
      </c>
      <c r="D4104" s="2" t="str">
        <f ca="1">IFERROR(__xludf.DUMMYFUNCTION("""COMPUTED_VALUE"""),"Ajman&gt;Al Nuaimiya&gt;Al Nuaimiya 2&gt;Pariz Tower")</f>
        <v>Ajman&gt;Al Nuaimiya&gt;Al Nuaimiya 2&gt;Pariz Tower</v>
      </c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</row>
    <row r="4105" spans="1:26" ht="16.5" x14ac:dyDescent="0.35">
      <c r="A4105" s="2" t="str">
        <f ca="1">IFERROR(__xludf.DUMMYFUNCTION("""COMPUTED_VALUE"""),"Sharjah")</f>
        <v>Sharjah</v>
      </c>
      <c r="B4105" s="2" t="str">
        <f ca="1">IFERROR(__xludf.DUMMYFUNCTION("""COMPUTED_VALUE"""),"Sahara Tower 4")</f>
        <v>Sahara Tower 4</v>
      </c>
      <c r="C4105" s="2" t="str">
        <f ca="1">IFERROR(__xludf.DUMMYFUNCTION("""COMPUTED_VALUE"""),"Building")</f>
        <v>Building</v>
      </c>
      <c r="D4105" s="2" t="str">
        <f ca="1">IFERROR(__xludf.DUMMYFUNCTION("""COMPUTED_VALUE"""),"Sharjah&gt;Al Nahda (Sharjah)&gt;Sahara Towers&gt;Sahara Tower 4")</f>
        <v>Sharjah&gt;Al Nahda (Sharjah)&gt;Sahara Towers&gt;Sahara Tower 4</v>
      </c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</row>
    <row r="4106" spans="1:26" ht="16.5" x14ac:dyDescent="0.35">
      <c r="A4106" s="2" t="str">
        <f ca="1">IFERROR(__xludf.DUMMYFUNCTION("""COMPUTED_VALUE"""),"Sharjah")</f>
        <v>Sharjah</v>
      </c>
      <c r="B4106" s="2" t="str">
        <f ca="1">IFERROR(__xludf.DUMMYFUNCTION("""COMPUTED_VALUE"""),"Ali Omran Building")</f>
        <v>Ali Omran Building</v>
      </c>
      <c r="C4106" s="2"/>
      <c r="D4106" s="2" t="str">
        <f ca="1">IFERROR(__xludf.DUMMYFUNCTION("""COMPUTED_VALUE"""),"Sharjah&gt;Al Nahda (Sharjah)&gt;Ali Omran Building")</f>
        <v>Sharjah&gt;Al Nahda (Sharjah)&gt;Ali Omran Building</v>
      </c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</row>
    <row r="4107" spans="1:26" ht="16.5" x14ac:dyDescent="0.35">
      <c r="A4107" s="2" t="str">
        <f ca="1">IFERROR(__xludf.DUMMYFUNCTION("""COMPUTED_VALUE"""),"Sharjah")</f>
        <v>Sharjah</v>
      </c>
      <c r="B4107" s="2" t="str">
        <f ca="1">IFERROR(__xludf.DUMMYFUNCTION("""COMPUTED_VALUE"""),"Al Daghaya Tower")</f>
        <v>Al Daghaya Tower</v>
      </c>
      <c r="C4107" s="2" t="str">
        <f ca="1">IFERROR(__xludf.DUMMYFUNCTION("""COMPUTED_VALUE"""),"Building")</f>
        <v>Building</v>
      </c>
      <c r="D4107" s="2" t="str">
        <f ca="1">IFERROR(__xludf.DUMMYFUNCTION("""COMPUTED_VALUE"""),"Sharjah&gt;Al Nahda (Sharjah)&gt;Al Daghaya Tower")</f>
        <v>Sharjah&gt;Al Nahda (Sharjah)&gt;Al Daghaya Tower</v>
      </c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</row>
    <row r="4108" spans="1:26" ht="16.5" x14ac:dyDescent="0.35">
      <c r="A4108" s="2" t="str">
        <f ca="1">IFERROR(__xludf.DUMMYFUNCTION("""COMPUTED_VALUE"""),"Sharjah")</f>
        <v>Sharjah</v>
      </c>
      <c r="B4108" s="2" t="str">
        <f ca="1">IFERROR(__xludf.DUMMYFUNCTION("""COMPUTED_VALUE"""),"Lily Tower")</f>
        <v>Lily Tower</v>
      </c>
      <c r="C4108" s="2"/>
      <c r="D4108" s="2" t="str">
        <f ca="1">IFERROR(__xludf.DUMMYFUNCTION("""COMPUTED_VALUE"""),"Sharjah&gt;Al Nahda (Sharjah)&gt;Lily Tower")</f>
        <v>Sharjah&gt;Al Nahda (Sharjah)&gt;Lily Tower</v>
      </c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</row>
    <row r="4109" spans="1:26" ht="16.5" x14ac:dyDescent="0.35">
      <c r="A4109" s="2" t="str">
        <f ca="1">IFERROR(__xludf.DUMMYFUNCTION("""COMPUTED_VALUE"""),"Sharjah")</f>
        <v>Sharjah</v>
      </c>
      <c r="B4109" s="2" t="str">
        <f ca="1">IFERROR(__xludf.DUMMYFUNCTION("""COMPUTED_VALUE"""),"Abdul Wahed Bin Shabib Building")</f>
        <v>Abdul Wahed Bin Shabib Building</v>
      </c>
      <c r="C4109" s="2" t="str">
        <f ca="1">IFERROR(__xludf.DUMMYFUNCTION("""COMPUTED_VALUE"""),"Building")</f>
        <v>Building</v>
      </c>
      <c r="D4109" s="2" t="str">
        <f ca="1">IFERROR(__xludf.DUMMYFUNCTION("""COMPUTED_VALUE"""),"Sharjah&gt;Al Nahda (Sharjah)&gt;Abdul Wahed Bin Shabib Building")</f>
        <v>Sharjah&gt;Al Nahda (Sharjah)&gt;Abdul Wahed Bin Shabib Building</v>
      </c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</row>
    <row r="4110" spans="1:26" ht="16.5" x14ac:dyDescent="0.35">
      <c r="A4110" s="2" t="str">
        <f ca="1">IFERROR(__xludf.DUMMYFUNCTION("""COMPUTED_VALUE"""),"Sharjah")</f>
        <v>Sharjah</v>
      </c>
      <c r="B4110" s="2" t="str">
        <f ca="1">IFERROR(__xludf.DUMMYFUNCTION("""COMPUTED_VALUE"""),"Ajwan")</f>
        <v>Ajwan</v>
      </c>
      <c r="C4110" s="2" t="str">
        <f ca="1">IFERROR(__xludf.DUMMYFUNCTION("""COMPUTED_VALUE"""),"Neighbourhood")</f>
        <v>Neighbourhood</v>
      </c>
      <c r="D4110" s="2" t="str">
        <f ca="1">IFERROR(__xludf.DUMMYFUNCTION("""COMPUTED_VALUE"""),"Sharjah&gt;Khor Fakkan&gt;Ajwan")</f>
        <v>Sharjah&gt;Khor Fakkan&gt;Ajwan</v>
      </c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</row>
    <row r="4111" spans="1:26" ht="16.5" x14ac:dyDescent="0.35">
      <c r="A4111" s="2" t="str">
        <f ca="1">IFERROR(__xludf.DUMMYFUNCTION("""COMPUTED_VALUE"""),"Sharjah")</f>
        <v>Sharjah</v>
      </c>
      <c r="B4111" s="2" t="str">
        <f ca="1">IFERROR(__xludf.DUMMYFUNCTION("""COMPUTED_VALUE"""),"Sokoon")</f>
        <v>Sokoon</v>
      </c>
      <c r="C4111" s="2" t="str">
        <f ca="1">IFERROR(__xludf.DUMMYFUNCTION("""COMPUTED_VALUE"""),"Cluster")</f>
        <v>Cluster</v>
      </c>
      <c r="D4111" s="2" t="str">
        <f ca="1">IFERROR(__xludf.DUMMYFUNCTION("""COMPUTED_VALUE"""),"Sharjah&gt;Aljada&gt;Naseej District&gt;Sokoon")</f>
        <v>Sharjah&gt;Aljada&gt;Naseej District&gt;Sokoon</v>
      </c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</row>
    <row r="4112" spans="1:26" ht="16.5" x14ac:dyDescent="0.35">
      <c r="A4112" s="2" t="str">
        <f ca="1">IFERROR(__xludf.DUMMYFUNCTION("""COMPUTED_VALUE"""),"Sharjah")</f>
        <v>Sharjah</v>
      </c>
      <c r="B4112" s="2" t="str">
        <f ca="1">IFERROR(__xludf.DUMMYFUNCTION("""COMPUTED_VALUE"""),"Nasaq 1")</f>
        <v>Nasaq 1</v>
      </c>
      <c r="C4112" s="2" t="str">
        <f ca="1">IFERROR(__xludf.DUMMYFUNCTION("""COMPUTED_VALUE"""),"Building")</f>
        <v>Building</v>
      </c>
      <c r="D4112" s="2" t="str">
        <f ca="1">IFERROR(__xludf.DUMMYFUNCTION("""COMPUTED_VALUE"""),"Sharjah&gt;Aljada&gt;Nasaq&gt;Nasaq 1")</f>
        <v>Sharjah&gt;Aljada&gt;Nasaq&gt;Nasaq 1</v>
      </c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</row>
    <row r="4113" spans="1:26" ht="16.5" x14ac:dyDescent="0.35">
      <c r="A4113" s="2" t="str">
        <f ca="1">IFERROR(__xludf.DUMMYFUNCTION("""COMPUTED_VALUE"""),"Sharjah")</f>
        <v>Sharjah</v>
      </c>
      <c r="B4113" s="2" t="str">
        <f ca="1">IFERROR(__xludf.DUMMYFUNCTION("""COMPUTED_VALUE"""),"Agricultural Falah")</f>
        <v>Agricultural Falah</v>
      </c>
      <c r="C4113" s="2" t="str">
        <f ca="1">IFERROR(__xludf.DUMMYFUNCTION("""COMPUTED_VALUE"""),"Neighbourhood")</f>
        <v>Neighbourhood</v>
      </c>
      <c r="D4113" s="2" t="str">
        <f ca="1">IFERROR(__xludf.DUMMYFUNCTION("""COMPUTED_VALUE"""),"Sharjah&gt;Agricultural Falah")</f>
        <v>Sharjah&gt;Agricultural Falah</v>
      </c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</row>
    <row r="4114" spans="1:26" ht="16.5" x14ac:dyDescent="0.35">
      <c r="A4114" s="2" t="str">
        <f ca="1">IFERROR(__xludf.DUMMYFUNCTION("""COMPUTED_VALUE"""),"Sharjah")</f>
        <v>Sharjah</v>
      </c>
      <c r="B4114" s="2" t="str">
        <f ca="1">IFERROR(__xludf.DUMMYFUNCTION("""COMPUTED_VALUE"""),"Prime Towers")</f>
        <v>Prime Towers</v>
      </c>
      <c r="C4114" s="2"/>
      <c r="D4114" s="2" t="str">
        <f ca="1">IFERROR(__xludf.DUMMYFUNCTION("""COMPUTED_VALUE"""),"Sharjah&gt;Abu Shagara&gt;Prime Towers")</f>
        <v>Sharjah&gt;Abu Shagara&gt;Prime Towers</v>
      </c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</row>
    <row r="4115" spans="1:26" ht="16.5" x14ac:dyDescent="0.35">
      <c r="A4115" s="2" t="str">
        <f ca="1">IFERROR(__xludf.DUMMYFUNCTION("""COMPUTED_VALUE"""),"Sharjah")</f>
        <v>Sharjah</v>
      </c>
      <c r="B4115" s="2" t="str">
        <f ca="1">IFERROR(__xludf.DUMMYFUNCTION("""COMPUTED_VALUE"""),"Al Mamzar")</f>
        <v>Al Mamzar</v>
      </c>
      <c r="C4115" s="2" t="str">
        <f ca="1">IFERROR(__xludf.DUMMYFUNCTION("""COMPUTED_VALUE"""),"Neighbourhood")</f>
        <v>Neighbourhood</v>
      </c>
      <c r="D4115" s="2" t="str">
        <f ca="1">IFERROR(__xludf.DUMMYFUNCTION("""COMPUTED_VALUE"""),"Sharjah&gt;Al Mamzar")</f>
        <v>Sharjah&gt;Al Mamzar</v>
      </c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</row>
    <row r="4116" spans="1:26" ht="16.5" x14ac:dyDescent="0.35">
      <c r="A4116" s="2" t="str">
        <f ca="1">IFERROR(__xludf.DUMMYFUNCTION("""COMPUTED_VALUE"""),"Sharjah")</f>
        <v>Sharjah</v>
      </c>
      <c r="B4116" s="2" t="str">
        <f ca="1">IFERROR(__xludf.DUMMYFUNCTION("""COMPUTED_VALUE"""),"Al Qarayen 4")</f>
        <v>Al Qarayen 4</v>
      </c>
      <c r="C4116" s="2" t="str">
        <f ca="1">IFERROR(__xludf.DUMMYFUNCTION("""COMPUTED_VALUE"""),"Neighbourhood")</f>
        <v>Neighbourhood</v>
      </c>
      <c r="D4116" s="2" t="str">
        <f ca="1">IFERROR(__xludf.DUMMYFUNCTION("""COMPUTED_VALUE"""),"Sharjah&gt;Al Qarayen&gt;Al Qarayen 4")</f>
        <v>Sharjah&gt;Al Qarayen&gt;Al Qarayen 4</v>
      </c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</row>
    <row r="4117" spans="1:26" ht="16.5" x14ac:dyDescent="0.35">
      <c r="A4117" s="2" t="str">
        <f ca="1">IFERROR(__xludf.DUMMYFUNCTION("""COMPUTED_VALUE"""),"Sharjah")</f>
        <v>Sharjah</v>
      </c>
      <c r="B4117" s="2" t="str">
        <f ca="1">IFERROR(__xludf.DUMMYFUNCTION("""COMPUTED_VALUE"""),"Sequoia")</f>
        <v>Sequoia</v>
      </c>
      <c r="C4117" s="2" t="str">
        <f ca="1">IFERROR(__xludf.DUMMYFUNCTION("""COMPUTED_VALUE"""),"Neighbourhood")</f>
        <v>Neighbourhood</v>
      </c>
      <c r="D4117" s="2" t="str">
        <f ca="1">IFERROR(__xludf.DUMMYFUNCTION("""COMPUTED_VALUE"""),"Sharjah&gt;Tilal City&gt;Masaar&gt;Sequoia")</f>
        <v>Sharjah&gt;Tilal City&gt;Masaar&gt;Sequoia</v>
      </c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</row>
    <row r="4118" spans="1:26" ht="16.5" x14ac:dyDescent="0.35">
      <c r="A4118" s="2" t="str">
        <f ca="1">IFERROR(__xludf.DUMMYFUNCTION("""COMPUTED_VALUE"""),"Sharjah")</f>
        <v>Sharjah</v>
      </c>
      <c r="B4118" s="2" t="str">
        <f ca="1">IFERROR(__xludf.DUMMYFUNCTION("""COMPUTED_VALUE"""),"Al Jazzat")</f>
        <v>Al Jazzat</v>
      </c>
      <c r="C4118" s="2" t="str">
        <f ca="1">IFERROR(__xludf.DUMMYFUNCTION("""COMPUTED_VALUE"""),"Neighbourhood")</f>
        <v>Neighbourhood</v>
      </c>
      <c r="D4118" s="2" t="str">
        <f ca="1">IFERROR(__xludf.DUMMYFUNCTION("""COMPUTED_VALUE"""),"Sharjah&gt;Al Jazzat")</f>
        <v>Sharjah&gt;Al Jazzat</v>
      </c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</row>
    <row r="4119" spans="1:26" ht="16.5" x14ac:dyDescent="0.35">
      <c r="A4119" s="2" t="str">
        <f ca="1">IFERROR(__xludf.DUMMYFUNCTION("""COMPUTED_VALUE"""),"Sharjah")</f>
        <v>Sharjah</v>
      </c>
      <c r="B4119" s="2" t="str">
        <f ca="1">IFERROR(__xludf.DUMMYFUNCTION("""COMPUTED_VALUE"""),"Al Jeaidi Building")</f>
        <v>Al Jeaidi Building</v>
      </c>
      <c r="C4119" s="2"/>
      <c r="D4119" s="2" t="str">
        <f ca="1">IFERROR(__xludf.DUMMYFUNCTION("""COMPUTED_VALUE"""),"Sharjah&gt;Al Musalla&gt;Al Jeaidi Building")</f>
        <v>Sharjah&gt;Al Musalla&gt;Al Jeaidi Building</v>
      </c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</row>
    <row r="4120" spans="1:26" ht="16.5" x14ac:dyDescent="0.35">
      <c r="A4120" s="2" t="str">
        <f ca="1">IFERROR(__xludf.DUMMYFUNCTION("""COMPUTED_VALUE"""),"Sharjah")</f>
        <v>Sharjah</v>
      </c>
      <c r="B4120" s="2" t="str">
        <f ca="1">IFERROR(__xludf.DUMMYFUNCTION("""COMPUTED_VALUE"""),"Al Ramaqiya")</f>
        <v>Al Ramaqiya</v>
      </c>
      <c r="C4120" s="2" t="str">
        <f ca="1">IFERROR(__xludf.DUMMYFUNCTION("""COMPUTED_VALUE"""),"Neighbourhood")</f>
        <v>Neighbourhood</v>
      </c>
      <c r="D4120" s="2" t="str">
        <f ca="1">IFERROR(__xludf.DUMMYFUNCTION("""COMPUTED_VALUE"""),"Sharjah&gt;Al Ramaqiya")</f>
        <v>Sharjah&gt;Al Ramaqiya</v>
      </c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</row>
    <row r="4121" spans="1:26" ht="16.5" x14ac:dyDescent="0.35">
      <c r="A4121" s="2" t="str">
        <f ca="1">IFERROR(__xludf.DUMMYFUNCTION("""COMPUTED_VALUE"""),"Sharjah")</f>
        <v>Sharjah</v>
      </c>
      <c r="B4121" s="2" t="str">
        <f ca="1">IFERROR(__xludf.DUMMYFUNCTION("""COMPUTED_VALUE"""),"Jumbo Building")</f>
        <v>Jumbo Building</v>
      </c>
      <c r="C4121" s="2"/>
      <c r="D4121" s="2" t="str">
        <f ca="1">IFERROR(__xludf.DUMMYFUNCTION("""COMPUTED_VALUE"""),"Sharjah&gt;Al Mareija&gt;Jumbo Building")</f>
        <v>Sharjah&gt;Al Mareija&gt;Jumbo Building</v>
      </c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</row>
    <row r="4122" spans="1:26" ht="16.5" x14ac:dyDescent="0.35">
      <c r="A4122" s="2" t="str">
        <f ca="1">IFERROR(__xludf.DUMMYFUNCTION("""COMPUTED_VALUE"""),"Sharjah")</f>
        <v>Sharjah</v>
      </c>
      <c r="B4122" s="2" t="str">
        <f ca="1">IFERROR(__xludf.DUMMYFUNCTION("""COMPUTED_VALUE"""),"Ajmal Makan City - Sharjah Waterfront")</f>
        <v>Ajmal Makan City - Sharjah Waterfront</v>
      </c>
      <c r="C4122" s="2" t="str">
        <f ca="1">IFERROR(__xludf.DUMMYFUNCTION("""COMPUTED_VALUE"""),"Neighbourhood")</f>
        <v>Neighbourhood</v>
      </c>
      <c r="D4122" s="2" t="str">
        <f ca="1">IFERROR(__xludf.DUMMYFUNCTION("""COMPUTED_VALUE"""),"Sharjah&gt;Ajmal Makan City - Sharjah Waterfront")</f>
        <v>Sharjah&gt;Ajmal Makan City - Sharjah Waterfront</v>
      </c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</row>
    <row r="4123" spans="1:26" ht="16.5" x14ac:dyDescent="0.35">
      <c r="A4123" s="2" t="str">
        <f ca="1">IFERROR(__xludf.DUMMYFUNCTION("""COMPUTED_VALUE"""),"Sharjah")</f>
        <v>Sharjah</v>
      </c>
      <c r="B4123" s="2" t="str">
        <f ca="1">IFERROR(__xludf.DUMMYFUNCTION("""COMPUTED_VALUE"""),"Kshisha 3")</f>
        <v>Kshisha 3</v>
      </c>
      <c r="C4123" s="2" t="str">
        <f ca="1">IFERROR(__xludf.DUMMYFUNCTION("""COMPUTED_VALUE"""),"Neighbourhood")</f>
        <v>Neighbourhood</v>
      </c>
      <c r="D4123" s="2" t="str">
        <f ca="1">IFERROR(__xludf.DUMMYFUNCTION("""COMPUTED_VALUE"""),"Sharjah&gt;Al Rahmaniya&gt;Kshisha 3")</f>
        <v>Sharjah&gt;Al Rahmaniya&gt;Kshisha 3</v>
      </c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</row>
    <row r="4124" spans="1:26" ht="16.5" x14ac:dyDescent="0.35">
      <c r="A4124" s="2" t="str">
        <f ca="1">IFERROR(__xludf.DUMMYFUNCTION("""COMPUTED_VALUE"""),"Sharjah")</f>
        <v>Sharjah</v>
      </c>
      <c r="B4124" s="2" t="str">
        <f ca="1">IFERROR(__xludf.DUMMYFUNCTION("""COMPUTED_VALUE"""),"English School of Kalba, Sharjah")</f>
        <v>English School of Kalba, Sharjah</v>
      </c>
      <c r="C4124" s="2" t="str">
        <f ca="1">IFERROR(__xludf.DUMMYFUNCTION("""COMPUTED_VALUE"""),"School")</f>
        <v>School</v>
      </c>
      <c r="D4124" s="2" t="str">
        <f ca="1">IFERROR(__xludf.DUMMYFUNCTION("""COMPUTED_VALUE"""),"Sharjah&gt;Kalba&gt;English School of Kalba, Sharjah")</f>
        <v>Sharjah&gt;Kalba&gt;English School of Kalba, Sharjah</v>
      </c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</row>
    <row r="4125" spans="1:26" ht="16.5" x14ac:dyDescent="0.35">
      <c r="A4125" s="2" t="str">
        <f ca="1">IFERROR(__xludf.DUMMYFUNCTION("""COMPUTED_VALUE"""),"Sharjah")</f>
        <v>Sharjah</v>
      </c>
      <c r="B4125" s="2" t="str">
        <f ca="1">IFERROR(__xludf.DUMMYFUNCTION("""COMPUTED_VALUE"""),"Manazil Tower 2")</f>
        <v>Manazil Tower 2</v>
      </c>
      <c r="C4125" s="2" t="str">
        <f ca="1">IFERROR(__xludf.DUMMYFUNCTION("""COMPUTED_VALUE"""),"Building")</f>
        <v>Building</v>
      </c>
      <c r="D4125" s="2" t="str">
        <f ca="1">IFERROR(__xludf.DUMMYFUNCTION("""COMPUTED_VALUE"""),"Sharjah&gt;Al Khan&gt;Manazil Tower 2")</f>
        <v>Sharjah&gt;Al Khan&gt;Manazil Tower 2</v>
      </c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</row>
    <row r="4126" spans="1:26" ht="16.5" x14ac:dyDescent="0.35">
      <c r="A4126" s="2" t="str">
        <f ca="1">IFERROR(__xludf.DUMMYFUNCTION("""COMPUTED_VALUE"""),"Sharjah")</f>
        <v>Sharjah</v>
      </c>
      <c r="B4126" s="2" t="str">
        <f ca="1">IFERROR(__xludf.DUMMYFUNCTION("""COMPUTED_VALUE"""),"Sahab Residences")</f>
        <v>Sahab Residences</v>
      </c>
      <c r="C4126" s="2" t="str">
        <f ca="1">IFERROR(__xludf.DUMMYFUNCTION("""COMPUTED_VALUE"""),"Building")</f>
        <v>Building</v>
      </c>
      <c r="D4126" s="2" t="str">
        <f ca="1">IFERROR(__xludf.DUMMYFUNCTION("""COMPUTED_VALUE"""),"Sharjah&gt;Al Khan&gt;Maryam Island&gt;Maryam Gate Residences&gt;Sahab Residences")</f>
        <v>Sharjah&gt;Al Khan&gt;Maryam Island&gt;Maryam Gate Residences&gt;Sahab Residences</v>
      </c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</row>
    <row r="4127" spans="1:26" ht="16.5" x14ac:dyDescent="0.35">
      <c r="A4127" s="2" t="str">
        <f ca="1">IFERROR(__xludf.DUMMYFUNCTION("""COMPUTED_VALUE"""),"Sharjah")</f>
        <v>Sharjah</v>
      </c>
      <c r="B4127" s="2" t="str">
        <f ca="1">IFERROR(__xludf.DUMMYFUNCTION("""COMPUTED_VALUE"""),"Al Thuriah Tower")</f>
        <v>Al Thuriah Tower</v>
      </c>
      <c r="C4127" s="2"/>
      <c r="D4127" s="2" t="str">
        <f ca="1">IFERROR(__xludf.DUMMYFUNCTION("""COMPUTED_VALUE"""),"Sharjah&gt;Al Khan&gt;Al Thuriah Tower")</f>
        <v>Sharjah&gt;Al Khan&gt;Al Thuriah Tower</v>
      </c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</row>
    <row r="4128" spans="1:26" ht="16.5" x14ac:dyDescent="0.35">
      <c r="A4128" s="2" t="str">
        <f ca="1">IFERROR(__xludf.DUMMYFUNCTION("""COMPUTED_VALUE"""),"Sharjah")</f>
        <v>Sharjah</v>
      </c>
      <c r="B4128" s="2" t="str">
        <f ca="1">IFERROR(__xludf.DUMMYFUNCTION("""COMPUTED_VALUE"""),"Marsa Al Arab Tower")</f>
        <v>Marsa Al Arab Tower</v>
      </c>
      <c r="C4128" s="2" t="str">
        <f ca="1">IFERROR(__xludf.DUMMYFUNCTION("""COMPUTED_VALUE"""),"Building")</f>
        <v>Building</v>
      </c>
      <c r="D4128" s="2" t="str">
        <f ca="1">IFERROR(__xludf.DUMMYFUNCTION("""COMPUTED_VALUE"""),"Sharjah&gt;Al Khan&gt;Marsa Al Arab Tower")</f>
        <v>Sharjah&gt;Al Khan&gt;Marsa Al Arab Tower</v>
      </c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</row>
    <row r="4129" spans="1:26" ht="16.5" x14ac:dyDescent="0.35">
      <c r="A4129" s="2" t="str">
        <f ca="1">IFERROR(__xludf.DUMMYFUNCTION("""COMPUTED_VALUE"""),"Sharjah")</f>
        <v>Sharjah</v>
      </c>
      <c r="B4129" s="2" t="str">
        <f ca="1">IFERROR(__xludf.DUMMYFUNCTION("""COMPUTED_VALUE"""),"Al Kaloti Tower")</f>
        <v>Al Kaloti Tower</v>
      </c>
      <c r="C4129" s="2" t="str">
        <f ca="1">IFERROR(__xludf.DUMMYFUNCTION("""COMPUTED_VALUE"""),"Building")</f>
        <v>Building</v>
      </c>
      <c r="D4129" s="2" t="str">
        <f ca="1">IFERROR(__xludf.DUMMYFUNCTION("""COMPUTED_VALUE"""),"Sharjah&gt;Al Majaz&gt;Al Majaz 2&gt;Al Kaloti Tower")</f>
        <v>Sharjah&gt;Al Majaz&gt;Al Majaz 2&gt;Al Kaloti Tower</v>
      </c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</row>
    <row r="4130" spans="1:26" ht="16.5" x14ac:dyDescent="0.35">
      <c r="A4130" s="2" t="str">
        <f ca="1">IFERROR(__xludf.DUMMYFUNCTION("""COMPUTED_VALUE"""),"Sharjah")</f>
        <v>Sharjah</v>
      </c>
      <c r="B4130" s="2" t="str">
        <f ca="1">IFERROR(__xludf.DUMMYFUNCTION("""COMPUTED_VALUE"""),"Shattaf Complex Building")</f>
        <v>Shattaf Complex Building</v>
      </c>
      <c r="C4130" s="2"/>
      <c r="D4130" s="2" t="str">
        <f ca="1">IFERROR(__xludf.DUMMYFUNCTION("""COMPUTED_VALUE"""),"Sharjah&gt;Al Majaz&gt;Al Majaz 2&gt;Shattaf Complex Building")</f>
        <v>Sharjah&gt;Al Majaz&gt;Al Majaz 2&gt;Shattaf Complex Building</v>
      </c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</row>
    <row r="4131" spans="1:26" ht="16.5" x14ac:dyDescent="0.35">
      <c r="A4131" s="2" t="str">
        <f ca="1">IFERROR(__xludf.DUMMYFUNCTION("""COMPUTED_VALUE"""),"Sharjah")</f>
        <v>Sharjah</v>
      </c>
      <c r="B4131" s="2" t="str">
        <f ca="1">IFERROR(__xludf.DUMMYFUNCTION("""COMPUTED_VALUE"""),"Royal Crown Suites")</f>
        <v>Royal Crown Suites</v>
      </c>
      <c r="C4131" s="2" t="str">
        <f ca="1">IFERROR(__xludf.DUMMYFUNCTION("""COMPUTED_VALUE"""),"Building")</f>
        <v>Building</v>
      </c>
      <c r="D4131" s="2" t="str">
        <f ca="1">IFERROR(__xludf.DUMMYFUNCTION("""COMPUTED_VALUE"""),"Sharjah&gt;Al Majaz&gt;Al Majaz 3&gt;Royal Crown Suites")</f>
        <v>Sharjah&gt;Al Majaz&gt;Al Majaz 3&gt;Royal Crown Suites</v>
      </c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</row>
    <row r="4132" spans="1:26" ht="16.5" x14ac:dyDescent="0.35">
      <c r="A4132" s="2" t="str">
        <f ca="1">IFERROR(__xludf.DUMMYFUNCTION("""COMPUTED_VALUE"""),"Sharjah")</f>
        <v>Sharjah</v>
      </c>
      <c r="B4132" s="2" t="str">
        <f ca="1">IFERROR(__xludf.DUMMYFUNCTION("""COMPUTED_VALUE"""),"Bul Bul Tower")</f>
        <v>Bul Bul Tower</v>
      </c>
      <c r="C4132" s="2"/>
      <c r="D4132" s="2" t="str">
        <f ca="1">IFERROR(__xludf.DUMMYFUNCTION("""COMPUTED_VALUE"""),"Sharjah&gt;Al Majaz&gt;Al Majaz 3&gt;Bul Bul Tower")</f>
        <v>Sharjah&gt;Al Majaz&gt;Al Majaz 3&gt;Bul Bul Tower</v>
      </c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</row>
    <row r="4133" spans="1:26" ht="16.5" x14ac:dyDescent="0.35">
      <c r="A4133" s="2" t="str">
        <f ca="1">IFERROR(__xludf.DUMMYFUNCTION("""COMPUTED_VALUE"""),"Sharjah")</f>
        <v>Sharjah</v>
      </c>
      <c r="B4133" s="2" t="str">
        <f ca="1">IFERROR(__xludf.DUMMYFUNCTION("""COMPUTED_VALUE"""),"Wazeer Building")</f>
        <v>Wazeer Building</v>
      </c>
      <c r="C4133" s="2"/>
      <c r="D4133" s="2" t="str">
        <f ca="1">IFERROR(__xludf.DUMMYFUNCTION("""COMPUTED_VALUE"""),"Sharjah&gt;Al Majaz&gt;Al Majaz 3&gt;Wazeer Building")</f>
        <v>Sharjah&gt;Al Majaz&gt;Al Majaz 3&gt;Wazeer Building</v>
      </c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</row>
    <row r="4134" spans="1:26" ht="16.5" x14ac:dyDescent="0.35">
      <c r="A4134" s="2" t="str">
        <f ca="1">IFERROR(__xludf.DUMMYFUNCTION("""COMPUTED_VALUE"""),"Sharjah")</f>
        <v>Sharjah</v>
      </c>
      <c r="B4134" s="2" t="str">
        <f ca="1">IFERROR(__xludf.DUMMYFUNCTION("""COMPUTED_VALUE"""),"Gulf Pearl Tower")</f>
        <v>Gulf Pearl Tower</v>
      </c>
      <c r="C4134" s="2" t="str">
        <f ca="1">IFERROR(__xludf.DUMMYFUNCTION("""COMPUTED_VALUE"""),"Building")</f>
        <v>Building</v>
      </c>
      <c r="D4134" s="2" t="str">
        <f ca="1">IFERROR(__xludf.DUMMYFUNCTION("""COMPUTED_VALUE"""),"Sharjah&gt;Al Majaz&gt;Al Majaz 1&gt;Gulf Pearl Tower")</f>
        <v>Sharjah&gt;Al Majaz&gt;Al Majaz 1&gt;Gulf Pearl Tower</v>
      </c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</row>
    <row r="4135" spans="1:26" ht="16.5" x14ac:dyDescent="0.35">
      <c r="A4135" s="2" t="str">
        <f ca="1">IFERROR(__xludf.DUMMYFUNCTION("""COMPUTED_VALUE"""),"Sharjah")</f>
        <v>Sharjah</v>
      </c>
      <c r="B4135" s="2" t="str">
        <f ca="1">IFERROR(__xludf.DUMMYFUNCTION("""COMPUTED_VALUE"""),"Al Tay West")</f>
        <v>Al Tay West</v>
      </c>
      <c r="C4135" s="2" t="str">
        <f ca="1">IFERROR(__xludf.DUMMYFUNCTION("""COMPUTED_VALUE"""),"Neighbourhood")</f>
        <v>Neighbourhood</v>
      </c>
      <c r="D4135" s="2" t="str">
        <f ca="1">IFERROR(__xludf.DUMMYFUNCTION("""COMPUTED_VALUE"""),"Sharjah&gt;Al Tay West")</f>
        <v>Sharjah&gt;Al Tay West</v>
      </c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</row>
    <row r="4136" spans="1:26" ht="16.5" x14ac:dyDescent="0.35">
      <c r="A4136" s="2" t="str">
        <f ca="1">IFERROR(__xludf.DUMMYFUNCTION("""COMPUTED_VALUE"""),"Sharjah")</f>
        <v>Sharjah</v>
      </c>
      <c r="B4136" s="2" t="str">
        <f ca="1">IFERROR(__xludf.DUMMYFUNCTION("""COMPUTED_VALUE"""),"Al Manara Tower 2")</f>
        <v>Al Manara Tower 2</v>
      </c>
      <c r="C4136" s="2" t="str">
        <f ca="1">IFERROR(__xludf.DUMMYFUNCTION("""COMPUTED_VALUE"""),"Building")</f>
        <v>Building</v>
      </c>
      <c r="D4136" s="2" t="str">
        <f ca="1">IFERROR(__xludf.DUMMYFUNCTION("""COMPUTED_VALUE"""),"Sharjah&gt;Al Taawun&gt;Al Manara Tower 2")</f>
        <v>Sharjah&gt;Al Taawun&gt;Al Manara Tower 2</v>
      </c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</row>
    <row r="4137" spans="1:26" ht="16.5" x14ac:dyDescent="0.35">
      <c r="A4137" s="2" t="str">
        <f ca="1">IFERROR(__xludf.DUMMYFUNCTION("""COMPUTED_VALUE"""),"Sharjah")</f>
        <v>Sharjah</v>
      </c>
      <c r="B4137" s="2" t="str">
        <f ca="1">IFERROR(__xludf.DUMMYFUNCTION("""COMPUTED_VALUE"""),"Tiger 6 Building")</f>
        <v>Tiger 6 Building</v>
      </c>
      <c r="C4137" s="2"/>
      <c r="D4137" s="2" t="str">
        <f ca="1">IFERROR(__xludf.DUMMYFUNCTION("""COMPUTED_VALUE"""),"Sharjah&gt;Al Qasimia&gt;Tiger 6 Building")</f>
        <v>Sharjah&gt;Al Qasimia&gt;Tiger 6 Building</v>
      </c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</row>
    <row r="4138" spans="1:26" ht="16.5" x14ac:dyDescent="0.35">
      <c r="A4138" s="2" t="str">
        <f ca="1">IFERROR(__xludf.DUMMYFUNCTION("""COMPUTED_VALUE"""),"Sharjah")</f>
        <v>Sharjah</v>
      </c>
      <c r="B4138" s="2" t="str">
        <f ca="1">IFERROR(__xludf.DUMMYFUNCTION("""COMPUTED_VALUE"""),"Al Bustan Tower Hotel Suites")</f>
        <v>Al Bustan Tower Hotel Suites</v>
      </c>
      <c r="C4138" s="2"/>
      <c r="D4138" s="2" t="str">
        <f ca="1">IFERROR(__xludf.DUMMYFUNCTION("""COMPUTED_VALUE"""),"Sharjah&gt;Al Qasimia&gt;Al Nad&gt;Al Bustan Tower Hotel Suites")</f>
        <v>Sharjah&gt;Al Qasimia&gt;Al Nad&gt;Al Bustan Tower Hotel Suites</v>
      </c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</row>
    <row r="4139" spans="1:26" ht="16.5" x14ac:dyDescent="0.35">
      <c r="A4139" s="2" t="str">
        <f ca="1">IFERROR(__xludf.DUMMYFUNCTION("""COMPUTED_VALUE"""),"Sharjah")</f>
        <v>Sharjah</v>
      </c>
      <c r="B4139" s="2" t="str">
        <f ca="1">IFERROR(__xludf.DUMMYFUNCTION("""COMPUTED_VALUE"""),"Hameed Abdullah Al Sheeba")</f>
        <v>Hameed Abdullah Al Sheeba</v>
      </c>
      <c r="C4139" s="2"/>
      <c r="D4139" s="2" t="str">
        <f ca="1">IFERROR(__xludf.DUMMYFUNCTION("""COMPUTED_VALUE"""),"Sharjah&gt;Al Qasimia&gt;Al Nad&gt;Hameed Abdullah Al Sheeba")</f>
        <v>Sharjah&gt;Al Qasimia&gt;Al Nad&gt;Hameed Abdullah Al Sheeba</v>
      </c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</row>
    <row r="4140" spans="1:26" ht="16.5" x14ac:dyDescent="0.35">
      <c r="A4140" s="2" t="str">
        <f ca="1">IFERROR(__xludf.DUMMYFUNCTION("""COMPUTED_VALUE"""),"Sharjah")</f>
        <v>Sharjah</v>
      </c>
      <c r="B4140" s="2" t="str">
        <f ca="1">IFERROR(__xludf.DUMMYFUNCTION("""COMPUTED_VALUE"""),"Abu Mossa Building")</f>
        <v>Abu Mossa Building</v>
      </c>
      <c r="C4140" s="2"/>
      <c r="D4140" s="2" t="str">
        <f ca="1">IFERROR(__xludf.DUMMYFUNCTION("""COMPUTED_VALUE"""),"Sharjah&gt;Al Qasimia&gt;Abu Mossa Building")</f>
        <v>Sharjah&gt;Al Qasimia&gt;Abu Mossa Building</v>
      </c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</row>
    <row r="4141" spans="1:26" ht="16.5" x14ac:dyDescent="0.35">
      <c r="A4141" s="2" t="str">
        <f ca="1">IFERROR(__xludf.DUMMYFUNCTION("""COMPUTED_VALUE"""),"Sharjah")</f>
        <v>Sharjah</v>
      </c>
      <c r="B4141" s="2" t="str">
        <f ca="1">IFERROR(__xludf.DUMMYFUNCTION("""COMPUTED_VALUE"""),"Al Shamshi Building")</f>
        <v>Al Shamshi Building</v>
      </c>
      <c r="C4141" s="2"/>
      <c r="D4141" s="2" t="str">
        <f ca="1">IFERROR(__xludf.DUMMYFUNCTION("""COMPUTED_VALUE"""),"Sharjah&gt;Al Nabba&gt;Al Shamshi Building")</f>
        <v>Sharjah&gt;Al Nabba&gt;Al Shamshi Building</v>
      </c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</row>
    <row r="4142" spans="1:26" ht="16.5" x14ac:dyDescent="0.35">
      <c r="A4142" s="2" t="str">
        <f ca="1">IFERROR(__xludf.DUMMYFUNCTION("""COMPUTED_VALUE"""),"Sharjah")</f>
        <v>Sharjah</v>
      </c>
      <c r="B4142" s="2" t="str">
        <f ca="1">IFERROR(__xludf.DUMMYFUNCTION("""COMPUTED_VALUE"""),"Al Mozon 1 Building")</f>
        <v>Al Mozon 1 Building</v>
      </c>
      <c r="C4142" s="2" t="str">
        <f ca="1">IFERROR(__xludf.DUMMYFUNCTION("""COMPUTED_VALUE"""),"Building")</f>
        <v>Building</v>
      </c>
      <c r="D4142" s="2" t="str">
        <f ca="1">IFERROR(__xludf.DUMMYFUNCTION("""COMPUTED_VALUE"""),"Sharjah&gt;Industrial Area&gt;Industrial Area 6&gt;Al Mozon 1 Building")</f>
        <v>Sharjah&gt;Industrial Area&gt;Industrial Area 6&gt;Al Mozon 1 Building</v>
      </c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</row>
    <row r="4143" spans="1:26" ht="16.5" x14ac:dyDescent="0.35">
      <c r="A4143" s="2" t="str">
        <f ca="1">IFERROR(__xludf.DUMMYFUNCTION("""COMPUTED_VALUE"""),"Sharjah")</f>
        <v>Sharjah</v>
      </c>
      <c r="B4143" s="2" t="str">
        <f ca="1">IFERROR(__xludf.DUMMYFUNCTION("""COMPUTED_VALUE"""),"Industrial Area 9")</f>
        <v>Industrial Area 9</v>
      </c>
      <c r="C4143" s="2" t="str">
        <f ca="1">IFERROR(__xludf.DUMMYFUNCTION("""COMPUTED_VALUE"""),"Neighbourhood")</f>
        <v>Neighbourhood</v>
      </c>
      <c r="D4143" s="2" t="str">
        <f ca="1">IFERROR(__xludf.DUMMYFUNCTION("""COMPUTED_VALUE"""),"Sharjah&gt;Industrial Area&gt;Industrial Area 9")</f>
        <v>Sharjah&gt;Industrial Area&gt;Industrial Area 9</v>
      </c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</row>
    <row r="4144" spans="1:26" ht="16.5" x14ac:dyDescent="0.35">
      <c r="A4144" s="2" t="str">
        <f ca="1">IFERROR(__xludf.DUMMYFUNCTION("""COMPUTED_VALUE"""),"Sharjah")</f>
        <v>Sharjah</v>
      </c>
      <c r="B4144" s="2" t="str">
        <f ca="1">IFERROR(__xludf.DUMMYFUNCTION("""COMPUTED_VALUE"""),"SE 4")</f>
        <v>SE 4</v>
      </c>
      <c r="C4144" s="2" t="str">
        <f ca="1">IFERROR(__xludf.DUMMYFUNCTION("""COMPUTED_VALUE"""),"Building")</f>
        <v>Building</v>
      </c>
      <c r="D4144" s="2" t="str">
        <f ca="1">IFERROR(__xludf.DUMMYFUNCTION("""COMPUTED_VALUE"""),"Sharjah&gt;Muwaileh&gt;Al Mamsha&gt;Souks Residential&gt;SE 4")</f>
        <v>Sharjah&gt;Muwaileh&gt;Al Mamsha&gt;Souks Residential&gt;SE 4</v>
      </c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</row>
    <row r="4145" spans="1:26" ht="16.5" x14ac:dyDescent="0.35">
      <c r="A4145" s="2" t="str">
        <f ca="1">IFERROR(__xludf.DUMMYFUNCTION("""COMPUTED_VALUE"""),"Sharjah")</f>
        <v>Sharjah</v>
      </c>
      <c r="B4145" s="2" t="str">
        <f ca="1">IFERROR(__xludf.DUMMYFUNCTION("""COMPUTED_VALUE"""),"Woroud 5")</f>
        <v>Woroud 5</v>
      </c>
      <c r="C4145" s="2" t="str">
        <f ca="1">IFERROR(__xludf.DUMMYFUNCTION("""COMPUTED_VALUE"""),"Building")</f>
        <v>Building</v>
      </c>
      <c r="D4145" s="2" t="str">
        <f ca="1">IFERROR(__xludf.DUMMYFUNCTION("""COMPUTED_VALUE"""),"Sharjah&gt;Muwaileh&gt;Al Zahia&gt;UpTown Al Zahia&gt;Woroud&gt;Woroud 5")</f>
        <v>Sharjah&gt;Muwaileh&gt;Al Zahia&gt;UpTown Al Zahia&gt;Woroud&gt;Woroud 5</v>
      </c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</row>
    <row r="4146" spans="1:26" ht="16.5" x14ac:dyDescent="0.35">
      <c r="A4146" s="2" t="str">
        <f ca="1">IFERROR(__xludf.DUMMYFUNCTION("""COMPUTED_VALUE"""),"Sharjah")</f>
        <v>Sharjah</v>
      </c>
      <c r="B4146" s="2" t="str">
        <f ca="1">IFERROR(__xludf.DUMMYFUNCTION("""COMPUTED_VALUE"""),"International School of Creative Science, Muwaileh")</f>
        <v>International School of Creative Science, Muwaileh</v>
      </c>
      <c r="C4146" s="2" t="str">
        <f ca="1">IFERROR(__xludf.DUMMYFUNCTION("""COMPUTED_VALUE"""),"School")</f>
        <v>School</v>
      </c>
      <c r="D4146" s="2" t="str">
        <f ca="1">IFERROR(__xludf.DUMMYFUNCTION("""COMPUTED_VALUE"""),"Sharjah&gt;Muwaileh Commercial&gt;International School of Creative Science, Muwaileh")</f>
        <v>Sharjah&gt;Muwaileh Commercial&gt;International School of Creative Science, Muwaileh</v>
      </c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</row>
    <row r="4147" spans="1:26" ht="16.5" x14ac:dyDescent="0.35">
      <c r="A4147" s="2" t="str">
        <f ca="1">IFERROR(__xludf.DUMMYFUNCTION("""COMPUTED_VALUE"""),"Sharjah")</f>
        <v>Sharjah</v>
      </c>
      <c r="B4147" s="2" t="str">
        <f ca="1">IFERROR(__xludf.DUMMYFUNCTION("""COMPUTED_VALUE"""),"Shahba 2 Building")</f>
        <v>Shahba 2 Building</v>
      </c>
      <c r="C4147" s="2"/>
      <c r="D4147" s="2" t="str">
        <f ca="1">IFERROR(__xludf.DUMMYFUNCTION("""COMPUTED_VALUE"""),"Sharjah&gt;Muwaileh Commercial&gt;Shahba 2 Building")</f>
        <v>Sharjah&gt;Muwaileh Commercial&gt;Shahba 2 Building</v>
      </c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</row>
    <row r="4148" spans="1:26" ht="16.5" x14ac:dyDescent="0.35">
      <c r="A4148" s="2" t="str">
        <f ca="1">IFERROR(__xludf.DUMMYFUNCTION("""COMPUTED_VALUE"""),"Sharjah")</f>
        <v>Sharjah</v>
      </c>
      <c r="B4148" s="2" t="str">
        <f ca="1">IFERROR(__xludf.DUMMYFUNCTION("""COMPUTED_VALUE"""),"Building 6029")</f>
        <v>Building 6029</v>
      </c>
      <c r="C4148" s="2" t="str">
        <f ca="1">IFERROR(__xludf.DUMMYFUNCTION("""COMPUTED_VALUE"""),"Building")</f>
        <v>Building</v>
      </c>
      <c r="D4148" s="2" t="str">
        <f ca="1">IFERROR(__xludf.DUMMYFUNCTION("""COMPUTED_VALUE"""),"Sharjah&gt;Muwaileh Commercial&gt;Building 6029")</f>
        <v>Sharjah&gt;Muwaileh Commercial&gt;Building 6029</v>
      </c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</row>
    <row r="4149" spans="1:26" ht="16.5" x14ac:dyDescent="0.35">
      <c r="A4149" s="2" t="str">
        <f ca="1">IFERROR(__xludf.DUMMYFUNCTION("""COMPUTED_VALUE"""),"Al Ain")</f>
        <v>Al Ain</v>
      </c>
      <c r="B4149" s="2" t="str">
        <f ca="1">IFERROR(__xludf.DUMMYFUNCTION("""COMPUTED_VALUE"""),"Asharij")</f>
        <v>Asharij</v>
      </c>
      <c r="C4149" s="2" t="str">
        <f ca="1">IFERROR(__xludf.DUMMYFUNCTION("""COMPUTED_VALUE"""),"Neighbourhood")</f>
        <v>Neighbourhood</v>
      </c>
      <c r="D4149" s="2" t="str">
        <f ca="1">IFERROR(__xludf.DUMMYFUNCTION("""COMPUTED_VALUE"""),"Al Ain&gt;Asharij")</f>
        <v>Al Ain&gt;Asharij</v>
      </c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</row>
    <row r="4150" spans="1:26" ht="16.5" x14ac:dyDescent="0.35">
      <c r="A4150" s="2" t="str">
        <f ca="1">IFERROR(__xludf.DUMMYFUNCTION("""COMPUTED_VALUE"""),"Al Ain")</f>
        <v>Al Ain</v>
      </c>
      <c r="B4150" s="2" t="str">
        <f ca="1">IFERROR(__xludf.DUMMYFUNCTION("""COMPUTED_VALUE"""),"Al Rubainah")</f>
        <v>Al Rubainah</v>
      </c>
      <c r="C4150" s="2" t="str">
        <f ca="1">IFERROR(__xludf.DUMMYFUNCTION("""COMPUTED_VALUE"""),"Neighbourhood")</f>
        <v>Neighbourhood</v>
      </c>
      <c r="D4150" s="2" t="str">
        <f ca="1">IFERROR(__xludf.DUMMYFUNCTION("""COMPUTED_VALUE"""),"Al Ain&gt;Central District&gt;Al Rubainah")</f>
        <v>Al Ain&gt;Central District&gt;Al Rubainah</v>
      </c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</row>
    <row r="4151" spans="1:26" ht="16.5" x14ac:dyDescent="0.35">
      <c r="A4151" s="2" t="str">
        <f ca="1">IFERROR(__xludf.DUMMYFUNCTION("""COMPUTED_VALUE"""),"Al Ain")</f>
        <v>Al Ain</v>
      </c>
      <c r="B4151" s="2" t="str">
        <f ca="1">IFERROR(__xludf.DUMMYFUNCTION("""COMPUTED_VALUE"""),"Al Mnaizfah")</f>
        <v>Al Mnaizfah</v>
      </c>
      <c r="C4151" s="2" t="str">
        <f ca="1">IFERROR(__xludf.DUMMYFUNCTION("""COMPUTED_VALUE"""),"Neighbourhood")</f>
        <v>Neighbourhood</v>
      </c>
      <c r="D4151" s="2" t="str">
        <f ca="1">IFERROR(__xludf.DUMMYFUNCTION("""COMPUTED_VALUE"""),"Al Ain&gt;Al Muwaiji&gt;Al Mnaizfah")</f>
        <v>Al Ain&gt;Al Muwaiji&gt;Al Mnaizfah</v>
      </c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</row>
    <row r="4152" spans="1:26" ht="16.5" x14ac:dyDescent="0.35">
      <c r="A4152" s="2" t="str">
        <f ca="1">IFERROR(__xludf.DUMMYFUNCTION("""COMPUTED_VALUE"""),"Al Ain")</f>
        <v>Al Ain</v>
      </c>
      <c r="B4152" s="2" t="str">
        <f ca="1">IFERROR(__xludf.DUMMYFUNCTION("""COMPUTED_VALUE"""),"Athar Hili")</f>
        <v>Athar Hili</v>
      </c>
      <c r="C4152" s="2" t="str">
        <f ca="1">IFERROR(__xludf.DUMMYFUNCTION("""COMPUTED_VALUE"""),"Neighbourhood")</f>
        <v>Neighbourhood</v>
      </c>
      <c r="D4152" s="2" t="str">
        <f ca="1">IFERROR(__xludf.DUMMYFUNCTION("""COMPUTED_VALUE"""),"Al Ain&gt;Hili&gt;Athar Hili")</f>
        <v>Al Ain&gt;Hili&gt;Athar Hili</v>
      </c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</row>
    <row r="4153" spans="1:26" ht="16.5" x14ac:dyDescent="0.35">
      <c r="A4153" s="2" t="str">
        <f ca="1">IFERROR(__xludf.DUMMYFUNCTION("""COMPUTED_VALUE"""),"Al Ain")</f>
        <v>Al Ain</v>
      </c>
      <c r="B4153" s="2" t="str">
        <f ca="1">IFERROR(__xludf.DUMMYFUNCTION("""COMPUTED_VALUE"""),"Al Ain Juniors School")</f>
        <v>Al Ain Juniors School</v>
      </c>
      <c r="C4153" s="2" t="str">
        <f ca="1">IFERROR(__xludf.DUMMYFUNCTION("""COMPUTED_VALUE"""),"School")</f>
        <v>School</v>
      </c>
      <c r="D4153" s="2" t="str">
        <f ca="1">IFERROR(__xludf.DUMMYFUNCTION("""COMPUTED_VALUE"""),"Al Ain&gt;Falaj Hazzaa&gt;Al Ain Juniors School")</f>
        <v>Al Ain&gt;Falaj Hazzaa&gt;Al Ain Juniors School</v>
      </c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</row>
    <row r="4154" spans="1:26" ht="16.5" x14ac:dyDescent="0.35">
      <c r="A4154" s="2" t="str">
        <f ca="1">IFERROR(__xludf.DUMMYFUNCTION("""COMPUTED_VALUE"""),"Al Ain")</f>
        <v>Al Ain</v>
      </c>
      <c r="B4154" s="2" t="str">
        <f ca="1">IFERROR(__xludf.DUMMYFUNCTION("""COMPUTED_VALUE"""),"Al Ain Industrial Area")</f>
        <v>Al Ain Industrial Area</v>
      </c>
      <c r="C4154" s="2" t="str">
        <f ca="1">IFERROR(__xludf.DUMMYFUNCTION("""COMPUTED_VALUE"""),"Neighbourhood")</f>
        <v>Neighbourhood</v>
      </c>
      <c r="D4154" s="2" t="str">
        <f ca="1">IFERROR(__xludf.DUMMYFUNCTION("""COMPUTED_VALUE"""),"Al Ain&gt;Al Ain Industrial Area")</f>
        <v>Al Ain&gt;Al Ain Industrial Area</v>
      </c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</row>
    <row r="4155" spans="1:26" ht="16.5" x14ac:dyDescent="0.35">
      <c r="A4155" s="2" t="str">
        <f ca="1">IFERROR(__xludf.DUMMYFUNCTION("""COMPUTED_VALUE"""),"Al Ain")</f>
        <v>Al Ain</v>
      </c>
      <c r="B4155" s="2" t="str">
        <f ca="1">IFERROR(__xludf.DUMMYFUNCTION("""COMPUTED_VALUE"""),"Ghnaymah")</f>
        <v>Ghnaymah</v>
      </c>
      <c r="C4155" s="2" t="str">
        <f ca="1">IFERROR(__xludf.DUMMYFUNCTION("""COMPUTED_VALUE"""),"Neighbourhood")</f>
        <v>Neighbourhood</v>
      </c>
      <c r="D4155" s="2" t="str">
        <f ca="1">IFERROR(__xludf.DUMMYFUNCTION("""COMPUTED_VALUE"""),"Al Ain&gt;Ghnaymah")</f>
        <v>Al Ain&gt;Ghnaymah</v>
      </c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</row>
    <row r="4156" spans="1:26" ht="16.5" x14ac:dyDescent="0.35">
      <c r="A4156" s="2" t="str">
        <f ca="1">IFERROR(__xludf.DUMMYFUNCTION("""COMPUTED_VALUE"""),"Ras Al Khaimah")</f>
        <v>Ras Al Khaimah</v>
      </c>
      <c r="B4156" s="2" t="str">
        <f ca="1">IFERROR(__xludf.DUMMYFUNCTION("""COMPUTED_VALUE"""),"Quattro Del Mar Building 2")</f>
        <v>Quattro Del Mar Building 2</v>
      </c>
      <c r="C4156" s="2" t="str">
        <f ca="1">IFERROR(__xludf.DUMMYFUNCTION("""COMPUTED_VALUE"""),"Building")</f>
        <v>Building</v>
      </c>
      <c r="D4156" s="2" t="str">
        <f ca="1">IFERROR(__xludf.DUMMYFUNCTION("""COMPUTED_VALUE"""),"Ras Al Khaimah&gt;Mina Al Arab&gt;Quattro Del Mar&gt;Quattro Del Mar Building 2")</f>
        <v>Ras Al Khaimah&gt;Mina Al Arab&gt;Quattro Del Mar&gt;Quattro Del Mar Building 2</v>
      </c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</row>
    <row r="4157" spans="1:26" ht="16.5" x14ac:dyDescent="0.35">
      <c r="A4157" s="2" t="str">
        <f ca="1">IFERROR(__xludf.DUMMYFUNCTION("""COMPUTED_VALUE"""),"Ras Al Khaimah")</f>
        <v>Ras Al Khaimah</v>
      </c>
      <c r="B4157" s="2" t="str">
        <f ca="1">IFERROR(__xludf.DUMMYFUNCTION("""COMPUTED_VALUE"""),"Danah Bay")</f>
        <v>Danah Bay</v>
      </c>
      <c r="C4157" s="2" t="str">
        <f ca="1">IFERROR(__xludf.DUMMYFUNCTION("""COMPUTED_VALUE"""),"Neighbourhood")</f>
        <v>Neighbourhood</v>
      </c>
      <c r="D4157" s="2" t="str">
        <f ca="1">IFERROR(__xludf.DUMMYFUNCTION("""COMPUTED_VALUE"""),"Ras Al Khaimah&gt;Al Marjan Island&gt;Danah Bay")</f>
        <v>Ras Al Khaimah&gt;Al Marjan Island&gt;Danah Bay</v>
      </c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</row>
    <row r="4158" spans="1:26" ht="16.5" x14ac:dyDescent="0.35">
      <c r="A4158" s="2" t="str">
        <f ca="1">IFERROR(__xludf.DUMMYFUNCTION("""COMPUTED_VALUE"""),"Ras Al Khaimah")</f>
        <v>Ras Al Khaimah</v>
      </c>
      <c r="B4158" s="2" t="str">
        <f ca="1">IFERROR(__xludf.DUMMYFUNCTION("""COMPUTED_VALUE"""),"Pelagia by BNW Developments")</f>
        <v>Pelagia by BNW Developments</v>
      </c>
      <c r="C4158" s="2" t="str">
        <f ca="1">IFERROR(__xludf.DUMMYFUNCTION("""COMPUTED_VALUE"""),"Building")</f>
        <v>Building</v>
      </c>
      <c r="D4158" s="2" t="str">
        <f ca="1">IFERROR(__xludf.DUMMYFUNCTION("""COMPUTED_VALUE"""),"Ras Al Khaimah&gt;Al Marjan Island&gt;Pelagia by BNW Developments")</f>
        <v>Ras Al Khaimah&gt;Al Marjan Island&gt;Pelagia by BNW Developments</v>
      </c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</row>
    <row r="4159" spans="1:26" ht="16.5" x14ac:dyDescent="0.35">
      <c r="A4159" s="2" t="str">
        <f ca="1">IFERROR(__xludf.DUMMYFUNCTION("""COMPUTED_VALUE"""),"Ras Al Khaimah")</f>
        <v>Ras Al Khaimah</v>
      </c>
      <c r="B4159" s="2" t="str">
        <f ca="1">IFERROR(__xludf.DUMMYFUNCTION("""COMPUTED_VALUE"""),"Marina Apartment C")</f>
        <v>Marina Apartment C</v>
      </c>
      <c r="C4159" s="2" t="str">
        <f ca="1">IFERROR(__xludf.DUMMYFUNCTION("""COMPUTED_VALUE"""),"Building")</f>
        <v>Building</v>
      </c>
      <c r="D4159" s="2" t="str">
        <f ca="1">IFERROR(__xludf.DUMMYFUNCTION("""COMPUTED_VALUE"""),"Ras Al Khaimah&gt;Al Hamra Village&gt;Al Hamra Marina Residences&gt;Marina Apartment C")</f>
        <v>Ras Al Khaimah&gt;Al Hamra Village&gt;Al Hamra Marina Residences&gt;Marina Apartment C</v>
      </c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</row>
    <row r="4160" spans="1:26" ht="16.5" x14ac:dyDescent="0.35">
      <c r="A4160" s="2" t="str">
        <f ca="1">IFERROR(__xludf.DUMMYFUNCTION("""COMPUTED_VALUE"""),"Ras Al Khaimah")</f>
        <v>Ras Al Khaimah</v>
      </c>
      <c r="B4160" s="2" t="str">
        <f ca="1">IFERROR(__xludf.DUMMYFUNCTION("""COMPUTED_VALUE"""),"Al Hamra Greens")</f>
        <v>Al Hamra Greens</v>
      </c>
      <c r="C4160" s="2" t="str">
        <f ca="1">IFERROR(__xludf.DUMMYFUNCTION("""COMPUTED_VALUE"""),"Building")</f>
        <v>Building</v>
      </c>
      <c r="D4160" s="2" t="str">
        <f ca="1">IFERROR(__xludf.DUMMYFUNCTION("""COMPUTED_VALUE"""),"Ras Al Khaimah&gt;Al Hamra Village&gt;Al Hamra Greens")</f>
        <v>Ras Al Khaimah&gt;Al Hamra Village&gt;Al Hamra Greens</v>
      </c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</row>
    <row r="4161" spans="1:26" ht="16.5" x14ac:dyDescent="0.35">
      <c r="A4161" s="2" t="str">
        <f ca="1">IFERROR(__xludf.DUMMYFUNCTION("""COMPUTED_VALUE"""),"Ras Al Khaimah")</f>
        <v>Ras Al Khaimah</v>
      </c>
      <c r="B4161" s="2" t="str">
        <f ca="1">IFERROR(__xludf.DUMMYFUNCTION("""COMPUTED_VALUE"""),"Mudfak")</f>
        <v>Mudfak</v>
      </c>
      <c r="C4161" s="2" t="str">
        <f ca="1">IFERROR(__xludf.DUMMYFUNCTION("""COMPUTED_VALUE"""),"Neighbourhood")</f>
        <v>Neighbourhood</v>
      </c>
      <c r="D4161" s="2" t="str">
        <f ca="1">IFERROR(__xludf.DUMMYFUNCTION("""COMPUTED_VALUE"""),"Ras Al Khaimah&gt;Mudfak")</f>
        <v>Ras Al Khaimah&gt;Mudfak</v>
      </c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</row>
    <row r="4162" spans="1:26" ht="16.5" x14ac:dyDescent="0.35">
      <c r="A4162" s="2" t="str">
        <f ca="1">IFERROR(__xludf.DUMMYFUNCTION("""COMPUTED_VALUE"""),"Ras Al Khaimah")</f>
        <v>Ras Al Khaimah</v>
      </c>
      <c r="B4162" s="2" t="str">
        <f ca="1">IFERROR(__xludf.DUMMYFUNCTION("""COMPUTED_VALUE"""),"Shamal")</f>
        <v>Shamal</v>
      </c>
      <c r="C4162" s="2"/>
      <c r="D4162" s="2" t="str">
        <f ca="1">IFERROR(__xludf.DUMMYFUNCTION("""COMPUTED_VALUE"""),"Ras Al Khaimah&gt;Shamal")</f>
        <v>Ras Al Khaimah&gt;Shamal</v>
      </c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</row>
    <row r="4163" spans="1:26" ht="16.5" x14ac:dyDescent="0.35">
      <c r="A4163" s="2" t="str">
        <f ca="1">IFERROR(__xludf.DUMMYFUNCTION("""COMPUTED_VALUE"""),"Ras Al Khaimah")</f>
        <v>Ras Al Khaimah</v>
      </c>
      <c r="B4163" s="2" t="str">
        <f ca="1">IFERROR(__xludf.DUMMYFUNCTION("""COMPUTED_VALUE"""),"Dahan")</f>
        <v>Dahan</v>
      </c>
      <c r="C4163" s="2"/>
      <c r="D4163" s="2" t="str">
        <f ca="1">IFERROR(__xludf.DUMMYFUNCTION("""COMPUTED_VALUE"""),"Ras Al Khaimah&gt;Dahan")</f>
        <v>Ras Al Khaimah&gt;Dahan</v>
      </c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</row>
    <row r="4164" spans="1:26" ht="16.5" x14ac:dyDescent="0.35">
      <c r="A4164" s="2" t="str">
        <f ca="1">IFERROR(__xludf.DUMMYFUNCTION("""COMPUTED_VALUE"""),"Ras Al Khaimah")</f>
        <v>Ras Al Khaimah</v>
      </c>
      <c r="B4164" s="2" t="str">
        <f ca="1">IFERROR(__xludf.DUMMYFUNCTION("""COMPUTED_VALUE"""),"RAK Central")</f>
        <v>RAK Central</v>
      </c>
      <c r="C4164" s="2" t="str">
        <f ca="1">IFERROR(__xludf.DUMMYFUNCTION("""COMPUTED_VALUE"""),"Neighbourhood")</f>
        <v>Neighbourhood</v>
      </c>
      <c r="D4164" s="2" t="str">
        <f ca="1">IFERROR(__xludf.DUMMYFUNCTION("""COMPUTED_VALUE"""),"Ras Al Khaimah&gt;RAK Central")</f>
        <v>Ras Al Khaimah&gt;RAK Central</v>
      </c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</row>
    <row r="4165" spans="1:26" ht="16.5" x14ac:dyDescent="0.35">
      <c r="A4165" s="2" t="str">
        <f ca="1">IFERROR(__xludf.DUMMYFUNCTION("""COMPUTED_VALUE"""),"Umm Al Quwain")</f>
        <v>Umm Al Quwain</v>
      </c>
      <c r="B4165" s="2" t="str">
        <f ca="1">IFERROR(__xludf.DUMMYFUNCTION("""COMPUTED_VALUE"""),"Al Riqqah")</f>
        <v>Al Riqqah</v>
      </c>
      <c r="C4165" s="2" t="str">
        <f ca="1">IFERROR(__xludf.DUMMYFUNCTION("""COMPUTED_VALUE"""),"Neighbourhood")</f>
        <v>Neighbourhood</v>
      </c>
      <c r="D4165" s="2" t="str">
        <f ca="1">IFERROR(__xludf.DUMMYFUNCTION("""COMPUTED_VALUE"""),"Umm Al Quwain&gt;Al Riqqah")</f>
        <v>Umm Al Quwain&gt;Al Riqqah</v>
      </c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</row>
    <row r="4166" spans="1:26" ht="16.5" x14ac:dyDescent="0.35">
      <c r="A4166" s="2" t="str">
        <f ca="1">IFERROR(__xludf.DUMMYFUNCTION("""COMPUTED_VALUE"""),"Umm Al Quwain")</f>
        <v>Umm Al Quwain</v>
      </c>
      <c r="B4166" s="2" t="str">
        <f ca="1">IFERROR(__xludf.DUMMYFUNCTION("""COMPUTED_VALUE"""),"Al Dar Al Baida")</f>
        <v>Al Dar Al Baida</v>
      </c>
      <c r="C4166" s="2" t="str">
        <f ca="1">IFERROR(__xludf.DUMMYFUNCTION("""COMPUTED_VALUE"""),"Neighbourhood")</f>
        <v>Neighbourhood</v>
      </c>
      <c r="D4166" s="2" t="str">
        <f ca="1">IFERROR(__xludf.DUMMYFUNCTION("""COMPUTED_VALUE"""),"Umm Al Quwain&gt;Al Dar Al Baida")</f>
        <v>Umm Al Quwain&gt;Al Dar Al Baida</v>
      </c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</row>
    <row r="4167" spans="1:26" ht="16.5" x14ac:dyDescent="0.35">
      <c r="A4167" s="2" t="str">
        <f ca="1">IFERROR(__xludf.DUMMYFUNCTION("""COMPUTED_VALUE"""),"Umm Al Quwain")</f>
        <v>Umm Al Quwain</v>
      </c>
      <c r="B4167" s="2" t="str">
        <f ca="1">IFERROR(__xludf.DUMMYFUNCTION("""COMPUTED_VALUE"""),"Bayside Marina Residences Tower 1")</f>
        <v>Bayside Marina Residences Tower 1</v>
      </c>
      <c r="C4167" s="2" t="str">
        <f ca="1">IFERROR(__xludf.DUMMYFUNCTION("""COMPUTED_VALUE"""),"Building")</f>
        <v>Building</v>
      </c>
      <c r="D4167" s="2" t="str">
        <f ca="1">IFERROR(__xludf.DUMMYFUNCTION("""COMPUTED_VALUE"""),"Umm Al Quwain&gt;Al Seanneeah&gt;Sobha Siniya Island&gt;Bayside Marina Residences&gt;Bayside Marina Residences Tower 1")</f>
        <v>Umm Al Quwain&gt;Al Seanneeah&gt;Sobha Siniya Island&gt;Bayside Marina Residences&gt;Bayside Marina Residences Tower 1</v>
      </c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</row>
    <row r="4168" spans="1:26" ht="16.5" x14ac:dyDescent="0.35">
      <c r="A4168" s="2" t="str">
        <f ca="1">IFERROR(__xludf.DUMMYFUNCTION("""COMPUTED_VALUE"""),"Umm Al Quwain")</f>
        <v>Umm Al Quwain</v>
      </c>
      <c r="B4168" s="2" t="str">
        <f ca="1">IFERROR(__xludf.DUMMYFUNCTION("""COMPUTED_VALUE"""),"Khalifah City 1")</f>
        <v>Khalifah City 1</v>
      </c>
      <c r="C4168" s="2" t="str">
        <f ca="1">IFERROR(__xludf.DUMMYFUNCTION("""COMPUTED_VALUE"""),"Neighbourhood")</f>
        <v>Neighbourhood</v>
      </c>
      <c r="D4168" s="2" t="str">
        <f ca="1">IFERROR(__xludf.DUMMYFUNCTION("""COMPUTED_VALUE"""),"Umm Al Quwain&gt;Khalifah City&gt;Khalifah City 1")</f>
        <v>Umm Al Quwain&gt;Khalifah City&gt;Khalifah City 1</v>
      </c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</row>
    <row r="4169" spans="1:26" ht="16.5" x14ac:dyDescent="0.35">
      <c r="A4169" s="2" t="str">
        <f ca="1">IFERROR(__xludf.DUMMYFUNCTION("""COMPUTED_VALUE"""),"Fujairah")</f>
        <v>Fujairah</v>
      </c>
      <c r="B4169" s="2" t="str">
        <f ca="1">IFERROR(__xludf.DUMMYFUNCTION("""COMPUTED_VALUE"""),"Al Faseel Area")</f>
        <v>Al Faseel Area</v>
      </c>
      <c r="C4169" s="2" t="str">
        <f ca="1">IFERROR(__xludf.DUMMYFUNCTION("""COMPUTED_VALUE"""),"Neighbourhood")</f>
        <v>Neighbourhood</v>
      </c>
      <c r="D4169" s="2" t="str">
        <f ca="1">IFERROR(__xludf.DUMMYFUNCTION("""COMPUTED_VALUE"""),"Fujairah&gt;Al Faseel Area")</f>
        <v>Fujairah&gt;Al Faseel Area</v>
      </c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</row>
    <row r="4170" spans="1:26" ht="16.5" x14ac:dyDescent="0.35">
      <c r="A4170" s="2" t="str">
        <f ca="1">IFERROR(__xludf.DUMMYFUNCTION("""COMPUTED_VALUE"""),"Fujairah")</f>
        <v>Fujairah</v>
      </c>
      <c r="B4170" s="2" t="str">
        <f ca="1">IFERROR(__xludf.DUMMYFUNCTION("""COMPUTED_VALUE"""),"Al Taif Business Center")</f>
        <v>Al Taif Business Center</v>
      </c>
      <c r="C4170" s="2"/>
      <c r="D4170" s="2" t="str">
        <f ca="1">IFERROR(__xludf.DUMMYFUNCTION("""COMPUTED_VALUE"""),"Fujairah&gt;Town Centre&gt;Al Taif Business Center")</f>
        <v>Fujairah&gt;Town Centre&gt;Al Taif Business Center</v>
      </c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</row>
    <row r="4171" spans="1:26" ht="16.5" x14ac:dyDescent="0.35">
      <c r="A4171" s="2" t="str">
        <f ca="1">IFERROR(__xludf.DUMMYFUNCTION("""COMPUTED_VALUE"""),"Dubai")</f>
        <v>Dubai</v>
      </c>
      <c r="B4171" s="2" t="str">
        <f ca="1">IFERROR(__xludf.DUMMYFUNCTION("""COMPUTED_VALUE"""),"Al Jabri Tower 8")</f>
        <v>Al Jabri Tower 8</v>
      </c>
      <c r="C4171" s="2" t="str">
        <f ca="1">IFERROR(__xludf.DUMMYFUNCTION("""COMPUTED_VALUE"""),"Building")</f>
        <v>Building</v>
      </c>
      <c r="D4171" s="2" t="str">
        <f ca="1">IFERROR(__xludf.DUMMYFUNCTION("""COMPUTED_VALUE"""),"Dubai&gt;Al Qusais&gt;Al Qusais Residential Area&gt;Al Qusais 1&gt;Al Jabri Tower 8")</f>
        <v>Dubai&gt;Al Qusais&gt;Al Qusais Residential Area&gt;Al Qusais 1&gt;Al Jabri Tower 8</v>
      </c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</row>
    <row r="4172" spans="1:26" ht="16.5" x14ac:dyDescent="0.35">
      <c r="A4172" s="2" t="str">
        <f ca="1">IFERROR(__xludf.DUMMYFUNCTION("""COMPUTED_VALUE"""),"Dubai")</f>
        <v>Dubai</v>
      </c>
      <c r="B4172" s="2" t="str">
        <f ca="1">IFERROR(__xludf.DUMMYFUNCTION("""COMPUTED_VALUE"""),"Gayath Building")</f>
        <v>Gayath Building</v>
      </c>
      <c r="C4172" s="2" t="str">
        <f ca="1">IFERROR(__xludf.DUMMYFUNCTION("""COMPUTED_VALUE"""),"Cluster")</f>
        <v>Cluster</v>
      </c>
      <c r="D4172" s="2" t="str">
        <f ca="1">IFERROR(__xludf.DUMMYFUNCTION("""COMPUTED_VALUE"""),"Dubai&gt;Al Qusais&gt;Al Qusais Industrial Area&gt;Al Qusais Industrial 4&gt;Gayath Building")</f>
        <v>Dubai&gt;Al Qusais&gt;Al Qusais Industrial Area&gt;Al Qusais Industrial 4&gt;Gayath Building</v>
      </c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</row>
    <row r="4173" spans="1:26" ht="16.5" x14ac:dyDescent="0.35">
      <c r="A4173" s="2" t="str">
        <f ca="1">IFERROR(__xludf.DUMMYFUNCTION("""COMPUTED_VALUE"""),"Dubai")</f>
        <v>Dubai</v>
      </c>
      <c r="B4173" s="2" t="str">
        <f ca="1">IFERROR(__xludf.DUMMYFUNCTION("""COMPUTED_VALUE"""),"Park Heights 2 Tower 1")</f>
        <v>Park Heights 2 Tower 1</v>
      </c>
      <c r="C4173" s="2" t="str">
        <f ca="1">IFERROR(__xludf.DUMMYFUNCTION("""COMPUTED_VALUE"""),"Building")</f>
        <v>Building</v>
      </c>
      <c r="D4173" s="2" t="str">
        <f ca="1">IFERROR(__xludf.DUMMYFUNCTION("""COMPUTED_VALUE"""),"Dubai&gt;Dubai Hills Estate&gt;Park Heights&gt;Park Heights 2&gt;Park Heights 2 Tower 1")</f>
        <v>Dubai&gt;Dubai Hills Estate&gt;Park Heights&gt;Park Heights 2&gt;Park Heights 2 Tower 1</v>
      </c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</row>
    <row r="4174" spans="1:26" ht="16.5" x14ac:dyDescent="0.35">
      <c r="A4174" s="2" t="str">
        <f ca="1">IFERROR(__xludf.DUMMYFUNCTION("""COMPUTED_VALUE"""),"Dubai")</f>
        <v>Dubai</v>
      </c>
      <c r="B4174" s="2" t="str">
        <f ca="1">IFERROR(__xludf.DUMMYFUNCTION("""COMPUTED_VALUE"""),"Park Point Building A")</f>
        <v>Park Point Building A</v>
      </c>
      <c r="C4174" s="2" t="str">
        <f ca="1">IFERROR(__xludf.DUMMYFUNCTION("""COMPUTED_VALUE"""),"Building")</f>
        <v>Building</v>
      </c>
      <c r="D4174" s="2" t="str">
        <f ca="1">IFERROR(__xludf.DUMMYFUNCTION("""COMPUTED_VALUE"""),"Dubai&gt;Dubai Hills Estate&gt;Park Point&gt;Park Point Building A")</f>
        <v>Dubai&gt;Dubai Hills Estate&gt;Park Point&gt;Park Point Building A</v>
      </c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</row>
    <row r="4175" spans="1:26" ht="16.5" x14ac:dyDescent="0.35">
      <c r="A4175" s="2" t="str">
        <f ca="1">IFERROR(__xludf.DUMMYFUNCTION("""COMPUTED_VALUE"""),"Dubai")</f>
        <v>Dubai</v>
      </c>
      <c r="B4175" s="2" t="str">
        <f ca="1">IFERROR(__xludf.DUMMYFUNCTION("""COMPUTED_VALUE"""),"Dubai Hills Business Park 1")</f>
        <v>Dubai Hills Business Park 1</v>
      </c>
      <c r="C4175" s="2" t="str">
        <f ca="1">IFERROR(__xludf.DUMMYFUNCTION("""COMPUTED_VALUE"""),"Building")</f>
        <v>Building</v>
      </c>
      <c r="D4175" s="2" t="str">
        <f ca="1">IFERROR(__xludf.DUMMYFUNCTION("""COMPUTED_VALUE"""),"Dubai&gt;Dubai Hills Estate&gt;Dubai Hills Estate Business Park&gt;Dubai Hills Business Park 1")</f>
        <v>Dubai&gt;Dubai Hills Estate&gt;Dubai Hills Estate Business Park&gt;Dubai Hills Business Park 1</v>
      </c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</row>
    <row r="4176" spans="1:26" ht="16.5" x14ac:dyDescent="0.35">
      <c r="A4176" s="2" t="str">
        <f ca="1">IFERROR(__xludf.DUMMYFUNCTION("""COMPUTED_VALUE"""),"Dubai")</f>
        <v>Dubai</v>
      </c>
      <c r="B4176" s="2" t="str">
        <f ca="1">IFERROR(__xludf.DUMMYFUNCTION("""COMPUTED_VALUE"""),"Greenside Residence Tower C")</f>
        <v>Greenside Residence Tower C</v>
      </c>
      <c r="C4176" s="2" t="str">
        <f ca="1">IFERROR(__xludf.DUMMYFUNCTION("""COMPUTED_VALUE"""),"Building")</f>
        <v>Building</v>
      </c>
      <c r="D4176" s="2" t="str">
        <f ca="1">IFERROR(__xludf.DUMMYFUNCTION("""COMPUTED_VALUE"""),"Dubai&gt;Dubai Hills Estate&gt;Greenside Residence&gt;Greenside Residence Tower C")</f>
        <v>Dubai&gt;Dubai Hills Estate&gt;Greenside Residence&gt;Greenside Residence Tower C</v>
      </c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</row>
    <row r="4177" spans="1:26" ht="16.5" x14ac:dyDescent="0.35">
      <c r="A4177" s="2" t="str">
        <f ca="1">IFERROR(__xludf.DUMMYFUNCTION("""COMPUTED_VALUE"""),"Dubai")</f>
        <v>Dubai</v>
      </c>
      <c r="B4177" s="2" t="str">
        <f ca="1">IFERROR(__xludf.DUMMYFUNCTION("""COMPUTED_VALUE"""),"Hillsedge")</f>
        <v>Hillsedge</v>
      </c>
      <c r="C4177" s="2" t="str">
        <f ca="1">IFERROR(__xludf.DUMMYFUNCTION("""COMPUTED_VALUE"""),"Cluster")</f>
        <v>Cluster</v>
      </c>
      <c r="D4177" s="2" t="str">
        <f ca="1">IFERROR(__xludf.DUMMYFUNCTION("""COMPUTED_VALUE"""),"Dubai&gt;Dubai Hills Estate&gt;Hillsedge")</f>
        <v>Dubai&gt;Dubai Hills Estate&gt;Hillsedge</v>
      </c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</row>
    <row r="4178" spans="1:26" ht="16.5" x14ac:dyDescent="0.35">
      <c r="A4178" s="2" t="str">
        <f ca="1">IFERROR(__xludf.DUMMYFUNCTION("""COMPUTED_VALUE"""),"Dubai")</f>
        <v>Dubai</v>
      </c>
      <c r="B4178" s="2" t="str">
        <f ca="1">IFERROR(__xludf.DUMMYFUNCTION("""COMPUTED_VALUE"""),"Masaken Al Muraqqabat 04")</f>
        <v>Masaken Al Muraqqabat 04</v>
      </c>
      <c r="C4178" s="2" t="str">
        <f ca="1">IFERROR(__xludf.DUMMYFUNCTION("""COMPUTED_VALUE"""),"Building")</f>
        <v>Building</v>
      </c>
      <c r="D4178" s="2" t="str">
        <f ca="1">IFERROR(__xludf.DUMMYFUNCTION("""COMPUTED_VALUE"""),"Dubai&gt;Deira&gt;Al Muraqqabat&gt;Masaken Al Muraqqabat 04")</f>
        <v>Dubai&gt;Deira&gt;Al Muraqqabat&gt;Masaken Al Muraqqabat 04</v>
      </c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</row>
    <row r="4179" spans="1:26" ht="16.5" x14ac:dyDescent="0.35">
      <c r="A4179" s="2" t="str">
        <f ca="1">IFERROR(__xludf.DUMMYFUNCTION("""COMPUTED_VALUE"""),"Dubai")</f>
        <v>Dubai</v>
      </c>
      <c r="B4179" s="2" t="str">
        <f ca="1">IFERROR(__xludf.DUMMYFUNCTION("""COMPUTED_VALUE"""),"Masaken Al Muraqqabat 05")</f>
        <v>Masaken Al Muraqqabat 05</v>
      </c>
      <c r="C4179" s="2" t="str">
        <f ca="1">IFERROR(__xludf.DUMMYFUNCTION("""COMPUTED_VALUE"""),"Building")</f>
        <v>Building</v>
      </c>
      <c r="D4179" s="2" t="str">
        <f ca="1">IFERROR(__xludf.DUMMYFUNCTION("""COMPUTED_VALUE"""),"Dubai&gt;Deira&gt;Al Muraqqabat&gt;Masaken Al Muraqqabat 05")</f>
        <v>Dubai&gt;Deira&gt;Al Muraqqabat&gt;Masaken Al Muraqqabat 05</v>
      </c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</row>
    <row r="4180" spans="1:26" ht="16.5" x14ac:dyDescent="0.35">
      <c r="A4180" s="2" t="str">
        <f ca="1">IFERROR(__xludf.DUMMYFUNCTION("""COMPUTED_VALUE"""),"Dubai")</f>
        <v>Dubai</v>
      </c>
      <c r="B4180" s="2" t="str">
        <f ca="1">IFERROR(__xludf.DUMMYFUNCTION("""COMPUTED_VALUE"""),"Creek Tower")</f>
        <v>Creek Tower</v>
      </c>
      <c r="C4180" s="2" t="str">
        <f ca="1">IFERROR(__xludf.DUMMYFUNCTION("""COMPUTED_VALUE"""),"Building")</f>
        <v>Building</v>
      </c>
      <c r="D4180" s="2" t="str">
        <f ca="1">IFERROR(__xludf.DUMMYFUNCTION("""COMPUTED_VALUE"""),"Dubai&gt;Deira&gt;Riggat Al Buteen&gt;Creek Tower")</f>
        <v>Dubai&gt;Deira&gt;Riggat Al Buteen&gt;Creek Tower</v>
      </c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</row>
    <row r="4181" spans="1:26" ht="16.5" x14ac:dyDescent="0.35">
      <c r="A4181" s="2" t="str">
        <f ca="1">IFERROR(__xludf.DUMMYFUNCTION("""COMPUTED_VALUE"""),"Dubai")</f>
        <v>Dubai</v>
      </c>
      <c r="B4181" s="2" t="str">
        <f ca="1">IFERROR(__xludf.DUMMYFUNCTION("""COMPUTED_VALUE"""),"Fatima Building")</f>
        <v>Fatima Building</v>
      </c>
      <c r="C4181" s="2" t="str">
        <f ca="1">IFERROR(__xludf.DUMMYFUNCTION("""COMPUTED_VALUE"""),"Building")</f>
        <v>Building</v>
      </c>
      <c r="D4181" s="2" t="str">
        <f ca="1">IFERROR(__xludf.DUMMYFUNCTION("""COMPUTED_VALUE"""),"Dubai&gt;Deira&gt;Hor Al Anz&gt;Fatima Building")</f>
        <v>Dubai&gt;Deira&gt;Hor Al Anz&gt;Fatima Building</v>
      </c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</row>
    <row r="4182" spans="1:26" ht="16.5" x14ac:dyDescent="0.35">
      <c r="A4182" s="2" t="str">
        <f ca="1">IFERROR(__xludf.DUMMYFUNCTION("""COMPUTED_VALUE"""),"Dubai")</f>
        <v>Dubai</v>
      </c>
      <c r="B4182" s="2" t="str">
        <f ca="1">IFERROR(__xludf.DUMMYFUNCTION("""COMPUTED_VALUE"""),"Mohammed Ghanim Abdulla Al Falasi Building")</f>
        <v>Mohammed Ghanim Abdulla Al Falasi Building</v>
      </c>
      <c r="C4182" s="2" t="str">
        <f ca="1">IFERROR(__xludf.DUMMYFUNCTION("""COMPUTED_VALUE"""),"Building")</f>
        <v>Building</v>
      </c>
      <c r="D4182" s="2" t="str">
        <f ca="1">IFERROR(__xludf.DUMMYFUNCTION("""COMPUTED_VALUE"""),"Dubai&gt;Deira&gt;Hor Al Anz&gt;Mohammed Ghanim Abdulla Al Falasi Building")</f>
        <v>Dubai&gt;Deira&gt;Hor Al Anz&gt;Mohammed Ghanim Abdulla Al Falasi Building</v>
      </c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</row>
    <row r="4183" spans="1:26" ht="16.5" x14ac:dyDescent="0.35">
      <c r="A4183" s="2" t="str">
        <f ca="1">IFERROR(__xludf.DUMMYFUNCTION("""COMPUTED_VALUE"""),"Dubai")</f>
        <v>Dubai</v>
      </c>
      <c r="B4183" s="2" t="str">
        <f ca="1">IFERROR(__xludf.DUMMYFUNCTION("""COMPUTED_VALUE"""),"Al Muteena Building 505")</f>
        <v>Al Muteena Building 505</v>
      </c>
      <c r="C4183" s="2" t="str">
        <f ca="1">IFERROR(__xludf.DUMMYFUNCTION("""COMPUTED_VALUE"""),"Building")</f>
        <v>Building</v>
      </c>
      <c r="D4183" s="2" t="str">
        <f ca="1">IFERROR(__xludf.DUMMYFUNCTION("""COMPUTED_VALUE"""),"Dubai&gt;Deira&gt;Al Muteena&gt;Al Muteena Building 505")</f>
        <v>Dubai&gt;Deira&gt;Al Muteena&gt;Al Muteena Building 505</v>
      </c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</row>
    <row r="4184" spans="1:26" ht="16.5" x14ac:dyDescent="0.35">
      <c r="A4184" s="2" t="str">
        <f ca="1">IFERROR(__xludf.DUMMYFUNCTION("""COMPUTED_VALUE"""),"Dubai")</f>
        <v>Dubai</v>
      </c>
      <c r="B4184" s="2" t="str">
        <f ca="1">IFERROR(__xludf.DUMMYFUNCTION("""COMPUTED_VALUE"""),"Deira Twin Towers")</f>
        <v>Deira Twin Towers</v>
      </c>
      <c r="C4184" s="2" t="str">
        <f ca="1">IFERROR(__xludf.DUMMYFUNCTION("""COMPUTED_VALUE"""),"Building")</f>
        <v>Building</v>
      </c>
      <c r="D4184" s="2" t="str">
        <f ca="1">IFERROR(__xludf.DUMMYFUNCTION("""COMPUTED_VALUE"""),"Dubai&gt;Deira&gt;Al Rigga&gt;Deira Twin Towers")</f>
        <v>Dubai&gt;Deira&gt;Al Rigga&gt;Deira Twin Towers</v>
      </c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</row>
    <row r="4185" spans="1:26" ht="16.5" x14ac:dyDescent="0.35">
      <c r="A4185" s="2" t="str">
        <f ca="1">IFERROR(__xludf.DUMMYFUNCTION("""COMPUTED_VALUE"""),"Dubai")</f>
        <v>Dubai</v>
      </c>
      <c r="B4185" s="2" t="str">
        <f ca="1">IFERROR(__xludf.DUMMYFUNCTION("""COMPUTED_VALUE"""),"Moza Plaza 4")</f>
        <v>Moza Plaza 4</v>
      </c>
      <c r="C4185" s="2" t="str">
        <f ca="1">IFERROR(__xludf.DUMMYFUNCTION("""COMPUTED_VALUE"""),"Building")</f>
        <v>Building</v>
      </c>
      <c r="D4185" s="2" t="str">
        <f ca="1">IFERROR(__xludf.DUMMYFUNCTION("""COMPUTED_VALUE"""),"Dubai&gt;Deira&gt;Deira Enrichment Project&gt;Moza Plaza&gt;Moza Plaza 4")</f>
        <v>Dubai&gt;Deira&gt;Deira Enrichment Project&gt;Moza Plaza&gt;Moza Plaza 4</v>
      </c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</row>
    <row r="4186" spans="1:26" ht="16.5" x14ac:dyDescent="0.35">
      <c r="A4186" s="2" t="str">
        <f ca="1">IFERROR(__xludf.DUMMYFUNCTION("""COMPUTED_VALUE"""),"Dubai")</f>
        <v>Dubai</v>
      </c>
      <c r="B4186" s="2" t="str">
        <f ca="1">IFERROR(__xludf.DUMMYFUNCTION("""COMPUTED_VALUE"""),"Tools Building")</f>
        <v>Tools Building</v>
      </c>
      <c r="C4186" s="2" t="str">
        <f ca="1">IFERROR(__xludf.DUMMYFUNCTION("""COMPUTED_VALUE"""),"Building")</f>
        <v>Building</v>
      </c>
      <c r="D4186" s="2" t="str">
        <f ca="1">IFERROR(__xludf.DUMMYFUNCTION("""COMPUTED_VALUE"""),"Dubai&gt;Deira&gt;Naif&gt;Tools Building")</f>
        <v>Dubai&gt;Deira&gt;Naif&gt;Tools Building</v>
      </c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</row>
    <row r="4187" spans="1:26" ht="16.5" x14ac:dyDescent="0.35">
      <c r="A4187" s="2" t="str">
        <f ca="1">IFERROR(__xludf.DUMMYFUNCTION("""COMPUTED_VALUE"""),"Dubai")</f>
        <v>Dubai</v>
      </c>
      <c r="B4187" s="2" t="str">
        <f ca="1">IFERROR(__xludf.DUMMYFUNCTION("""COMPUTED_VALUE"""),"Al Huda Building")</f>
        <v>Al Huda Building</v>
      </c>
      <c r="C4187" s="2" t="str">
        <f ca="1">IFERROR(__xludf.DUMMYFUNCTION("""COMPUTED_VALUE"""),"Building")</f>
        <v>Building</v>
      </c>
      <c r="D4187" s="2" t="str">
        <f ca="1">IFERROR(__xludf.DUMMYFUNCTION("""COMPUTED_VALUE"""),"Dubai&gt;Deira&gt;Naif&gt;Al Huda Building")</f>
        <v>Dubai&gt;Deira&gt;Naif&gt;Al Huda Building</v>
      </c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</row>
    <row r="4188" spans="1:26" ht="16.5" x14ac:dyDescent="0.35">
      <c r="A4188" s="2" t="str">
        <f ca="1">IFERROR(__xludf.DUMMYFUNCTION("""COMPUTED_VALUE"""),"Dubai")</f>
        <v>Dubai</v>
      </c>
      <c r="B4188" s="2" t="str">
        <f ca="1">IFERROR(__xludf.DUMMYFUNCTION("""COMPUTED_VALUE"""),"Mr. Aws Building 3")</f>
        <v>Mr. Aws Building 3</v>
      </c>
      <c r="C4188" s="2" t="str">
        <f ca="1">IFERROR(__xludf.DUMMYFUNCTION("""COMPUTED_VALUE"""),"Building")</f>
        <v>Building</v>
      </c>
      <c r="D4188" s="2" t="str">
        <f ca="1">IFERROR(__xludf.DUMMYFUNCTION("""COMPUTED_VALUE"""),"Dubai&gt;Deira&gt;Al Murar&gt;Mr. Aws Building 3")</f>
        <v>Dubai&gt;Deira&gt;Al Murar&gt;Mr. Aws Building 3</v>
      </c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</row>
    <row r="4189" spans="1:26" ht="16.5" x14ac:dyDescent="0.35">
      <c r="A4189" s="2" t="str">
        <f ca="1">IFERROR(__xludf.DUMMYFUNCTION("""COMPUTED_VALUE"""),"Dubai")</f>
        <v>Dubai</v>
      </c>
      <c r="B4189" s="2" t="str">
        <f ca="1">IFERROR(__xludf.DUMMYFUNCTION("""COMPUTED_VALUE"""),"The Elite English School")</f>
        <v>The Elite English School</v>
      </c>
      <c r="C4189" s="2" t="str">
        <f ca="1">IFERROR(__xludf.DUMMYFUNCTION("""COMPUTED_VALUE"""),"School")</f>
        <v>School</v>
      </c>
      <c r="D4189" s="2" t="str">
        <f ca="1">IFERROR(__xludf.DUMMYFUNCTION("""COMPUTED_VALUE"""),"Dubai&gt;Deira&gt;Al Wuheida&gt;The Elite English School")</f>
        <v>Dubai&gt;Deira&gt;Al Wuheida&gt;The Elite English School</v>
      </c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</row>
    <row r="4190" spans="1:26" ht="16.5" x14ac:dyDescent="0.35">
      <c r="A4190" s="2" t="str">
        <f ca="1">IFERROR(__xludf.DUMMYFUNCTION("""COMPUTED_VALUE"""),"Dubai")</f>
        <v>Dubai</v>
      </c>
      <c r="B4190" s="2" t="str">
        <f ca="1">IFERROR(__xludf.DUMMYFUNCTION("""COMPUTED_VALUE"""),"Centurion Star")</f>
        <v>Centurion Star</v>
      </c>
      <c r="C4190" s="2" t="str">
        <f ca="1">IFERROR(__xludf.DUMMYFUNCTION("""COMPUTED_VALUE"""),"Cluster")</f>
        <v>Cluster</v>
      </c>
      <c r="D4190" s="2" t="str">
        <f ca="1">IFERROR(__xludf.DUMMYFUNCTION("""COMPUTED_VALUE"""),"Dubai&gt;Deira&gt;Port Saeed&gt;Centurion Star")</f>
        <v>Dubai&gt;Deira&gt;Port Saeed&gt;Centurion Star</v>
      </c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</row>
    <row r="4191" spans="1:26" ht="16.5" x14ac:dyDescent="0.35">
      <c r="A4191" s="2" t="str">
        <f ca="1">IFERROR(__xludf.DUMMYFUNCTION("""COMPUTED_VALUE"""),"Dubai")</f>
        <v>Dubai</v>
      </c>
      <c r="B4191" s="2" t="str">
        <f ca="1">IFERROR(__xludf.DUMMYFUNCTION("""COMPUTED_VALUE"""),"Shenqaiti 6")</f>
        <v>Shenqaiti 6</v>
      </c>
      <c r="C4191" s="2" t="str">
        <f ca="1">IFERROR(__xludf.DUMMYFUNCTION("""COMPUTED_VALUE"""),"Building")</f>
        <v>Building</v>
      </c>
      <c r="D4191" s="2" t="str">
        <f ca="1">IFERROR(__xludf.DUMMYFUNCTION("""COMPUTED_VALUE"""),"Dubai&gt;Deira&gt;Port Saeed&gt;Shenqaiti 6")</f>
        <v>Dubai&gt;Deira&gt;Port Saeed&gt;Shenqaiti 6</v>
      </c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</row>
    <row r="4192" spans="1:26" ht="16.5" x14ac:dyDescent="0.35">
      <c r="A4192" s="2" t="str">
        <f ca="1">IFERROR(__xludf.DUMMYFUNCTION("""COMPUTED_VALUE"""),"Dubai")</f>
        <v>Dubai</v>
      </c>
      <c r="B4192" s="2" t="str">
        <f ca="1">IFERROR(__xludf.DUMMYFUNCTION("""COMPUTED_VALUE"""),"West Wharf")</f>
        <v>West Wharf</v>
      </c>
      <c r="C4192" s="2" t="str">
        <f ca="1">IFERROR(__xludf.DUMMYFUNCTION("""COMPUTED_VALUE"""),"Building")</f>
        <v>Building</v>
      </c>
      <c r="D4192" s="2" t="str">
        <f ca="1">IFERROR(__xludf.DUMMYFUNCTION("""COMPUTED_VALUE"""),"Dubai&gt;Business Bay&gt;West Wharf")</f>
        <v>Dubai&gt;Business Bay&gt;West Wharf</v>
      </c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</row>
    <row r="4193" spans="1:26" ht="16.5" x14ac:dyDescent="0.35">
      <c r="A4193" s="2" t="str">
        <f ca="1">IFERROR(__xludf.DUMMYFUNCTION("""COMPUTED_VALUE"""),"Dubai")</f>
        <v>Dubai</v>
      </c>
      <c r="B4193" s="2" t="str">
        <f ca="1">IFERROR(__xludf.DUMMYFUNCTION("""COMPUTED_VALUE"""),"The Sterling East")</f>
        <v>The Sterling East</v>
      </c>
      <c r="C4193" s="2" t="str">
        <f ca="1">IFERROR(__xludf.DUMMYFUNCTION("""COMPUTED_VALUE"""),"Building")</f>
        <v>Building</v>
      </c>
      <c r="D4193" s="2" t="str">
        <f ca="1">IFERROR(__xludf.DUMMYFUNCTION("""COMPUTED_VALUE"""),"Dubai&gt;Business Bay&gt;The Sterling&gt;The Sterling East")</f>
        <v>Dubai&gt;Business Bay&gt;The Sterling&gt;The Sterling East</v>
      </c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</row>
    <row r="4194" spans="1:26" ht="16.5" x14ac:dyDescent="0.35">
      <c r="A4194" s="2" t="str">
        <f ca="1">IFERROR(__xludf.DUMMYFUNCTION("""COMPUTED_VALUE"""),"Dubai")</f>
        <v>Dubai</v>
      </c>
      <c r="B4194" s="2" t="str">
        <f ca="1">IFERROR(__xludf.DUMMYFUNCTION("""COMPUTED_VALUE"""),"Empire Heights Podium")</f>
        <v>Empire Heights Podium</v>
      </c>
      <c r="C4194" s="2" t="str">
        <f ca="1">IFERROR(__xludf.DUMMYFUNCTION("""COMPUTED_VALUE"""),"Building")</f>
        <v>Building</v>
      </c>
      <c r="D4194" s="2" t="str">
        <f ca="1">IFERROR(__xludf.DUMMYFUNCTION("""COMPUTED_VALUE"""),"Dubai&gt;Business Bay&gt;Empire Heights&gt;Empire Heights Podium")</f>
        <v>Dubai&gt;Business Bay&gt;Empire Heights&gt;Empire Heights Podium</v>
      </c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</row>
    <row r="4195" spans="1:26" ht="16.5" x14ac:dyDescent="0.35">
      <c r="A4195" s="2" t="str">
        <f ca="1">IFERROR(__xludf.DUMMYFUNCTION("""COMPUTED_VALUE"""),"Dubai")</f>
        <v>Dubai</v>
      </c>
      <c r="B4195" s="2" t="str">
        <f ca="1">IFERROR(__xludf.DUMMYFUNCTION("""COMPUTED_VALUE"""),"Clover Bay Tower")</f>
        <v>Clover Bay Tower</v>
      </c>
      <c r="C4195" s="2" t="str">
        <f ca="1">IFERROR(__xludf.DUMMYFUNCTION("""COMPUTED_VALUE"""),"Building")</f>
        <v>Building</v>
      </c>
      <c r="D4195" s="2" t="str">
        <f ca="1">IFERROR(__xludf.DUMMYFUNCTION("""COMPUTED_VALUE"""),"Dubai&gt;Business Bay&gt;Clover Bay Tower")</f>
        <v>Dubai&gt;Business Bay&gt;Clover Bay Tower</v>
      </c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</row>
    <row r="4196" spans="1:26" ht="16.5" x14ac:dyDescent="0.35">
      <c r="A4196" s="2" t="str">
        <f ca="1">IFERROR(__xludf.DUMMYFUNCTION("""COMPUTED_VALUE"""),"Dubai")</f>
        <v>Dubai</v>
      </c>
      <c r="B4196" s="2" t="str">
        <f ca="1">IFERROR(__xludf.DUMMYFUNCTION("""COMPUTED_VALUE"""),"Emirates Holidays Building")</f>
        <v>Emirates Holidays Building</v>
      </c>
      <c r="C4196" s="2" t="str">
        <f ca="1">IFERROR(__xludf.DUMMYFUNCTION("""COMPUTED_VALUE"""),"Building")</f>
        <v>Building</v>
      </c>
      <c r="D4196" s="2" t="str">
        <f ca="1">IFERROR(__xludf.DUMMYFUNCTION("""COMPUTED_VALUE"""),"Dubai&gt;Business Bay&gt;Emirates Holidays Building")</f>
        <v>Dubai&gt;Business Bay&gt;Emirates Holidays Building</v>
      </c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</row>
    <row r="4197" spans="1:26" ht="16.5" x14ac:dyDescent="0.35">
      <c r="A4197" s="2" t="str">
        <f ca="1">IFERROR(__xludf.DUMMYFUNCTION("""COMPUTED_VALUE"""),"Dubai")</f>
        <v>Dubai</v>
      </c>
      <c r="B4197" s="2" t="str">
        <f ca="1">IFERROR(__xludf.DUMMYFUNCTION("""COMPUTED_VALUE"""),"JW Marriott Marquis Hotel")</f>
        <v>JW Marriott Marquis Hotel</v>
      </c>
      <c r="C4197" s="2" t="str">
        <f ca="1">IFERROR(__xludf.DUMMYFUNCTION("""COMPUTED_VALUE"""),"Building")</f>
        <v>Building</v>
      </c>
      <c r="D4197" s="2" t="str">
        <f ca="1">IFERROR(__xludf.DUMMYFUNCTION("""COMPUTED_VALUE"""),"Dubai&gt;Business Bay&gt;JW Marriott Marquis Hotel")</f>
        <v>Dubai&gt;Business Bay&gt;JW Marriott Marquis Hotel</v>
      </c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</row>
    <row r="4198" spans="1:26" ht="16.5" x14ac:dyDescent="0.35">
      <c r="A4198" s="2" t="str">
        <f ca="1">IFERROR(__xludf.DUMMYFUNCTION("""COMPUTED_VALUE"""),"Dubai")</f>
        <v>Dubai</v>
      </c>
      <c r="B4198" s="2" t="str">
        <f ca="1">IFERROR(__xludf.DUMMYFUNCTION("""COMPUTED_VALUE"""),"UPSIDE")</f>
        <v>UPSIDE</v>
      </c>
      <c r="C4198" s="2" t="str">
        <f ca="1">IFERROR(__xludf.DUMMYFUNCTION("""COMPUTED_VALUE"""),"Building")</f>
        <v>Building</v>
      </c>
      <c r="D4198" s="2" t="str">
        <f ca="1">IFERROR(__xludf.DUMMYFUNCTION("""COMPUTED_VALUE"""),"Dubai&gt;Business Bay&gt;UPSIDE")</f>
        <v>Dubai&gt;Business Bay&gt;UPSIDE</v>
      </c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</row>
    <row r="4199" spans="1:26" ht="16.5" x14ac:dyDescent="0.35">
      <c r="A4199" s="2" t="str">
        <f ca="1">IFERROR(__xludf.DUMMYFUNCTION("""COMPUTED_VALUE"""),"Dubai")</f>
        <v>Dubai</v>
      </c>
      <c r="B4199" s="2" t="str">
        <f ca="1">IFERROR(__xludf.DUMMYFUNCTION("""COMPUTED_VALUE"""),"Grand Millennium")</f>
        <v>Grand Millennium</v>
      </c>
      <c r="C4199" s="2" t="str">
        <f ca="1">IFERROR(__xludf.DUMMYFUNCTION("""COMPUTED_VALUE"""),"Building")</f>
        <v>Building</v>
      </c>
      <c r="D4199" s="2" t="str">
        <f ca="1">IFERROR(__xludf.DUMMYFUNCTION("""COMPUTED_VALUE"""),"Dubai&gt;Business Bay&gt;Grand Millennium")</f>
        <v>Dubai&gt;Business Bay&gt;Grand Millennium</v>
      </c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</row>
    <row r="4200" spans="1:26" ht="16.5" x14ac:dyDescent="0.35">
      <c r="A4200" s="2" t="str">
        <f ca="1">IFERROR(__xludf.DUMMYFUNCTION("""COMPUTED_VALUE"""),"Dubai")</f>
        <v>Dubai</v>
      </c>
      <c r="B4200" s="2" t="str">
        <f ca="1">IFERROR(__xludf.DUMMYFUNCTION("""COMPUTED_VALUE"""),"Binghatti Skyrise Tower B")</f>
        <v>Binghatti Skyrise Tower B</v>
      </c>
      <c r="C4200" s="2" t="str">
        <f ca="1">IFERROR(__xludf.DUMMYFUNCTION("""COMPUTED_VALUE"""),"Building")</f>
        <v>Building</v>
      </c>
      <c r="D4200" s="2" t="str">
        <f ca="1">IFERROR(__xludf.DUMMYFUNCTION("""COMPUTED_VALUE"""),"Dubai&gt;Business Bay&gt;Binghatti Skyrise&gt;Binghatti Skyrise Tower B")</f>
        <v>Dubai&gt;Business Bay&gt;Binghatti Skyrise&gt;Binghatti Skyrise Tower B</v>
      </c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</row>
    <row r="4201" spans="1:26" ht="16.5" x14ac:dyDescent="0.35">
      <c r="A4201" s="2" t="str">
        <f ca="1">IFERROR(__xludf.DUMMYFUNCTION("""COMPUTED_VALUE"""),"Dubai")</f>
        <v>Dubai</v>
      </c>
      <c r="B4201" s="2" t="str">
        <f ca="1">IFERROR(__xludf.DUMMYFUNCTION("""COMPUTED_VALUE"""),"The Imperial Residence A")</f>
        <v>The Imperial Residence A</v>
      </c>
      <c r="C4201" s="2" t="str">
        <f ca="1">IFERROR(__xludf.DUMMYFUNCTION("""COMPUTED_VALUE"""),"Building")</f>
        <v>Building</v>
      </c>
      <c r="D4201" s="2" t="str">
        <f ca="1">IFERROR(__xludf.DUMMYFUNCTION("""COMPUTED_VALUE"""),"Dubai&gt;Jumeirah Village Triangle (JVT)&gt;JVT District 5&gt;The Imperial Residence&gt;The Imperial Residence A")</f>
        <v>Dubai&gt;Jumeirah Village Triangle (JVT)&gt;JVT District 5&gt;The Imperial Residence&gt;The Imperial Residence A</v>
      </c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</row>
    <row r="4202" spans="1:26" ht="16.5" x14ac:dyDescent="0.35">
      <c r="A4202" s="2" t="str">
        <f ca="1">IFERROR(__xludf.DUMMYFUNCTION("""COMPUTED_VALUE"""),"Dubai")</f>
        <v>Dubai</v>
      </c>
      <c r="B4202" s="2" t="str">
        <f ca="1">IFERROR(__xludf.DUMMYFUNCTION("""COMPUTED_VALUE"""),"District 8J")</f>
        <v>District 8J</v>
      </c>
      <c r="C4202" s="2" t="str">
        <f ca="1">IFERROR(__xludf.DUMMYFUNCTION("""COMPUTED_VALUE"""),"Neighbourhood")</f>
        <v>Neighbourhood</v>
      </c>
      <c r="D4202" s="2" t="str">
        <f ca="1">IFERROR(__xludf.DUMMYFUNCTION("""COMPUTED_VALUE"""),"Dubai&gt;Jumeirah Village Triangle (JVT)&gt;JVT District 8&gt;District 8J")</f>
        <v>Dubai&gt;Jumeirah Village Triangle (JVT)&gt;JVT District 8&gt;District 8J</v>
      </c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</row>
    <row r="4203" spans="1:26" ht="16.5" x14ac:dyDescent="0.35">
      <c r="A4203" s="2" t="str">
        <f ca="1">IFERROR(__xludf.DUMMYFUNCTION("""COMPUTED_VALUE"""),"Dubai")</f>
        <v>Dubai</v>
      </c>
      <c r="B4203" s="2" t="str">
        <f ca="1">IFERROR(__xludf.DUMMYFUNCTION("""COMPUTED_VALUE"""),"District 2B")</f>
        <v>District 2B</v>
      </c>
      <c r="C4203" s="2" t="str">
        <f ca="1">IFERROR(__xludf.DUMMYFUNCTION("""COMPUTED_VALUE"""),"Neighbourhood")</f>
        <v>Neighbourhood</v>
      </c>
      <c r="D4203" s="2" t="str">
        <f ca="1">IFERROR(__xludf.DUMMYFUNCTION("""COMPUTED_VALUE"""),"Dubai&gt;Jumeirah Village Triangle (JVT)&gt;JVT District 2&gt;District 2B")</f>
        <v>Dubai&gt;Jumeirah Village Triangle (JVT)&gt;JVT District 2&gt;District 2B</v>
      </c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</row>
    <row r="4204" spans="1:26" ht="16.5" x14ac:dyDescent="0.35">
      <c r="A4204" s="2" t="str">
        <f ca="1">IFERROR(__xludf.DUMMYFUNCTION("""COMPUTED_VALUE"""),"Dubai")</f>
        <v>Dubai</v>
      </c>
      <c r="B4204" s="2" t="str">
        <f ca="1">IFERROR(__xludf.DUMMYFUNCTION("""COMPUTED_VALUE"""),"Zazen One")</f>
        <v>Zazen One</v>
      </c>
      <c r="C4204" s="2" t="str">
        <f ca="1">IFERROR(__xludf.DUMMYFUNCTION("""COMPUTED_VALUE"""),"Building")</f>
        <v>Building</v>
      </c>
      <c r="D4204" s="2" t="str">
        <f ca="1">IFERROR(__xludf.DUMMYFUNCTION("""COMPUTED_VALUE"""),"Dubai&gt;Jumeirah Village Triangle (JVT)&gt;JVT District 7&gt;Zazen One")</f>
        <v>Dubai&gt;Jumeirah Village Triangle (JVT)&gt;JVT District 7&gt;Zazen One</v>
      </c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</row>
    <row r="4205" spans="1:26" ht="16.5" x14ac:dyDescent="0.35">
      <c r="A4205" s="2" t="str">
        <f ca="1">IFERROR(__xludf.DUMMYFUNCTION("""COMPUTED_VALUE"""),"Dubai")</f>
        <v>Dubai</v>
      </c>
      <c r="B4205" s="2" t="str">
        <f ca="1">IFERROR(__xludf.DUMMYFUNCTION("""COMPUTED_VALUE"""),"Al Manara Tower")</f>
        <v>Al Manara Tower</v>
      </c>
      <c r="C4205" s="2" t="str">
        <f ca="1">IFERROR(__xludf.DUMMYFUNCTION("""COMPUTED_VALUE"""),"Building")</f>
        <v>Building</v>
      </c>
      <c r="D4205" s="2" t="str">
        <f ca="1">IFERROR(__xludf.DUMMYFUNCTION("""COMPUTED_VALUE"""),"Dubai&gt;Jumeirah Village Triangle (JVT)&gt;JVT District 4&gt;Al Manara Tower")</f>
        <v>Dubai&gt;Jumeirah Village Triangle (JVT)&gt;JVT District 4&gt;Al Manara Tower</v>
      </c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</row>
    <row r="4206" spans="1:26" ht="16.5" x14ac:dyDescent="0.35">
      <c r="A4206" s="2" t="str">
        <f ca="1">IFERROR(__xludf.DUMMYFUNCTION("""COMPUTED_VALUE"""),"Dubai")</f>
        <v>Dubai</v>
      </c>
      <c r="B4206" s="2" t="str">
        <f ca="1">IFERROR(__xludf.DUMMYFUNCTION("""COMPUTED_VALUE"""),"District 3B")</f>
        <v>District 3B</v>
      </c>
      <c r="C4206" s="2" t="str">
        <f ca="1">IFERROR(__xludf.DUMMYFUNCTION("""COMPUTED_VALUE"""),"Neighbourhood")</f>
        <v>Neighbourhood</v>
      </c>
      <c r="D4206" s="2" t="str">
        <f ca="1">IFERROR(__xludf.DUMMYFUNCTION("""COMPUTED_VALUE"""),"Dubai&gt;Jumeirah Village Triangle (JVT)&gt;JVT District 3&gt;District 3B")</f>
        <v>Dubai&gt;Jumeirah Village Triangle (JVT)&gt;JVT District 3&gt;District 3B</v>
      </c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</row>
    <row r="4207" spans="1:26" ht="16.5" x14ac:dyDescent="0.35">
      <c r="A4207" s="2" t="str">
        <f ca="1">IFERROR(__xludf.DUMMYFUNCTION("""COMPUTED_VALUE"""),"Dubai")</f>
        <v>Dubai</v>
      </c>
      <c r="B4207" s="2" t="str">
        <f ca="1">IFERROR(__xludf.DUMMYFUNCTION("""COMPUTED_VALUE"""),"Al Ramth 13")</f>
        <v>Al Ramth 13</v>
      </c>
      <c r="C4207" s="2" t="str">
        <f ca="1">IFERROR(__xludf.DUMMYFUNCTION("""COMPUTED_VALUE"""),"Building")</f>
        <v>Building</v>
      </c>
      <c r="D4207" s="2" t="str">
        <f ca="1">IFERROR(__xludf.DUMMYFUNCTION("""COMPUTED_VALUE"""),"Dubai&gt;Remraam&gt;Al Ramth&gt;Al Ramth 13")</f>
        <v>Dubai&gt;Remraam&gt;Al Ramth&gt;Al Ramth 13</v>
      </c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</row>
    <row r="4208" spans="1:26" ht="16.5" x14ac:dyDescent="0.35">
      <c r="A4208" s="2" t="str">
        <f ca="1">IFERROR(__xludf.DUMMYFUNCTION("""COMPUTED_VALUE"""),"Dubai")</f>
        <v>Dubai</v>
      </c>
      <c r="B4208" s="2" t="str">
        <f ca="1">IFERROR(__xludf.DUMMYFUNCTION("""COMPUTED_VALUE"""),"Al Ramth 24")</f>
        <v>Al Ramth 24</v>
      </c>
      <c r="C4208" s="2" t="str">
        <f ca="1">IFERROR(__xludf.DUMMYFUNCTION("""COMPUTED_VALUE"""),"Building")</f>
        <v>Building</v>
      </c>
      <c r="D4208" s="2" t="str">
        <f ca="1">IFERROR(__xludf.DUMMYFUNCTION("""COMPUTED_VALUE"""),"Dubai&gt;Remraam&gt;Al Ramth&gt;Al Ramth 24")</f>
        <v>Dubai&gt;Remraam&gt;Al Ramth&gt;Al Ramth 24</v>
      </c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</row>
    <row r="4209" spans="1:26" ht="16.5" x14ac:dyDescent="0.35">
      <c r="A4209" s="2" t="str">
        <f ca="1">IFERROR(__xludf.DUMMYFUNCTION("""COMPUTED_VALUE"""),"Dubai")</f>
        <v>Dubai</v>
      </c>
      <c r="B4209" s="2" t="str">
        <f ca="1">IFERROR(__xludf.DUMMYFUNCTION("""COMPUTED_VALUE"""),"Al Thamam 32")</f>
        <v>Al Thamam 32</v>
      </c>
      <c r="C4209" s="2" t="str">
        <f ca="1">IFERROR(__xludf.DUMMYFUNCTION("""COMPUTED_VALUE"""),"Building")</f>
        <v>Building</v>
      </c>
      <c r="D4209" s="2" t="str">
        <f ca="1">IFERROR(__xludf.DUMMYFUNCTION("""COMPUTED_VALUE"""),"Dubai&gt;Remraam&gt;Al Thamam&gt;Al Thamam 32")</f>
        <v>Dubai&gt;Remraam&gt;Al Thamam&gt;Al Thamam 32</v>
      </c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</row>
    <row r="4210" spans="1:26" ht="16.5" x14ac:dyDescent="0.35">
      <c r="A4210" s="2" t="str">
        <f ca="1">IFERROR(__xludf.DUMMYFUNCTION("""COMPUTED_VALUE"""),"Dubai")</f>
        <v>Dubai</v>
      </c>
      <c r="B4210" s="2" t="str">
        <f ca="1">IFERROR(__xludf.DUMMYFUNCTION("""COMPUTED_VALUE"""),"Park Boulevard")</f>
        <v>Park Boulevard</v>
      </c>
      <c r="C4210" s="2" t="str">
        <f ca="1">IFERROR(__xludf.DUMMYFUNCTION("""COMPUTED_VALUE"""),"Building")</f>
        <v>Building</v>
      </c>
      <c r="D4210" s="2" t="str">
        <f ca="1">IFERROR(__xludf.DUMMYFUNCTION("""COMPUTED_VALUE"""),"Dubai&gt;Jumeirah Village Circle (JVC)&gt;JVC District 17&gt;Park Boulevard")</f>
        <v>Dubai&gt;Jumeirah Village Circle (JVC)&gt;JVC District 17&gt;Park Boulevard</v>
      </c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</row>
    <row r="4211" spans="1:26" ht="16.5" x14ac:dyDescent="0.35">
      <c r="A4211" s="2" t="str">
        <f ca="1">IFERROR(__xludf.DUMMYFUNCTION("""COMPUTED_VALUE"""),"Dubai")</f>
        <v>Dubai</v>
      </c>
      <c r="B4211" s="2" t="str">
        <f ca="1">IFERROR(__xludf.DUMMYFUNCTION("""COMPUTED_VALUE"""),"Roxana Residences")</f>
        <v>Roxana Residences</v>
      </c>
      <c r="C4211" s="2" t="str">
        <f ca="1">IFERROR(__xludf.DUMMYFUNCTION("""COMPUTED_VALUE"""),"Cluster")</f>
        <v>Cluster</v>
      </c>
      <c r="D4211" s="2" t="str">
        <f ca="1">IFERROR(__xludf.DUMMYFUNCTION("""COMPUTED_VALUE"""),"Dubai&gt;Jumeirah Village Circle (JVC)&gt;JVC District 12&gt;Roxana Residences")</f>
        <v>Dubai&gt;Jumeirah Village Circle (JVC)&gt;JVC District 12&gt;Roxana Residences</v>
      </c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</row>
    <row r="4212" spans="1:26" ht="16.5" x14ac:dyDescent="0.35">
      <c r="A4212" s="2" t="str">
        <f ca="1">IFERROR(__xludf.DUMMYFUNCTION("""COMPUTED_VALUE"""),"Dubai")</f>
        <v>Dubai</v>
      </c>
      <c r="B4212" s="2" t="str">
        <f ca="1">IFERROR(__xludf.DUMMYFUNCTION("""COMPUTED_VALUE"""),"Binghatti Nova")</f>
        <v>Binghatti Nova</v>
      </c>
      <c r="C4212" s="2" t="str">
        <f ca="1">IFERROR(__xludf.DUMMYFUNCTION("""COMPUTED_VALUE"""),"Building")</f>
        <v>Building</v>
      </c>
      <c r="D4212" s="2" t="str">
        <f ca="1">IFERROR(__xludf.DUMMYFUNCTION("""COMPUTED_VALUE"""),"Dubai&gt;Jumeirah Village Circle (JVC)&gt;JVC District 12&gt;Binghatti Nova")</f>
        <v>Dubai&gt;Jumeirah Village Circle (JVC)&gt;JVC District 12&gt;Binghatti Nova</v>
      </c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</row>
    <row r="4213" spans="1:26" ht="16.5" x14ac:dyDescent="0.35">
      <c r="A4213" s="2" t="str">
        <f ca="1">IFERROR(__xludf.DUMMYFUNCTION("""COMPUTED_VALUE"""),"Dubai")</f>
        <v>Dubai</v>
      </c>
      <c r="B4213" s="2" t="str">
        <f ca="1">IFERROR(__xludf.DUMMYFUNCTION("""COMPUTED_VALUE"""),"Le Parc Homes")</f>
        <v>Le Parc Homes</v>
      </c>
      <c r="C4213" s="2" t="str">
        <f ca="1">IFERROR(__xludf.DUMMYFUNCTION("""COMPUTED_VALUE"""),"Neighbourhood")</f>
        <v>Neighbourhood</v>
      </c>
      <c r="D4213" s="2" t="str">
        <f ca="1">IFERROR(__xludf.DUMMYFUNCTION("""COMPUTED_VALUE"""),"Dubai&gt;Jumeirah Village Circle (JVC)&gt;JVC District 12&gt;Le Parc Homes")</f>
        <v>Dubai&gt;Jumeirah Village Circle (JVC)&gt;JVC District 12&gt;Le Parc Homes</v>
      </c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</row>
    <row r="4214" spans="1:26" ht="16.5" x14ac:dyDescent="0.35">
      <c r="A4214" s="2" t="str">
        <f ca="1">IFERROR(__xludf.DUMMYFUNCTION("""COMPUTED_VALUE"""),"Dubai")</f>
        <v>Dubai</v>
      </c>
      <c r="B4214" s="2" t="str">
        <f ca="1">IFERROR(__xludf.DUMMYFUNCTION("""COMPUTED_VALUE"""),"Park Vista")</f>
        <v>Park Vista</v>
      </c>
      <c r="C4214" s="2" t="str">
        <f ca="1">IFERROR(__xludf.DUMMYFUNCTION("""COMPUTED_VALUE"""),"Building")</f>
        <v>Building</v>
      </c>
      <c r="D4214" s="2" t="str">
        <f ca="1">IFERROR(__xludf.DUMMYFUNCTION("""COMPUTED_VALUE"""),"Dubai&gt;Jumeirah Village Circle (JVC)&gt;JVC District 13&gt;Park Vista")</f>
        <v>Dubai&gt;Jumeirah Village Circle (JVC)&gt;JVC District 13&gt;Park Vista</v>
      </c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</row>
    <row r="4215" spans="1:26" ht="16.5" x14ac:dyDescent="0.35">
      <c r="A4215" s="2" t="str">
        <f ca="1">IFERROR(__xludf.DUMMYFUNCTION("""COMPUTED_VALUE"""),"Dubai")</f>
        <v>Dubai</v>
      </c>
      <c r="B4215" s="2" t="str">
        <f ca="1">IFERROR(__xludf.DUMMYFUNCTION("""COMPUTED_VALUE"""),"Xanadu Residence 1")</f>
        <v>Xanadu Residence 1</v>
      </c>
      <c r="C4215" s="2" t="str">
        <f ca="1">IFERROR(__xludf.DUMMYFUNCTION("""COMPUTED_VALUE"""),"Building")</f>
        <v>Building</v>
      </c>
      <c r="D4215" s="2" t="str">
        <f ca="1">IFERROR(__xludf.DUMMYFUNCTION("""COMPUTED_VALUE"""),"Dubai&gt;Jumeirah Village Circle (JVC)&gt;JVC District 13&gt;Xanadu Residence 1")</f>
        <v>Dubai&gt;Jumeirah Village Circle (JVC)&gt;JVC District 13&gt;Xanadu Residence 1</v>
      </c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</row>
    <row r="4216" spans="1:26" ht="16.5" x14ac:dyDescent="0.35">
      <c r="A4216" s="2" t="str">
        <f ca="1">IFERROR(__xludf.DUMMYFUNCTION("""COMPUTED_VALUE"""),"Dubai")</f>
        <v>Dubai</v>
      </c>
      <c r="B4216" s="2" t="str">
        <f ca="1">IFERROR(__xludf.DUMMYFUNCTION("""COMPUTED_VALUE"""),"Lusail Residence")</f>
        <v>Lusail Residence</v>
      </c>
      <c r="C4216" s="2" t="str">
        <f ca="1">IFERROR(__xludf.DUMMYFUNCTION("""COMPUTED_VALUE"""),"Building")</f>
        <v>Building</v>
      </c>
      <c r="D4216" s="2" t="str">
        <f ca="1">IFERROR(__xludf.DUMMYFUNCTION("""COMPUTED_VALUE"""),"Dubai&gt;Jumeirah Village Circle (JVC)&gt;JVC District 13&gt;Lusail Residence")</f>
        <v>Dubai&gt;Jumeirah Village Circle (JVC)&gt;JVC District 13&gt;Lusail Residence</v>
      </c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</row>
    <row r="4217" spans="1:26" ht="16.5" x14ac:dyDescent="0.35">
      <c r="A4217" s="2" t="str">
        <f ca="1">IFERROR(__xludf.DUMMYFUNCTION("""COMPUTED_VALUE"""),"Dubai")</f>
        <v>Dubai</v>
      </c>
      <c r="B4217" s="2" t="str">
        <f ca="1">IFERROR(__xludf.DUMMYFUNCTION("""COMPUTED_VALUE"""),"Herad Tower")</f>
        <v>Herad Tower</v>
      </c>
      <c r="C4217" s="2" t="str">
        <f ca="1">IFERROR(__xludf.DUMMYFUNCTION("""COMPUTED_VALUE"""),"Building")</f>
        <v>Building</v>
      </c>
      <c r="D4217" s="2" t="str">
        <f ca="1">IFERROR(__xludf.DUMMYFUNCTION("""COMPUTED_VALUE"""),"Dubai&gt;Jumeirah Village Circle (JVC)&gt;JVC District 18&gt;Herad Tower")</f>
        <v>Dubai&gt;Jumeirah Village Circle (JVC)&gt;JVC District 18&gt;Herad Tower</v>
      </c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</row>
    <row r="4218" spans="1:26" ht="16.5" x14ac:dyDescent="0.35">
      <c r="A4218" s="2" t="str">
        <f ca="1">IFERROR(__xludf.DUMMYFUNCTION("""COMPUTED_VALUE"""),"Dubai")</f>
        <v>Dubai</v>
      </c>
      <c r="B4218" s="2" t="str">
        <f ca="1">IFERROR(__xludf.DUMMYFUNCTION("""COMPUTED_VALUE"""),"Saleh Bin Lahej JVC Block C")</f>
        <v>Saleh Bin Lahej JVC Block C</v>
      </c>
      <c r="C4218" s="2" t="str">
        <f ca="1">IFERROR(__xludf.DUMMYFUNCTION("""COMPUTED_VALUE"""),"Neighbourhood")</f>
        <v>Neighbourhood</v>
      </c>
      <c r="D4218" s="2" t="str">
        <f ca="1">IFERROR(__xludf.DUMMYFUNCTION("""COMPUTED_VALUE"""),"Dubai&gt;Jumeirah Village Circle (JVC)&gt;JVC District 10&gt;Saleh Bin Lahej JVC&gt;Saleh Bin Lahej JVC Block C")</f>
        <v>Dubai&gt;Jumeirah Village Circle (JVC)&gt;JVC District 10&gt;Saleh Bin Lahej JVC&gt;Saleh Bin Lahej JVC Block C</v>
      </c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</row>
    <row r="4219" spans="1:26" ht="16.5" x14ac:dyDescent="0.35">
      <c r="A4219" s="2" t="str">
        <f ca="1">IFERROR(__xludf.DUMMYFUNCTION("""COMPUTED_VALUE"""),"Dubai")</f>
        <v>Dubai</v>
      </c>
      <c r="B4219" s="2" t="str">
        <f ca="1">IFERROR(__xludf.DUMMYFUNCTION("""COMPUTED_VALUE"""),"Le Grand Chateau A")</f>
        <v>Le Grand Chateau A</v>
      </c>
      <c r="C4219" s="2" t="str">
        <f ca="1">IFERROR(__xludf.DUMMYFUNCTION("""COMPUTED_VALUE"""),"Building")</f>
        <v>Building</v>
      </c>
      <c r="D4219" s="2" t="str">
        <f ca="1">IFERROR(__xludf.DUMMYFUNCTION("""COMPUTED_VALUE"""),"Dubai&gt;Jumeirah Village Circle (JVC)&gt;JVC District 10&gt;Le Grand Chateau&gt;Le Grand Chateau A")</f>
        <v>Dubai&gt;Jumeirah Village Circle (JVC)&gt;JVC District 10&gt;Le Grand Chateau&gt;Le Grand Chateau A</v>
      </c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</row>
    <row r="4220" spans="1:26" ht="16.5" x14ac:dyDescent="0.35">
      <c r="A4220" s="2" t="str">
        <f ca="1">IFERROR(__xludf.DUMMYFUNCTION("""COMPUTED_VALUE"""),"Dubai")</f>
        <v>Dubai</v>
      </c>
      <c r="B4220" s="2" t="str">
        <f ca="1">IFERROR(__xludf.DUMMYFUNCTION("""COMPUTED_VALUE"""),"Binghatti Lavender")</f>
        <v>Binghatti Lavender</v>
      </c>
      <c r="C4220" s="2" t="str">
        <f ca="1">IFERROR(__xludf.DUMMYFUNCTION("""COMPUTED_VALUE"""),"Building")</f>
        <v>Building</v>
      </c>
      <c r="D4220" s="2" t="str">
        <f ca="1">IFERROR(__xludf.DUMMYFUNCTION("""COMPUTED_VALUE"""),"Dubai&gt;Jumeirah Village Circle (JVC)&gt;JVC District 10&gt;Binghatti Lavender")</f>
        <v>Dubai&gt;Jumeirah Village Circle (JVC)&gt;JVC District 10&gt;Binghatti Lavender</v>
      </c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</row>
    <row r="4221" spans="1:26" ht="16.5" x14ac:dyDescent="0.35">
      <c r="A4221" s="2" t="str">
        <f ca="1">IFERROR(__xludf.DUMMYFUNCTION("""COMPUTED_VALUE"""),"Dubai")</f>
        <v>Dubai</v>
      </c>
      <c r="B4221" s="2" t="str">
        <f ca="1">IFERROR(__xludf.DUMMYFUNCTION("""COMPUTED_VALUE"""),"May Residence")</f>
        <v>May Residence</v>
      </c>
      <c r="C4221" s="2" t="str">
        <f ca="1">IFERROR(__xludf.DUMMYFUNCTION("""COMPUTED_VALUE"""),"Cluster")</f>
        <v>Cluster</v>
      </c>
      <c r="D4221" s="2" t="str">
        <f ca="1">IFERROR(__xludf.DUMMYFUNCTION("""COMPUTED_VALUE"""),"Dubai&gt;Jumeirah Village Circle (JVC)&gt;JVC District 10&gt;May Residence")</f>
        <v>Dubai&gt;Jumeirah Village Circle (JVC)&gt;JVC District 10&gt;May Residence</v>
      </c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</row>
    <row r="4222" spans="1:26" ht="16.5" x14ac:dyDescent="0.35">
      <c r="A4222" s="2" t="str">
        <f ca="1">IFERROR(__xludf.DUMMYFUNCTION("""COMPUTED_VALUE"""),"Dubai")</f>
        <v>Dubai</v>
      </c>
      <c r="B4222" s="2" t="str">
        <f ca="1">IFERROR(__xludf.DUMMYFUNCTION("""COMPUTED_VALUE"""),"Seasons Community")</f>
        <v>Seasons Community</v>
      </c>
      <c r="C4222" s="2" t="str">
        <f ca="1">IFERROR(__xludf.DUMMYFUNCTION("""COMPUTED_VALUE"""),"Neighbourhood")</f>
        <v>Neighbourhood</v>
      </c>
      <c r="D4222" s="2" t="str">
        <f ca="1">IFERROR(__xludf.DUMMYFUNCTION("""COMPUTED_VALUE"""),"Dubai&gt;Jumeirah Village Circle (JVC)&gt;JVC District 15&gt;Seasons Community")</f>
        <v>Dubai&gt;Jumeirah Village Circle (JVC)&gt;JVC District 15&gt;Seasons Community</v>
      </c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</row>
    <row r="4223" spans="1:26" ht="16.5" x14ac:dyDescent="0.35">
      <c r="A4223" s="2" t="str">
        <f ca="1">IFERROR(__xludf.DUMMYFUNCTION("""COMPUTED_VALUE"""),"Dubai")</f>
        <v>Dubai</v>
      </c>
      <c r="B4223" s="2" t="str">
        <f ca="1">IFERROR(__xludf.DUMMYFUNCTION("""COMPUTED_VALUE"""),"Lotus Park")</f>
        <v>Lotus Park</v>
      </c>
      <c r="C4223" s="2" t="str">
        <f ca="1">IFERROR(__xludf.DUMMYFUNCTION("""COMPUTED_VALUE"""),"Neighbourhood")</f>
        <v>Neighbourhood</v>
      </c>
      <c r="D4223" s="2" t="str">
        <f ca="1">IFERROR(__xludf.DUMMYFUNCTION("""COMPUTED_VALUE"""),"Dubai&gt;Jumeirah Village Circle (JVC)&gt;JVC District 15&gt;Lotus Park")</f>
        <v>Dubai&gt;Jumeirah Village Circle (JVC)&gt;JVC District 15&gt;Lotus Park</v>
      </c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</row>
    <row r="4224" spans="1:26" ht="16.5" x14ac:dyDescent="0.35">
      <c r="A4224" s="2" t="str">
        <f ca="1">IFERROR(__xludf.DUMMYFUNCTION("""COMPUTED_VALUE"""),"Dubai")</f>
        <v>Dubai</v>
      </c>
      <c r="B4224" s="2" t="str">
        <f ca="1">IFERROR(__xludf.DUMMYFUNCTION("""COMPUTED_VALUE"""),"Gardenia")</f>
        <v>Gardenia</v>
      </c>
      <c r="C4224" s="2" t="str">
        <f ca="1">IFERROR(__xludf.DUMMYFUNCTION("""COMPUTED_VALUE"""),"Building")</f>
        <v>Building</v>
      </c>
      <c r="D4224" s="2" t="str">
        <f ca="1">IFERROR(__xludf.DUMMYFUNCTION("""COMPUTED_VALUE"""),"Dubai&gt;Jumeirah Village Circle (JVC)&gt;JVC District 15&gt;Gardenia")</f>
        <v>Dubai&gt;Jumeirah Village Circle (JVC)&gt;JVC District 15&gt;Gardenia</v>
      </c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</row>
    <row r="4225" spans="1:26" ht="16.5" x14ac:dyDescent="0.35">
      <c r="A4225" s="2" t="str">
        <f ca="1">IFERROR(__xludf.DUMMYFUNCTION("""COMPUTED_VALUE"""),"Dubai")</f>
        <v>Dubai</v>
      </c>
      <c r="B4225" s="2" t="str">
        <f ca="1">IFERROR(__xludf.DUMMYFUNCTION("""COMPUTED_VALUE"""),"Astoria Residence")</f>
        <v>Astoria Residence</v>
      </c>
      <c r="C4225" s="2" t="str">
        <f ca="1">IFERROR(__xludf.DUMMYFUNCTION("""COMPUTED_VALUE"""),"Building")</f>
        <v>Building</v>
      </c>
      <c r="D4225" s="2" t="str">
        <f ca="1">IFERROR(__xludf.DUMMYFUNCTION("""COMPUTED_VALUE"""),"Dubai&gt;Jumeirah Village Circle (JVC)&gt;JVC District 11&gt;Astoria Residence")</f>
        <v>Dubai&gt;Jumeirah Village Circle (JVC)&gt;JVC District 11&gt;Astoria Residence</v>
      </c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</row>
    <row r="4226" spans="1:26" ht="16.5" x14ac:dyDescent="0.35">
      <c r="A4226" s="2" t="str">
        <f ca="1">IFERROR(__xludf.DUMMYFUNCTION("""COMPUTED_VALUE"""),"Dubai")</f>
        <v>Dubai</v>
      </c>
      <c r="B4226" s="2" t="str">
        <f ca="1">IFERROR(__xludf.DUMMYFUNCTION("""COMPUTED_VALUE"""),"Fortunato")</f>
        <v>Fortunato</v>
      </c>
      <c r="C4226" s="2" t="str">
        <f ca="1">IFERROR(__xludf.DUMMYFUNCTION("""COMPUTED_VALUE"""),"Building")</f>
        <v>Building</v>
      </c>
      <c r="D4226" s="2" t="str">
        <f ca="1">IFERROR(__xludf.DUMMYFUNCTION("""COMPUTED_VALUE"""),"Dubai&gt;Jumeirah Village Circle (JVC)&gt;JVC District 11&gt;Fortunato")</f>
        <v>Dubai&gt;Jumeirah Village Circle (JVC)&gt;JVC District 11&gt;Fortunato</v>
      </c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</row>
    <row r="4227" spans="1:26" ht="16.5" x14ac:dyDescent="0.35">
      <c r="A4227" s="2" t="str">
        <f ca="1">IFERROR(__xludf.DUMMYFUNCTION("""COMPUTED_VALUE"""),"Dubai")</f>
        <v>Dubai</v>
      </c>
      <c r="B4227" s="2" t="str">
        <f ca="1">IFERROR(__xludf.DUMMYFUNCTION("""COMPUTED_VALUE"""),"Waref Residences by Sido")</f>
        <v>Waref Residences by Sido</v>
      </c>
      <c r="C4227" s="2" t="str">
        <f ca="1">IFERROR(__xludf.DUMMYFUNCTION("""COMPUTED_VALUE"""),"Building")</f>
        <v>Building</v>
      </c>
      <c r="D4227" s="2" t="str">
        <f ca="1">IFERROR(__xludf.DUMMYFUNCTION("""COMPUTED_VALUE"""),"Dubai&gt;Jumeirah Village Circle (JVC)&gt;JVC District 11&gt;Waref Residences by Sido")</f>
        <v>Dubai&gt;Jumeirah Village Circle (JVC)&gt;JVC District 11&gt;Waref Residences by Sido</v>
      </c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</row>
    <row r="4228" spans="1:26" ht="16.5" x14ac:dyDescent="0.35">
      <c r="A4228" s="2" t="str">
        <f ca="1">IFERROR(__xludf.DUMMYFUNCTION("""COMPUTED_VALUE"""),"Dubai")</f>
        <v>Dubai</v>
      </c>
      <c r="B4228" s="2" t="str">
        <f ca="1">IFERROR(__xludf.DUMMYFUNCTION("""COMPUTED_VALUE"""),"Park Square")</f>
        <v>Park Square</v>
      </c>
      <c r="C4228" s="2" t="str">
        <f ca="1">IFERROR(__xludf.DUMMYFUNCTION("""COMPUTED_VALUE"""),"Building")</f>
        <v>Building</v>
      </c>
      <c r="D4228" s="2" t="str">
        <f ca="1">IFERROR(__xludf.DUMMYFUNCTION("""COMPUTED_VALUE"""),"Dubai&gt;Jumeirah Village Circle (JVC)&gt;JVC District 14&gt;Park Square")</f>
        <v>Dubai&gt;Jumeirah Village Circle (JVC)&gt;JVC District 14&gt;Park Square</v>
      </c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</row>
    <row r="4229" spans="1:26" ht="16.5" x14ac:dyDescent="0.35">
      <c r="A4229" s="2" t="str">
        <f ca="1">IFERROR(__xludf.DUMMYFUNCTION("""COMPUTED_VALUE"""),"Dubai")</f>
        <v>Dubai</v>
      </c>
      <c r="B4229" s="2" t="str">
        <f ca="1">IFERROR(__xludf.DUMMYFUNCTION("""COMPUTED_VALUE"""),"Diamond Views 1")</f>
        <v>Diamond Views 1</v>
      </c>
      <c r="C4229" s="2" t="str">
        <f ca="1">IFERROR(__xludf.DUMMYFUNCTION("""COMPUTED_VALUE"""),"Cluster")</f>
        <v>Cluster</v>
      </c>
      <c r="D4229" s="2" t="str">
        <f ca="1">IFERROR(__xludf.DUMMYFUNCTION("""COMPUTED_VALUE"""),"Dubai&gt;Jumeirah Village Circle (JVC)&gt;JVC District 14&gt;Diamond Views 1")</f>
        <v>Dubai&gt;Jumeirah Village Circle (JVC)&gt;JVC District 14&gt;Diamond Views 1</v>
      </c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</row>
    <row r="4230" spans="1:26" ht="16.5" x14ac:dyDescent="0.35">
      <c r="A4230" s="2" t="str">
        <f ca="1">IFERROR(__xludf.DUMMYFUNCTION("""COMPUTED_VALUE"""),"Dubai")</f>
        <v>Dubai</v>
      </c>
      <c r="B4230" s="2" t="str">
        <f ca="1">IFERROR(__xludf.DUMMYFUNCTION("""COMPUTED_VALUE"""),"Palatium Residences")</f>
        <v>Palatium Residences</v>
      </c>
      <c r="C4230" s="2" t="str">
        <f ca="1">IFERROR(__xludf.DUMMYFUNCTION("""COMPUTED_VALUE"""),"Building")</f>
        <v>Building</v>
      </c>
      <c r="D4230" s="2" t="str">
        <f ca="1">IFERROR(__xludf.DUMMYFUNCTION("""COMPUTED_VALUE"""),"Dubai&gt;Jumeirah Village Circle (JVC)&gt;JVC District 14&gt;Palatium Residences")</f>
        <v>Dubai&gt;Jumeirah Village Circle (JVC)&gt;JVC District 14&gt;Palatium Residences</v>
      </c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</row>
    <row r="4231" spans="1:26" ht="16.5" x14ac:dyDescent="0.35">
      <c r="A4231" s="2" t="str">
        <f ca="1">IFERROR(__xludf.DUMMYFUNCTION("""COMPUTED_VALUE"""),"Dubai")</f>
        <v>Dubai</v>
      </c>
      <c r="B4231" s="2" t="str">
        <f ca="1">IFERROR(__xludf.DUMMYFUNCTION("""COMPUTED_VALUE"""),"Blue Waves Tower")</f>
        <v>Blue Waves Tower</v>
      </c>
      <c r="C4231" s="2" t="str">
        <f ca="1">IFERROR(__xludf.DUMMYFUNCTION("""COMPUTED_VALUE"""),"Building")</f>
        <v>Building</v>
      </c>
      <c r="D4231" s="2" t="str">
        <f ca="1">IFERROR(__xludf.DUMMYFUNCTION("""COMPUTED_VALUE"""),"Dubai&gt;Dubai Land Residence Complex&gt;Blue Waves Tower")</f>
        <v>Dubai&gt;Dubai Land Residence Complex&gt;Blue Waves Tower</v>
      </c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</row>
    <row r="4232" spans="1:26" ht="16.5" x14ac:dyDescent="0.35">
      <c r="A4232" s="2" t="str">
        <f ca="1">IFERROR(__xludf.DUMMYFUNCTION("""COMPUTED_VALUE"""),"Dubai")</f>
        <v>Dubai</v>
      </c>
      <c r="B4232" s="2" t="str">
        <f ca="1">IFERROR(__xludf.DUMMYFUNCTION("""COMPUTED_VALUE"""),"Abidos Hotel Apartment")</f>
        <v>Abidos Hotel Apartment</v>
      </c>
      <c r="C4232" s="2" t="str">
        <f ca="1">IFERROR(__xludf.DUMMYFUNCTION("""COMPUTED_VALUE"""),"Building")</f>
        <v>Building</v>
      </c>
      <c r="D4232" s="2" t="str">
        <f ca="1">IFERROR(__xludf.DUMMYFUNCTION("""COMPUTED_VALUE"""),"Dubai&gt;Dubai Land Residence Complex&gt;Abidos Hotel Apartment")</f>
        <v>Dubai&gt;Dubai Land Residence Complex&gt;Abidos Hotel Apartment</v>
      </c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</row>
    <row r="4233" spans="1:26" ht="16.5" x14ac:dyDescent="0.35">
      <c r="A4233" s="2" t="str">
        <f ca="1">IFERROR(__xludf.DUMMYFUNCTION("""COMPUTED_VALUE"""),"Dubai")</f>
        <v>Dubai</v>
      </c>
      <c r="B4233" s="2" t="str">
        <f ca="1">IFERROR(__xludf.DUMMYFUNCTION("""COMPUTED_VALUE"""),"Weybridge Gardens 2")</f>
        <v>Weybridge Gardens 2</v>
      </c>
      <c r="C4233" s="2" t="str">
        <f ca="1">IFERROR(__xludf.DUMMYFUNCTION("""COMPUTED_VALUE"""),"Building")</f>
        <v>Building</v>
      </c>
      <c r="D4233" s="2" t="str">
        <f ca="1">IFERROR(__xludf.DUMMYFUNCTION("""COMPUTED_VALUE"""),"Dubai&gt;Dubai Land Residence Complex&gt;Weybridge Gardens 2")</f>
        <v>Dubai&gt;Dubai Land Residence Complex&gt;Weybridge Gardens 2</v>
      </c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</row>
    <row r="4234" spans="1:26" ht="16.5" x14ac:dyDescent="0.35">
      <c r="A4234" s="2" t="str">
        <f ca="1">IFERROR(__xludf.DUMMYFUNCTION("""COMPUTED_VALUE"""),"Dubai")</f>
        <v>Dubai</v>
      </c>
      <c r="B4234" s="2" t="str">
        <f ca="1">IFERROR(__xludf.DUMMYFUNCTION("""COMPUTED_VALUE"""),"Floarea Oasis")</f>
        <v>Floarea Oasis</v>
      </c>
      <c r="C4234" s="2" t="str">
        <f ca="1">IFERROR(__xludf.DUMMYFUNCTION("""COMPUTED_VALUE"""),"Building")</f>
        <v>Building</v>
      </c>
      <c r="D4234" s="2" t="str">
        <f ca="1">IFERROR(__xludf.DUMMYFUNCTION("""COMPUTED_VALUE"""),"Dubai&gt;Dubai Land Residence Complex&gt;Floarea Oasis")</f>
        <v>Dubai&gt;Dubai Land Residence Complex&gt;Floarea Oasis</v>
      </c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</row>
    <row r="4235" spans="1:26" ht="16.5" x14ac:dyDescent="0.35">
      <c r="A4235" s="2" t="str">
        <f ca="1">IFERROR(__xludf.DUMMYFUNCTION("""COMPUTED_VALUE"""),"Dubai")</f>
        <v>Dubai</v>
      </c>
      <c r="B4235" s="2" t="str">
        <f ca="1">IFERROR(__xludf.DUMMYFUNCTION("""COMPUTED_VALUE"""),"Cybele by Wadan")</f>
        <v>Cybele by Wadan</v>
      </c>
      <c r="C4235" s="2" t="str">
        <f ca="1">IFERROR(__xludf.DUMMYFUNCTION("""COMPUTED_VALUE"""),"Building")</f>
        <v>Building</v>
      </c>
      <c r="D4235" s="2" t="str">
        <f ca="1">IFERROR(__xludf.DUMMYFUNCTION("""COMPUTED_VALUE"""),"Dubai&gt;Dubai Land Residence Complex&gt;Cybele by Wadan")</f>
        <v>Dubai&gt;Dubai Land Residence Complex&gt;Cybele by Wadan</v>
      </c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</row>
    <row r="4236" spans="1:26" ht="16.5" x14ac:dyDescent="0.35">
      <c r="A4236" s="2" t="str">
        <f ca="1">IFERROR(__xludf.DUMMYFUNCTION("""COMPUTED_VALUE"""),"Dubai")</f>
        <v>Dubai</v>
      </c>
      <c r="B4236" s="2" t="str">
        <f ca="1">IFERROR(__xludf.DUMMYFUNCTION("""COMPUTED_VALUE"""),"Mirdif Hills")</f>
        <v>Mirdif Hills</v>
      </c>
      <c r="C4236" s="2" t="str">
        <f ca="1">IFERROR(__xludf.DUMMYFUNCTION("""COMPUTED_VALUE"""),"Neighbourhood")</f>
        <v>Neighbourhood</v>
      </c>
      <c r="D4236" s="2" t="str">
        <f ca="1">IFERROR(__xludf.DUMMYFUNCTION("""COMPUTED_VALUE"""),"Dubai&gt;Mirdif&gt;Mirdif Hills")</f>
        <v>Dubai&gt;Mirdif&gt;Mirdif Hills</v>
      </c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</row>
    <row r="4237" spans="1:26" ht="16.5" x14ac:dyDescent="0.35">
      <c r="A4237" s="2" t="str">
        <f ca="1">IFERROR(__xludf.DUMMYFUNCTION("""COMPUTED_VALUE"""),"Dubai")</f>
        <v>Dubai</v>
      </c>
      <c r="B4237" s="2" t="str">
        <f ca="1">IFERROR(__xludf.DUMMYFUNCTION("""COMPUTED_VALUE"""),"Bin Fares Building")</f>
        <v>Bin Fares Building</v>
      </c>
      <c r="C4237" s="2" t="str">
        <f ca="1">IFERROR(__xludf.DUMMYFUNCTION("""COMPUTED_VALUE"""),"Building")</f>
        <v>Building</v>
      </c>
      <c r="D4237" s="2" t="str">
        <f ca="1">IFERROR(__xludf.DUMMYFUNCTION("""COMPUTED_VALUE"""),"Dubai&gt;Mirdif&gt;Bin Fares Building")</f>
        <v>Dubai&gt;Mirdif&gt;Bin Fares Building</v>
      </c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</row>
    <row r="4238" spans="1:26" ht="16.5" x14ac:dyDescent="0.35">
      <c r="A4238" s="2" t="str">
        <f ca="1">IFERROR(__xludf.DUMMYFUNCTION("""COMPUTED_VALUE"""),"Dubai")</f>
        <v>Dubai</v>
      </c>
      <c r="B4238" s="2" t="str">
        <f ca="1">IFERROR(__xludf.DUMMYFUNCTION("""COMPUTED_VALUE"""),"Hattan 3")</f>
        <v>Hattan 3</v>
      </c>
      <c r="C4238" s="2" t="str">
        <f ca="1">IFERROR(__xludf.DUMMYFUNCTION("""COMPUTED_VALUE"""),"Neighbourhood")</f>
        <v>Neighbourhood</v>
      </c>
      <c r="D4238" s="2" t="str">
        <f ca="1">IFERROR(__xludf.DUMMYFUNCTION("""COMPUTED_VALUE"""),"Dubai&gt;The Lakes&gt;Hattan&gt;Hattan 3")</f>
        <v>Dubai&gt;The Lakes&gt;Hattan&gt;Hattan 3</v>
      </c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</row>
    <row r="4239" spans="1:26" ht="16.5" x14ac:dyDescent="0.35">
      <c r="A4239" s="2" t="str">
        <f ca="1">IFERROR(__xludf.DUMMYFUNCTION("""COMPUTED_VALUE"""),"Dubai")</f>
        <v>Dubai</v>
      </c>
      <c r="B4239" s="2" t="str">
        <f ca="1">IFERROR(__xludf.DUMMYFUNCTION("""COMPUTED_VALUE"""),"Al Mazroui Building")</f>
        <v>Al Mazroui Building</v>
      </c>
      <c r="C4239" s="2" t="str">
        <f ca="1">IFERROR(__xludf.DUMMYFUNCTION("""COMPUTED_VALUE"""),"Building")</f>
        <v>Building</v>
      </c>
      <c r="D4239" s="2" t="str">
        <f ca="1">IFERROR(__xludf.DUMMYFUNCTION("""COMPUTED_VALUE"""),"Dubai&gt;Al Garhoud&gt;Al Mazroui Building")</f>
        <v>Dubai&gt;Al Garhoud&gt;Al Mazroui Building</v>
      </c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</row>
    <row r="4240" spans="1:26" ht="16.5" x14ac:dyDescent="0.35">
      <c r="A4240" s="2" t="str">
        <f ca="1">IFERROR(__xludf.DUMMYFUNCTION("""COMPUTED_VALUE"""),"Dubai")</f>
        <v>Dubai</v>
      </c>
      <c r="B4240" s="2" t="str">
        <f ca="1">IFERROR(__xludf.DUMMYFUNCTION("""COMPUTED_VALUE"""),"Sara Building")</f>
        <v>Sara Building</v>
      </c>
      <c r="C4240" s="2" t="str">
        <f ca="1">IFERROR(__xludf.DUMMYFUNCTION("""COMPUTED_VALUE"""),"Building")</f>
        <v>Building</v>
      </c>
      <c r="D4240" s="2" t="str">
        <f ca="1">IFERROR(__xludf.DUMMYFUNCTION("""COMPUTED_VALUE"""),"Dubai&gt;Al Garhoud&gt;Sara Building")</f>
        <v>Dubai&gt;Al Garhoud&gt;Sara Building</v>
      </c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</row>
    <row r="4241" spans="1:26" ht="16.5" x14ac:dyDescent="0.35">
      <c r="A4241" s="2" t="str">
        <f ca="1">IFERROR(__xludf.DUMMYFUNCTION("""COMPUTED_VALUE"""),"Dubai")</f>
        <v>Dubai</v>
      </c>
      <c r="B4241" s="2" t="str">
        <f ca="1">IFERROR(__xludf.DUMMYFUNCTION("""COMPUTED_VALUE"""),"Cluster 6")</f>
        <v>Cluster 6</v>
      </c>
      <c r="C4241" s="2" t="str">
        <f ca="1">IFERROR(__xludf.DUMMYFUNCTION("""COMPUTED_VALUE"""),"Neighbourhood")</f>
        <v>Neighbourhood</v>
      </c>
      <c r="D4241" s="2" t="str">
        <f ca="1">IFERROR(__xludf.DUMMYFUNCTION("""COMPUTED_VALUE"""),"Dubai&gt;Jumeirah Islands&gt;Cluster 6")</f>
        <v>Dubai&gt;Jumeirah Islands&gt;Cluster 6</v>
      </c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</row>
    <row r="4242" spans="1:26" ht="16.5" x14ac:dyDescent="0.35">
      <c r="A4242" s="2" t="str">
        <f ca="1">IFERROR(__xludf.DUMMYFUNCTION("""COMPUTED_VALUE"""),"Dubai")</f>
        <v>Dubai</v>
      </c>
      <c r="B4242" s="2" t="str">
        <f ca="1">IFERROR(__xludf.DUMMYFUNCTION("""COMPUTED_VALUE"""),"Cluster 38")</f>
        <v>Cluster 38</v>
      </c>
      <c r="C4242" s="2" t="str">
        <f ca="1">IFERROR(__xludf.DUMMYFUNCTION("""COMPUTED_VALUE"""),"Neighbourhood")</f>
        <v>Neighbourhood</v>
      </c>
      <c r="D4242" s="2" t="str">
        <f ca="1">IFERROR(__xludf.DUMMYFUNCTION("""COMPUTED_VALUE"""),"Dubai&gt;Jumeirah Islands&gt;Cluster 38")</f>
        <v>Dubai&gt;Jumeirah Islands&gt;Cluster 38</v>
      </c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</row>
    <row r="4243" spans="1:26" ht="16.5" x14ac:dyDescent="0.35">
      <c r="A4243" s="2" t="str">
        <f ca="1">IFERROR(__xludf.DUMMYFUNCTION("""COMPUTED_VALUE"""),"Dubai")</f>
        <v>Dubai</v>
      </c>
      <c r="B4243" s="2" t="str">
        <f ca="1">IFERROR(__xludf.DUMMYFUNCTION("""COMPUTED_VALUE"""),"Garden West Apartments I")</f>
        <v>Garden West Apartments I</v>
      </c>
      <c r="C4243" s="2" t="str">
        <f ca="1">IFERROR(__xludf.DUMMYFUNCTION("""COMPUTED_VALUE"""),"Building")</f>
        <v>Building</v>
      </c>
      <c r="D4243" s="2" t="str">
        <f ca="1">IFERROR(__xludf.DUMMYFUNCTION("""COMPUTED_VALUE"""),"Dubai&gt;Green Community&gt;Garden West Apartments&gt;Garden West Apartments I")</f>
        <v>Dubai&gt;Green Community&gt;Garden West Apartments&gt;Garden West Apartments I</v>
      </c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</row>
    <row r="4244" spans="1:26" ht="16.5" x14ac:dyDescent="0.35">
      <c r="A4244" s="2" t="str">
        <f ca="1">IFERROR(__xludf.DUMMYFUNCTION("""COMPUTED_VALUE"""),"Dubai")</f>
        <v>Dubai</v>
      </c>
      <c r="B4244" s="2" t="str">
        <f ca="1">IFERROR(__xludf.DUMMYFUNCTION("""COMPUTED_VALUE"""),"Copthorne Lakeview Hotel")</f>
        <v>Copthorne Lakeview Hotel</v>
      </c>
      <c r="C4244" s="2" t="str">
        <f ca="1">IFERROR(__xludf.DUMMYFUNCTION("""COMPUTED_VALUE"""),"Building")</f>
        <v>Building</v>
      </c>
      <c r="D4244" s="2" t="str">
        <f ca="1">IFERROR(__xludf.DUMMYFUNCTION("""COMPUTED_VALUE"""),"Dubai&gt;Green Community&gt;Green Community East&gt;Copthorne Lakeview Hotel")</f>
        <v>Dubai&gt;Green Community&gt;Green Community East&gt;Copthorne Lakeview Hotel</v>
      </c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</row>
    <row r="4245" spans="1:26" ht="16.5" x14ac:dyDescent="0.35">
      <c r="A4245" s="2" t="str">
        <f ca="1">IFERROR(__xludf.DUMMYFUNCTION("""COMPUTED_VALUE"""),"Dubai")</f>
        <v>Dubai</v>
      </c>
      <c r="B4245" s="2" t="str">
        <f ca="1">IFERROR(__xludf.DUMMYFUNCTION("""COMPUTED_VALUE"""),"Royal Residence 1")</f>
        <v>Royal Residence 1</v>
      </c>
      <c r="C4245" s="2" t="str">
        <f ca="1">IFERROR(__xludf.DUMMYFUNCTION("""COMPUTED_VALUE"""),"Building")</f>
        <v>Building</v>
      </c>
      <c r="D4245" s="2" t="str">
        <f ca="1">IFERROR(__xludf.DUMMYFUNCTION("""COMPUTED_VALUE"""),"Dubai&gt;Dubai Sports City&gt;Royal Residence&gt;Royal Residence 1")</f>
        <v>Dubai&gt;Dubai Sports City&gt;Royal Residence&gt;Royal Residence 1</v>
      </c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</row>
    <row r="4246" spans="1:26" ht="16.5" x14ac:dyDescent="0.35">
      <c r="A4246" s="2" t="str">
        <f ca="1">IFERROR(__xludf.DUMMYFUNCTION("""COMPUTED_VALUE"""),"Dubai")</f>
        <v>Dubai</v>
      </c>
      <c r="B4246" s="2" t="str">
        <f ca="1">IFERROR(__xludf.DUMMYFUNCTION("""COMPUTED_VALUE"""),"Bermuda Views")</f>
        <v>Bermuda Views</v>
      </c>
      <c r="C4246" s="2" t="str">
        <f ca="1">IFERROR(__xludf.DUMMYFUNCTION("""COMPUTED_VALUE"""),"Building")</f>
        <v>Building</v>
      </c>
      <c r="D4246" s="2" t="str">
        <f ca="1">IFERROR(__xludf.DUMMYFUNCTION("""COMPUTED_VALUE"""),"Dubai&gt;Dubai Sports City&gt;Bermuda Views")</f>
        <v>Dubai&gt;Dubai Sports City&gt;Bermuda Views</v>
      </c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</row>
    <row r="4247" spans="1:26" ht="16.5" x14ac:dyDescent="0.35">
      <c r="A4247" s="2" t="str">
        <f ca="1">IFERROR(__xludf.DUMMYFUNCTION("""COMPUTED_VALUE"""),"Dubai")</f>
        <v>Dubai</v>
      </c>
      <c r="B4247" s="2" t="str">
        <f ca="1">IFERROR(__xludf.DUMMYFUNCTION("""COMPUTED_VALUE"""),"Hub Golf View Apartments")</f>
        <v>Hub Golf View Apartments</v>
      </c>
      <c r="C4247" s="2" t="str">
        <f ca="1">IFERROR(__xludf.DUMMYFUNCTION("""COMPUTED_VALUE"""),"Cluster")</f>
        <v>Cluster</v>
      </c>
      <c r="D4247" s="2" t="str">
        <f ca="1">IFERROR(__xludf.DUMMYFUNCTION("""COMPUTED_VALUE"""),"Dubai&gt;Dubai Sports City&gt;Hub Golf View Apartments")</f>
        <v>Dubai&gt;Dubai Sports City&gt;Hub Golf View Apartments</v>
      </c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</row>
    <row r="4248" spans="1:26" ht="16.5" x14ac:dyDescent="0.35">
      <c r="A4248" s="2" t="str">
        <f ca="1">IFERROR(__xludf.DUMMYFUNCTION("""COMPUTED_VALUE"""),"Dubai")</f>
        <v>Dubai</v>
      </c>
      <c r="B4248" s="2" t="str">
        <f ca="1">IFERROR(__xludf.DUMMYFUNCTION("""COMPUTED_VALUE"""),"Vista by Prestige One")</f>
        <v>Vista by Prestige One</v>
      </c>
      <c r="C4248" s="2" t="str">
        <f ca="1">IFERROR(__xludf.DUMMYFUNCTION("""COMPUTED_VALUE"""),"Building")</f>
        <v>Building</v>
      </c>
      <c r="D4248" s="2" t="str">
        <f ca="1">IFERROR(__xludf.DUMMYFUNCTION("""COMPUTED_VALUE"""),"Dubai&gt;Dubai Sports City&gt;Vista by Prestige One")</f>
        <v>Dubai&gt;Dubai Sports City&gt;Vista by Prestige One</v>
      </c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</row>
    <row r="4249" spans="1:26" ht="16.5" x14ac:dyDescent="0.35">
      <c r="A4249" s="2" t="str">
        <f ca="1">IFERROR(__xludf.DUMMYFUNCTION("""COMPUTED_VALUE"""),"Dubai")</f>
        <v>Dubai</v>
      </c>
      <c r="B4249" s="2" t="str">
        <f ca="1">IFERROR(__xludf.DUMMYFUNCTION("""COMPUTED_VALUE"""),"Mai Tower")</f>
        <v>Mai Tower</v>
      </c>
      <c r="C4249" s="2" t="str">
        <f ca="1">IFERROR(__xludf.DUMMYFUNCTION("""COMPUTED_VALUE"""),"Building")</f>
        <v>Building</v>
      </c>
      <c r="D4249" s="2" t="str">
        <f ca="1">IFERROR(__xludf.DUMMYFUNCTION("""COMPUTED_VALUE"""),"Dubai&gt;Al Nahda (Dubai)&gt;Al Nahda 1&gt;Mai Tower")</f>
        <v>Dubai&gt;Al Nahda (Dubai)&gt;Al Nahda 1&gt;Mai Tower</v>
      </c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</row>
    <row r="4250" spans="1:26" ht="16.5" x14ac:dyDescent="0.35">
      <c r="A4250" s="2" t="str">
        <f ca="1">IFERROR(__xludf.DUMMYFUNCTION("""COMPUTED_VALUE"""),"Dubai")</f>
        <v>Dubai</v>
      </c>
      <c r="B4250" s="2" t="str">
        <f ca="1">IFERROR(__xludf.DUMMYFUNCTION("""COMPUTED_VALUE"""),"Bin Juma 2")</f>
        <v>Bin Juma 2</v>
      </c>
      <c r="C4250" s="2" t="str">
        <f ca="1">IFERROR(__xludf.DUMMYFUNCTION("""COMPUTED_VALUE"""),"Building")</f>
        <v>Building</v>
      </c>
      <c r="D4250" s="2" t="str">
        <f ca="1">IFERROR(__xludf.DUMMYFUNCTION("""COMPUTED_VALUE"""),"Dubai&gt;Al Nahda (Dubai)&gt;Al Nahda 1&gt;Bin Juma&gt;Bin Juma 2")</f>
        <v>Dubai&gt;Al Nahda (Dubai)&gt;Al Nahda 1&gt;Bin Juma&gt;Bin Juma 2</v>
      </c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</row>
    <row r="4251" spans="1:26" ht="16.5" x14ac:dyDescent="0.35">
      <c r="A4251" s="2" t="str">
        <f ca="1">IFERROR(__xludf.DUMMYFUNCTION("""COMPUTED_VALUE"""),"Dubai")</f>
        <v>Dubai</v>
      </c>
      <c r="B4251" s="2" t="str">
        <f ca="1">IFERROR(__xludf.DUMMYFUNCTION("""COMPUTED_VALUE"""),"Razn House")</f>
        <v>Razn House</v>
      </c>
      <c r="C4251" s="2" t="str">
        <f ca="1">IFERROR(__xludf.DUMMYFUNCTION("""COMPUTED_VALUE"""),"Building")</f>
        <v>Building</v>
      </c>
      <c r="D4251" s="2" t="str">
        <f ca="1">IFERROR(__xludf.DUMMYFUNCTION("""COMPUTED_VALUE"""),"Dubai&gt;Al Nahda (Dubai)&gt;Al Nahda 2&gt;Razn House")</f>
        <v>Dubai&gt;Al Nahda (Dubai)&gt;Al Nahda 2&gt;Razn House</v>
      </c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</row>
    <row r="4252" spans="1:26" ht="16.5" x14ac:dyDescent="0.35">
      <c r="A4252" s="2" t="str">
        <f ca="1">IFERROR(__xludf.DUMMYFUNCTION("""COMPUTED_VALUE"""),"Dubai")</f>
        <v>Dubai</v>
      </c>
      <c r="B4252" s="2" t="str">
        <f ca="1">IFERROR(__xludf.DUMMYFUNCTION("""COMPUTED_VALUE"""),"Al Noor Building 2")</f>
        <v>Al Noor Building 2</v>
      </c>
      <c r="C4252" s="2" t="str">
        <f ca="1">IFERROR(__xludf.DUMMYFUNCTION("""COMPUTED_VALUE"""),"Building")</f>
        <v>Building</v>
      </c>
      <c r="D4252" s="2" t="str">
        <f ca="1">IFERROR(__xludf.DUMMYFUNCTION("""COMPUTED_VALUE"""),"Dubai&gt;Al Nahda (Dubai)&gt;Al Nahda 2&gt;Al Noor Building 2")</f>
        <v>Dubai&gt;Al Nahda (Dubai)&gt;Al Nahda 2&gt;Al Noor Building 2</v>
      </c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</row>
    <row r="4253" spans="1:26" ht="16.5" x14ac:dyDescent="0.35">
      <c r="A4253" s="2" t="str">
        <f ca="1">IFERROR(__xludf.DUMMYFUNCTION("""COMPUTED_VALUE"""),"Dubai")</f>
        <v>Dubai</v>
      </c>
      <c r="B4253" s="2" t="str">
        <f ca="1">IFERROR(__xludf.DUMMYFUNCTION("""COMPUTED_VALUE"""),"Damas Building")</f>
        <v>Damas Building</v>
      </c>
      <c r="C4253" s="2" t="str">
        <f ca="1">IFERROR(__xludf.DUMMYFUNCTION("""COMPUTED_VALUE"""),"Building")</f>
        <v>Building</v>
      </c>
      <c r="D4253" s="2" t="str">
        <f ca="1">IFERROR(__xludf.DUMMYFUNCTION("""COMPUTED_VALUE"""),"Dubai&gt;Al Nahda (Dubai)&gt;Al Nahda 2&gt;Damas Building")</f>
        <v>Dubai&gt;Al Nahda (Dubai)&gt;Al Nahda 2&gt;Damas Building</v>
      </c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</row>
    <row r="4254" spans="1:26" ht="16.5" x14ac:dyDescent="0.35">
      <c r="A4254" s="2" t="str">
        <f ca="1">IFERROR(__xludf.DUMMYFUNCTION("""COMPUTED_VALUE"""),"Dubai")</f>
        <v>Dubai</v>
      </c>
      <c r="B4254" s="2" t="str">
        <f ca="1">IFERROR(__xludf.DUMMYFUNCTION("""COMPUTED_VALUE"""),"Al Shaheen Building")</f>
        <v>Al Shaheen Building</v>
      </c>
      <c r="C4254" s="2" t="str">
        <f ca="1">IFERROR(__xludf.DUMMYFUNCTION("""COMPUTED_VALUE"""),"Building")</f>
        <v>Building</v>
      </c>
      <c r="D4254" s="2" t="str">
        <f ca="1">IFERROR(__xludf.DUMMYFUNCTION("""COMPUTED_VALUE"""),"Dubai&gt;Al Nahda (Dubai)&gt;Al Nahda 2&gt;Al Shaheen Building")</f>
        <v>Dubai&gt;Al Nahda (Dubai)&gt;Al Nahda 2&gt;Al Shaheen Building</v>
      </c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</row>
    <row r="4255" spans="1:26" ht="16.5" x14ac:dyDescent="0.35">
      <c r="A4255" s="2" t="str">
        <f ca="1">IFERROR(__xludf.DUMMYFUNCTION("""COMPUTED_VALUE"""),"Dubai")</f>
        <v>Dubai</v>
      </c>
      <c r="B4255" s="2" t="str">
        <f ca="1">IFERROR(__xludf.DUMMYFUNCTION("""COMPUTED_VALUE"""),"District 5")</f>
        <v>District 5</v>
      </c>
      <c r="C4255" s="2" t="str">
        <f ca="1">IFERROR(__xludf.DUMMYFUNCTION("""COMPUTED_VALUE"""),"Neighbourhood")</f>
        <v>Neighbourhood</v>
      </c>
      <c r="D4255" s="2" t="str">
        <f ca="1">IFERROR(__xludf.DUMMYFUNCTION("""COMPUTED_VALUE"""),"Dubai&gt;Jumeirah Park&gt;District 5")</f>
        <v>Dubai&gt;Jumeirah Park&gt;District 5</v>
      </c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</row>
    <row r="4256" spans="1:26" ht="16.5" x14ac:dyDescent="0.35">
      <c r="A4256" s="2" t="str">
        <f ca="1">IFERROR(__xludf.DUMMYFUNCTION("""COMPUTED_VALUE"""),"Dubai")</f>
        <v>Dubai</v>
      </c>
      <c r="B4256" s="2" t="str">
        <f ca="1">IFERROR(__xludf.DUMMYFUNCTION("""COMPUTED_VALUE"""),"Lagoon Views 1")</f>
        <v>Lagoon Views 1</v>
      </c>
      <c r="C4256" s="2" t="str">
        <f ca="1">IFERROR(__xludf.DUMMYFUNCTION("""COMPUTED_VALUE"""),"Cluster")</f>
        <v>Cluster</v>
      </c>
      <c r="D4256" s="2" t="str">
        <f ca="1">IFERROR(__xludf.DUMMYFUNCTION("""COMPUTED_VALUE"""),"Dubai&gt;DAMAC Lagoons&gt;Lagoon Views&gt;Lagoon Views 1")</f>
        <v>Dubai&gt;DAMAC Lagoons&gt;Lagoon Views&gt;Lagoon Views 1</v>
      </c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</row>
    <row r="4257" spans="1:26" ht="16.5" x14ac:dyDescent="0.35">
      <c r="A4257" s="2" t="str">
        <f ca="1">IFERROR(__xludf.DUMMYFUNCTION("""COMPUTED_VALUE"""),"Dubai")</f>
        <v>Dubai</v>
      </c>
      <c r="B4257" s="2" t="str">
        <f ca="1">IFERROR(__xludf.DUMMYFUNCTION("""COMPUTED_VALUE"""),"Liwan Gate 5")</f>
        <v>Liwan Gate 5</v>
      </c>
      <c r="C4257" s="2" t="str">
        <f ca="1">IFERROR(__xludf.DUMMYFUNCTION("""COMPUTED_VALUE"""),"Building")</f>
        <v>Building</v>
      </c>
      <c r="D4257" s="2" t="str">
        <f ca="1">IFERROR(__xludf.DUMMYFUNCTION("""COMPUTED_VALUE"""),"Dubai&gt;Liwan 2&gt;Liwan Gate&gt;Liwan Gate 5")</f>
        <v>Dubai&gt;Liwan 2&gt;Liwan Gate&gt;Liwan Gate 5</v>
      </c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</row>
    <row r="4258" spans="1:26" ht="16.5" x14ac:dyDescent="0.35">
      <c r="A4258" s="2" t="str">
        <f ca="1">IFERROR(__xludf.DUMMYFUNCTION("""COMPUTED_VALUE"""),"Dubai")</f>
        <v>Dubai</v>
      </c>
      <c r="B4258" s="2" t="str">
        <f ca="1">IFERROR(__xludf.DUMMYFUNCTION("""COMPUTED_VALUE"""),"Zain Residence 1")</f>
        <v>Zain Residence 1</v>
      </c>
      <c r="C4258" s="2" t="str">
        <f ca="1">IFERROR(__xludf.DUMMYFUNCTION("""COMPUTED_VALUE"""),"Building")</f>
        <v>Building</v>
      </c>
      <c r="D4258" s="2" t="str">
        <f ca="1">IFERROR(__xludf.DUMMYFUNCTION("""COMPUTED_VALUE"""),"Dubai&gt;Liwan 2&gt;Zain Residence 1")</f>
        <v>Dubai&gt;Liwan 2&gt;Zain Residence 1</v>
      </c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</row>
    <row r="4259" spans="1:26" ht="16.5" x14ac:dyDescent="0.35">
      <c r="A4259" s="2" t="str">
        <f ca="1">IFERROR(__xludf.DUMMYFUNCTION("""COMPUTED_VALUE"""),"Dubai")</f>
        <v>Dubai</v>
      </c>
      <c r="B4259" s="2" t="str">
        <f ca="1">IFERROR(__xludf.DUMMYFUNCTION("""COMPUTED_VALUE"""),"Arenco Building Block 1")</f>
        <v>Arenco Building Block 1</v>
      </c>
      <c r="C4259" s="2" t="str">
        <f ca="1">IFERROR(__xludf.DUMMYFUNCTION("""COMPUTED_VALUE"""),"Building")</f>
        <v>Building</v>
      </c>
      <c r="D4259" s="2" t="str">
        <f ca="1">IFERROR(__xludf.DUMMYFUNCTION("""COMPUTED_VALUE"""),"Dubai&gt;Dubai Investment Park (DIP)&gt;Dubai Investment Park 1&gt;Arenco Offices&gt;Arenco Building Block 1")</f>
        <v>Dubai&gt;Dubai Investment Park (DIP)&gt;Dubai Investment Park 1&gt;Arenco Offices&gt;Arenco Building Block 1</v>
      </c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</row>
    <row r="4260" spans="1:26" ht="16.5" x14ac:dyDescent="0.35">
      <c r="A4260" s="2" t="str">
        <f ca="1">IFERROR(__xludf.DUMMYFUNCTION("""COMPUTED_VALUE"""),"Dubai")</f>
        <v>Dubai</v>
      </c>
      <c r="B4260" s="2" t="str">
        <f ca="1">IFERROR(__xludf.DUMMYFUNCTION("""COMPUTED_VALUE"""),"The 7even Block G")</f>
        <v>The 7even Block G</v>
      </c>
      <c r="C4260" s="2" t="str">
        <f ca="1">IFERROR(__xludf.DUMMYFUNCTION("""COMPUTED_VALUE"""),"Building")</f>
        <v>Building</v>
      </c>
      <c r="D4260" s="2" t="str">
        <f ca="1">IFERROR(__xludf.DUMMYFUNCTION("""COMPUTED_VALUE"""),"Dubai&gt;Dubai Investment Park (DIP)&gt;Dubai Investment Park 1&gt;The 7even&gt;The 7even Block G")</f>
        <v>Dubai&gt;Dubai Investment Park (DIP)&gt;Dubai Investment Park 1&gt;The 7even&gt;The 7even Block G</v>
      </c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</row>
    <row r="4261" spans="1:26" ht="16.5" x14ac:dyDescent="0.35">
      <c r="A4261" s="2" t="str">
        <f ca="1">IFERROR(__xludf.DUMMYFUNCTION("""COMPUTED_VALUE"""),"Dubai")</f>
        <v>Dubai</v>
      </c>
      <c r="B4261" s="2" t="str">
        <f ca="1">IFERROR(__xludf.DUMMYFUNCTION("""COMPUTED_VALUE"""),"Junior Labour Camp")</f>
        <v>Junior Labour Camp</v>
      </c>
      <c r="C4261" s="2" t="str">
        <f ca="1">IFERROR(__xludf.DUMMYFUNCTION("""COMPUTED_VALUE"""),"Cluster")</f>
        <v>Cluster</v>
      </c>
      <c r="D4261" s="2" t="str">
        <f ca="1">IFERROR(__xludf.DUMMYFUNCTION("""COMPUTED_VALUE"""),"Dubai&gt;Dubai Investment Park (DIP)&gt;Dubai Investment Park 1&gt;Junior Labour Camp")</f>
        <v>Dubai&gt;Dubai Investment Park (DIP)&gt;Dubai Investment Park 1&gt;Junior Labour Camp</v>
      </c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</row>
    <row r="4262" spans="1:26" ht="16.5" x14ac:dyDescent="0.35">
      <c r="A4262" s="2" t="str">
        <f ca="1">IFERROR(__xludf.DUMMYFUNCTION("""COMPUTED_VALUE"""),"Dubai")</f>
        <v>Dubai</v>
      </c>
      <c r="B4262" s="2" t="str">
        <f ca="1">IFERROR(__xludf.DUMMYFUNCTION("""COMPUTED_VALUE"""),"Sun Residence")</f>
        <v>Sun Residence</v>
      </c>
      <c r="C4262" s="2" t="str">
        <f ca="1">IFERROR(__xludf.DUMMYFUNCTION("""COMPUTED_VALUE"""),"Building")</f>
        <v>Building</v>
      </c>
      <c r="D4262" s="2" t="str">
        <f ca="1">IFERROR(__xludf.DUMMYFUNCTION("""COMPUTED_VALUE"""),"Dubai&gt;Dubai Investment Park (DIP)&gt;The Village&gt;Sun Residence")</f>
        <v>Dubai&gt;Dubai Investment Park (DIP)&gt;The Village&gt;Sun Residence</v>
      </c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</row>
    <row r="4263" spans="1:26" ht="16.5" x14ac:dyDescent="0.35">
      <c r="A4263" s="2" t="str">
        <f ca="1">IFERROR(__xludf.DUMMYFUNCTION("""COMPUTED_VALUE"""),"Dubai")</f>
        <v>Dubai</v>
      </c>
      <c r="B4263" s="2" t="str">
        <f ca="1">IFERROR(__xludf.DUMMYFUNCTION("""COMPUTED_VALUE"""),"B11")</f>
        <v>B11</v>
      </c>
      <c r="C4263" s="2" t="str">
        <f ca="1">IFERROR(__xludf.DUMMYFUNCTION("""COMPUTED_VALUE"""),"Building")</f>
        <v>Building</v>
      </c>
      <c r="D4263" s="2" t="str">
        <f ca="1">IFERROR(__xludf.DUMMYFUNCTION("""COMPUTED_VALUE"""),"Dubai&gt;Dubai Investment Park (DIP)&gt;Dubai Investment Park 2&gt;Dunes Village&gt;B11")</f>
        <v>Dubai&gt;Dubai Investment Park (DIP)&gt;Dubai Investment Park 2&gt;Dunes Village&gt;B11</v>
      </c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</row>
    <row r="4264" spans="1:26" ht="16.5" x14ac:dyDescent="0.35">
      <c r="A4264" s="2" t="str">
        <f ca="1">IFERROR(__xludf.DUMMYFUNCTION("""COMPUTED_VALUE"""),"Dubai")</f>
        <v>Dubai</v>
      </c>
      <c r="B4264" s="2" t="str">
        <f ca="1">IFERROR(__xludf.DUMMYFUNCTION("""COMPUTED_VALUE"""),"The Parks Shopping Centre")</f>
        <v>The Parks Shopping Centre</v>
      </c>
      <c r="C4264" s="2" t="str">
        <f ca="1">IFERROR(__xludf.DUMMYFUNCTION("""COMPUTED_VALUE"""),"Building")</f>
        <v>Building</v>
      </c>
      <c r="D4264" s="2" t="str">
        <f ca="1">IFERROR(__xludf.DUMMYFUNCTION("""COMPUTED_VALUE"""),"Dubai&gt;Dubai Investment Park (DIP)&gt;The Parks Shopping Centre")</f>
        <v>Dubai&gt;Dubai Investment Park (DIP)&gt;The Parks Shopping Centre</v>
      </c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</row>
    <row r="4265" spans="1:26" ht="16.5" x14ac:dyDescent="0.35">
      <c r="A4265" s="2" t="str">
        <f ca="1">IFERROR(__xludf.DUMMYFUNCTION("""COMPUTED_VALUE"""),"Dubai")</f>
        <v>Dubai</v>
      </c>
      <c r="B4265" s="2" t="str">
        <f ca="1">IFERROR(__xludf.DUMMYFUNCTION("""COMPUTED_VALUE"""),"Chevalia Fields")</f>
        <v>Chevalia Fields</v>
      </c>
      <c r="C4265" s="2" t="str">
        <f ca="1">IFERROR(__xludf.DUMMYFUNCTION("""COMPUTED_VALUE"""),"Neighbourhood")</f>
        <v>Neighbourhood</v>
      </c>
      <c r="D4265" s="2" t="str">
        <f ca="1">IFERROR(__xludf.DUMMYFUNCTION("""COMPUTED_VALUE"""),"Dubai&gt;Dubai Investment Park (DIP)&gt;Grand Polo Club &amp; Resort&gt;Chevalia Fields")</f>
        <v>Dubai&gt;Dubai Investment Park (DIP)&gt;Grand Polo Club &amp; Resort&gt;Chevalia Fields</v>
      </c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</row>
    <row r="4266" spans="1:26" ht="16.5" x14ac:dyDescent="0.35">
      <c r="A4266" s="2" t="str">
        <f ca="1">IFERROR(__xludf.DUMMYFUNCTION("""COMPUTED_VALUE"""),"Dubai")</f>
        <v>Dubai</v>
      </c>
      <c r="B4266" s="2" t="str">
        <f ca="1">IFERROR(__xludf.DUMMYFUNCTION("""COMPUTED_VALUE"""),"Rapunzel Tower")</f>
        <v>Rapunzel Tower</v>
      </c>
      <c r="C4266" s="2" t="str">
        <f ca="1">IFERROR(__xludf.DUMMYFUNCTION("""COMPUTED_VALUE"""),"Building")</f>
        <v>Building</v>
      </c>
      <c r="D4266" s="2" t="str">
        <f ca="1">IFERROR(__xludf.DUMMYFUNCTION("""COMPUTED_VALUE"""),"Dubai&gt;Majan&gt;Rapunzel Tower")</f>
        <v>Dubai&gt;Majan&gt;Rapunzel Tower</v>
      </c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</row>
    <row r="4267" spans="1:26" ht="16.5" x14ac:dyDescent="0.35">
      <c r="A4267" s="2" t="str">
        <f ca="1">IFERROR(__xludf.DUMMYFUNCTION("""COMPUTED_VALUE"""),"Dubai")</f>
        <v>Dubai</v>
      </c>
      <c r="B4267" s="2" t="str">
        <f ca="1">IFERROR(__xludf.DUMMYFUNCTION("""COMPUTED_VALUE"""),"Safa Tower")</f>
        <v>Safa Tower</v>
      </c>
      <c r="C4267" s="2" t="str">
        <f ca="1">IFERROR(__xludf.DUMMYFUNCTION("""COMPUTED_VALUE"""),"Building")</f>
        <v>Building</v>
      </c>
      <c r="D4267" s="2" t="str">
        <f ca="1">IFERROR(__xludf.DUMMYFUNCTION("""COMPUTED_VALUE"""),"Dubai&gt;Majan&gt;Safa Tower")</f>
        <v>Dubai&gt;Majan&gt;Safa Tower</v>
      </c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</row>
    <row r="4268" spans="1:26" ht="16.5" x14ac:dyDescent="0.35">
      <c r="A4268" s="2" t="str">
        <f ca="1">IFERROR(__xludf.DUMMYFUNCTION("""COMPUTED_VALUE"""),"Dubai")</f>
        <v>Dubai</v>
      </c>
      <c r="B4268" s="2" t="str">
        <f ca="1">IFERROR(__xludf.DUMMYFUNCTION("""COMPUTED_VALUE"""),"Binghatti Vintage")</f>
        <v>Binghatti Vintage</v>
      </c>
      <c r="C4268" s="2" t="str">
        <f ca="1">IFERROR(__xludf.DUMMYFUNCTION("""COMPUTED_VALUE"""),"Building")</f>
        <v>Building</v>
      </c>
      <c r="D4268" s="2" t="str">
        <f ca="1">IFERROR(__xludf.DUMMYFUNCTION("""COMPUTED_VALUE"""),"Dubai&gt;Majan&gt;Binghatti Vintage")</f>
        <v>Dubai&gt;Majan&gt;Binghatti Vintage</v>
      </c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</row>
    <row r="4269" spans="1:26" ht="16.5" x14ac:dyDescent="0.35">
      <c r="A4269" s="2" t="str">
        <f ca="1">IFERROR(__xludf.DUMMYFUNCTION("""COMPUTED_VALUE"""),"Dubai")</f>
        <v>Dubai</v>
      </c>
      <c r="B4269" s="2" t="str">
        <f ca="1">IFERROR(__xludf.DUMMYFUNCTION("""COMPUTED_VALUE"""),"360 Riverside Crescent")</f>
        <v>360 Riverside Crescent</v>
      </c>
      <c r="C4269" s="2" t="str">
        <f ca="1">IFERROR(__xludf.DUMMYFUNCTION("""COMPUTED_VALUE"""),"Building")</f>
        <v>Building</v>
      </c>
      <c r="D4269" s="2" t="str">
        <f ca="1">IFERROR(__xludf.DUMMYFUNCTION("""COMPUTED_VALUE"""),"Dubai&gt;Sobha Hartland 2&gt;Riverside Crescent&gt;360 Riverside Crescent")</f>
        <v>Dubai&gt;Sobha Hartland 2&gt;Riverside Crescent&gt;360 Riverside Crescent</v>
      </c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</row>
    <row r="4270" spans="1:26" ht="16.5" x14ac:dyDescent="0.35">
      <c r="A4270" s="2" t="str">
        <f ca="1">IFERROR(__xludf.DUMMYFUNCTION("""COMPUTED_VALUE"""),"Dubai")</f>
        <v>Dubai</v>
      </c>
      <c r="B4270" s="2" t="str">
        <f ca="1">IFERROR(__xludf.DUMMYFUNCTION("""COMPUTED_VALUE"""),"Samana Mykonos")</f>
        <v>Samana Mykonos</v>
      </c>
      <c r="C4270" s="2" t="str">
        <f ca="1">IFERROR(__xludf.DUMMYFUNCTION("""COMPUTED_VALUE"""),"Building")</f>
        <v>Building</v>
      </c>
      <c r="D4270" s="2" t="str">
        <f ca="1">IFERROR(__xludf.DUMMYFUNCTION("""COMPUTED_VALUE"""),"Dubai&gt;Dubai Studio City&gt;Samana Mykonos")</f>
        <v>Dubai&gt;Dubai Studio City&gt;Samana Mykonos</v>
      </c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</row>
    <row r="4271" spans="1:26" ht="16.5" x14ac:dyDescent="0.35">
      <c r="A4271" s="2" t="str">
        <f ca="1">IFERROR(__xludf.DUMMYFUNCTION("""COMPUTED_VALUE"""),"Dubai")</f>
        <v>Dubai</v>
      </c>
      <c r="B4271" s="2" t="str">
        <f ca="1">IFERROR(__xludf.DUMMYFUNCTION("""COMPUTED_VALUE"""),"Azizi Beach Oasis 2 Tower B")</f>
        <v>Azizi Beach Oasis 2 Tower B</v>
      </c>
      <c r="C4271" s="2" t="str">
        <f ca="1">IFERROR(__xludf.DUMMYFUNCTION("""COMPUTED_VALUE"""),"Building")</f>
        <v>Building</v>
      </c>
      <c r="D4271" s="2" t="str">
        <f ca="1">IFERROR(__xludf.DUMMYFUNCTION("""COMPUTED_VALUE"""),"Dubai&gt;Dubai Studio City&gt;Azizi Beach Oasis 2&gt;Azizi Beach Oasis 2 Tower B")</f>
        <v>Dubai&gt;Dubai Studio City&gt;Azizi Beach Oasis 2&gt;Azizi Beach Oasis 2 Tower B</v>
      </c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</row>
    <row r="4272" spans="1:26" ht="16.5" x14ac:dyDescent="0.35">
      <c r="A4272" s="2" t="str">
        <f ca="1">IFERROR(__xludf.DUMMYFUNCTION("""COMPUTED_VALUE"""),"Dubai")</f>
        <v>Dubai</v>
      </c>
      <c r="B4272" s="2" t="str">
        <f ca="1">IFERROR(__xludf.DUMMYFUNCTION("""COMPUTED_VALUE"""),"Hartland Forest Villas")</f>
        <v>Hartland Forest Villas</v>
      </c>
      <c r="C4272" s="2" t="str">
        <f ca="1">IFERROR(__xludf.DUMMYFUNCTION("""COMPUTED_VALUE"""),"Neighbourhood")</f>
        <v>Neighbourhood</v>
      </c>
      <c r="D4272" s="2" t="str">
        <f ca="1">IFERROR(__xludf.DUMMYFUNCTION("""COMPUTED_VALUE"""),"Dubai&gt;Sobha Hartland&gt;Hartland Forest Villas")</f>
        <v>Dubai&gt;Sobha Hartland&gt;Hartland Forest Villas</v>
      </c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</row>
    <row r="4273" spans="1:26" ht="16.5" x14ac:dyDescent="0.35">
      <c r="A4273" s="2" t="str">
        <f ca="1">IFERROR(__xludf.DUMMYFUNCTION("""COMPUTED_VALUE"""),"Dubai")</f>
        <v>Dubai</v>
      </c>
      <c r="B4273" s="2" t="str">
        <f ca="1">IFERROR(__xludf.DUMMYFUNCTION("""COMPUTED_VALUE"""),"Waves Opulence")</f>
        <v>Waves Opulence</v>
      </c>
      <c r="C4273" s="2" t="str">
        <f ca="1">IFERROR(__xludf.DUMMYFUNCTION("""COMPUTED_VALUE"""),"Building")</f>
        <v>Building</v>
      </c>
      <c r="D4273" s="2" t="str">
        <f ca="1">IFERROR(__xludf.DUMMYFUNCTION("""COMPUTED_VALUE"""),"Dubai&gt;Sobha Hartland&gt;Waves Opulence")</f>
        <v>Dubai&gt;Sobha Hartland&gt;Waves Opulence</v>
      </c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</row>
    <row r="4274" spans="1:26" ht="16.5" x14ac:dyDescent="0.35">
      <c r="A4274" s="2" t="str">
        <f ca="1">IFERROR(__xludf.DUMMYFUNCTION("""COMPUTED_VALUE"""),"Dubai")</f>
        <v>Dubai</v>
      </c>
      <c r="B4274" s="2" t="str">
        <f ca="1">IFERROR(__xludf.DUMMYFUNCTION("""COMPUTED_VALUE"""),"Building 3B")</f>
        <v>Building 3B</v>
      </c>
      <c r="C4274" s="2" t="str">
        <f ca="1">IFERROR(__xludf.DUMMYFUNCTION("""COMPUTED_VALUE"""),"Building")</f>
        <v>Building</v>
      </c>
      <c r="D4274" s="2" t="str">
        <f ca="1">IFERROR(__xludf.DUMMYFUNCTION("""COMPUTED_VALUE"""),"Dubai&gt;Expo City&gt;Expo Village&gt;Residences 3&gt;Building 3B")</f>
        <v>Dubai&gt;Expo City&gt;Expo Village&gt;Residences 3&gt;Building 3B</v>
      </c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</row>
    <row r="4275" spans="1:26" ht="16.5" x14ac:dyDescent="0.35">
      <c r="A4275" s="2" t="str">
        <f ca="1">IFERROR(__xludf.DUMMYFUNCTION("""COMPUTED_VALUE"""),"Dubai")</f>
        <v>Dubai</v>
      </c>
      <c r="B4275" s="2" t="str">
        <f ca="1">IFERROR(__xludf.DUMMYFUNCTION("""COMPUTED_VALUE"""),"Al Waha Residences 01")</f>
        <v>Al Waha Residences 01</v>
      </c>
      <c r="C4275" s="2" t="str">
        <f ca="1">IFERROR(__xludf.DUMMYFUNCTION("""COMPUTED_VALUE"""),"Building")</f>
        <v>Building</v>
      </c>
      <c r="D4275" s="2" t="str">
        <f ca="1">IFERROR(__xludf.DUMMYFUNCTION("""COMPUTED_VALUE"""),"Dubai&gt;Expo City&gt;Al Waha Residences&gt;Al Waha Residences 01")</f>
        <v>Dubai&gt;Expo City&gt;Al Waha Residences&gt;Al Waha Residences 01</v>
      </c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</row>
    <row r="4276" spans="1:26" ht="16.5" x14ac:dyDescent="0.35">
      <c r="A4276" s="2" t="str">
        <f ca="1">IFERROR(__xludf.DUMMYFUNCTION("""COMPUTED_VALUE"""),"Dubai")</f>
        <v>Dubai</v>
      </c>
      <c r="B4276" s="2" t="str">
        <f ca="1">IFERROR(__xludf.DUMMYFUNCTION("""COMPUTED_VALUE"""),"Pine")</f>
        <v>Pine</v>
      </c>
      <c r="C4276" s="2" t="str">
        <f ca="1">IFERROR(__xludf.DUMMYFUNCTION("""COMPUTED_VALUE"""),"Building")</f>
        <v>Building</v>
      </c>
      <c r="D4276" s="2" t="str">
        <f ca="1">IFERROR(__xludf.DUMMYFUNCTION("""COMPUTED_VALUE"""),"Dubai&gt;Haven by Aldar&gt;Verdes by Haven&gt;Pine")</f>
        <v>Dubai&gt;Haven by Aldar&gt;Verdes by Haven&gt;Pine</v>
      </c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</row>
    <row r="4277" spans="1:26" ht="16.5" x14ac:dyDescent="0.35">
      <c r="A4277" s="2" t="str">
        <f ca="1">IFERROR(__xludf.DUMMYFUNCTION("""COMPUTED_VALUE"""),"Dubai")</f>
        <v>Dubai</v>
      </c>
      <c r="B4277" s="2" t="str">
        <f ca="1">IFERROR(__xludf.DUMMYFUNCTION("""COMPUTED_VALUE"""),"The Acres (Phase 2)")</f>
        <v>The Acres (Phase 2)</v>
      </c>
      <c r="C4277" s="2" t="str">
        <f ca="1">IFERROR(__xludf.DUMMYFUNCTION("""COMPUTED_VALUE"""),"Neighbourhood")</f>
        <v>Neighbourhood</v>
      </c>
      <c r="D4277" s="2" t="str">
        <f ca="1">IFERROR(__xludf.DUMMYFUNCTION("""COMPUTED_VALUE"""),"Dubai&gt;The Acres&gt;The Acres (Phase 2)")</f>
        <v>Dubai&gt;The Acres&gt;The Acres (Phase 2)</v>
      </c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</row>
    <row r="4278" spans="1:26" ht="16.5" x14ac:dyDescent="0.35">
      <c r="A4278" s="2" t="str">
        <f ca="1">IFERROR(__xludf.DUMMYFUNCTION("""COMPUTED_VALUE"""),"Dubai")</f>
        <v>Dubai</v>
      </c>
      <c r="B4278" s="2" t="str">
        <f ca="1">IFERROR(__xludf.DUMMYFUNCTION("""COMPUTED_VALUE"""),"Serra Building 8")</f>
        <v>Serra Building 8</v>
      </c>
      <c r="C4278" s="2" t="str">
        <f ca="1">IFERROR(__xludf.DUMMYFUNCTION("""COMPUTED_VALUE"""),"Building")</f>
        <v>Building</v>
      </c>
      <c r="D4278" s="2" t="str">
        <f ca="1">IFERROR(__xludf.DUMMYFUNCTION("""COMPUTED_VALUE"""),"Dubai&gt;Ghaf Woods&gt;Serra&gt;Serra Building 8")</f>
        <v>Dubai&gt;Ghaf Woods&gt;Serra&gt;Serra Building 8</v>
      </c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</row>
    <row r="4279" spans="1:26" ht="16.5" x14ac:dyDescent="0.35">
      <c r="A4279" s="2" t="str">
        <f ca="1">IFERROR(__xludf.DUMMYFUNCTION("""COMPUTED_VALUE"""),"Dubai")</f>
        <v>Dubai</v>
      </c>
      <c r="B4279" s="2" t="str">
        <f ca="1">IFERROR(__xludf.DUMMYFUNCTION("""COMPUTED_VALUE"""),"Maldives 5")</f>
        <v>Maldives 5</v>
      </c>
      <c r="C4279" s="2" t="str">
        <f ca="1">IFERROR(__xludf.DUMMYFUNCTION("""COMPUTED_VALUE"""),"Neighbourhood")</f>
        <v>Neighbourhood</v>
      </c>
      <c r="D4279" s="2" t="str">
        <f ca="1">IFERROR(__xludf.DUMMYFUNCTION("""COMPUTED_VALUE"""),"Dubai&gt;DAMAC Islands&gt;Maldives 5")</f>
        <v>Dubai&gt;DAMAC Islands&gt;Maldives 5</v>
      </c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</row>
    <row r="4280" spans="1:26" ht="16.5" x14ac:dyDescent="0.35">
      <c r="A4280" s="2" t="str">
        <f ca="1">IFERROR(__xludf.DUMMYFUNCTION("""COMPUTED_VALUE"""),"Dubai")</f>
        <v>Dubai</v>
      </c>
      <c r="B4280" s="2" t="str">
        <f ca="1">IFERROR(__xludf.DUMMYFUNCTION("""COMPUTED_VALUE"""),"Rimal 6")</f>
        <v>Rimal 6</v>
      </c>
      <c r="C4280" s="2" t="str">
        <f ca="1">IFERROR(__xludf.DUMMYFUNCTION("""COMPUTED_VALUE"""),"Building")</f>
        <v>Building</v>
      </c>
      <c r="D4280" s="2" t="str">
        <f ca="1">IFERROR(__xludf.DUMMYFUNCTION("""COMPUTED_VALUE"""),"Dubai&gt;Jumeirah Beach Residence (JBR)&gt;Rimal&gt;Rimal 6")</f>
        <v>Dubai&gt;Jumeirah Beach Residence (JBR)&gt;Rimal&gt;Rimal 6</v>
      </c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</row>
    <row r="4281" spans="1:26" ht="16.5" x14ac:dyDescent="0.35">
      <c r="A4281" s="2" t="str">
        <f ca="1">IFERROR(__xludf.DUMMYFUNCTION("""COMPUTED_VALUE"""),"Dubai")</f>
        <v>Dubai</v>
      </c>
      <c r="B4281" s="2" t="str">
        <f ca="1">IFERROR(__xludf.DUMMYFUNCTION("""COMPUTED_VALUE"""),"JA Ocean View Hotel")</f>
        <v>JA Ocean View Hotel</v>
      </c>
      <c r="C4281" s="2" t="str">
        <f ca="1">IFERROR(__xludf.DUMMYFUNCTION("""COMPUTED_VALUE"""),"Building")</f>
        <v>Building</v>
      </c>
      <c r="D4281" s="2" t="str">
        <f ca="1">IFERROR(__xludf.DUMMYFUNCTION("""COMPUTED_VALUE"""),"Dubai&gt;Jumeirah Beach Residence (JBR)&gt;JA Ocean View Hotel")</f>
        <v>Dubai&gt;Jumeirah Beach Residence (JBR)&gt;JA Ocean View Hotel</v>
      </c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</row>
    <row r="4282" spans="1:26" ht="16.5" x14ac:dyDescent="0.35">
      <c r="A4282" s="2" t="str">
        <f ca="1">IFERROR(__xludf.DUMMYFUNCTION("""COMPUTED_VALUE"""),"Dubai")</f>
        <v>Dubai</v>
      </c>
      <c r="B4282" s="2" t="str">
        <f ca="1">IFERROR(__xludf.DUMMYFUNCTION("""COMPUTED_VALUE"""),"Eaton Square")</f>
        <v>Eaton Square</v>
      </c>
      <c r="C4282" s="2" t="str">
        <f ca="1">IFERROR(__xludf.DUMMYFUNCTION("""COMPUTED_VALUE"""),"Building")</f>
        <v>Building</v>
      </c>
      <c r="D4282" s="2" t="str">
        <f ca="1">IFERROR(__xludf.DUMMYFUNCTION("""COMPUTED_VALUE"""),"Dubai&gt;Meydan Horizon&gt;Eaton Square")</f>
        <v>Dubai&gt;Meydan Horizon&gt;Eaton Square</v>
      </c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</row>
    <row r="4283" spans="1:26" ht="16.5" x14ac:dyDescent="0.35">
      <c r="A4283" s="2" t="str">
        <f ca="1">IFERROR(__xludf.DUMMYFUNCTION("""COMPUTED_VALUE"""),"Dubai")</f>
        <v>Dubai</v>
      </c>
      <c r="B4283" s="2" t="str">
        <f ca="1">IFERROR(__xludf.DUMMYFUNCTION("""COMPUTED_VALUE"""),"Al Wasl Road")</f>
        <v>Al Wasl Road</v>
      </c>
      <c r="C4283" s="2" t="str">
        <f ca="1">IFERROR(__xludf.DUMMYFUNCTION("""COMPUTED_VALUE"""),"Neighbourhood")</f>
        <v>Neighbourhood</v>
      </c>
      <c r="D4283" s="2" t="str">
        <f ca="1">IFERROR(__xludf.DUMMYFUNCTION("""COMPUTED_VALUE"""),"Dubai&gt;Al Wasl&gt;Al Wasl Road")</f>
        <v>Dubai&gt;Al Wasl&gt;Al Wasl Road</v>
      </c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</row>
    <row r="4284" spans="1:26" ht="16.5" x14ac:dyDescent="0.35">
      <c r="A4284" s="2" t="str">
        <f ca="1">IFERROR(__xludf.DUMMYFUNCTION("""COMPUTED_VALUE"""),"Dubai")</f>
        <v>Dubai</v>
      </c>
      <c r="B4284" s="2" t="str">
        <f ca="1">IFERROR(__xludf.DUMMYFUNCTION("""COMPUTED_VALUE"""),"Building 23A")</f>
        <v>Building 23A</v>
      </c>
      <c r="C4284" s="2" t="str">
        <f ca="1">IFERROR(__xludf.DUMMYFUNCTION("""COMPUTED_VALUE"""),"Building")</f>
        <v>Building</v>
      </c>
      <c r="D4284" s="2" t="str">
        <f ca="1">IFERROR(__xludf.DUMMYFUNCTION("""COMPUTED_VALUE"""),"Dubai&gt;Al Wasl&gt;City Walk&gt;Building 23A")</f>
        <v>Dubai&gt;Al Wasl&gt;City Walk&gt;Building 23A</v>
      </c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</row>
    <row r="4285" spans="1:26" ht="16.5" x14ac:dyDescent="0.35">
      <c r="A4285" s="2" t="str">
        <f ca="1">IFERROR(__xludf.DUMMYFUNCTION("""COMPUTED_VALUE"""),"Dubai")</f>
        <v>Dubai</v>
      </c>
      <c r="B4285" s="2" t="str">
        <f ca="1">IFERROR(__xludf.DUMMYFUNCTION("""COMPUTED_VALUE"""),"City Walk Northline 1")</f>
        <v>City Walk Northline 1</v>
      </c>
      <c r="C4285" s="2" t="str">
        <f ca="1">IFERROR(__xludf.DUMMYFUNCTION("""COMPUTED_VALUE"""),"Building")</f>
        <v>Building</v>
      </c>
      <c r="D4285" s="2" t="str">
        <f ca="1">IFERROR(__xludf.DUMMYFUNCTION("""COMPUTED_VALUE"""),"Dubai&gt;Al Wasl&gt;City Walk&gt;City Walk Northline 1")</f>
        <v>Dubai&gt;Al Wasl&gt;City Walk&gt;City Walk Northline 1</v>
      </c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</row>
    <row r="4286" spans="1:26" ht="16.5" x14ac:dyDescent="0.35">
      <c r="A4286" s="2" t="str">
        <f ca="1">IFERROR(__xludf.DUMMYFUNCTION("""COMPUTED_VALUE"""),"Dubai")</f>
        <v>Dubai</v>
      </c>
      <c r="B4286" s="2" t="str">
        <f ca="1">IFERROR(__xludf.DUMMYFUNCTION("""COMPUTED_VALUE"""),"Canal Front Residences 8")</f>
        <v>Canal Front Residences 8</v>
      </c>
      <c r="C4286" s="2" t="str">
        <f ca="1">IFERROR(__xludf.DUMMYFUNCTION("""COMPUTED_VALUE"""),"Building")</f>
        <v>Building</v>
      </c>
      <c r="D4286" s="2" t="str">
        <f ca="1">IFERROR(__xludf.DUMMYFUNCTION("""COMPUTED_VALUE"""),"Dubai&gt;Al Wasl&gt;Canal Front Residences&gt;Canal Front Residences 8")</f>
        <v>Dubai&gt;Al Wasl&gt;Canal Front Residences&gt;Canal Front Residences 8</v>
      </c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</row>
    <row r="4287" spans="1:26" ht="16.5" x14ac:dyDescent="0.35">
      <c r="A4287" s="2" t="str">
        <f ca="1">IFERROR(__xludf.DUMMYFUNCTION("""COMPUTED_VALUE"""),"Dubai")</f>
        <v>Dubai</v>
      </c>
      <c r="B4287" s="2" t="str">
        <f ca="1">IFERROR(__xludf.DUMMYFUNCTION("""COMPUTED_VALUE"""),"Safa Community School (SCS)")</f>
        <v>Safa Community School (SCS)</v>
      </c>
      <c r="C4287" s="2" t="str">
        <f ca="1">IFERROR(__xludf.DUMMYFUNCTION("""COMPUTED_VALUE"""),"School")</f>
        <v>School</v>
      </c>
      <c r="D4287" s="2" t="str">
        <f ca="1">IFERROR(__xludf.DUMMYFUNCTION("""COMPUTED_VALUE"""),"Dubai&gt;Arjan&gt;Safa Community School (SCS)")</f>
        <v>Dubai&gt;Arjan&gt;Safa Community School (SCS)</v>
      </c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</row>
    <row r="4288" spans="1:26" ht="16.5" x14ac:dyDescent="0.35">
      <c r="A4288" s="2" t="str">
        <f ca="1">IFERROR(__xludf.DUMMYFUNCTION("""COMPUTED_VALUE"""),"Dubai")</f>
        <v>Dubai</v>
      </c>
      <c r="B4288" s="2" t="str">
        <f ca="1">IFERROR(__xludf.DUMMYFUNCTION("""COMPUTED_VALUE"""),"Al Sayyah Residence D")</f>
        <v>Al Sayyah Residence D</v>
      </c>
      <c r="C4288" s="2" t="str">
        <f ca="1">IFERROR(__xludf.DUMMYFUNCTION("""COMPUTED_VALUE"""),"Building")</f>
        <v>Building</v>
      </c>
      <c r="D4288" s="2" t="str">
        <f ca="1">IFERROR(__xludf.DUMMYFUNCTION("""COMPUTED_VALUE"""),"Dubai&gt;Arjan&gt;Al Sayyah Residence&gt;Al Sayyah Residence D")</f>
        <v>Dubai&gt;Arjan&gt;Al Sayyah Residence&gt;Al Sayyah Residence D</v>
      </c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</row>
    <row r="4289" spans="1:26" ht="16.5" x14ac:dyDescent="0.35">
      <c r="A4289" s="2" t="str">
        <f ca="1">IFERROR(__xludf.DUMMYFUNCTION("""COMPUTED_VALUE"""),"Dubai")</f>
        <v>Dubai</v>
      </c>
      <c r="B4289" s="2" t="str">
        <f ca="1">IFERROR(__xludf.DUMMYFUNCTION("""COMPUTED_VALUE"""),"Orion Building")</f>
        <v>Orion Building</v>
      </c>
      <c r="C4289" s="2" t="str">
        <f ca="1">IFERROR(__xludf.DUMMYFUNCTION("""COMPUTED_VALUE"""),"Building")</f>
        <v>Building</v>
      </c>
      <c r="D4289" s="2" t="str">
        <f ca="1">IFERROR(__xludf.DUMMYFUNCTION("""COMPUTED_VALUE"""),"Dubai&gt;Arjan&gt;Orion Building")</f>
        <v>Dubai&gt;Arjan&gt;Orion Building</v>
      </c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</row>
    <row r="4290" spans="1:26" ht="16.5" x14ac:dyDescent="0.35">
      <c r="A4290" s="2" t="str">
        <f ca="1">IFERROR(__xludf.DUMMYFUNCTION("""COMPUTED_VALUE"""),"Dubai")</f>
        <v>Dubai</v>
      </c>
      <c r="B4290" s="2" t="str">
        <f ca="1">IFERROR(__xludf.DUMMYFUNCTION("""COMPUTED_VALUE"""),"Miracle Hills")</f>
        <v>Miracle Hills</v>
      </c>
      <c r="C4290" s="2" t="str">
        <f ca="1">IFERROR(__xludf.DUMMYFUNCTION("""COMPUTED_VALUE"""),"Building")</f>
        <v>Building</v>
      </c>
      <c r="D4290" s="2" t="str">
        <f ca="1">IFERROR(__xludf.DUMMYFUNCTION("""COMPUTED_VALUE"""),"Dubai&gt;Arjan&gt;Miracle Hills")</f>
        <v>Dubai&gt;Arjan&gt;Miracle Hills</v>
      </c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</row>
    <row r="4291" spans="1:26" ht="16.5" x14ac:dyDescent="0.35">
      <c r="A4291" s="2" t="str">
        <f ca="1">IFERROR(__xludf.DUMMYFUNCTION("""COMPUTED_VALUE"""),"Dubai")</f>
        <v>Dubai</v>
      </c>
      <c r="B4291" s="2" t="str">
        <f ca="1">IFERROR(__xludf.DUMMYFUNCTION("""COMPUTED_VALUE"""),"Marquis Elegance")</f>
        <v>Marquis Elegance</v>
      </c>
      <c r="C4291" s="2" t="str">
        <f ca="1">IFERROR(__xludf.DUMMYFUNCTION("""COMPUTED_VALUE"""),"Building")</f>
        <v>Building</v>
      </c>
      <c r="D4291" s="2" t="str">
        <f ca="1">IFERROR(__xludf.DUMMYFUNCTION("""COMPUTED_VALUE"""),"Dubai&gt;Arjan&gt;Marquis Elegance")</f>
        <v>Dubai&gt;Arjan&gt;Marquis Elegance</v>
      </c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</row>
    <row r="4292" spans="1:26" ht="16.5" x14ac:dyDescent="0.35">
      <c r="A4292" s="2" t="str">
        <f ca="1">IFERROR(__xludf.DUMMYFUNCTION("""COMPUTED_VALUE"""),"Dubai")</f>
        <v>Dubai</v>
      </c>
      <c r="B4292" s="2" t="str">
        <f ca="1">IFERROR(__xludf.DUMMYFUNCTION("""COMPUTED_VALUE"""),"NAS 1")</f>
        <v>NAS 1</v>
      </c>
      <c r="C4292" s="2" t="str">
        <f ca="1">IFERROR(__xludf.DUMMYFUNCTION("""COMPUTED_VALUE"""),"Building")</f>
        <v>Building</v>
      </c>
      <c r="D4292" s="2" t="str">
        <f ca="1">IFERROR(__xludf.DUMMYFUNCTION("""COMPUTED_VALUE"""),"Dubai&gt;Arjan&gt;NAS 1")</f>
        <v>Dubai&gt;Arjan&gt;NAS 1</v>
      </c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</row>
    <row r="4293" spans="1:26" ht="16.5" x14ac:dyDescent="0.35">
      <c r="A4293" s="2" t="str">
        <f ca="1">IFERROR(__xludf.DUMMYFUNCTION("""COMPUTED_VALUE"""),"Dubai")</f>
        <v>Dubai</v>
      </c>
      <c r="B4293" s="2" t="str">
        <f ca="1">IFERROR(__xludf.DUMMYFUNCTION("""COMPUTED_VALUE"""),"Rose Gardens 3")</f>
        <v>Rose Gardens 3</v>
      </c>
      <c r="C4293" s="2" t="str">
        <f ca="1">IFERROR(__xludf.DUMMYFUNCTION("""COMPUTED_VALUE"""),"Building")</f>
        <v>Building</v>
      </c>
      <c r="D4293" s="2" t="str">
        <f ca="1">IFERROR(__xludf.DUMMYFUNCTION("""COMPUTED_VALUE"""),"Dubai&gt;Arjan&gt;Rose Gardens 3")</f>
        <v>Dubai&gt;Arjan&gt;Rose Gardens 3</v>
      </c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</row>
    <row r="4294" spans="1:26" ht="16.5" x14ac:dyDescent="0.35">
      <c r="A4294" s="2" t="str">
        <f ca="1">IFERROR(__xludf.DUMMYFUNCTION("""COMPUTED_VALUE"""),"Dubai")</f>
        <v>Dubai</v>
      </c>
      <c r="B4294" s="2" t="str">
        <f ca="1">IFERROR(__xludf.DUMMYFUNCTION("""COMPUTED_VALUE"""),"Al Ferdous 4")</f>
        <v>Al Ferdous 4</v>
      </c>
      <c r="C4294" s="2" t="str">
        <f ca="1">IFERROR(__xludf.DUMMYFUNCTION("""COMPUTED_VALUE"""),"Building")</f>
        <v>Building</v>
      </c>
      <c r="D4294" s="2" t="str">
        <f ca="1">IFERROR(__xludf.DUMMYFUNCTION("""COMPUTED_VALUE"""),"Dubai&gt;Al Safa&gt;Al Safa 1&gt;Al Ferdous 4")</f>
        <v>Dubai&gt;Al Safa&gt;Al Safa 1&gt;Al Ferdous 4</v>
      </c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</row>
    <row r="4295" spans="1:26" ht="16.5" x14ac:dyDescent="0.35">
      <c r="A4295" s="2" t="str">
        <f ca="1">IFERROR(__xludf.DUMMYFUNCTION("""COMPUTED_VALUE"""),"Dubai")</f>
        <v>Dubai</v>
      </c>
      <c r="B4295" s="2" t="str">
        <f ca="1">IFERROR(__xludf.DUMMYFUNCTION("""COMPUTED_VALUE"""),"DMC Building 10")</f>
        <v>DMC Building 10</v>
      </c>
      <c r="C4295" s="2" t="str">
        <f ca="1">IFERROR(__xludf.DUMMYFUNCTION("""COMPUTED_VALUE"""),"Building")</f>
        <v>Building</v>
      </c>
      <c r="D4295" s="2" t="str">
        <f ca="1">IFERROR(__xludf.DUMMYFUNCTION("""COMPUTED_VALUE"""),"Dubai&gt;Dubai Media City&gt;DMC Building 10")</f>
        <v>Dubai&gt;Dubai Media City&gt;DMC Building 10</v>
      </c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</row>
    <row r="4296" spans="1:26" ht="16.5" x14ac:dyDescent="0.35">
      <c r="A4296" s="2" t="str">
        <f ca="1">IFERROR(__xludf.DUMMYFUNCTION("""COMPUTED_VALUE"""),"Abu Dhabi")</f>
        <v>Abu Dhabi</v>
      </c>
      <c r="B4296" s="2" t="str">
        <f ca="1">IFERROR(__xludf.DUMMYFUNCTION("""COMPUTED_VALUE"""),"Al Jazira Club Tower A")</f>
        <v>Al Jazira Club Tower A</v>
      </c>
      <c r="C4296" s="2" t="str">
        <f ca="1">IFERROR(__xludf.DUMMYFUNCTION("""COMPUTED_VALUE"""),"Building")</f>
        <v>Building</v>
      </c>
      <c r="D4296" s="2" t="str">
        <f ca="1">IFERROR(__xludf.DUMMYFUNCTION("""COMPUTED_VALUE"""),"Abu Dhabi&gt;Al Nahyan&gt;Al Jazira Club Tower A")</f>
        <v>Abu Dhabi&gt;Al Nahyan&gt;Al Jazira Club Tower A</v>
      </c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</row>
    <row r="4297" spans="1:26" ht="16.5" x14ac:dyDescent="0.35">
      <c r="A4297" s="2" t="str">
        <f ca="1">IFERROR(__xludf.DUMMYFUNCTION("""COMPUTED_VALUE"""),"Abu Dhabi")</f>
        <v>Abu Dhabi</v>
      </c>
      <c r="B4297" s="2" t="str">
        <f ca="1">IFERROR(__xludf.DUMMYFUNCTION("""COMPUTED_VALUE"""),"Al Wahdah Street (Delma Street)")</f>
        <v>Al Wahdah Street (Delma Street)</v>
      </c>
      <c r="C4297" s="2"/>
      <c r="D4297" s="2" t="str">
        <f ca="1">IFERROR(__xludf.DUMMYFUNCTION("""COMPUTED_VALUE"""),"Abu Dhabi&gt;Al Wahdah&gt;Al Wahdah Street (Delma Street)")</f>
        <v>Abu Dhabi&gt;Al Wahdah&gt;Al Wahdah Street (Delma Street)</v>
      </c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</row>
    <row r="4298" spans="1:26" ht="16.5" x14ac:dyDescent="0.35">
      <c r="A4298" s="2" t="str">
        <f ca="1">IFERROR(__xludf.DUMMYFUNCTION("""COMPUTED_VALUE"""),"Abu Dhabi")</f>
        <v>Abu Dhabi</v>
      </c>
      <c r="B4298" s="2" t="str">
        <f ca="1">IFERROR(__xludf.DUMMYFUNCTION("""COMPUTED_VALUE"""),"Al Salam Tower")</f>
        <v>Al Salam Tower</v>
      </c>
      <c r="C4298" s="2" t="str">
        <f ca="1">IFERROR(__xludf.DUMMYFUNCTION("""COMPUTED_VALUE"""),"Building")</f>
        <v>Building</v>
      </c>
      <c r="D4298" s="2" t="str">
        <f ca="1">IFERROR(__xludf.DUMMYFUNCTION("""COMPUTED_VALUE"""),"Abu Dhabi&gt;Tourist Club Area (TCA)&gt;Al Salam Tower")</f>
        <v>Abu Dhabi&gt;Tourist Club Area (TCA)&gt;Al Salam Tower</v>
      </c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</row>
    <row r="4299" spans="1:26" ht="16.5" x14ac:dyDescent="0.35">
      <c r="A4299" s="2" t="str">
        <f ca="1">IFERROR(__xludf.DUMMYFUNCTION("""COMPUTED_VALUE"""),"Abu Dhabi")</f>
        <v>Abu Dhabi</v>
      </c>
      <c r="B4299" s="2" t="str">
        <f ca="1">IFERROR(__xludf.DUMMYFUNCTION("""COMPUTED_VALUE"""),"Navy Gate")</f>
        <v>Navy Gate</v>
      </c>
      <c r="C4299" s="2" t="str">
        <f ca="1">IFERROR(__xludf.DUMMYFUNCTION("""COMPUTED_VALUE"""),"Neighbourhood")</f>
        <v>Neighbourhood</v>
      </c>
      <c r="D4299" s="2" t="str">
        <f ca="1">IFERROR(__xludf.DUMMYFUNCTION("""COMPUTED_VALUE"""),"Abu Dhabi&gt;Al Zahiyah&gt;Navy Gate")</f>
        <v>Abu Dhabi&gt;Al Zahiyah&gt;Navy Gate</v>
      </c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</row>
    <row r="4300" spans="1:26" ht="16.5" x14ac:dyDescent="0.35">
      <c r="A4300" s="2" t="str">
        <f ca="1">IFERROR(__xludf.DUMMYFUNCTION("""COMPUTED_VALUE"""),"Abu Dhabi")</f>
        <v>Abu Dhabi</v>
      </c>
      <c r="B4300" s="2" t="str">
        <f ca="1">IFERROR(__xludf.DUMMYFUNCTION("""COMPUTED_VALUE"""),"Al Fayah")</f>
        <v>Al Fayah</v>
      </c>
      <c r="C4300" s="2" t="str">
        <f ca="1">IFERROR(__xludf.DUMMYFUNCTION("""COMPUTED_VALUE"""),"Neighbourhood")</f>
        <v>Neighbourhood</v>
      </c>
      <c r="D4300" s="2" t="str">
        <f ca="1">IFERROR(__xludf.DUMMYFUNCTION("""COMPUTED_VALUE"""),"Abu Dhabi&gt;Al Fayah")</f>
        <v>Abu Dhabi&gt;Al Fayah</v>
      </c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</row>
    <row r="4301" spans="1:26" ht="16.5" x14ac:dyDescent="0.35">
      <c r="A4301" s="2" t="str">
        <f ca="1">IFERROR(__xludf.DUMMYFUNCTION("""COMPUTED_VALUE"""),"Abu Dhabi")</f>
        <v>Abu Dhabi</v>
      </c>
      <c r="B4301" s="2" t="str">
        <f ca="1">IFERROR(__xludf.DUMMYFUNCTION("""COMPUTED_VALUE"""),"Nation Tower B")</f>
        <v>Nation Tower B</v>
      </c>
      <c r="C4301" s="2" t="str">
        <f ca="1">IFERROR(__xludf.DUMMYFUNCTION("""COMPUTED_VALUE"""),"Building")</f>
        <v>Building</v>
      </c>
      <c r="D4301" s="2" t="str">
        <f ca="1">IFERROR(__xludf.DUMMYFUNCTION("""COMPUTED_VALUE"""),"Abu Dhabi&gt;Corniche Area&gt;Nation Towers&gt;Nation Tower B")</f>
        <v>Abu Dhabi&gt;Corniche Area&gt;Nation Towers&gt;Nation Tower B</v>
      </c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</row>
    <row r="4302" spans="1:26" ht="16.5" x14ac:dyDescent="0.35">
      <c r="A4302" s="2" t="str">
        <f ca="1">IFERROR(__xludf.DUMMYFUNCTION("""COMPUTED_VALUE"""),"Abu Dhabi")</f>
        <v>Abu Dhabi</v>
      </c>
      <c r="B4302" s="2" t="str">
        <f ca="1">IFERROR(__xludf.DUMMYFUNCTION("""COMPUTED_VALUE"""),"Baniyas East")</f>
        <v>Baniyas East</v>
      </c>
      <c r="C4302" s="2" t="str">
        <f ca="1">IFERROR(__xludf.DUMMYFUNCTION("""COMPUTED_VALUE"""),"Neighbourhood")</f>
        <v>Neighbourhood</v>
      </c>
      <c r="D4302" s="2" t="str">
        <f ca="1">IFERROR(__xludf.DUMMYFUNCTION("""COMPUTED_VALUE"""),"Abu Dhabi&gt;Baniyas&gt;Baniyas East")</f>
        <v>Abu Dhabi&gt;Baniyas&gt;Baniyas East</v>
      </c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</row>
    <row r="4303" spans="1:26" ht="16.5" x14ac:dyDescent="0.35">
      <c r="A4303" s="2" t="str">
        <f ca="1">IFERROR(__xludf.DUMMYFUNCTION("""COMPUTED_VALUE"""),"Abu Dhabi")</f>
        <v>Abu Dhabi</v>
      </c>
      <c r="B4303" s="2" t="str">
        <f ca="1">IFERROR(__xludf.DUMMYFUNCTION("""COMPUTED_VALUE"""),"Diplomatic Area")</f>
        <v>Diplomatic Area</v>
      </c>
      <c r="C4303" s="2" t="str">
        <f ca="1">IFERROR(__xludf.DUMMYFUNCTION("""COMPUTED_VALUE"""),"Neighbourhood")</f>
        <v>Neighbourhood</v>
      </c>
      <c r="D4303" s="2" t="str">
        <f ca="1">IFERROR(__xludf.DUMMYFUNCTION("""COMPUTED_VALUE"""),"Abu Dhabi&gt;Diplomatic Area")</f>
        <v>Abu Dhabi&gt;Diplomatic Area</v>
      </c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</row>
    <row r="4304" spans="1:26" ht="16.5" x14ac:dyDescent="0.35">
      <c r="A4304" s="2" t="str">
        <f ca="1">IFERROR(__xludf.DUMMYFUNCTION("""COMPUTED_VALUE"""),"Abu Dhabi")</f>
        <v>Abu Dhabi</v>
      </c>
      <c r="B4304" s="2" t="str">
        <f ca="1">IFERROR(__xludf.DUMMYFUNCTION("""COMPUTED_VALUE"""),"The Eclipse Boutique Suites Hotel Apartment")</f>
        <v>The Eclipse Boutique Suites Hotel Apartment</v>
      </c>
      <c r="C4304" s="2" t="str">
        <f ca="1">IFERROR(__xludf.DUMMYFUNCTION("""COMPUTED_VALUE"""),"Building")</f>
        <v>Building</v>
      </c>
      <c r="D4304" s="2" t="str">
        <f ca="1">IFERROR(__xludf.DUMMYFUNCTION("""COMPUTED_VALUE"""),"Abu Dhabi&gt;Al Danah&gt;The Eclipse Boutique Suites Hotel Apartment")</f>
        <v>Abu Dhabi&gt;Al Danah&gt;The Eclipse Boutique Suites Hotel Apartment</v>
      </c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</row>
    <row r="4305" spans="1:26" ht="16.5" x14ac:dyDescent="0.35">
      <c r="A4305" s="2" t="str">
        <f ca="1">IFERROR(__xludf.DUMMYFUNCTION("""COMPUTED_VALUE"""),"Abu Dhabi")</f>
        <v>Abu Dhabi</v>
      </c>
      <c r="B4305" s="2" t="str">
        <f ca="1">IFERROR(__xludf.DUMMYFUNCTION("""COMPUTED_VALUE"""),"Rihan Heights Tower B")</f>
        <v>Rihan Heights Tower B</v>
      </c>
      <c r="C4305" s="2" t="str">
        <f ca="1">IFERROR(__xludf.DUMMYFUNCTION("""COMPUTED_VALUE"""),"Building")</f>
        <v>Building</v>
      </c>
      <c r="D4305" s="2" t="str">
        <f ca="1">IFERROR(__xludf.DUMMYFUNCTION("""COMPUTED_VALUE"""),"Abu Dhabi&gt;Zayed Sports City&gt;Rihan Heights Towers&gt;Rihan Heights Tower B")</f>
        <v>Abu Dhabi&gt;Zayed Sports City&gt;Rihan Heights Towers&gt;Rihan Heights Tower B</v>
      </c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</row>
    <row r="4306" spans="1:26" ht="16.5" x14ac:dyDescent="0.35">
      <c r="A4306" s="2" t="str">
        <f ca="1">IFERROR(__xludf.DUMMYFUNCTION("""COMPUTED_VALUE"""),"Abu Dhabi")</f>
        <v>Abu Dhabi</v>
      </c>
      <c r="B4306" s="2" t="str">
        <f ca="1">IFERROR(__xludf.DUMMYFUNCTION("""COMPUTED_VALUE"""),"MSH3")</f>
        <v>MSH3</v>
      </c>
      <c r="C4306" s="2" t="str">
        <f ca="1">IFERROR(__xludf.DUMMYFUNCTION("""COMPUTED_VALUE"""),"Neighbourhood")</f>
        <v>Neighbourhood</v>
      </c>
      <c r="D4306" s="2" t="str">
        <f ca="1">IFERROR(__xludf.DUMMYFUNCTION("""COMPUTED_VALUE"""),"Abu Dhabi&gt;Shakhbout City&gt;MSH3")</f>
        <v>Abu Dhabi&gt;Shakhbout City&gt;MSH3</v>
      </c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</row>
    <row r="4307" spans="1:26" ht="16.5" x14ac:dyDescent="0.35">
      <c r="A4307" s="2" t="str">
        <f ca="1">IFERROR(__xludf.DUMMYFUNCTION("""COMPUTED_VALUE"""),"Abu Dhabi")</f>
        <v>Abu Dhabi</v>
      </c>
      <c r="B4307" s="2" t="str">
        <f ca="1">IFERROR(__xludf.DUMMYFUNCTION("""COMPUTED_VALUE"""),"MSH35")</f>
        <v>MSH35</v>
      </c>
      <c r="C4307" s="2" t="str">
        <f ca="1">IFERROR(__xludf.DUMMYFUNCTION("""COMPUTED_VALUE"""),"Neighbourhood")</f>
        <v>Neighbourhood</v>
      </c>
      <c r="D4307" s="2" t="str">
        <f ca="1">IFERROR(__xludf.DUMMYFUNCTION("""COMPUTED_VALUE"""),"Abu Dhabi&gt;Shakhbout City&gt;MSH35")</f>
        <v>Abu Dhabi&gt;Shakhbout City&gt;MSH35</v>
      </c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</row>
    <row r="4308" spans="1:26" ht="16.5" x14ac:dyDescent="0.35">
      <c r="A4308" s="2" t="str">
        <f ca="1">IFERROR(__xludf.DUMMYFUNCTION("""COMPUTED_VALUE"""),"Abu Dhabi")</f>
        <v>Abu Dhabi</v>
      </c>
      <c r="B4308" s="2" t="str">
        <f ca="1">IFERROR(__xludf.DUMMYFUNCTION("""COMPUTED_VALUE"""),"Aspen Heights British School")</f>
        <v>Aspen Heights British School</v>
      </c>
      <c r="C4308" s="2" t="str">
        <f ca="1">IFERROR(__xludf.DUMMYFUNCTION("""COMPUTED_VALUE"""),"School")</f>
        <v>School</v>
      </c>
      <c r="D4308" s="2" t="str">
        <f ca="1">IFERROR(__xludf.DUMMYFUNCTION("""COMPUTED_VALUE"""),"Abu Dhabi&gt;Al Bahia&gt;Aspen Heights British School")</f>
        <v>Abu Dhabi&gt;Al Bahia&gt;Aspen Heights British School</v>
      </c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</row>
    <row r="4309" spans="1:26" ht="16.5" x14ac:dyDescent="0.35">
      <c r="A4309" s="2" t="str">
        <f ca="1">IFERROR(__xludf.DUMMYFUNCTION("""COMPUTED_VALUE"""),"Abu Dhabi")</f>
        <v>Abu Dhabi</v>
      </c>
      <c r="B4309" s="2" t="str">
        <f ca="1">IFERROR(__xludf.DUMMYFUNCTION("""COMPUTED_VALUE"""),"Educare Nursery")</f>
        <v>Educare Nursery</v>
      </c>
      <c r="C4309" s="2" t="str">
        <f ca="1">IFERROR(__xludf.DUMMYFUNCTION("""COMPUTED_VALUE"""),"Nursery")</f>
        <v>Nursery</v>
      </c>
      <c r="D4309" s="2" t="str">
        <f ca="1">IFERROR(__xludf.DUMMYFUNCTION("""COMPUTED_VALUE"""),"Abu Dhabi&gt;Al Zahraa&gt;Educare Nursery")</f>
        <v>Abu Dhabi&gt;Al Zahraa&gt;Educare Nursery</v>
      </c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</row>
    <row r="4310" spans="1:26" ht="16.5" x14ac:dyDescent="0.35">
      <c r="A4310" s="2" t="str">
        <f ca="1">IFERROR(__xludf.DUMMYFUNCTION("""COMPUTED_VALUE"""),"Abu Dhabi")</f>
        <v>Abu Dhabi</v>
      </c>
      <c r="B4310" s="2" t="str">
        <f ca="1">IFERROR(__xludf.DUMMYFUNCTION("""COMPUTED_VALUE"""),"Carmona")</f>
        <v>Carmona</v>
      </c>
      <c r="C4310" s="2" t="str">
        <f ca="1">IFERROR(__xludf.DUMMYFUNCTION("""COMPUTED_VALUE"""),"Neighbourhood")</f>
        <v>Neighbourhood</v>
      </c>
      <c r="D4310" s="2" t="str">
        <f ca="1">IFERROR(__xludf.DUMMYFUNCTION("""COMPUTED_VALUE"""),"Abu Dhabi&gt;Zayed City&gt;Bloom Living&gt;Carmona")</f>
        <v>Abu Dhabi&gt;Zayed City&gt;Bloom Living&gt;Carmona</v>
      </c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</row>
    <row r="4311" spans="1:26" ht="16.5" x14ac:dyDescent="0.35">
      <c r="A4311" s="2" t="str">
        <f ca="1">IFERROR(__xludf.DUMMYFUNCTION("""COMPUTED_VALUE"""),"Abu Dhabi")</f>
        <v>Abu Dhabi</v>
      </c>
      <c r="B4311" s="2" t="str">
        <f ca="1">IFERROR(__xludf.DUMMYFUNCTION("""COMPUTED_VALUE"""),"Qasr El Bahr")</f>
        <v>Qasr El Bahr</v>
      </c>
      <c r="C4311" s="2" t="str">
        <f ca="1">IFERROR(__xludf.DUMMYFUNCTION("""COMPUTED_VALUE"""),"Neighbourhood")</f>
        <v>Neighbourhood</v>
      </c>
      <c r="D4311" s="2" t="str">
        <f ca="1">IFERROR(__xludf.DUMMYFUNCTION("""COMPUTED_VALUE"""),"Abu Dhabi&gt;Qasr El Bahr")</f>
        <v>Abu Dhabi&gt;Qasr El Bahr</v>
      </c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</row>
    <row r="4312" spans="1:26" ht="16.5" x14ac:dyDescent="0.35">
      <c r="A4312" s="2" t="str">
        <f ca="1">IFERROR(__xludf.DUMMYFUNCTION("""COMPUTED_VALUE"""),"Abu Dhabi")</f>
        <v>Abu Dhabi</v>
      </c>
      <c r="B4312" s="2" t="str">
        <f ca="1">IFERROR(__xludf.DUMMYFUNCTION("""COMPUTED_VALUE"""),"Y Tower")</f>
        <v>Y Tower</v>
      </c>
      <c r="C4312" s="2" t="str">
        <f ca="1">IFERROR(__xludf.DUMMYFUNCTION("""COMPUTED_VALUE"""),"Building")</f>
        <v>Building</v>
      </c>
      <c r="D4312" s="2" t="str">
        <f ca="1">IFERROR(__xludf.DUMMYFUNCTION("""COMPUTED_VALUE"""),"Abu Dhabi&gt;Al Reem Island&gt;Tamouh&gt;Y Tower")</f>
        <v>Abu Dhabi&gt;Al Reem Island&gt;Tamouh&gt;Y Tower</v>
      </c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</row>
    <row r="4313" spans="1:26" ht="16.5" x14ac:dyDescent="0.35">
      <c r="A4313" s="2" t="str">
        <f ca="1">IFERROR(__xludf.DUMMYFUNCTION("""COMPUTED_VALUE"""),"Abu Dhabi")</f>
        <v>Abu Dhabi</v>
      </c>
      <c r="B4313" s="2" t="str">
        <f ca="1">IFERROR(__xludf.DUMMYFUNCTION("""COMPUTED_VALUE"""),"Residential Marina-The Marinas")</f>
        <v>Residential Marina-The Marinas</v>
      </c>
      <c r="C4313" s="2" t="str">
        <f ca="1">IFERROR(__xludf.DUMMYFUNCTION("""COMPUTED_VALUE"""),"Building")</f>
        <v>Building</v>
      </c>
      <c r="D4313" s="2" t="str">
        <f ca="1">IFERROR(__xludf.DUMMYFUNCTION("""COMPUTED_VALUE"""),"Abu Dhabi&gt;Al Reem Island&gt;Najmat Abu Dhabi&gt;Residential Marina-The Marinas")</f>
        <v>Abu Dhabi&gt;Al Reem Island&gt;Najmat Abu Dhabi&gt;Residential Marina-The Marinas</v>
      </c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</row>
    <row r="4314" spans="1:26" ht="16.5" x14ac:dyDescent="0.35">
      <c r="A4314" s="2" t="str">
        <f ca="1">IFERROR(__xludf.DUMMYFUNCTION("""COMPUTED_VALUE"""),"Abu Dhabi")</f>
        <v>Abu Dhabi</v>
      </c>
      <c r="B4314" s="2" t="str">
        <f ca="1">IFERROR(__xludf.DUMMYFUNCTION("""COMPUTED_VALUE"""),"Hummingbird Nursery Al Reem Island")</f>
        <v>Hummingbird Nursery Al Reem Island</v>
      </c>
      <c r="C4314" s="2" t="str">
        <f ca="1">IFERROR(__xludf.DUMMYFUNCTION("""COMPUTED_VALUE"""),"Nursery")</f>
        <v>Nursery</v>
      </c>
      <c r="D4314" s="2" t="str">
        <f ca="1">IFERROR(__xludf.DUMMYFUNCTION("""COMPUTED_VALUE"""),"Abu Dhabi&gt;Al Reem Island&gt;Shams Abu Dhabi&gt;Hummingbird Nursery Al Reem Island")</f>
        <v>Abu Dhabi&gt;Al Reem Island&gt;Shams Abu Dhabi&gt;Hummingbird Nursery Al Reem Island</v>
      </c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</row>
    <row r="4315" spans="1:26" ht="16.5" x14ac:dyDescent="0.35">
      <c r="A4315" s="2" t="str">
        <f ca="1">IFERROR(__xludf.DUMMYFUNCTION("""COMPUTED_VALUE"""),"Abu Dhabi")</f>
        <v>Abu Dhabi</v>
      </c>
      <c r="B4315" s="2" t="str">
        <f ca="1">IFERROR(__xludf.DUMMYFUNCTION("""COMPUTED_VALUE"""),"Burj Al Shams")</f>
        <v>Burj Al Shams</v>
      </c>
      <c r="C4315" s="2" t="str">
        <f ca="1">IFERROR(__xludf.DUMMYFUNCTION("""COMPUTED_VALUE"""),"Building")</f>
        <v>Building</v>
      </c>
      <c r="D4315" s="2" t="str">
        <f ca="1">IFERROR(__xludf.DUMMYFUNCTION("""COMPUTED_VALUE"""),"Abu Dhabi&gt;Al Reem Island&gt;Shams Abu Dhabi&gt;Burj Al Shams")</f>
        <v>Abu Dhabi&gt;Al Reem Island&gt;Shams Abu Dhabi&gt;Burj Al Shams</v>
      </c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</row>
    <row r="4316" spans="1:26" ht="16.5" x14ac:dyDescent="0.35">
      <c r="A4316" s="2" t="str">
        <f ca="1">IFERROR(__xludf.DUMMYFUNCTION("""COMPUTED_VALUE"""),"Abu Dhabi")</f>
        <v>Abu Dhabi</v>
      </c>
      <c r="B4316" s="2" t="str">
        <f ca="1">IFERROR(__xludf.DUMMYFUNCTION("""COMPUTED_VALUE"""),"Addax Light Tower")</f>
        <v>Addax Light Tower</v>
      </c>
      <c r="C4316" s="2" t="str">
        <f ca="1">IFERROR(__xludf.DUMMYFUNCTION("""COMPUTED_VALUE"""),"Building")</f>
        <v>Building</v>
      </c>
      <c r="D4316" s="2" t="str">
        <f ca="1">IFERROR(__xludf.DUMMYFUNCTION("""COMPUTED_VALUE"""),"Abu Dhabi&gt;Al Reem Island&gt;Addax Port&gt;Addax Light Tower")</f>
        <v>Abu Dhabi&gt;Al Reem Island&gt;Addax Port&gt;Addax Light Tower</v>
      </c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</row>
    <row r="4317" spans="1:26" ht="16.5" x14ac:dyDescent="0.35">
      <c r="A4317" s="2" t="str">
        <f ca="1">IFERROR(__xludf.DUMMYFUNCTION("""COMPUTED_VALUE"""),"Abu Dhabi")</f>
        <v>Abu Dhabi</v>
      </c>
      <c r="B4317" s="2" t="str">
        <f ca="1">IFERROR(__xludf.DUMMYFUNCTION("""COMPUTED_VALUE"""),"Sedrawan Tower")</f>
        <v>Sedrawan Tower</v>
      </c>
      <c r="C4317" s="2" t="str">
        <f ca="1">IFERROR(__xludf.DUMMYFUNCTION("""COMPUTED_VALUE"""),"Building")</f>
        <v>Building</v>
      </c>
      <c r="D4317" s="2" t="str">
        <f ca="1">IFERROR(__xludf.DUMMYFUNCTION("""COMPUTED_VALUE"""),"Abu Dhabi&gt;Al Reem Island&gt;Sedrawan Tower")</f>
        <v>Abu Dhabi&gt;Al Reem Island&gt;Sedrawan Tower</v>
      </c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</row>
    <row r="4318" spans="1:26" ht="16.5" x14ac:dyDescent="0.35">
      <c r="A4318" s="2" t="str">
        <f ca="1">IFERROR(__xludf.DUMMYFUNCTION("""COMPUTED_VALUE"""),"Abu Dhabi")</f>
        <v>Abu Dhabi</v>
      </c>
      <c r="B4318" s="2" t="str">
        <f ca="1">IFERROR(__xludf.DUMMYFUNCTION("""COMPUTED_VALUE"""),"Reem Mall")</f>
        <v>Reem Mall</v>
      </c>
      <c r="C4318" s="2" t="str">
        <f ca="1">IFERROR(__xludf.DUMMYFUNCTION("""COMPUTED_VALUE"""),"Building")</f>
        <v>Building</v>
      </c>
      <c r="D4318" s="2" t="str">
        <f ca="1">IFERROR(__xludf.DUMMYFUNCTION("""COMPUTED_VALUE"""),"Abu Dhabi&gt;Al Reem Island&gt;Reem Mall")</f>
        <v>Abu Dhabi&gt;Al Reem Island&gt;Reem Mall</v>
      </c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</row>
    <row r="4319" spans="1:26" ht="16.5" x14ac:dyDescent="0.35">
      <c r="A4319" s="2" t="str">
        <f ca="1">IFERROR(__xludf.DUMMYFUNCTION("""COMPUTED_VALUE"""),"Abu Dhabi")</f>
        <v>Abu Dhabi</v>
      </c>
      <c r="B4319" s="2" t="str">
        <f ca="1">IFERROR(__xludf.DUMMYFUNCTION("""COMPUTED_VALUE"""),"Dalma Residence")</f>
        <v>Dalma Residence</v>
      </c>
      <c r="C4319" s="2" t="str">
        <f ca="1">IFERROR(__xludf.DUMMYFUNCTION("""COMPUTED_VALUE"""),"Building")</f>
        <v>Building</v>
      </c>
      <c r="D4319" s="2" t="str">
        <f ca="1">IFERROR(__xludf.DUMMYFUNCTION("""COMPUTED_VALUE"""),"Abu Dhabi&gt;Hamdan Street&gt;Dalma Residence")</f>
        <v>Abu Dhabi&gt;Hamdan Street&gt;Dalma Residence</v>
      </c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</row>
    <row r="4320" spans="1:26" ht="16.5" x14ac:dyDescent="0.35">
      <c r="A4320" s="2" t="str">
        <f ca="1">IFERROR(__xludf.DUMMYFUNCTION("""COMPUTED_VALUE"""),"Abu Dhabi")</f>
        <v>Abu Dhabi</v>
      </c>
      <c r="B4320" s="2" t="str">
        <f ca="1">IFERROR(__xludf.DUMMYFUNCTION("""COMPUTED_VALUE"""),"Awqaf Tower")</f>
        <v>Awqaf Tower</v>
      </c>
      <c r="C4320" s="2"/>
      <c r="D4320" s="2" t="str">
        <f ca="1">IFERROR(__xludf.DUMMYFUNCTION("""COMPUTED_VALUE"""),"Abu Dhabi&gt;Al Khalidiyah&gt;Awqaf Tower")</f>
        <v>Abu Dhabi&gt;Al Khalidiyah&gt;Awqaf Tower</v>
      </c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</row>
    <row r="4321" spans="1:26" ht="16.5" x14ac:dyDescent="0.35">
      <c r="A4321" s="2" t="str">
        <f ca="1">IFERROR(__xludf.DUMMYFUNCTION("""COMPUTED_VALUE"""),"Abu Dhabi")</f>
        <v>Abu Dhabi</v>
      </c>
      <c r="B4321" s="2" t="str">
        <f ca="1">IFERROR(__xludf.DUMMYFUNCTION("""COMPUTED_VALUE"""),"Belvedere British School")</f>
        <v>Belvedere British School</v>
      </c>
      <c r="C4321" s="2" t="str">
        <f ca="1">IFERROR(__xludf.DUMMYFUNCTION("""COMPUTED_VALUE"""),"School")</f>
        <v>School</v>
      </c>
      <c r="D4321" s="2" t="str">
        <f ca="1">IFERROR(__xludf.DUMMYFUNCTION("""COMPUTED_VALUE"""),"Abu Dhabi&gt;Khalifa City&gt;Belvedere British School")</f>
        <v>Abu Dhabi&gt;Khalifa City&gt;Belvedere British School</v>
      </c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</row>
    <row r="4322" spans="1:26" ht="16.5" x14ac:dyDescent="0.35">
      <c r="A4322" s="2" t="str">
        <f ca="1">IFERROR(__xludf.DUMMYFUNCTION("""COMPUTED_VALUE"""),"Abu Dhabi")</f>
        <v>Abu Dhabi</v>
      </c>
      <c r="B4322" s="2" t="str">
        <f ca="1">IFERROR(__xludf.DUMMYFUNCTION("""COMPUTED_VALUE"""),"Al Forsan Residence")</f>
        <v>Al Forsan Residence</v>
      </c>
      <c r="C4322" s="2" t="str">
        <f ca="1">IFERROR(__xludf.DUMMYFUNCTION("""COMPUTED_VALUE"""),"Building")</f>
        <v>Building</v>
      </c>
      <c r="D4322" s="2" t="str">
        <f ca="1">IFERROR(__xludf.DUMMYFUNCTION("""COMPUTED_VALUE"""),"Abu Dhabi&gt;Khalifa City&gt;Al Forsan Residence")</f>
        <v>Abu Dhabi&gt;Khalifa City&gt;Al Forsan Residence</v>
      </c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</row>
    <row r="4323" spans="1:26" ht="16.5" x14ac:dyDescent="0.35">
      <c r="A4323" s="2" t="str">
        <f ca="1">IFERROR(__xludf.DUMMYFUNCTION("""COMPUTED_VALUE"""),"Abu Dhabi")</f>
        <v>Abu Dhabi</v>
      </c>
      <c r="B4323" s="2" t="str">
        <f ca="1">IFERROR(__xludf.DUMMYFUNCTION("""COMPUTED_VALUE"""),"Al Ain Tower")</f>
        <v>Al Ain Tower</v>
      </c>
      <c r="C4323" s="2" t="str">
        <f ca="1">IFERROR(__xludf.DUMMYFUNCTION("""COMPUTED_VALUE"""),"Building")</f>
        <v>Building</v>
      </c>
      <c r="D4323" s="2" t="str">
        <f ca="1">IFERROR(__xludf.DUMMYFUNCTION("""COMPUTED_VALUE"""),"Abu Dhabi&gt;Al Markaziya&gt;Al Ain Tower")</f>
        <v>Abu Dhabi&gt;Al Markaziya&gt;Al Ain Tower</v>
      </c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</row>
    <row r="4324" spans="1:26" ht="16.5" x14ac:dyDescent="0.35">
      <c r="A4324" s="2" t="str">
        <f ca="1">IFERROR(__xludf.DUMMYFUNCTION("""COMPUTED_VALUE"""),"Abu Dhabi")</f>
        <v>Abu Dhabi</v>
      </c>
      <c r="B4324" s="2" t="str">
        <f ca="1">IFERROR(__xludf.DUMMYFUNCTION("""COMPUTED_VALUE"""),"Liwa Village")</f>
        <v>Liwa Village</v>
      </c>
      <c r="C4324" s="2" t="str">
        <f ca="1">IFERROR(__xludf.DUMMYFUNCTION("""COMPUTED_VALUE"""),"Neighbourhood")</f>
        <v>Neighbourhood</v>
      </c>
      <c r="D4324" s="2" t="str">
        <f ca="1">IFERROR(__xludf.DUMMYFUNCTION("""COMPUTED_VALUE"""),"Abu Dhabi&gt;Al Ghadeer&gt;Liwa Village")</f>
        <v>Abu Dhabi&gt;Al Ghadeer&gt;Liwa Village</v>
      </c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</row>
    <row r="4325" spans="1:26" ht="16.5" x14ac:dyDescent="0.35">
      <c r="A4325" s="2" t="str">
        <f ca="1">IFERROR(__xludf.DUMMYFUNCTION("""COMPUTED_VALUE"""),"Abu Dhabi")</f>
        <v>Abu Dhabi</v>
      </c>
      <c r="B4325" s="2" t="str">
        <f ca="1">IFERROR(__xludf.DUMMYFUNCTION("""COMPUTED_VALUE"""),"Saadiyat Cultural District")</f>
        <v>Saadiyat Cultural District</v>
      </c>
      <c r="C4325" s="2" t="str">
        <f ca="1">IFERROR(__xludf.DUMMYFUNCTION("""COMPUTED_VALUE"""),"Neighbourhood")</f>
        <v>Neighbourhood</v>
      </c>
      <c r="D4325" s="2" t="str">
        <f ca="1">IFERROR(__xludf.DUMMYFUNCTION("""COMPUTED_VALUE"""),"Abu Dhabi&gt;Saadiyat Island&gt;Saadiyat Cultural District")</f>
        <v>Abu Dhabi&gt;Saadiyat Island&gt;Saadiyat Cultural District</v>
      </c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</row>
    <row r="4326" spans="1:26" ht="16.5" x14ac:dyDescent="0.35">
      <c r="A4326" s="2" t="str">
        <f ca="1">IFERROR(__xludf.DUMMYFUNCTION("""COMPUTED_VALUE"""),"Abu Dhabi")</f>
        <v>Abu Dhabi</v>
      </c>
      <c r="B4326" s="2" t="str">
        <f ca="1">IFERROR(__xludf.DUMMYFUNCTION("""COMPUTED_VALUE"""),"Gulf Paradise")</f>
        <v>Gulf Paradise</v>
      </c>
      <c r="C4326" s="2" t="str">
        <f ca="1">IFERROR(__xludf.DUMMYFUNCTION("""COMPUTED_VALUE"""),"Building")</f>
        <v>Building</v>
      </c>
      <c r="D4326" s="2" t="str">
        <f ca="1">IFERROR(__xludf.DUMMYFUNCTION("""COMPUTED_VALUE"""),"Abu Dhabi&gt;Saadiyat Island&gt;Saadiyat Al Marina&gt;Gulf Paradise")</f>
        <v>Abu Dhabi&gt;Saadiyat Island&gt;Saadiyat Al Marina&gt;Gulf Paradise</v>
      </c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</row>
    <row r="4327" spans="1:26" ht="16.5" x14ac:dyDescent="0.35">
      <c r="A4327" s="2" t="str">
        <f ca="1">IFERROR(__xludf.DUMMYFUNCTION("""COMPUTED_VALUE"""),"Abu Dhabi")</f>
        <v>Abu Dhabi</v>
      </c>
      <c r="B4327" s="2" t="str">
        <f ca="1">IFERROR(__xludf.DUMMYFUNCTION("""COMPUTED_VALUE"""),"St Regis Residences Block 1")</f>
        <v>St Regis Residences Block 1</v>
      </c>
      <c r="C4327" s="2" t="str">
        <f ca="1">IFERROR(__xludf.DUMMYFUNCTION("""COMPUTED_VALUE"""),"Building")</f>
        <v>Building</v>
      </c>
      <c r="D4327" s="2" t="str">
        <f ca="1">IFERROR(__xludf.DUMMYFUNCTION("""COMPUTED_VALUE"""),"Abu Dhabi&gt;Saadiyat Island&gt;Saadiyat Beach&gt;Saadiyat St Regis Residences&gt;St Regis Residences Block 1")</f>
        <v>Abu Dhabi&gt;Saadiyat Island&gt;Saadiyat Beach&gt;Saadiyat St Regis Residences&gt;St Regis Residences Block 1</v>
      </c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</row>
    <row r="4328" spans="1:26" ht="16.5" x14ac:dyDescent="0.35">
      <c r="A4328" s="2" t="str">
        <f ca="1">IFERROR(__xludf.DUMMYFUNCTION("""COMPUTED_VALUE"""),"Abu Dhabi")</f>
        <v>Abu Dhabi</v>
      </c>
      <c r="B4328" s="2" t="str">
        <f ca="1">IFERROR(__xludf.DUMMYFUNCTION("""COMPUTED_VALUE"""),"The Golden Tower")</f>
        <v>The Golden Tower</v>
      </c>
      <c r="C4328" s="2" t="str">
        <f ca="1">IFERROR(__xludf.DUMMYFUNCTION("""COMPUTED_VALUE"""),"Building")</f>
        <v>Building</v>
      </c>
      <c r="D4328" s="2" t="str">
        <f ca="1">IFERROR(__xludf.DUMMYFUNCTION("""COMPUTED_VALUE"""),"Abu Dhabi&gt;Al Raha Beach&gt;The Golden Tower")</f>
        <v>Abu Dhabi&gt;Al Raha Beach&gt;The Golden Tower</v>
      </c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</row>
    <row r="4329" spans="1:26" ht="16.5" x14ac:dyDescent="0.35">
      <c r="A4329" s="2" t="str">
        <f ca="1">IFERROR(__xludf.DUMMYFUNCTION("""COMPUTED_VALUE"""),"Abu Dhabi")</f>
        <v>Abu Dhabi</v>
      </c>
      <c r="B4329" s="2" t="str">
        <f ca="1">IFERROR(__xludf.DUMMYFUNCTION("""COMPUTED_VALUE"""),"Al Zeina Building A")</f>
        <v>Al Zeina Building A</v>
      </c>
      <c r="C4329" s="2" t="str">
        <f ca="1">IFERROR(__xludf.DUMMYFUNCTION("""COMPUTED_VALUE"""),"Building")</f>
        <v>Building</v>
      </c>
      <c r="D4329" s="2" t="str">
        <f ca="1">IFERROR(__xludf.DUMMYFUNCTION("""COMPUTED_VALUE"""),"Abu Dhabi&gt;Al Raha Beach&gt;Al Zeina&gt;Al Zeina Building A")</f>
        <v>Abu Dhabi&gt;Al Raha Beach&gt;Al Zeina&gt;Al Zeina Building A</v>
      </c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</row>
    <row r="4330" spans="1:26" ht="16.5" x14ac:dyDescent="0.35">
      <c r="A4330" s="2" t="str">
        <f ca="1">IFERROR(__xludf.DUMMYFUNCTION("""COMPUTED_VALUE"""),"Abu Dhabi")</f>
        <v>Abu Dhabi</v>
      </c>
      <c r="B4330" s="2" t="str">
        <f ca="1">IFERROR(__xludf.DUMMYFUNCTION("""COMPUTED_VALUE"""),"C15 Building")</f>
        <v>C15 Building</v>
      </c>
      <c r="C4330" s="2" t="str">
        <f ca="1">IFERROR(__xludf.DUMMYFUNCTION("""COMPUTED_VALUE"""),"Building")</f>
        <v>Building</v>
      </c>
      <c r="D4330" s="2" t="str">
        <f ca="1">IFERROR(__xludf.DUMMYFUNCTION("""COMPUTED_VALUE"""),"Abu Dhabi&gt;Al Raha Beach&gt;Al Dana&gt;C15 Building")</f>
        <v>Abu Dhabi&gt;Al Raha Beach&gt;Al Dana&gt;C15 Building</v>
      </c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</row>
    <row r="4331" spans="1:26" ht="16.5" x14ac:dyDescent="0.35">
      <c r="A4331" s="2" t="str">
        <f ca="1">IFERROR(__xludf.DUMMYFUNCTION("""COMPUTED_VALUE"""),"Abu Dhabi")</f>
        <v>Abu Dhabi</v>
      </c>
      <c r="B4331" s="2" t="str">
        <f ca="1">IFERROR(__xludf.DUMMYFUNCTION("""COMPUTED_VALUE"""),"P-1753")</f>
        <v>P-1753</v>
      </c>
      <c r="C4331" s="2" t="str">
        <f ca="1">IFERROR(__xludf.DUMMYFUNCTION("""COMPUTED_VALUE"""),"Building")</f>
        <v>Building</v>
      </c>
      <c r="D4331" s="2" t="str">
        <f ca="1">IFERROR(__xludf.DUMMYFUNCTION("""COMPUTED_VALUE"""),"Abu Dhabi&gt;Al Raha Beach&gt;P-1753")</f>
        <v>Abu Dhabi&gt;Al Raha Beach&gt;P-1753</v>
      </c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</row>
    <row r="4332" spans="1:26" ht="16.5" x14ac:dyDescent="0.35">
      <c r="A4332" s="2" t="str">
        <f ca="1">IFERROR(__xludf.DUMMYFUNCTION("""COMPUTED_VALUE"""),"Abu Dhabi")</f>
        <v>Abu Dhabi</v>
      </c>
      <c r="B4332" s="2" t="str">
        <f ca="1">IFERROR(__xludf.DUMMYFUNCTION("""COMPUTED_VALUE"""),"Chubby Cheeks Muroor")</f>
        <v>Chubby Cheeks Muroor</v>
      </c>
      <c r="C4332" s="2" t="str">
        <f ca="1">IFERROR(__xludf.DUMMYFUNCTION("""COMPUTED_VALUE"""),"School")</f>
        <v>School</v>
      </c>
      <c r="D4332" s="2" t="str">
        <f ca="1">IFERROR(__xludf.DUMMYFUNCTION("""COMPUTED_VALUE"""),"Abu Dhabi&gt;Al Muroor&gt;Chubby Cheeks Muroor")</f>
        <v>Abu Dhabi&gt;Al Muroor&gt;Chubby Cheeks Muroor</v>
      </c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</row>
    <row r="4333" spans="1:26" ht="16.5" x14ac:dyDescent="0.35">
      <c r="A4333" s="2" t="str">
        <f ca="1">IFERROR(__xludf.DUMMYFUNCTION("""COMPUTED_VALUE"""),"Abu Dhabi")</f>
        <v>Abu Dhabi</v>
      </c>
      <c r="B4333" s="2" t="str">
        <f ca="1">IFERROR(__xludf.DUMMYFUNCTION("""COMPUTED_VALUE"""),"Emirates Future International Academy (EFIA), MBZ city")</f>
        <v>Emirates Future International Academy (EFIA), MBZ city</v>
      </c>
      <c r="C4333" s="2" t="str">
        <f ca="1">IFERROR(__xludf.DUMMYFUNCTION("""COMPUTED_VALUE"""),"School")</f>
        <v>School</v>
      </c>
      <c r="D4333" s="2" t="str">
        <f ca="1">IFERROR(__xludf.DUMMYFUNCTION("""COMPUTED_VALUE"""),"Abu Dhabi&gt;Mohamed Bin Zayed City&gt;Emirates Future International Academy (EFIA), MBZ city")</f>
        <v>Abu Dhabi&gt;Mohamed Bin Zayed City&gt;Emirates Future International Academy (EFIA), MBZ city</v>
      </c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</row>
    <row r="4334" spans="1:26" ht="16.5" x14ac:dyDescent="0.35">
      <c r="A4334" s="2" t="str">
        <f ca="1">IFERROR(__xludf.DUMMYFUNCTION("""COMPUTED_VALUE"""),"Abu Dhabi")</f>
        <v>Abu Dhabi</v>
      </c>
      <c r="B4334" s="2" t="str">
        <f ca="1">IFERROR(__xludf.DUMMYFUNCTION("""COMPUTED_VALUE"""),"Piccadilly Nursery")</f>
        <v>Piccadilly Nursery</v>
      </c>
      <c r="C4334" s="2" t="str">
        <f ca="1">IFERROR(__xludf.DUMMYFUNCTION("""COMPUTED_VALUE"""),"Nursery")</f>
        <v>Nursery</v>
      </c>
      <c r="D4334" s="2" t="str">
        <f ca="1">IFERROR(__xludf.DUMMYFUNCTION("""COMPUTED_VALUE"""),"Abu Dhabi&gt;Mohamed Bin Zayed City&gt;Zone 17&gt;Piccadilly Nursery")</f>
        <v>Abu Dhabi&gt;Mohamed Bin Zayed City&gt;Zone 17&gt;Piccadilly Nursery</v>
      </c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</row>
    <row r="4335" spans="1:26" ht="16.5" x14ac:dyDescent="0.35">
      <c r="A4335" s="2" t="str">
        <f ca="1">IFERROR(__xludf.DUMMYFUNCTION("""COMPUTED_VALUE"""),"Abu Dhabi")</f>
        <v>Abu Dhabi</v>
      </c>
      <c r="B4335" s="2" t="str">
        <f ca="1">IFERROR(__xludf.DUMMYFUNCTION("""COMPUTED_VALUE"""),"Shabiya 10")</f>
        <v>Shabiya 10</v>
      </c>
      <c r="C4335" s="2" t="str">
        <f ca="1">IFERROR(__xludf.DUMMYFUNCTION("""COMPUTED_VALUE"""),"Neighbourhood")</f>
        <v>Neighbourhood</v>
      </c>
      <c r="D4335" s="2" t="str">
        <f ca="1">IFERROR(__xludf.DUMMYFUNCTION("""COMPUTED_VALUE"""),"Abu Dhabi&gt;Mohamed Bin Zayed City&gt;Mussafah Community&gt;Shabiya 10")</f>
        <v>Abu Dhabi&gt;Mohamed Bin Zayed City&gt;Mussafah Community&gt;Shabiya 10</v>
      </c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</row>
    <row r="4336" spans="1:26" ht="16.5" x14ac:dyDescent="0.35">
      <c r="A4336" s="2" t="str">
        <f ca="1">IFERROR(__xludf.DUMMYFUNCTION("""COMPUTED_VALUE"""),"Abu Dhabi")</f>
        <v>Abu Dhabi</v>
      </c>
      <c r="B4336" s="2" t="str">
        <f ca="1">IFERROR(__xludf.DUMMYFUNCTION("""COMPUTED_VALUE"""),"Building 19")</f>
        <v>Building 19</v>
      </c>
      <c r="C4336" s="2" t="str">
        <f ca="1">IFERROR(__xludf.DUMMYFUNCTION("""COMPUTED_VALUE"""),"Building")</f>
        <v>Building</v>
      </c>
      <c r="D4336" s="2" t="str">
        <f ca="1">IFERROR(__xludf.DUMMYFUNCTION("""COMPUTED_VALUE"""),"Abu Dhabi&gt;Al Reef&gt;Al Reef Downtown&gt;Building 19")</f>
        <v>Abu Dhabi&gt;Al Reef&gt;Al Reef Downtown&gt;Building 19</v>
      </c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</row>
    <row r="4337" spans="1:26" ht="16.5" x14ac:dyDescent="0.35">
      <c r="A4337" s="2" t="str">
        <f ca="1">IFERROR(__xludf.DUMMYFUNCTION("""COMPUTED_VALUE"""),"Abu Dhabi")</f>
        <v>Abu Dhabi</v>
      </c>
      <c r="B4337" s="2" t="str">
        <f ca="1">IFERROR(__xludf.DUMMYFUNCTION("""COMPUTED_VALUE"""),"Zone 2")</f>
        <v>Zone 2</v>
      </c>
      <c r="C4337" s="2" t="str">
        <f ca="1">IFERROR(__xludf.DUMMYFUNCTION("""COMPUTED_VALUE"""),"Neighbourhood")</f>
        <v>Neighbourhood</v>
      </c>
      <c r="D4337" s="2" t="str">
        <f ca="1">IFERROR(__xludf.DUMMYFUNCTION("""COMPUTED_VALUE"""),"Abu Dhabi&gt;Hydra Village&gt;Zone 2")</f>
        <v>Abu Dhabi&gt;Hydra Village&gt;Zone 2</v>
      </c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</row>
    <row r="4338" spans="1:26" ht="16.5" x14ac:dyDescent="0.35">
      <c r="A4338" s="2" t="str">
        <f ca="1">IFERROR(__xludf.DUMMYFUNCTION("""COMPUTED_VALUE"""),"Abu Dhabi")</f>
        <v>Abu Dhabi</v>
      </c>
      <c r="B4338" s="2" t="str">
        <f ca="1">IFERROR(__xludf.DUMMYFUNCTION("""COMPUTED_VALUE"""),"RDK Residential Complex")</f>
        <v>RDK Residential Complex</v>
      </c>
      <c r="C4338" s="2"/>
      <c r="D4338" s="2" t="str">
        <f ca="1">IFERROR(__xludf.DUMMYFUNCTION("""COMPUTED_VALUE"""),"Abu Dhabi&gt;Rawdhat Abu Dhabi&gt;RDK Residential Complex")</f>
        <v>Abu Dhabi&gt;Rawdhat Abu Dhabi&gt;RDK Residential Complex</v>
      </c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</row>
    <row r="4339" spans="1:26" ht="16.5" x14ac:dyDescent="0.35">
      <c r="A4339" s="2" t="str">
        <f ca="1">IFERROR(__xludf.DUMMYFUNCTION("""COMPUTED_VALUE"""),"Abu Dhabi")</f>
        <v>Abu Dhabi</v>
      </c>
      <c r="B4339" s="2" t="str">
        <f ca="1">IFERROR(__xludf.DUMMYFUNCTION("""COMPUTED_VALUE"""),"Zayed Military City Tower 8")</f>
        <v>Zayed Military City Tower 8</v>
      </c>
      <c r="C4339" s="2" t="str">
        <f ca="1">IFERROR(__xludf.DUMMYFUNCTION("""COMPUTED_VALUE"""),"Building")</f>
        <v>Building</v>
      </c>
      <c r="D4339" s="2" t="str">
        <f ca="1">IFERROR(__xludf.DUMMYFUNCTION("""COMPUTED_VALUE"""),"Abu Dhabi&gt;Zayed Military City&gt;Zayed Military City Tower 8")</f>
        <v>Abu Dhabi&gt;Zayed Military City&gt;Zayed Military City Tower 8</v>
      </c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</row>
    <row r="4340" spans="1:26" ht="16.5" x14ac:dyDescent="0.35">
      <c r="A4340" s="2" t="str">
        <f ca="1">IFERROR(__xludf.DUMMYFUNCTION("""COMPUTED_VALUE"""),"Abu Dhabi")</f>
        <v>Abu Dhabi</v>
      </c>
      <c r="B4340" s="2" t="str">
        <f ca="1">IFERROR(__xludf.DUMMYFUNCTION("""COMPUTED_VALUE"""),"Mayan")</f>
        <v>Mayan</v>
      </c>
      <c r="C4340" s="2" t="str">
        <f ca="1">IFERROR(__xludf.DUMMYFUNCTION("""COMPUTED_VALUE"""),"Cluster")</f>
        <v>Cluster</v>
      </c>
      <c r="D4340" s="2" t="str">
        <f ca="1">IFERROR(__xludf.DUMMYFUNCTION("""COMPUTED_VALUE"""),"Abu Dhabi&gt;Yas Island&gt;Mayan")</f>
        <v>Abu Dhabi&gt;Yas Island&gt;Mayan</v>
      </c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</row>
    <row r="4341" spans="1:26" ht="16.5" x14ac:dyDescent="0.35">
      <c r="A4341" s="2" t="str">
        <f ca="1">IFERROR(__xludf.DUMMYFUNCTION("""COMPUTED_VALUE"""),"Abu Dhabi")</f>
        <v>Abu Dhabi</v>
      </c>
      <c r="B4341" s="2" t="str">
        <f ca="1">IFERROR(__xludf.DUMMYFUNCTION("""COMPUTED_VALUE"""),"The Sustainable City")</f>
        <v>The Sustainable City</v>
      </c>
      <c r="C4341" s="2" t="str">
        <f ca="1">IFERROR(__xludf.DUMMYFUNCTION("""COMPUTED_VALUE"""),"Neighbourhood")</f>
        <v>Neighbourhood</v>
      </c>
      <c r="D4341" s="2" t="str">
        <f ca="1">IFERROR(__xludf.DUMMYFUNCTION("""COMPUTED_VALUE"""),"Abu Dhabi&gt;Yas Island&gt;The Sustainable City")</f>
        <v>Abu Dhabi&gt;Yas Island&gt;The Sustainable City</v>
      </c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</row>
    <row r="4342" spans="1:26" ht="16.5" x14ac:dyDescent="0.35">
      <c r="A4342" s="2" t="str">
        <f ca="1">IFERROR(__xludf.DUMMYFUNCTION("""COMPUTED_VALUE"""),"Abu Dhabi")</f>
        <v>Abu Dhabi</v>
      </c>
      <c r="B4342" s="2" t="str">
        <f ca="1">IFERROR(__xludf.DUMMYFUNCTION("""COMPUTED_VALUE"""),"Al Sammaliyyah Island")</f>
        <v>Al Sammaliyyah Island</v>
      </c>
      <c r="C4342" s="2" t="str">
        <f ca="1">IFERROR(__xludf.DUMMYFUNCTION("""COMPUTED_VALUE"""),"Neighbourhood")</f>
        <v>Neighbourhood</v>
      </c>
      <c r="D4342" s="2" t="str">
        <f ca="1">IFERROR(__xludf.DUMMYFUNCTION("""COMPUTED_VALUE"""),"Abu Dhabi&gt;Al Sammaliyyah Island")</f>
        <v>Abu Dhabi&gt;Al Sammaliyyah Island</v>
      </c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</row>
    <row r="4343" spans="1:26" ht="16.5" x14ac:dyDescent="0.35">
      <c r="A4343" s="2" t="str">
        <f ca="1">IFERROR(__xludf.DUMMYFUNCTION("""COMPUTED_VALUE"""),"Abu Dhabi")</f>
        <v>Abu Dhabi</v>
      </c>
      <c r="B4343" s="2" t="str">
        <f ca="1">IFERROR(__xludf.DUMMYFUNCTION("""COMPUTED_VALUE"""),"Abu Dhabi Industrial City")</f>
        <v>Abu Dhabi Industrial City</v>
      </c>
      <c r="C4343" s="2" t="str">
        <f ca="1">IFERROR(__xludf.DUMMYFUNCTION("""COMPUTED_VALUE"""),"Neighbourhood")</f>
        <v>Neighbourhood</v>
      </c>
      <c r="D4343" s="2" t="str">
        <f ca="1">IFERROR(__xludf.DUMMYFUNCTION("""COMPUTED_VALUE"""),"Abu Dhabi&gt;Abu Dhabi Industrial City")</f>
        <v>Abu Dhabi&gt;Abu Dhabi Industrial City</v>
      </c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</row>
    <row r="4344" spans="1:26" ht="16.5" x14ac:dyDescent="0.35">
      <c r="A4344" s="2" t="str">
        <f ca="1">IFERROR(__xludf.DUMMYFUNCTION("""COMPUTED_VALUE"""),"Ajman")</f>
        <v>Ajman</v>
      </c>
      <c r="B4344" s="2" t="str">
        <f ca="1">IFERROR(__xludf.DUMMYFUNCTION("""COMPUTED_VALUE"""),"Emirates City")</f>
        <v>Emirates City</v>
      </c>
      <c r="C4344" s="2" t="str">
        <f ca="1">IFERROR(__xludf.DUMMYFUNCTION("""COMPUTED_VALUE"""),"Neighbourhood")</f>
        <v>Neighbourhood</v>
      </c>
      <c r="D4344" s="2" t="str">
        <f ca="1">IFERROR(__xludf.DUMMYFUNCTION("""COMPUTED_VALUE"""),"Ajman&gt;Emirates City")</f>
        <v>Ajman&gt;Emirates City</v>
      </c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</row>
    <row r="4345" spans="1:26" ht="16.5" x14ac:dyDescent="0.35">
      <c r="A4345" s="2" t="str">
        <f ca="1">IFERROR(__xludf.DUMMYFUNCTION("""COMPUTED_VALUE"""),"Ajman")</f>
        <v>Ajman</v>
      </c>
      <c r="B4345" s="2" t="str">
        <f ca="1">IFERROR(__xludf.DUMMYFUNCTION("""COMPUTED_VALUE"""),"Lake Signature")</f>
        <v>Lake Signature</v>
      </c>
      <c r="C4345" s="2" t="str">
        <f ca="1">IFERROR(__xludf.DUMMYFUNCTION("""COMPUTED_VALUE"""),"Building")</f>
        <v>Building</v>
      </c>
      <c r="D4345" s="2" t="str">
        <f ca="1">IFERROR(__xludf.DUMMYFUNCTION("""COMPUTED_VALUE"""),"Ajman&gt;Emirates City&gt;Lake Signature")</f>
        <v>Ajman&gt;Emirates City&gt;Lake Signature</v>
      </c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</row>
    <row r="4346" spans="1:26" ht="16.5" x14ac:dyDescent="0.35">
      <c r="A4346" s="2" t="str">
        <f ca="1">IFERROR(__xludf.DUMMYFUNCTION("""COMPUTED_VALUE"""),"Ajman")</f>
        <v>Ajman</v>
      </c>
      <c r="B4346" s="2" t="str">
        <f ca="1">IFERROR(__xludf.DUMMYFUNCTION("""COMPUTED_VALUE"""),"Sky Gardens Tower")</f>
        <v>Sky Gardens Tower</v>
      </c>
      <c r="C4346" s="2" t="str">
        <f ca="1">IFERROR(__xludf.DUMMYFUNCTION("""COMPUTED_VALUE"""),"Building")</f>
        <v>Building</v>
      </c>
      <c r="D4346" s="2" t="str">
        <f ca="1">IFERROR(__xludf.DUMMYFUNCTION("""COMPUTED_VALUE"""),"Ajman&gt;Emirates City&gt;Sky Gardens Tower")</f>
        <v>Ajman&gt;Emirates City&gt;Sky Gardens Tower</v>
      </c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</row>
    <row r="4347" spans="1:26" ht="16.5" x14ac:dyDescent="0.35">
      <c r="A4347" s="2" t="str">
        <f ca="1">IFERROR(__xludf.DUMMYFUNCTION("""COMPUTED_VALUE"""),"Ajman")</f>
        <v>Ajman</v>
      </c>
      <c r="B4347" s="2" t="str">
        <f ca="1">IFERROR(__xludf.DUMMYFUNCTION("""COMPUTED_VALUE"""),"Horizon Tower A")</f>
        <v>Horizon Tower A</v>
      </c>
      <c r="C4347" s="2" t="str">
        <f ca="1">IFERROR(__xludf.DUMMYFUNCTION("""COMPUTED_VALUE"""),"Building")</f>
        <v>Building</v>
      </c>
      <c r="D4347" s="2" t="str">
        <f ca="1">IFERROR(__xludf.DUMMYFUNCTION("""COMPUTED_VALUE"""),"Ajman&gt;Ajman Downtown&gt;Horizon Tower&gt;Horizon Tower A")</f>
        <v>Ajman&gt;Ajman Downtown&gt;Horizon Tower&gt;Horizon Tower A</v>
      </c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</row>
    <row r="4348" spans="1:26" ht="16.5" x14ac:dyDescent="0.35">
      <c r="A4348" s="2" t="str">
        <f ca="1">IFERROR(__xludf.DUMMYFUNCTION("""COMPUTED_VALUE"""),"Ajman")</f>
        <v>Ajman</v>
      </c>
      <c r="B4348" s="2" t="str">
        <f ca="1">IFERROR(__xludf.DUMMYFUNCTION("""COMPUTED_VALUE"""),"Al Rashidiya 1")</f>
        <v>Al Rashidiya 1</v>
      </c>
      <c r="C4348" s="2" t="str">
        <f ca="1">IFERROR(__xludf.DUMMYFUNCTION("""COMPUTED_VALUE"""),"Neighbourhood")</f>
        <v>Neighbourhood</v>
      </c>
      <c r="D4348" s="2" t="str">
        <f ca="1">IFERROR(__xludf.DUMMYFUNCTION("""COMPUTED_VALUE"""),"Ajman&gt;Al Rashidiya&gt;Al Rashidiya 1")</f>
        <v>Ajman&gt;Al Rashidiya&gt;Al Rashidiya 1</v>
      </c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</row>
    <row r="4349" spans="1:26" ht="16.5" x14ac:dyDescent="0.35">
      <c r="A4349" s="2" t="str">
        <f ca="1">IFERROR(__xludf.DUMMYFUNCTION("""COMPUTED_VALUE"""),"Ajman")</f>
        <v>Ajman</v>
      </c>
      <c r="B4349" s="2" t="str">
        <f ca="1">IFERROR(__xludf.DUMMYFUNCTION("""COMPUTED_VALUE"""),"Ajman One Tower 2")</f>
        <v>Ajman One Tower 2</v>
      </c>
      <c r="C4349" s="2"/>
      <c r="D4349" s="2" t="str">
        <f ca="1">IFERROR(__xludf.DUMMYFUNCTION("""COMPUTED_VALUE"""),"Ajman&gt;Al Rashidiya&gt;Al Rashidiya 3&gt;Ajman One Towers&gt;Ajman One Tower 2")</f>
        <v>Ajman&gt;Al Rashidiya&gt;Al Rashidiya 3&gt;Ajman One Towers&gt;Ajman One Tower 2</v>
      </c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</row>
    <row r="4350" spans="1:26" ht="16.5" x14ac:dyDescent="0.35">
      <c r="A4350" s="2" t="str">
        <f ca="1">IFERROR(__xludf.DUMMYFUNCTION("""COMPUTED_VALUE"""),"Ajman")</f>
        <v>Ajman</v>
      </c>
      <c r="B4350" s="2" t="str">
        <f ca="1">IFERROR(__xludf.DUMMYFUNCTION("""COMPUTED_VALUE"""),"Mawjan Residence")</f>
        <v>Mawjan Residence</v>
      </c>
      <c r="C4350" s="2" t="str">
        <f ca="1">IFERROR(__xludf.DUMMYFUNCTION("""COMPUTED_VALUE"""),"Building")</f>
        <v>Building</v>
      </c>
      <c r="D4350" s="2" t="str">
        <f ca="1">IFERROR(__xludf.DUMMYFUNCTION("""COMPUTED_VALUE"""),"Ajman&gt;Corniche Ajman&gt;Mawjan Residence")</f>
        <v>Ajman&gt;Corniche Ajman&gt;Mawjan Residence</v>
      </c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</row>
    <row r="4351" spans="1:26" ht="16.5" x14ac:dyDescent="0.35">
      <c r="A4351" s="2" t="str">
        <f ca="1">IFERROR(__xludf.DUMMYFUNCTION("""COMPUTED_VALUE"""),"Ajman")</f>
        <v>Ajman</v>
      </c>
      <c r="B4351" s="2" t="str">
        <f ca="1">IFERROR(__xludf.DUMMYFUNCTION("""COMPUTED_VALUE"""),"Goldcrest Smart Towers")</f>
        <v>Goldcrest Smart Towers</v>
      </c>
      <c r="C4351" s="2" t="str">
        <f ca="1">IFERROR(__xludf.DUMMYFUNCTION("""COMPUTED_VALUE"""),"Building")</f>
        <v>Building</v>
      </c>
      <c r="D4351" s="2" t="str">
        <f ca="1">IFERROR(__xludf.DUMMYFUNCTION("""COMPUTED_VALUE"""),"Ajman&gt;Ain Ajman&gt;Goldcrest Smart Towers")</f>
        <v>Ajman&gt;Ain Ajman&gt;Goldcrest Smart Towers</v>
      </c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</row>
    <row r="4352" spans="1:26" ht="16.5" x14ac:dyDescent="0.35">
      <c r="A4352" s="2" t="str">
        <f ca="1">IFERROR(__xludf.DUMMYFUNCTION("""COMPUTED_VALUE"""),"Ajman")</f>
        <v>Ajman</v>
      </c>
      <c r="B4352" s="2" t="str">
        <f ca="1">IFERROR(__xludf.DUMMYFUNCTION("""COMPUTED_VALUE"""),"Al Ameera Village A2")</f>
        <v>Al Ameera Village A2</v>
      </c>
      <c r="C4352" s="2" t="str">
        <f ca="1">IFERROR(__xludf.DUMMYFUNCTION("""COMPUTED_VALUE"""),"Building")</f>
        <v>Building</v>
      </c>
      <c r="D4352" s="2" t="str">
        <f ca="1">IFERROR(__xludf.DUMMYFUNCTION("""COMPUTED_VALUE"""),"Ajman&gt;Al Yasmeen&gt;Al Ameera Village&gt;Al Ameera Village A2")</f>
        <v>Ajman&gt;Al Yasmeen&gt;Al Ameera Village&gt;Al Ameera Village A2</v>
      </c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</row>
    <row r="4353" spans="1:26" ht="16.5" x14ac:dyDescent="0.35">
      <c r="A4353" s="2" t="str">
        <f ca="1">IFERROR(__xludf.DUMMYFUNCTION("""COMPUTED_VALUE"""),"Ajman")</f>
        <v>Ajman</v>
      </c>
      <c r="B4353" s="2" t="str">
        <f ca="1">IFERROR(__xludf.DUMMYFUNCTION("""COMPUTED_VALUE"""),"Abu Baker Building")</f>
        <v>Abu Baker Building</v>
      </c>
      <c r="C4353" s="2"/>
      <c r="D4353" s="2" t="str">
        <f ca="1">IFERROR(__xludf.DUMMYFUNCTION("""COMPUTED_VALUE"""),"Ajman&gt;Al Nakhil&gt;Abu Baker Building")</f>
        <v>Ajman&gt;Al Nakhil&gt;Abu Baker Building</v>
      </c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</row>
    <row r="4354" spans="1:26" ht="16.5" x14ac:dyDescent="0.35">
      <c r="A4354" s="2" t="str">
        <f ca="1">IFERROR(__xludf.DUMMYFUNCTION("""COMPUTED_VALUE"""),"Ajman")</f>
        <v>Ajman</v>
      </c>
      <c r="B4354" s="2" t="str">
        <f ca="1">IFERROR(__xludf.DUMMYFUNCTION("""COMPUTED_VALUE"""),"Al Ghoroub Tower")</f>
        <v>Al Ghoroub Tower</v>
      </c>
      <c r="C4354" s="2" t="str">
        <f ca="1">IFERROR(__xludf.DUMMYFUNCTION("""COMPUTED_VALUE"""),"Building")</f>
        <v>Building</v>
      </c>
      <c r="D4354" s="2" t="str">
        <f ca="1">IFERROR(__xludf.DUMMYFUNCTION("""COMPUTED_VALUE"""),"Ajman&gt;Al Humaid City&gt;Al Ghoroub Tower")</f>
        <v>Ajman&gt;Al Humaid City&gt;Al Ghoroub Tower</v>
      </c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</row>
    <row r="4355" spans="1:26" ht="16.5" x14ac:dyDescent="0.35">
      <c r="A4355" s="2" t="str">
        <f ca="1">IFERROR(__xludf.DUMMYFUNCTION("""COMPUTED_VALUE"""),"Ajman")</f>
        <v>Ajman</v>
      </c>
      <c r="B4355" s="2" t="str">
        <f ca="1">IFERROR(__xludf.DUMMYFUNCTION("""COMPUTED_VALUE"""),"Al Khayal A1 Building")</f>
        <v>Al Khayal A1 Building</v>
      </c>
      <c r="C4355" s="2"/>
      <c r="D4355" s="2" t="str">
        <f ca="1">IFERROR(__xludf.DUMMYFUNCTION("""COMPUTED_VALUE"""),"Ajman&gt;Al Nuaimiya&gt;Al Nuaimiya 1&gt;Al Khayal A1 Building")</f>
        <v>Ajman&gt;Al Nuaimiya&gt;Al Nuaimiya 1&gt;Al Khayal A1 Building</v>
      </c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</row>
    <row r="4356" spans="1:26" ht="16.5" x14ac:dyDescent="0.35">
      <c r="A4356" s="2" t="str">
        <f ca="1">IFERROR(__xludf.DUMMYFUNCTION("""COMPUTED_VALUE"""),"Ajman")</f>
        <v>Ajman</v>
      </c>
      <c r="B4356" s="2" t="str">
        <f ca="1">IFERROR(__xludf.DUMMYFUNCTION("""COMPUTED_VALUE"""),"Sky Tower")</f>
        <v>Sky Tower</v>
      </c>
      <c r="C4356" s="2" t="str">
        <f ca="1">IFERROR(__xludf.DUMMYFUNCTION("""COMPUTED_VALUE"""),"Building")</f>
        <v>Building</v>
      </c>
      <c r="D4356" s="2" t="str">
        <f ca="1">IFERROR(__xludf.DUMMYFUNCTION("""COMPUTED_VALUE"""),"Ajman&gt;Al Nuaimiya&gt;Al Nuaimiya 2&gt;Sky Tower")</f>
        <v>Ajman&gt;Al Nuaimiya&gt;Al Nuaimiya 2&gt;Sky Tower</v>
      </c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</row>
    <row r="4357" spans="1:26" ht="16.5" x14ac:dyDescent="0.35">
      <c r="A4357" s="2" t="str">
        <f ca="1">IFERROR(__xludf.DUMMYFUNCTION("""COMPUTED_VALUE"""),"Sharjah")</f>
        <v>Sharjah</v>
      </c>
      <c r="B4357" s="2" t="str">
        <f ca="1">IFERROR(__xludf.DUMMYFUNCTION("""COMPUTED_VALUE"""),"Sahara Tower 5")</f>
        <v>Sahara Tower 5</v>
      </c>
      <c r="C4357" s="2" t="str">
        <f ca="1">IFERROR(__xludf.DUMMYFUNCTION("""COMPUTED_VALUE"""),"Building")</f>
        <v>Building</v>
      </c>
      <c r="D4357" s="2" t="str">
        <f ca="1">IFERROR(__xludf.DUMMYFUNCTION("""COMPUTED_VALUE"""),"Sharjah&gt;Al Nahda (Sharjah)&gt;Sahara Towers&gt;Sahara Tower 5")</f>
        <v>Sharjah&gt;Al Nahda (Sharjah)&gt;Sahara Towers&gt;Sahara Tower 5</v>
      </c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</row>
    <row r="4358" spans="1:26" ht="16.5" x14ac:dyDescent="0.35">
      <c r="A4358" s="2" t="str">
        <f ca="1">IFERROR(__xludf.DUMMYFUNCTION("""COMPUTED_VALUE"""),"Sharjah")</f>
        <v>Sharjah</v>
      </c>
      <c r="B4358" s="2" t="str">
        <f ca="1">IFERROR(__xludf.DUMMYFUNCTION("""COMPUTED_VALUE"""),"Moon Tower 1")</f>
        <v>Moon Tower 1</v>
      </c>
      <c r="C4358" s="2" t="str">
        <f ca="1">IFERROR(__xludf.DUMMYFUNCTION("""COMPUTED_VALUE"""),"Building")</f>
        <v>Building</v>
      </c>
      <c r="D4358" s="2" t="str">
        <f ca="1">IFERROR(__xludf.DUMMYFUNCTION("""COMPUTED_VALUE"""),"Sharjah&gt;Al Nahda (Sharjah)&gt;Moon Tower 1")</f>
        <v>Sharjah&gt;Al Nahda (Sharjah)&gt;Moon Tower 1</v>
      </c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</row>
    <row r="4359" spans="1:26" ht="16.5" x14ac:dyDescent="0.35">
      <c r="A4359" s="2" t="str">
        <f ca="1">IFERROR(__xludf.DUMMYFUNCTION("""COMPUTED_VALUE"""),"Sharjah")</f>
        <v>Sharjah</v>
      </c>
      <c r="B4359" s="2" t="str">
        <f ca="1">IFERROR(__xludf.DUMMYFUNCTION("""COMPUTED_VALUE"""),"Al Jamal Tower")</f>
        <v>Al Jamal Tower</v>
      </c>
      <c r="C4359" s="2"/>
      <c r="D4359" s="2" t="str">
        <f ca="1">IFERROR(__xludf.DUMMYFUNCTION("""COMPUTED_VALUE"""),"Sharjah&gt;Al Nahda (Sharjah)&gt;Al Jamal Tower")</f>
        <v>Sharjah&gt;Al Nahda (Sharjah)&gt;Al Jamal Tower</v>
      </c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</row>
    <row r="4360" spans="1:26" ht="16.5" x14ac:dyDescent="0.35">
      <c r="A4360" s="2" t="str">
        <f ca="1">IFERROR(__xludf.DUMMYFUNCTION("""COMPUTED_VALUE"""),"Sharjah")</f>
        <v>Sharjah</v>
      </c>
      <c r="B4360" s="2" t="str">
        <f ca="1">IFERROR(__xludf.DUMMYFUNCTION("""COMPUTED_VALUE"""),"Liwan Building")</f>
        <v>Liwan Building</v>
      </c>
      <c r="C4360" s="2"/>
      <c r="D4360" s="2" t="str">
        <f ca="1">IFERROR(__xludf.DUMMYFUNCTION("""COMPUTED_VALUE"""),"Sharjah&gt;Al Nahda (Sharjah)&gt;Liwan Building")</f>
        <v>Sharjah&gt;Al Nahda (Sharjah)&gt;Liwan Building</v>
      </c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</row>
    <row r="4361" spans="1:26" ht="16.5" x14ac:dyDescent="0.35">
      <c r="A4361" s="2" t="str">
        <f ca="1">IFERROR(__xludf.DUMMYFUNCTION("""COMPUTED_VALUE"""),"Sharjah")</f>
        <v>Sharjah</v>
      </c>
      <c r="B4361" s="2" t="str">
        <f ca="1">IFERROR(__xludf.DUMMYFUNCTION("""COMPUTED_VALUE"""),"Al Maya Building")</f>
        <v>Al Maya Building</v>
      </c>
      <c r="C4361" s="2" t="str">
        <f ca="1">IFERROR(__xludf.DUMMYFUNCTION("""COMPUTED_VALUE"""),"Building")</f>
        <v>Building</v>
      </c>
      <c r="D4361" s="2" t="str">
        <f ca="1">IFERROR(__xludf.DUMMYFUNCTION("""COMPUTED_VALUE"""),"Sharjah&gt;Al Nahda (Sharjah)&gt;Al Maya Building")</f>
        <v>Sharjah&gt;Al Nahda (Sharjah)&gt;Al Maya Building</v>
      </c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</row>
    <row r="4362" spans="1:26" ht="16.5" x14ac:dyDescent="0.35">
      <c r="A4362" s="2" t="str">
        <f ca="1">IFERROR(__xludf.DUMMYFUNCTION("""COMPUTED_VALUE"""),"Sharjah")</f>
        <v>Sharjah</v>
      </c>
      <c r="B4362" s="2" t="str">
        <f ca="1">IFERROR(__xludf.DUMMYFUNCTION("""COMPUTED_VALUE"""),"Al Sajaa")</f>
        <v>Al Sajaa</v>
      </c>
      <c r="C4362" s="2" t="str">
        <f ca="1">IFERROR(__xludf.DUMMYFUNCTION("""COMPUTED_VALUE"""),"Neighbourhood")</f>
        <v>Neighbourhood</v>
      </c>
      <c r="D4362" s="2" t="str">
        <f ca="1">IFERROR(__xludf.DUMMYFUNCTION("""COMPUTED_VALUE"""),"Sharjah&gt;Al Sajaa")</f>
        <v>Sharjah&gt;Al Sajaa</v>
      </c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</row>
    <row r="4363" spans="1:26" ht="16.5" x14ac:dyDescent="0.35">
      <c r="A4363" s="2" t="str">
        <f ca="1">IFERROR(__xludf.DUMMYFUNCTION("""COMPUTED_VALUE"""),"Sharjah")</f>
        <v>Sharjah</v>
      </c>
      <c r="B4363" s="2" t="str">
        <f ca="1">IFERROR(__xludf.DUMMYFUNCTION("""COMPUTED_VALUE"""),"Sokoon 1")</f>
        <v>Sokoon 1</v>
      </c>
      <c r="C4363" s="2" t="str">
        <f ca="1">IFERROR(__xludf.DUMMYFUNCTION("""COMPUTED_VALUE"""),"Building")</f>
        <v>Building</v>
      </c>
      <c r="D4363" s="2" t="str">
        <f ca="1">IFERROR(__xludf.DUMMYFUNCTION("""COMPUTED_VALUE"""),"Sharjah&gt;Aljada&gt;Naseej District&gt;Sokoon&gt;Sokoon 1")</f>
        <v>Sharjah&gt;Aljada&gt;Naseej District&gt;Sokoon&gt;Sokoon 1</v>
      </c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</row>
    <row r="4364" spans="1:26" ht="16.5" x14ac:dyDescent="0.35">
      <c r="A4364" s="2" t="str">
        <f ca="1">IFERROR(__xludf.DUMMYFUNCTION("""COMPUTED_VALUE"""),"Sharjah")</f>
        <v>Sharjah</v>
      </c>
      <c r="B4364" s="2" t="str">
        <f ca="1">IFERROR(__xludf.DUMMYFUNCTION("""COMPUTED_VALUE"""),"Nasaq 2")</f>
        <v>Nasaq 2</v>
      </c>
      <c r="C4364" s="2" t="str">
        <f ca="1">IFERROR(__xludf.DUMMYFUNCTION("""COMPUTED_VALUE"""),"Building")</f>
        <v>Building</v>
      </c>
      <c r="D4364" s="2" t="str">
        <f ca="1">IFERROR(__xludf.DUMMYFUNCTION("""COMPUTED_VALUE"""),"Sharjah&gt;Aljada&gt;Nasaq&gt;Nasaq 2")</f>
        <v>Sharjah&gt;Aljada&gt;Nasaq&gt;Nasaq 2</v>
      </c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</row>
    <row r="4365" spans="1:26" ht="16.5" x14ac:dyDescent="0.35">
      <c r="A4365" s="2" t="str">
        <f ca="1">IFERROR(__xludf.DUMMYFUNCTION("""COMPUTED_VALUE"""),"Sharjah")</f>
        <v>Sharjah</v>
      </c>
      <c r="B4365" s="2" t="str">
        <f ca="1">IFERROR(__xludf.DUMMYFUNCTION("""COMPUTED_VALUE"""),"Al Homah")</f>
        <v>Al Homah</v>
      </c>
      <c r="C4365" s="2" t="str">
        <f ca="1">IFERROR(__xludf.DUMMYFUNCTION("""COMPUTED_VALUE"""),"Neighbourhood")</f>
        <v>Neighbourhood</v>
      </c>
      <c r="D4365" s="2" t="str">
        <f ca="1">IFERROR(__xludf.DUMMYFUNCTION("""COMPUTED_VALUE"""),"Sharjah&gt;Al Homah")</f>
        <v>Sharjah&gt;Al Homah</v>
      </c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</row>
    <row r="4366" spans="1:26" ht="16.5" x14ac:dyDescent="0.35">
      <c r="A4366" s="2" t="str">
        <f ca="1">IFERROR(__xludf.DUMMYFUNCTION("""COMPUTED_VALUE"""),"Sharjah")</f>
        <v>Sharjah</v>
      </c>
      <c r="B4366" s="2" t="str">
        <f ca="1">IFERROR(__xludf.DUMMYFUNCTION("""COMPUTED_VALUE"""),"Al Bahya Tower")</f>
        <v>Al Bahya Tower</v>
      </c>
      <c r="C4366" s="2"/>
      <c r="D4366" s="2" t="str">
        <f ca="1">IFERROR(__xludf.DUMMYFUNCTION("""COMPUTED_VALUE"""),"Sharjah&gt;Abu Shagara&gt;Al Bahya Tower")</f>
        <v>Sharjah&gt;Abu Shagara&gt;Al Bahya Tower</v>
      </c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</row>
    <row r="4367" spans="1:26" ht="16.5" x14ac:dyDescent="0.35">
      <c r="A4367" s="2" t="str">
        <f ca="1">IFERROR(__xludf.DUMMYFUNCTION("""COMPUTED_VALUE"""),"Sharjah")</f>
        <v>Sharjah</v>
      </c>
      <c r="B4367" s="2" t="str">
        <f ca="1">IFERROR(__xludf.DUMMYFUNCTION("""COMPUTED_VALUE"""),"Victoria International School of Sharjah")</f>
        <v>Victoria International School of Sharjah</v>
      </c>
      <c r="C4367" s="2" t="str">
        <f ca="1">IFERROR(__xludf.DUMMYFUNCTION("""COMPUTED_VALUE"""),"School")</f>
        <v>School</v>
      </c>
      <c r="D4367" s="2" t="str">
        <f ca="1">IFERROR(__xludf.DUMMYFUNCTION("""COMPUTED_VALUE"""),"Sharjah&gt;Al Mamzar&gt;Victoria International School of Sharjah")</f>
        <v>Sharjah&gt;Al Mamzar&gt;Victoria International School of Sharjah</v>
      </c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</row>
    <row r="4368" spans="1:26" ht="16.5" x14ac:dyDescent="0.35">
      <c r="A4368" s="2" t="str">
        <f ca="1">IFERROR(__xludf.DUMMYFUNCTION("""COMPUTED_VALUE"""),"Sharjah")</f>
        <v>Sharjah</v>
      </c>
      <c r="B4368" s="2" t="str">
        <f ca="1">IFERROR(__xludf.DUMMYFUNCTION("""COMPUTED_VALUE"""),"Al Qarayen 2")</f>
        <v>Al Qarayen 2</v>
      </c>
      <c r="C4368" s="2" t="str">
        <f ca="1">IFERROR(__xludf.DUMMYFUNCTION("""COMPUTED_VALUE"""),"Neighbourhood")</f>
        <v>Neighbourhood</v>
      </c>
      <c r="D4368" s="2" t="str">
        <f ca="1">IFERROR(__xludf.DUMMYFUNCTION("""COMPUTED_VALUE"""),"Sharjah&gt;Al Qarayen&gt;Al Qarayen 2")</f>
        <v>Sharjah&gt;Al Qarayen&gt;Al Qarayen 2</v>
      </c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</row>
    <row r="4369" spans="1:26" ht="16.5" x14ac:dyDescent="0.35">
      <c r="A4369" s="2" t="str">
        <f ca="1">IFERROR(__xludf.DUMMYFUNCTION("""COMPUTED_VALUE"""),"Sharjah")</f>
        <v>Sharjah</v>
      </c>
      <c r="B4369" s="2" t="str">
        <f ca="1">IFERROR(__xludf.DUMMYFUNCTION("""COMPUTED_VALUE"""),"Saro")</f>
        <v>Saro</v>
      </c>
      <c r="C4369" s="2" t="str">
        <f ca="1">IFERROR(__xludf.DUMMYFUNCTION("""COMPUTED_VALUE"""),"Neighbourhood")</f>
        <v>Neighbourhood</v>
      </c>
      <c r="D4369" s="2" t="str">
        <f ca="1">IFERROR(__xludf.DUMMYFUNCTION("""COMPUTED_VALUE"""),"Sharjah&gt;Tilal City&gt;Masaar&gt;Saro")</f>
        <v>Sharjah&gt;Tilal City&gt;Masaar&gt;Saro</v>
      </c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</row>
    <row r="4370" spans="1:26" ht="16.5" x14ac:dyDescent="0.35">
      <c r="A4370" s="2" t="str">
        <f ca="1">IFERROR(__xludf.DUMMYFUNCTION("""COMPUTED_VALUE"""),"Sharjah")</f>
        <v>Sharjah</v>
      </c>
      <c r="B4370" s="2" t="str">
        <f ca="1">IFERROR(__xludf.DUMMYFUNCTION("""COMPUTED_VALUE"""),"Sharjah Public School")</f>
        <v>Sharjah Public School</v>
      </c>
      <c r="C4370" s="2" t="str">
        <f ca="1">IFERROR(__xludf.DUMMYFUNCTION("""COMPUTED_VALUE"""),"School")</f>
        <v>School</v>
      </c>
      <c r="D4370" s="2" t="str">
        <f ca="1">IFERROR(__xludf.DUMMYFUNCTION("""COMPUTED_VALUE"""),"Sharjah&gt;Al Jazzat&gt;Sharjah Public School")</f>
        <v>Sharjah&gt;Al Jazzat&gt;Sharjah Public School</v>
      </c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</row>
    <row r="4371" spans="1:26" ht="16.5" x14ac:dyDescent="0.35">
      <c r="A4371" s="2" t="str">
        <f ca="1">IFERROR(__xludf.DUMMYFUNCTION("""COMPUTED_VALUE"""),"Sharjah")</f>
        <v>Sharjah</v>
      </c>
      <c r="B4371" s="2" t="str">
        <f ca="1">IFERROR(__xludf.DUMMYFUNCTION("""COMPUTED_VALUE"""),"Al Musalla Tower")</f>
        <v>Al Musalla Tower</v>
      </c>
      <c r="C4371" s="2"/>
      <c r="D4371" s="2" t="str">
        <f ca="1">IFERROR(__xludf.DUMMYFUNCTION("""COMPUTED_VALUE"""),"Sharjah&gt;Al Musalla&gt;Al Musalla Tower")</f>
        <v>Sharjah&gt;Al Musalla&gt;Al Musalla Tower</v>
      </c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</row>
    <row r="4372" spans="1:26" ht="16.5" x14ac:dyDescent="0.35">
      <c r="A4372" s="2" t="str">
        <f ca="1">IFERROR(__xludf.DUMMYFUNCTION("""COMPUTED_VALUE"""),"Sharjah")</f>
        <v>Sharjah</v>
      </c>
      <c r="B4372" s="2" t="str">
        <f ca="1">IFERROR(__xludf.DUMMYFUNCTION("""COMPUTED_VALUE"""),"Al Ramtha")</f>
        <v>Al Ramtha</v>
      </c>
      <c r="C4372" s="2" t="str">
        <f ca="1">IFERROR(__xludf.DUMMYFUNCTION("""COMPUTED_VALUE"""),"Neighbourhood")</f>
        <v>Neighbourhood</v>
      </c>
      <c r="D4372" s="2" t="str">
        <f ca="1">IFERROR(__xludf.DUMMYFUNCTION("""COMPUTED_VALUE"""),"Sharjah&gt;Al Ramtha")</f>
        <v>Sharjah&gt;Al Ramtha</v>
      </c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</row>
    <row r="4373" spans="1:26" ht="16.5" x14ac:dyDescent="0.35">
      <c r="A4373" s="2" t="str">
        <f ca="1">IFERROR(__xludf.DUMMYFUNCTION("""COMPUTED_VALUE"""),"Sharjah")</f>
        <v>Sharjah</v>
      </c>
      <c r="B4373" s="2" t="str">
        <f ca="1">IFERROR(__xludf.DUMMYFUNCTION("""COMPUTED_VALUE"""),"Loota Building Al Marija")</f>
        <v>Loota Building Al Marija</v>
      </c>
      <c r="C4373" s="2"/>
      <c r="D4373" s="2" t="str">
        <f ca="1">IFERROR(__xludf.DUMMYFUNCTION("""COMPUTED_VALUE"""),"Sharjah&gt;Al Mareija&gt;Loota Building Al Marija")</f>
        <v>Sharjah&gt;Al Mareija&gt;Loota Building Al Marija</v>
      </c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</row>
    <row r="4374" spans="1:26" ht="16.5" x14ac:dyDescent="0.35">
      <c r="A4374" s="2" t="str">
        <f ca="1">IFERROR(__xludf.DUMMYFUNCTION("""COMPUTED_VALUE"""),"Sharjah")</f>
        <v>Sharjah</v>
      </c>
      <c r="B4374" s="2" t="str">
        <f ca="1">IFERROR(__xludf.DUMMYFUNCTION("""COMPUTED_VALUE"""),"Blue Bay Walk")</f>
        <v>Blue Bay Walk</v>
      </c>
      <c r="C4374" s="2" t="str">
        <f ca="1">IFERROR(__xludf.DUMMYFUNCTION("""COMPUTED_VALUE"""),"Neighbourhood")</f>
        <v>Neighbourhood</v>
      </c>
      <c r="D4374" s="2" t="str">
        <f ca="1">IFERROR(__xludf.DUMMYFUNCTION("""COMPUTED_VALUE"""),"Sharjah&gt;Ajmal Makan City - Sharjah Waterfront&gt;Blue Bay Walk")</f>
        <v>Sharjah&gt;Ajmal Makan City - Sharjah Waterfront&gt;Blue Bay Walk</v>
      </c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</row>
    <row r="4375" spans="1:26" ht="16.5" x14ac:dyDescent="0.35">
      <c r="A4375" s="2" t="str">
        <f ca="1">IFERROR(__xludf.DUMMYFUNCTION("""COMPUTED_VALUE"""),"Sharjah")</f>
        <v>Sharjah</v>
      </c>
      <c r="B4375" s="2" t="str">
        <f ca="1">IFERROR(__xludf.DUMMYFUNCTION("""COMPUTED_VALUE"""),"Kshisha 4")</f>
        <v>Kshisha 4</v>
      </c>
      <c r="C4375" s="2" t="str">
        <f ca="1">IFERROR(__xludf.DUMMYFUNCTION("""COMPUTED_VALUE"""),"Neighbourhood")</f>
        <v>Neighbourhood</v>
      </c>
      <c r="D4375" s="2" t="str">
        <f ca="1">IFERROR(__xludf.DUMMYFUNCTION("""COMPUTED_VALUE"""),"Sharjah&gt;Al Rahmaniya&gt;Kshisha 4")</f>
        <v>Sharjah&gt;Al Rahmaniya&gt;Kshisha 4</v>
      </c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</row>
    <row r="4376" spans="1:26" ht="16.5" x14ac:dyDescent="0.35">
      <c r="A4376" s="2" t="str">
        <f ca="1">IFERROR(__xludf.DUMMYFUNCTION("""COMPUTED_VALUE"""),"Sharjah")</f>
        <v>Sharjah</v>
      </c>
      <c r="B4376" s="2" t="str">
        <f ca="1">IFERROR(__xludf.DUMMYFUNCTION("""COMPUTED_VALUE"""),"Jwezaa")</f>
        <v>Jwezaa</v>
      </c>
      <c r="C4376" s="2"/>
      <c r="D4376" s="2" t="str">
        <f ca="1">IFERROR(__xludf.DUMMYFUNCTION("""COMPUTED_VALUE"""),"Sharjah&gt;Jwezaa")</f>
        <v>Sharjah&gt;Jwezaa</v>
      </c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</row>
    <row r="4377" spans="1:26" ht="16.5" x14ac:dyDescent="0.35">
      <c r="A4377" s="2" t="str">
        <f ca="1">IFERROR(__xludf.DUMMYFUNCTION("""COMPUTED_VALUE"""),"Sharjah")</f>
        <v>Sharjah</v>
      </c>
      <c r="B4377" s="2" t="str">
        <f ca="1">IFERROR(__xludf.DUMMYFUNCTION("""COMPUTED_VALUE"""),"Al Waha Residence")</f>
        <v>Al Waha Residence</v>
      </c>
      <c r="C4377" s="2" t="str">
        <f ca="1">IFERROR(__xludf.DUMMYFUNCTION("""COMPUTED_VALUE"""),"Building")</f>
        <v>Building</v>
      </c>
      <c r="D4377" s="2" t="str">
        <f ca="1">IFERROR(__xludf.DUMMYFUNCTION("""COMPUTED_VALUE"""),"Sharjah&gt;Al Khan&gt;Al Waha Residence")</f>
        <v>Sharjah&gt;Al Khan&gt;Al Waha Residence</v>
      </c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</row>
    <row r="4378" spans="1:26" ht="16.5" x14ac:dyDescent="0.35">
      <c r="A4378" s="2" t="str">
        <f ca="1">IFERROR(__xludf.DUMMYFUNCTION("""COMPUTED_VALUE"""),"Sharjah")</f>
        <v>Sharjah</v>
      </c>
      <c r="B4378" s="2" t="str">
        <f ca="1">IFERROR(__xludf.DUMMYFUNCTION("""COMPUTED_VALUE"""),"Sama Residence")</f>
        <v>Sama Residence</v>
      </c>
      <c r="C4378" s="2" t="str">
        <f ca="1">IFERROR(__xludf.DUMMYFUNCTION("""COMPUTED_VALUE"""),"Building")</f>
        <v>Building</v>
      </c>
      <c r="D4378" s="2" t="str">
        <f ca="1">IFERROR(__xludf.DUMMYFUNCTION("""COMPUTED_VALUE"""),"Sharjah&gt;Al Khan&gt;Maryam Island&gt;Maryam Gate Residences&gt;Sama Residence")</f>
        <v>Sharjah&gt;Al Khan&gt;Maryam Island&gt;Maryam Gate Residences&gt;Sama Residence</v>
      </c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</row>
    <row r="4379" spans="1:26" ht="16.5" x14ac:dyDescent="0.35">
      <c r="A4379" s="2" t="str">
        <f ca="1">IFERROR(__xludf.DUMMYFUNCTION("""COMPUTED_VALUE"""),"Sharjah")</f>
        <v>Sharjah</v>
      </c>
      <c r="B4379" s="2" t="str">
        <f ca="1">IFERROR(__xludf.DUMMYFUNCTION("""COMPUTED_VALUE"""),"Al Wazan")</f>
        <v>Al Wazan</v>
      </c>
      <c r="C4379" s="2"/>
      <c r="D4379" s="2" t="str">
        <f ca="1">IFERROR(__xludf.DUMMYFUNCTION("""COMPUTED_VALUE"""),"Sharjah&gt;Al Khan&gt;Al Wazan")</f>
        <v>Sharjah&gt;Al Khan&gt;Al Wazan</v>
      </c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</row>
    <row r="4380" spans="1:26" ht="16.5" x14ac:dyDescent="0.35">
      <c r="A4380" s="2" t="str">
        <f ca="1">IFERROR(__xludf.DUMMYFUNCTION("""COMPUTED_VALUE"""),"Sharjah")</f>
        <v>Sharjah</v>
      </c>
      <c r="B4380" s="2" t="str">
        <f ca="1">IFERROR(__xludf.DUMMYFUNCTION("""COMPUTED_VALUE"""),"Riviera Tower")</f>
        <v>Riviera Tower</v>
      </c>
      <c r="C4380" s="2" t="str">
        <f ca="1">IFERROR(__xludf.DUMMYFUNCTION("""COMPUTED_VALUE"""),"Building")</f>
        <v>Building</v>
      </c>
      <c r="D4380" s="2" t="str">
        <f ca="1">IFERROR(__xludf.DUMMYFUNCTION("""COMPUTED_VALUE"""),"Sharjah&gt;Al Khan&gt;Riviera Tower")</f>
        <v>Sharjah&gt;Al Khan&gt;Riviera Tower</v>
      </c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</row>
    <row r="4381" spans="1:26" ht="16.5" x14ac:dyDescent="0.35">
      <c r="A4381" s="2" t="str">
        <f ca="1">IFERROR(__xludf.DUMMYFUNCTION("""COMPUTED_VALUE"""),"Sharjah")</f>
        <v>Sharjah</v>
      </c>
      <c r="B4381" s="2" t="str">
        <f ca="1">IFERROR(__xludf.DUMMYFUNCTION("""COMPUTED_VALUE"""),"Al Khwajah Building")</f>
        <v>Al Khwajah Building</v>
      </c>
      <c r="C4381" s="2"/>
      <c r="D4381" s="2" t="str">
        <f ca="1">IFERROR(__xludf.DUMMYFUNCTION("""COMPUTED_VALUE"""),"Sharjah&gt;Al Majaz&gt;Al Majaz 2&gt;Al Khwajah Building")</f>
        <v>Sharjah&gt;Al Majaz&gt;Al Majaz 2&gt;Al Khwajah Building</v>
      </c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</row>
    <row r="4382" spans="1:26" ht="16.5" x14ac:dyDescent="0.35">
      <c r="A4382" s="2" t="str">
        <f ca="1">IFERROR(__xludf.DUMMYFUNCTION("""COMPUTED_VALUE"""),"Sharjah")</f>
        <v>Sharjah</v>
      </c>
      <c r="B4382" s="2" t="str">
        <f ca="1">IFERROR(__xludf.DUMMYFUNCTION("""COMPUTED_VALUE"""),"Star Tower")</f>
        <v>Star Tower</v>
      </c>
      <c r="C4382" s="2"/>
      <c r="D4382" s="2" t="str">
        <f ca="1">IFERROR(__xludf.DUMMYFUNCTION("""COMPUTED_VALUE"""),"Sharjah&gt;Al Majaz&gt;Al Majaz 2&gt;Star Tower")</f>
        <v>Sharjah&gt;Al Majaz&gt;Al Majaz 2&gt;Star Tower</v>
      </c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</row>
    <row r="4383" spans="1:26" ht="16.5" x14ac:dyDescent="0.35">
      <c r="A4383" s="2" t="str">
        <f ca="1">IFERROR(__xludf.DUMMYFUNCTION("""COMPUTED_VALUE"""),"Sharjah")</f>
        <v>Sharjah</v>
      </c>
      <c r="B4383" s="2" t="str">
        <f ca="1">IFERROR(__xludf.DUMMYFUNCTION("""COMPUTED_VALUE"""),"Al Jazeera Building")</f>
        <v>Al Jazeera Building</v>
      </c>
      <c r="C4383" s="2"/>
      <c r="D4383" s="2" t="str">
        <f ca="1">IFERROR(__xludf.DUMMYFUNCTION("""COMPUTED_VALUE"""),"Sharjah&gt;Al Majaz&gt;Al Majaz 3&gt;Al Jazeera Building")</f>
        <v>Sharjah&gt;Al Majaz&gt;Al Majaz 3&gt;Al Jazeera Building</v>
      </c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</row>
    <row r="4384" spans="1:26" ht="16.5" x14ac:dyDescent="0.35">
      <c r="A4384" s="2" t="str">
        <f ca="1">IFERROR(__xludf.DUMMYFUNCTION("""COMPUTED_VALUE"""),"Sharjah")</f>
        <v>Sharjah</v>
      </c>
      <c r="B4384" s="2" t="str">
        <f ca="1">IFERROR(__xludf.DUMMYFUNCTION("""COMPUTED_VALUE"""),"Burj Al Owais Building")</f>
        <v>Burj Al Owais Building</v>
      </c>
      <c r="C4384" s="2"/>
      <c r="D4384" s="2" t="str">
        <f ca="1">IFERROR(__xludf.DUMMYFUNCTION("""COMPUTED_VALUE"""),"Sharjah&gt;Al Majaz&gt;Al Majaz 3&gt;Burj Al Owais Building")</f>
        <v>Sharjah&gt;Al Majaz&gt;Al Majaz 3&gt;Burj Al Owais Building</v>
      </c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</row>
    <row r="4385" spans="1:26" ht="16.5" x14ac:dyDescent="0.35">
      <c r="A4385" s="2" t="str">
        <f ca="1">IFERROR(__xludf.DUMMYFUNCTION("""COMPUTED_VALUE"""),"Sharjah")</f>
        <v>Sharjah</v>
      </c>
      <c r="B4385" s="2" t="str">
        <f ca="1">IFERROR(__xludf.DUMMYFUNCTION("""COMPUTED_VALUE"""),"Wedyan Building")</f>
        <v>Wedyan Building</v>
      </c>
      <c r="C4385" s="2"/>
      <c r="D4385" s="2" t="str">
        <f ca="1">IFERROR(__xludf.DUMMYFUNCTION("""COMPUTED_VALUE"""),"Sharjah&gt;Al Majaz&gt;Al Majaz 3&gt;Wedyan Building")</f>
        <v>Sharjah&gt;Al Majaz&gt;Al Majaz 3&gt;Wedyan Building</v>
      </c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</row>
    <row r="4386" spans="1:26" ht="16.5" x14ac:dyDescent="0.35">
      <c r="A4386" s="2" t="str">
        <f ca="1">IFERROR(__xludf.DUMMYFUNCTION("""COMPUTED_VALUE"""),"Sharjah")</f>
        <v>Sharjah</v>
      </c>
      <c r="B4386" s="2" t="str">
        <f ca="1">IFERROR(__xludf.DUMMYFUNCTION("""COMPUTED_VALUE"""),"Holiday International Hotel")</f>
        <v>Holiday International Hotel</v>
      </c>
      <c r="C4386" s="2"/>
      <c r="D4386" s="2" t="str">
        <f ca="1">IFERROR(__xludf.DUMMYFUNCTION("""COMPUTED_VALUE"""),"Sharjah&gt;Al Majaz&gt;Al Majaz 1&gt;Holiday International Hotel")</f>
        <v>Sharjah&gt;Al Majaz&gt;Al Majaz 1&gt;Holiday International Hotel</v>
      </c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</row>
    <row r="4387" spans="1:26" ht="16.5" x14ac:dyDescent="0.35">
      <c r="A4387" s="2" t="str">
        <f ca="1">IFERROR(__xludf.DUMMYFUNCTION("""COMPUTED_VALUE"""),"Sharjah")</f>
        <v>Sharjah</v>
      </c>
      <c r="B4387" s="2" t="str">
        <f ca="1">IFERROR(__xludf.DUMMYFUNCTION("""COMPUTED_VALUE"""),"Al Tay Hills")</f>
        <v>Al Tay Hills</v>
      </c>
      <c r="C4387" s="2" t="str">
        <f ca="1">IFERROR(__xludf.DUMMYFUNCTION("""COMPUTED_VALUE"""),"Neighbourhood")</f>
        <v>Neighbourhood</v>
      </c>
      <c r="D4387" s="2" t="str">
        <f ca="1">IFERROR(__xludf.DUMMYFUNCTION("""COMPUTED_VALUE"""),"Sharjah&gt;Al Tay West&gt;Al Tay Hills")</f>
        <v>Sharjah&gt;Al Tay West&gt;Al Tay Hills</v>
      </c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</row>
    <row r="4388" spans="1:26" ht="16.5" x14ac:dyDescent="0.35">
      <c r="A4388" s="2" t="str">
        <f ca="1">IFERROR(__xludf.DUMMYFUNCTION("""COMPUTED_VALUE"""),"Sharjah")</f>
        <v>Sharjah</v>
      </c>
      <c r="B4388" s="2" t="str">
        <f ca="1">IFERROR(__xludf.DUMMYFUNCTION("""COMPUTED_VALUE"""),"Al Waleed Tower")</f>
        <v>Al Waleed Tower</v>
      </c>
      <c r="C4388" s="2" t="str">
        <f ca="1">IFERROR(__xludf.DUMMYFUNCTION("""COMPUTED_VALUE"""),"Building")</f>
        <v>Building</v>
      </c>
      <c r="D4388" s="2" t="str">
        <f ca="1">IFERROR(__xludf.DUMMYFUNCTION("""COMPUTED_VALUE"""),"Sharjah&gt;Al Taawun&gt;Al Waleed Tower")</f>
        <v>Sharjah&gt;Al Taawun&gt;Al Waleed Tower</v>
      </c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</row>
    <row r="4389" spans="1:26" ht="16.5" x14ac:dyDescent="0.35">
      <c r="A4389" s="2" t="str">
        <f ca="1">IFERROR(__xludf.DUMMYFUNCTION("""COMPUTED_VALUE"""),"Sharjah")</f>
        <v>Sharjah</v>
      </c>
      <c r="B4389" s="2" t="str">
        <f ca="1">IFERROR(__xludf.DUMMYFUNCTION("""COMPUTED_VALUE"""),"MB2 Building")</f>
        <v>MB2 Building</v>
      </c>
      <c r="C4389" s="2"/>
      <c r="D4389" s="2" t="str">
        <f ca="1">IFERROR(__xludf.DUMMYFUNCTION("""COMPUTED_VALUE"""),"Sharjah&gt;Al Qasimia&gt;MB2 Building")</f>
        <v>Sharjah&gt;Al Qasimia&gt;MB2 Building</v>
      </c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</row>
    <row r="4390" spans="1:26" ht="16.5" x14ac:dyDescent="0.35">
      <c r="A4390" s="2" t="str">
        <f ca="1">IFERROR(__xludf.DUMMYFUNCTION("""COMPUTED_VALUE"""),"Sharjah")</f>
        <v>Sharjah</v>
      </c>
      <c r="B4390" s="2" t="str">
        <f ca="1">IFERROR(__xludf.DUMMYFUNCTION("""COMPUTED_VALUE"""),"Al Darwish Building")</f>
        <v>Al Darwish Building</v>
      </c>
      <c r="C4390" s="2" t="str">
        <f ca="1">IFERROR(__xludf.DUMMYFUNCTION("""COMPUTED_VALUE"""),"Building")</f>
        <v>Building</v>
      </c>
      <c r="D4390" s="2" t="str">
        <f ca="1">IFERROR(__xludf.DUMMYFUNCTION("""COMPUTED_VALUE"""),"Sharjah&gt;Al Qasimia&gt;Al Nad&gt;Al Darwish Building")</f>
        <v>Sharjah&gt;Al Qasimia&gt;Al Nad&gt;Al Darwish Building</v>
      </c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</row>
    <row r="4391" spans="1:26" ht="16.5" x14ac:dyDescent="0.35">
      <c r="A4391" s="2" t="str">
        <f ca="1">IFERROR(__xludf.DUMMYFUNCTION("""COMPUTED_VALUE"""),"Sharjah")</f>
        <v>Sharjah</v>
      </c>
      <c r="B4391" s="2" t="str">
        <f ca="1">IFERROR(__xludf.DUMMYFUNCTION("""COMPUTED_VALUE"""),"Hili Tower")</f>
        <v>Hili Tower</v>
      </c>
      <c r="C4391" s="2"/>
      <c r="D4391" s="2" t="str">
        <f ca="1">IFERROR(__xludf.DUMMYFUNCTION("""COMPUTED_VALUE"""),"Sharjah&gt;Al Qasimia&gt;Al Nad&gt;Hili Tower")</f>
        <v>Sharjah&gt;Al Qasimia&gt;Al Nad&gt;Hili Tower</v>
      </c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</row>
    <row r="4392" spans="1:26" ht="16.5" x14ac:dyDescent="0.35">
      <c r="A4392" s="2" t="str">
        <f ca="1">IFERROR(__xludf.DUMMYFUNCTION("""COMPUTED_VALUE"""),"Sharjah")</f>
        <v>Sharjah</v>
      </c>
      <c r="B4392" s="2" t="str">
        <f ca="1">IFERROR(__xludf.DUMMYFUNCTION("""COMPUTED_VALUE"""),"Shaq 1 Building")</f>
        <v>Shaq 1 Building</v>
      </c>
      <c r="C4392" s="2"/>
      <c r="D4392" s="2" t="str">
        <f ca="1">IFERROR(__xludf.DUMMYFUNCTION("""COMPUTED_VALUE"""),"Sharjah&gt;Al Qasimia&gt;Shaq 1 Building")</f>
        <v>Sharjah&gt;Al Qasimia&gt;Shaq 1 Building</v>
      </c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</row>
    <row r="4393" spans="1:26" ht="16.5" x14ac:dyDescent="0.35">
      <c r="A4393" s="2" t="str">
        <f ca="1">IFERROR(__xludf.DUMMYFUNCTION("""COMPUTED_VALUE"""),"Sharjah")</f>
        <v>Sharjah</v>
      </c>
      <c r="B4393" s="2" t="str">
        <f ca="1">IFERROR(__xludf.DUMMYFUNCTION("""COMPUTED_VALUE"""),"Al Zahraa tower")</f>
        <v>Al Zahraa tower</v>
      </c>
      <c r="C4393" s="2"/>
      <c r="D4393" s="2" t="str">
        <f ca="1">IFERROR(__xludf.DUMMYFUNCTION("""COMPUTED_VALUE"""),"Sharjah&gt;Al Nabba&gt;Al Zahraa tower")</f>
        <v>Sharjah&gt;Al Nabba&gt;Al Zahraa tower</v>
      </c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</row>
    <row r="4394" spans="1:26" ht="16.5" x14ac:dyDescent="0.35">
      <c r="A4394" s="2" t="str">
        <f ca="1">IFERROR(__xludf.DUMMYFUNCTION("""COMPUTED_VALUE"""),"Sharjah")</f>
        <v>Sharjah</v>
      </c>
      <c r="B4394" s="2" t="str">
        <f ca="1">IFERROR(__xludf.DUMMYFUNCTION("""COMPUTED_VALUE"""),"Al Mozon 2 Building")</f>
        <v>Al Mozon 2 Building</v>
      </c>
      <c r="C4394" s="2" t="str">
        <f ca="1">IFERROR(__xludf.DUMMYFUNCTION("""COMPUTED_VALUE"""),"Building")</f>
        <v>Building</v>
      </c>
      <c r="D4394" s="2" t="str">
        <f ca="1">IFERROR(__xludf.DUMMYFUNCTION("""COMPUTED_VALUE"""),"Sharjah&gt;Industrial Area&gt;Industrial Area 6&gt;Al Mozon 2 Building")</f>
        <v>Sharjah&gt;Industrial Area&gt;Industrial Area 6&gt;Al Mozon 2 Building</v>
      </c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</row>
    <row r="4395" spans="1:26" ht="16.5" x14ac:dyDescent="0.35">
      <c r="A4395" s="2" t="str">
        <f ca="1">IFERROR(__xludf.DUMMYFUNCTION("""COMPUTED_VALUE"""),"Sharjah")</f>
        <v>Sharjah</v>
      </c>
      <c r="B4395" s="2" t="str">
        <f ca="1">IFERROR(__xludf.DUMMYFUNCTION("""COMPUTED_VALUE"""),"Al Shamsi Building")</f>
        <v>Al Shamsi Building</v>
      </c>
      <c r="C4395" s="2" t="str">
        <f ca="1">IFERROR(__xludf.DUMMYFUNCTION("""COMPUTED_VALUE"""),"Building")</f>
        <v>Building</v>
      </c>
      <c r="D4395" s="2" t="str">
        <f ca="1">IFERROR(__xludf.DUMMYFUNCTION("""COMPUTED_VALUE"""),"Sharjah&gt;Industrial Area&gt;Al Shamsi Building")</f>
        <v>Sharjah&gt;Industrial Area&gt;Al Shamsi Building</v>
      </c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</row>
    <row r="4396" spans="1:26" ht="16.5" x14ac:dyDescent="0.35">
      <c r="A4396" s="2" t="str">
        <f ca="1">IFERROR(__xludf.DUMMYFUNCTION("""COMPUTED_VALUE"""),"Sharjah")</f>
        <v>Sharjah</v>
      </c>
      <c r="B4396" s="2" t="str">
        <f ca="1">IFERROR(__xludf.DUMMYFUNCTION("""COMPUTED_VALUE"""),"SN 1")</f>
        <v>SN 1</v>
      </c>
      <c r="C4396" s="2" t="str">
        <f ca="1">IFERROR(__xludf.DUMMYFUNCTION("""COMPUTED_VALUE"""),"Building")</f>
        <v>Building</v>
      </c>
      <c r="D4396" s="2" t="str">
        <f ca="1">IFERROR(__xludf.DUMMYFUNCTION("""COMPUTED_VALUE"""),"Sharjah&gt;Muwaileh&gt;Al Mamsha&gt;Souks Residential&gt;SN 1")</f>
        <v>Sharjah&gt;Muwaileh&gt;Al Mamsha&gt;Souks Residential&gt;SN 1</v>
      </c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</row>
    <row r="4397" spans="1:26" ht="16.5" x14ac:dyDescent="0.35">
      <c r="A4397" s="2" t="str">
        <f ca="1">IFERROR(__xludf.DUMMYFUNCTION("""COMPUTED_VALUE"""),"Sharjah")</f>
        <v>Sharjah</v>
      </c>
      <c r="B4397" s="2" t="str">
        <f ca="1">IFERROR(__xludf.DUMMYFUNCTION("""COMPUTED_VALUE"""),"Zohour")</f>
        <v>Zohour</v>
      </c>
      <c r="C4397" s="2" t="str">
        <f ca="1">IFERROR(__xludf.DUMMYFUNCTION("""COMPUTED_VALUE"""),"Cluster")</f>
        <v>Cluster</v>
      </c>
      <c r="D4397" s="2" t="str">
        <f ca="1">IFERROR(__xludf.DUMMYFUNCTION("""COMPUTED_VALUE"""),"Sharjah&gt;Muwaileh&gt;Al Zahia&gt;UpTown Al Zahia&gt;Zohour")</f>
        <v>Sharjah&gt;Muwaileh&gt;Al Zahia&gt;UpTown Al Zahia&gt;Zohour</v>
      </c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</row>
    <row r="4398" spans="1:26" ht="16.5" x14ac:dyDescent="0.35">
      <c r="A4398" s="2" t="str">
        <f ca="1">IFERROR(__xludf.DUMMYFUNCTION("""COMPUTED_VALUE"""),"Sharjah")</f>
        <v>Sharjah</v>
      </c>
      <c r="B4398" s="2" t="str">
        <f ca="1">IFERROR(__xludf.DUMMYFUNCTION("""COMPUTED_VALUE"""),"Sharjah British International School")</f>
        <v>Sharjah British International School</v>
      </c>
      <c r="C4398" s="2" t="str">
        <f ca="1">IFERROR(__xludf.DUMMYFUNCTION("""COMPUTED_VALUE"""),"School")</f>
        <v>School</v>
      </c>
      <c r="D4398" s="2" t="str">
        <f ca="1">IFERROR(__xludf.DUMMYFUNCTION("""COMPUTED_VALUE"""),"Sharjah&gt;Muwaileh Commercial&gt;Sharjah British International School")</f>
        <v>Sharjah&gt;Muwaileh Commercial&gt;Sharjah British International School</v>
      </c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</row>
    <row r="4399" spans="1:26" ht="16.5" x14ac:dyDescent="0.35">
      <c r="A4399" s="2" t="str">
        <f ca="1">IFERROR(__xludf.DUMMYFUNCTION("""COMPUTED_VALUE"""),"Sharjah")</f>
        <v>Sharjah</v>
      </c>
      <c r="B4399" s="2" t="str">
        <f ca="1">IFERROR(__xludf.DUMMYFUNCTION("""COMPUTED_VALUE"""),"Ibn Seena English High School, Sharjah")</f>
        <v>Ibn Seena English High School, Sharjah</v>
      </c>
      <c r="C4399" s="2" t="str">
        <f ca="1">IFERROR(__xludf.DUMMYFUNCTION("""COMPUTED_VALUE"""),"School")</f>
        <v>School</v>
      </c>
      <c r="D4399" s="2" t="str">
        <f ca="1">IFERROR(__xludf.DUMMYFUNCTION("""COMPUTED_VALUE"""),"Sharjah&gt;Muwaileh Commercial&gt;Shahba 2 Building&gt;Ibn Seena English High School, Sharjah")</f>
        <v>Sharjah&gt;Muwaileh Commercial&gt;Shahba 2 Building&gt;Ibn Seena English High School, Sharjah</v>
      </c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</row>
    <row r="4400" spans="1:26" ht="16.5" x14ac:dyDescent="0.35">
      <c r="A4400" s="2" t="str">
        <f ca="1">IFERROR(__xludf.DUMMYFUNCTION("""COMPUTED_VALUE"""),"Sharjah")</f>
        <v>Sharjah</v>
      </c>
      <c r="B4400" s="2" t="str">
        <f ca="1">IFERROR(__xludf.DUMMYFUNCTION("""COMPUTED_VALUE"""),"JK Building")</f>
        <v>JK Building</v>
      </c>
      <c r="C4400" s="2" t="str">
        <f ca="1">IFERROR(__xludf.DUMMYFUNCTION("""COMPUTED_VALUE"""),"Building")</f>
        <v>Building</v>
      </c>
      <c r="D4400" s="2" t="str">
        <f ca="1">IFERROR(__xludf.DUMMYFUNCTION("""COMPUTED_VALUE"""),"Sharjah&gt;Muwaileh Commercial&gt;JK Building")</f>
        <v>Sharjah&gt;Muwaileh Commercial&gt;JK Building</v>
      </c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</row>
    <row r="4401" spans="1:26" ht="16.5" x14ac:dyDescent="0.35">
      <c r="A4401" s="2" t="str">
        <f ca="1">IFERROR(__xludf.DUMMYFUNCTION("""COMPUTED_VALUE"""),"Al Ain")</f>
        <v>Al Ain</v>
      </c>
      <c r="B4401" s="2" t="str">
        <f ca="1">IFERROR(__xludf.DUMMYFUNCTION("""COMPUTED_VALUE"""),"Al Ain American School")</f>
        <v>Al Ain American School</v>
      </c>
      <c r="C4401" s="2" t="str">
        <f ca="1">IFERROR(__xludf.DUMMYFUNCTION("""COMPUTED_VALUE"""),"School")</f>
        <v>School</v>
      </c>
      <c r="D4401" s="2" t="str">
        <f ca="1">IFERROR(__xludf.DUMMYFUNCTION("""COMPUTED_VALUE"""),"Al Ain&gt;Asharij&gt;Al Ain American School")</f>
        <v>Al Ain&gt;Asharij&gt;Al Ain American School</v>
      </c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</row>
    <row r="4402" spans="1:26" ht="16.5" x14ac:dyDescent="0.35">
      <c r="A4402" s="2" t="str">
        <f ca="1">IFERROR(__xludf.DUMMYFUNCTION("""COMPUTED_VALUE"""),"Dubai")</f>
        <v>Dubai</v>
      </c>
      <c r="B4402" s="2" t="str">
        <f ca="1">IFERROR(__xludf.DUMMYFUNCTION("""COMPUTED_VALUE"""),"Dubai")</f>
        <v>Dubai</v>
      </c>
      <c r="C4402" s="2" t="str">
        <f ca="1">IFERROR(__xludf.DUMMYFUNCTION("""COMPUTED_VALUE"""),"Emirate")</f>
        <v>Emirate</v>
      </c>
      <c r="D4402" s="2" t="str">
        <f ca="1">IFERROR(__xludf.DUMMYFUNCTION("""COMPUTED_VALUE"""),"Dubai")</f>
        <v>Dubai</v>
      </c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</row>
    <row r="4403" spans="1:26" ht="16.5" x14ac:dyDescent="0.35">
      <c r="A4403" s="2" t="str">
        <f ca="1">IFERROR(__xludf.DUMMYFUNCTION("""COMPUTED_VALUE"""),"Dubai")</f>
        <v>Dubai</v>
      </c>
      <c r="B4403" s="2" t="str">
        <f ca="1">IFERROR(__xludf.DUMMYFUNCTION("""COMPUTED_VALUE"""),"Al Ghaith Warehouses")</f>
        <v>Al Ghaith Warehouses</v>
      </c>
      <c r="C4403" s="2" t="str">
        <f ca="1">IFERROR(__xludf.DUMMYFUNCTION("""COMPUTED_VALUE"""),"Building")</f>
        <v>Building</v>
      </c>
      <c r="D4403" s="2" t="str">
        <f ca="1">IFERROR(__xludf.DUMMYFUNCTION("""COMPUTED_VALUE"""),"Dubai&gt;Ras Al Khor&gt;Ras Al Khor Industrial&gt;Ras Al Khor Industrial 2&gt;Al Ghaith Warehouses")</f>
        <v>Dubai&gt;Ras Al Khor&gt;Ras Al Khor Industrial&gt;Ras Al Khor Industrial 2&gt;Al Ghaith Warehouses</v>
      </c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</row>
    <row r="4404" spans="1:26" ht="16.5" x14ac:dyDescent="0.35">
      <c r="A4404" s="2" t="str">
        <f ca="1">IFERROR(__xludf.DUMMYFUNCTION("""COMPUTED_VALUE"""),"Dubai")</f>
        <v>Dubai</v>
      </c>
      <c r="B4404" s="2" t="str">
        <f ca="1">IFERROR(__xludf.DUMMYFUNCTION("""COMPUTED_VALUE"""),"The Winchester School, Jebel Ali")</f>
        <v>The Winchester School, Jebel Ali</v>
      </c>
      <c r="C4404" s="2" t="str">
        <f ca="1">IFERROR(__xludf.DUMMYFUNCTION("""COMPUTED_VALUE"""),"School")</f>
        <v>School</v>
      </c>
      <c r="D4404" s="2" t="str">
        <f ca="1">IFERROR(__xludf.DUMMYFUNCTION("""COMPUTED_VALUE"""),"Dubai&gt;Jebel Ali&gt;The Winchester School, Jebel Ali")</f>
        <v>Dubai&gt;Jebel Ali&gt;The Winchester School, Jebel Ali</v>
      </c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</row>
    <row r="4405" spans="1:26" ht="16.5" x14ac:dyDescent="0.35">
      <c r="A4405" s="2" t="str">
        <f ca="1">IFERROR(__xludf.DUMMYFUNCTION("""COMPUTED_VALUE"""),"Dubai")</f>
        <v>Dubai</v>
      </c>
      <c r="B4405" s="2" t="str">
        <f ca="1">IFERROR(__xludf.DUMMYFUNCTION("""COMPUTED_VALUE"""),"Eleve by Deyaar")</f>
        <v>Eleve by Deyaar</v>
      </c>
      <c r="C4405" s="2" t="str">
        <f ca="1">IFERROR(__xludf.DUMMYFUNCTION("""COMPUTED_VALUE"""),"Building")</f>
        <v>Building</v>
      </c>
      <c r="D4405" s="2" t="str">
        <f ca="1">IFERROR(__xludf.DUMMYFUNCTION("""COMPUTED_VALUE"""),"Dubai&gt;Jebel Ali&gt;Downtown Jebel Ali&gt;Eleve by Deyaar")</f>
        <v>Dubai&gt;Jebel Ali&gt;Downtown Jebel Ali&gt;Eleve by Deyaar</v>
      </c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</row>
    <row r="4406" spans="1:26" ht="16.5" x14ac:dyDescent="0.35">
      <c r="A4406" s="2" t="str">
        <f ca="1">IFERROR(__xludf.DUMMYFUNCTION("""COMPUTED_VALUE"""),"Dubai")</f>
        <v>Dubai</v>
      </c>
      <c r="B4406" s="2" t="str">
        <f ca="1">IFERROR(__xludf.DUMMYFUNCTION("""COMPUTED_VALUE"""),"Premier Inn Hotel")</f>
        <v>Premier Inn Hotel</v>
      </c>
      <c r="C4406" s="2" t="str">
        <f ca="1">IFERROR(__xludf.DUMMYFUNCTION("""COMPUTED_VALUE"""),"Building")</f>
        <v>Building</v>
      </c>
      <c r="D4406" s="2" t="str">
        <f ca="1">IFERROR(__xludf.DUMMYFUNCTION("""COMPUTED_VALUE"""),"Dubai&gt;Jebel Ali&gt;Premier Inn Hotel")</f>
        <v>Dubai&gt;Jebel Ali&gt;Premier Inn Hotel</v>
      </c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</row>
    <row r="4407" spans="1:26" ht="16.5" x14ac:dyDescent="0.35">
      <c r="A4407" s="2" t="str">
        <f ca="1">IFERROR(__xludf.DUMMYFUNCTION("""COMPUTED_VALUE"""),"Dubai")</f>
        <v>Dubai</v>
      </c>
      <c r="B4407" s="2" t="str">
        <f ca="1">IFERROR(__xludf.DUMMYFUNCTION("""COMPUTED_VALUE"""),"Al Telal 17")</f>
        <v>Al Telal 17</v>
      </c>
      <c r="C4407" s="2" t="str">
        <f ca="1">IFERROR(__xludf.DUMMYFUNCTION("""COMPUTED_VALUE"""),"Building")</f>
        <v>Building</v>
      </c>
      <c r="D4407" s="2" t="str">
        <f ca="1">IFERROR(__xludf.DUMMYFUNCTION("""COMPUTED_VALUE"""),"Dubai&gt;Nad Al Hamar&gt;Al Telal 17")</f>
        <v>Dubai&gt;Nad Al Hamar&gt;Al Telal 17</v>
      </c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</row>
    <row r="4408" spans="1:26" ht="16.5" x14ac:dyDescent="0.35">
      <c r="A4408" s="2" t="str">
        <f ca="1">IFERROR(__xludf.DUMMYFUNCTION("""COMPUTED_VALUE"""),"Dubai")</f>
        <v>Dubai</v>
      </c>
      <c r="B4408" s="2" t="str">
        <f ca="1">IFERROR(__xludf.DUMMYFUNCTION("""COMPUTED_VALUE"""),"GEMS Dubai American Academy")</f>
        <v>GEMS Dubai American Academy</v>
      </c>
      <c r="C4408" s="2" t="str">
        <f ca="1">IFERROR(__xludf.DUMMYFUNCTION("""COMPUTED_VALUE"""),"School")</f>
        <v>School</v>
      </c>
      <c r="D4408" s="2" t="str">
        <f ca="1">IFERROR(__xludf.DUMMYFUNCTION("""COMPUTED_VALUE"""),"Dubai&gt;Al Barsha&gt;Al Barsha 1&gt;GEMS Dubai American Academy")</f>
        <v>Dubai&gt;Al Barsha&gt;Al Barsha 1&gt;GEMS Dubai American Academy</v>
      </c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</row>
    <row r="4409" spans="1:26" ht="16.5" x14ac:dyDescent="0.35">
      <c r="A4409" s="2" t="str">
        <f ca="1">IFERROR(__xludf.DUMMYFUNCTION("""COMPUTED_VALUE"""),"Dubai")</f>
        <v>Dubai</v>
      </c>
      <c r="B4409" s="2" t="str">
        <f ca="1">IFERROR(__xludf.DUMMYFUNCTION("""COMPUTED_VALUE"""),"MENA ApartHotel")</f>
        <v>MENA ApartHotel</v>
      </c>
      <c r="C4409" s="2" t="str">
        <f ca="1">IFERROR(__xludf.DUMMYFUNCTION("""COMPUTED_VALUE"""),"Building")</f>
        <v>Building</v>
      </c>
      <c r="D4409" s="2" t="str">
        <f ca="1">IFERROR(__xludf.DUMMYFUNCTION("""COMPUTED_VALUE"""),"Dubai&gt;Al Barsha&gt;Al Barsha 1&gt;MENA ApartHotel")</f>
        <v>Dubai&gt;Al Barsha&gt;Al Barsha 1&gt;MENA ApartHotel</v>
      </c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</row>
    <row r="4410" spans="1:26" ht="16.5" x14ac:dyDescent="0.35">
      <c r="A4410" s="2" t="str">
        <f ca="1">IFERROR(__xludf.DUMMYFUNCTION("""COMPUTED_VALUE"""),"Dubai")</f>
        <v>Dubai</v>
      </c>
      <c r="B4410" s="2" t="str">
        <f ca="1">IFERROR(__xludf.DUMMYFUNCTION("""COMPUTED_VALUE"""),"Emerald Court")</f>
        <v>Emerald Court</v>
      </c>
      <c r="C4410" s="2" t="str">
        <f ca="1">IFERROR(__xludf.DUMMYFUNCTION("""COMPUTED_VALUE"""),"Building")</f>
        <v>Building</v>
      </c>
      <c r="D4410" s="2" t="str">
        <f ca="1">IFERROR(__xludf.DUMMYFUNCTION("""COMPUTED_VALUE"""),"Dubai&gt;Al Barsha&gt;Al Barsha 1&gt;Emerald Court")</f>
        <v>Dubai&gt;Al Barsha&gt;Al Barsha 1&gt;Emerald Court</v>
      </c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</row>
    <row r="4411" spans="1:26" ht="16.5" x14ac:dyDescent="0.35">
      <c r="A4411" s="2" t="str">
        <f ca="1">IFERROR(__xludf.DUMMYFUNCTION("""COMPUTED_VALUE"""),"Dubai")</f>
        <v>Dubai</v>
      </c>
      <c r="B4411" s="2" t="str">
        <f ca="1">IFERROR(__xludf.DUMMYFUNCTION("""COMPUTED_VALUE"""),"Al Samrya")</f>
        <v>Al Samrya</v>
      </c>
      <c r="C4411" s="2" t="str">
        <f ca="1">IFERROR(__xludf.DUMMYFUNCTION("""COMPUTED_VALUE"""),"Building")</f>
        <v>Building</v>
      </c>
      <c r="D4411" s="2" t="str">
        <f ca="1">IFERROR(__xludf.DUMMYFUNCTION("""COMPUTED_VALUE"""),"Dubai&gt;Al Barsha&gt;Al Barsha 1&gt;Al Samrya")</f>
        <v>Dubai&gt;Al Barsha&gt;Al Barsha 1&gt;Al Samrya</v>
      </c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</row>
    <row r="4412" spans="1:26" ht="16.5" x14ac:dyDescent="0.35">
      <c r="A4412" s="2" t="str">
        <f ca="1">IFERROR(__xludf.DUMMYFUNCTION("""COMPUTED_VALUE"""),"Dubai")</f>
        <v>Dubai</v>
      </c>
      <c r="B4412" s="2" t="str">
        <f ca="1">IFERROR(__xludf.DUMMYFUNCTION("""COMPUTED_VALUE"""),"Bin Kleib Building")</f>
        <v>Bin Kleib Building</v>
      </c>
      <c r="C4412" s="2" t="str">
        <f ca="1">IFERROR(__xludf.DUMMYFUNCTION("""COMPUTED_VALUE"""),"Building")</f>
        <v>Building</v>
      </c>
      <c r="D4412" s="2" t="str">
        <f ca="1">IFERROR(__xludf.DUMMYFUNCTION("""COMPUTED_VALUE"""),"Dubai&gt;Al Barsha&gt;Al Barsha 1&gt;Bin Kleib Building")</f>
        <v>Dubai&gt;Al Barsha&gt;Al Barsha 1&gt;Bin Kleib Building</v>
      </c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</row>
    <row r="4413" spans="1:26" ht="16.5" x14ac:dyDescent="0.35">
      <c r="A4413" s="2" t="str">
        <f ca="1">IFERROR(__xludf.DUMMYFUNCTION("""COMPUTED_VALUE"""),"Dubai")</f>
        <v>Dubai</v>
      </c>
      <c r="B4413" s="2" t="str">
        <f ca="1">IFERROR(__xludf.DUMMYFUNCTION("""COMPUTED_VALUE"""),"Centro by Rotana")</f>
        <v>Centro by Rotana</v>
      </c>
      <c r="C4413" s="2" t="str">
        <f ca="1">IFERROR(__xludf.DUMMYFUNCTION("""COMPUTED_VALUE"""),"Building")</f>
        <v>Building</v>
      </c>
      <c r="D4413" s="2" t="str">
        <f ca="1">IFERROR(__xludf.DUMMYFUNCTION("""COMPUTED_VALUE"""),"Dubai&gt;Al Barsha&gt;Al Barsha 1&gt;Centro by Rotana")</f>
        <v>Dubai&gt;Al Barsha&gt;Al Barsha 1&gt;Centro by Rotana</v>
      </c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</row>
    <row r="4414" spans="1:26" ht="16.5" x14ac:dyDescent="0.35">
      <c r="A4414" s="2" t="str">
        <f ca="1">IFERROR(__xludf.DUMMYFUNCTION("""COMPUTED_VALUE"""),"Dubai")</f>
        <v>Dubai</v>
      </c>
      <c r="B4414" s="2" t="str">
        <f ca="1">IFERROR(__xludf.DUMMYFUNCTION("""COMPUTED_VALUE"""),"Intercon Building")</f>
        <v>Intercon Building</v>
      </c>
      <c r="C4414" s="2" t="str">
        <f ca="1">IFERROR(__xludf.DUMMYFUNCTION("""COMPUTED_VALUE"""),"Building")</f>
        <v>Building</v>
      </c>
      <c r="D4414" s="2" t="str">
        <f ca="1">IFERROR(__xludf.DUMMYFUNCTION("""COMPUTED_VALUE"""),"Dubai&gt;Al Barsha&gt;Al Barsha 1&gt;Intercon Building")</f>
        <v>Dubai&gt;Al Barsha&gt;Al Barsha 1&gt;Intercon Building</v>
      </c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</row>
    <row r="4415" spans="1:26" ht="16.5" x14ac:dyDescent="0.35">
      <c r="A4415" s="2" t="str">
        <f ca="1">IFERROR(__xludf.DUMMYFUNCTION("""COMPUTED_VALUE"""),"Dubai")</f>
        <v>Dubai</v>
      </c>
      <c r="B4415" s="2" t="str">
        <f ca="1">IFERROR(__xludf.DUMMYFUNCTION("""COMPUTED_VALUE"""),"Rose 1 Building")</f>
        <v>Rose 1 Building</v>
      </c>
      <c r="C4415" s="2" t="str">
        <f ca="1">IFERROR(__xludf.DUMMYFUNCTION("""COMPUTED_VALUE"""),"Building")</f>
        <v>Building</v>
      </c>
      <c r="D4415" s="2" t="str">
        <f ca="1">IFERROR(__xludf.DUMMYFUNCTION("""COMPUTED_VALUE"""),"Dubai&gt;Al Barsha&gt;Al Barsha 1&gt;Rose 1 Building")</f>
        <v>Dubai&gt;Al Barsha&gt;Al Barsha 1&gt;Rose 1 Building</v>
      </c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</row>
    <row r="4416" spans="1:26" ht="16.5" x14ac:dyDescent="0.35">
      <c r="A4416" s="2" t="str">
        <f ca="1">IFERROR(__xludf.DUMMYFUNCTION("""COMPUTED_VALUE"""),"Dubai")</f>
        <v>Dubai</v>
      </c>
      <c r="B4416" s="2" t="str">
        <f ca="1">IFERROR(__xludf.DUMMYFUNCTION("""COMPUTED_VALUE"""),"Grand Cosmopolitan Hotel")</f>
        <v>Grand Cosmopolitan Hotel</v>
      </c>
      <c r="C4416" s="2" t="str">
        <f ca="1">IFERROR(__xludf.DUMMYFUNCTION("""COMPUTED_VALUE"""),"Building")</f>
        <v>Building</v>
      </c>
      <c r="D4416" s="2" t="str">
        <f ca="1">IFERROR(__xludf.DUMMYFUNCTION("""COMPUTED_VALUE"""),"Dubai&gt;Al Barsha&gt;Al Barsha 1&gt;Grand Cosmopolitan Hotel")</f>
        <v>Dubai&gt;Al Barsha&gt;Al Barsha 1&gt;Grand Cosmopolitan Hotel</v>
      </c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</row>
    <row r="4417" spans="1:26" ht="16.5" x14ac:dyDescent="0.35">
      <c r="A4417" s="2" t="str">
        <f ca="1">IFERROR(__xludf.DUMMYFUNCTION("""COMPUTED_VALUE"""),"Dubai")</f>
        <v>Dubai</v>
      </c>
      <c r="B4417" s="2" t="str">
        <f ca="1">IFERROR(__xludf.DUMMYFUNCTION("""COMPUTED_VALUE"""),"Al Falasi Building")</f>
        <v>Al Falasi Building</v>
      </c>
      <c r="C4417" s="2" t="str">
        <f ca="1">IFERROR(__xludf.DUMMYFUNCTION("""COMPUTED_VALUE"""),"Building")</f>
        <v>Building</v>
      </c>
      <c r="D4417" s="2" t="str">
        <f ca="1">IFERROR(__xludf.DUMMYFUNCTION("""COMPUTED_VALUE"""),"Dubai&gt;Al Barsha&gt;Al Barsha 1&gt;Al Falasi Building")</f>
        <v>Dubai&gt;Al Barsha&gt;Al Barsha 1&gt;Al Falasi Building</v>
      </c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</row>
    <row r="4418" spans="1:26" ht="16.5" x14ac:dyDescent="0.35">
      <c r="A4418" s="2" t="str">
        <f ca="1">IFERROR(__xludf.DUMMYFUNCTION("""COMPUTED_VALUE"""),"Dubai")</f>
        <v>Dubai</v>
      </c>
      <c r="B4418" s="2" t="str">
        <f ca="1">IFERROR(__xludf.DUMMYFUNCTION("""COMPUTED_VALUE"""),"BLVD Heights Podium")</f>
        <v>BLVD Heights Podium</v>
      </c>
      <c r="C4418" s="2" t="str">
        <f ca="1">IFERROR(__xludf.DUMMYFUNCTION("""COMPUTED_VALUE"""),"Building")</f>
        <v>Building</v>
      </c>
      <c r="D4418" s="2" t="str">
        <f ca="1">IFERROR(__xludf.DUMMYFUNCTION("""COMPUTED_VALUE"""),"Dubai&gt;Downtown Dubai&gt;BLVD Heights&gt;BLVD Heights Podium")</f>
        <v>Dubai&gt;Downtown Dubai&gt;BLVD Heights&gt;BLVD Heights Podium</v>
      </c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</row>
    <row r="4419" spans="1:26" ht="16.5" x14ac:dyDescent="0.35">
      <c r="A4419" s="2" t="str">
        <f ca="1">IFERROR(__xludf.DUMMYFUNCTION("""COMPUTED_VALUE"""),"Dubai")</f>
        <v>Dubai</v>
      </c>
      <c r="B4419" s="2" t="str">
        <f ca="1">IFERROR(__xludf.DUMMYFUNCTION("""COMPUTED_VALUE"""),"Emaar Square Building 2")</f>
        <v>Emaar Square Building 2</v>
      </c>
      <c r="C4419" s="2" t="str">
        <f ca="1">IFERROR(__xludf.DUMMYFUNCTION("""COMPUTED_VALUE"""),"Building")</f>
        <v>Building</v>
      </c>
      <c r="D4419" s="2" t="str">
        <f ca="1">IFERROR(__xludf.DUMMYFUNCTION("""COMPUTED_VALUE"""),"Dubai&gt;Downtown Dubai&gt;Emaar Square&gt;Emaar Square Building 2")</f>
        <v>Dubai&gt;Downtown Dubai&gt;Emaar Square&gt;Emaar Square Building 2</v>
      </c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</row>
    <row r="4420" spans="1:26" ht="16.5" x14ac:dyDescent="0.35">
      <c r="A4420" s="2" t="str">
        <f ca="1">IFERROR(__xludf.DUMMYFUNCTION("""COMPUTED_VALUE"""),"Dubai")</f>
        <v>Dubai</v>
      </c>
      <c r="B4420" s="2" t="str">
        <f ca="1">IFERROR(__xludf.DUMMYFUNCTION("""COMPUTED_VALUE"""),"Saaha Offices Block A")</f>
        <v>Saaha Offices Block A</v>
      </c>
      <c r="C4420" s="2" t="str">
        <f ca="1">IFERROR(__xludf.DUMMYFUNCTION("""COMPUTED_VALUE"""),"Building")</f>
        <v>Building</v>
      </c>
      <c r="D4420" s="2" t="str">
        <f ca="1">IFERROR(__xludf.DUMMYFUNCTION("""COMPUTED_VALUE"""),"Dubai&gt;Downtown Dubai&gt;The Old Town Island&gt;Al Saaha Offices&gt;Saaha Offices Block A")</f>
        <v>Dubai&gt;Downtown Dubai&gt;The Old Town Island&gt;Al Saaha Offices&gt;Saaha Offices Block A</v>
      </c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</row>
    <row r="4421" spans="1:26" ht="16.5" x14ac:dyDescent="0.35">
      <c r="A4421" s="2" t="str">
        <f ca="1">IFERROR(__xludf.DUMMYFUNCTION("""COMPUTED_VALUE"""),"Dubai")</f>
        <v>Dubai</v>
      </c>
      <c r="B4421" s="2" t="str">
        <f ca="1">IFERROR(__xludf.DUMMYFUNCTION("""COMPUTED_VALUE"""),"Elite Downtown Residence 1")</f>
        <v>Elite Downtown Residence 1</v>
      </c>
      <c r="C4421" s="2" t="str">
        <f ca="1">IFERROR(__xludf.DUMMYFUNCTION("""COMPUTED_VALUE"""),"Building")</f>
        <v>Building</v>
      </c>
      <c r="D4421" s="2" t="str">
        <f ca="1">IFERROR(__xludf.DUMMYFUNCTION("""COMPUTED_VALUE"""),"Dubai&gt;Downtown Dubai&gt;Elite Downtown Residence&gt;Elite Downtown Residence 1")</f>
        <v>Dubai&gt;Downtown Dubai&gt;Elite Downtown Residence&gt;Elite Downtown Residence 1</v>
      </c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</row>
    <row r="4422" spans="1:26" ht="16.5" x14ac:dyDescent="0.35">
      <c r="A4422" s="2" t="str">
        <f ca="1">IFERROR(__xludf.DUMMYFUNCTION("""COMPUTED_VALUE"""),"Dubai")</f>
        <v>Dubai</v>
      </c>
      <c r="B4422" s="2" t="str">
        <f ca="1">IFERROR(__xludf.DUMMYFUNCTION("""COMPUTED_VALUE"""),"Reehan 2")</f>
        <v>Reehan 2</v>
      </c>
      <c r="C4422" s="2" t="str">
        <f ca="1">IFERROR(__xludf.DUMMYFUNCTION("""COMPUTED_VALUE"""),"Building")</f>
        <v>Building</v>
      </c>
      <c r="D4422" s="2" t="str">
        <f ca="1">IFERROR(__xludf.DUMMYFUNCTION("""COMPUTED_VALUE"""),"Dubai&gt;Downtown Dubai&gt;Old Town&gt;Reehan&gt;Reehan 2")</f>
        <v>Dubai&gt;Downtown Dubai&gt;Old Town&gt;Reehan&gt;Reehan 2</v>
      </c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</row>
    <row r="4423" spans="1:26" ht="16.5" x14ac:dyDescent="0.35">
      <c r="A4423" s="2" t="str">
        <f ca="1">IFERROR(__xludf.DUMMYFUNCTION("""COMPUTED_VALUE"""),"Dubai")</f>
        <v>Dubai</v>
      </c>
      <c r="B4423" s="2" t="str">
        <f ca="1">IFERROR(__xludf.DUMMYFUNCTION("""COMPUTED_VALUE"""),"Standard Chartered Bank Tower")</f>
        <v>Standard Chartered Bank Tower</v>
      </c>
      <c r="C4423" s="2" t="str">
        <f ca="1">IFERROR(__xludf.DUMMYFUNCTION("""COMPUTED_VALUE"""),"Building")</f>
        <v>Building</v>
      </c>
      <c r="D4423" s="2" t="str">
        <f ca="1">IFERROR(__xludf.DUMMYFUNCTION("""COMPUTED_VALUE"""),"Dubai&gt;Downtown Dubai&gt;Standard Chartered Bank Tower")</f>
        <v>Dubai&gt;Downtown Dubai&gt;Standard Chartered Bank Tower</v>
      </c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</row>
    <row r="4424" spans="1:26" ht="16.5" x14ac:dyDescent="0.35">
      <c r="A4424" s="2" t="str">
        <f ca="1">IFERROR(__xludf.DUMMYFUNCTION("""COMPUTED_VALUE"""),"Dubai")</f>
        <v>Dubai</v>
      </c>
      <c r="B4424" s="2" t="str">
        <f ca="1">IFERROR(__xludf.DUMMYFUNCTION("""COMPUTED_VALUE"""),"Inaura Hotels &amp; Residences")</f>
        <v>Inaura Hotels &amp; Residences</v>
      </c>
      <c r="C4424" s="2" t="str">
        <f ca="1">IFERROR(__xludf.DUMMYFUNCTION("""COMPUTED_VALUE"""),"Building")</f>
        <v>Building</v>
      </c>
      <c r="D4424" s="2" t="str">
        <f ca="1">IFERROR(__xludf.DUMMYFUNCTION("""COMPUTED_VALUE"""),"Dubai&gt;Downtown Dubai&gt;Inaura Hotels &amp; Residences")</f>
        <v>Dubai&gt;Downtown Dubai&gt;Inaura Hotels &amp; Residences</v>
      </c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</row>
    <row r="4425" spans="1:26" ht="16.5" x14ac:dyDescent="0.35">
      <c r="A4425" s="2" t="str">
        <f ca="1">IFERROR(__xludf.DUMMYFUNCTION("""COMPUTED_VALUE"""),"Dubai")</f>
        <v>Dubai</v>
      </c>
      <c r="B4425" s="2" t="str">
        <f ca="1">IFERROR(__xludf.DUMMYFUNCTION("""COMPUTED_VALUE"""),"Mazaya 2")</f>
        <v>Mazaya 2</v>
      </c>
      <c r="C4425" s="2" t="str">
        <f ca="1">IFERROR(__xludf.DUMMYFUNCTION("""COMPUTED_VALUE"""),"Building")</f>
        <v>Building</v>
      </c>
      <c r="D4425" s="2" t="str">
        <f ca="1">IFERROR(__xludf.DUMMYFUNCTION("""COMPUTED_VALUE"""),"Dubai&gt;Liwan&gt;Queue Point&gt;Mazaya 2")</f>
        <v>Dubai&gt;Liwan&gt;Queue Point&gt;Mazaya 2</v>
      </c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</row>
    <row r="4426" spans="1:26" ht="16.5" x14ac:dyDescent="0.35">
      <c r="A4426" s="2" t="str">
        <f ca="1">IFERROR(__xludf.DUMMYFUNCTION("""COMPUTED_VALUE"""),"Dubai")</f>
        <v>Dubai</v>
      </c>
      <c r="B4426" s="2" t="str">
        <f ca="1">IFERROR(__xludf.DUMMYFUNCTION("""COMPUTED_VALUE"""),"Confident Lancaster")</f>
        <v>Confident Lancaster</v>
      </c>
      <c r="C4426" s="2" t="str">
        <f ca="1">IFERROR(__xludf.DUMMYFUNCTION("""COMPUTED_VALUE"""),"Building")</f>
        <v>Building</v>
      </c>
      <c r="D4426" s="2" t="str">
        <f ca="1">IFERROR(__xludf.DUMMYFUNCTION("""COMPUTED_VALUE"""),"Dubai&gt;Liwan&gt;Queue Point&gt;Confident Lancaster")</f>
        <v>Dubai&gt;Liwan&gt;Queue Point&gt;Confident Lancaster</v>
      </c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</row>
    <row r="4427" spans="1:26" ht="16.5" x14ac:dyDescent="0.35">
      <c r="A4427" s="2" t="str">
        <f ca="1">IFERROR(__xludf.DUMMYFUNCTION("""COMPUTED_VALUE"""),"Dubai")</f>
        <v>Dubai</v>
      </c>
      <c r="B4427" s="2" t="str">
        <f ca="1">IFERROR(__xludf.DUMMYFUNCTION("""COMPUTED_VALUE"""),"Al Jafiliya")</f>
        <v>Al Jafiliya</v>
      </c>
      <c r="C4427" s="2" t="str">
        <f ca="1">IFERROR(__xludf.DUMMYFUNCTION("""COMPUTED_VALUE"""),"Neighbourhood")</f>
        <v>Neighbourhood</v>
      </c>
      <c r="D4427" s="2" t="str">
        <f ca="1">IFERROR(__xludf.DUMMYFUNCTION("""COMPUTED_VALUE"""),"Dubai&gt;Al Jafiliya")</f>
        <v>Dubai&gt;Al Jafiliya</v>
      </c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</row>
    <row r="4428" spans="1:26" ht="16.5" x14ac:dyDescent="0.35">
      <c r="A4428" s="2" t="str">
        <f ca="1">IFERROR(__xludf.DUMMYFUNCTION("""COMPUTED_VALUE"""),"Dubai")</f>
        <v>Dubai</v>
      </c>
      <c r="B4428" s="2" t="str">
        <f ca="1">IFERROR(__xludf.DUMMYFUNCTION("""COMPUTED_VALUE"""),"Park Tower B")</f>
        <v>Park Tower B</v>
      </c>
      <c r="C4428" s="2" t="str">
        <f ca="1">IFERROR(__xludf.DUMMYFUNCTION("""COMPUTED_VALUE"""),"Building")</f>
        <v>Building</v>
      </c>
      <c r="D4428" s="2" t="str">
        <f ca="1">IFERROR(__xludf.DUMMYFUNCTION("""COMPUTED_VALUE"""),"Dubai&gt;DIFC&gt;Park Towers&gt;Park Tower B")</f>
        <v>Dubai&gt;DIFC&gt;Park Towers&gt;Park Tower B</v>
      </c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</row>
    <row r="4429" spans="1:26" ht="16.5" x14ac:dyDescent="0.35">
      <c r="A4429" s="2" t="str">
        <f ca="1">IFERROR(__xludf.DUMMYFUNCTION("""COMPUTED_VALUE"""),"Dubai")</f>
        <v>Dubai</v>
      </c>
      <c r="B4429" s="2" t="str">
        <f ca="1">IFERROR(__xludf.DUMMYFUNCTION("""COMPUTED_VALUE"""),"Four Seasons Private Residences")</f>
        <v>Four Seasons Private Residences</v>
      </c>
      <c r="C4429" s="2" t="str">
        <f ca="1">IFERROR(__xludf.DUMMYFUNCTION("""COMPUTED_VALUE"""),"Building")</f>
        <v>Building</v>
      </c>
      <c r="D4429" s="2" t="str">
        <f ca="1">IFERROR(__xludf.DUMMYFUNCTION("""COMPUTED_VALUE"""),"Dubai&gt;DIFC&gt;Eden House Za'abeel&gt;Four Seasons Private Residences")</f>
        <v>Dubai&gt;DIFC&gt;Eden House Za'abeel&gt;Four Seasons Private Residences</v>
      </c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</row>
    <row r="4430" spans="1:26" ht="16.5" x14ac:dyDescent="0.35">
      <c r="A4430" s="2" t="str">
        <f ca="1">IFERROR(__xludf.DUMMYFUNCTION("""COMPUTED_VALUE"""),"Dubai")</f>
        <v>Dubai</v>
      </c>
      <c r="B4430" s="2" t="str">
        <f ca="1">IFERROR(__xludf.DUMMYFUNCTION("""COMPUTED_VALUE"""),"Our Own High School Al Warqa’a")</f>
        <v>Our Own High School Al Warqa’a</v>
      </c>
      <c r="C4430" s="2" t="str">
        <f ca="1">IFERROR(__xludf.DUMMYFUNCTION("""COMPUTED_VALUE"""),"School")</f>
        <v>School</v>
      </c>
      <c r="D4430" s="2" t="str">
        <f ca="1">IFERROR(__xludf.DUMMYFUNCTION("""COMPUTED_VALUE"""),"Dubai&gt;Al Warqaa&gt;Al Warqaa 1&gt;Our Own High School Al Warqa’a")</f>
        <v>Dubai&gt;Al Warqaa&gt;Al Warqaa 1&gt;Our Own High School Al Warqa’a</v>
      </c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</row>
    <row r="4431" spans="1:26" ht="16.5" x14ac:dyDescent="0.35">
      <c r="A4431" s="2" t="str">
        <f ca="1">IFERROR(__xludf.DUMMYFUNCTION("""COMPUTED_VALUE"""),"Dubai")</f>
        <v>Dubai</v>
      </c>
      <c r="B4431" s="2" t="str">
        <f ca="1">IFERROR(__xludf.DUMMYFUNCTION("""COMPUTED_VALUE"""),"Dutco Building")</f>
        <v>Dutco Building</v>
      </c>
      <c r="C4431" s="2" t="str">
        <f ca="1">IFERROR(__xludf.DUMMYFUNCTION("""COMPUTED_VALUE"""),"Building")</f>
        <v>Building</v>
      </c>
      <c r="D4431" s="2" t="str">
        <f ca="1">IFERROR(__xludf.DUMMYFUNCTION("""COMPUTED_VALUE"""),"Dubai&gt;Al Warqaa&gt;Al Warqaa 1&gt;Dutco Building")</f>
        <v>Dubai&gt;Al Warqaa&gt;Al Warqaa 1&gt;Dutco Building</v>
      </c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</row>
    <row r="4432" spans="1:26" ht="16.5" x14ac:dyDescent="0.35">
      <c r="A4432" s="2" t="str">
        <f ca="1">IFERROR(__xludf.DUMMYFUNCTION("""COMPUTED_VALUE"""),"Dubai")</f>
        <v>Dubai</v>
      </c>
      <c r="B4432" s="2" t="str">
        <f ca="1">IFERROR(__xludf.DUMMYFUNCTION("""COMPUTED_VALUE"""),"Rashed Abdulla Mohd Saeed Bin Humaidan Building")</f>
        <v>Rashed Abdulla Mohd Saeed Bin Humaidan Building</v>
      </c>
      <c r="C4432" s="2" t="str">
        <f ca="1">IFERROR(__xludf.DUMMYFUNCTION("""COMPUTED_VALUE"""),"Building")</f>
        <v>Building</v>
      </c>
      <c r="D4432" s="2" t="str">
        <f ca="1">IFERROR(__xludf.DUMMYFUNCTION("""COMPUTED_VALUE"""),"Dubai&gt;Al Warqaa&gt;Al Warqaa 1&gt;Rashed Abdulla Mohd Saeed Bin Humaidan Building")</f>
        <v>Dubai&gt;Al Warqaa&gt;Al Warqaa 1&gt;Rashed Abdulla Mohd Saeed Bin Humaidan Building</v>
      </c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</row>
    <row r="4433" spans="1:26" ht="16.5" x14ac:dyDescent="0.35">
      <c r="A4433" s="2" t="str">
        <f ca="1">IFERROR(__xludf.DUMMYFUNCTION("""COMPUTED_VALUE"""),"Dubai")</f>
        <v>Dubai</v>
      </c>
      <c r="B4433" s="2" t="str">
        <f ca="1">IFERROR(__xludf.DUMMYFUNCTION("""COMPUTED_VALUE"""),"Al Warqa 3 Building")</f>
        <v>Al Warqa 3 Building</v>
      </c>
      <c r="C4433" s="2" t="str">
        <f ca="1">IFERROR(__xludf.DUMMYFUNCTION("""COMPUTED_VALUE"""),"Building")</f>
        <v>Building</v>
      </c>
      <c r="D4433" s="2" t="str">
        <f ca="1">IFERROR(__xludf.DUMMYFUNCTION("""COMPUTED_VALUE"""),"Dubai&gt;Al Warqaa&gt;Al Warqaa 1&gt;Al Warqa 3 Building")</f>
        <v>Dubai&gt;Al Warqaa&gt;Al Warqaa 1&gt;Al Warqa 3 Building</v>
      </c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</row>
    <row r="4434" spans="1:26" ht="16.5" x14ac:dyDescent="0.35">
      <c r="A4434" s="2" t="str">
        <f ca="1">IFERROR(__xludf.DUMMYFUNCTION("""COMPUTED_VALUE"""),"Dubai")</f>
        <v>Dubai</v>
      </c>
      <c r="B4434" s="2" t="str">
        <f ca="1">IFERROR(__xludf.DUMMYFUNCTION("""COMPUTED_VALUE"""),"Mazaya Business Avenue BB-2")</f>
        <v>Mazaya Business Avenue BB-2</v>
      </c>
      <c r="C4434" s="2" t="str">
        <f ca="1">IFERROR(__xludf.DUMMYFUNCTION("""COMPUTED_VALUE"""),"Building")</f>
        <v>Building</v>
      </c>
      <c r="D4434" s="2" t="str">
        <f ca="1">IFERROR(__xludf.DUMMYFUNCTION("""COMPUTED_VALUE"""),"Dubai&gt;Jumeirah Lake Towers (JLT)&gt;Mazaya Business Avenue&gt;Mazaya Business Avenue BB-2")</f>
        <v>Dubai&gt;Jumeirah Lake Towers (JLT)&gt;Mazaya Business Avenue&gt;Mazaya Business Avenue BB-2</v>
      </c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</row>
    <row r="4435" spans="1:26" ht="16.5" x14ac:dyDescent="0.35">
      <c r="A4435" s="2" t="str">
        <f ca="1">IFERROR(__xludf.DUMMYFUNCTION("""COMPUTED_VALUE"""),"Dubai")</f>
        <v>Dubai</v>
      </c>
      <c r="B4435" s="2" t="str">
        <f ca="1">IFERROR(__xludf.DUMMYFUNCTION("""COMPUTED_VALUE"""),"Me Do Re 2")</f>
        <v>Me Do Re 2</v>
      </c>
      <c r="C4435" s="2" t="str">
        <f ca="1">IFERROR(__xludf.DUMMYFUNCTION("""COMPUTED_VALUE"""),"Building")</f>
        <v>Building</v>
      </c>
      <c r="D4435" s="2" t="str">
        <f ca="1">IFERROR(__xludf.DUMMYFUNCTION("""COMPUTED_VALUE"""),"Dubai&gt;Jumeirah Lake Towers (JLT)&gt;JLT Cluster G&gt;Me Do Re 2")</f>
        <v>Dubai&gt;Jumeirah Lake Towers (JLT)&gt;JLT Cluster G&gt;Me Do Re 2</v>
      </c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</row>
    <row r="4436" spans="1:26" ht="16.5" x14ac:dyDescent="0.35">
      <c r="A4436" s="2" t="str">
        <f ca="1">IFERROR(__xludf.DUMMYFUNCTION("""COMPUTED_VALUE"""),"Dubai")</f>
        <v>Dubai</v>
      </c>
      <c r="B4436" s="2" t="str">
        <f ca="1">IFERROR(__xludf.DUMMYFUNCTION("""COMPUTED_VALUE"""),"JLT Cluster O")</f>
        <v>JLT Cluster O</v>
      </c>
      <c r="C4436" s="2" t="str">
        <f ca="1">IFERROR(__xludf.DUMMYFUNCTION("""COMPUTED_VALUE"""),"Cluster")</f>
        <v>Cluster</v>
      </c>
      <c r="D4436" s="2" t="str">
        <f ca="1">IFERROR(__xludf.DUMMYFUNCTION("""COMPUTED_VALUE"""),"Dubai&gt;Jumeirah Lake Towers (JLT)&gt;JLT Cluster O")</f>
        <v>Dubai&gt;Jumeirah Lake Towers (JLT)&gt;JLT Cluster O</v>
      </c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</row>
    <row r="4437" spans="1:26" ht="16.5" x14ac:dyDescent="0.35">
      <c r="A4437" s="2" t="str">
        <f ca="1">IFERROR(__xludf.DUMMYFUNCTION("""COMPUTED_VALUE"""),"Dubai")</f>
        <v>Dubai</v>
      </c>
      <c r="B4437" s="2" t="str">
        <f ca="1">IFERROR(__xludf.DUMMYFUNCTION("""COMPUTED_VALUE"""),"Jumeirah Business Centre 2")</f>
        <v>Jumeirah Business Centre 2</v>
      </c>
      <c r="C4437" s="2" t="str">
        <f ca="1">IFERROR(__xludf.DUMMYFUNCTION("""COMPUTED_VALUE"""),"Building")</f>
        <v>Building</v>
      </c>
      <c r="D4437" s="2" t="str">
        <f ca="1">IFERROR(__xludf.DUMMYFUNCTION("""COMPUTED_VALUE"""),"Dubai&gt;Jumeirah Lake Towers (JLT)&gt;JLT Cluster V&gt;Jumeirah Business Centre 2")</f>
        <v>Dubai&gt;Jumeirah Lake Towers (JLT)&gt;JLT Cluster V&gt;Jumeirah Business Centre 2</v>
      </c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</row>
    <row r="4438" spans="1:26" ht="16.5" x14ac:dyDescent="0.35">
      <c r="A4438" s="2" t="str">
        <f ca="1">IFERROR(__xludf.DUMMYFUNCTION("""COMPUTED_VALUE"""),"Dubai")</f>
        <v>Dubai</v>
      </c>
      <c r="B4438" s="2" t="str">
        <f ca="1">IFERROR(__xludf.DUMMYFUNCTION("""COMPUTED_VALUE"""),"South Tower")</f>
        <v>South Tower</v>
      </c>
      <c r="C4438" s="2" t="str">
        <f ca="1">IFERROR(__xludf.DUMMYFUNCTION("""COMPUTED_VALUE"""),"Building")</f>
        <v>Building</v>
      </c>
      <c r="D4438" s="2" t="str">
        <f ca="1">IFERROR(__xludf.DUMMYFUNCTION("""COMPUTED_VALUE"""),"Dubai&gt;Jumeirah Lake Towers (JLT)&gt;Uptown Dubai&gt;Mercer House&gt;South Tower")</f>
        <v>Dubai&gt;Jumeirah Lake Towers (JLT)&gt;Uptown Dubai&gt;Mercer House&gt;South Tower</v>
      </c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</row>
    <row r="4439" spans="1:26" ht="16.5" x14ac:dyDescent="0.35">
      <c r="A4439" s="2" t="str">
        <f ca="1">IFERROR(__xludf.DUMMYFUNCTION("""COMPUTED_VALUE"""),"Dubai")</f>
        <v>Dubai</v>
      </c>
      <c r="B4439" s="2" t="str">
        <f ca="1">IFERROR(__xludf.DUMMYFUNCTION("""COMPUTED_VALUE"""),"Azalea")</f>
        <v>Azalea</v>
      </c>
      <c r="C4439" s="2" t="str">
        <f ca="1">IFERROR(__xludf.DUMMYFUNCTION("""COMPUTED_VALUE"""),"Neighbourhood")</f>
        <v>Neighbourhood</v>
      </c>
      <c r="D4439" s="2" t="str">
        <f ca="1">IFERROR(__xludf.DUMMYFUNCTION("""COMPUTED_VALUE"""),"Dubai&gt;Arabian Ranches 2&gt;Azalea")</f>
        <v>Dubai&gt;Arabian Ranches 2&gt;Azalea</v>
      </c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</row>
    <row r="4440" spans="1:26" ht="16.5" x14ac:dyDescent="0.35">
      <c r="A4440" s="2" t="str">
        <f ca="1">IFERROR(__xludf.DUMMYFUNCTION("""COMPUTED_VALUE"""),"Dubai")</f>
        <v>Dubai</v>
      </c>
      <c r="B4440" s="2" t="str">
        <f ca="1">IFERROR(__xludf.DUMMYFUNCTION("""COMPUTED_VALUE"""),"Asas Garden City 1")</f>
        <v>Asas Garden City 1</v>
      </c>
      <c r="C4440" s="2" t="str">
        <f ca="1">IFERROR(__xludf.DUMMYFUNCTION("""COMPUTED_VALUE"""),"Building")</f>
        <v>Building</v>
      </c>
      <c r="D4440" s="2" t="str">
        <f ca="1">IFERROR(__xludf.DUMMYFUNCTION("""COMPUTED_VALUE"""),"Dubai&gt;Al Satwa&gt;Jumeirah Garden City&gt;Asas Garden City 1")</f>
        <v>Dubai&gt;Al Satwa&gt;Jumeirah Garden City&gt;Asas Garden City 1</v>
      </c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</row>
    <row r="4441" spans="1:26" ht="16.5" x14ac:dyDescent="0.35">
      <c r="A4441" s="2" t="str">
        <f ca="1">IFERROR(__xludf.DUMMYFUNCTION("""COMPUTED_VALUE"""),"Dubai")</f>
        <v>Dubai</v>
      </c>
      <c r="B4441" s="2" t="str">
        <f ca="1">IFERROR(__xludf.DUMMYFUNCTION("""COMPUTED_VALUE"""),"Meral Building")</f>
        <v>Meral Building</v>
      </c>
      <c r="C4441" s="2" t="str">
        <f ca="1">IFERROR(__xludf.DUMMYFUNCTION("""COMPUTED_VALUE"""),"Building")</f>
        <v>Building</v>
      </c>
      <c r="D4441" s="2" t="str">
        <f ca="1">IFERROR(__xludf.DUMMYFUNCTION("""COMPUTED_VALUE"""),"Dubai&gt;Al Satwa&gt;Jumeirah Garden City&gt;Meral Building")</f>
        <v>Dubai&gt;Al Satwa&gt;Jumeirah Garden City&gt;Meral Building</v>
      </c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</row>
    <row r="4442" spans="1:26" ht="16.5" x14ac:dyDescent="0.35">
      <c r="A4442" s="2" t="str">
        <f ca="1">IFERROR(__xludf.DUMMYFUNCTION("""COMPUTED_VALUE"""),"Dubai")</f>
        <v>Dubai</v>
      </c>
      <c r="B4442" s="2" t="str">
        <f ca="1">IFERROR(__xludf.DUMMYFUNCTION("""COMPUTED_VALUE"""),"Rose Gardens 1")</f>
        <v>Rose Gardens 1</v>
      </c>
      <c r="C4442" s="2" t="str">
        <f ca="1">IFERROR(__xludf.DUMMYFUNCTION("""COMPUTED_VALUE"""),"Building")</f>
        <v>Building</v>
      </c>
      <c r="D4442" s="2" t="str">
        <f ca="1">IFERROR(__xludf.DUMMYFUNCTION("""COMPUTED_VALUE"""),"Dubai&gt;Al Satwa&gt;Jumeirah Garden City&gt;Rose Gardens 1")</f>
        <v>Dubai&gt;Al Satwa&gt;Jumeirah Garden City&gt;Rose Gardens 1</v>
      </c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</row>
    <row r="4443" spans="1:26" ht="16.5" x14ac:dyDescent="0.35">
      <c r="A4443" s="2" t="str">
        <f ca="1">IFERROR(__xludf.DUMMYFUNCTION("""COMPUTED_VALUE"""),"Dubai")</f>
        <v>Dubai</v>
      </c>
      <c r="B4443" s="2" t="str">
        <f ca="1">IFERROR(__xludf.DUMMYFUNCTION("""COMPUTED_VALUE"""),"Jasmine House")</f>
        <v>Jasmine House</v>
      </c>
      <c r="C4443" s="2" t="str">
        <f ca="1">IFERROR(__xludf.DUMMYFUNCTION("""COMPUTED_VALUE"""),"Building")</f>
        <v>Building</v>
      </c>
      <c r="D4443" s="2" t="str">
        <f ca="1">IFERROR(__xludf.DUMMYFUNCTION("""COMPUTED_VALUE"""),"Dubai&gt;Al Satwa&gt;Jumeirah Garden City&gt;Jasmine House")</f>
        <v>Dubai&gt;Al Satwa&gt;Jumeirah Garden City&gt;Jasmine House</v>
      </c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</row>
    <row r="4444" spans="1:26" ht="16.5" x14ac:dyDescent="0.35">
      <c r="A4444" s="2" t="str">
        <f ca="1">IFERROR(__xludf.DUMMYFUNCTION("""COMPUTED_VALUE"""),"Dubai")</f>
        <v>Dubai</v>
      </c>
      <c r="B4444" s="2" t="str">
        <f ca="1">IFERROR(__xludf.DUMMYFUNCTION("""COMPUTED_VALUE"""),"CreaKids Nurseries Dubai Sustainable City")</f>
        <v>CreaKids Nurseries Dubai Sustainable City</v>
      </c>
      <c r="C4444" s="2" t="str">
        <f ca="1">IFERROR(__xludf.DUMMYFUNCTION("""COMPUTED_VALUE"""),"Nursery")</f>
        <v>Nursery</v>
      </c>
      <c r="D4444" s="2" t="str">
        <f ca="1">IFERROR(__xludf.DUMMYFUNCTION("""COMPUTED_VALUE"""),"Dubai&gt;The Sustainable City&gt;CreaKids Nurseries Dubai Sustainable City")</f>
        <v>Dubai&gt;The Sustainable City&gt;CreaKids Nurseries Dubai Sustainable City</v>
      </c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</row>
    <row r="4445" spans="1:26" ht="16.5" x14ac:dyDescent="0.35">
      <c r="A4445" s="2" t="str">
        <f ca="1">IFERROR(__xludf.DUMMYFUNCTION("""COMPUTED_VALUE"""),"Dubai")</f>
        <v>Dubai</v>
      </c>
      <c r="B4445" s="2" t="str">
        <f ca="1">IFERROR(__xludf.DUMMYFUNCTION("""COMPUTED_VALUE"""),"Building 152")</f>
        <v>Building 152</v>
      </c>
      <c r="C4445" s="2" t="str">
        <f ca="1">IFERROR(__xludf.DUMMYFUNCTION("""COMPUTED_VALUE"""),"Building")</f>
        <v>Building</v>
      </c>
      <c r="D4445" s="2" t="str">
        <f ca="1">IFERROR(__xludf.DUMMYFUNCTION("""COMPUTED_VALUE"""),"Dubai&gt;Discovery Gardens&gt;Contemporary&gt;Building 152")</f>
        <v>Dubai&gt;Discovery Gardens&gt;Contemporary&gt;Building 152</v>
      </c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</row>
    <row r="4446" spans="1:26" ht="16.5" x14ac:dyDescent="0.35">
      <c r="A4446" s="2" t="str">
        <f ca="1">IFERROR(__xludf.DUMMYFUNCTION("""COMPUTED_VALUE"""),"Dubai")</f>
        <v>Dubai</v>
      </c>
      <c r="B4446" s="2" t="str">
        <f ca="1">IFERROR(__xludf.DUMMYFUNCTION("""COMPUTED_VALUE"""),"Building 252")</f>
        <v>Building 252</v>
      </c>
      <c r="C4446" s="2" t="str">
        <f ca="1">IFERROR(__xludf.DUMMYFUNCTION("""COMPUTED_VALUE"""),"Building")</f>
        <v>Building</v>
      </c>
      <c r="D4446" s="2" t="str">
        <f ca="1">IFERROR(__xludf.DUMMYFUNCTION("""COMPUTED_VALUE"""),"Dubai&gt;Discovery Gardens&gt;Mesoamerican&gt;Building 252")</f>
        <v>Dubai&gt;Discovery Gardens&gt;Mesoamerican&gt;Building 252</v>
      </c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</row>
    <row r="4447" spans="1:26" ht="16.5" x14ac:dyDescent="0.35">
      <c r="A4447" s="2" t="str">
        <f ca="1">IFERROR(__xludf.DUMMYFUNCTION("""COMPUTED_VALUE"""),"Dubai")</f>
        <v>Dubai</v>
      </c>
      <c r="B4447" s="2" t="str">
        <f ca="1">IFERROR(__xludf.DUMMYFUNCTION("""COMPUTED_VALUE"""),"Building 220")</f>
        <v>Building 220</v>
      </c>
      <c r="C4447" s="2" t="str">
        <f ca="1">IFERROR(__xludf.DUMMYFUNCTION("""COMPUTED_VALUE"""),"Building")</f>
        <v>Building</v>
      </c>
      <c r="D4447" s="2" t="str">
        <f ca="1">IFERROR(__xludf.DUMMYFUNCTION("""COMPUTED_VALUE"""),"Dubai&gt;Discovery Gardens&gt;Mogul&gt;Building 220")</f>
        <v>Dubai&gt;Discovery Gardens&gt;Mogul&gt;Building 220</v>
      </c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</row>
    <row r="4448" spans="1:26" ht="16.5" x14ac:dyDescent="0.35">
      <c r="A4448" s="2" t="str">
        <f ca="1">IFERROR(__xludf.DUMMYFUNCTION("""COMPUTED_VALUE"""),"Dubai")</f>
        <v>Dubai</v>
      </c>
      <c r="B4448" s="2" t="str">
        <f ca="1">IFERROR(__xludf.DUMMYFUNCTION("""COMPUTED_VALUE"""),"Building 15")</f>
        <v>Building 15</v>
      </c>
      <c r="C4448" s="2" t="str">
        <f ca="1">IFERROR(__xludf.DUMMYFUNCTION("""COMPUTED_VALUE"""),"Building")</f>
        <v>Building</v>
      </c>
      <c r="D4448" s="2" t="str">
        <f ca="1">IFERROR(__xludf.DUMMYFUNCTION("""COMPUTED_VALUE"""),"Dubai&gt;Discovery Gardens&gt;Zen Cluster&gt;Building 15")</f>
        <v>Dubai&gt;Discovery Gardens&gt;Zen Cluster&gt;Building 15</v>
      </c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</row>
    <row r="4449" spans="1:26" ht="16.5" x14ac:dyDescent="0.35">
      <c r="A4449" s="2" t="str">
        <f ca="1">IFERROR(__xludf.DUMMYFUNCTION("""COMPUTED_VALUE"""),"Dubai")</f>
        <v>Dubai</v>
      </c>
      <c r="B4449" s="2" t="str">
        <f ca="1">IFERROR(__xludf.DUMMYFUNCTION("""COMPUTED_VALUE"""),"Building 45")</f>
        <v>Building 45</v>
      </c>
      <c r="C4449" s="2" t="str">
        <f ca="1">IFERROR(__xludf.DUMMYFUNCTION("""COMPUTED_VALUE"""),"Building")</f>
        <v>Building</v>
      </c>
      <c r="D4449" s="2" t="str">
        <f ca="1">IFERROR(__xludf.DUMMYFUNCTION("""COMPUTED_VALUE"""),"Dubai&gt;Discovery Gardens&gt;Mediterranean&gt;Building 45")</f>
        <v>Dubai&gt;Discovery Gardens&gt;Mediterranean&gt;Building 45</v>
      </c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</row>
    <row r="4450" spans="1:26" ht="16.5" x14ac:dyDescent="0.35">
      <c r="A4450" s="2" t="str">
        <f ca="1">IFERROR(__xludf.DUMMYFUNCTION("""COMPUTED_VALUE"""),"Dubai")</f>
        <v>Dubai</v>
      </c>
      <c r="B4450" s="2" t="str">
        <f ca="1">IFERROR(__xludf.DUMMYFUNCTION("""COMPUTED_VALUE"""),"Building 55")</f>
        <v>Building 55</v>
      </c>
      <c r="C4450" s="2" t="str">
        <f ca="1">IFERROR(__xludf.DUMMYFUNCTION("""COMPUTED_VALUE"""),"Building")</f>
        <v>Building</v>
      </c>
      <c r="D4450" s="2" t="str">
        <f ca="1">IFERROR(__xludf.DUMMYFUNCTION("""COMPUTED_VALUE"""),"Dubai&gt;Discovery Gardens&gt;Mediterranean&gt;Building 55")</f>
        <v>Dubai&gt;Discovery Gardens&gt;Mediterranean&gt;Building 55</v>
      </c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</row>
    <row r="4451" spans="1:26" ht="16.5" x14ac:dyDescent="0.35">
      <c r="A4451" s="2" t="str">
        <f ca="1">IFERROR(__xludf.DUMMYFUNCTION("""COMPUTED_VALUE"""),"Dubai")</f>
        <v>Dubai</v>
      </c>
      <c r="B4451" s="2" t="str">
        <f ca="1">IFERROR(__xludf.DUMMYFUNCTION("""COMPUTED_VALUE"""),"Serene Gardens")</f>
        <v>Serene Gardens</v>
      </c>
      <c r="C4451" s="2" t="str">
        <f ca="1">IFERROR(__xludf.DUMMYFUNCTION("""COMPUTED_VALUE"""),"Building")</f>
        <v>Building</v>
      </c>
      <c r="D4451" s="2" t="str">
        <f ca="1">IFERROR(__xludf.DUMMYFUNCTION("""COMPUTED_VALUE"""),"Dubai&gt;Discovery Gardens&gt;Serene Gardens")</f>
        <v>Dubai&gt;Discovery Gardens&gt;Serene Gardens</v>
      </c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</row>
    <row r="4452" spans="1:26" ht="16.5" x14ac:dyDescent="0.35">
      <c r="A4452" s="2" t="str">
        <f ca="1">IFERROR(__xludf.DUMMYFUNCTION("""COMPUTED_VALUE"""),"Dubai")</f>
        <v>Dubai</v>
      </c>
      <c r="B4452" s="2" t="str">
        <f ca="1">IFERROR(__xludf.DUMMYFUNCTION("""COMPUTED_VALUE"""),"Al Msalli")</f>
        <v>Al Msalli</v>
      </c>
      <c r="C4452" s="2" t="str">
        <f ca="1">IFERROR(__xludf.DUMMYFUNCTION("""COMPUTED_VALUE"""),"Building")</f>
        <v>Building</v>
      </c>
      <c r="D4452" s="2" t="str">
        <f ca="1">IFERROR(__xludf.DUMMYFUNCTION("""COMPUTED_VALUE"""),"Dubai&gt;Palm Jumeirah&gt;Shoreline Apartments&gt;Al Msalli")</f>
        <v>Dubai&gt;Palm Jumeirah&gt;Shoreline Apartments&gt;Al Msalli</v>
      </c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</row>
    <row r="4453" spans="1:26" ht="16.5" x14ac:dyDescent="0.35">
      <c r="A4453" s="2" t="str">
        <f ca="1">IFERROR(__xludf.DUMMYFUNCTION("""COMPUTED_VALUE"""),"Dubai")</f>
        <v>Dubai</v>
      </c>
      <c r="B4453" s="2" t="str">
        <f ca="1">IFERROR(__xludf.DUMMYFUNCTION("""COMPUTED_VALUE"""),"Sarai Villas")</f>
        <v>Sarai Villas</v>
      </c>
      <c r="C4453" s="2" t="str">
        <f ca="1">IFERROR(__xludf.DUMMYFUNCTION("""COMPUTED_VALUE"""),"Neighbourhood")</f>
        <v>Neighbourhood</v>
      </c>
      <c r="D4453" s="2" t="str">
        <f ca="1">IFERROR(__xludf.DUMMYFUNCTION("""COMPUTED_VALUE"""),"Dubai&gt;Palm Jumeirah&gt;Sarai Villas")</f>
        <v>Dubai&gt;Palm Jumeirah&gt;Sarai Villas</v>
      </c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</row>
    <row r="4454" spans="1:26" ht="16.5" x14ac:dyDescent="0.35">
      <c r="A4454" s="2" t="str">
        <f ca="1">IFERROR(__xludf.DUMMYFUNCTION("""COMPUTED_VALUE"""),"Dubai")</f>
        <v>Dubai</v>
      </c>
      <c r="B4454" s="2" t="str">
        <f ca="1">IFERROR(__xludf.DUMMYFUNCTION("""COMPUTED_VALUE"""),"Palm Views")</f>
        <v>Palm Views</v>
      </c>
      <c r="C4454" s="2" t="str">
        <f ca="1">IFERROR(__xludf.DUMMYFUNCTION("""COMPUTED_VALUE"""),"Cluster")</f>
        <v>Cluster</v>
      </c>
      <c r="D4454" s="2" t="str">
        <f ca="1">IFERROR(__xludf.DUMMYFUNCTION("""COMPUTED_VALUE"""),"Dubai&gt;Palm Jumeirah&gt;Palm Views")</f>
        <v>Dubai&gt;Palm Jumeirah&gt;Palm Views</v>
      </c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</row>
    <row r="4455" spans="1:26" ht="16.5" x14ac:dyDescent="0.35">
      <c r="A4455" s="2" t="str">
        <f ca="1">IFERROR(__xludf.DUMMYFUNCTION("""COMPUTED_VALUE"""),"Dubai")</f>
        <v>Dubai</v>
      </c>
      <c r="B4455" s="2" t="str">
        <f ca="1">IFERROR(__xludf.DUMMYFUNCTION("""COMPUTED_VALUE"""),"Jumeirah Zabeel Saray The Palm Hotel")</f>
        <v>Jumeirah Zabeel Saray The Palm Hotel</v>
      </c>
      <c r="C4455" s="2" t="str">
        <f ca="1">IFERROR(__xludf.DUMMYFUNCTION("""COMPUTED_VALUE"""),"Building")</f>
        <v>Building</v>
      </c>
      <c r="D4455" s="2" t="str">
        <f ca="1">IFERROR(__xludf.DUMMYFUNCTION("""COMPUTED_VALUE"""),"Dubai&gt;Palm Jumeirah&gt;The Crescent&gt;Jumeirah Zabeel Saray The Palm Hotel")</f>
        <v>Dubai&gt;Palm Jumeirah&gt;The Crescent&gt;Jumeirah Zabeel Saray The Palm Hotel</v>
      </c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</row>
    <row r="4456" spans="1:26" ht="16.5" x14ac:dyDescent="0.35">
      <c r="A4456" s="2" t="str">
        <f ca="1">IFERROR(__xludf.DUMMYFUNCTION("""COMPUTED_VALUE"""),"Dubai")</f>
        <v>Dubai</v>
      </c>
      <c r="B4456" s="2" t="str">
        <f ca="1">IFERROR(__xludf.DUMMYFUNCTION("""COMPUTED_VALUE"""),"Palm Beach Tower 2")</f>
        <v>Palm Beach Tower 2</v>
      </c>
      <c r="C4456" s="2" t="str">
        <f ca="1">IFERROR(__xludf.DUMMYFUNCTION("""COMPUTED_VALUE"""),"Building")</f>
        <v>Building</v>
      </c>
      <c r="D4456" s="2" t="str">
        <f ca="1">IFERROR(__xludf.DUMMYFUNCTION("""COMPUTED_VALUE"""),"Dubai&gt;Palm Jumeirah&gt;The Palm Beach Towers&gt;Palm Beach Tower 2")</f>
        <v>Dubai&gt;Palm Jumeirah&gt;The Palm Beach Towers&gt;Palm Beach Tower 2</v>
      </c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</row>
    <row r="4457" spans="1:26" ht="16.5" x14ac:dyDescent="0.35">
      <c r="A4457" s="2" t="str">
        <f ca="1">IFERROR(__xludf.DUMMYFUNCTION("""COMPUTED_VALUE"""),"Dubai")</f>
        <v>Dubai</v>
      </c>
      <c r="B4457" s="2" t="str">
        <f ca="1">IFERROR(__xludf.DUMMYFUNCTION("""COMPUTED_VALUE"""),"Oceana Adriatic")</f>
        <v>Oceana Adriatic</v>
      </c>
      <c r="C4457" s="2" t="str">
        <f ca="1">IFERROR(__xludf.DUMMYFUNCTION("""COMPUTED_VALUE"""),"Building")</f>
        <v>Building</v>
      </c>
      <c r="D4457" s="2" t="str">
        <f ca="1">IFERROR(__xludf.DUMMYFUNCTION("""COMPUTED_VALUE"""),"Dubai&gt;Palm Jumeirah&gt;Oceana&gt;Oceana Adriatic")</f>
        <v>Dubai&gt;Palm Jumeirah&gt;Oceana&gt;Oceana Adriatic</v>
      </c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</row>
    <row r="4458" spans="1:26" ht="16.5" x14ac:dyDescent="0.35">
      <c r="A4458" s="2" t="str">
        <f ca="1">IFERROR(__xludf.DUMMYFUNCTION("""COMPUTED_VALUE"""),"Dubai")</f>
        <v>Dubai</v>
      </c>
      <c r="B4458" s="2" t="str">
        <f ca="1">IFERROR(__xludf.DUMMYFUNCTION("""COMPUTED_VALUE"""),"Emerald Tower")</f>
        <v>Emerald Tower</v>
      </c>
      <c r="C4458" s="2" t="str">
        <f ca="1">IFERROR(__xludf.DUMMYFUNCTION("""COMPUTED_VALUE"""),"Building")</f>
        <v>Building</v>
      </c>
      <c r="D4458" s="2" t="str">
        <f ca="1">IFERROR(__xludf.DUMMYFUNCTION("""COMPUTED_VALUE"""),"Dubai&gt;Al Jaddaf&gt;Emerald Tower")</f>
        <v>Dubai&gt;Al Jaddaf&gt;Emerald Tower</v>
      </c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</row>
    <row r="4459" spans="1:26" ht="16.5" x14ac:dyDescent="0.35">
      <c r="A4459" s="2" t="str">
        <f ca="1">IFERROR(__xludf.DUMMYFUNCTION("""COMPUTED_VALUE"""),"Dubai")</f>
        <v>Dubai</v>
      </c>
      <c r="B4459" s="2" t="str">
        <f ca="1">IFERROR(__xludf.DUMMYFUNCTION("""COMPUTED_VALUE"""),"Al Waleed Garden 2")</f>
        <v>Al Waleed Garden 2</v>
      </c>
      <c r="C4459" s="2" t="str">
        <f ca="1">IFERROR(__xludf.DUMMYFUNCTION("""COMPUTED_VALUE"""),"Building")</f>
        <v>Building</v>
      </c>
      <c r="D4459" s="2" t="str">
        <f ca="1">IFERROR(__xludf.DUMMYFUNCTION("""COMPUTED_VALUE"""),"Dubai&gt;Al Jaddaf&gt;Dubai Healthcare City Phase 2&gt;Al Waleed Garden 2")</f>
        <v>Dubai&gt;Al Jaddaf&gt;Dubai Healthcare City Phase 2&gt;Al Waleed Garden 2</v>
      </c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</row>
    <row r="4460" spans="1:26" ht="16.5" x14ac:dyDescent="0.35">
      <c r="A4460" s="2" t="str">
        <f ca="1">IFERROR(__xludf.DUMMYFUNCTION("""COMPUTED_VALUE"""),"Dubai")</f>
        <v>Dubai</v>
      </c>
      <c r="B4460" s="2" t="str">
        <f ca="1">IFERROR(__xludf.DUMMYFUNCTION("""COMPUTED_VALUE"""),"Azurite Tower")</f>
        <v>Azurite Tower</v>
      </c>
      <c r="C4460" s="2" t="str">
        <f ca="1">IFERROR(__xludf.DUMMYFUNCTION("""COMPUTED_VALUE"""),"Building")</f>
        <v>Building</v>
      </c>
      <c r="D4460" s="2" t="str">
        <f ca="1">IFERROR(__xludf.DUMMYFUNCTION("""COMPUTED_VALUE"""),"Dubai&gt;Al Jaddaf&gt;Azurite Tower")</f>
        <v>Dubai&gt;Al Jaddaf&gt;Azurite Tower</v>
      </c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</row>
    <row r="4461" spans="1:26" ht="16.5" x14ac:dyDescent="0.35">
      <c r="A4461" s="2" t="str">
        <f ca="1">IFERROR(__xludf.DUMMYFUNCTION("""COMPUTED_VALUE"""),"Dubai")</f>
        <v>Dubai</v>
      </c>
      <c r="B4461" s="2" t="str">
        <f ca="1">IFERROR(__xludf.DUMMYFUNCTION("""COMPUTED_VALUE"""),"Sama Al Jadaf")</f>
        <v>Sama Al Jadaf</v>
      </c>
      <c r="C4461" s="2" t="str">
        <f ca="1">IFERROR(__xludf.DUMMYFUNCTION("""COMPUTED_VALUE"""),"Building")</f>
        <v>Building</v>
      </c>
      <c r="D4461" s="2" t="str">
        <f ca="1">IFERROR(__xludf.DUMMYFUNCTION("""COMPUTED_VALUE"""),"Dubai&gt;Al Jaddaf&gt;Sama Al Jadaf")</f>
        <v>Dubai&gt;Al Jaddaf&gt;Sama Al Jadaf</v>
      </c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</row>
    <row r="4462" spans="1:26" ht="16.5" x14ac:dyDescent="0.35">
      <c r="A4462" s="2" t="str">
        <f ca="1">IFERROR(__xludf.DUMMYFUNCTION("""COMPUTED_VALUE"""),"Dubai")</f>
        <v>Dubai</v>
      </c>
      <c r="B4462" s="2" t="str">
        <f ca="1">IFERROR(__xludf.DUMMYFUNCTION("""COMPUTED_VALUE"""),"Frond M")</f>
        <v>Frond M</v>
      </c>
      <c r="C4462" s="2" t="str">
        <f ca="1">IFERROR(__xludf.DUMMYFUNCTION("""COMPUTED_VALUE"""),"Neighbourhood")</f>
        <v>Neighbourhood</v>
      </c>
      <c r="D4462" s="2" t="str">
        <f ca="1">IFERROR(__xludf.DUMMYFUNCTION("""COMPUTED_VALUE"""),"Dubai&gt;Palm Jebel Ali&gt;Frond M")</f>
        <v>Dubai&gt;Palm Jebel Ali&gt;Frond M</v>
      </c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</row>
    <row r="4463" spans="1:26" ht="16.5" x14ac:dyDescent="0.35">
      <c r="A4463" s="2" t="str">
        <f ca="1">IFERROR(__xludf.DUMMYFUNCTION("""COMPUTED_VALUE"""),"Dubai")</f>
        <v>Dubai</v>
      </c>
      <c r="B4463" s="2" t="str">
        <f ca="1">IFERROR(__xludf.DUMMYFUNCTION("""COMPUTED_VALUE"""),"Opalz by Danube Tower 1")</f>
        <v>Opalz by Danube Tower 1</v>
      </c>
      <c r="C4463" s="2" t="str">
        <f ca="1">IFERROR(__xludf.DUMMYFUNCTION("""COMPUTED_VALUE"""),"Building")</f>
        <v>Building</v>
      </c>
      <c r="D4463" s="2" t="str">
        <f ca="1">IFERROR(__xludf.DUMMYFUNCTION("""COMPUTED_VALUE"""),"Dubai&gt;Dubai Science Park&gt;Opalz by Danube&gt;Opalz by Danube Tower 1")</f>
        <v>Dubai&gt;Dubai Science Park&gt;Opalz by Danube&gt;Opalz by Danube Tower 1</v>
      </c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</row>
    <row r="4464" spans="1:26" ht="16.5" x14ac:dyDescent="0.35">
      <c r="A4464" s="2" t="str">
        <f ca="1">IFERROR(__xludf.DUMMYFUNCTION("""COMPUTED_VALUE"""),"Dubai")</f>
        <v>Dubai</v>
      </c>
      <c r="B4464" s="2" t="str">
        <f ca="1">IFERROR(__xludf.DUMMYFUNCTION("""COMPUTED_VALUE"""),"The Springs 10")</f>
        <v>The Springs 10</v>
      </c>
      <c r="C4464" s="2" t="str">
        <f ca="1">IFERROR(__xludf.DUMMYFUNCTION("""COMPUTED_VALUE"""),"Neighbourhood")</f>
        <v>Neighbourhood</v>
      </c>
      <c r="D4464" s="2" t="str">
        <f ca="1">IFERROR(__xludf.DUMMYFUNCTION("""COMPUTED_VALUE"""),"Dubai&gt;The Springs&gt;The Springs 10")</f>
        <v>Dubai&gt;The Springs&gt;The Springs 10</v>
      </c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</row>
    <row r="4465" spans="1:26" ht="16.5" x14ac:dyDescent="0.35">
      <c r="A4465" s="2" t="str">
        <f ca="1">IFERROR(__xludf.DUMMYFUNCTION("""COMPUTED_VALUE"""),"Dubai")</f>
        <v>Dubai</v>
      </c>
      <c r="B4465" s="2" t="str">
        <f ca="1">IFERROR(__xludf.DUMMYFUNCTION("""COMPUTED_VALUE"""),"Hillside Residences 2 Building C")</f>
        <v>Hillside Residences 2 Building C</v>
      </c>
      <c r="C4465" s="2" t="str">
        <f ca="1">IFERROR(__xludf.DUMMYFUNCTION("""COMPUTED_VALUE"""),"Building")</f>
        <v>Building</v>
      </c>
      <c r="D4465" s="2" t="str">
        <f ca="1">IFERROR(__xludf.DUMMYFUNCTION("""COMPUTED_VALUE"""),"Dubai&gt;Wasl Gate&gt;Hillside Residences&gt;Hillside Residences 2&gt;Hillside Residences 2 Building C")</f>
        <v>Dubai&gt;Wasl Gate&gt;Hillside Residences&gt;Hillside Residences 2&gt;Hillside Residences 2 Building C</v>
      </c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</row>
    <row r="4466" spans="1:26" ht="16.5" x14ac:dyDescent="0.35">
      <c r="A4466" s="2" t="str">
        <f ca="1">IFERROR(__xludf.DUMMYFUNCTION("""COMPUTED_VALUE"""),"Dubai")</f>
        <v>Dubai</v>
      </c>
      <c r="B4466" s="2" t="str">
        <f ca="1">IFERROR(__xludf.DUMMYFUNCTION("""COMPUTED_VALUE"""),"One by Nine")</f>
        <v>One by Nine</v>
      </c>
      <c r="C4466" s="2" t="str">
        <f ca="1">IFERROR(__xludf.DUMMYFUNCTION("""COMPUTED_VALUE"""),"Building")</f>
        <v>Building</v>
      </c>
      <c r="D4466" s="2" t="str">
        <f ca="1">IFERROR(__xludf.DUMMYFUNCTION("""COMPUTED_VALUE"""),"Dubai&gt;Nad Al Sheba&gt;Nad Al Sheba 1&gt;Nad Al Sheba Gardens&gt;Nad Al Sheba Gardens 1&gt;One by Nine")</f>
        <v>Dubai&gt;Nad Al Sheba&gt;Nad Al Sheba 1&gt;Nad Al Sheba Gardens&gt;Nad Al Sheba Gardens 1&gt;One by Nine</v>
      </c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</row>
    <row r="4467" spans="1:26" ht="16.5" x14ac:dyDescent="0.35">
      <c r="A4467" s="2" t="str">
        <f ca="1">IFERROR(__xludf.DUMMYFUNCTION("""COMPUTED_VALUE"""),"Dubai")</f>
        <v>Dubai</v>
      </c>
      <c r="B4467" s="2" t="str">
        <f ca="1">IFERROR(__xludf.DUMMYFUNCTION("""COMPUTED_VALUE"""),"Arenco Tower")</f>
        <v>Arenco Tower</v>
      </c>
      <c r="C4467" s="2" t="str">
        <f ca="1">IFERROR(__xludf.DUMMYFUNCTION("""COMPUTED_VALUE"""),"Building")</f>
        <v>Building</v>
      </c>
      <c r="D4467" s="2" t="str">
        <f ca="1">IFERROR(__xludf.DUMMYFUNCTION("""COMPUTED_VALUE"""),"Dubai&gt;Dubai Internet City&gt;Arenco Tower")</f>
        <v>Dubai&gt;Dubai Internet City&gt;Arenco Tower</v>
      </c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</row>
    <row r="4468" spans="1:26" ht="16.5" x14ac:dyDescent="0.35">
      <c r="A4468" s="2" t="str">
        <f ca="1">IFERROR(__xludf.DUMMYFUNCTION("""COMPUTED_VALUE"""),"Dubai")</f>
        <v>Dubai</v>
      </c>
      <c r="B4468" s="2" t="str">
        <f ca="1">IFERROR(__xludf.DUMMYFUNCTION("""COMPUTED_VALUE"""),"DIC 15 (Dell Building)")</f>
        <v>DIC 15 (Dell Building)</v>
      </c>
      <c r="C4468" s="2" t="str">
        <f ca="1">IFERROR(__xludf.DUMMYFUNCTION("""COMPUTED_VALUE"""),"Building")</f>
        <v>Building</v>
      </c>
      <c r="D4468" s="2" t="str">
        <f ca="1">IFERROR(__xludf.DUMMYFUNCTION("""COMPUTED_VALUE"""),"Dubai&gt;Dubai Internet City&gt;DIC&gt;DIC 15 (Dell Building)")</f>
        <v>Dubai&gt;Dubai Internet City&gt;DIC&gt;DIC 15 (Dell Building)</v>
      </c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</row>
    <row r="4469" spans="1:26" ht="16.5" x14ac:dyDescent="0.35">
      <c r="A4469" s="2" t="str">
        <f ca="1">IFERROR(__xludf.DUMMYFUNCTION("""COMPUTED_VALUE"""),"Dubai")</f>
        <v>Dubai</v>
      </c>
      <c r="B4469" s="2" t="str">
        <f ca="1">IFERROR(__xludf.DUMMYFUNCTION("""COMPUTED_VALUE"""),"Elie Saab 1")</f>
        <v>Elie Saab 1</v>
      </c>
      <c r="C4469" s="2" t="str">
        <f ca="1">IFERROR(__xludf.DUMMYFUNCTION("""COMPUTED_VALUE"""),"Neighbourhood")</f>
        <v>Neighbourhood</v>
      </c>
      <c r="D4469" s="2" t="str">
        <f ca="1">IFERROR(__xludf.DUMMYFUNCTION("""COMPUTED_VALUE"""),"Dubai&gt;Arabian Ranches 3&gt;Elie Saab&gt;Elie Saab 1")</f>
        <v>Dubai&gt;Arabian Ranches 3&gt;Elie Saab&gt;Elie Saab 1</v>
      </c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</row>
    <row r="4470" spans="1:26" ht="16.5" x14ac:dyDescent="0.35">
      <c r="A4470" s="2" t="str">
        <f ca="1">IFERROR(__xludf.DUMMYFUNCTION("""COMPUTED_VALUE"""),"Dubai")</f>
        <v>Dubai</v>
      </c>
      <c r="B4470" s="2" t="str">
        <f ca="1">IFERROR(__xludf.DUMMYFUNCTION("""COMPUTED_VALUE"""),"Clearpoint Building 2")</f>
        <v>Clearpoint Building 2</v>
      </c>
      <c r="C4470" s="2" t="str">
        <f ca="1">IFERROR(__xludf.DUMMYFUNCTION("""COMPUTED_VALUE"""),"Building")</f>
        <v>Building</v>
      </c>
      <c r="D4470" s="2" t="str">
        <f ca="1">IFERROR(__xludf.DUMMYFUNCTION("""COMPUTED_VALUE"""),"Dubai&gt;Mina Rashid&gt;Clearpoint&gt;Clearpoint Building 2")</f>
        <v>Dubai&gt;Mina Rashid&gt;Clearpoint&gt;Clearpoint Building 2</v>
      </c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</row>
    <row r="4471" spans="1:26" ht="16.5" x14ac:dyDescent="0.35">
      <c r="A4471" s="2" t="str">
        <f ca="1">IFERROR(__xludf.DUMMYFUNCTION("""COMPUTED_VALUE"""),"Dubai")</f>
        <v>Dubai</v>
      </c>
      <c r="B4471" s="2" t="str">
        <f ca="1">IFERROR(__xludf.DUMMYFUNCTION("""COMPUTED_VALUE"""),"Portside Square Tower 3")</f>
        <v>Portside Square Tower 3</v>
      </c>
      <c r="C4471" s="2" t="str">
        <f ca="1">IFERROR(__xludf.DUMMYFUNCTION("""COMPUTED_VALUE"""),"Building")</f>
        <v>Building</v>
      </c>
      <c r="D4471" s="2" t="str">
        <f ca="1">IFERROR(__xludf.DUMMYFUNCTION("""COMPUTED_VALUE"""),"Dubai&gt;Mina Rashid&gt;Portside Square&gt;Portside Square Tower 3")</f>
        <v>Dubai&gt;Mina Rashid&gt;Portside Square&gt;Portside Square Tower 3</v>
      </c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</row>
    <row r="4472" spans="1:26" ht="16.5" x14ac:dyDescent="0.35">
      <c r="A4472" s="2" t="str">
        <f ca="1">IFERROR(__xludf.DUMMYFUNCTION("""COMPUTED_VALUE"""),"Dubai")</f>
        <v>Dubai</v>
      </c>
      <c r="B4472" s="2" t="str">
        <f ca="1">IFERROR(__xludf.DUMMYFUNCTION("""COMPUTED_VALUE"""),"Avena")</f>
        <v>Avena</v>
      </c>
      <c r="C4472" s="2" t="str">
        <f ca="1">IFERROR(__xludf.DUMMYFUNCTION("""COMPUTED_VALUE"""),"Neighbourhood")</f>
        <v>Neighbourhood</v>
      </c>
      <c r="D4472" s="2" t="str">
        <f ca="1">IFERROR(__xludf.DUMMYFUNCTION("""COMPUTED_VALUE"""),"Dubai&gt;The Valley by Emaar&gt;Avena")</f>
        <v>Dubai&gt;The Valley by Emaar&gt;Avena</v>
      </c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</row>
    <row r="4473" spans="1:26" ht="16.5" x14ac:dyDescent="0.35">
      <c r="A4473" s="2" t="str">
        <f ca="1">IFERROR(__xludf.DUMMYFUNCTION("""COMPUTED_VALUE"""),"Dubai")</f>
        <v>Dubai</v>
      </c>
      <c r="B4473" s="2" t="str">
        <f ca="1">IFERROR(__xludf.DUMMYFUNCTION("""COMPUTED_VALUE"""),"Raffles Nursery Arabian Ranches")</f>
        <v>Raffles Nursery Arabian Ranches</v>
      </c>
      <c r="C4473" s="2" t="str">
        <f ca="1">IFERROR(__xludf.DUMMYFUNCTION("""COMPUTED_VALUE"""),"Nursery")</f>
        <v>Nursery</v>
      </c>
      <c r="D4473" s="2" t="str">
        <f ca="1">IFERROR(__xludf.DUMMYFUNCTION("""COMPUTED_VALUE"""),"Dubai&gt;Arabian Ranches&gt;Saheel&gt;Saheel 1&gt;Raffles Nursery Arabian Ranches")</f>
        <v>Dubai&gt;Arabian Ranches&gt;Saheel&gt;Saheel 1&gt;Raffles Nursery Arabian Ranches</v>
      </c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</row>
    <row r="4474" spans="1:26" ht="16.5" x14ac:dyDescent="0.35">
      <c r="A4474" s="2" t="str">
        <f ca="1">IFERROR(__xludf.DUMMYFUNCTION("""COMPUTED_VALUE"""),"Dubai")</f>
        <v>Dubai</v>
      </c>
      <c r="B4474" s="2" t="str">
        <f ca="1">IFERROR(__xludf.DUMMYFUNCTION("""COMPUTED_VALUE"""),"The Gardens Apartments 8")</f>
        <v>The Gardens Apartments 8</v>
      </c>
      <c r="C4474" s="2" t="str">
        <f ca="1">IFERROR(__xludf.DUMMYFUNCTION("""COMPUTED_VALUE"""),"Building")</f>
        <v>Building</v>
      </c>
      <c r="D4474" s="2" t="str">
        <f ca="1">IFERROR(__xludf.DUMMYFUNCTION("""COMPUTED_VALUE"""),"Dubai&gt;The Gardens&gt;The Gardens Apartments&gt;The Gardens Apartments 8")</f>
        <v>Dubai&gt;The Gardens&gt;The Gardens Apartments&gt;The Gardens Apartments 8</v>
      </c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</row>
    <row r="4475" spans="1:26" ht="16.5" x14ac:dyDescent="0.35">
      <c r="A4475" s="2" t="str">
        <f ca="1">IFERROR(__xludf.DUMMYFUNCTION("""COMPUTED_VALUE"""),"Dubai")</f>
        <v>Dubai</v>
      </c>
      <c r="B4475" s="2" t="str">
        <f ca="1">IFERROR(__xludf.DUMMYFUNCTION("""COMPUTED_VALUE"""),"The Gardens Building 76")</f>
        <v>The Gardens Building 76</v>
      </c>
      <c r="C4475" s="2" t="str">
        <f ca="1">IFERROR(__xludf.DUMMYFUNCTION("""COMPUTED_VALUE"""),"Building")</f>
        <v>Building</v>
      </c>
      <c r="D4475" s="2" t="str">
        <f ca="1">IFERROR(__xludf.DUMMYFUNCTION("""COMPUTED_VALUE"""),"Dubai&gt;The Gardens&gt;The Gardens Building 76")</f>
        <v>Dubai&gt;The Gardens&gt;The Gardens Building 76</v>
      </c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</row>
    <row r="4476" spans="1:26" ht="16.5" x14ac:dyDescent="0.35">
      <c r="A4476" s="2" t="str">
        <f ca="1">IFERROR(__xludf.DUMMYFUNCTION("""COMPUTED_VALUE"""),"Dubai")</f>
        <v>Dubai</v>
      </c>
      <c r="B4476" s="2" t="str">
        <f ca="1">IFERROR(__xludf.DUMMYFUNCTION("""COMPUTED_VALUE"""),"The Gardens Building 98")</f>
        <v>The Gardens Building 98</v>
      </c>
      <c r="C4476" s="2" t="str">
        <f ca="1">IFERROR(__xludf.DUMMYFUNCTION("""COMPUTED_VALUE"""),"Building")</f>
        <v>Building</v>
      </c>
      <c r="D4476" s="2" t="str">
        <f ca="1">IFERROR(__xludf.DUMMYFUNCTION("""COMPUTED_VALUE"""),"Dubai&gt;The Gardens&gt;The Gardens Building 98")</f>
        <v>Dubai&gt;The Gardens&gt;The Gardens Building 98</v>
      </c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</row>
    <row r="4477" spans="1:26" ht="16.5" x14ac:dyDescent="0.35">
      <c r="A4477" s="2" t="str">
        <f ca="1">IFERROR(__xludf.DUMMYFUNCTION("""COMPUTED_VALUE"""),"Dubai")</f>
        <v>Dubai</v>
      </c>
      <c r="B4477" s="2" t="str">
        <f ca="1">IFERROR(__xludf.DUMMYFUNCTION("""COMPUTED_VALUE"""),"The Gardens Building 27")</f>
        <v>The Gardens Building 27</v>
      </c>
      <c r="C4477" s="2" t="str">
        <f ca="1">IFERROR(__xludf.DUMMYFUNCTION("""COMPUTED_VALUE"""),"Building")</f>
        <v>Building</v>
      </c>
      <c r="D4477" s="2" t="str">
        <f ca="1">IFERROR(__xludf.DUMMYFUNCTION("""COMPUTED_VALUE"""),"Dubai&gt;The Gardens&gt;The Gardens Building 27")</f>
        <v>Dubai&gt;The Gardens&gt;The Gardens Building 27</v>
      </c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</row>
    <row r="4478" spans="1:26" ht="16.5" x14ac:dyDescent="0.35">
      <c r="A4478" s="2" t="str">
        <f ca="1">IFERROR(__xludf.DUMMYFUNCTION("""COMPUTED_VALUE"""),"Dubai")</f>
        <v>Dubai</v>
      </c>
      <c r="B4478" s="2" t="str">
        <f ca="1">IFERROR(__xludf.DUMMYFUNCTION("""COMPUTED_VALUE"""),"The Gardens Building 127")</f>
        <v>The Gardens Building 127</v>
      </c>
      <c r="C4478" s="2" t="str">
        <f ca="1">IFERROR(__xludf.DUMMYFUNCTION("""COMPUTED_VALUE"""),"Building")</f>
        <v>Building</v>
      </c>
      <c r="D4478" s="2" t="str">
        <f ca="1">IFERROR(__xludf.DUMMYFUNCTION("""COMPUTED_VALUE"""),"Dubai&gt;The Gardens&gt;The Gardens Building 127")</f>
        <v>Dubai&gt;The Gardens&gt;The Gardens Building 127</v>
      </c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</row>
    <row r="4479" spans="1:26" ht="16.5" x14ac:dyDescent="0.35">
      <c r="A4479" s="2" t="str">
        <f ca="1">IFERROR(__xludf.DUMMYFUNCTION("""COMPUTED_VALUE"""),"Dubai")</f>
        <v>Dubai</v>
      </c>
      <c r="B4479" s="2" t="str">
        <f ca="1">IFERROR(__xludf.DUMMYFUNCTION("""COMPUTED_VALUE"""),"AL Mamzar 913")</f>
        <v>AL Mamzar 913</v>
      </c>
      <c r="C4479" s="2" t="str">
        <f ca="1">IFERROR(__xludf.DUMMYFUNCTION("""COMPUTED_VALUE"""),"Building")</f>
        <v>Building</v>
      </c>
      <c r="D4479" s="2" t="str">
        <f ca="1">IFERROR(__xludf.DUMMYFUNCTION("""COMPUTED_VALUE"""),"Dubai&gt;Al Mamzar&gt;AL Mamzar 913")</f>
        <v>Dubai&gt;Al Mamzar&gt;AL Mamzar 913</v>
      </c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</row>
    <row r="4480" spans="1:26" ht="16.5" x14ac:dyDescent="0.35">
      <c r="A4480" s="2" t="str">
        <f ca="1">IFERROR(__xludf.DUMMYFUNCTION("""COMPUTED_VALUE"""),"Dubai")</f>
        <v>Dubai</v>
      </c>
      <c r="B4480" s="2" t="str">
        <f ca="1">IFERROR(__xludf.DUMMYFUNCTION("""COMPUTED_VALUE"""),"Sonapur")</f>
        <v>Sonapur</v>
      </c>
      <c r="C4480" s="2" t="str">
        <f ca="1">IFERROR(__xludf.DUMMYFUNCTION("""COMPUTED_VALUE"""),"Neighbourhood")</f>
        <v>Neighbourhood</v>
      </c>
      <c r="D4480" s="2" t="str">
        <f ca="1">IFERROR(__xludf.DUMMYFUNCTION("""COMPUTED_VALUE"""),"Dubai&gt;Muhaisnah&gt;Muhaisnah 2&gt;Sonapur")</f>
        <v>Dubai&gt;Muhaisnah&gt;Muhaisnah 2&gt;Sonapur</v>
      </c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</row>
    <row r="4481" spans="1:26" ht="16.5" x14ac:dyDescent="0.35">
      <c r="A4481" s="2" t="str">
        <f ca="1">IFERROR(__xludf.DUMMYFUNCTION("""COMPUTED_VALUE"""),"Dubai")</f>
        <v>Dubai</v>
      </c>
      <c r="B4481" s="2" t="str">
        <f ca="1">IFERROR(__xludf.DUMMYFUNCTION("""COMPUTED_VALUE"""),"Fatma Building")</f>
        <v>Fatma Building</v>
      </c>
      <c r="C4481" s="2" t="str">
        <f ca="1">IFERROR(__xludf.DUMMYFUNCTION("""COMPUTED_VALUE"""),"Building")</f>
        <v>Building</v>
      </c>
      <c r="D4481" s="2" t="str">
        <f ca="1">IFERROR(__xludf.DUMMYFUNCTION("""COMPUTED_VALUE"""),"Dubai&gt;Muhaisnah&gt;Muhaisnah 4&gt;Fatma Building")</f>
        <v>Dubai&gt;Muhaisnah&gt;Muhaisnah 4&gt;Fatma Building</v>
      </c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</row>
    <row r="4482" spans="1:26" ht="16.5" x14ac:dyDescent="0.35">
      <c r="A4482" s="2" t="str">
        <f ca="1">IFERROR(__xludf.DUMMYFUNCTION("""COMPUTED_VALUE"""),"Dubai")</f>
        <v>Dubai</v>
      </c>
      <c r="B4482" s="2" t="str">
        <f ca="1">IFERROR(__xludf.DUMMYFUNCTION("""COMPUTED_VALUE"""),"Al Khazan Building")</f>
        <v>Al Khazan Building</v>
      </c>
      <c r="C4482" s="2" t="str">
        <f ca="1">IFERROR(__xludf.DUMMYFUNCTION("""COMPUTED_VALUE"""),"Building")</f>
        <v>Building</v>
      </c>
      <c r="D4482" s="2" t="str">
        <f ca="1">IFERROR(__xludf.DUMMYFUNCTION("""COMPUTED_VALUE"""),"Dubai&gt;Umm Ramool&gt;Al Khazan Building")</f>
        <v>Dubai&gt;Umm Ramool&gt;Al Khazan Building</v>
      </c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</row>
    <row r="4483" spans="1:26" ht="16.5" x14ac:dyDescent="0.35">
      <c r="A4483" s="2" t="str">
        <f ca="1">IFERROR(__xludf.DUMMYFUNCTION("""COMPUTED_VALUE"""),"Dubai")</f>
        <v>Dubai</v>
      </c>
      <c r="B4483" s="2" t="str">
        <f ca="1">IFERROR(__xludf.DUMMYFUNCTION("""COMPUTED_VALUE"""),"Leva Hotel Mazaya Centre")</f>
        <v>Leva Hotel Mazaya Centre</v>
      </c>
      <c r="C4483" s="2" t="str">
        <f ca="1">IFERROR(__xludf.DUMMYFUNCTION("""COMPUTED_VALUE"""),"Building")</f>
        <v>Building</v>
      </c>
      <c r="D4483" s="2" t="str">
        <f ca="1">IFERROR(__xludf.DUMMYFUNCTION("""COMPUTED_VALUE"""),"Dubai&gt;Sheikh Zayed Road&gt;Leva Hotel Mazaya Centre")</f>
        <v>Dubai&gt;Sheikh Zayed Road&gt;Leva Hotel Mazaya Centre</v>
      </c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</row>
    <row r="4484" spans="1:26" ht="16.5" x14ac:dyDescent="0.35">
      <c r="A4484" s="2" t="str">
        <f ca="1">IFERROR(__xludf.DUMMYFUNCTION("""COMPUTED_VALUE"""),"Dubai")</f>
        <v>Dubai</v>
      </c>
      <c r="B4484" s="2" t="str">
        <f ca="1">IFERROR(__xludf.DUMMYFUNCTION("""COMPUTED_VALUE"""),"Al Safa Tower")</f>
        <v>Al Safa Tower</v>
      </c>
      <c r="C4484" s="2" t="str">
        <f ca="1">IFERROR(__xludf.DUMMYFUNCTION("""COMPUTED_VALUE"""),"Building")</f>
        <v>Building</v>
      </c>
      <c r="D4484" s="2" t="str">
        <f ca="1">IFERROR(__xludf.DUMMYFUNCTION("""COMPUTED_VALUE"""),"Dubai&gt;Sheikh Zayed Road&gt;Al Safa Tower")</f>
        <v>Dubai&gt;Sheikh Zayed Road&gt;Al Safa Tower</v>
      </c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</row>
    <row r="4485" spans="1:26" ht="16.5" x14ac:dyDescent="0.35">
      <c r="A4485" s="2" t="str">
        <f ca="1">IFERROR(__xludf.DUMMYFUNCTION("""COMPUTED_VALUE"""),"Dubai")</f>
        <v>Dubai</v>
      </c>
      <c r="B4485" s="2" t="str">
        <f ca="1">IFERROR(__xludf.DUMMYFUNCTION("""COMPUTED_VALUE"""),"White Swan Tower")</f>
        <v>White Swan Tower</v>
      </c>
      <c r="C4485" s="2" t="str">
        <f ca="1">IFERROR(__xludf.DUMMYFUNCTION("""COMPUTED_VALUE"""),"Building")</f>
        <v>Building</v>
      </c>
      <c r="D4485" s="2" t="str">
        <f ca="1">IFERROR(__xludf.DUMMYFUNCTION("""COMPUTED_VALUE"""),"Dubai&gt;Sheikh Zayed Road&gt;White Swan Tower")</f>
        <v>Dubai&gt;Sheikh Zayed Road&gt;White Swan Tower</v>
      </c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</row>
    <row r="4486" spans="1:26" ht="16.5" x14ac:dyDescent="0.35">
      <c r="A4486" s="2" t="str">
        <f ca="1">IFERROR(__xludf.DUMMYFUNCTION("""COMPUTED_VALUE"""),"Dubai")</f>
        <v>Dubai</v>
      </c>
      <c r="B4486" s="2" t="str">
        <f ca="1">IFERROR(__xludf.DUMMYFUNCTION("""COMPUTED_VALUE"""),"Nasser Rashid Lootah Building")</f>
        <v>Nasser Rashid Lootah Building</v>
      </c>
      <c r="C4486" s="2" t="str">
        <f ca="1">IFERROR(__xludf.DUMMYFUNCTION("""COMPUTED_VALUE"""),"Building")</f>
        <v>Building</v>
      </c>
      <c r="D4486" s="2" t="str">
        <f ca="1">IFERROR(__xludf.DUMMYFUNCTION("""COMPUTED_VALUE"""),"Dubai&gt;Sheikh Zayed Road&gt;Nasser Rashid Lootah Building")</f>
        <v>Dubai&gt;Sheikh Zayed Road&gt;Nasser Rashid Lootah Building</v>
      </c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</row>
    <row r="4487" spans="1:26" ht="16.5" x14ac:dyDescent="0.35">
      <c r="A4487" s="2" t="str">
        <f ca="1">IFERROR(__xludf.DUMMYFUNCTION("""COMPUTED_VALUE"""),"Dubai")</f>
        <v>Dubai</v>
      </c>
      <c r="B4487" s="2" t="str">
        <f ca="1">IFERROR(__xludf.DUMMYFUNCTION("""COMPUTED_VALUE"""),"Karama New Building")</f>
        <v>Karama New Building</v>
      </c>
      <c r="C4487" s="2" t="str">
        <f ca="1">IFERROR(__xludf.DUMMYFUNCTION("""COMPUTED_VALUE"""),"Building")</f>
        <v>Building</v>
      </c>
      <c r="D4487" s="2" t="str">
        <f ca="1">IFERROR(__xludf.DUMMYFUNCTION("""COMPUTED_VALUE"""),"Dubai&gt;Al Karama&gt;Karama New Building")</f>
        <v>Dubai&gt;Al Karama&gt;Karama New Building</v>
      </c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</row>
    <row r="4488" spans="1:26" ht="16.5" x14ac:dyDescent="0.35">
      <c r="A4488" s="2" t="str">
        <f ca="1">IFERROR(__xludf.DUMMYFUNCTION("""COMPUTED_VALUE"""),"Dubai")</f>
        <v>Dubai</v>
      </c>
      <c r="B4488" s="2" t="str">
        <f ca="1">IFERROR(__xludf.DUMMYFUNCTION("""COMPUTED_VALUE"""),"Building 28")</f>
        <v>Building 28</v>
      </c>
      <c r="C4488" s="2" t="str">
        <f ca="1">IFERROR(__xludf.DUMMYFUNCTION("""COMPUTED_VALUE"""),"Building")</f>
        <v>Building</v>
      </c>
      <c r="D4488" s="2" t="str">
        <f ca="1">IFERROR(__xludf.DUMMYFUNCTION("""COMPUTED_VALUE"""),"Dubai&gt;Al Karama&gt;Karam Pioneer Buildings&gt;Building 28")</f>
        <v>Dubai&gt;Al Karama&gt;Karam Pioneer Buildings&gt;Building 28</v>
      </c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</row>
    <row r="4489" spans="1:26" ht="16.5" x14ac:dyDescent="0.35">
      <c r="A4489" s="2" t="str">
        <f ca="1">IFERROR(__xludf.DUMMYFUNCTION("""COMPUTED_VALUE"""),"Dubai")</f>
        <v>Dubai</v>
      </c>
      <c r="B4489" s="2" t="str">
        <f ca="1">IFERROR(__xludf.DUMMYFUNCTION("""COMPUTED_VALUE"""),"Karama Shopping Complex -H")</f>
        <v>Karama Shopping Complex -H</v>
      </c>
      <c r="C4489" s="2" t="str">
        <f ca="1">IFERROR(__xludf.DUMMYFUNCTION("""COMPUTED_VALUE"""),"Building")</f>
        <v>Building</v>
      </c>
      <c r="D4489" s="2" t="str">
        <f ca="1">IFERROR(__xludf.DUMMYFUNCTION("""COMPUTED_VALUE"""),"Dubai&gt;Al Karama&gt;Karama Shopping Complex&gt;Karama Shopping Complex -H")</f>
        <v>Dubai&gt;Al Karama&gt;Karama Shopping Complex&gt;Karama Shopping Complex -H</v>
      </c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</row>
    <row r="4490" spans="1:26" ht="16.5" x14ac:dyDescent="0.35">
      <c r="A4490" s="2" t="str">
        <f ca="1">IFERROR(__xludf.DUMMYFUNCTION("""COMPUTED_VALUE"""),"Dubai")</f>
        <v>Dubai</v>
      </c>
      <c r="B4490" s="2" t="str">
        <f ca="1">IFERROR(__xludf.DUMMYFUNCTION("""COMPUTED_VALUE"""),"Abdul Aziz Mirza Building")</f>
        <v>Abdul Aziz Mirza Building</v>
      </c>
      <c r="C4490" s="2" t="str">
        <f ca="1">IFERROR(__xludf.DUMMYFUNCTION("""COMPUTED_VALUE"""),"Building")</f>
        <v>Building</v>
      </c>
      <c r="D4490" s="2" t="str">
        <f ca="1">IFERROR(__xludf.DUMMYFUNCTION("""COMPUTED_VALUE"""),"Dubai&gt;Al Karama&gt;Abdul Aziz Mirza Building")</f>
        <v>Dubai&gt;Al Karama&gt;Abdul Aziz Mirza Building</v>
      </c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</row>
    <row r="4491" spans="1:26" ht="16.5" x14ac:dyDescent="0.35">
      <c r="A4491" s="2" t="str">
        <f ca="1">IFERROR(__xludf.DUMMYFUNCTION("""COMPUTED_VALUE"""),"Dubai")</f>
        <v>Dubai</v>
      </c>
      <c r="B4491" s="2" t="str">
        <f ca="1">IFERROR(__xludf.DUMMYFUNCTION("""COMPUTED_VALUE"""),"Zabeel House 1")</f>
        <v>Zabeel House 1</v>
      </c>
      <c r="C4491" s="2" t="str">
        <f ca="1">IFERROR(__xludf.DUMMYFUNCTION("""COMPUTED_VALUE"""),"Building")</f>
        <v>Building</v>
      </c>
      <c r="D4491" s="2" t="str">
        <f ca="1">IFERROR(__xludf.DUMMYFUNCTION("""COMPUTED_VALUE"""),"Dubai&gt;Al Karama&gt;Zabeel House 1")</f>
        <v>Dubai&gt;Al Karama&gt;Zabeel House 1</v>
      </c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</row>
    <row r="4492" spans="1:26" ht="16.5" x14ac:dyDescent="0.35">
      <c r="A4492" s="2" t="str">
        <f ca="1">IFERROR(__xludf.DUMMYFUNCTION("""COMPUTED_VALUE"""),"Dubai")</f>
        <v>Dubai</v>
      </c>
      <c r="B4492" s="2" t="str">
        <f ca="1">IFERROR(__xludf.DUMMYFUNCTION("""COMPUTED_VALUE"""),"Al Wasl R419 Block C")</f>
        <v>Al Wasl R419 Block C</v>
      </c>
      <c r="C4492" s="2" t="str">
        <f ca="1">IFERROR(__xludf.DUMMYFUNCTION("""COMPUTED_VALUE"""),"Building")</f>
        <v>Building</v>
      </c>
      <c r="D4492" s="2" t="str">
        <f ca="1">IFERROR(__xludf.DUMMYFUNCTION("""COMPUTED_VALUE"""),"Dubai&gt;Al Karama&gt;Al Wasl R419 Block C")</f>
        <v>Dubai&gt;Al Karama&gt;Al Wasl R419 Block C</v>
      </c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</row>
    <row r="4493" spans="1:26" ht="16.5" x14ac:dyDescent="0.35">
      <c r="A4493" s="2" t="str">
        <f ca="1">IFERROR(__xludf.DUMMYFUNCTION("""COMPUTED_VALUE"""),"Dubai")</f>
        <v>Dubai</v>
      </c>
      <c r="B4493" s="2" t="str">
        <f ca="1">IFERROR(__xludf.DUMMYFUNCTION("""COMPUTED_VALUE"""),"Abdulla Hussain Khory Building")</f>
        <v>Abdulla Hussain Khory Building</v>
      </c>
      <c r="C4493" s="2" t="str">
        <f ca="1">IFERROR(__xludf.DUMMYFUNCTION("""COMPUTED_VALUE"""),"Building")</f>
        <v>Building</v>
      </c>
      <c r="D4493" s="2" t="str">
        <f ca="1">IFERROR(__xludf.DUMMYFUNCTION("""COMPUTED_VALUE"""),"Dubai&gt;Al Karama&gt;Abdulla Hussain Khory Building")</f>
        <v>Dubai&gt;Al Karama&gt;Abdulla Hussain Khory Building</v>
      </c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</row>
    <row r="4494" spans="1:26" ht="16.5" x14ac:dyDescent="0.35">
      <c r="A4494" s="2" t="str">
        <f ca="1">IFERROR(__xludf.DUMMYFUNCTION("""COMPUTED_VALUE"""),"Dubai")</f>
        <v>Dubai</v>
      </c>
      <c r="B4494" s="2" t="str">
        <f ca="1">IFERROR(__xludf.DUMMYFUNCTION("""COMPUTED_VALUE"""),"Hanifa Sultan Building")</f>
        <v>Hanifa Sultan Building</v>
      </c>
      <c r="C4494" s="2" t="str">
        <f ca="1">IFERROR(__xludf.DUMMYFUNCTION("""COMPUTED_VALUE"""),"Building")</f>
        <v>Building</v>
      </c>
      <c r="D4494" s="2" t="str">
        <f ca="1">IFERROR(__xludf.DUMMYFUNCTION("""COMPUTED_VALUE"""),"Dubai&gt;Al Karama&gt;Hanifa Sultan Building")</f>
        <v>Dubai&gt;Al Karama&gt;Hanifa Sultan Building</v>
      </c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</row>
    <row r="4495" spans="1:26" ht="16.5" x14ac:dyDescent="0.35">
      <c r="A4495" s="2" t="str">
        <f ca="1">IFERROR(__xludf.DUMMYFUNCTION("""COMPUTED_VALUE"""),"Dubai")</f>
        <v>Dubai</v>
      </c>
      <c r="B4495" s="2" t="str">
        <f ca="1">IFERROR(__xludf.DUMMYFUNCTION("""COMPUTED_VALUE"""),"Block B")</f>
        <v>Block B</v>
      </c>
      <c r="C4495" s="2" t="str">
        <f ca="1">IFERROR(__xludf.DUMMYFUNCTION("""COMPUTED_VALUE"""),"Building")</f>
        <v>Building</v>
      </c>
      <c r="D4495" s="2" t="str">
        <f ca="1">IFERROR(__xludf.DUMMYFUNCTION("""COMPUTED_VALUE"""),"Dubai&gt;Al Karama&gt;Al Nabooda&gt;Block B")</f>
        <v>Dubai&gt;Al Karama&gt;Al Nabooda&gt;Block B</v>
      </c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</row>
    <row r="4496" spans="1:26" ht="16.5" x14ac:dyDescent="0.35">
      <c r="A4496" s="2" t="str">
        <f ca="1">IFERROR(__xludf.DUMMYFUNCTION("""COMPUTED_VALUE"""),"Dubai")</f>
        <v>Dubai</v>
      </c>
      <c r="B4496" s="2" t="str">
        <f ca="1">IFERROR(__xludf.DUMMYFUNCTION("""COMPUTED_VALUE"""),"Bel Rashid Building")</f>
        <v>Bel Rashid Building</v>
      </c>
      <c r="C4496" s="2" t="str">
        <f ca="1">IFERROR(__xludf.DUMMYFUNCTION("""COMPUTED_VALUE"""),"Building")</f>
        <v>Building</v>
      </c>
      <c r="D4496" s="2" t="str">
        <f ca="1">IFERROR(__xludf.DUMMYFUNCTION("""COMPUTED_VALUE"""),"Dubai&gt;Al Karama&gt;Bel Rashid Building")</f>
        <v>Dubai&gt;Al Karama&gt;Bel Rashid Building</v>
      </c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</row>
    <row r="4497" spans="1:26" ht="16.5" x14ac:dyDescent="0.35">
      <c r="A4497" s="2" t="str">
        <f ca="1">IFERROR(__xludf.DUMMYFUNCTION("""COMPUTED_VALUE"""),"Dubai")</f>
        <v>Dubai</v>
      </c>
      <c r="B4497" s="2" t="str">
        <f ca="1">IFERROR(__xludf.DUMMYFUNCTION("""COMPUTED_VALUE"""),"Ramee Royal Hotel")</f>
        <v>Ramee Royal Hotel</v>
      </c>
      <c r="C4497" s="2" t="str">
        <f ca="1">IFERROR(__xludf.DUMMYFUNCTION("""COMPUTED_VALUE"""),"Building")</f>
        <v>Building</v>
      </c>
      <c r="D4497" s="2" t="str">
        <f ca="1">IFERROR(__xludf.DUMMYFUNCTION("""COMPUTED_VALUE"""),"Dubai&gt;Al Karama&gt;Ramee Royal Hotel")</f>
        <v>Dubai&gt;Al Karama&gt;Ramee Royal Hotel</v>
      </c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</row>
    <row r="4498" spans="1:26" ht="16.5" x14ac:dyDescent="0.35">
      <c r="A4498" s="2" t="str">
        <f ca="1">IFERROR(__xludf.DUMMYFUNCTION("""COMPUTED_VALUE"""),"Dubai")</f>
        <v>Dubai</v>
      </c>
      <c r="B4498" s="2" t="str">
        <f ca="1">IFERROR(__xludf.DUMMYFUNCTION("""COMPUTED_VALUE"""),"The Pearl")</f>
        <v>The Pearl</v>
      </c>
      <c r="C4498" s="2" t="str">
        <f ca="1">IFERROR(__xludf.DUMMYFUNCTION("""COMPUTED_VALUE"""),"Building")</f>
        <v>Building</v>
      </c>
      <c r="D4498" s="2" t="str">
        <f ca="1">IFERROR(__xludf.DUMMYFUNCTION("""COMPUTED_VALUE"""),"Dubai&gt;Culture Village (Jaddaf Waterfront)&gt;The Pearl")</f>
        <v>Dubai&gt;Culture Village (Jaddaf Waterfront)&gt;The Pearl</v>
      </c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</row>
    <row r="4499" spans="1:26" ht="16.5" x14ac:dyDescent="0.35">
      <c r="A4499" s="2" t="str">
        <f ca="1">IFERROR(__xludf.DUMMYFUNCTION("""COMPUTED_VALUE"""),"Dubai")</f>
        <v>Dubai</v>
      </c>
      <c r="B4499" s="2" t="str">
        <f ca="1">IFERROR(__xludf.DUMMYFUNCTION("""COMPUTED_VALUE"""),"Amazonia")</f>
        <v>Amazonia</v>
      </c>
      <c r="C4499" s="2" t="str">
        <f ca="1">IFERROR(__xludf.DUMMYFUNCTION("""COMPUTED_VALUE"""),"Building")</f>
        <v>Building</v>
      </c>
      <c r="D4499" s="2" t="str">
        <f ca="1">IFERROR(__xludf.DUMMYFUNCTION("""COMPUTED_VALUE"""),"Dubai&gt;Culture Village (Jaddaf Waterfront)&gt;Amazonia")</f>
        <v>Dubai&gt;Culture Village (Jaddaf Waterfront)&gt;Amazonia</v>
      </c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</row>
    <row r="4500" spans="1:26" ht="16.5" x14ac:dyDescent="0.35">
      <c r="A4500" s="2" t="str">
        <f ca="1">IFERROR(__xludf.DUMMYFUNCTION("""COMPUTED_VALUE"""),"Dubai")</f>
        <v>Dubai</v>
      </c>
      <c r="B4500" s="2" t="str">
        <f ca="1">IFERROR(__xludf.DUMMYFUNCTION("""COMPUTED_VALUE"""),"Rahaal")</f>
        <v>Rahaal</v>
      </c>
      <c r="C4500" s="2" t="str">
        <f ca="1">IFERROR(__xludf.DUMMYFUNCTION("""COMPUTED_VALUE"""),"Cluster")</f>
        <v>Cluster</v>
      </c>
      <c r="D4500" s="2" t="str">
        <f ca="1">IFERROR(__xludf.DUMMYFUNCTION("""COMPUTED_VALUE"""),"Dubai&gt;Umm Suqeim&gt;Madinat Jumeirah Living&gt;Rahaal")</f>
        <v>Dubai&gt;Umm Suqeim&gt;Madinat Jumeirah Living&gt;Rahaal</v>
      </c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</row>
    <row r="4501" spans="1:26" ht="16.5" x14ac:dyDescent="0.35">
      <c r="A4501" s="2" t="str">
        <f ca="1">IFERROR(__xludf.DUMMYFUNCTION("""COMPUTED_VALUE"""),"Dubai")</f>
        <v>Dubai</v>
      </c>
      <c r="B4501" s="2" t="str">
        <f ca="1">IFERROR(__xludf.DUMMYFUNCTION("""COMPUTED_VALUE"""),"Elara Building 2")</f>
        <v>Elara Building 2</v>
      </c>
      <c r="C4501" s="2" t="str">
        <f ca="1">IFERROR(__xludf.DUMMYFUNCTION("""COMPUTED_VALUE"""),"Building")</f>
        <v>Building</v>
      </c>
      <c r="D4501" s="2" t="str">
        <f ca="1">IFERROR(__xludf.DUMMYFUNCTION("""COMPUTED_VALUE"""),"Dubai&gt;Umm Suqeim&gt;Madinat Jumeirah Living&gt;Elara&gt;Elara Building 2")</f>
        <v>Dubai&gt;Umm Suqeim&gt;Madinat Jumeirah Living&gt;Elara&gt;Elara Building 2</v>
      </c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</row>
    <row r="4502" spans="1:26" ht="16.5" x14ac:dyDescent="0.35">
      <c r="A4502" s="2" t="str">
        <f ca="1">IFERROR(__xludf.DUMMYFUNCTION("""COMPUTED_VALUE"""),"Dubai")</f>
        <v>Dubai</v>
      </c>
      <c r="B4502" s="2" t="str">
        <f ca="1">IFERROR(__xludf.DUMMYFUNCTION("""COMPUTED_VALUE"""),"NM Lootah 25")</f>
        <v>NM Lootah 25</v>
      </c>
      <c r="C4502" s="2" t="str">
        <f ca="1">IFERROR(__xludf.DUMMYFUNCTION("""COMPUTED_VALUE"""),"Neighbourhood")</f>
        <v>Neighbourhood</v>
      </c>
      <c r="D4502" s="2" t="str">
        <f ca="1">IFERROR(__xludf.DUMMYFUNCTION("""COMPUTED_VALUE"""),"Dubai&gt;Umm Suqeim&gt;Umm Suqeim 1&gt;NM Lootah 25")</f>
        <v>Dubai&gt;Umm Suqeim&gt;Umm Suqeim 1&gt;NM Lootah 25</v>
      </c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</row>
    <row r="4503" spans="1:26" ht="16.5" x14ac:dyDescent="0.35">
      <c r="A4503" s="2" t="str">
        <f ca="1">IFERROR(__xludf.DUMMYFUNCTION("""COMPUTED_VALUE"""),"Dubai")</f>
        <v>Dubai</v>
      </c>
      <c r="B4503" s="2" t="str">
        <f ca="1">IFERROR(__xludf.DUMMYFUNCTION("""COMPUTED_VALUE"""),"Mohd. Amer Building")</f>
        <v>Mohd. Amer Building</v>
      </c>
      <c r="C4503" s="2" t="str">
        <f ca="1">IFERROR(__xludf.DUMMYFUNCTION("""COMPUTED_VALUE"""),"Building")</f>
        <v>Building</v>
      </c>
      <c r="D4503" s="2" t="str">
        <f ca="1">IFERROR(__xludf.DUMMYFUNCTION("""COMPUTED_VALUE"""),"Dubai&gt;Al Badaa&gt;Mohd. Amer Building")</f>
        <v>Dubai&gt;Al Badaa&gt;Mohd. Amer Building</v>
      </c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</row>
    <row r="4504" spans="1:26" ht="16.5" x14ac:dyDescent="0.35">
      <c r="A4504" s="2" t="str">
        <f ca="1">IFERROR(__xludf.DUMMYFUNCTION("""COMPUTED_VALUE"""),"Dubai")</f>
        <v>Dubai</v>
      </c>
      <c r="B4504" s="2" t="str">
        <f ca="1">IFERROR(__xludf.DUMMYFUNCTION("""COMPUTED_VALUE"""),"Highrise")</f>
        <v>Highrise</v>
      </c>
      <c r="C4504" s="2" t="str">
        <f ca="1">IFERROR(__xludf.DUMMYFUNCTION("""COMPUTED_VALUE"""),"Building")</f>
        <v>Building</v>
      </c>
      <c r="D4504" s="2" t="str">
        <f ca="1">IFERROR(__xludf.DUMMYFUNCTION("""COMPUTED_VALUE"""),"Dubai&gt;Al Badaa&gt;Highrise")</f>
        <v>Dubai&gt;Al Badaa&gt;Highrise</v>
      </c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</row>
    <row r="4505" spans="1:26" ht="16.5" x14ac:dyDescent="0.35">
      <c r="A4505" s="2" t="str">
        <f ca="1">IFERROR(__xludf.DUMMYFUNCTION("""COMPUTED_VALUE"""),"Dubai")</f>
        <v>Dubai</v>
      </c>
      <c r="B4505" s="2" t="str">
        <f ca="1">IFERROR(__xludf.DUMMYFUNCTION("""COMPUTED_VALUE"""),"Wasl 90 Villas")</f>
        <v>Wasl 90 Villas</v>
      </c>
      <c r="C4505" s="2" t="str">
        <f ca="1">IFERROR(__xludf.DUMMYFUNCTION("""COMPUTED_VALUE"""),"Neighbourhood")</f>
        <v>Neighbourhood</v>
      </c>
      <c r="D4505" s="2" t="str">
        <f ca="1">IFERROR(__xludf.DUMMYFUNCTION("""COMPUTED_VALUE"""),"Dubai&gt;Al Badaa&gt;Wasl 90 Villas")</f>
        <v>Dubai&gt;Al Badaa&gt;Wasl 90 Villas</v>
      </c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</row>
    <row r="4506" spans="1:26" ht="16.5" x14ac:dyDescent="0.35">
      <c r="A4506" s="2" t="str">
        <f ca="1">IFERROR(__xludf.DUMMYFUNCTION("""COMPUTED_VALUE"""),"Dubai")</f>
        <v>Dubai</v>
      </c>
      <c r="B4506" s="2" t="str">
        <f ca="1">IFERROR(__xludf.DUMMYFUNCTION("""COMPUTED_VALUE"""),"German Kindergarten Nursery")</f>
        <v>German Kindergarten Nursery</v>
      </c>
      <c r="C4506" s="2" t="str">
        <f ca="1">IFERROR(__xludf.DUMMYFUNCTION("""COMPUTED_VALUE"""),"Nursery")</f>
        <v>Nursery</v>
      </c>
      <c r="D4506" s="2" t="str">
        <f ca="1">IFERROR(__xludf.DUMMYFUNCTION("""COMPUTED_VALUE"""),"Dubai&gt;Academic City&gt;German Kindergarten Nursery")</f>
        <v>Dubai&gt;Academic City&gt;German Kindergarten Nursery</v>
      </c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</row>
    <row r="4507" spans="1:26" ht="16.5" x14ac:dyDescent="0.35">
      <c r="A4507" s="2" t="str">
        <f ca="1">IFERROR(__xludf.DUMMYFUNCTION("""COMPUTED_VALUE"""),"Dubai")</f>
        <v>Dubai</v>
      </c>
      <c r="B4507" s="2" t="str">
        <f ca="1">IFERROR(__xludf.DUMMYFUNCTION("""COMPUTED_VALUE"""),"Blossom Nursery Dubai Design District")</f>
        <v>Blossom Nursery Dubai Design District</v>
      </c>
      <c r="C4507" s="2" t="str">
        <f ca="1">IFERROR(__xludf.DUMMYFUNCTION("""COMPUTED_VALUE"""),"Nursery")</f>
        <v>Nursery</v>
      </c>
      <c r="D4507" s="2" t="str">
        <f ca="1">IFERROR(__xludf.DUMMYFUNCTION("""COMPUTED_VALUE"""),"Dubai&gt;Dubai Design District&gt;Blossom Nursery Dubai Design District")</f>
        <v>Dubai&gt;Dubai Design District&gt;Blossom Nursery Dubai Design District</v>
      </c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</row>
    <row r="4508" spans="1:26" ht="16.5" x14ac:dyDescent="0.35">
      <c r="A4508" s="2" t="str">
        <f ca="1">IFERROR(__xludf.DUMMYFUNCTION("""COMPUTED_VALUE"""),"Dubai")</f>
        <v>Dubai</v>
      </c>
      <c r="B4508" s="2" t="str">
        <f ca="1">IFERROR(__xludf.DUMMYFUNCTION("""COMPUTED_VALUE"""),"Al Wasl Block B")</f>
        <v>Al Wasl Block B</v>
      </c>
      <c r="C4508" s="2" t="str">
        <f ca="1">IFERROR(__xludf.DUMMYFUNCTION("""COMPUTED_VALUE"""),"Building")</f>
        <v>Building</v>
      </c>
      <c r="D4508" s="2" t="str">
        <f ca="1">IFERROR(__xludf.DUMMYFUNCTION("""COMPUTED_VALUE"""),"Dubai&gt;Al Hudaiba&gt;Al Wasl Block B")</f>
        <v>Dubai&gt;Al Hudaiba&gt;Al Wasl Block B</v>
      </c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</row>
    <row r="4509" spans="1:26" ht="16.5" x14ac:dyDescent="0.35">
      <c r="A4509" s="2" t="str">
        <f ca="1">IFERROR(__xludf.DUMMYFUNCTION("""COMPUTED_VALUE"""),"Dubai")</f>
        <v>Dubai</v>
      </c>
      <c r="B4509" s="2" t="str">
        <f ca="1">IFERROR(__xludf.DUMMYFUNCTION("""COMPUTED_VALUE"""),"Al Wasl R388 Block B")</f>
        <v>Al Wasl R388 Block B</v>
      </c>
      <c r="C4509" s="2" t="str">
        <f ca="1">IFERROR(__xludf.DUMMYFUNCTION("""COMPUTED_VALUE"""),"Building")</f>
        <v>Building</v>
      </c>
      <c r="D4509" s="2" t="str">
        <f ca="1">IFERROR(__xludf.DUMMYFUNCTION("""COMPUTED_VALUE"""),"Dubai&gt;Al Hudaiba&gt;Al Wasl R388 Block B")</f>
        <v>Dubai&gt;Al Hudaiba&gt;Al Wasl R388 Block B</v>
      </c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</row>
    <row r="4510" spans="1:26" ht="16.5" x14ac:dyDescent="0.35">
      <c r="A4510" s="2" t="str">
        <f ca="1">IFERROR(__xludf.DUMMYFUNCTION("""COMPUTED_VALUE"""),"Dubai")</f>
        <v>Dubai</v>
      </c>
      <c r="B4510" s="2" t="str">
        <f ca="1">IFERROR(__xludf.DUMMYFUNCTION("""COMPUTED_VALUE"""),"API Al Diyafah Building")</f>
        <v>API Al Diyafah Building</v>
      </c>
      <c r="C4510" s="2" t="str">
        <f ca="1">IFERROR(__xludf.DUMMYFUNCTION("""COMPUTED_VALUE"""),"Building")</f>
        <v>Building</v>
      </c>
      <c r="D4510" s="2" t="str">
        <f ca="1">IFERROR(__xludf.DUMMYFUNCTION("""COMPUTED_VALUE"""),"Dubai&gt;Jumeirah&gt;Jumeirah 1&gt;API Al Diyafah Building")</f>
        <v>Dubai&gt;Jumeirah&gt;Jumeirah 1&gt;API Al Diyafah Building</v>
      </c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</row>
    <row r="4511" spans="1:26" ht="16.5" x14ac:dyDescent="0.35">
      <c r="A4511" s="2" t="str">
        <f ca="1">IFERROR(__xludf.DUMMYFUNCTION("""COMPUTED_VALUE"""),"Dubai")</f>
        <v>Dubai</v>
      </c>
      <c r="B4511" s="2" t="str">
        <f ca="1">IFERROR(__xludf.DUMMYFUNCTION("""COMPUTED_VALUE"""),"Mr. C Residences")</f>
        <v>Mr. C Residences</v>
      </c>
      <c r="C4511" s="2" t="str">
        <f ca="1">IFERROR(__xludf.DUMMYFUNCTION("""COMPUTED_VALUE"""),"Building")</f>
        <v>Building</v>
      </c>
      <c r="D4511" s="2" t="str">
        <f ca="1">IFERROR(__xludf.DUMMYFUNCTION("""COMPUTED_VALUE"""),"Dubai&gt;Jumeirah&gt;Jumeirah 2&gt;Mr. C Residences")</f>
        <v>Dubai&gt;Jumeirah&gt;Jumeirah 2&gt;Mr. C Residences</v>
      </c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</row>
    <row r="4512" spans="1:26" ht="16.5" x14ac:dyDescent="0.35">
      <c r="A4512" s="2" t="str">
        <f ca="1">IFERROR(__xludf.DUMMYFUNCTION("""COMPUTED_VALUE"""),"Dubai")</f>
        <v>Dubai</v>
      </c>
      <c r="B4512" s="2" t="str">
        <f ca="1">IFERROR(__xludf.DUMMYFUNCTION("""COMPUTED_VALUE"""),"La Sirene")</f>
        <v>La Sirene</v>
      </c>
      <c r="C4512" s="2" t="str">
        <f ca="1">IFERROR(__xludf.DUMMYFUNCTION("""COMPUTED_VALUE"""),"Cluster")</f>
        <v>Cluster</v>
      </c>
      <c r="D4512" s="2" t="str">
        <f ca="1">IFERROR(__xludf.DUMMYFUNCTION("""COMPUTED_VALUE"""),"Dubai&gt;Jumeirah&gt;La Mer&gt;Port de La Mer&gt;La Sirene")</f>
        <v>Dubai&gt;Jumeirah&gt;La Mer&gt;Port de La Mer&gt;La Sirene</v>
      </c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</row>
    <row r="4513" spans="1:26" ht="16.5" x14ac:dyDescent="0.35">
      <c r="A4513" s="2" t="str">
        <f ca="1">IFERROR(__xludf.DUMMYFUNCTION("""COMPUTED_VALUE"""),"Dubai")</f>
        <v>Dubai</v>
      </c>
      <c r="B4513" s="2" t="str">
        <f ca="1">IFERROR(__xludf.DUMMYFUNCTION("""COMPUTED_VALUE"""),"Creek Horizon Podium")</f>
        <v>Creek Horizon Podium</v>
      </c>
      <c r="C4513" s="2" t="str">
        <f ca="1">IFERROR(__xludf.DUMMYFUNCTION("""COMPUTED_VALUE"""),"Building")</f>
        <v>Building</v>
      </c>
      <c r="D4513" s="2" t="str">
        <f ca="1">IFERROR(__xludf.DUMMYFUNCTION("""COMPUTED_VALUE"""),"Dubai&gt;Dubai Creek Harbour&gt;Creek Horizon&gt;Creek Horizon Podium")</f>
        <v>Dubai&gt;Dubai Creek Harbour&gt;Creek Horizon&gt;Creek Horizon Podium</v>
      </c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</row>
    <row r="4514" spans="1:26" ht="16.5" x14ac:dyDescent="0.35">
      <c r="A4514" s="2" t="str">
        <f ca="1">IFERROR(__xludf.DUMMYFUNCTION("""COMPUTED_VALUE"""),"Dubai")</f>
        <v>Dubai</v>
      </c>
      <c r="B4514" s="2" t="str">
        <f ca="1">IFERROR(__xludf.DUMMYFUNCTION("""COMPUTED_VALUE"""),"Breeze 3")</f>
        <v>Breeze 3</v>
      </c>
      <c r="C4514" s="2" t="str">
        <f ca="1">IFERROR(__xludf.DUMMYFUNCTION("""COMPUTED_VALUE"""),"Building")</f>
        <v>Building</v>
      </c>
      <c r="D4514" s="2" t="str">
        <f ca="1">IFERROR(__xludf.DUMMYFUNCTION("""COMPUTED_VALUE"""),"Dubai&gt;Dubai Creek Harbour&gt;Breeze at Creek Beach&gt;Breeze 3")</f>
        <v>Dubai&gt;Dubai Creek Harbour&gt;Breeze at Creek Beach&gt;Breeze 3</v>
      </c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</row>
    <row r="4515" spans="1:26" ht="16.5" x14ac:dyDescent="0.35">
      <c r="A4515" s="2" t="str">
        <f ca="1">IFERROR(__xludf.DUMMYFUNCTION("""COMPUTED_VALUE"""),"Dubai")</f>
        <v>Dubai</v>
      </c>
      <c r="B4515" s="2" t="str">
        <f ca="1">IFERROR(__xludf.DUMMYFUNCTION("""COMPUTED_VALUE"""),"Rosewater at Creek Beach Building 1")</f>
        <v>Rosewater at Creek Beach Building 1</v>
      </c>
      <c r="C4515" s="2" t="str">
        <f ca="1">IFERROR(__xludf.DUMMYFUNCTION("""COMPUTED_VALUE"""),"Building")</f>
        <v>Building</v>
      </c>
      <c r="D4515" s="2" t="str">
        <f ca="1">IFERROR(__xludf.DUMMYFUNCTION("""COMPUTED_VALUE"""),"Dubai&gt;Dubai Creek Harbour&gt;Rosewater at Creek Beach&gt;Rosewater at Creek Beach Building 1")</f>
        <v>Dubai&gt;Dubai Creek Harbour&gt;Rosewater at Creek Beach&gt;Rosewater at Creek Beach Building 1</v>
      </c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</row>
    <row r="4516" spans="1:26" ht="16.5" x14ac:dyDescent="0.35">
      <c r="A4516" s="2" t="str">
        <f ca="1">IFERROR(__xludf.DUMMYFUNCTION("""COMPUTED_VALUE"""),"Dubai")</f>
        <v>Dubai</v>
      </c>
      <c r="B4516" s="2" t="str">
        <f ca="1">IFERROR(__xludf.DUMMYFUNCTION("""COMPUTED_VALUE"""),"Savanna Building 3")</f>
        <v>Savanna Building 3</v>
      </c>
      <c r="C4516" s="2" t="str">
        <f ca="1">IFERROR(__xludf.DUMMYFUNCTION("""COMPUTED_VALUE"""),"Building")</f>
        <v>Building</v>
      </c>
      <c r="D4516" s="2" t="str">
        <f ca="1">IFERROR(__xludf.DUMMYFUNCTION("""COMPUTED_VALUE"""),"Dubai&gt;Dubai Creek Harbour&gt;Savanna&gt;Savanna Building 3")</f>
        <v>Dubai&gt;Dubai Creek Harbour&gt;Savanna&gt;Savanna Building 3</v>
      </c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</row>
    <row r="4517" spans="1:26" ht="16.5" x14ac:dyDescent="0.35">
      <c r="A4517" s="2" t="str">
        <f ca="1">IFERROR(__xludf.DUMMYFUNCTION("""COMPUTED_VALUE"""),"Dubai")</f>
        <v>Dubai</v>
      </c>
      <c r="B4517" s="2" t="str">
        <f ca="1">IFERROR(__xludf.DUMMYFUNCTION("""COMPUTED_VALUE"""),"Altus")</f>
        <v>Altus</v>
      </c>
      <c r="C4517" s="2" t="str">
        <f ca="1">IFERROR(__xludf.DUMMYFUNCTION("""COMPUTED_VALUE"""),"Cluster")</f>
        <v>Cluster</v>
      </c>
      <c r="D4517" s="2" t="str">
        <f ca="1">IFERROR(__xludf.DUMMYFUNCTION("""COMPUTED_VALUE"""),"Dubai&gt;Dubai Creek Harbour&gt;Altus")</f>
        <v>Dubai&gt;Dubai Creek Harbour&gt;Altus</v>
      </c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</row>
    <row r="4518" spans="1:26" ht="16.5" x14ac:dyDescent="0.35">
      <c r="A4518" s="2" t="str">
        <f ca="1">IFERROR(__xludf.DUMMYFUNCTION("""COMPUTED_VALUE"""),"Dubai")</f>
        <v>Dubai</v>
      </c>
      <c r="B4518" s="2" t="str">
        <f ca="1">IFERROR(__xludf.DUMMYFUNCTION("""COMPUTED_VALUE"""),"Al Shahed Tower")</f>
        <v>Al Shahed Tower</v>
      </c>
      <c r="C4518" s="2" t="str">
        <f ca="1">IFERROR(__xludf.DUMMYFUNCTION("""COMPUTED_VALUE"""),"Building")</f>
        <v>Building</v>
      </c>
      <c r="D4518" s="2" t="str">
        <f ca="1">IFERROR(__xludf.DUMMYFUNCTION("""COMPUTED_VALUE"""),"Dubai&gt;Barsha Heights (Tecom)&gt;Al Shahed Tower")</f>
        <v>Dubai&gt;Barsha Heights (Tecom)&gt;Al Shahed Tower</v>
      </c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</row>
    <row r="4519" spans="1:26" ht="16.5" x14ac:dyDescent="0.35">
      <c r="A4519" s="2" t="str">
        <f ca="1">IFERROR(__xludf.DUMMYFUNCTION("""COMPUTED_VALUE"""),"Dubai")</f>
        <v>Dubai</v>
      </c>
      <c r="B4519" s="2" t="str">
        <f ca="1">IFERROR(__xludf.DUMMYFUNCTION("""COMPUTED_VALUE"""),"Two Towers A")</f>
        <v>Two Towers A</v>
      </c>
      <c r="C4519" s="2" t="str">
        <f ca="1">IFERROR(__xludf.DUMMYFUNCTION("""COMPUTED_VALUE"""),"Building")</f>
        <v>Building</v>
      </c>
      <c r="D4519" s="2" t="str">
        <f ca="1">IFERROR(__xludf.DUMMYFUNCTION("""COMPUTED_VALUE"""),"Dubai&gt;Barsha Heights (Tecom)&gt;Two Towers&gt;Two Towers A")</f>
        <v>Dubai&gt;Barsha Heights (Tecom)&gt;Two Towers&gt;Two Towers A</v>
      </c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</row>
    <row r="4520" spans="1:26" ht="16.5" x14ac:dyDescent="0.35">
      <c r="A4520" s="2" t="str">
        <f ca="1">IFERROR(__xludf.DUMMYFUNCTION("""COMPUTED_VALUE"""),"Dubai")</f>
        <v>Dubai</v>
      </c>
      <c r="B4520" s="2" t="str">
        <f ca="1">IFERROR(__xludf.DUMMYFUNCTION("""COMPUTED_VALUE"""),"Atana Hotel")</f>
        <v>Atana Hotel</v>
      </c>
      <c r="C4520" s="2" t="str">
        <f ca="1">IFERROR(__xludf.DUMMYFUNCTION("""COMPUTED_VALUE"""),"Building")</f>
        <v>Building</v>
      </c>
      <c r="D4520" s="2" t="str">
        <f ca="1">IFERROR(__xludf.DUMMYFUNCTION("""COMPUTED_VALUE"""),"Dubai&gt;Barsha Heights (Tecom)&gt;Atana Hotel")</f>
        <v>Dubai&gt;Barsha Heights (Tecom)&gt;Atana Hotel</v>
      </c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</row>
    <row r="4521" spans="1:26" ht="16.5" x14ac:dyDescent="0.35">
      <c r="A4521" s="2" t="str">
        <f ca="1">IFERROR(__xludf.DUMMYFUNCTION("""COMPUTED_VALUE"""),"Dubai")</f>
        <v>Dubai</v>
      </c>
      <c r="B4521" s="2" t="str">
        <f ca="1">IFERROR(__xludf.DUMMYFUNCTION("""COMPUTED_VALUE"""),"The One by Prestige One")</f>
        <v>The One by Prestige One</v>
      </c>
      <c r="C4521" s="2" t="str">
        <f ca="1">IFERROR(__xludf.DUMMYFUNCTION("""COMPUTED_VALUE"""),"Building")</f>
        <v>Building</v>
      </c>
      <c r="D4521" s="2" t="str">
        <f ca="1">IFERROR(__xludf.DUMMYFUNCTION("""COMPUTED_VALUE"""),"Dubai&gt;Barsha Heights (Tecom)&gt;The One by Prestige One")</f>
        <v>Dubai&gt;Barsha Heights (Tecom)&gt;The One by Prestige One</v>
      </c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</row>
    <row r="4522" spans="1:26" ht="16.5" x14ac:dyDescent="0.35">
      <c r="A4522" s="2" t="str">
        <f ca="1">IFERROR(__xludf.DUMMYFUNCTION("""COMPUTED_VALUE"""),"Dubai")</f>
        <v>Dubai</v>
      </c>
      <c r="B4522" s="2" t="str">
        <f ca="1">IFERROR(__xludf.DUMMYFUNCTION("""COMPUTED_VALUE"""),"Terraced Apartment 2C")</f>
        <v>Terraced Apartment 2C</v>
      </c>
      <c r="C4522" s="2" t="str">
        <f ca="1">IFERROR(__xludf.DUMMYFUNCTION("""COMPUTED_VALUE"""),"Building")</f>
        <v>Building</v>
      </c>
      <c r="D4522" s="2" t="str">
        <f ca="1">IFERROR(__xludf.DUMMYFUNCTION("""COMPUTED_VALUE"""),"Dubai&gt;Motor City&gt;Green Community (Motor City)&gt;Terraced Apartments&gt;Terraced Apartment 2C")</f>
        <v>Dubai&gt;Motor City&gt;Green Community (Motor City)&gt;Terraced Apartments&gt;Terraced Apartment 2C</v>
      </c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</row>
    <row r="4523" spans="1:26" ht="16.5" x14ac:dyDescent="0.35">
      <c r="A4523" s="2" t="str">
        <f ca="1">IFERROR(__xludf.DUMMYFUNCTION("""COMPUTED_VALUE"""),"Dubai")</f>
        <v>Dubai</v>
      </c>
      <c r="B4523" s="2" t="str">
        <f ca="1">IFERROR(__xludf.DUMMYFUNCTION("""COMPUTED_VALUE"""),"Bennett House 2")</f>
        <v>Bennett House 2</v>
      </c>
      <c r="C4523" s="2" t="str">
        <f ca="1">IFERROR(__xludf.DUMMYFUNCTION("""COMPUTED_VALUE"""),"Building")</f>
        <v>Building</v>
      </c>
      <c r="D4523" s="2" t="str">
        <f ca="1">IFERROR(__xludf.DUMMYFUNCTION("""COMPUTED_VALUE"""),"Dubai&gt;Motor City&gt;Uptown Motor City&gt;Bennett House&gt;Bennett House 2")</f>
        <v>Dubai&gt;Motor City&gt;Uptown Motor City&gt;Bennett House&gt;Bennett House 2</v>
      </c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</row>
    <row r="4524" spans="1:26" ht="16.5" x14ac:dyDescent="0.35">
      <c r="A4524" s="2" t="str">
        <f ca="1">IFERROR(__xludf.DUMMYFUNCTION("""COMPUTED_VALUE"""),"Dubai")</f>
        <v>Dubai</v>
      </c>
      <c r="B4524" s="2" t="str">
        <f ca="1">IFERROR(__xludf.DUMMYFUNCTION("""COMPUTED_VALUE"""),"OIA East Residence")</f>
        <v>OIA East Residence</v>
      </c>
      <c r="C4524" s="2" t="str">
        <f ca="1">IFERROR(__xludf.DUMMYFUNCTION("""COMPUTED_VALUE"""),"Building")</f>
        <v>Building</v>
      </c>
      <c r="D4524" s="2" t="str">
        <f ca="1">IFERROR(__xludf.DUMMYFUNCTION("""COMPUTED_VALUE"""),"Dubai&gt;Motor City&gt;Uptown Motor City&gt;OIA Residence&gt;OIA East Residence")</f>
        <v>Dubai&gt;Motor City&gt;Uptown Motor City&gt;OIA Residence&gt;OIA East Residence</v>
      </c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</row>
    <row r="4525" spans="1:26" ht="16.5" x14ac:dyDescent="0.35">
      <c r="A4525" s="2" t="str">
        <f ca="1">IFERROR(__xludf.DUMMYFUNCTION("""COMPUTED_VALUE"""),"Dubai")</f>
        <v>Dubai</v>
      </c>
      <c r="B4525" s="2" t="str">
        <f ca="1">IFERROR(__xludf.DUMMYFUNCTION("""COMPUTED_VALUE"""),"Sobha Orbis Tower F")</f>
        <v>Sobha Orbis Tower F</v>
      </c>
      <c r="C4525" s="2" t="str">
        <f ca="1">IFERROR(__xludf.DUMMYFUNCTION("""COMPUTED_VALUE"""),"Building")</f>
        <v>Building</v>
      </c>
      <c r="D4525" s="2" t="str">
        <f ca="1">IFERROR(__xludf.DUMMYFUNCTION("""COMPUTED_VALUE"""),"Dubai&gt;Motor City&gt;Sobha Orbis&gt;Sobha Orbis Tower F")</f>
        <v>Dubai&gt;Motor City&gt;Sobha Orbis&gt;Sobha Orbis Tower F</v>
      </c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</row>
    <row r="4526" spans="1:26" ht="16.5" x14ac:dyDescent="0.35">
      <c r="A4526" s="2" t="str">
        <f ca="1">IFERROR(__xludf.DUMMYFUNCTION("""COMPUTED_VALUE"""),"Dubai")</f>
        <v>Dubai</v>
      </c>
      <c r="B4526" s="2" t="str">
        <f ca="1">IFERROR(__xludf.DUMMYFUNCTION("""COMPUTED_VALUE"""),"Al Sufouh 1")</f>
        <v>Al Sufouh 1</v>
      </c>
      <c r="C4526" s="2" t="str">
        <f ca="1">IFERROR(__xludf.DUMMYFUNCTION("""COMPUTED_VALUE"""),"Neighbourhood")</f>
        <v>Neighbourhood</v>
      </c>
      <c r="D4526" s="2" t="str">
        <f ca="1">IFERROR(__xludf.DUMMYFUNCTION("""COMPUTED_VALUE"""),"Dubai&gt;Al Sufouh&gt;Al Sufouh 1")</f>
        <v>Dubai&gt;Al Sufouh&gt;Al Sufouh 1</v>
      </c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</row>
    <row r="4527" spans="1:26" ht="16.5" x14ac:dyDescent="0.35">
      <c r="A4527" s="2" t="str">
        <f ca="1">IFERROR(__xludf.DUMMYFUNCTION("""COMPUTED_VALUE"""),"Dubai")</f>
        <v>Dubai</v>
      </c>
      <c r="B4527" s="2" t="str">
        <f ca="1">IFERROR(__xludf.DUMMYFUNCTION("""COMPUTED_VALUE"""),"32 Villas")</f>
        <v>32 Villas</v>
      </c>
      <c r="C4527" s="2" t="str">
        <f ca="1">IFERROR(__xludf.DUMMYFUNCTION("""COMPUTED_VALUE"""),"Neighbourhood")</f>
        <v>Neighbourhood</v>
      </c>
      <c r="D4527" s="2" t="str">
        <f ca="1">IFERROR(__xludf.DUMMYFUNCTION("""COMPUTED_VALUE"""),"Dubai&gt;Al Sufouh&gt;Al Sufouh 2&gt;32 Villas")</f>
        <v>Dubai&gt;Al Sufouh&gt;Al Sufouh 2&gt;32 Villas</v>
      </c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</row>
    <row r="4528" spans="1:26" ht="16.5" x14ac:dyDescent="0.35">
      <c r="A4528" s="2" t="str">
        <f ca="1">IFERROR(__xludf.DUMMYFUNCTION("""COMPUTED_VALUE"""),"Dubai")</f>
        <v>Dubai</v>
      </c>
      <c r="B4528" s="2" t="str">
        <f ca="1">IFERROR(__xludf.DUMMYFUNCTION("""COMPUTED_VALUE"""),"Crowne Plaza Hotel")</f>
        <v>Crowne Plaza Hotel</v>
      </c>
      <c r="C4528" s="2" t="str">
        <f ca="1">IFERROR(__xludf.DUMMYFUNCTION("""COMPUTED_VALUE"""),"Building")</f>
        <v>Building</v>
      </c>
      <c r="D4528" s="2" t="str">
        <f ca="1">IFERROR(__xludf.DUMMYFUNCTION("""COMPUTED_VALUE"""),"Dubai&gt;Dubai Festival City&gt;Crowne Plaza Hotel")</f>
        <v>Dubai&gt;Dubai Festival City&gt;Crowne Plaza Hotel</v>
      </c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</row>
    <row r="4529" spans="1:26" ht="16.5" x14ac:dyDescent="0.35">
      <c r="A4529" s="2" t="str">
        <f ca="1">IFERROR(__xludf.DUMMYFUNCTION("""COMPUTED_VALUE"""),"Dubai")</f>
        <v>Dubai</v>
      </c>
      <c r="B4529" s="2" t="str">
        <f ca="1">IFERROR(__xludf.DUMMYFUNCTION("""COMPUTED_VALUE"""),"Al Badia Living Building E")</f>
        <v>Al Badia Living Building E</v>
      </c>
      <c r="C4529" s="2" t="str">
        <f ca="1">IFERROR(__xludf.DUMMYFUNCTION("""COMPUTED_VALUE"""),"Building")</f>
        <v>Building</v>
      </c>
      <c r="D4529" s="2" t="str">
        <f ca="1">IFERROR(__xludf.DUMMYFUNCTION("""COMPUTED_VALUE"""),"Dubai&gt;Dubai Festival City&gt;Al Badia Living&gt;Al Badia Living Building E")</f>
        <v>Dubai&gt;Dubai Festival City&gt;Al Badia Living&gt;Al Badia Living Building E</v>
      </c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</row>
    <row r="4530" spans="1:26" ht="16.5" x14ac:dyDescent="0.35">
      <c r="A4530" s="2" t="str">
        <f ca="1">IFERROR(__xludf.DUMMYFUNCTION("""COMPUTED_VALUE"""),"Dubai")</f>
        <v>Dubai</v>
      </c>
      <c r="B4530" s="2" t="str">
        <f ca="1">IFERROR(__xludf.DUMMYFUNCTION("""COMPUTED_VALUE"""),"Golf Promenade 4B")</f>
        <v>Golf Promenade 4B</v>
      </c>
      <c r="C4530" s="2" t="str">
        <f ca="1">IFERROR(__xludf.DUMMYFUNCTION("""COMPUTED_VALUE"""),"Building")</f>
        <v>Building</v>
      </c>
      <c r="D4530" s="2" t="str">
        <f ca="1">IFERROR(__xludf.DUMMYFUNCTION("""COMPUTED_VALUE"""),"Dubai&gt;DAMAC Hills&gt;Golf Town&gt;Golf Promenade&gt;Golf Promenade 4&gt;Golf Promenade 4B")</f>
        <v>Dubai&gt;DAMAC Hills&gt;Golf Town&gt;Golf Promenade&gt;Golf Promenade 4&gt;Golf Promenade 4B</v>
      </c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</row>
    <row r="4531" spans="1:26" ht="16.5" x14ac:dyDescent="0.35">
      <c r="A4531" s="2" t="str">
        <f ca="1">IFERROR(__xludf.DUMMYFUNCTION("""COMPUTED_VALUE"""),"Dubai")</f>
        <v>Dubai</v>
      </c>
      <c r="B4531" s="2" t="str">
        <f ca="1">IFERROR(__xludf.DUMMYFUNCTION("""COMPUTED_VALUE"""),"BelAir The Trump Estates")</f>
        <v>BelAir The Trump Estates</v>
      </c>
      <c r="C4531" s="2" t="str">
        <f ca="1">IFERROR(__xludf.DUMMYFUNCTION("""COMPUTED_VALUE"""),"Neighbourhood")</f>
        <v>Neighbourhood</v>
      </c>
      <c r="D4531" s="2" t="str">
        <f ca="1">IFERROR(__xludf.DUMMYFUNCTION("""COMPUTED_VALUE"""),"Dubai&gt;DAMAC Hills&gt;Trump Estates&gt;BelAir The Trump Estates")</f>
        <v>Dubai&gt;DAMAC Hills&gt;Trump Estates&gt;BelAir The Trump Estates</v>
      </c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</row>
    <row r="4532" spans="1:26" ht="16.5" x14ac:dyDescent="0.35">
      <c r="A4532" s="2" t="str">
        <f ca="1">IFERROR(__xludf.DUMMYFUNCTION("""COMPUTED_VALUE"""),"Dubai")</f>
        <v>Dubai</v>
      </c>
      <c r="B4532" s="2" t="str">
        <f ca="1">IFERROR(__xludf.DUMMYFUNCTION("""COMPUTED_VALUE"""),"Canvas Premium Plots")</f>
        <v>Canvas Premium Plots</v>
      </c>
      <c r="C4532" s="2" t="str">
        <f ca="1">IFERROR(__xludf.DUMMYFUNCTION("""COMPUTED_VALUE"""),"Neighbourhood")</f>
        <v>Neighbourhood</v>
      </c>
      <c r="D4532" s="2" t="str">
        <f ca="1">IFERROR(__xludf.DUMMYFUNCTION("""COMPUTED_VALUE"""),"Dubai&gt;DAMAC Hills&gt;Canvas Premium Plots")</f>
        <v>Dubai&gt;DAMAC Hills&gt;Canvas Premium Plots</v>
      </c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</row>
    <row r="4533" spans="1:26" ht="16.5" x14ac:dyDescent="0.35">
      <c r="A4533" s="2" t="str">
        <f ca="1">IFERROR(__xludf.DUMMYFUNCTION("""COMPUTED_VALUE"""),"Dubai")</f>
        <v>Dubai</v>
      </c>
      <c r="B4533" s="2" t="str">
        <f ca="1">IFERROR(__xludf.DUMMYFUNCTION("""COMPUTED_VALUE"""),"Wasl Port Views 5")</f>
        <v>Wasl Port Views 5</v>
      </c>
      <c r="C4533" s="2" t="str">
        <f ca="1">IFERROR(__xludf.DUMMYFUNCTION("""COMPUTED_VALUE"""),"Building")</f>
        <v>Building</v>
      </c>
      <c r="D4533" s="2" t="str">
        <f ca="1">IFERROR(__xludf.DUMMYFUNCTION("""COMPUTED_VALUE"""),"Dubai&gt;Al Mina&gt;Wasl Port Views&gt;Wasl Port Views 5")</f>
        <v>Dubai&gt;Al Mina&gt;Wasl Port Views&gt;Wasl Port Views 5</v>
      </c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</row>
    <row r="4534" spans="1:26" ht="16.5" x14ac:dyDescent="0.35">
      <c r="A4534" s="2" t="str">
        <f ca="1">IFERROR(__xludf.DUMMYFUNCTION("""COMPUTED_VALUE"""),"Dubai")</f>
        <v>Dubai</v>
      </c>
      <c r="B4534" s="2" t="str">
        <f ca="1">IFERROR(__xludf.DUMMYFUNCTION("""COMPUTED_VALUE"""),"Oceanz by Danube")</f>
        <v>Oceanz by Danube</v>
      </c>
      <c r="C4534" s="2" t="str">
        <f ca="1">IFERROR(__xludf.DUMMYFUNCTION("""COMPUTED_VALUE"""),"Cluster")</f>
        <v>Cluster</v>
      </c>
      <c r="D4534" s="2" t="str">
        <f ca="1">IFERROR(__xludf.DUMMYFUNCTION("""COMPUTED_VALUE"""),"Dubai&gt;Dubai Maritime City&gt;Oceanz by Danube")</f>
        <v>Dubai&gt;Dubai Maritime City&gt;Oceanz by Danube</v>
      </c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</row>
    <row r="4535" spans="1:26" ht="16.5" x14ac:dyDescent="0.35">
      <c r="A4535" s="2" t="str">
        <f ca="1">IFERROR(__xludf.DUMMYFUNCTION("""COMPUTED_VALUE"""),"Dubai")</f>
        <v>Dubai</v>
      </c>
      <c r="B4535" s="2" t="str">
        <f ca="1">IFERROR(__xludf.DUMMYFUNCTION("""COMPUTED_VALUE"""),"IL Vento")</f>
        <v>IL Vento</v>
      </c>
      <c r="C4535" s="2" t="str">
        <f ca="1">IFERROR(__xludf.DUMMYFUNCTION("""COMPUTED_VALUE"""),"Building")</f>
        <v>Building</v>
      </c>
      <c r="D4535" s="2" t="str">
        <f ca="1">IFERROR(__xludf.DUMMYFUNCTION("""COMPUTED_VALUE"""),"Dubai&gt;Dubai Maritime City&gt;IL Vento")</f>
        <v>Dubai&gt;Dubai Maritime City&gt;IL Vento</v>
      </c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</row>
    <row r="4536" spans="1:26" ht="16.5" x14ac:dyDescent="0.35">
      <c r="A4536" s="2" t="str">
        <f ca="1">IFERROR(__xludf.DUMMYFUNCTION("""COMPUTED_VALUE"""),"Dubai")</f>
        <v>Dubai</v>
      </c>
      <c r="B4536" s="2" t="str">
        <f ca="1">IFERROR(__xludf.DUMMYFUNCTION("""COMPUTED_VALUE"""),"The Links West Tower")</f>
        <v>The Links West Tower</v>
      </c>
      <c r="C4536" s="2" t="str">
        <f ca="1">IFERROR(__xludf.DUMMYFUNCTION("""COMPUTED_VALUE"""),"Building")</f>
        <v>Building</v>
      </c>
      <c r="D4536" s="2" t="str">
        <f ca="1">IFERROR(__xludf.DUMMYFUNCTION("""COMPUTED_VALUE"""),"Dubai&gt;The Views&gt;The Links&gt;The Links West Tower")</f>
        <v>Dubai&gt;The Views&gt;The Links&gt;The Links West Tower</v>
      </c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</row>
    <row r="4537" spans="1:26" ht="16.5" x14ac:dyDescent="0.35">
      <c r="A4537" s="2" t="str">
        <f ca="1">IFERROR(__xludf.DUMMYFUNCTION("""COMPUTED_VALUE"""),"Dubai")</f>
        <v>Dubai</v>
      </c>
      <c r="B4537" s="2" t="str">
        <f ca="1">IFERROR(__xludf.DUMMYFUNCTION("""COMPUTED_VALUE"""),"Ambassador International Academy")</f>
        <v>Ambassador International Academy</v>
      </c>
      <c r="C4537" s="2" t="str">
        <f ca="1">IFERROR(__xludf.DUMMYFUNCTION("""COMPUTED_VALUE"""),"School")</f>
        <v>School</v>
      </c>
      <c r="D4537" s="2" t="str">
        <f ca="1">IFERROR(__xludf.DUMMYFUNCTION("""COMPUTED_VALUE"""),"Dubai&gt;Al Quoz&gt;Al Quoz Industrial Area&gt;Al Quoz Industrial Area 2&gt;Al Khail Gate&gt;Ambassador International Academy")</f>
        <v>Dubai&gt;Al Quoz&gt;Al Quoz Industrial Area&gt;Al Quoz Industrial Area 2&gt;Al Khail Gate&gt;Ambassador International Academy</v>
      </c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</row>
    <row r="4538" spans="1:26" ht="16.5" x14ac:dyDescent="0.35">
      <c r="A4538" s="2" t="str">
        <f ca="1">IFERROR(__xludf.DUMMYFUNCTION("""COMPUTED_VALUE"""),"Dubai")</f>
        <v>Dubai</v>
      </c>
      <c r="B4538" s="2" t="str">
        <f ca="1">IFERROR(__xludf.DUMMYFUNCTION("""COMPUTED_VALUE"""),"Verve Residence")</f>
        <v>Verve Residence</v>
      </c>
      <c r="C4538" s="2" t="str">
        <f ca="1">IFERROR(__xludf.DUMMYFUNCTION("""COMPUTED_VALUE"""),"Building")</f>
        <v>Building</v>
      </c>
      <c r="D4538" s="2" t="str">
        <f ca="1">IFERROR(__xludf.DUMMYFUNCTION("""COMPUTED_VALUE"""),"Dubai&gt;Al Quoz&gt;Al Quoz 3&gt;Verve Residence")</f>
        <v>Dubai&gt;Al Quoz&gt;Al Quoz 3&gt;Verve Residence</v>
      </c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</row>
    <row r="4539" spans="1:26" ht="16.5" x14ac:dyDescent="0.35">
      <c r="A4539" s="2" t="str">
        <f ca="1">IFERROR(__xludf.DUMMYFUNCTION("""COMPUTED_VALUE"""),"Dubai")</f>
        <v>Dubai</v>
      </c>
      <c r="B4539" s="2" t="str">
        <f ca="1">IFERROR(__xludf.DUMMYFUNCTION("""COMPUTED_VALUE"""),"Al Khail Heights Building 10B")</f>
        <v>Al Khail Heights Building 10B</v>
      </c>
      <c r="C4539" s="2" t="str">
        <f ca="1">IFERROR(__xludf.DUMMYFUNCTION("""COMPUTED_VALUE"""),"Building")</f>
        <v>Building</v>
      </c>
      <c r="D4539" s="2" t="str">
        <f ca="1">IFERROR(__xludf.DUMMYFUNCTION("""COMPUTED_VALUE"""),"Dubai&gt;Al Quoz&gt;Al Quoz 4&gt;Al Khail Heights&gt;Al Khail Heights Building 10B")</f>
        <v>Dubai&gt;Al Quoz&gt;Al Quoz 4&gt;Al Khail Heights&gt;Al Khail Heights Building 10B</v>
      </c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</row>
    <row r="4540" spans="1:26" ht="16.5" x14ac:dyDescent="0.35">
      <c r="A4540" s="2" t="str">
        <f ca="1">IFERROR(__xludf.DUMMYFUNCTION("""COMPUTED_VALUE"""),"Dubai")</f>
        <v>Dubai</v>
      </c>
      <c r="B4540" s="2" t="str">
        <f ca="1">IFERROR(__xludf.DUMMYFUNCTION("""COMPUTED_VALUE"""),"Radisson Blu Residence Dubai Silicon Oasis")</f>
        <v>Radisson Blu Residence Dubai Silicon Oasis</v>
      </c>
      <c r="C4540" s="2" t="str">
        <f ca="1">IFERROR(__xludf.DUMMYFUNCTION("""COMPUTED_VALUE"""),"Building")</f>
        <v>Building</v>
      </c>
      <c r="D4540" s="2" t="str">
        <f ca="1">IFERROR(__xludf.DUMMYFUNCTION("""COMPUTED_VALUE"""),"Dubai&gt;Dubai Silicon Oasis (DSO)&gt;Radisson Blu Residence Dubai Silicon Oasis")</f>
        <v>Dubai&gt;Dubai Silicon Oasis (DSO)&gt;Radisson Blu Residence Dubai Silicon Oasis</v>
      </c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</row>
    <row r="4541" spans="1:26" ht="16.5" x14ac:dyDescent="0.35">
      <c r="A4541" s="2" t="str">
        <f ca="1">IFERROR(__xludf.DUMMYFUNCTION("""COMPUTED_VALUE"""),"Dubai")</f>
        <v>Dubai</v>
      </c>
      <c r="B4541" s="2" t="str">
        <f ca="1">IFERROR(__xludf.DUMMYFUNCTION("""COMPUTED_VALUE"""),"Al Falak Residence")</f>
        <v>Al Falak Residence</v>
      </c>
      <c r="C4541" s="2" t="str">
        <f ca="1">IFERROR(__xludf.DUMMYFUNCTION("""COMPUTED_VALUE"""),"Building")</f>
        <v>Building</v>
      </c>
      <c r="D4541" s="2" t="str">
        <f ca="1">IFERROR(__xludf.DUMMYFUNCTION("""COMPUTED_VALUE"""),"Dubai&gt;Dubai Silicon Oasis (DSO)&gt;Al Falak Residence")</f>
        <v>Dubai&gt;Dubai Silicon Oasis (DSO)&gt;Al Falak Residence</v>
      </c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</row>
    <row r="4542" spans="1:26" ht="16.5" x14ac:dyDescent="0.35">
      <c r="A4542" s="2" t="str">
        <f ca="1">IFERROR(__xludf.DUMMYFUNCTION("""COMPUTED_VALUE"""),"Dubai")</f>
        <v>Dubai</v>
      </c>
      <c r="B4542" s="2" t="str">
        <f ca="1">IFERROR(__xludf.DUMMYFUNCTION("""COMPUTED_VALUE"""),"Lynx Residence")</f>
        <v>Lynx Residence</v>
      </c>
      <c r="C4542" s="2" t="str">
        <f ca="1">IFERROR(__xludf.DUMMYFUNCTION("""COMPUTED_VALUE"""),"Building")</f>
        <v>Building</v>
      </c>
      <c r="D4542" s="2" t="str">
        <f ca="1">IFERROR(__xludf.DUMMYFUNCTION("""COMPUTED_VALUE"""),"Dubai&gt;Dubai Silicon Oasis (DSO)&gt;Lynx Residence")</f>
        <v>Dubai&gt;Dubai Silicon Oasis (DSO)&gt;Lynx Residence</v>
      </c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</row>
    <row r="4543" spans="1:26" ht="16.5" x14ac:dyDescent="0.35">
      <c r="A4543" s="2" t="str">
        <f ca="1">IFERROR(__xludf.DUMMYFUNCTION("""COMPUTED_VALUE"""),"Dubai")</f>
        <v>Dubai</v>
      </c>
      <c r="B4543" s="2" t="str">
        <f ca="1">IFERROR(__xludf.DUMMYFUNCTION("""COMPUTED_VALUE"""),"API Silicon Residency")</f>
        <v>API Silicon Residency</v>
      </c>
      <c r="C4543" s="2" t="str">
        <f ca="1">IFERROR(__xludf.DUMMYFUNCTION("""COMPUTED_VALUE"""),"Building")</f>
        <v>Building</v>
      </c>
      <c r="D4543" s="2" t="str">
        <f ca="1">IFERROR(__xludf.DUMMYFUNCTION("""COMPUTED_VALUE"""),"Dubai&gt;Dubai Silicon Oasis (DSO)&gt;API Silicon Residency")</f>
        <v>Dubai&gt;Dubai Silicon Oasis (DSO)&gt;API Silicon Residency</v>
      </c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</row>
    <row r="4544" spans="1:26" ht="16.5" x14ac:dyDescent="0.35">
      <c r="A4544" s="2" t="str">
        <f ca="1">IFERROR(__xludf.DUMMYFUNCTION("""COMPUTED_VALUE"""),"Dubai")</f>
        <v>Dubai</v>
      </c>
      <c r="B4544" s="2" t="str">
        <f ca="1">IFERROR(__xludf.DUMMYFUNCTION("""COMPUTED_VALUE"""),"Axis Residences")</f>
        <v>Axis Residences</v>
      </c>
      <c r="C4544" s="2" t="str">
        <f ca="1">IFERROR(__xludf.DUMMYFUNCTION("""COMPUTED_VALUE"""),"Cluster")</f>
        <v>Cluster</v>
      </c>
      <c r="D4544" s="2" t="str">
        <f ca="1">IFERROR(__xludf.DUMMYFUNCTION("""COMPUTED_VALUE"""),"Dubai&gt;Dubai Silicon Oasis (DSO)&gt;Axis Residences")</f>
        <v>Dubai&gt;Dubai Silicon Oasis (DSO)&gt;Axis Residences</v>
      </c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</row>
    <row r="4545" spans="1:26" ht="16.5" x14ac:dyDescent="0.35">
      <c r="A4545" s="2" t="str">
        <f ca="1">IFERROR(__xludf.DUMMYFUNCTION("""COMPUTED_VALUE"""),"Dubai")</f>
        <v>Dubai</v>
      </c>
      <c r="B4545" s="2" t="str">
        <f ca="1">IFERROR(__xludf.DUMMYFUNCTION("""COMPUTED_VALUE"""),"DSO Emirates Tower 2")</f>
        <v>DSO Emirates Tower 2</v>
      </c>
      <c r="C4545" s="2" t="str">
        <f ca="1">IFERROR(__xludf.DUMMYFUNCTION("""COMPUTED_VALUE"""),"Building")</f>
        <v>Building</v>
      </c>
      <c r="D4545" s="2" t="str">
        <f ca="1">IFERROR(__xludf.DUMMYFUNCTION("""COMPUTED_VALUE"""),"Dubai&gt;Dubai Silicon Oasis (DSO)&gt;DSO Emirates Towers&gt;DSO Emirates Tower 2")</f>
        <v>Dubai&gt;Dubai Silicon Oasis (DSO)&gt;DSO Emirates Towers&gt;DSO Emirates Tower 2</v>
      </c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</row>
    <row r="4546" spans="1:26" ht="16.5" x14ac:dyDescent="0.35">
      <c r="A4546" s="2" t="str">
        <f ca="1">IFERROR(__xludf.DUMMYFUNCTION("""COMPUTED_VALUE"""),"Dubai")</f>
        <v>Dubai</v>
      </c>
      <c r="B4546" s="2" t="str">
        <f ca="1">IFERROR(__xludf.DUMMYFUNCTION("""COMPUTED_VALUE"""),"Ashjar")</f>
        <v>Ashjar</v>
      </c>
      <c r="C4546" s="2" t="str">
        <f ca="1">IFERROR(__xludf.DUMMYFUNCTION("""COMPUTED_VALUE"""),"Cluster")</f>
        <v>Cluster</v>
      </c>
      <c r="D4546" s="2" t="str">
        <f ca="1">IFERROR(__xludf.DUMMYFUNCTION("""COMPUTED_VALUE"""),"Dubai&gt;Al Barari&gt;Ashjar")</f>
        <v>Dubai&gt;Al Barari&gt;Ashjar</v>
      </c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</row>
    <row r="4547" spans="1:26" ht="16.5" x14ac:dyDescent="0.35">
      <c r="A4547" s="2" t="str">
        <f ca="1">IFERROR(__xludf.DUMMYFUNCTION("""COMPUTED_VALUE"""),"Dubai")</f>
        <v>Dubai</v>
      </c>
      <c r="B4547" s="2" t="str">
        <f ca="1">IFERROR(__xludf.DUMMYFUNCTION("""COMPUTED_VALUE"""),"Jasmine Leaf 5")</f>
        <v>Jasmine Leaf 5</v>
      </c>
      <c r="C4547" s="2" t="str">
        <f ca="1">IFERROR(__xludf.DUMMYFUNCTION("""COMPUTED_VALUE"""),"Neighbourhood")</f>
        <v>Neighbourhood</v>
      </c>
      <c r="D4547" s="2" t="str">
        <f ca="1">IFERROR(__xludf.DUMMYFUNCTION("""COMPUTED_VALUE"""),"Dubai&gt;Al Barari&gt;The Residences&gt;Jasmine Leaf&gt;Jasmine Leaf 5")</f>
        <v>Dubai&gt;Al Barari&gt;The Residences&gt;Jasmine Leaf&gt;Jasmine Leaf 5</v>
      </c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</row>
    <row r="4548" spans="1:26" ht="16.5" x14ac:dyDescent="0.35">
      <c r="A4548" s="2" t="str">
        <f ca="1">IFERROR(__xludf.DUMMYFUNCTION("""COMPUTED_VALUE"""),"Dubai")</f>
        <v>Dubai</v>
      </c>
      <c r="B4548" s="2" t="str">
        <f ca="1">IFERROR(__xludf.DUMMYFUNCTION("""COMPUTED_VALUE"""),"District 11")</f>
        <v>District 11</v>
      </c>
      <c r="C4548" s="2" t="str">
        <f ca="1">IFERROR(__xludf.DUMMYFUNCTION("""COMPUTED_VALUE"""),"Neighbourhood")</f>
        <v>Neighbourhood</v>
      </c>
      <c r="D4548" s="2" t="str">
        <f ca="1">IFERROR(__xludf.DUMMYFUNCTION("""COMPUTED_VALUE"""),"Dubai&gt;Mohammed Bin Rashid City&gt;District 11")</f>
        <v>Dubai&gt;Mohammed Bin Rashid City&gt;District 11</v>
      </c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</row>
    <row r="4549" spans="1:26" ht="16.5" x14ac:dyDescent="0.35">
      <c r="A4549" s="2" t="str">
        <f ca="1">IFERROR(__xludf.DUMMYFUNCTION("""COMPUTED_VALUE"""),"Dubai")</f>
        <v>Dubai</v>
      </c>
      <c r="B4549" s="2" t="str">
        <f ca="1">IFERROR(__xludf.DUMMYFUNCTION("""COMPUTED_VALUE"""),"Woodland Terraces")</f>
        <v>Woodland Terraces</v>
      </c>
      <c r="C4549" s="2" t="str">
        <f ca="1">IFERROR(__xludf.DUMMYFUNCTION("""COMPUTED_VALUE"""),"Building")</f>
        <v>Building</v>
      </c>
      <c r="D4549" s="2" t="str">
        <f ca="1">IFERROR(__xludf.DUMMYFUNCTION("""COMPUTED_VALUE"""),"Dubai&gt;Mohammed Bin Rashid City&gt;District 11&gt;Woodland Terraces")</f>
        <v>Dubai&gt;Mohammed Bin Rashid City&gt;District 11&gt;Woodland Terraces</v>
      </c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</row>
    <row r="4550" spans="1:26" ht="16.5" x14ac:dyDescent="0.35">
      <c r="A4550" s="2" t="str">
        <f ca="1">IFERROR(__xludf.DUMMYFUNCTION("""COMPUTED_VALUE"""),"Dubai")</f>
        <v>Dubai</v>
      </c>
      <c r="B4550" s="2" t="str">
        <f ca="1">IFERROR(__xludf.DUMMYFUNCTION("""COMPUTED_VALUE"""),"Residences 23")</f>
        <v>Residences 23</v>
      </c>
      <c r="C4550" s="2" t="str">
        <f ca="1">IFERROR(__xludf.DUMMYFUNCTION("""COMPUTED_VALUE"""),"Building")</f>
        <v>Building</v>
      </c>
      <c r="D4550" s="2" t="str">
        <f ca="1">IFERROR(__xludf.DUMMYFUNCTION("""COMPUTED_VALUE"""),"Dubai&gt;Mohammed Bin Rashid City&gt;District One&gt;The Residences at District One&gt;Residences 23")</f>
        <v>Dubai&gt;Mohammed Bin Rashid City&gt;District One&gt;The Residences at District One&gt;Residences 23</v>
      </c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</row>
    <row r="4551" spans="1:26" ht="16.5" x14ac:dyDescent="0.35">
      <c r="A4551" s="2" t="str">
        <f ca="1">IFERROR(__xludf.DUMMYFUNCTION("""COMPUTED_VALUE"""),"Dubai")</f>
        <v>Dubai</v>
      </c>
      <c r="B4551" s="2" t="str">
        <f ca="1">IFERROR(__xludf.DUMMYFUNCTION("""COMPUTED_VALUE"""),"Majestique Residence 1")</f>
        <v>Majestique Residence 1</v>
      </c>
      <c r="C4551" s="2" t="str">
        <f ca="1">IFERROR(__xludf.DUMMYFUNCTION("""COMPUTED_VALUE"""),"Building")</f>
        <v>Building</v>
      </c>
      <c r="D4551" s="2" t="str">
        <f ca="1">IFERROR(__xludf.DUMMYFUNCTION("""COMPUTED_VALUE"""),"Dubai&gt;Dubai South&gt;Residential District&gt;Majestique Residences&gt;Majestique Residence 1")</f>
        <v>Dubai&gt;Dubai South&gt;Residential District&gt;Majestique Residences&gt;Majestique Residence 1</v>
      </c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</row>
    <row r="4552" spans="1:26" ht="16.5" x14ac:dyDescent="0.35">
      <c r="A4552" s="2" t="str">
        <f ca="1">IFERROR(__xludf.DUMMYFUNCTION("""COMPUTED_VALUE"""),"Dubai")</f>
        <v>Dubai</v>
      </c>
      <c r="B4552" s="2" t="str">
        <f ca="1">IFERROR(__xludf.DUMMYFUNCTION("""COMPUTED_VALUE"""),"Regal Crest")</f>
        <v>Regal Crest</v>
      </c>
      <c r="C4552" s="2" t="str">
        <f ca="1">IFERROR(__xludf.DUMMYFUNCTION("""COMPUTED_VALUE"""),"Building")</f>
        <v>Building</v>
      </c>
      <c r="D4552" s="2" t="str">
        <f ca="1">IFERROR(__xludf.DUMMYFUNCTION("""COMPUTED_VALUE"""),"Dubai&gt;Dubai South&gt;Residential District&gt;The Pulse&gt;Regal Crest")</f>
        <v>Dubai&gt;Dubai South&gt;Residential District&gt;The Pulse&gt;Regal Crest</v>
      </c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</row>
    <row r="4553" spans="1:26" ht="16.5" x14ac:dyDescent="0.35">
      <c r="A4553" s="2" t="str">
        <f ca="1">IFERROR(__xludf.DUMMYFUNCTION("""COMPUTED_VALUE"""),"Dubai")</f>
        <v>Dubai</v>
      </c>
      <c r="B4553" s="2" t="str">
        <f ca="1">IFERROR(__xludf.DUMMYFUNCTION("""COMPUTED_VALUE"""),"Tenora")</f>
        <v>Tenora</v>
      </c>
      <c r="C4553" s="2" t="str">
        <f ca="1">IFERROR(__xludf.DUMMYFUNCTION("""COMPUTED_VALUE"""),"Building")</f>
        <v>Building</v>
      </c>
      <c r="D4553" s="2" t="str">
        <f ca="1">IFERROR(__xludf.DUMMYFUNCTION("""COMPUTED_VALUE"""),"Dubai&gt;Dubai South&gt;Residential District&gt;Tenora")</f>
        <v>Dubai&gt;Dubai South&gt;Residential District&gt;Tenora</v>
      </c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</row>
    <row r="4554" spans="1:26" ht="16.5" x14ac:dyDescent="0.35">
      <c r="A4554" s="2" t="str">
        <f ca="1">IFERROR(__xludf.DUMMYFUNCTION("""COMPUTED_VALUE"""),"Dubai")</f>
        <v>Dubai</v>
      </c>
      <c r="B4554" s="2" t="str">
        <f ca="1">IFERROR(__xludf.DUMMYFUNCTION("""COMPUTED_VALUE"""),"Reem Residence RA 30")</f>
        <v>Reem Residence RA 30</v>
      </c>
      <c r="C4554" s="2" t="str">
        <f ca="1">IFERROR(__xludf.DUMMYFUNCTION("""COMPUTED_VALUE"""),"Building")</f>
        <v>Building</v>
      </c>
      <c r="D4554" s="2" t="str">
        <f ca="1">IFERROR(__xludf.DUMMYFUNCTION("""COMPUTED_VALUE"""),"Dubai&gt;Dubai South&gt;Residential District&gt;Reem Residence RA 30")</f>
        <v>Dubai&gt;Dubai South&gt;Residential District&gt;Reem Residence RA 30</v>
      </c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</row>
    <row r="4555" spans="1:26" ht="16.5" x14ac:dyDescent="0.35">
      <c r="A4555" s="2" t="str">
        <f ca="1">IFERROR(__xludf.DUMMYFUNCTION("""COMPUTED_VALUE"""),"Dubai")</f>
        <v>Dubai</v>
      </c>
      <c r="B4555" s="2" t="str">
        <f ca="1">IFERROR(__xludf.DUMMYFUNCTION("""COMPUTED_VALUE"""),"Expo Golf Villas 2 (Parkside 2)")</f>
        <v>Expo Golf Villas 2 (Parkside 2)</v>
      </c>
      <c r="C4555" s="2" t="str">
        <f ca="1">IFERROR(__xludf.DUMMYFUNCTION("""COMPUTED_VALUE"""),"Neighbourhood")</f>
        <v>Neighbourhood</v>
      </c>
      <c r="D4555" s="2" t="str">
        <f ca="1">IFERROR(__xludf.DUMMYFUNCTION("""COMPUTED_VALUE"""),"Dubai&gt;Dubai South&gt;Emaar South&gt;Expo Golf Villas&gt;Expo Golf Villas 2 (Parkside 2)")</f>
        <v>Dubai&gt;Dubai South&gt;Emaar South&gt;Expo Golf Villas&gt;Expo Golf Villas 2 (Parkside 2)</v>
      </c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</row>
    <row r="4556" spans="1:26" ht="16.5" x14ac:dyDescent="0.35">
      <c r="A4556" s="2" t="str">
        <f ca="1">IFERROR(__xludf.DUMMYFUNCTION("""COMPUTED_VALUE"""),"Dubai")</f>
        <v>Dubai</v>
      </c>
      <c r="B4556" s="2" t="str">
        <f ca="1">IFERROR(__xludf.DUMMYFUNCTION("""COMPUTED_VALUE"""),"Greenspoint 2")</f>
        <v>Greenspoint 2</v>
      </c>
      <c r="C4556" s="2" t="str">
        <f ca="1">IFERROR(__xludf.DUMMYFUNCTION("""COMPUTED_VALUE"""),"Neighbourhood")</f>
        <v>Neighbourhood</v>
      </c>
      <c r="D4556" s="2" t="str">
        <f ca="1">IFERROR(__xludf.DUMMYFUNCTION("""COMPUTED_VALUE"""),"Dubai&gt;Dubai South&gt;Emaar South&gt;Greenspoint 2")</f>
        <v>Dubai&gt;Dubai South&gt;Emaar South&gt;Greenspoint 2</v>
      </c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</row>
    <row r="4557" spans="1:26" ht="16.5" x14ac:dyDescent="0.35">
      <c r="A4557" s="2" t="str">
        <f ca="1">IFERROR(__xludf.DUMMYFUNCTION("""COMPUTED_VALUE"""),"Dubai")</f>
        <v>Dubai</v>
      </c>
      <c r="B4557" s="2" t="str">
        <f ca="1">IFERROR(__xludf.DUMMYFUNCTION("""COMPUTED_VALUE"""),"Aviation City")</f>
        <v>Aviation City</v>
      </c>
      <c r="C4557" s="2" t="str">
        <f ca="1">IFERROR(__xludf.DUMMYFUNCTION("""COMPUTED_VALUE"""),"Neighbourhood")</f>
        <v>Neighbourhood</v>
      </c>
      <c r="D4557" s="2" t="str">
        <f ca="1">IFERROR(__xludf.DUMMYFUNCTION("""COMPUTED_VALUE"""),"Dubai&gt;Dubai South&gt;Aviation City")</f>
        <v>Dubai&gt;Dubai South&gt;Aviation City</v>
      </c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</row>
    <row r="4558" spans="1:26" ht="16.5" x14ac:dyDescent="0.35">
      <c r="A4558" s="2" t="str">
        <f ca="1">IFERROR(__xludf.DUMMYFUNCTION("""COMPUTED_VALUE"""),"Dubai")</f>
        <v>Dubai</v>
      </c>
      <c r="B4558" s="2" t="str">
        <f ca="1">IFERROR(__xludf.DUMMYFUNCTION("""COMPUTED_VALUE"""),"Azizi Venice 9 Building A")</f>
        <v>Azizi Venice 9 Building A</v>
      </c>
      <c r="C4558" s="2" t="str">
        <f ca="1">IFERROR(__xludf.DUMMYFUNCTION("""COMPUTED_VALUE"""),"Building")</f>
        <v>Building</v>
      </c>
      <c r="D4558" s="2" t="str">
        <f ca="1">IFERROR(__xludf.DUMMYFUNCTION("""COMPUTED_VALUE"""),"Dubai&gt;Dubai South&gt;Azizi Venice&gt;Azizi Venice 9&gt;Azizi Venice 9 Building A")</f>
        <v>Dubai&gt;Dubai South&gt;Azizi Venice&gt;Azizi Venice 9&gt;Azizi Venice 9 Building A</v>
      </c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</row>
    <row r="4559" spans="1:26" ht="16.5" x14ac:dyDescent="0.35">
      <c r="A4559" s="2" t="str">
        <f ca="1">IFERROR(__xludf.DUMMYFUNCTION("""COMPUTED_VALUE"""),"Dubai")</f>
        <v>Dubai</v>
      </c>
      <c r="B4559" s="2" t="str">
        <f ca="1">IFERROR(__xludf.DUMMYFUNCTION("""COMPUTED_VALUE"""),"Cascada 2")</f>
        <v>Cascada 2</v>
      </c>
      <c r="C4559" s="2" t="str">
        <f ca="1">IFERROR(__xludf.DUMMYFUNCTION("""COMPUTED_VALUE"""),"Building")</f>
        <v>Building</v>
      </c>
      <c r="D4559" s="2" t="str">
        <f ca="1">IFERROR(__xludf.DUMMYFUNCTION("""COMPUTED_VALUE"""),"Dubai&gt;Dubai South&gt;Waada&gt;Cascada&gt;Cascada 2")</f>
        <v>Dubai&gt;Dubai South&gt;Waada&gt;Cascada&gt;Cascada 2</v>
      </c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</row>
    <row r="4560" spans="1:26" ht="16.5" x14ac:dyDescent="0.35">
      <c r="A4560" s="2" t="str">
        <f ca="1">IFERROR(__xludf.DUMMYFUNCTION("""COMPUTED_VALUE"""),"Dubai")</f>
        <v>Dubai</v>
      </c>
      <c r="B4560" s="2" t="str">
        <f ca="1">IFERROR(__xludf.DUMMYFUNCTION("""COMPUTED_VALUE"""),"Al Rashid Al Saleh Private School")</f>
        <v>Al Rashid Al Saleh Private School</v>
      </c>
      <c r="C4560" s="2" t="str">
        <f ca="1">IFERROR(__xludf.DUMMYFUNCTION("""COMPUTED_VALUE"""),"School")</f>
        <v>School</v>
      </c>
      <c r="D4560" s="2" t="str">
        <f ca="1">IFERROR(__xludf.DUMMYFUNCTION("""COMPUTED_VALUE"""),"Dubai&gt;Bur Dubai&gt;Oud Metha&gt;Al Rashid Al Saleh Private School")</f>
        <v>Dubai&gt;Bur Dubai&gt;Oud Metha&gt;Al Rashid Al Saleh Private School</v>
      </c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</row>
    <row r="4561" spans="1:26" ht="16.5" x14ac:dyDescent="0.35">
      <c r="A4561" s="2" t="str">
        <f ca="1">IFERROR(__xludf.DUMMYFUNCTION("""COMPUTED_VALUE"""),"Dubai")</f>
        <v>Dubai</v>
      </c>
      <c r="B4561" s="2" t="str">
        <f ca="1">IFERROR(__xludf.DUMMYFUNCTION("""COMPUTED_VALUE"""),"Business Venue Building")</f>
        <v>Business Venue Building</v>
      </c>
      <c r="C4561" s="2" t="str">
        <f ca="1">IFERROR(__xludf.DUMMYFUNCTION("""COMPUTED_VALUE"""),"Building")</f>
        <v>Building</v>
      </c>
      <c r="D4561" s="2" t="str">
        <f ca="1">IFERROR(__xludf.DUMMYFUNCTION("""COMPUTED_VALUE"""),"Dubai&gt;Bur Dubai&gt;Oud Metha&gt;Business Venue Building")</f>
        <v>Dubai&gt;Bur Dubai&gt;Oud Metha&gt;Business Venue Building</v>
      </c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</row>
    <row r="4562" spans="1:26" ht="16.5" x14ac:dyDescent="0.35">
      <c r="A4562" s="2" t="str">
        <f ca="1">IFERROR(__xludf.DUMMYFUNCTION("""COMPUTED_VALUE"""),"Dubai")</f>
        <v>Dubai</v>
      </c>
      <c r="B4562" s="2" t="str">
        <f ca="1">IFERROR(__xludf.DUMMYFUNCTION("""COMPUTED_VALUE"""),"Al Yousuf Building Riffa 3")</f>
        <v>Al Yousuf Building Riffa 3</v>
      </c>
      <c r="C4562" s="2" t="str">
        <f ca="1">IFERROR(__xludf.DUMMYFUNCTION("""COMPUTED_VALUE"""),"Building")</f>
        <v>Building</v>
      </c>
      <c r="D4562" s="2" t="str">
        <f ca="1">IFERROR(__xludf.DUMMYFUNCTION("""COMPUTED_VALUE"""),"Dubai&gt;Bur Dubai&gt;Al Raffa&gt;Al Yousuf Building Riffa 3")</f>
        <v>Dubai&gt;Bur Dubai&gt;Al Raffa&gt;Al Yousuf Building Riffa 3</v>
      </c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</row>
    <row r="4563" spans="1:26" ht="16.5" x14ac:dyDescent="0.35">
      <c r="A4563" s="2" t="str">
        <f ca="1">IFERROR(__xludf.DUMMYFUNCTION("""COMPUTED_VALUE"""),"Dubai")</f>
        <v>Dubai</v>
      </c>
      <c r="B4563" s="2" t="str">
        <f ca="1">IFERROR(__xludf.DUMMYFUNCTION("""COMPUTED_VALUE"""),"Hussain Nasser Ahmed Lootah 4 Building")</f>
        <v>Hussain Nasser Ahmed Lootah 4 Building</v>
      </c>
      <c r="C4563" s="2" t="str">
        <f ca="1">IFERROR(__xludf.DUMMYFUNCTION("""COMPUTED_VALUE"""),"Building")</f>
        <v>Building</v>
      </c>
      <c r="D4563" s="2" t="str">
        <f ca="1">IFERROR(__xludf.DUMMYFUNCTION("""COMPUTED_VALUE"""),"Dubai&gt;Bur Dubai&gt;Al Raffa&gt;Hussain Nasser Ahmed Lootah 4 Building")</f>
        <v>Dubai&gt;Bur Dubai&gt;Al Raffa&gt;Hussain Nasser Ahmed Lootah 4 Building</v>
      </c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</row>
    <row r="4564" spans="1:26" ht="16.5" x14ac:dyDescent="0.35">
      <c r="A4564" s="2" t="str">
        <f ca="1">IFERROR(__xludf.DUMMYFUNCTION("""COMPUTED_VALUE"""),"Dubai")</f>
        <v>Dubai</v>
      </c>
      <c r="B4564" s="2" t="str">
        <f ca="1">IFERROR(__xludf.DUMMYFUNCTION("""COMPUTED_VALUE"""),"New Al Salam Building")</f>
        <v>New Al Salam Building</v>
      </c>
      <c r="C4564" s="2" t="str">
        <f ca="1">IFERROR(__xludf.DUMMYFUNCTION("""COMPUTED_VALUE"""),"Building")</f>
        <v>Building</v>
      </c>
      <c r="D4564" s="2" t="str">
        <f ca="1">IFERROR(__xludf.DUMMYFUNCTION("""COMPUTED_VALUE"""),"Dubai&gt;Bur Dubai&gt;Al Mankhool&gt;New Al Salam Building")</f>
        <v>Dubai&gt;Bur Dubai&gt;Al Mankhool&gt;New Al Salam Building</v>
      </c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</row>
    <row r="4565" spans="1:26" ht="16.5" x14ac:dyDescent="0.35">
      <c r="A4565" s="2" t="str">
        <f ca="1">IFERROR(__xludf.DUMMYFUNCTION("""COMPUTED_VALUE"""),"Dubai")</f>
        <v>Dubai</v>
      </c>
      <c r="B4565" s="2" t="str">
        <f ca="1">IFERROR(__xludf.DUMMYFUNCTION("""COMPUTED_VALUE"""),"Star 2 Building")</f>
        <v>Star 2 Building</v>
      </c>
      <c r="C4565" s="2" t="str">
        <f ca="1">IFERROR(__xludf.DUMMYFUNCTION("""COMPUTED_VALUE"""),"Building")</f>
        <v>Building</v>
      </c>
      <c r="D4565" s="2" t="str">
        <f ca="1">IFERROR(__xludf.DUMMYFUNCTION("""COMPUTED_VALUE"""),"Dubai&gt;Bur Dubai&gt;Al Mankhool&gt;Star 2 Building")</f>
        <v>Dubai&gt;Bur Dubai&gt;Al Mankhool&gt;Star 2 Building</v>
      </c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</row>
    <row r="4566" spans="1:26" ht="16.5" x14ac:dyDescent="0.35">
      <c r="A4566" s="2" t="str">
        <f ca="1">IFERROR(__xludf.DUMMYFUNCTION("""COMPUTED_VALUE"""),"Dubai")</f>
        <v>Dubai</v>
      </c>
      <c r="B4566" s="2" t="str">
        <f ca="1">IFERROR(__xludf.DUMMYFUNCTION("""COMPUTED_VALUE"""),"Style Building")</f>
        <v>Style Building</v>
      </c>
      <c r="C4566" s="2" t="str">
        <f ca="1">IFERROR(__xludf.DUMMYFUNCTION("""COMPUTED_VALUE"""),"Building")</f>
        <v>Building</v>
      </c>
      <c r="D4566" s="2" t="str">
        <f ca="1">IFERROR(__xludf.DUMMYFUNCTION("""COMPUTED_VALUE"""),"Dubai&gt;Bur Dubai&gt;Al Mankhool&gt;Style Building")</f>
        <v>Dubai&gt;Bur Dubai&gt;Al Mankhool&gt;Style Building</v>
      </c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</row>
    <row r="4567" spans="1:26" ht="16.5" x14ac:dyDescent="0.35">
      <c r="A4567" s="2" t="str">
        <f ca="1">IFERROR(__xludf.DUMMYFUNCTION("""COMPUTED_VALUE"""),"Dubai")</f>
        <v>Dubai</v>
      </c>
      <c r="B4567" s="2" t="str">
        <f ca="1">IFERROR(__xludf.DUMMYFUNCTION("""COMPUTED_VALUE"""),"Park Gate Residence A")</f>
        <v>Park Gate Residence A</v>
      </c>
      <c r="C4567" s="2" t="str">
        <f ca="1">IFERROR(__xludf.DUMMYFUNCTION("""COMPUTED_VALUE"""),"Building")</f>
        <v>Building</v>
      </c>
      <c r="D4567" s="2" t="str">
        <f ca="1">IFERROR(__xludf.DUMMYFUNCTION("""COMPUTED_VALUE"""),"Dubai&gt;Bur Dubai&gt;Al Kifaf&gt;Park Gate Residence&gt;Park Gate Residence A")</f>
        <v>Dubai&gt;Bur Dubai&gt;Al Kifaf&gt;Park Gate Residence&gt;Park Gate Residence A</v>
      </c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</row>
    <row r="4568" spans="1:26" ht="16.5" x14ac:dyDescent="0.35">
      <c r="A4568" s="2" t="str">
        <f ca="1">IFERROR(__xludf.DUMMYFUNCTION("""COMPUTED_VALUE"""),"Dubai")</f>
        <v>Dubai</v>
      </c>
      <c r="B4568" s="2" t="str">
        <f ca="1">IFERROR(__xludf.DUMMYFUNCTION("""COMPUTED_VALUE"""),"Al Maha Building")</f>
        <v>Al Maha Building</v>
      </c>
      <c r="C4568" s="2" t="str">
        <f ca="1">IFERROR(__xludf.DUMMYFUNCTION("""COMPUTED_VALUE"""),"Building")</f>
        <v>Building</v>
      </c>
      <c r="D4568" s="2" t="str">
        <f ca="1">IFERROR(__xludf.DUMMYFUNCTION("""COMPUTED_VALUE"""),"Dubai&gt;Bur Dubai&gt;Umm Hurair&gt;Umm Hurair 1&gt;Al Maha Building")</f>
        <v>Dubai&gt;Bur Dubai&gt;Umm Hurair&gt;Umm Hurair 1&gt;Al Maha Building</v>
      </c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</row>
    <row r="4569" spans="1:26" ht="16.5" x14ac:dyDescent="0.35">
      <c r="A4569" s="2" t="str">
        <f ca="1">IFERROR(__xludf.DUMMYFUNCTION("""COMPUTED_VALUE"""),"Dubai")</f>
        <v>Dubai</v>
      </c>
      <c r="B4569" s="2" t="str">
        <f ca="1">IFERROR(__xludf.DUMMYFUNCTION("""COMPUTED_VALUE"""),"Al Wajdi Building")</f>
        <v>Al Wajdi Building</v>
      </c>
      <c r="C4569" s="2" t="str">
        <f ca="1">IFERROR(__xludf.DUMMYFUNCTION("""COMPUTED_VALUE"""),"Building")</f>
        <v>Building</v>
      </c>
      <c r="D4569" s="2" t="str">
        <f ca="1">IFERROR(__xludf.DUMMYFUNCTION("""COMPUTED_VALUE"""),"Dubai&gt;Bur Dubai&gt;Al Souk Al Kabeer (Al Fahidi)&gt;Al Wajdi Building")</f>
        <v>Dubai&gt;Bur Dubai&gt;Al Souk Al Kabeer (Al Fahidi)&gt;Al Wajdi Building</v>
      </c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</row>
    <row r="4570" spans="1:26" ht="16.5" x14ac:dyDescent="0.35">
      <c r="A4570" s="2" t="str">
        <f ca="1">IFERROR(__xludf.DUMMYFUNCTION("""COMPUTED_VALUE"""),"Dubai")</f>
        <v>Dubai</v>
      </c>
      <c r="B4570" s="2" t="str">
        <f ca="1">IFERROR(__xludf.DUMMYFUNCTION("""COMPUTED_VALUE"""),"Al Salam Building")</f>
        <v>Al Salam Building</v>
      </c>
      <c r="C4570" s="2" t="str">
        <f ca="1">IFERROR(__xludf.DUMMYFUNCTION("""COMPUTED_VALUE"""),"Building")</f>
        <v>Building</v>
      </c>
      <c r="D4570" s="2" t="str">
        <f ca="1">IFERROR(__xludf.DUMMYFUNCTION("""COMPUTED_VALUE"""),"Dubai&gt;Bur Dubai&gt;Al Hamriya&gt;Al Salam Building")</f>
        <v>Dubai&gt;Bur Dubai&gt;Al Hamriya&gt;Al Salam Building</v>
      </c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</row>
    <row r="4571" spans="1:26" ht="16.5" x14ac:dyDescent="0.35">
      <c r="A4571" s="2" t="str">
        <f ca="1">IFERROR(__xludf.DUMMYFUNCTION("""COMPUTED_VALUE"""),"Dubai")</f>
        <v>Dubai</v>
      </c>
      <c r="B4571" s="2" t="str">
        <f ca="1">IFERROR(__xludf.DUMMYFUNCTION("""COMPUTED_VALUE"""),"Building 72")</f>
        <v>Building 72</v>
      </c>
      <c r="C4571" s="2" t="str">
        <f ca="1">IFERROR(__xludf.DUMMYFUNCTION("""COMPUTED_VALUE"""),"Building")</f>
        <v>Building</v>
      </c>
      <c r="D4571" s="2" t="str">
        <f ca="1">IFERROR(__xludf.DUMMYFUNCTION("""COMPUTED_VALUE"""),"Dubai&gt;Bur Dubai&gt;Dubai Healthcare City&gt;Building 72")</f>
        <v>Dubai&gt;Bur Dubai&gt;Dubai Healthcare City&gt;Building 72</v>
      </c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</row>
    <row r="4572" spans="1:26" ht="16.5" x14ac:dyDescent="0.35">
      <c r="A4572" s="2" t="str">
        <f ca="1">IFERROR(__xludf.DUMMYFUNCTION("""COMPUTED_VALUE"""),"Dubai")</f>
        <v>Dubai</v>
      </c>
      <c r="B4572" s="2" t="str">
        <f ca="1">IFERROR(__xludf.DUMMYFUNCTION("""COMPUTED_VALUE"""),"Redwood Park")</f>
        <v>Redwood Park</v>
      </c>
      <c r="C4572" s="2" t="str">
        <f ca="1">IFERROR(__xludf.DUMMYFUNCTION("""COMPUTED_VALUE"""),"Neighbourhood")</f>
        <v>Neighbourhood</v>
      </c>
      <c r="D4572" s="2" t="str">
        <f ca="1">IFERROR(__xludf.DUMMYFUNCTION("""COMPUTED_VALUE"""),"Dubai&gt;Jumeirah Golf Estates&gt;Redwood Park")</f>
        <v>Dubai&gt;Jumeirah Golf Estates&gt;Redwood Park</v>
      </c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</row>
    <row r="4573" spans="1:26" ht="16.5" x14ac:dyDescent="0.35">
      <c r="A4573" s="2" t="str">
        <f ca="1">IFERROR(__xludf.DUMMYFUNCTION("""COMPUTED_VALUE"""),"Dubai")</f>
        <v>Dubai</v>
      </c>
      <c r="B4573" s="2" t="str">
        <f ca="1">IFERROR(__xludf.DUMMYFUNCTION("""COMPUTED_VALUE"""),"Palace Beach Residence Podium")</f>
        <v>Palace Beach Residence Podium</v>
      </c>
      <c r="C4573" s="2" t="str">
        <f ca="1">IFERROR(__xludf.DUMMYFUNCTION("""COMPUTED_VALUE"""),"Building")</f>
        <v>Building</v>
      </c>
      <c r="D4573" s="2" t="str">
        <f ca="1">IFERROR(__xludf.DUMMYFUNCTION("""COMPUTED_VALUE"""),"Dubai&gt;Dubai Harbour&gt;Emaar Beachfront&gt;Palace Beach Residence&gt;Palace Beach Residence Podium")</f>
        <v>Dubai&gt;Dubai Harbour&gt;Emaar Beachfront&gt;Palace Beach Residence&gt;Palace Beach Residence Podium</v>
      </c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</row>
    <row r="4574" spans="1:26" ht="16.5" x14ac:dyDescent="0.35">
      <c r="A4574" s="2" t="str">
        <f ca="1">IFERROR(__xludf.DUMMYFUNCTION("""COMPUTED_VALUE"""),"Dubai")</f>
        <v>Dubai</v>
      </c>
      <c r="B4574" s="2" t="str">
        <f ca="1">IFERROR(__xludf.DUMMYFUNCTION("""COMPUTED_VALUE"""),"DAMAC Bay 2 by Cavalli")</f>
        <v>DAMAC Bay 2 by Cavalli</v>
      </c>
      <c r="C4574" s="2" t="str">
        <f ca="1">IFERROR(__xludf.DUMMYFUNCTION("""COMPUTED_VALUE"""),"Building")</f>
        <v>Building</v>
      </c>
      <c r="D4574" s="2" t="str">
        <f ca="1">IFERROR(__xludf.DUMMYFUNCTION("""COMPUTED_VALUE"""),"Dubai&gt;Dubai Harbour&gt;DAMAC Bay 2 by Cavalli")</f>
        <v>Dubai&gt;Dubai Harbour&gt;DAMAC Bay 2 by Cavalli</v>
      </c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</row>
    <row r="4575" spans="1:26" ht="16.5" x14ac:dyDescent="0.35">
      <c r="A4575" s="2" t="str">
        <f ca="1">IFERROR(__xludf.DUMMYFUNCTION("""COMPUTED_VALUE"""),"Dubai")</f>
        <v>Dubai</v>
      </c>
      <c r="B4575" s="2" t="str">
        <f ca="1">IFERROR(__xludf.DUMMYFUNCTION("""COMPUTED_VALUE"""),"Viridis Tower C")</f>
        <v>Viridis Tower C</v>
      </c>
      <c r="C4575" s="2" t="str">
        <f ca="1">IFERROR(__xludf.DUMMYFUNCTION("""COMPUTED_VALUE"""),"Building")</f>
        <v>Building</v>
      </c>
      <c r="D4575" s="2" t="str">
        <f ca="1">IFERROR(__xludf.DUMMYFUNCTION("""COMPUTED_VALUE"""),"Dubai&gt;DAMAC Hills 2 (Akoya by DAMAC)&gt;Viridis Residence and Hotel Apartments&gt;Viridis Tower C")</f>
        <v>Dubai&gt;DAMAC Hills 2 (Akoya by DAMAC)&gt;Viridis Residence and Hotel Apartments&gt;Viridis Tower C</v>
      </c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</row>
    <row r="4576" spans="1:26" ht="16.5" x14ac:dyDescent="0.35">
      <c r="A4576" s="2" t="str">
        <f ca="1">IFERROR(__xludf.DUMMYFUNCTION("""COMPUTED_VALUE"""),"Dubai")</f>
        <v>Dubai</v>
      </c>
      <c r="B4576" s="2" t="str">
        <f ca="1">IFERROR(__xludf.DUMMYFUNCTION("""COMPUTED_VALUE"""),"International City")</f>
        <v>International City</v>
      </c>
      <c r="C4576" s="2" t="str">
        <f ca="1">IFERROR(__xludf.DUMMYFUNCTION("""COMPUTED_VALUE"""),"Neighbourhood")</f>
        <v>Neighbourhood</v>
      </c>
      <c r="D4576" s="2" t="str">
        <f ca="1">IFERROR(__xludf.DUMMYFUNCTION("""COMPUTED_VALUE"""),"Dubai&gt;International City")</f>
        <v>Dubai&gt;International City</v>
      </c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</row>
    <row r="4577" spans="1:26" ht="16.5" x14ac:dyDescent="0.35">
      <c r="A4577" s="2" t="str">
        <f ca="1">IFERROR(__xludf.DUMMYFUNCTION("""COMPUTED_VALUE"""),"Dubai")</f>
        <v>Dubai</v>
      </c>
      <c r="B4577" s="2" t="str">
        <f ca="1">IFERROR(__xludf.DUMMYFUNCTION("""COMPUTED_VALUE"""),"G-07")</f>
        <v>G-07</v>
      </c>
      <c r="C4577" s="2" t="str">
        <f ca="1">IFERROR(__xludf.DUMMYFUNCTION("""COMPUTED_VALUE"""),"Building")</f>
        <v>Building</v>
      </c>
      <c r="D4577" s="2" t="str">
        <f ca="1">IFERROR(__xludf.DUMMYFUNCTION("""COMPUTED_VALUE"""),"Dubai&gt;International City&gt;Morocco Cluster&gt;G-07")</f>
        <v>Dubai&gt;International City&gt;Morocco Cluster&gt;G-07</v>
      </c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</row>
    <row r="4578" spans="1:26" ht="16.5" x14ac:dyDescent="0.35">
      <c r="A4578" s="2" t="str">
        <f ca="1">IFERROR(__xludf.DUMMYFUNCTION("""COMPUTED_VALUE"""),"Dubai")</f>
        <v>Dubai</v>
      </c>
      <c r="B4578" s="2" t="str">
        <f ca="1">IFERROR(__xludf.DUMMYFUNCTION("""COMPUTED_VALUE"""),"A-05")</f>
        <v>A-05</v>
      </c>
      <c r="C4578" s="2" t="str">
        <f ca="1">IFERROR(__xludf.DUMMYFUNCTION("""COMPUTED_VALUE"""),"Building")</f>
        <v>Building</v>
      </c>
      <c r="D4578" s="2" t="str">
        <f ca="1">IFERROR(__xludf.DUMMYFUNCTION("""COMPUTED_VALUE"""),"Dubai&gt;International City&gt;China Cluster&gt;A-05")</f>
        <v>Dubai&gt;International City&gt;China Cluster&gt;A-05</v>
      </c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</row>
    <row r="4579" spans="1:26" ht="16.5" x14ac:dyDescent="0.35">
      <c r="A4579" s="2" t="str">
        <f ca="1">IFERROR(__xludf.DUMMYFUNCTION("""COMPUTED_VALUE"""),"Dubai")</f>
        <v>Dubai</v>
      </c>
      <c r="B4579" s="2" t="str">
        <f ca="1">IFERROR(__xludf.DUMMYFUNCTION("""COMPUTED_VALUE"""),"C-12")</f>
        <v>C-12</v>
      </c>
      <c r="C4579" s="2" t="str">
        <f ca="1">IFERROR(__xludf.DUMMYFUNCTION("""COMPUTED_VALUE"""),"Building")</f>
        <v>Building</v>
      </c>
      <c r="D4579" s="2" t="str">
        <f ca="1">IFERROR(__xludf.DUMMYFUNCTION("""COMPUTED_VALUE"""),"Dubai&gt;International City&gt;China Cluster&gt;C-12")</f>
        <v>Dubai&gt;International City&gt;China Cluster&gt;C-12</v>
      </c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</row>
    <row r="4580" spans="1:26" ht="16.5" x14ac:dyDescent="0.35">
      <c r="A4580" s="2" t="str">
        <f ca="1">IFERROR(__xludf.DUMMYFUNCTION("""COMPUTED_VALUE"""),"Dubai")</f>
        <v>Dubai</v>
      </c>
      <c r="B4580" s="2" t="str">
        <f ca="1">IFERROR(__xludf.DUMMYFUNCTION("""COMPUTED_VALUE"""),"H-03")</f>
        <v>H-03</v>
      </c>
      <c r="C4580" s="2" t="str">
        <f ca="1">IFERROR(__xludf.DUMMYFUNCTION("""COMPUTED_VALUE"""),"Building")</f>
        <v>Building</v>
      </c>
      <c r="D4580" s="2" t="str">
        <f ca="1">IFERROR(__xludf.DUMMYFUNCTION("""COMPUTED_VALUE"""),"Dubai&gt;International City&gt;China Cluster&gt;H-03")</f>
        <v>Dubai&gt;International City&gt;China Cluster&gt;H-03</v>
      </c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</row>
    <row r="4581" spans="1:26" ht="16.5" x14ac:dyDescent="0.35">
      <c r="A4581" s="2" t="str">
        <f ca="1">IFERROR(__xludf.DUMMYFUNCTION("""COMPUTED_VALUE"""),"Dubai")</f>
        <v>Dubai</v>
      </c>
      <c r="B4581" s="2" t="str">
        <f ca="1">IFERROR(__xludf.DUMMYFUNCTION("""COMPUTED_VALUE"""),"S-18")</f>
        <v>S-18</v>
      </c>
      <c r="C4581" s="2" t="str">
        <f ca="1">IFERROR(__xludf.DUMMYFUNCTION("""COMPUTED_VALUE"""),"Building")</f>
        <v>Building</v>
      </c>
      <c r="D4581" s="2" t="str">
        <f ca="1">IFERROR(__xludf.DUMMYFUNCTION("""COMPUTED_VALUE"""),"Dubai&gt;International City&gt;Spain Cluster&gt;S-18")</f>
        <v>Dubai&gt;International City&gt;Spain Cluster&gt;S-18</v>
      </c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</row>
    <row r="4582" spans="1:26" ht="16.5" x14ac:dyDescent="0.35">
      <c r="A4582" s="2" t="str">
        <f ca="1">IFERROR(__xludf.DUMMYFUNCTION("""COMPUTED_VALUE"""),"Dubai")</f>
        <v>Dubai</v>
      </c>
      <c r="B4582" s="2" t="str">
        <f ca="1">IFERROR(__xludf.DUMMYFUNCTION("""COMPUTED_VALUE"""),"U-15")</f>
        <v>U-15</v>
      </c>
      <c r="C4582" s="2" t="str">
        <f ca="1">IFERROR(__xludf.DUMMYFUNCTION("""COMPUTED_VALUE"""),"Building")</f>
        <v>Building</v>
      </c>
      <c r="D4582" s="2" t="str">
        <f ca="1">IFERROR(__xludf.DUMMYFUNCTION("""COMPUTED_VALUE"""),"Dubai&gt;International City&gt;Italy Cluster&gt;U-15")</f>
        <v>Dubai&gt;International City&gt;Italy Cluster&gt;U-15</v>
      </c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</row>
    <row r="4583" spans="1:26" ht="16.5" x14ac:dyDescent="0.35">
      <c r="A4583" s="2" t="str">
        <f ca="1">IFERROR(__xludf.DUMMYFUNCTION("""COMPUTED_VALUE"""),"Dubai")</f>
        <v>Dubai</v>
      </c>
      <c r="B4583" s="2" t="str">
        <f ca="1">IFERROR(__xludf.DUMMYFUNCTION("""COMPUTED_VALUE"""),"V-21")</f>
        <v>V-21</v>
      </c>
      <c r="C4583" s="2" t="str">
        <f ca="1">IFERROR(__xludf.DUMMYFUNCTION("""COMPUTED_VALUE"""),"Building")</f>
        <v>Building</v>
      </c>
      <c r="D4583" s="2" t="str">
        <f ca="1">IFERROR(__xludf.DUMMYFUNCTION("""COMPUTED_VALUE"""),"Dubai&gt;International City&gt;Russia Cluster&gt;V-21")</f>
        <v>Dubai&gt;International City&gt;Russia Cluster&gt;V-21</v>
      </c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</row>
    <row r="4584" spans="1:26" ht="16.5" x14ac:dyDescent="0.35">
      <c r="A4584" s="2" t="str">
        <f ca="1">IFERROR(__xludf.DUMMYFUNCTION("""COMPUTED_VALUE"""),"Dubai")</f>
        <v>Dubai</v>
      </c>
      <c r="B4584" s="2" t="str">
        <f ca="1">IFERROR(__xludf.DUMMYFUNCTION("""COMPUTED_VALUE"""),"M-04")</f>
        <v>M-04</v>
      </c>
      <c r="C4584" s="2" t="str">
        <f ca="1">IFERROR(__xludf.DUMMYFUNCTION("""COMPUTED_VALUE"""),"Building")</f>
        <v>Building</v>
      </c>
      <c r="D4584" s="2" t="str">
        <f ca="1">IFERROR(__xludf.DUMMYFUNCTION("""COMPUTED_VALUE"""),"Dubai&gt;International City&gt;Persia Cluster&gt;M-04")</f>
        <v>Dubai&gt;International City&gt;Persia Cluster&gt;M-04</v>
      </c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</row>
    <row r="4585" spans="1:26" ht="16.5" x14ac:dyDescent="0.35">
      <c r="A4585" s="2" t="str">
        <f ca="1">IFERROR(__xludf.DUMMYFUNCTION("""COMPUTED_VALUE"""),"Dubai")</f>
        <v>Dubai</v>
      </c>
      <c r="B4585" s="2" t="str">
        <f ca="1">IFERROR(__xludf.DUMMYFUNCTION("""COMPUTED_VALUE"""),"EMR-11")</f>
        <v>EMR-11</v>
      </c>
      <c r="C4585" s="2" t="str">
        <f ca="1">IFERROR(__xludf.DUMMYFUNCTION("""COMPUTED_VALUE"""),"Building")</f>
        <v>Building</v>
      </c>
      <c r="D4585" s="2" t="str">
        <f ca="1">IFERROR(__xludf.DUMMYFUNCTION("""COMPUTED_VALUE"""),"Dubai&gt;International City&gt;Emirates Cluster&gt;EMR-11")</f>
        <v>Dubai&gt;International City&gt;Emirates Cluster&gt;EMR-11</v>
      </c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</row>
    <row r="4586" spans="1:26" ht="16.5" x14ac:dyDescent="0.35">
      <c r="A4586" s="2" t="str">
        <f ca="1">IFERROR(__xludf.DUMMYFUNCTION("""COMPUTED_VALUE"""),"Dubai")</f>
        <v>Dubai</v>
      </c>
      <c r="B4586" s="2" t="str">
        <f ca="1">IFERROR(__xludf.DUMMYFUNCTION("""COMPUTED_VALUE"""),"X-19")</f>
        <v>X-19</v>
      </c>
      <c r="C4586" s="2" t="str">
        <f ca="1">IFERROR(__xludf.DUMMYFUNCTION("""COMPUTED_VALUE"""),"Building")</f>
        <v>Building</v>
      </c>
      <c r="D4586" s="2" t="str">
        <f ca="1">IFERROR(__xludf.DUMMYFUNCTION("""COMPUTED_VALUE"""),"Dubai&gt;International City&gt;England Cluster&gt;X-19")</f>
        <v>Dubai&gt;International City&gt;England Cluster&gt;X-19</v>
      </c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</row>
    <row r="4587" spans="1:26" ht="16.5" x14ac:dyDescent="0.35">
      <c r="A4587" s="2" t="str">
        <f ca="1">IFERROR(__xludf.DUMMYFUNCTION("""COMPUTED_VALUE"""),"Dubai")</f>
        <v>Dubai</v>
      </c>
      <c r="B4587" s="2" t="str">
        <f ca="1">IFERROR(__xludf.DUMMYFUNCTION("""COMPUTED_VALUE"""),"Y-25")</f>
        <v>Y-25</v>
      </c>
      <c r="C4587" s="2" t="str">
        <f ca="1">IFERROR(__xludf.DUMMYFUNCTION("""COMPUTED_VALUE"""),"Building")</f>
        <v>Building</v>
      </c>
      <c r="D4587" s="2" t="str">
        <f ca="1">IFERROR(__xludf.DUMMYFUNCTION("""COMPUTED_VALUE"""),"Dubai&gt;International City&gt;England Cluster&gt;Y-25")</f>
        <v>Dubai&gt;International City&gt;England Cluster&gt;Y-25</v>
      </c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</row>
    <row r="4588" spans="1:26" ht="16.5" x14ac:dyDescent="0.35">
      <c r="A4588" s="2" t="str">
        <f ca="1">IFERROR(__xludf.DUMMYFUNCTION("""COMPUTED_VALUE"""),"Dubai")</f>
        <v>Dubai</v>
      </c>
      <c r="B4588" s="2" t="str">
        <f ca="1">IFERROR(__xludf.DUMMYFUNCTION("""COMPUTED_VALUE"""),"ID Blu Building")</f>
        <v>ID Blu Building</v>
      </c>
      <c r="C4588" s="2" t="str">
        <f ca="1">IFERROR(__xludf.DUMMYFUNCTION("""COMPUTED_VALUE"""),"Building")</f>
        <v>Building</v>
      </c>
      <c r="D4588" s="2" t="str">
        <f ca="1">IFERROR(__xludf.DUMMYFUNCTION("""COMPUTED_VALUE"""),"Dubai&gt;International City&gt;International City Phase 2 (Warsan 4)&gt;ID Blu Building")</f>
        <v>Dubai&gt;International City&gt;International City Phase 2 (Warsan 4)&gt;ID Blu Building</v>
      </c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</row>
    <row r="4589" spans="1:26" ht="16.5" x14ac:dyDescent="0.35">
      <c r="A4589" s="2" t="str">
        <f ca="1">IFERROR(__xludf.DUMMYFUNCTION("""COMPUTED_VALUE"""),"Dubai")</f>
        <v>Dubai</v>
      </c>
      <c r="B4589" s="2" t="str">
        <f ca="1">IFERROR(__xludf.DUMMYFUNCTION("""COMPUTED_VALUE"""),"Rivington Heights")</f>
        <v>Rivington Heights</v>
      </c>
      <c r="C4589" s="2" t="str">
        <f ca="1">IFERROR(__xludf.DUMMYFUNCTION("""COMPUTED_VALUE"""),"Building")</f>
        <v>Building</v>
      </c>
      <c r="D4589" s="2" t="str">
        <f ca="1">IFERROR(__xludf.DUMMYFUNCTION("""COMPUTED_VALUE"""),"Dubai&gt;International City&gt;International City Phase 2 (Warsan 4)&gt;Rivington Heights")</f>
        <v>Dubai&gt;International City&gt;International City Phase 2 (Warsan 4)&gt;Rivington Heights</v>
      </c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</row>
    <row r="4590" spans="1:26" ht="16.5" x14ac:dyDescent="0.35">
      <c r="A4590" s="2" t="str">
        <f ca="1">IFERROR(__xludf.DUMMYFUNCTION("""COMPUTED_VALUE"""),"Dubai")</f>
        <v>Dubai</v>
      </c>
      <c r="B4590" s="2" t="str">
        <f ca="1">IFERROR(__xludf.DUMMYFUNCTION("""COMPUTED_VALUE"""),"Tulip Maiden")</f>
        <v>Tulip Maiden</v>
      </c>
      <c r="C4590" s="2" t="str">
        <f ca="1">IFERROR(__xludf.DUMMYFUNCTION("""COMPUTED_VALUE"""),"Building")</f>
        <v>Building</v>
      </c>
      <c r="D4590" s="2" t="str">
        <f ca="1">IFERROR(__xludf.DUMMYFUNCTION("""COMPUTED_VALUE"""),"Dubai&gt;International City&gt;International City Phase 2 (Warsan 4)&gt;Tulip Maiden")</f>
        <v>Dubai&gt;International City&gt;International City Phase 2 (Warsan 4)&gt;Tulip Maiden</v>
      </c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</row>
    <row r="4591" spans="1:26" ht="16.5" x14ac:dyDescent="0.35">
      <c r="A4591" s="2" t="str">
        <f ca="1">IFERROR(__xludf.DUMMYFUNCTION("""COMPUTED_VALUE"""),"Dubai")</f>
        <v>Dubai</v>
      </c>
      <c r="B4591" s="2" t="str">
        <f ca="1">IFERROR(__xludf.DUMMYFUNCTION("""COMPUTED_VALUE"""),"Akasya North")</f>
        <v>Akasya North</v>
      </c>
      <c r="C4591" s="2" t="str">
        <f ca="1">IFERROR(__xludf.DUMMYFUNCTION("""COMPUTED_VALUE"""),"Building")</f>
        <v>Building</v>
      </c>
      <c r="D4591" s="2" t="str">
        <f ca="1">IFERROR(__xludf.DUMMYFUNCTION("""COMPUTED_VALUE"""),"Dubai&gt;International City&gt;International City Phase 2 (Warsan 4)&gt;Akasya&gt;Akasya North")</f>
        <v>Dubai&gt;International City&gt;International City Phase 2 (Warsan 4)&gt;Akasya&gt;Akasya North</v>
      </c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</row>
    <row r="4592" spans="1:26" ht="16.5" x14ac:dyDescent="0.35">
      <c r="A4592" s="2" t="str">
        <f ca="1">IFERROR(__xludf.DUMMYFUNCTION("""COMPUTED_VALUE"""),"Dubai")</f>
        <v>Dubai</v>
      </c>
      <c r="B4592" s="2" t="str">
        <f ca="1">IFERROR(__xludf.DUMMYFUNCTION("""COMPUTED_VALUE"""),"Al Maha Residence")</f>
        <v>Al Maha Residence</v>
      </c>
      <c r="C4592" s="2" t="str">
        <f ca="1">IFERROR(__xludf.DUMMYFUNCTION("""COMPUTED_VALUE"""),"Building")</f>
        <v>Building</v>
      </c>
      <c r="D4592" s="2" t="str">
        <f ca="1">IFERROR(__xludf.DUMMYFUNCTION("""COMPUTED_VALUE"""),"Dubai&gt;International City&gt;International City Phase 2 (Warsan 4)&gt;Al Maha Residence")</f>
        <v>Dubai&gt;International City&gt;International City Phase 2 (Warsan 4)&gt;Al Maha Residence</v>
      </c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</row>
    <row r="4593" spans="1:26" ht="16.5" x14ac:dyDescent="0.35">
      <c r="A4593" s="2" t="str">
        <f ca="1">IFERROR(__xludf.DUMMYFUNCTION("""COMPUTED_VALUE"""),"Dubai")</f>
        <v>Dubai</v>
      </c>
      <c r="B4593" s="2" t="str">
        <f ca="1">IFERROR(__xludf.DUMMYFUNCTION("""COMPUTED_VALUE"""),"P-07")</f>
        <v>P-07</v>
      </c>
      <c r="C4593" s="2" t="str">
        <f ca="1">IFERROR(__xludf.DUMMYFUNCTION("""COMPUTED_VALUE"""),"Building")</f>
        <v>Building</v>
      </c>
      <c r="D4593" s="2" t="str">
        <f ca="1">IFERROR(__xludf.DUMMYFUNCTION("""COMPUTED_VALUE"""),"Dubai&gt;International City&gt;France Cluster&gt;P-07")</f>
        <v>Dubai&gt;International City&gt;France Cluster&gt;P-07</v>
      </c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</row>
    <row r="4594" spans="1:26" ht="16.5" x14ac:dyDescent="0.35">
      <c r="A4594" s="2" t="str">
        <f ca="1">IFERROR(__xludf.DUMMYFUNCTION("""COMPUTED_VALUE"""),"Dubai")</f>
        <v>Dubai</v>
      </c>
      <c r="B4594" s="2" t="str">
        <f ca="1">IFERROR(__xludf.DUMMYFUNCTION("""COMPUTED_VALUE"""),"R-03")</f>
        <v>R-03</v>
      </c>
      <c r="C4594" s="2" t="str">
        <f ca="1">IFERROR(__xludf.DUMMYFUNCTION("""COMPUTED_VALUE"""),"Building")</f>
        <v>Building</v>
      </c>
      <c r="D4594" s="2" t="str">
        <f ca="1">IFERROR(__xludf.DUMMYFUNCTION("""COMPUTED_VALUE"""),"Dubai&gt;International City&gt;France Cluster&gt;R-03")</f>
        <v>Dubai&gt;International City&gt;France Cluster&gt;R-03</v>
      </c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</row>
    <row r="4595" spans="1:26" ht="16.5" x14ac:dyDescent="0.35">
      <c r="A4595" s="2" t="str">
        <f ca="1">IFERROR(__xludf.DUMMYFUNCTION("""COMPUTED_VALUE"""),"Dubai")</f>
        <v>Dubai</v>
      </c>
      <c r="B4595" s="2" t="str">
        <f ca="1">IFERROR(__xludf.DUMMYFUNCTION("""COMPUTED_VALUE"""),"Petalz by Danube")</f>
        <v>Petalz by Danube</v>
      </c>
      <c r="C4595" s="2" t="str">
        <f ca="1">IFERROR(__xludf.DUMMYFUNCTION("""COMPUTED_VALUE"""),"Cluster")</f>
        <v>Cluster</v>
      </c>
      <c r="D4595" s="2" t="str">
        <f ca="1">IFERROR(__xludf.DUMMYFUNCTION("""COMPUTED_VALUE"""),"Dubai&gt;International City&gt;Petalz by Danube")</f>
        <v>Dubai&gt;International City&gt;Petalz by Danube</v>
      </c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</row>
    <row r="4596" spans="1:26" ht="16.5" x14ac:dyDescent="0.35">
      <c r="A4596" s="2" t="str">
        <f ca="1">IFERROR(__xludf.DUMMYFUNCTION("""COMPUTED_VALUE"""),"Dubai")</f>
        <v>Dubai</v>
      </c>
      <c r="B4596" s="2" t="str">
        <f ca="1">IFERROR(__xludf.DUMMYFUNCTION("""COMPUTED_VALUE"""),"CBD-E04")</f>
        <v>CBD-E04</v>
      </c>
      <c r="C4596" s="2" t="str">
        <f ca="1">IFERROR(__xludf.DUMMYFUNCTION("""COMPUTED_VALUE"""),"Building")</f>
        <v>Building</v>
      </c>
      <c r="D4596" s="2" t="str">
        <f ca="1">IFERROR(__xludf.DUMMYFUNCTION("""COMPUTED_VALUE"""),"Dubai&gt;International City&gt;Central Business District&gt;CBD-E04")</f>
        <v>Dubai&gt;International City&gt;Central Business District&gt;CBD-E04</v>
      </c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</row>
    <row r="4597" spans="1:26" ht="16.5" x14ac:dyDescent="0.35">
      <c r="A4597" s="2" t="str">
        <f ca="1">IFERROR(__xludf.DUMMYFUNCTION("""COMPUTED_VALUE"""),"Dubai")</f>
        <v>Dubai</v>
      </c>
      <c r="B4597" s="2" t="str">
        <f ca="1">IFERROR(__xludf.DUMMYFUNCTION("""COMPUTED_VALUE"""),"Al Warsan Star")</f>
        <v>Al Warsan Star</v>
      </c>
      <c r="C4597" s="2" t="str">
        <f ca="1">IFERROR(__xludf.DUMMYFUNCTION("""COMPUTED_VALUE"""),"Building")</f>
        <v>Building</v>
      </c>
      <c r="D4597" s="2" t="str">
        <f ca="1">IFERROR(__xludf.DUMMYFUNCTION("""COMPUTED_VALUE"""),"Dubai&gt;International City&gt;Al Warsan Star")</f>
        <v>Dubai&gt;International City&gt;Al Warsan Star</v>
      </c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</row>
    <row r="4598" spans="1:26" ht="16.5" x14ac:dyDescent="0.35">
      <c r="A4598" s="2" t="str">
        <f ca="1">IFERROR(__xludf.DUMMYFUNCTION("""COMPUTED_VALUE"""),"Dubai")</f>
        <v>Dubai</v>
      </c>
      <c r="B4598" s="2" t="str">
        <f ca="1">IFERROR(__xludf.DUMMYFUNCTION("""COMPUTED_VALUE"""),"Horizon Tower")</f>
        <v>Horizon Tower</v>
      </c>
      <c r="C4598" s="2" t="str">
        <f ca="1">IFERROR(__xludf.DUMMYFUNCTION("""COMPUTED_VALUE"""),"Building")</f>
        <v>Building</v>
      </c>
      <c r="D4598" s="2" t="str">
        <f ca="1">IFERROR(__xludf.DUMMYFUNCTION("""COMPUTED_VALUE"""),"Dubai&gt;Dubai Marina&gt;Horizon Tower")</f>
        <v>Dubai&gt;Dubai Marina&gt;Horizon Tower</v>
      </c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</row>
    <row r="4599" spans="1:26" ht="16.5" x14ac:dyDescent="0.35">
      <c r="A4599" s="2" t="str">
        <f ca="1">IFERROR(__xludf.DUMMYFUNCTION("""COMPUTED_VALUE"""),"Dubai")</f>
        <v>Dubai</v>
      </c>
      <c r="B4599" s="2" t="str">
        <f ca="1">IFERROR(__xludf.DUMMYFUNCTION("""COMPUTED_VALUE"""),"Marina Heights Tower")</f>
        <v>Marina Heights Tower</v>
      </c>
      <c r="C4599" s="2" t="str">
        <f ca="1">IFERROR(__xludf.DUMMYFUNCTION("""COMPUTED_VALUE"""),"Building")</f>
        <v>Building</v>
      </c>
      <c r="D4599" s="2" t="str">
        <f ca="1">IFERROR(__xludf.DUMMYFUNCTION("""COMPUTED_VALUE"""),"Dubai&gt;Dubai Marina&gt;Marina Heights Tower")</f>
        <v>Dubai&gt;Dubai Marina&gt;Marina Heights Tower</v>
      </c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</row>
    <row r="4600" spans="1:26" ht="16.5" x14ac:dyDescent="0.35">
      <c r="A4600" s="2" t="str">
        <f ca="1">IFERROR(__xludf.DUMMYFUNCTION("""COMPUTED_VALUE"""),"Dubai")</f>
        <v>Dubai</v>
      </c>
      <c r="B4600" s="2" t="str">
        <f ca="1">IFERROR(__xludf.DUMMYFUNCTION("""COMPUTED_VALUE"""),"Al Mesk Villas")</f>
        <v>Al Mesk Villas</v>
      </c>
      <c r="C4600" s="2" t="str">
        <f ca="1">IFERROR(__xludf.DUMMYFUNCTION("""COMPUTED_VALUE"""),"Neighbourhood")</f>
        <v>Neighbourhood</v>
      </c>
      <c r="D4600" s="2" t="str">
        <f ca="1">IFERROR(__xludf.DUMMYFUNCTION("""COMPUTED_VALUE"""),"Dubai&gt;Dubai Marina&gt;Dubai Marina Towers&gt;Al Mesk Villas")</f>
        <v>Dubai&gt;Dubai Marina&gt;Dubai Marina Towers&gt;Al Mesk Villas</v>
      </c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</row>
    <row r="4601" spans="1:26" ht="16.5" x14ac:dyDescent="0.35">
      <c r="A4601" s="2" t="str">
        <f ca="1">IFERROR(__xludf.DUMMYFUNCTION("""COMPUTED_VALUE"""),"Dubai")</f>
        <v>Dubai</v>
      </c>
      <c r="B4601" s="2" t="str">
        <f ca="1">IFERROR(__xludf.DUMMYFUNCTION("""COMPUTED_VALUE"""),"Aurora")</f>
        <v>Aurora</v>
      </c>
      <c r="C4601" s="2" t="str">
        <f ca="1">IFERROR(__xludf.DUMMYFUNCTION("""COMPUTED_VALUE"""),"Building")</f>
        <v>Building</v>
      </c>
      <c r="D4601" s="2" t="str">
        <f ca="1">IFERROR(__xludf.DUMMYFUNCTION("""COMPUTED_VALUE"""),"Dubai&gt;Dubai Marina&gt;Marina Promenade&gt;Aurora")</f>
        <v>Dubai&gt;Dubai Marina&gt;Marina Promenade&gt;Aurora</v>
      </c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</row>
    <row r="4602" spans="1:26" ht="16.5" x14ac:dyDescent="0.35">
      <c r="A4602" s="2" t="str">
        <f ca="1">IFERROR(__xludf.DUMMYFUNCTION("""COMPUTED_VALUE"""),"Dubai")</f>
        <v>Dubai</v>
      </c>
      <c r="B4602" s="2" t="str">
        <f ca="1">IFERROR(__xludf.DUMMYFUNCTION("""COMPUTED_VALUE"""),"Dream Tower 1")</f>
        <v>Dream Tower 1</v>
      </c>
      <c r="C4602" s="2" t="str">
        <f ca="1">IFERROR(__xludf.DUMMYFUNCTION("""COMPUTED_VALUE"""),"Building")</f>
        <v>Building</v>
      </c>
      <c r="D4602" s="2" t="str">
        <f ca="1">IFERROR(__xludf.DUMMYFUNCTION("""COMPUTED_VALUE"""),"Dubai&gt;Dubai Marina&gt;Dream Towers&gt;Dream Tower 1")</f>
        <v>Dubai&gt;Dubai Marina&gt;Dream Towers&gt;Dream Tower 1</v>
      </c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</row>
    <row r="4603" spans="1:26" ht="16.5" x14ac:dyDescent="0.35">
      <c r="A4603" s="2" t="str">
        <f ca="1">IFERROR(__xludf.DUMMYFUNCTION("""COMPUTED_VALUE"""),"Dubai")</f>
        <v>Dubai</v>
      </c>
      <c r="B4603" s="2" t="str">
        <f ca="1">IFERROR(__xludf.DUMMYFUNCTION("""COMPUTED_VALUE"""),"Marina Living")</f>
        <v>Marina Living</v>
      </c>
      <c r="C4603" s="2" t="str">
        <f ca="1">IFERROR(__xludf.DUMMYFUNCTION("""COMPUTED_VALUE"""),"Building")</f>
        <v>Building</v>
      </c>
      <c r="D4603" s="2" t="str">
        <f ca="1">IFERROR(__xludf.DUMMYFUNCTION("""COMPUTED_VALUE"""),"Dubai&gt;Dubai Marina&gt;Marina Living")</f>
        <v>Dubai&gt;Dubai Marina&gt;Marina Living</v>
      </c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</row>
    <row r="4604" spans="1:26" ht="16.5" x14ac:dyDescent="0.35">
      <c r="A4604" s="2" t="str">
        <f ca="1">IFERROR(__xludf.DUMMYFUNCTION("""COMPUTED_VALUE"""),"Dubai")</f>
        <v>Dubai</v>
      </c>
      <c r="B4604" s="2" t="str">
        <f ca="1">IFERROR(__xludf.DUMMYFUNCTION("""COMPUTED_VALUE"""),"The Residences at the Dubai Beach Edition Tower A")</f>
        <v>The Residences at the Dubai Beach Edition Tower A</v>
      </c>
      <c r="C4604" s="2" t="str">
        <f ca="1">IFERROR(__xludf.DUMMYFUNCTION("""COMPUTED_VALUE"""),"Building")</f>
        <v>Building</v>
      </c>
      <c r="D4604" s="2" t="str">
        <f ca="1">IFERROR(__xludf.DUMMYFUNCTION("""COMPUTED_VALUE"""),"Dubai&gt;Dubai Marina&gt;The Residences at the Dubai Beach Edition&gt;The Residences at the Dubai Beach Edition Tower A")</f>
        <v>Dubai&gt;Dubai Marina&gt;The Residences at the Dubai Beach Edition&gt;The Residences at the Dubai Beach Edition Tower A</v>
      </c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</row>
    <row r="4605" spans="1:26" ht="16.5" x14ac:dyDescent="0.35">
      <c r="A4605" s="2" t="str">
        <f ca="1">IFERROR(__xludf.DUMMYFUNCTION("""COMPUTED_VALUE"""),"Dubai")</f>
        <v>Dubai</v>
      </c>
      <c r="B4605" s="2" t="str">
        <f ca="1">IFERROR(__xludf.DUMMYFUNCTION("""COMPUTED_VALUE"""),"Zahra Breeze Apartments 4B")</f>
        <v>Zahra Breeze Apartments 4B</v>
      </c>
      <c r="C4605" s="2" t="str">
        <f ca="1">IFERROR(__xludf.DUMMYFUNCTION("""COMPUTED_VALUE"""),"Building")</f>
        <v>Building</v>
      </c>
      <c r="D4605" s="2" t="str">
        <f ca="1">IFERROR(__xludf.DUMMYFUNCTION("""COMPUTED_VALUE"""),"Dubai&gt;Town Square&gt;Zahra Breeze Apartments&gt;Zahra Breeze Apartments 4B")</f>
        <v>Dubai&gt;Town Square&gt;Zahra Breeze Apartments&gt;Zahra Breeze Apartments 4B</v>
      </c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</row>
    <row r="4606" spans="1:26" ht="16.5" x14ac:dyDescent="0.35">
      <c r="A4606" s="2" t="str">
        <f ca="1">IFERROR(__xludf.DUMMYFUNCTION("""COMPUTED_VALUE"""),"Dubai")</f>
        <v>Dubai</v>
      </c>
      <c r="B4606" s="2" t="str">
        <f ca="1">IFERROR(__xludf.DUMMYFUNCTION("""COMPUTED_VALUE"""),"Al Qudra Building 4B")</f>
        <v>Al Qudra Building 4B</v>
      </c>
      <c r="C4606" s="2" t="str">
        <f ca="1">IFERROR(__xludf.DUMMYFUNCTION("""COMPUTED_VALUE"""),"Building")</f>
        <v>Building</v>
      </c>
      <c r="D4606" s="2" t="str">
        <f ca="1">IFERROR(__xludf.DUMMYFUNCTION("""COMPUTED_VALUE"""),"Dubai&gt;Town Square&gt;Al Qudra Buildings&gt;Al Qudra Building 4B")</f>
        <v>Dubai&gt;Town Square&gt;Al Qudra Buildings&gt;Al Qudra Building 4B</v>
      </c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</row>
    <row r="4607" spans="1:26" ht="16.5" x14ac:dyDescent="0.35">
      <c r="A4607" s="2" t="str">
        <f ca="1">IFERROR(__xludf.DUMMYFUNCTION("""COMPUTED_VALUE"""),"Dubai")</f>
        <v>Dubai</v>
      </c>
      <c r="B4607" s="2" t="str">
        <f ca="1">IFERROR(__xludf.DUMMYFUNCTION("""COMPUTED_VALUE"""),"Mira 4")</f>
        <v>Mira 4</v>
      </c>
      <c r="C4607" s="2" t="str">
        <f ca="1">IFERROR(__xludf.DUMMYFUNCTION("""COMPUTED_VALUE"""),"Neighbourhood")</f>
        <v>Neighbourhood</v>
      </c>
      <c r="D4607" s="2" t="str">
        <f ca="1">IFERROR(__xludf.DUMMYFUNCTION("""COMPUTED_VALUE"""),"Dubai&gt;Reem&gt;Mira&gt;Mira 4")</f>
        <v>Dubai&gt;Reem&gt;Mira&gt;Mira 4</v>
      </c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</row>
    <row r="4608" spans="1:26" ht="16.5" x14ac:dyDescent="0.35">
      <c r="A4608" s="2" t="str">
        <f ca="1">IFERROR(__xludf.DUMMYFUNCTION("""COMPUTED_VALUE"""),"Dubai")</f>
        <v>Dubai</v>
      </c>
      <c r="B4608" s="2" t="str">
        <f ca="1">IFERROR(__xludf.DUMMYFUNCTION("""COMPUTED_VALUE"""),"Florus Residences")</f>
        <v>Florus Residences</v>
      </c>
      <c r="C4608" s="2" t="str">
        <f ca="1">IFERROR(__xludf.DUMMYFUNCTION("""COMPUTED_VALUE"""),"Building")</f>
        <v>Building</v>
      </c>
      <c r="D4608" s="2" t="str">
        <f ca="1">IFERROR(__xludf.DUMMYFUNCTION("""COMPUTED_VALUE"""),"Dubai&gt;Al Furjan&gt;Florus Residences")</f>
        <v>Dubai&gt;Al Furjan&gt;Florus Residences</v>
      </c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</row>
    <row r="4609" spans="1:26" ht="16.5" x14ac:dyDescent="0.35">
      <c r="A4609" s="2" t="str">
        <f ca="1">IFERROR(__xludf.DUMMYFUNCTION("""COMPUTED_VALUE"""),"Dubai")</f>
        <v>Dubai</v>
      </c>
      <c r="B4609" s="2" t="str">
        <f ca="1">IFERROR(__xludf.DUMMYFUNCTION("""COMPUTED_VALUE"""),"Azizi Yasamine")</f>
        <v>Azizi Yasamine</v>
      </c>
      <c r="C4609" s="2" t="str">
        <f ca="1">IFERROR(__xludf.DUMMYFUNCTION("""COMPUTED_VALUE"""),"Building")</f>
        <v>Building</v>
      </c>
      <c r="D4609" s="2" t="str">
        <f ca="1">IFERROR(__xludf.DUMMYFUNCTION("""COMPUTED_VALUE"""),"Dubai&gt;Al Furjan&gt;Azizi Yasamine")</f>
        <v>Dubai&gt;Al Furjan&gt;Azizi Yasamine</v>
      </c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</row>
    <row r="4610" spans="1:26" ht="16.5" x14ac:dyDescent="0.35">
      <c r="A4610" s="2" t="str">
        <f ca="1">IFERROR(__xludf.DUMMYFUNCTION("""COMPUTED_VALUE"""),"Dubai")</f>
        <v>Dubai</v>
      </c>
      <c r="B4610" s="2" t="str">
        <f ca="1">IFERROR(__xludf.DUMMYFUNCTION("""COMPUTED_VALUE"""),"BNH Townhouses")</f>
        <v>BNH Townhouses</v>
      </c>
      <c r="C4610" s="2" t="str">
        <f ca="1">IFERROR(__xludf.DUMMYFUNCTION("""COMPUTED_VALUE"""),"Neighbourhood")</f>
        <v>Neighbourhood</v>
      </c>
      <c r="D4610" s="2" t="str">
        <f ca="1">IFERROR(__xludf.DUMMYFUNCTION("""COMPUTED_VALUE"""),"Dubai&gt;Al Furjan&gt;BNH Townhouses")</f>
        <v>Dubai&gt;Al Furjan&gt;BNH Townhouses</v>
      </c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</row>
    <row r="4611" spans="1:26" ht="16.5" x14ac:dyDescent="0.35">
      <c r="A4611" s="2" t="str">
        <f ca="1">IFERROR(__xludf.DUMMYFUNCTION("""COMPUTED_VALUE"""),"Dubai")</f>
        <v>Dubai</v>
      </c>
      <c r="B4611" s="2" t="str">
        <f ca="1">IFERROR(__xludf.DUMMYFUNCTION("""COMPUTED_VALUE"""),"Azizi Zain")</f>
        <v>Azizi Zain</v>
      </c>
      <c r="C4611" s="2" t="str">
        <f ca="1">IFERROR(__xludf.DUMMYFUNCTION("""COMPUTED_VALUE"""),"Building")</f>
        <v>Building</v>
      </c>
      <c r="D4611" s="2" t="str">
        <f ca="1">IFERROR(__xludf.DUMMYFUNCTION("""COMPUTED_VALUE"""),"Dubai&gt;Al Furjan&gt;Azizi Zain")</f>
        <v>Dubai&gt;Al Furjan&gt;Azizi Zain</v>
      </c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</row>
    <row r="4612" spans="1:26" ht="16.5" x14ac:dyDescent="0.35">
      <c r="A4612" s="2" t="str">
        <f ca="1">IFERROR(__xludf.DUMMYFUNCTION("""COMPUTED_VALUE"""),"Dubai")</f>
        <v>Dubai</v>
      </c>
      <c r="B4612" s="2" t="str">
        <f ca="1">IFERROR(__xludf.DUMMYFUNCTION("""COMPUTED_VALUE"""),"Sunvale")</f>
        <v>Sunvale</v>
      </c>
      <c r="C4612" s="2" t="str">
        <f ca="1">IFERROR(__xludf.DUMMYFUNCTION("""COMPUTED_VALUE"""),"Building")</f>
        <v>Building</v>
      </c>
      <c r="D4612" s="2" t="str">
        <f ca="1">IFERROR(__xludf.DUMMYFUNCTION("""COMPUTED_VALUE"""),"Dubai&gt;Al Furjan&gt;Sunvale")</f>
        <v>Dubai&gt;Al Furjan&gt;Sunvale</v>
      </c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</row>
    <row r="4613" spans="1:26" ht="16.5" x14ac:dyDescent="0.35">
      <c r="A4613" s="2" t="str">
        <f ca="1">IFERROR(__xludf.DUMMYFUNCTION("""COMPUTED_VALUE"""),"Dubai")</f>
        <v>Dubai</v>
      </c>
      <c r="B4613" s="2" t="str">
        <f ca="1">IFERROR(__xludf.DUMMYFUNCTION("""COMPUTED_VALUE"""),"Azizi Riviera 24")</f>
        <v>Azizi Riviera 24</v>
      </c>
      <c r="C4613" s="2" t="str">
        <f ca="1">IFERROR(__xludf.DUMMYFUNCTION("""COMPUTED_VALUE"""),"Building")</f>
        <v>Building</v>
      </c>
      <c r="D4613" s="2" t="str">
        <f ca="1">IFERROR(__xludf.DUMMYFUNCTION("""COMPUTED_VALUE"""),"Dubai&gt;Meydan City&gt;Meydan One&gt;Azizi Riviera&gt;Azizi Riviera 24")</f>
        <v>Dubai&gt;Meydan City&gt;Meydan One&gt;Azizi Riviera&gt;Azizi Riviera 24</v>
      </c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</row>
    <row r="4614" spans="1:26" ht="16.5" x14ac:dyDescent="0.35">
      <c r="A4614" s="2" t="str">
        <f ca="1">IFERROR(__xludf.DUMMYFUNCTION("""COMPUTED_VALUE"""),"Dubai")</f>
        <v>Dubai</v>
      </c>
      <c r="B4614" s="2" t="str">
        <f ca="1">IFERROR(__xludf.DUMMYFUNCTION("""COMPUTED_VALUE"""),"Azizi Riviera 43")</f>
        <v>Azizi Riviera 43</v>
      </c>
      <c r="C4614" s="2" t="str">
        <f ca="1">IFERROR(__xludf.DUMMYFUNCTION("""COMPUTED_VALUE"""),"Building")</f>
        <v>Building</v>
      </c>
      <c r="D4614" s="2" t="str">
        <f ca="1">IFERROR(__xludf.DUMMYFUNCTION("""COMPUTED_VALUE"""),"Dubai&gt;Meydan City&gt;Meydan One&gt;Azizi Riviera&gt;Azizi Riviera 43")</f>
        <v>Dubai&gt;Meydan City&gt;Meydan One&gt;Azizi Riviera&gt;Azizi Riviera 43</v>
      </c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</row>
    <row r="4615" spans="1:26" ht="16.5" x14ac:dyDescent="0.35">
      <c r="A4615" s="2" t="str">
        <f ca="1">IFERROR(__xludf.DUMMYFUNCTION("""COMPUTED_VALUE"""),"Dubai")</f>
        <v>Dubai</v>
      </c>
      <c r="B4615" s="2" t="str">
        <f ca="1">IFERROR(__xludf.DUMMYFUNCTION("""COMPUTED_VALUE"""),"Azizi Riviera 58")</f>
        <v>Azizi Riviera 58</v>
      </c>
      <c r="C4615" s="2" t="str">
        <f ca="1">IFERROR(__xludf.DUMMYFUNCTION("""COMPUTED_VALUE"""),"Building")</f>
        <v>Building</v>
      </c>
      <c r="D4615" s="2" t="str">
        <f ca="1">IFERROR(__xludf.DUMMYFUNCTION("""COMPUTED_VALUE"""),"Dubai&gt;Meydan City&gt;Meydan One&gt;Azizi Riviera&gt;Azizi Riviera 58")</f>
        <v>Dubai&gt;Meydan City&gt;Meydan One&gt;Azizi Riviera&gt;Azizi Riviera 58</v>
      </c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</row>
    <row r="4616" spans="1:26" ht="16.5" x14ac:dyDescent="0.35">
      <c r="A4616" s="2" t="str">
        <f ca="1">IFERROR(__xludf.DUMMYFUNCTION("""COMPUTED_VALUE"""),"Dubai")</f>
        <v>Dubai</v>
      </c>
      <c r="B4616" s="2" t="str">
        <f ca="1">IFERROR(__xludf.DUMMYFUNCTION("""COMPUTED_VALUE"""),"Polo Residence C4")</f>
        <v>Polo Residence C4</v>
      </c>
      <c r="C4616" s="2" t="str">
        <f ca="1">IFERROR(__xludf.DUMMYFUNCTION("""COMPUTED_VALUE"""),"Building")</f>
        <v>Building</v>
      </c>
      <c r="D4616" s="2" t="str">
        <f ca="1">IFERROR(__xludf.DUMMYFUNCTION("""COMPUTED_VALUE"""),"Dubai&gt;Meydan City&gt;Meydan Avenue&gt;Polo Residence&gt;Polo Residence C4")</f>
        <v>Dubai&gt;Meydan City&gt;Meydan Avenue&gt;Polo Residence&gt;Polo Residence C4</v>
      </c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</row>
    <row r="4617" spans="1:26" ht="16.5" x14ac:dyDescent="0.35">
      <c r="A4617" s="2" t="str">
        <f ca="1">IFERROR(__xludf.DUMMYFUNCTION("""COMPUTED_VALUE"""),"Dubai")</f>
        <v>Dubai</v>
      </c>
      <c r="B4617" s="2" t="str">
        <f ca="1">IFERROR(__xludf.DUMMYFUNCTION("""COMPUTED_VALUE"""),"Summer Terraces")</f>
        <v>Summer Terraces</v>
      </c>
      <c r="C4617" s="2" t="str">
        <f ca="1">IFERROR(__xludf.DUMMYFUNCTION("""COMPUTED_VALUE"""),"Building")</f>
        <v>Building</v>
      </c>
      <c r="D4617" s="2" t="str">
        <f ca="1">IFERROR(__xludf.DUMMYFUNCTION("""COMPUTED_VALUE"""),"Dubai&gt;Meydan City&gt;Meydan Avenue&gt;Summer Terraces")</f>
        <v>Dubai&gt;Meydan City&gt;Meydan Avenue&gt;Summer Terraces</v>
      </c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</row>
    <row r="4618" spans="1:26" ht="16.5" x14ac:dyDescent="0.35">
      <c r="A4618" s="2" t="str">
        <f ca="1">IFERROR(__xludf.DUMMYFUNCTION("""COMPUTED_VALUE"""),"Dubai")</f>
        <v>Dubai</v>
      </c>
      <c r="B4618" s="2" t="str">
        <f ca="1">IFERROR(__xludf.DUMMYFUNCTION("""COMPUTED_VALUE"""),"Una Riverside Residence")</f>
        <v>Una Riverside Residence</v>
      </c>
      <c r="C4618" s="2" t="str">
        <f ca="1">IFERROR(__xludf.DUMMYFUNCTION("""COMPUTED_VALUE"""),"Building")</f>
        <v>Building</v>
      </c>
      <c r="D4618" s="2" t="str">
        <f ca="1">IFERROR(__xludf.DUMMYFUNCTION("""COMPUTED_VALUE"""),"Dubai&gt;The Greens&gt;Una Riverside Residence")</f>
        <v>Dubai&gt;The Greens&gt;Una Riverside Residence</v>
      </c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</row>
    <row r="4619" spans="1:26" ht="16.5" x14ac:dyDescent="0.35">
      <c r="A4619" s="2" t="str">
        <f ca="1">IFERROR(__xludf.DUMMYFUNCTION("""COMPUTED_VALUE"""),"Dubai")</f>
        <v>Dubai</v>
      </c>
      <c r="B4619" s="2" t="str">
        <f ca="1">IFERROR(__xludf.DUMMYFUNCTION("""COMPUTED_VALUE"""),"Al Thayyal 3")</f>
        <v>Al Thayyal 3</v>
      </c>
      <c r="C4619" s="2" t="str">
        <f ca="1">IFERROR(__xludf.DUMMYFUNCTION("""COMPUTED_VALUE"""),"Building")</f>
        <v>Building</v>
      </c>
      <c r="D4619" s="2" t="str">
        <f ca="1">IFERROR(__xludf.DUMMYFUNCTION("""COMPUTED_VALUE"""),"Dubai&gt;The Greens&gt;Al Thayyal&gt;Al Thayyal 3")</f>
        <v>Dubai&gt;The Greens&gt;Al Thayyal&gt;Al Thayyal 3</v>
      </c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</row>
    <row r="4620" spans="1:26" ht="16.5" x14ac:dyDescent="0.35">
      <c r="A4620" s="2" t="str">
        <f ca="1">IFERROR(__xludf.DUMMYFUNCTION("""COMPUTED_VALUE"""),"Dubai")</f>
        <v>Dubai</v>
      </c>
      <c r="B4620" s="2" t="str">
        <f ca="1">IFERROR(__xludf.DUMMYFUNCTION("""COMPUTED_VALUE"""),"Gulf National Residence")</f>
        <v>Gulf National Residence</v>
      </c>
      <c r="C4620" s="2" t="str">
        <f ca="1">IFERROR(__xludf.DUMMYFUNCTION("""COMPUTED_VALUE"""),"Building")</f>
        <v>Building</v>
      </c>
      <c r="D4620" s="2" t="str">
        <f ca="1">IFERROR(__xludf.DUMMYFUNCTION("""COMPUTED_VALUE"""),"Dubai&gt;Dubai Production City (IMPZ)&gt;Gulf National Residence")</f>
        <v>Dubai&gt;Dubai Production City (IMPZ)&gt;Gulf National Residence</v>
      </c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</row>
    <row r="4621" spans="1:26" ht="16.5" x14ac:dyDescent="0.35">
      <c r="A4621" s="2" t="str">
        <f ca="1">IFERROR(__xludf.DUMMYFUNCTION("""COMPUTED_VALUE"""),"Dubai")</f>
        <v>Dubai</v>
      </c>
      <c r="B4621" s="2" t="str">
        <f ca="1">IFERROR(__xludf.DUMMYFUNCTION("""COMPUTED_VALUE"""),"The Crescent Tower A")</f>
        <v>The Crescent Tower A</v>
      </c>
      <c r="C4621" s="2" t="str">
        <f ca="1">IFERROR(__xludf.DUMMYFUNCTION("""COMPUTED_VALUE"""),"Building")</f>
        <v>Building</v>
      </c>
      <c r="D4621" s="2" t="str">
        <f ca="1">IFERROR(__xludf.DUMMYFUNCTION("""COMPUTED_VALUE"""),"Dubai&gt;Dubai Production City (IMPZ)&gt;The Crescent Towers&gt;The Crescent Tower A")</f>
        <v>Dubai&gt;Dubai Production City (IMPZ)&gt;The Crescent Towers&gt;The Crescent Tower A</v>
      </c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</row>
    <row r="4622" spans="1:26" ht="16.5" x14ac:dyDescent="0.35">
      <c r="A4622" s="2" t="str">
        <f ca="1">IFERROR(__xludf.DUMMYFUNCTION("""COMPUTED_VALUE"""),"Dubai")</f>
        <v>Dubai</v>
      </c>
      <c r="B4622" s="2" t="str">
        <f ca="1">IFERROR(__xludf.DUMMYFUNCTION("""COMPUTED_VALUE"""),"Al Shaiba Tower G27")</f>
        <v>Al Shaiba Tower G27</v>
      </c>
      <c r="C4622" s="2" t="str">
        <f ca="1">IFERROR(__xludf.DUMMYFUNCTION("""COMPUTED_VALUE"""),"Building")</f>
        <v>Building</v>
      </c>
      <c r="D4622" s="2" t="str">
        <f ca="1">IFERROR(__xludf.DUMMYFUNCTION("""COMPUTED_VALUE"""),"Dubai&gt;Dubai Production City (IMPZ)&gt;Al Shaiba Tower G27")</f>
        <v>Dubai&gt;Dubai Production City (IMPZ)&gt;Al Shaiba Tower G27</v>
      </c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</row>
    <row r="4623" spans="1:26" ht="16.5" x14ac:dyDescent="0.35">
      <c r="A4623" s="2" t="str">
        <f ca="1">IFERROR(__xludf.DUMMYFUNCTION("""COMPUTED_VALUE"""),"Dubai")</f>
        <v>Dubai</v>
      </c>
      <c r="B4623" s="2" t="str">
        <f ca="1">IFERROR(__xludf.DUMMYFUNCTION("""COMPUTED_VALUE"""),"Ember at Park Five")</f>
        <v>Ember at Park Five</v>
      </c>
      <c r="C4623" s="2" t="str">
        <f ca="1">IFERROR(__xludf.DUMMYFUNCTION("""COMPUTED_VALUE"""),"Building")</f>
        <v>Building</v>
      </c>
      <c r="D4623" s="2" t="str">
        <f ca="1">IFERROR(__xludf.DUMMYFUNCTION("""COMPUTED_VALUE"""),"Dubai&gt;Dubai Production City (IMPZ)&gt;Park Five by Deyaar&gt;Ember at Park Five")</f>
        <v>Dubai&gt;Dubai Production City (IMPZ)&gt;Park Five by Deyaar&gt;Ember at Park Five</v>
      </c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</row>
    <row r="4624" spans="1:26" ht="16.5" x14ac:dyDescent="0.35">
      <c r="A4624" s="2" t="str">
        <f ca="1">IFERROR(__xludf.DUMMYFUNCTION("""COMPUTED_VALUE"""),"Dubai")</f>
        <v>Dubai</v>
      </c>
      <c r="B4624" s="2" t="str">
        <f ca="1">IFERROR(__xludf.DUMMYFUNCTION("""COMPUTED_VALUE"""),"Al Rams One")</f>
        <v>Al Rams One</v>
      </c>
      <c r="C4624" s="2" t="str">
        <f ca="1">IFERROR(__xludf.DUMMYFUNCTION("""COMPUTED_VALUE"""),"Building")</f>
        <v>Building</v>
      </c>
      <c r="D4624" s="2" t="str">
        <f ca="1">IFERROR(__xludf.DUMMYFUNCTION("""COMPUTED_VALUE"""),"Dubai&gt;Dubai Industrial City&gt;Al Rams One")</f>
        <v>Dubai&gt;Dubai Industrial City&gt;Al Rams One</v>
      </c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</row>
    <row r="4625" spans="1:26" ht="16.5" x14ac:dyDescent="0.35">
      <c r="A4625" s="2" t="str">
        <f ca="1">IFERROR(__xludf.DUMMYFUNCTION("""COMPUTED_VALUE"""),"Dubai")</f>
        <v>Dubai</v>
      </c>
      <c r="B4625" s="2" t="str">
        <f ca="1">IFERROR(__xludf.DUMMYFUNCTION("""COMPUTED_VALUE"""),"Odyssey Nursery Umm Suqeim")</f>
        <v>Odyssey Nursery Umm Suqeim</v>
      </c>
      <c r="C4625" s="2" t="str">
        <f ca="1">IFERROR(__xludf.DUMMYFUNCTION("""COMPUTED_VALUE"""),"Nursery")</f>
        <v>Nursery</v>
      </c>
      <c r="D4625" s="2" t="str">
        <f ca="1">IFERROR(__xludf.DUMMYFUNCTION("""COMPUTED_VALUE"""),"Dubai&gt;Umm Al Sheif&gt;Odyssey Nursery Umm Suqeim")</f>
        <v>Dubai&gt;Umm Al Sheif&gt;Odyssey Nursery Umm Suqeim</v>
      </c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</row>
    <row r="4626" spans="1:26" ht="16.5" x14ac:dyDescent="0.35">
      <c r="A4626" s="2" t="str">
        <f ca="1">IFERROR(__xludf.DUMMYFUNCTION("""COMPUTED_VALUE"""),"Dubai")</f>
        <v>Dubai</v>
      </c>
      <c r="B4626" s="2" t="str">
        <f ca="1">IFERROR(__xludf.DUMMYFUNCTION("""COMPUTED_VALUE"""),"Souk Al Marfa")</f>
        <v>Souk Al Marfa</v>
      </c>
      <c r="C4626" s="2" t="str">
        <f ca="1">IFERROR(__xludf.DUMMYFUNCTION("""COMPUTED_VALUE"""),"Building")</f>
        <v>Building</v>
      </c>
      <c r="D4626" s="2" t="str">
        <f ca="1">IFERROR(__xludf.DUMMYFUNCTION("""COMPUTED_VALUE"""),"Dubai&gt;Dubai Islands&gt;Souk Al Marfa")</f>
        <v>Dubai&gt;Dubai Islands&gt;Souk Al Marfa</v>
      </c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</row>
    <row r="4627" spans="1:26" ht="16.5" x14ac:dyDescent="0.35">
      <c r="A4627" s="2" t="str">
        <f ca="1">IFERROR(__xludf.DUMMYFUNCTION("""COMPUTED_VALUE"""),"Dubai")</f>
        <v>Dubai</v>
      </c>
      <c r="B4627" s="2" t="str">
        <f ca="1">IFERROR(__xludf.DUMMYFUNCTION("""COMPUTED_VALUE"""),"Mackerel Tower")</f>
        <v>Mackerel Tower</v>
      </c>
      <c r="C4627" s="2" t="str">
        <f ca="1">IFERROR(__xludf.DUMMYFUNCTION("""COMPUTED_VALUE"""),"Building")</f>
        <v>Building</v>
      </c>
      <c r="D4627" s="2" t="str">
        <f ca="1">IFERROR(__xludf.DUMMYFUNCTION("""COMPUTED_VALUE"""),"Dubai&gt;Dubai Islands&gt;Mackerel Tower")</f>
        <v>Dubai&gt;Dubai Islands&gt;Mackerel Tower</v>
      </c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</row>
    <row r="4628" spans="1:26" ht="16.5" x14ac:dyDescent="0.35">
      <c r="A4628" s="2" t="str">
        <f ca="1">IFERROR(__xludf.DUMMYFUNCTION("""COMPUTED_VALUE"""),"Dubai")</f>
        <v>Dubai</v>
      </c>
      <c r="B4628" s="2" t="str">
        <f ca="1">IFERROR(__xludf.DUMMYFUNCTION("""COMPUTED_VALUE"""),"Sia - Dubai Islands")</f>
        <v>Sia - Dubai Islands</v>
      </c>
      <c r="C4628" s="2" t="str">
        <f ca="1">IFERROR(__xludf.DUMMYFUNCTION("""COMPUTED_VALUE"""),"Building")</f>
        <v>Building</v>
      </c>
      <c r="D4628" s="2" t="str">
        <f ca="1">IFERROR(__xludf.DUMMYFUNCTION("""COMPUTED_VALUE"""),"Dubai&gt;Dubai Islands&gt;Sia - Dubai Islands")</f>
        <v>Dubai&gt;Dubai Islands&gt;Sia - Dubai Islands</v>
      </c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</row>
    <row r="4629" spans="1:26" ht="16.5" x14ac:dyDescent="0.35">
      <c r="A4629" s="2" t="str">
        <f ca="1">IFERROR(__xludf.DUMMYFUNCTION("""COMPUTED_VALUE"""),"Al Napoca")</f>
        <v>Al Napoca</v>
      </c>
      <c r="B4629" s="2" t="str">
        <f ca="1">IFERROR(__xludf.DUMMYFUNCTION("""COMPUTED_VALUE"""),"Sanity-two new")</f>
        <v>Sanity-two new</v>
      </c>
      <c r="C4629" s="2" t="str">
        <f ca="1">IFERROR(__xludf.DUMMYFUNCTION("""COMPUTED_VALUE"""),"Sub district")</f>
        <v>Sub district</v>
      </c>
      <c r="D4629" s="2" t="str">
        <f ca="1">IFERROR(__xludf.DUMMYFUNCTION("""COMPUTED_VALUE"""),"Al Napoca&gt;Johar&gt;Sanity One&gt;Sanity-two new")</f>
        <v>Al Napoca&gt;Johar&gt;Sanity One&gt;Sanity-two new</v>
      </c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</row>
    <row r="4630" spans="1:26" ht="16.5" x14ac:dyDescent="0.35">
      <c r="A4630" s="2" t="str">
        <f ca="1">IFERROR(__xludf.DUMMYFUNCTION("""COMPUTED_VALUE"""),"Dubai")</f>
        <v>Dubai</v>
      </c>
      <c r="B4630" s="2" t="str">
        <f ca="1">IFERROR(__xludf.DUMMYFUNCTION("""COMPUTED_VALUE"""),"Ras Al Khor Industrial 2")</f>
        <v>Ras Al Khor Industrial 2</v>
      </c>
      <c r="C4630" s="2" t="str">
        <f ca="1">IFERROR(__xludf.DUMMYFUNCTION("""COMPUTED_VALUE"""),"Neighbourhood")</f>
        <v>Neighbourhood</v>
      </c>
      <c r="D4630" s="2" t="str">
        <f ca="1">IFERROR(__xludf.DUMMYFUNCTION("""COMPUTED_VALUE"""),"Dubai&gt;Ras Al Khor&gt;Ras Al Khor Industrial&gt;Ras Al Khor Industrial 2")</f>
        <v>Dubai&gt;Ras Al Khor&gt;Ras Al Khor Industrial&gt;Ras Al Khor Industrial 2</v>
      </c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</row>
    <row r="4631" spans="1:26" ht="16.5" x14ac:dyDescent="0.35">
      <c r="A4631" s="2" t="str">
        <f ca="1">IFERROR(__xludf.DUMMYFUNCTION("""COMPUTED_VALUE"""),"Dubai")</f>
        <v>Dubai</v>
      </c>
      <c r="B4631" s="2" t="str">
        <f ca="1">IFERROR(__xludf.DUMMYFUNCTION("""COMPUTED_VALUE"""),"Jebel Ali")</f>
        <v>Jebel Ali</v>
      </c>
      <c r="C4631" s="2" t="str">
        <f ca="1">IFERROR(__xludf.DUMMYFUNCTION("""COMPUTED_VALUE"""),"Neighbourhood")</f>
        <v>Neighbourhood</v>
      </c>
      <c r="D4631" s="2" t="str">
        <f ca="1">IFERROR(__xludf.DUMMYFUNCTION("""COMPUTED_VALUE"""),"Dubai&gt;Jebel Ali")</f>
        <v>Dubai&gt;Jebel Ali</v>
      </c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</row>
    <row r="4632" spans="1:26" ht="16.5" x14ac:dyDescent="0.35">
      <c r="A4632" s="2" t="str">
        <f ca="1">IFERROR(__xludf.DUMMYFUNCTION("""COMPUTED_VALUE"""),"Dubai")</f>
        <v>Dubai</v>
      </c>
      <c r="B4632" s="2" t="str">
        <f ca="1">IFERROR(__xludf.DUMMYFUNCTION("""COMPUTED_VALUE"""),"Jafza View 19")</f>
        <v>Jafza View 19</v>
      </c>
      <c r="C4632" s="2" t="str">
        <f ca="1">IFERROR(__xludf.DUMMYFUNCTION("""COMPUTED_VALUE"""),"Building")</f>
        <v>Building</v>
      </c>
      <c r="D4632" s="2" t="str">
        <f ca="1">IFERROR(__xludf.DUMMYFUNCTION("""COMPUTED_VALUE"""),"Dubai&gt;Jebel Ali&gt;Downtown Jebel Ali&gt;Jafza View Towers&gt;Jafza View 19")</f>
        <v>Dubai&gt;Jebel Ali&gt;Downtown Jebel Ali&gt;Jafza View Towers&gt;Jafza View 19</v>
      </c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</row>
    <row r="4633" spans="1:26" ht="16.5" x14ac:dyDescent="0.35">
      <c r="A4633" s="2" t="str">
        <f ca="1">IFERROR(__xludf.DUMMYFUNCTION("""COMPUTED_VALUE"""),"Dubai")</f>
        <v>Dubai</v>
      </c>
      <c r="B4633" s="2" t="str">
        <f ca="1">IFERROR(__xludf.DUMMYFUNCTION("""COMPUTED_VALUE"""),"Equiti Gate")</f>
        <v>Equiti Gate</v>
      </c>
      <c r="C4633" s="2" t="str">
        <f ca="1">IFERROR(__xludf.DUMMYFUNCTION("""COMPUTED_VALUE"""),"Building")</f>
        <v>Building</v>
      </c>
      <c r="D4633" s="2" t="str">
        <f ca="1">IFERROR(__xludf.DUMMYFUNCTION("""COMPUTED_VALUE"""),"Dubai&gt;Jebel Ali&gt;Equiti Gate")</f>
        <v>Dubai&gt;Jebel Ali&gt;Equiti Gate</v>
      </c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</row>
    <row r="4634" spans="1:26" ht="16.5" x14ac:dyDescent="0.35">
      <c r="A4634" s="2" t="str">
        <f ca="1">IFERROR(__xludf.DUMMYFUNCTION("""COMPUTED_VALUE"""),"Dubai")</f>
        <v>Dubai</v>
      </c>
      <c r="B4634" s="2" t="str">
        <f ca="1">IFERROR(__xludf.DUMMYFUNCTION("""COMPUTED_VALUE"""),"Al Baraka Building")</f>
        <v>Al Baraka Building</v>
      </c>
      <c r="C4634" s="2" t="str">
        <f ca="1">IFERROR(__xludf.DUMMYFUNCTION("""COMPUTED_VALUE"""),"Building")</f>
        <v>Building</v>
      </c>
      <c r="D4634" s="2" t="str">
        <f ca="1">IFERROR(__xludf.DUMMYFUNCTION("""COMPUTED_VALUE"""),"Dubai&gt;Nad Al Hamar&gt;Al Baraka Building")</f>
        <v>Dubai&gt;Nad Al Hamar&gt;Al Baraka Building</v>
      </c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</row>
    <row r="4635" spans="1:26" ht="16.5" x14ac:dyDescent="0.35">
      <c r="A4635" s="2" t="str">
        <f ca="1">IFERROR(__xludf.DUMMYFUNCTION("""COMPUTED_VALUE"""),"Dubai")</f>
        <v>Dubai</v>
      </c>
      <c r="B4635" s="2" t="str">
        <f ca="1">IFERROR(__xludf.DUMMYFUNCTION("""COMPUTED_VALUE"""),"GEMS World Academy")</f>
        <v>GEMS World Academy</v>
      </c>
      <c r="C4635" s="2" t="str">
        <f ca="1">IFERROR(__xludf.DUMMYFUNCTION("""COMPUTED_VALUE"""),"School")</f>
        <v>School</v>
      </c>
      <c r="D4635" s="2" t="str">
        <f ca="1">IFERROR(__xludf.DUMMYFUNCTION("""COMPUTED_VALUE"""),"Dubai&gt;Al Barsha&gt;Al Barsha 1&gt;GEMS World Academy")</f>
        <v>Dubai&gt;Al Barsha&gt;Al Barsha 1&gt;GEMS World Academy</v>
      </c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</row>
    <row r="4636" spans="1:26" ht="16.5" x14ac:dyDescent="0.35">
      <c r="A4636" s="2" t="str">
        <f ca="1">IFERROR(__xludf.DUMMYFUNCTION("""COMPUTED_VALUE"""),"Dubai")</f>
        <v>Dubai</v>
      </c>
      <c r="B4636" s="2" t="str">
        <f ca="1">IFERROR(__xludf.DUMMYFUNCTION("""COMPUTED_VALUE"""),"Saleh Bin Lahej Building 341")</f>
        <v>Saleh Bin Lahej Building 341</v>
      </c>
      <c r="C4636" s="2" t="str">
        <f ca="1">IFERROR(__xludf.DUMMYFUNCTION("""COMPUTED_VALUE"""),"Building")</f>
        <v>Building</v>
      </c>
      <c r="D4636" s="2" t="str">
        <f ca="1">IFERROR(__xludf.DUMMYFUNCTION("""COMPUTED_VALUE"""),"Dubai&gt;Al Barsha&gt;Al Barsha 1&gt;Saleh Bin Lahej Building 341")</f>
        <v>Dubai&gt;Al Barsha&gt;Al Barsha 1&gt;Saleh Bin Lahej Building 341</v>
      </c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</row>
    <row r="4637" spans="1:26" ht="16.5" x14ac:dyDescent="0.35">
      <c r="A4637" s="2" t="str">
        <f ca="1">IFERROR(__xludf.DUMMYFUNCTION("""COMPUTED_VALUE"""),"Dubai")</f>
        <v>Dubai</v>
      </c>
      <c r="B4637" s="2" t="str">
        <f ca="1">IFERROR(__xludf.DUMMYFUNCTION("""COMPUTED_VALUE"""),"Residence 0363")</f>
        <v>Residence 0363</v>
      </c>
      <c r="C4637" s="2" t="str">
        <f ca="1">IFERROR(__xludf.DUMMYFUNCTION("""COMPUTED_VALUE"""),"Building")</f>
        <v>Building</v>
      </c>
      <c r="D4637" s="2" t="str">
        <f ca="1">IFERROR(__xludf.DUMMYFUNCTION("""COMPUTED_VALUE"""),"Dubai&gt;Al Barsha&gt;Al Barsha 1&gt;Residence 0363")</f>
        <v>Dubai&gt;Al Barsha&gt;Al Barsha 1&gt;Residence 0363</v>
      </c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</row>
    <row r="4638" spans="1:26" ht="16.5" x14ac:dyDescent="0.35">
      <c r="A4638" s="2" t="str">
        <f ca="1">IFERROR(__xludf.DUMMYFUNCTION("""COMPUTED_VALUE"""),"Dubai")</f>
        <v>Dubai</v>
      </c>
      <c r="B4638" s="2" t="str">
        <f ca="1">IFERROR(__xludf.DUMMYFUNCTION("""COMPUTED_VALUE"""),"City House 1")</f>
        <v>City House 1</v>
      </c>
      <c r="C4638" s="2" t="str">
        <f ca="1">IFERROR(__xludf.DUMMYFUNCTION("""COMPUTED_VALUE"""),"Building")</f>
        <v>Building</v>
      </c>
      <c r="D4638" s="2" t="str">
        <f ca="1">IFERROR(__xludf.DUMMYFUNCTION("""COMPUTED_VALUE"""),"Dubai&gt;Al Barsha&gt;Al Barsha 1&gt;City House 1")</f>
        <v>Dubai&gt;Al Barsha&gt;Al Barsha 1&gt;City House 1</v>
      </c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</row>
    <row r="4639" spans="1:26" ht="16.5" x14ac:dyDescent="0.35">
      <c r="A4639" s="2" t="str">
        <f ca="1">IFERROR(__xludf.DUMMYFUNCTION("""COMPUTED_VALUE"""),"Dubai")</f>
        <v>Dubai</v>
      </c>
      <c r="B4639" s="2" t="str">
        <f ca="1">IFERROR(__xludf.DUMMYFUNCTION("""COMPUTED_VALUE"""),"Desert Charm Building")</f>
        <v>Desert Charm Building</v>
      </c>
      <c r="C4639" s="2" t="str">
        <f ca="1">IFERROR(__xludf.DUMMYFUNCTION("""COMPUTED_VALUE"""),"Building")</f>
        <v>Building</v>
      </c>
      <c r="D4639" s="2" t="str">
        <f ca="1">IFERROR(__xludf.DUMMYFUNCTION("""COMPUTED_VALUE"""),"Dubai&gt;Al Barsha&gt;Al Barsha 1&gt;Desert Charm Building")</f>
        <v>Dubai&gt;Al Barsha&gt;Al Barsha 1&gt;Desert Charm Building</v>
      </c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</row>
    <row r="4640" spans="1:26" ht="16.5" x14ac:dyDescent="0.35">
      <c r="A4640" s="2" t="str">
        <f ca="1">IFERROR(__xludf.DUMMYFUNCTION("""COMPUTED_VALUE"""),"Dubai")</f>
        <v>Dubai</v>
      </c>
      <c r="B4640" s="2" t="str">
        <f ca="1">IFERROR(__xludf.DUMMYFUNCTION("""COMPUTED_VALUE"""),"Al Barsha City Tower")</f>
        <v>Al Barsha City Tower</v>
      </c>
      <c r="C4640" s="2" t="str">
        <f ca="1">IFERROR(__xludf.DUMMYFUNCTION("""COMPUTED_VALUE"""),"Building")</f>
        <v>Building</v>
      </c>
      <c r="D4640" s="2" t="str">
        <f ca="1">IFERROR(__xludf.DUMMYFUNCTION("""COMPUTED_VALUE"""),"Dubai&gt;Al Barsha&gt;Al Barsha 1&gt;Al Barsha City Tower")</f>
        <v>Dubai&gt;Al Barsha&gt;Al Barsha 1&gt;Al Barsha City Tower</v>
      </c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</row>
    <row r="4641" spans="1:26" ht="16.5" x14ac:dyDescent="0.35">
      <c r="A4641" s="2" t="str">
        <f ca="1">IFERROR(__xludf.DUMMYFUNCTION("""COMPUTED_VALUE"""),"Dubai")</f>
        <v>Dubai</v>
      </c>
      <c r="B4641" s="2" t="str">
        <f ca="1">IFERROR(__xludf.DUMMYFUNCTION("""COMPUTED_VALUE"""),"International House Building")</f>
        <v>International House Building</v>
      </c>
      <c r="C4641" s="2" t="str">
        <f ca="1">IFERROR(__xludf.DUMMYFUNCTION("""COMPUTED_VALUE"""),"Building")</f>
        <v>Building</v>
      </c>
      <c r="D4641" s="2" t="str">
        <f ca="1">IFERROR(__xludf.DUMMYFUNCTION("""COMPUTED_VALUE"""),"Dubai&gt;Al Barsha&gt;Al Barsha 1&gt;International House Building")</f>
        <v>Dubai&gt;Al Barsha&gt;Al Barsha 1&gt;International House Building</v>
      </c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</row>
    <row r="4642" spans="1:26" ht="16.5" x14ac:dyDescent="0.35">
      <c r="A4642" s="2" t="str">
        <f ca="1">IFERROR(__xludf.DUMMYFUNCTION("""COMPUTED_VALUE"""),"Dubai")</f>
        <v>Dubai</v>
      </c>
      <c r="B4642" s="2" t="str">
        <f ca="1">IFERROR(__xludf.DUMMYFUNCTION("""COMPUTED_VALUE"""),"Rose 2 Building")</f>
        <v>Rose 2 Building</v>
      </c>
      <c r="C4642" s="2" t="str">
        <f ca="1">IFERROR(__xludf.DUMMYFUNCTION("""COMPUTED_VALUE"""),"Building")</f>
        <v>Building</v>
      </c>
      <c r="D4642" s="2" t="str">
        <f ca="1">IFERROR(__xludf.DUMMYFUNCTION("""COMPUTED_VALUE"""),"Dubai&gt;Al Barsha&gt;Al Barsha 1&gt;Rose 2 Building")</f>
        <v>Dubai&gt;Al Barsha&gt;Al Barsha 1&gt;Rose 2 Building</v>
      </c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</row>
    <row r="4643" spans="1:26" ht="16.5" x14ac:dyDescent="0.35">
      <c r="A4643" s="2" t="str">
        <f ca="1">IFERROR(__xludf.DUMMYFUNCTION("""COMPUTED_VALUE"""),"Dubai")</f>
        <v>Dubai</v>
      </c>
      <c r="B4643" s="2" t="str">
        <f ca="1">IFERROR(__xludf.DUMMYFUNCTION("""COMPUTED_VALUE"""),"Durrat Al Barsha")</f>
        <v>Durrat Al Barsha</v>
      </c>
      <c r="C4643" s="2" t="str">
        <f ca="1">IFERROR(__xludf.DUMMYFUNCTION("""COMPUTED_VALUE"""),"Building")</f>
        <v>Building</v>
      </c>
      <c r="D4643" s="2" t="str">
        <f ca="1">IFERROR(__xludf.DUMMYFUNCTION("""COMPUTED_VALUE"""),"Dubai&gt;Al Barsha&gt;Al Barsha 1&gt;Durrat Al Barsha")</f>
        <v>Dubai&gt;Al Barsha&gt;Al Barsha 1&gt;Durrat Al Barsha</v>
      </c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</row>
    <row r="4644" spans="1:26" ht="16.5" x14ac:dyDescent="0.35">
      <c r="A4644" s="2" t="str">
        <f ca="1">IFERROR(__xludf.DUMMYFUNCTION("""COMPUTED_VALUE"""),"Dubai")</f>
        <v>Dubai</v>
      </c>
      <c r="B4644" s="2" t="str">
        <f ca="1">IFERROR(__xludf.DUMMYFUNCTION("""COMPUTED_VALUE"""),"Sunrise Terrace")</f>
        <v>Sunrise Terrace</v>
      </c>
      <c r="C4644" s="2" t="str">
        <f ca="1">IFERROR(__xludf.DUMMYFUNCTION("""COMPUTED_VALUE"""),"Building")</f>
        <v>Building</v>
      </c>
      <c r="D4644" s="2" t="str">
        <f ca="1">IFERROR(__xludf.DUMMYFUNCTION("""COMPUTED_VALUE"""),"Dubai&gt;Al Barsha&gt;Al Barsha 1&gt;Sunrise Terrace")</f>
        <v>Dubai&gt;Al Barsha&gt;Al Barsha 1&gt;Sunrise Terrace</v>
      </c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</row>
    <row r="4645" spans="1:26" ht="16.5" x14ac:dyDescent="0.35">
      <c r="A4645" s="2" t="str">
        <f ca="1">IFERROR(__xludf.DUMMYFUNCTION("""COMPUTED_VALUE"""),"Dubai")</f>
        <v>Dubai</v>
      </c>
      <c r="B4645" s="2" t="str">
        <f ca="1">IFERROR(__xludf.DUMMYFUNCTION("""COMPUTED_VALUE"""),"BLVD Heights Tower 2")</f>
        <v>BLVD Heights Tower 2</v>
      </c>
      <c r="C4645" s="2" t="str">
        <f ca="1">IFERROR(__xludf.DUMMYFUNCTION("""COMPUTED_VALUE"""),"Building")</f>
        <v>Building</v>
      </c>
      <c r="D4645" s="2" t="str">
        <f ca="1">IFERROR(__xludf.DUMMYFUNCTION("""COMPUTED_VALUE"""),"Dubai&gt;Downtown Dubai&gt;BLVD Heights&gt;BLVD Heights Tower 2")</f>
        <v>Dubai&gt;Downtown Dubai&gt;BLVD Heights&gt;BLVD Heights Tower 2</v>
      </c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</row>
    <row r="4646" spans="1:26" ht="16.5" x14ac:dyDescent="0.35">
      <c r="A4646" s="2" t="str">
        <f ca="1">IFERROR(__xludf.DUMMYFUNCTION("""COMPUTED_VALUE"""),"Dubai")</f>
        <v>Dubai</v>
      </c>
      <c r="B4646" s="2" t="str">
        <f ca="1">IFERROR(__xludf.DUMMYFUNCTION("""COMPUTED_VALUE"""),"Emaar Square Building 1")</f>
        <v>Emaar Square Building 1</v>
      </c>
      <c r="C4646" s="2" t="str">
        <f ca="1">IFERROR(__xludf.DUMMYFUNCTION("""COMPUTED_VALUE"""),"Building")</f>
        <v>Building</v>
      </c>
      <c r="D4646" s="2" t="str">
        <f ca="1">IFERROR(__xludf.DUMMYFUNCTION("""COMPUTED_VALUE"""),"Dubai&gt;Downtown Dubai&gt;Emaar Square&gt;Emaar Square Building 1")</f>
        <v>Dubai&gt;Downtown Dubai&gt;Emaar Square&gt;Emaar Square Building 1</v>
      </c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</row>
    <row r="4647" spans="1:26" ht="16.5" x14ac:dyDescent="0.35">
      <c r="A4647" s="2" t="str">
        <f ca="1">IFERROR(__xludf.DUMMYFUNCTION("""COMPUTED_VALUE"""),"Dubai")</f>
        <v>Dubai</v>
      </c>
      <c r="B4647" s="2" t="str">
        <f ca="1">IFERROR(__xludf.DUMMYFUNCTION("""COMPUTED_VALUE"""),"Saaha Offices Block B")</f>
        <v>Saaha Offices Block B</v>
      </c>
      <c r="C4647" s="2" t="str">
        <f ca="1">IFERROR(__xludf.DUMMYFUNCTION("""COMPUTED_VALUE"""),"Building")</f>
        <v>Building</v>
      </c>
      <c r="D4647" s="2" t="str">
        <f ca="1">IFERROR(__xludf.DUMMYFUNCTION("""COMPUTED_VALUE"""),"Dubai&gt;Downtown Dubai&gt;The Old Town Island&gt;Al Saaha Offices&gt;Saaha Offices Block B")</f>
        <v>Dubai&gt;Downtown Dubai&gt;The Old Town Island&gt;Al Saaha Offices&gt;Saaha Offices Block B</v>
      </c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</row>
    <row r="4648" spans="1:26" ht="16.5" x14ac:dyDescent="0.35">
      <c r="A4648" s="2" t="str">
        <f ca="1">IFERROR(__xludf.DUMMYFUNCTION("""COMPUTED_VALUE"""),"Dubai")</f>
        <v>Dubai</v>
      </c>
      <c r="B4648" s="2" t="str">
        <f ca="1">IFERROR(__xludf.DUMMYFUNCTION("""COMPUTED_VALUE"""),"Elite Downtown Residence")</f>
        <v>Elite Downtown Residence</v>
      </c>
      <c r="C4648" s="2" t="str">
        <f ca="1">IFERROR(__xludf.DUMMYFUNCTION("""COMPUTED_VALUE"""),"Cluster")</f>
        <v>Cluster</v>
      </c>
      <c r="D4648" s="2" t="str">
        <f ca="1">IFERROR(__xludf.DUMMYFUNCTION("""COMPUTED_VALUE"""),"Dubai&gt;Downtown Dubai&gt;Elite Downtown Residence")</f>
        <v>Dubai&gt;Downtown Dubai&gt;Elite Downtown Residence</v>
      </c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</row>
    <row r="4649" spans="1:26" ht="16.5" x14ac:dyDescent="0.35">
      <c r="A4649" s="2" t="str">
        <f ca="1">IFERROR(__xludf.DUMMYFUNCTION("""COMPUTED_VALUE"""),"Dubai")</f>
        <v>Dubai</v>
      </c>
      <c r="B4649" s="2" t="str">
        <f ca="1">IFERROR(__xludf.DUMMYFUNCTION("""COMPUTED_VALUE"""),"Reehan 8")</f>
        <v>Reehan 8</v>
      </c>
      <c r="C4649" s="2" t="str">
        <f ca="1">IFERROR(__xludf.DUMMYFUNCTION("""COMPUTED_VALUE"""),"Building")</f>
        <v>Building</v>
      </c>
      <c r="D4649" s="2" t="str">
        <f ca="1">IFERROR(__xludf.DUMMYFUNCTION("""COMPUTED_VALUE"""),"Dubai&gt;Downtown Dubai&gt;Old Town&gt;Reehan&gt;Reehan 8")</f>
        <v>Dubai&gt;Downtown Dubai&gt;Old Town&gt;Reehan&gt;Reehan 8</v>
      </c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</row>
    <row r="4650" spans="1:26" ht="16.5" x14ac:dyDescent="0.35">
      <c r="A4650" s="2" t="str">
        <f ca="1">IFERROR(__xludf.DUMMYFUNCTION("""COMPUTED_VALUE"""),"Dubai")</f>
        <v>Dubai</v>
      </c>
      <c r="B4650" s="2" t="str">
        <f ca="1">IFERROR(__xludf.DUMMYFUNCTION("""COMPUTED_VALUE"""),"Souk Qamardeen")</f>
        <v>Souk Qamardeen</v>
      </c>
      <c r="C4650" s="2" t="str">
        <f ca="1">IFERROR(__xludf.DUMMYFUNCTION("""COMPUTED_VALUE"""),"Building")</f>
        <v>Building</v>
      </c>
      <c r="D4650" s="2" t="str">
        <f ca="1">IFERROR(__xludf.DUMMYFUNCTION("""COMPUTED_VALUE"""),"Dubai&gt;Downtown Dubai&gt;Souk Qamardeen")</f>
        <v>Dubai&gt;Downtown Dubai&gt;Souk Qamardeen</v>
      </c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</row>
    <row r="4651" spans="1:26" ht="16.5" x14ac:dyDescent="0.35">
      <c r="A4651" s="2" t="str">
        <f ca="1">IFERROR(__xludf.DUMMYFUNCTION("""COMPUTED_VALUE"""),"Dubai")</f>
        <v>Dubai</v>
      </c>
      <c r="B4651" s="2" t="str">
        <f ca="1">IFERROR(__xludf.DUMMYFUNCTION("""COMPUTED_VALUE"""),"The Address Downtown Hotel (Lake Hotel)")</f>
        <v>The Address Downtown Hotel (Lake Hotel)</v>
      </c>
      <c r="C4651" s="2" t="str">
        <f ca="1">IFERROR(__xludf.DUMMYFUNCTION("""COMPUTED_VALUE"""),"Building")</f>
        <v>Building</v>
      </c>
      <c r="D4651" s="2" t="str">
        <f ca="1">IFERROR(__xludf.DUMMYFUNCTION("""COMPUTED_VALUE"""),"Dubai&gt;Downtown Dubai&gt;The Address Downtown Hotel (Lake Hotel)")</f>
        <v>Dubai&gt;Downtown Dubai&gt;The Address Downtown Hotel (Lake Hotel)</v>
      </c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</row>
    <row r="4652" spans="1:26" ht="16.5" x14ac:dyDescent="0.35">
      <c r="A4652" s="2" t="str">
        <f ca="1">IFERROR(__xludf.DUMMYFUNCTION("""COMPUTED_VALUE"""),"Dubai")</f>
        <v>Dubai</v>
      </c>
      <c r="B4652" s="2" t="str">
        <f ca="1">IFERROR(__xludf.DUMMYFUNCTION("""COMPUTED_VALUE"""),"Ghanima")</f>
        <v>Ghanima</v>
      </c>
      <c r="C4652" s="2" t="str">
        <f ca="1">IFERROR(__xludf.DUMMYFUNCTION("""COMPUTED_VALUE"""),"Building")</f>
        <v>Building</v>
      </c>
      <c r="D4652" s="2" t="str">
        <f ca="1">IFERROR(__xludf.DUMMYFUNCTION("""COMPUTED_VALUE"""),"Dubai&gt;Liwan&gt;Queue Point&gt;Ghanima")</f>
        <v>Dubai&gt;Liwan&gt;Queue Point&gt;Ghanima</v>
      </c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</row>
    <row r="4653" spans="1:26" ht="16.5" x14ac:dyDescent="0.35">
      <c r="A4653" s="2" t="str">
        <f ca="1">IFERROR(__xludf.DUMMYFUNCTION("""COMPUTED_VALUE"""),"Dubai")</f>
        <v>Dubai</v>
      </c>
      <c r="B4653" s="2" t="str">
        <f ca="1">IFERROR(__xludf.DUMMYFUNCTION("""COMPUTED_VALUE"""),"Farah Tower 5")</f>
        <v>Farah Tower 5</v>
      </c>
      <c r="C4653" s="2" t="str">
        <f ca="1">IFERROR(__xludf.DUMMYFUNCTION("""COMPUTED_VALUE"""),"Building")</f>
        <v>Building</v>
      </c>
      <c r="D4653" s="2" t="str">
        <f ca="1">IFERROR(__xludf.DUMMYFUNCTION("""COMPUTED_VALUE"""),"Dubai&gt;Liwan&gt;Queue Point&gt;Farah Tower 5")</f>
        <v>Dubai&gt;Liwan&gt;Queue Point&gt;Farah Tower 5</v>
      </c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</row>
    <row r="4654" spans="1:26" ht="16.5" x14ac:dyDescent="0.35">
      <c r="A4654" s="2" t="str">
        <f ca="1">IFERROR(__xludf.DUMMYFUNCTION("""COMPUTED_VALUE"""),"Dubai")</f>
        <v>Dubai</v>
      </c>
      <c r="B4654" s="2" t="str">
        <f ca="1">IFERROR(__xludf.DUMMYFUNCTION("""COMPUTED_VALUE"""),"Al Eyas")</f>
        <v>Al Eyas</v>
      </c>
      <c r="C4654" s="2" t="str">
        <f ca="1">IFERROR(__xludf.DUMMYFUNCTION("""COMPUTED_VALUE"""),"Neighbourhood")</f>
        <v>Neighbourhood</v>
      </c>
      <c r="D4654" s="2" t="str">
        <f ca="1">IFERROR(__xludf.DUMMYFUNCTION("""COMPUTED_VALUE"""),"Dubai&gt;Al Khawaneej&gt;Al Eyas")</f>
        <v>Dubai&gt;Al Khawaneej&gt;Al Eyas</v>
      </c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</row>
    <row r="4655" spans="1:26" ht="16.5" x14ac:dyDescent="0.35">
      <c r="A4655" s="2" t="str">
        <f ca="1">IFERROR(__xludf.DUMMYFUNCTION("""COMPUTED_VALUE"""),"Dubai")</f>
        <v>Dubai</v>
      </c>
      <c r="B4655" s="2" t="str">
        <f ca="1">IFERROR(__xludf.DUMMYFUNCTION("""COMPUTED_VALUE"""),"Park Tower A")</f>
        <v>Park Tower A</v>
      </c>
      <c r="C4655" s="2" t="str">
        <f ca="1">IFERROR(__xludf.DUMMYFUNCTION("""COMPUTED_VALUE"""),"Building")</f>
        <v>Building</v>
      </c>
      <c r="D4655" s="2" t="str">
        <f ca="1">IFERROR(__xludf.DUMMYFUNCTION("""COMPUTED_VALUE"""),"Dubai&gt;DIFC&gt;Park Towers&gt;Park Tower A")</f>
        <v>Dubai&gt;DIFC&gt;Park Towers&gt;Park Tower A</v>
      </c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</row>
    <row r="4656" spans="1:26" ht="16.5" x14ac:dyDescent="0.35">
      <c r="A4656" s="2" t="str">
        <f ca="1">IFERROR(__xludf.DUMMYFUNCTION("""COMPUTED_VALUE"""),"Dubai")</f>
        <v>Dubai</v>
      </c>
      <c r="B4656" s="2" t="str">
        <f ca="1">IFERROR(__xludf.DUMMYFUNCTION("""COMPUTED_VALUE"""),"Eden House Za'abeel")</f>
        <v>Eden House Za'abeel</v>
      </c>
      <c r="C4656" s="2" t="str">
        <f ca="1">IFERROR(__xludf.DUMMYFUNCTION("""COMPUTED_VALUE"""),"Cluster")</f>
        <v>Cluster</v>
      </c>
      <c r="D4656" s="2" t="str">
        <f ca="1">IFERROR(__xludf.DUMMYFUNCTION("""COMPUTED_VALUE"""),"Dubai&gt;DIFC&gt;Eden House Za'abeel")</f>
        <v>Dubai&gt;DIFC&gt;Eden House Za'abeel</v>
      </c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</row>
    <row r="4657" spans="1:26" ht="16.5" x14ac:dyDescent="0.35">
      <c r="A4657" s="2" t="str">
        <f ca="1">IFERROR(__xludf.DUMMYFUNCTION("""COMPUTED_VALUE"""),"Dubai")</f>
        <v>Dubai</v>
      </c>
      <c r="B4657" s="2" t="str">
        <f ca="1">IFERROR(__xludf.DUMMYFUNCTION("""COMPUTED_VALUE"""),"Newlands School, Dubai")</f>
        <v>Newlands School, Dubai</v>
      </c>
      <c r="C4657" s="2" t="str">
        <f ca="1">IFERROR(__xludf.DUMMYFUNCTION("""COMPUTED_VALUE"""),"School")</f>
        <v>School</v>
      </c>
      <c r="D4657" s="2" t="str">
        <f ca="1">IFERROR(__xludf.DUMMYFUNCTION("""COMPUTED_VALUE"""),"Dubai&gt;Al Warqaa&gt;Al Warqaa 1&gt;Newlands School, Dubai")</f>
        <v>Dubai&gt;Al Warqaa&gt;Al Warqaa 1&gt;Newlands School, Dubai</v>
      </c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</row>
    <row r="4658" spans="1:26" ht="16.5" x14ac:dyDescent="0.35">
      <c r="A4658" s="2" t="str">
        <f ca="1">IFERROR(__xludf.DUMMYFUNCTION("""COMPUTED_VALUE"""),"Dubai")</f>
        <v>Dubai</v>
      </c>
      <c r="B4658" s="2" t="str">
        <f ca="1">IFERROR(__xludf.DUMMYFUNCTION("""COMPUTED_VALUE"""),"Al Warqa Blue")</f>
        <v>Al Warqa Blue</v>
      </c>
      <c r="C4658" s="2" t="str">
        <f ca="1">IFERROR(__xludf.DUMMYFUNCTION("""COMPUTED_VALUE"""),"Building")</f>
        <v>Building</v>
      </c>
      <c r="D4658" s="2" t="str">
        <f ca="1">IFERROR(__xludf.DUMMYFUNCTION("""COMPUTED_VALUE"""),"Dubai&gt;Al Warqaa&gt;Al Warqaa 1&gt;Al Warqa Blue")</f>
        <v>Dubai&gt;Al Warqaa&gt;Al Warqaa 1&gt;Al Warqa Blue</v>
      </c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</row>
    <row r="4659" spans="1:26" ht="16.5" x14ac:dyDescent="0.35">
      <c r="A4659" s="2" t="str">
        <f ca="1">IFERROR(__xludf.DUMMYFUNCTION("""COMPUTED_VALUE"""),"Dubai")</f>
        <v>Dubai</v>
      </c>
      <c r="B4659" s="2" t="str">
        <f ca="1">IFERROR(__xludf.DUMMYFUNCTION("""COMPUTED_VALUE"""),"Al Shenqaiti 5")</f>
        <v>Al Shenqaiti 5</v>
      </c>
      <c r="C4659" s="2" t="str">
        <f ca="1">IFERROR(__xludf.DUMMYFUNCTION("""COMPUTED_VALUE"""),"Building")</f>
        <v>Building</v>
      </c>
      <c r="D4659" s="2" t="str">
        <f ca="1">IFERROR(__xludf.DUMMYFUNCTION("""COMPUTED_VALUE"""),"Dubai&gt;Al Warqaa&gt;Al Warqaa 1&gt;Al Shenqaiti 5")</f>
        <v>Dubai&gt;Al Warqaa&gt;Al Warqaa 1&gt;Al Shenqaiti 5</v>
      </c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</row>
    <row r="4660" spans="1:26" ht="16.5" x14ac:dyDescent="0.35">
      <c r="A4660" s="2" t="str">
        <f ca="1">IFERROR(__xludf.DUMMYFUNCTION("""COMPUTED_VALUE"""),"Dubai")</f>
        <v>Dubai</v>
      </c>
      <c r="B4660" s="2" t="str">
        <f ca="1">IFERROR(__xludf.DUMMYFUNCTION("""COMPUTED_VALUE"""),"MIR 3 Building")</f>
        <v>MIR 3 Building</v>
      </c>
      <c r="C4660" s="2" t="str">
        <f ca="1">IFERROR(__xludf.DUMMYFUNCTION("""COMPUTED_VALUE"""),"Building")</f>
        <v>Building</v>
      </c>
      <c r="D4660" s="2" t="str">
        <f ca="1">IFERROR(__xludf.DUMMYFUNCTION("""COMPUTED_VALUE"""),"Dubai&gt;Al Warqaa&gt;Al Warqaa 1&gt;MIR 3 Building")</f>
        <v>Dubai&gt;Al Warqaa&gt;Al Warqaa 1&gt;MIR 3 Building</v>
      </c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</row>
    <row r="4661" spans="1:26" ht="16.5" x14ac:dyDescent="0.35">
      <c r="A4661" s="2" t="str">
        <f ca="1">IFERROR(__xludf.DUMMYFUNCTION("""COMPUTED_VALUE"""),"Dubai")</f>
        <v>Dubai</v>
      </c>
      <c r="B4661" s="2" t="str">
        <f ca="1">IFERROR(__xludf.DUMMYFUNCTION("""COMPUTED_VALUE"""),"Oakfield Early Learning Centre JLT")</f>
        <v>Oakfield Early Learning Centre JLT</v>
      </c>
      <c r="C4661" s="2" t="str">
        <f ca="1">IFERROR(__xludf.DUMMYFUNCTION("""COMPUTED_VALUE"""),"Nursery")</f>
        <v>Nursery</v>
      </c>
      <c r="D4661" s="2" t="str">
        <f ca="1">IFERROR(__xludf.DUMMYFUNCTION("""COMPUTED_VALUE"""),"Dubai&gt;Jumeirah Lake Towers (JLT)&gt;Mazaya Business Avenue&gt;Oakfield Early Learning Centre JLT")</f>
        <v>Dubai&gt;Jumeirah Lake Towers (JLT)&gt;Mazaya Business Avenue&gt;Oakfield Early Learning Centre JLT</v>
      </c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</row>
    <row r="4662" spans="1:26" ht="16.5" x14ac:dyDescent="0.35">
      <c r="A4662" s="2" t="str">
        <f ca="1">IFERROR(__xludf.DUMMYFUNCTION("""COMPUTED_VALUE"""),"Dubai")</f>
        <v>Dubai</v>
      </c>
      <c r="B4662" s="2" t="str">
        <f ca="1">IFERROR(__xludf.DUMMYFUNCTION("""COMPUTED_VALUE"""),"Dubai Arch Tower")</f>
        <v>Dubai Arch Tower</v>
      </c>
      <c r="C4662" s="2" t="str">
        <f ca="1">IFERROR(__xludf.DUMMYFUNCTION("""COMPUTED_VALUE"""),"Building")</f>
        <v>Building</v>
      </c>
      <c r="D4662" s="2" t="str">
        <f ca="1">IFERROR(__xludf.DUMMYFUNCTION("""COMPUTED_VALUE"""),"Dubai&gt;Jumeirah Lake Towers (JLT)&gt;JLT Cluster G&gt;Dubai Arch Tower")</f>
        <v>Dubai&gt;Jumeirah Lake Towers (JLT)&gt;JLT Cluster G&gt;Dubai Arch Tower</v>
      </c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</row>
    <row r="4663" spans="1:26" ht="16.5" x14ac:dyDescent="0.35">
      <c r="A4663" s="2" t="str">
        <f ca="1">IFERROR(__xludf.DUMMYFUNCTION("""COMPUTED_VALUE"""),"Dubai")</f>
        <v>Dubai</v>
      </c>
      <c r="B4663" s="2" t="str">
        <f ca="1">IFERROR(__xludf.DUMMYFUNCTION("""COMPUTED_VALUE"""),"Jumeirah Business Centre 4")</f>
        <v>Jumeirah Business Centre 4</v>
      </c>
      <c r="C4663" s="2" t="str">
        <f ca="1">IFERROR(__xludf.DUMMYFUNCTION("""COMPUTED_VALUE"""),"Building")</f>
        <v>Building</v>
      </c>
      <c r="D4663" s="2" t="str">
        <f ca="1">IFERROR(__xludf.DUMMYFUNCTION("""COMPUTED_VALUE"""),"Dubai&gt;Jumeirah Lake Towers (JLT)&gt;JLT Cluster N&gt;Jumeirah Business Centre 4")</f>
        <v>Dubai&gt;Jumeirah Lake Towers (JLT)&gt;JLT Cluster N&gt;Jumeirah Business Centre 4</v>
      </c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</row>
    <row r="4664" spans="1:26" ht="16.5" x14ac:dyDescent="0.35">
      <c r="A4664" s="2" t="str">
        <f ca="1">IFERROR(__xludf.DUMMYFUNCTION("""COMPUTED_VALUE"""),"Dubai")</f>
        <v>Dubai</v>
      </c>
      <c r="B4664" s="2" t="str">
        <f ca="1">IFERROR(__xludf.DUMMYFUNCTION("""COMPUTED_VALUE"""),"Goldcrest Views 1")</f>
        <v>Goldcrest Views 1</v>
      </c>
      <c r="C4664" s="2" t="str">
        <f ca="1">IFERROR(__xludf.DUMMYFUNCTION("""COMPUTED_VALUE"""),"Building")</f>
        <v>Building</v>
      </c>
      <c r="D4664" s="2" t="str">
        <f ca="1">IFERROR(__xludf.DUMMYFUNCTION("""COMPUTED_VALUE"""),"Dubai&gt;Jumeirah Lake Towers (JLT)&gt;JLT Cluster V&gt;Goldcrest Views 1")</f>
        <v>Dubai&gt;Jumeirah Lake Towers (JLT)&gt;JLT Cluster V&gt;Goldcrest Views 1</v>
      </c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</row>
    <row r="4665" spans="1:26" ht="16.5" x14ac:dyDescent="0.35">
      <c r="A4665" s="2" t="str">
        <f ca="1">IFERROR(__xludf.DUMMYFUNCTION("""COMPUTED_VALUE"""),"Dubai")</f>
        <v>Dubai</v>
      </c>
      <c r="B4665" s="2" t="str">
        <f ca="1">IFERROR(__xludf.DUMMYFUNCTION("""COMPUTED_VALUE"""),"North Tower")</f>
        <v>North Tower</v>
      </c>
      <c r="C4665" s="2" t="str">
        <f ca="1">IFERROR(__xludf.DUMMYFUNCTION("""COMPUTED_VALUE"""),"Building")</f>
        <v>Building</v>
      </c>
      <c r="D4665" s="2" t="str">
        <f ca="1">IFERROR(__xludf.DUMMYFUNCTION("""COMPUTED_VALUE"""),"Dubai&gt;Jumeirah Lake Towers (JLT)&gt;Uptown Dubai&gt;Mercer House&gt;North Tower")</f>
        <v>Dubai&gt;Jumeirah Lake Towers (JLT)&gt;Uptown Dubai&gt;Mercer House&gt;North Tower</v>
      </c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</row>
    <row r="4666" spans="1:26" ht="16.5" x14ac:dyDescent="0.35">
      <c r="A4666" s="2" t="str">
        <f ca="1">IFERROR(__xludf.DUMMYFUNCTION("""COMPUTED_VALUE"""),"Dubai")</f>
        <v>Dubai</v>
      </c>
      <c r="B4666" s="2" t="str">
        <f ca="1">IFERROR(__xludf.DUMMYFUNCTION("""COMPUTED_VALUE"""),"Rasha")</f>
        <v>Rasha</v>
      </c>
      <c r="C4666" s="2" t="str">
        <f ca="1">IFERROR(__xludf.DUMMYFUNCTION("""COMPUTED_VALUE"""),"Neighbourhood")</f>
        <v>Neighbourhood</v>
      </c>
      <c r="D4666" s="2" t="str">
        <f ca="1">IFERROR(__xludf.DUMMYFUNCTION("""COMPUTED_VALUE"""),"Dubai&gt;Arabian Ranches 2&gt;Rasha")</f>
        <v>Dubai&gt;Arabian Ranches 2&gt;Rasha</v>
      </c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</row>
    <row r="4667" spans="1:26" ht="16.5" x14ac:dyDescent="0.35">
      <c r="A4667" s="2" t="str">
        <f ca="1">IFERROR(__xludf.DUMMYFUNCTION("""COMPUTED_VALUE"""),"Dubai")</f>
        <v>Dubai</v>
      </c>
      <c r="B4667" s="2" t="str">
        <f ca="1">IFERROR(__xludf.DUMMYFUNCTION("""COMPUTED_VALUE"""),"Al Khair 1")</f>
        <v>Al Khair 1</v>
      </c>
      <c r="C4667" s="2" t="str">
        <f ca="1">IFERROR(__xludf.DUMMYFUNCTION("""COMPUTED_VALUE"""),"Building")</f>
        <v>Building</v>
      </c>
      <c r="D4667" s="2" t="str">
        <f ca="1">IFERROR(__xludf.DUMMYFUNCTION("""COMPUTED_VALUE"""),"Dubai&gt;Al Satwa&gt;Jumeirah Garden City&gt;Al Khair 1")</f>
        <v>Dubai&gt;Al Satwa&gt;Jumeirah Garden City&gt;Al Khair 1</v>
      </c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</row>
    <row r="4668" spans="1:26" ht="16.5" x14ac:dyDescent="0.35">
      <c r="A4668" s="2" t="str">
        <f ca="1">IFERROR(__xludf.DUMMYFUNCTION("""COMPUTED_VALUE"""),"Dubai")</f>
        <v>Dubai</v>
      </c>
      <c r="B4668" s="2" t="str">
        <f ca="1">IFERROR(__xludf.DUMMYFUNCTION("""COMPUTED_VALUE"""),"JAR Building")</f>
        <v>JAR Building</v>
      </c>
      <c r="C4668" s="2" t="str">
        <f ca="1">IFERROR(__xludf.DUMMYFUNCTION("""COMPUTED_VALUE"""),"Building")</f>
        <v>Building</v>
      </c>
      <c r="D4668" s="2" t="str">
        <f ca="1">IFERROR(__xludf.DUMMYFUNCTION("""COMPUTED_VALUE"""),"Dubai&gt;Al Satwa&gt;Jumeirah Garden City&gt;JAR Building")</f>
        <v>Dubai&gt;Al Satwa&gt;Jumeirah Garden City&gt;JAR Building</v>
      </c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</row>
    <row r="4669" spans="1:26" ht="16.5" x14ac:dyDescent="0.35">
      <c r="A4669" s="2" t="str">
        <f ca="1">IFERROR(__xludf.DUMMYFUNCTION("""COMPUTED_VALUE"""),"Dubai")</f>
        <v>Dubai</v>
      </c>
      <c r="B4669" s="2" t="str">
        <f ca="1">IFERROR(__xludf.DUMMYFUNCTION("""COMPUTED_VALUE"""),"KAY 1 Building")</f>
        <v>KAY 1 Building</v>
      </c>
      <c r="C4669" s="2" t="str">
        <f ca="1">IFERROR(__xludf.DUMMYFUNCTION("""COMPUTED_VALUE"""),"Building")</f>
        <v>Building</v>
      </c>
      <c r="D4669" s="2" t="str">
        <f ca="1">IFERROR(__xludf.DUMMYFUNCTION("""COMPUTED_VALUE"""),"Dubai&gt;Al Satwa&gt;Jumeirah Garden City&gt;KAY 1 Building")</f>
        <v>Dubai&gt;Al Satwa&gt;Jumeirah Garden City&gt;KAY 1 Building</v>
      </c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</row>
    <row r="4670" spans="1:26" ht="16.5" x14ac:dyDescent="0.35">
      <c r="A4670" s="2" t="str">
        <f ca="1">IFERROR(__xludf.DUMMYFUNCTION("""COMPUTED_VALUE"""),"Dubai")</f>
        <v>Dubai</v>
      </c>
      <c r="B4670" s="2" t="str">
        <f ca="1">IFERROR(__xludf.DUMMYFUNCTION("""COMPUTED_VALUE"""),"Jad 288 Building C")</f>
        <v>Jad 288 Building C</v>
      </c>
      <c r="C4670" s="2" t="str">
        <f ca="1">IFERROR(__xludf.DUMMYFUNCTION("""COMPUTED_VALUE"""),"Building")</f>
        <v>Building</v>
      </c>
      <c r="D4670" s="2" t="str">
        <f ca="1">IFERROR(__xludf.DUMMYFUNCTION("""COMPUTED_VALUE"""),"Dubai&gt;Al Satwa&gt;Jumeirah Garden City&gt;Jad 288&gt;Jad 288 Building C")</f>
        <v>Dubai&gt;Al Satwa&gt;Jumeirah Garden City&gt;Jad 288&gt;Jad 288 Building C</v>
      </c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</row>
    <row r="4671" spans="1:26" ht="16.5" x14ac:dyDescent="0.35">
      <c r="A4671" s="2" t="str">
        <f ca="1">IFERROR(__xludf.DUMMYFUNCTION("""COMPUTED_VALUE"""),"Dubai")</f>
        <v>Dubai</v>
      </c>
      <c r="B4671" s="2" t="str">
        <f ca="1">IFERROR(__xludf.DUMMYFUNCTION("""COMPUTED_VALUE"""),"Fairgreen International School")</f>
        <v>Fairgreen International School</v>
      </c>
      <c r="C4671" s="2" t="str">
        <f ca="1">IFERROR(__xludf.DUMMYFUNCTION("""COMPUTED_VALUE"""),"School")</f>
        <v>School</v>
      </c>
      <c r="D4671" s="2" t="str">
        <f ca="1">IFERROR(__xludf.DUMMYFUNCTION("""COMPUTED_VALUE"""),"Dubai&gt;The Sustainable City&gt;Fairgreen International School")</f>
        <v>Dubai&gt;The Sustainable City&gt;Fairgreen International School</v>
      </c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</row>
    <row r="4672" spans="1:26" ht="16.5" x14ac:dyDescent="0.35">
      <c r="A4672" s="2" t="str">
        <f ca="1">IFERROR(__xludf.DUMMYFUNCTION("""COMPUTED_VALUE"""),"Dubai")</f>
        <v>Dubai</v>
      </c>
      <c r="B4672" s="2" t="str">
        <f ca="1">IFERROR(__xludf.DUMMYFUNCTION("""COMPUTED_VALUE"""),"Building 129")</f>
        <v>Building 129</v>
      </c>
      <c r="C4672" s="2" t="str">
        <f ca="1">IFERROR(__xludf.DUMMYFUNCTION("""COMPUTED_VALUE"""),"Building")</f>
        <v>Building</v>
      </c>
      <c r="D4672" s="2" t="str">
        <f ca="1">IFERROR(__xludf.DUMMYFUNCTION("""COMPUTED_VALUE"""),"Dubai&gt;Discovery Gardens&gt;Contemporary&gt;Building 129")</f>
        <v>Dubai&gt;Discovery Gardens&gt;Contemporary&gt;Building 129</v>
      </c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</row>
    <row r="4673" spans="1:26" ht="16.5" x14ac:dyDescent="0.35">
      <c r="A4673" s="2" t="str">
        <f ca="1">IFERROR(__xludf.DUMMYFUNCTION("""COMPUTED_VALUE"""),"Dubai")</f>
        <v>Dubai</v>
      </c>
      <c r="B4673" s="2" t="str">
        <f ca="1">IFERROR(__xludf.DUMMYFUNCTION("""COMPUTED_VALUE"""),"Building 251")</f>
        <v>Building 251</v>
      </c>
      <c r="C4673" s="2" t="str">
        <f ca="1">IFERROR(__xludf.DUMMYFUNCTION("""COMPUTED_VALUE"""),"Building")</f>
        <v>Building</v>
      </c>
      <c r="D4673" s="2" t="str">
        <f ca="1">IFERROR(__xludf.DUMMYFUNCTION("""COMPUTED_VALUE"""),"Dubai&gt;Discovery Gardens&gt;Mesoamerican&gt;Building 251")</f>
        <v>Dubai&gt;Discovery Gardens&gt;Mesoamerican&gt;Building 251</v>
      </c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</row>
    <row r="4674" spans="1:26" ht="16.5" x14ac:dyDescent="0.35">
      <c r="A4674" s="2" t="str">
        <f ca="1">IFERROR(__xludf.DUMMYFUNCTION("""COMPUTED_VALUE"""),"Dubai")</f>
        <v>Dubai</v>
      </c>
      <c r="B4674" s="2" t="str">
        <f ca="1">IFERROR(__xludf.DUMMYFUNCTION("""COMPUTED_VALUE"""),"Building 213")</f>
        <v>Building 213</v>
      </c>
      <c r="C4674" s="2" t="str">
        <f ca="1">IFERROR(__xludf.DUMMYFUNCTION("""COMPUTED_VALUE"""),"Building")</f>
        <v>Building</v>
      </c>
      <c r="D4674" s="2" t="str">
        <f ca="1">IFERROR(__xludf.DUMMYFUNCTION("""COMPUTED_VALUE"""),"Dubai&gt;Discovery Gardens&gt;Mogul&gt;Building 213")</f>
        <v>Dubai&gt;Discovery Gardens&gt;Mogul&gt;Building 213</v>
      </c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</row>
    <row r="4675" spans="1:26" ht="16.5" x14ac:dyDescent="0.35">
      <c r="A4675" s="2" t="str">
        <f ca="1">IFERROR(__xludf.DUMMYFUNCTION("""COMPUTED_VALUE"""),"Dubai")</f>
        <v>Dubai</v>
      </c>
      <c r="B4675" s="2" t="str">
        <f ca="1">IFERROR(__xludf.DUMMYFUNCTION("""COMPUTED_VALUE"""),"Building 14")</f>
        <v>Building 14</v>
      </c>
      <c r="C4675" s="2" t="str">
        <f ca="1">IFERROR(__xludf.DUMMYFUNCTION("""COMPUTED_VALUE"""),"Building")</f>
        <v>Building</v>
      </c>
      <c r="D4675" s="2" t="str">
        <f ca="1">IFERROR(__xludf.DUMMYFUNCTION("""COMPUTED_VALUE"""),"Dubai&gt;Discovery Gardens&gt;Zen Cluster&gt;Building 14")</f>
        <v>Dubai&gt;Discovery Gardens&gt;Zen Cluster&gt;Building 14</v>
      </c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</row>
    <row r="4676" spans="1:26" ht="16.5" x14ac:dyDescent="0.35">
      <c r="A4676" s="2" t="str">
        <f ca="1">IFERROR(__xludf.DUMMYFUNCTION("""COMPUTED_VALUE"""),"Dubai")</f>
        <v>Dubai</v>
      </c>
      <c r="B4676" s="2" t="str">
        <f ca="1">IFERROR(__xludf.DUMMYFUNCTION("""COMPUTED_VALUE"""),"Building 93")</f>
        <v>Building 93</v>
      </c>
      <c r="C4676" s="2" t="str">
        <f ca="1">IFERROR(__xludf.DUMMYFUNCTION("""COMPUTED_VALUE"""),"Building")</f>
        <v>Building</v>
      </c>
      <c r="D4676" s="2" t="str">
        <f ca="1">IFERROR(__xludf.DUMMYFUNCTION("""COMPUTED_VALUE"""),"Dubai&gt;Discovery Gardens&gt;Mediterranean&gt;Building 93")</f>
        <v>Dubai&gt;Discovery Gardens&gt;Mediterranean&gt;Building 93</v>
      </c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</row>
    <row r="4677" spans="1:26" ht="16.5" x14ac:dyDescent="0.35">
      <c r="A4677" s="2" t="str">
        <f ca="1">IFERROR(__xludf.DUMMYFUNCTION("""COMPUTED_VALUE"""),"Dubai")</f>
        <v>Dubai</v>
      </c>
      <c r="B4677" s="2" t="str">
        <f ca="1">IFERROR(__xludf.DUMMYFUNCTION("""COMPUTED_VALUE"""),"Building 54")</f>
        <v>Building 54</v>
      </c>
      <c r="C4677" s="2" t="str">
        <f ca="1">IFERROR(__xludf.DUMMYFUNCTION("""COMPUTED_VALUE"""),"Building")</f>
        <v>Building</v>
      </c>
      <c r="D4677" s="2" t="str">
        <f ca="1">IFERROR(__xludf.DUMMYFUNCTION("""COMPUTED_VALUE"""),"Dubai&gt;Discovery Gardens&gt;Mediterranean&gt;Building 54")</f>
        <v>Dubai&gt;Discovery Gardens&gt;Mediterranean&gt;Building 54</v>
      </c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</row>
    <row r="4678" spans="1:26" ht="16.5" x14ac:dyDescent="0.35">
      <c r="A4678" s="2" t="str">
        <f ca="1">IFERROR(__xludf.DUMMYFUNCTION("""COMPUTED_VALUE"""),"Dubai")</f>
        <v>Dubai</v>
      </c>
      <c r="B4678" s="2" t="str">
        <f ca="1">IFERROR(__xludf.DUMMYFUNCTION("""COMPUTED_VALUE"""),"Samana California")</f>
        <v>Samana California</v>
      </c>
      <c r="C4678" s="2" t="str">
        <f ca="1">IFERROR(__xludf.DUMMYFUNCTION("""COMPUTED_VALUE"""),"Building")</f>
        <v>Building</v>
      </c>
      <c r="D4678" s="2" t="str">
        <f ca="1">IFERROR(__xludf.DUMMYFUNCTION("""COMPUTED_VALUE"""),"Dubai&gt;Discovery Gardens&gt;Samana California")</f>
        <v>Dubai&gt;Discovery Gardens&gt;Samana California</v>
      </c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</row>
    <row r="4679" spans="1:26" ht="16.5" x14ac:dyDescent="0.35">
      <c r="A4679" s="2" t="str">
        <f ca="1">IFERROR(__xludf.DUMMYFUNCTION("""COMPUTED_VALUE"""),"Dubai")</f>
        <v>Dubai</v>
      </c>
      <c r="B4679" s="2" t="str">
        <f ca="1">IFERROR(__xludf.DUMMYFUNCTION("""COMPUTED_VALUE"""),"Jash Falqa")</f>
        <v>Jash Falqa</v>
      </c>
      <c r="C4679" s="2" t="str">
        <f ca="1">IFERROR(__xludf.DUMMYFUNCTION("""COMPUTED_VALUE"""),"Building")</f>
        <v>Building</v>
      </c>
      <c r="D4679" s="2" t="str">
        <f ca="1">IFERROR(__xludf.DUMMYFUNCTION("""COMPUTED_VALUE"""),"Dubai&gt;Palm Jumeirah&gt;Shoreline Apartments&gt;Jash Falqa")</f>
        <v>Dubai&gt;Palm Jumeirah&gt;Shoreline Apartments&gt;Jash Falqa</v>
      </c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</row>
    <row r="4680" spans="1:26" ht="16.5" x14ac:dyDescent="0.35">
      <c r="A4680" s="2" t="str">
        <f ca="1">IFERROR(__xludf.DUMMYFUNCTION("""COMPUTED_VALUE"""),"Dubai")</f>
        <v>Dubai</v>
      </c>
      <c r="B4680" s="2" t="str">
        <f ca="1">IFERROR(__xludf.DUMMYFUNCTION("""COMPUTED_VALUE"""),"Palma Residences")</f>
        <v>Palma Residences</v>
      </c>
      <c r="C4680" s="2" t="str">
        <f ca="1">IFERROR(__xludf.DUMMYFUNCTION("""COMPUTED_VALUE"""),"Neighbourhood")</f>
        <v>Neighbourhood</v>
      </c>
      <c r="D4680" s="2" t="str">
        <f ca="1">IFERROR(__xludf.DUMMYFUNCTION("""COMPUTED_VALUE"""),"Dubai&gt;Palm Jumeirah&gt;Palma Residences")</f>
        <v>Dubai&gt;Palm Jumeirah&gt;Palma Residences</v>
      </c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</row>
    <row r="4681" spans="1:26" ht="16.5" x14ac:dyDescent="0.35">
      <c r="A4681" s="2" t="str">
        <f ca="1">IFERROR(__xludf.DUMMYFUNCTION("""COMPUTED_VALUE"""),"Dubai")</f>
        <v>Dubai</v>
      </c>
      <c r="B4681" s="2" t="str">
        <f ca="1">IFERROR(__xludf.DUMMYFUNCTION("""COMPUTED_VALUE"""),"Golden Mile 7")</f>
        <v>Golden Mile 7</v>
      </c>
      <c r="C4681" s="2" t="str">
        <f ca="1">IFERROR(__xludf.DUMMYFUNCTION("""COMPUTED_VALUE"""),"Building")</f>
        <v>Building</v>
      </c>
      <c r="D4681" s="2" t="str">
        <f ca="1">IFERROR(__xludf.DUMMYFUNCTION("""COMPUTED_VALUE"""),"Dubai&gt;Palm Jumeirah&gt;Golden Mile&gt;Golden Mile 7")</f>
        <v>Dubai&gt;Palm Jumeirah&gt;Golden Mile&gt;Golden Mile 7</v>
      </c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</row>
    <row r="4682" spans="1:26" ht="16.5" x14ac:dyDescent="0.35">
      <c r="A4682" s="2" t="str">
        <f ca="1">IFERROR(__xludf.DUMMYFUNCTION("""COMPUTED_VALUE"""),"Dubai")</f>
        <v>Dubai</v>
      </c>
      <c r="B4682" s="2" t="str">
        <f ca="1">IFERROR(__xludf.DUMMYFUNCTION("""COMPUTED_VALUE"""),"Royal Residences Jumeirah Zabeel Saray")</f>
        <v>Royal Residences Jumeirah Zabeel Saray</v>
      </c>
      <c r="C4682" s="2" t="str">
        <f ca="1">IFERROR(__xludf.DUMMYFUNCTION("""COMPUTED_VALUE"""),"Neighbourhood")</f>
        <v>Neighbourhood</v>
      </c>
      <c r="D4682" s="2" t="str">
        <f ca="1">IFERROR(__xludf.DUMMYFUNCTION("""COMPUTED_VALUE"""),"Dubai&gt;Palm Jumeirah&gt;The Crescent&gt;Royal Residences Jumeirah Zabeel Saray")</f>
        <v>Dubai&gt;Palm Jumeirah&gt;The Crescent&gt;Royal Residences Jumeirah Zabeel Saray</v>
      </c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</row>
    <row r="4683" spans="1:26" ht="16.5" x14ac:dyDescent="0.35">
      <c r="A4683" s="2" t="str">
        <f ca="1">IFERROR(__xludf.DUMMYFUNCTION("""COMPUTED_VALUE"""),"Dubai")</f>
        <v>Dubai</v>
      </c>
      <c r="B4683" s="2" t="str">
        <f ca="1">IFERROR(__xludf.DUMMYFUNCTION("""COMPUTED_VALUE"""),"Palm Beach Tower 1")</f>
        <v>Palm Beach Tower 1</v>
      </c>
      <c r="C4683" s="2" t="str">
        <f ca="1">IFERROR(__xludf.DUMMYFUNCTION("""COMPUTED_VALUE"""),"Building")</f>
        <v>Building</v>
      </c>
      <c r="D4683" s="2" t="str">
        <f ca="1">IFERROR(__xludf.DUMMYFUNCTION("""COMPUTED_VALUE"""),"Dubai&gt;Palm Jumeirah&gt;The Palm Beach Towers&gt;Palm Beach Tower 1")</f>
        <v>Dubai&gt;Palm Jumeirah&gt;The Palm Beach Towers&gt;Palm Beach Tower 1</v>
      </c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</row>
    <row r="4684" spans="1:26" ht="16.5" x14ac:dyDescent="0.35">
      <c r="A4684" s="2" t="str">
        <f ca="1">IFERROR(__xludf.DUMMYFUNCTION("""COMPUTED_VALUE"""),"Dubai")</f>
        <v>Dubai</v>
      </c>
      <c r="B4684" s="2" t="str">
        <f ca="1">IFERROR(__xludf.DUMMYFUNCTION("""COMPUTED_VALUE"""),"Oceana Atlantic")</f>
        <v>Oceana Atlantic</v>
      </c>
      <c r="C4684" s="2" t="str">
        <f ca="1">IFERROR(__xludf.DUMMYFUNCTION("""COMPUTED_VALUE"""),"Building")</f>
        <v>Building</v>
      </c>
      <c r="D4684" s="2" t="str">
        <f ca="1">IFERROR(__xludf.DUMMYFUNCTION("""COMPUTED_VALUE"""),"Dubai&gt;Palm Jumeirah&gt;Oceana&gt;Oceana Atlantic")</f>
        <v>Dubai&gt;Palm Jumeirah&gt;Oceana&gt;Oceana Atlantic</v>
      </c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</row>
    <row r="4685" spans="1:26" ht="16.5" x14ac:dyDescent="0.35">
      <c r="A4685" s="2" t="str">
        <f ca="1">IFERROR(__xludf.DUMMYFUNCTION("""COMPUTED_VALUE"""),"Dubai")</f>
        <v>Dubai</v>
      </c>
      <c r="B4685" s="2" t="str">
        <f ca="1">IFERROR(__xludf.DUMMYFUNCTION("""COMPUTED_VALUE"""),"Chubby Cheeks Jadaf")</f>
        <v>Chubby Cheeks Jadaf</v>
      </c>
      <c r="C4685" s="2" t="str">
        <f ca="1">IFERROR(__xludf.DUMMYFUNCTION("""COMPUTED_VALUE"""),"School")</f>
        <v>School</v>
      </c>
      <c r="D4685" s="2" t="str">
        <f ca="1">IFERROR(__xludf.DUMMYFUNCTION("""COMPUTED_VALUE"""),"Dubai&gt;Al Jaddaf&gt;Chubby Cheeks Jadaf")</f>
        <v>Dubai&gt;Al Jaddaf&gt;Chubby Cheeks Jadaf</v>
      </c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</row>
    <row r="4686" spans="1:26" ht="16.5" x14ac:dyDescent="0.35">
      <c r="A4686" s="2" t="str">
        <f ca="1">IFERROR(__xludf.DUMMYFUNCTION("""COMPUTED_VALUE"""),"Dubai")</f>
        <v>Dubai</v>
      </c>
      <c r="B4686" s="2" t="str">
        <f ca="1">IFERROR(__xludf.DUMMYFUNCTION("""COMPUTED_VALUE"""),"Kempinski Residences The Creek")</f>
        <v>Kempinski Residences The Creek</v>
      </c>
      <c r="C4686" s="2" t="str">
        <f ca="1">IFERROR(__xludf.DUMMYFUNCTION("""COMPUTED_VALUE"""),"Building")</f>
        <v>Building</v>
      </c>
      <c r="D4686" s="2" t="str">
        <f ca="1">IFERROR(__xludf.DUMMYFUNCTION("""COMPUTED_VALUE"""),"Dubai&gt;Al Jaddaf&gt;Dubai Healthcare City Phase 2&gt;Kempinski Residences The Creek")</f>
        <v>Dubai&gt;Al Jaddaf&gt;Dubai Healthcare City Phase 2&gt;Kempinski Residences The Creek</v>
      </c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</row>
    <row r="4687" spans="1:26" ht="16.5" x14ac:dyDescent="0.35">
      <c r="A4687" s="2" t="str">
        <f ca="1">IFERROR(__xludf.DUMMYFUNCTION("""COMPUTED_VALUE"""),"Dubai")</f>
        <v>Dubai</v>
      </c>
      <c r="B4687" s="2" t="str">
        <f ca="1">IFERROR(__xludf.DUMMYFUNCTION("""COMPUTED_VALUE"""),"Eastern Star Residence")</f>
        <v>Eastern Star Residence</v>
      </c>
      <c r="C4687" s="2" t="str">
        <f ca="1">IFERROR(__xludf.DUMMYFUNCTION("""COMPUTED_VALUE"""),"Building")</f>
        <v>Building</v>
      </c>
      <c r="D4687" s="2" t="str">
        <f ca="1">IFERROR(__xludf.DUMMYFUNCTION("""COMPUTED_VALUE"""),"Dubai&gt;Al Jaddaf&gt;Eastern Star Residence")</f>
        <v>Dubai&gt;Al Jaddaf&gt;Eastern Star Residence</v>
      </c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</row>
    <row r="4688" spans="1:26" ht="16.5" x14ac:dyDescent="0.35">
      <c r="A4688" s="2" t="str">
        <f ca="1">IFERROR(__xludf.DUMMYFUNCTION("""COMPUTED_VALUE"""),"Dubai")</f>
        <v>Dubai</v>
      </c>
      <c r="B4688" s="2" t="str">
        <f ca="1">IFERROR(__xludf.DUMMYFUNCTION("""COMPUTED_VALUE"""),"Bin Suloom Building")</f>
        <v>Bin Suloom Building</v>
      </c>
      <c r="C4688" s="2" t="str">
        <f ca="1">IFERROR(__xludf.DUMMYFUNCTION("""COMPUTED_VALUE"""),"Building")</f>
        <v>Building</v>
      </c>
      <c r="D4688" s="2" t="str">
        <f ca="1">IFERROR(__xludf.DUMMYFUNCTION("""COMPUTED_VALUE"""),"Dubai&gt;Al Jaddaf&gt;Bin Suloom Building")</f>
        <v>Dubai&gt;Al Jaddaf&gt;Bin Suloom Building</v>
      </c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</row>
    <row r="4689" spans="1:26" ht="16.5" x14ac:dyDescent="0.35">
      <c r="A4689" s="2" t="str">
        <f ca="1">IFERROR(__xludf.DUMMYFUNCTION("""COMPUTED_VALUE"""),"Dubai")</f>
        <v>Dubai</v>
      </c>
      <c r="B4689" s="2" t="str">
        <f ca="1">IFERROR(__xludf.DUMMYFUNCTION("""COMPUTED_VALUE"""),"The Premium Plot Collection")</f>
        <v>The Premium Plot Collection</v>
      </c>
      <c r="C4689" s="2" t="str">
        <f ca="1">IFERROR(__xludf.DUMMYFUNCTION("""COMPUTED_VALUE"""),"Neighbourhood")</f>
        <v>Neighbourhood</v>
      </c>
      <c r="D4689" s="2" t="str">
        <f ca="1">IFERROR(__xludf.DUMMYFUNCTION("""COMPUTED_VALUE"""),"Dubai&gt;Palm Jebel Ali&gt;Frond N&gt;The Premium Plot Collection")</f>
        <v>Dubai&gt;Palm Jebel Ali&gt;Frond N&gt;The Premium Plot Collection</v>
      </c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</row>
    <row r="4690" spans="1:26" ht="16.5" x14ac:dyDescent="0.35">
      <c r="A4690" s="2" t="str">
        <f ca="1">IFERROR(__xludf.DUMMYFUNCTION("""COMPUTED_VALUE"""),"Dubai")</f>
        <v>Dubai</v>
      </c>
      <c r="B4690" s="2" t="str">
        <f ca="1">IFERROR(__xludf.DUMMYFUNCTION("""COMPUTED_VALUE"""),"Opalz by Danube")</f>
        <v>Opalz by Danube</v>
      </c>
      <c r="C4690" s="2" t="str">
        <f ca="1">IFERROR(__xludf.DUMMYFUNCTION("""COMPUTED_VALUE"""),"Cluster")</f>
        <v>Cluster</v>
      </c>
      <c r="D4690" s="2" t="str">
        <f ca="1">IFERROR(__xludf.DUMMYFUNCTION("""COMPUTED_VALUE"""),"Dubai&gt;Dubai Science Park&gt;Opalz by Danube")</f>
        <v>Dubai&gt;Dubai Science Park&gt;Opalz by Danube</v>
      </c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</row>
    <row r="4691" spans="1:26" ht="16.5" x14ac:dyDescent="0.35">
      <c r="A4691" s="2" t="str">
        <f ca="1">IFERROR(__xludf.DUMMYFUNCTION("""COMPUTED_VALUE"""),"Dubai")</f>
        <v>Dubai</v>
      </c>
      <c r="B4691" s="2" t="str">
        <f ca="1">IFERROR(__xludf.DUMMYFUNCTION("""COMPUTED_VALUE"""),"Raffles Nursery Springs")</f>
        <v>Raffles Nursery Springs</v>
      </c>
      <c r="C4691" s="2" t="str">
        <f ca="1">IFERROR(__xludf.DUMMYFUNCTION("""COMPUTED_VALUE"""),"Nursery")</f>
        <v>Nursery</v>
      </c>
      <c r="D4691" s="2" t="str">
        <f ca="1">IFERROR(__xludf.DUMMYFUNCTION("""COMPUTED_VALUE"""),"Dubai&gt;The Springs&gt;Raffles Nursery Springs")</f>
        <v>Dubai&gt;The Springs&gt;Raffles Nursery Springs</v>
      </c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</row>
    <row r="4692" spans="1:26" ht="16.5" x14ac:dyDescent="0.35">
      <c r="A4692" s="2" t="str">
        <f ca="1">IFERROR(__xludf.DUMMYFUNCTION("""COMPUTED_VALUE"""),"Dubai")</f>
        <v>Dubai</v>
      </c>
      <c r="B4692" s="2" t="str">
        <f ca="1">IFERROR(__xludf.DUMMYFUNCTION("""COMPUTED_VALUE"""),"Hillside Residences 2 Building B")</f>
        <v>Hillside Residences 2 Building B</v>
      </c>
      <c r="C4692" s="2" t="str">
        <f ca="1">IFERROR(__xludf.DUMMYFUNCTION("""COMPUTED_VALUE"""),"Building")</f>
        <v>Building</v>
      </c>
      <c r="D4692" s="2" t="str">
        <f ca="1">IFERROR(__xludf.DUMMYFUNCTION("""COMPUTED_VALUE"""),"Dubai&gt;Wasl Gate&gt;Hillside Residences&gt;Hillside Residences 2&gt;Hillside Residences 2 Building B")</f>
        <v>Dubai&gt;Wasl Gate&gt;Hillside Residences&gt;Hillside Residences 2&gt;Hillside Residences 2 Building B</v>
      </c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</row>
    <row r="4693" spans="1:26" ht="16.5" x14ac:dyDescent="0.35">
      <c r="A4693" s="2" t="str">
        <f ca="1">IFERROR(__xludf.DUMMYFUNCTION("""COMPUTED_VALUE"""),"Dubai")</f>
        <v>Dubai</v>
      </c>
      <c r="B4693" s="2" t="str">
        <f ca="1">IFERROR(__xludf.DUMMYFUNCTION("""COMPUTED_VALUE"""),"The Roof Residence")</f>
        <v>The Roof Residence</v>
      </c>
      <c r="C4693" s="2" t="str">
        <f ca="1">IFERROR(__xludf.DUMMYFUNCTION("""COMPUTED_VALUE"""),"Building")</f>
        <v>Building</v>
      </c>
      <c r="D4693" s="2" t="str">
        <f ca="1">IFERROR(__xludf.DUMMYFUNCTION("""COMPUTED_VALUE"""),"Dubai&gt;Nad Al Sheba&gt;Nad Al Sheba 1&gt;Nad Al Sheba Gardens&gt;Nad Al Sheba Gardens 1&gt;The Roof Residence")</f>
        <v>Dubai&gt;Nad Al Sheba&gt;Nad Al Sheba 1&gt;Nad Al Sheba Gardens&gt;Nad Al Sheba Gardens 1&gt;The Roof Residence</v>
      </c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</row>
    <row r="4694" spans="1:26" ht="16.5" x14ac:dyDescent="0.35">
      <c r="A4694" s="2" t="str">
        <f ca="1">IFERROR(__xludf.DUMMYFUNCTION("""COMPUTED_VALUE"""),"Dubai")</f>
        <v>Dubai</v>
      </c>
      <c r="B4694" s="2" t="str">
        <f ca="1">IFERROR(__xludf.DUMMYFUNCTION("""COMPUTED_VALUE"""),"British Orchard Nursery Media City")</f>
        <v>British Orchard Nursery Media City</v>
      </c>
      <c r="C4694" s="2" t="str">
        <f ca="1">IFERROR(__xludf.DUMMYFUNCTION("""COMPUTED_VALUE"""),"Nursery")</f>
        <v>Nursery</v>
      </c>
      <c r="D4694" s="2" t="str">
        <f ca="1">IFERROR(__xludf.DUMMYFUNCTION("""COMPUTED_VALUE"""),"Dubai&gt;Dubai Internet City&gt;British Orchard Nursery Media City")</f>
        <v>Dubai&gt;Dubai Internet City&gt;British Orchard Nursery Media City</v>
      </c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</row>
    <row r="4695" spans="1:26" ht="16.5" x14ac:dyDescent="0.35">
      <c r="A4695" s="2" t="str">
        <f ca="1">IFERROR(__xludf.DUMMYFUNCTION("""COMPUTED_VALUE"""),"Dubai")</f>
        <v>Dubai</v>
      </c>
      <c r="B4695" s="2" t="str">
        <f ca="1">IFERROR(__xludf.DUMMYFUNCTION("""COMPUTED_VALUE"""),"DIC 14")</f>
        <v>DIC 14</v>
      </c>
      <c r="C4695" s="2" t="str">
        <f ca="1">IFERROR(__xludf.DUMMYFUNCTION("""COMPUTED_VALUE"""),"Building")</f>
        <v>Building</v>
      </c>
      <c r="D4695" s="2" t="str">
        <f ca="1">IFERROR(__xludf.DUMMYFUNCTION("""COMPUTED_VALUE"""),"Dubai&gt;Dubai Internet City&gt;DIC&gt;DIC 14")</f>
        <v>Dubai&gt;Dubai Internet City&gt;DIC&gt;DIC 14</v>
      </c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</row>
    <row r="4696" spans="1:26" ht="16.5" x14ac:dyDescent="0.35">
      <c r="A4696" s="2" t="str">
        <f ca="1">IFERROR(__xludf.DUMMYFUNCTION("""COMPUTED_VALUE"""),"Dubai")</f>
        <v>Dubai</v>
      </c>
      <c r="B4696" s="2" t="str">
        <f ca="1">IFERROR(__xludf.DUMMYFUNCTION("""COMPUTED_VALUE"""),"Elie Saab")</f>
        <v>Elie Saab</v>
      </c>
      <c r="C4696" s="2" t="str">
        <f ca="1">IFERROR(__xludf.DUMMYFUNCTION("""COMPUTED_VALUE"""),"Neighbourhood")</f>
        <v>Neighbourhood</v>
      </c>
      <c r="D4696" s="2" t="str">
        <f ca="1">IFERROR(__xludf.DUMMYFUNCTION("""COMPUTED_VALUE"""),"Dubai&gt;Arabian Ranches 3&gt;Elie Saab")</f>
        <v>Dubai&gt;Arabian Ranches 3&gt;Elie Saab</v>
      </c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</row>
    <row r="4697" spans="1:26" ht="16.5" x14ac:dyDescent="0.35">
      <c r="A4697" s="2" t="str">
        <f ca="1">IFERROR(__xludf.DUMMYFUNCTION("""COMPUTED_VALUE"""),"Dubai")</f>
        <v>Dubai</v>
      </c>
      <c r="B4697" s="2" t="str">
        <f ca="1">IFERROR(__xludf.DUMMYFUNCTION("""COMPUTED_VALUE"""),"Clearpoint Building 1")</f>
        <v>Clearpoint Building 1</v>
      </c>
      <c r="C4697" s="2" t="str">
        <f ca="1">IFERROR(__xludf.DUMMYFUNCTION("""COMPUTED_VALUE"""),"Building")</f>
        <v>Building</v>
      </c>
      <c r="D4697" s="2" t="str">
        <f ca="1">IFERROR(__xludf.DUMMYFUNCTION("""COMPUTED_VALUE"""),"Dubai&gt;Mina Rashid&gt;Clearpoint&gt;Clearpoint Building 1")</f>
        <v>Dubai&gt;Mina Rashid&gt;Clearpoint&gt;Clearpoint Building 1</v>
      </c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</row>
    <row r="4698" spans="1:26" ht="16.5" x14ac:dyDescent="0.35">
      <c r="A4698" s="2" t="str">
        <f ca="1">IFERROR(__xludf.DUMMYFUNCTION("""COMPUTED_VALUE"""),"Dubai")</f>
        <v>Dubai</v>
      </c>
      <c r="B4698" s="2" t="str">
        <f ca="1">IFERROR(__xludf.DUMMYFUNCTION("""COMPUTED_VALUE"""),"Portside Square Tower 2")</f>
        <v>Portside Square Tower 2</v>
      </c>
      <c r="C4698" s="2" t="str">
        <f ca="1">IFERROR(__xludf.DUMMYFUNCTION("""COMPUTED_VALUE"""),"Building")</f>
        <v>Building</v>
      </c>
      <c r="D4698" s="2" t="str">
        <f ca="1">IFERROR(__xludf.DUMMYFUNCTION("""COMPUTED_VALUE"""),"Dubai&gt;Mina Rashid&gt;Portside Square&gt;Portside Square Tower 2")</f>
        <v>Dubai&gt;Mina Rashid&gt;Portside Square&gt;Portside Square Tower 2</v>
      </c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</row>
    <row r="4699" spans="1:26" ht="16.5" x14ac:dyDescent="0.35">
      <c r="A4699" s="2" t="str">
        <f ca="1">IFERROR(__xludf.DUMMYFUNCTION("""COMPUTED_VALUE"""),"Dubai")</f>
        <v>Dubai</v>
      </c>
      <c r="B4699" s="2" t="str">
        <f ca="1">IFERROR(__xludf.DUMMYFUNCTION("""COMPUTED_VALUE"""),"Velora")</f>
        <v>Velora</v>
      </c>
      <c r="C4699" s="2" t="str">
        <f ca="1">IFERROR(__xludf.DUMMYFUNCTION("""COMPUTED_VALUE"""),"Neighbourhood")</f>
        <v>Neighbourhood</v>
      </c>
      <c r="D4699" s="2" t="str">
        <f ca="1">IFERROR(__xludf.DUMMYFUNCTION("""COMPUTED_VALUE"""),"Dubai&gt;The Valley by Emaar&gt;Velora")</f>
        <v>Dubai&gt;The Valley by Emaar&gt;Velora</v>
      </c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</row>
    <row r="4700" spans="1:26" ht="16.5" x14ac:dyDescent="0.35">
      <c r="A4700" s="2" t="str">
        <f ca="1">IFERROR(__xludf.DUMMYFUNCTION("""COMPUTED_VALUE"""),"Dubai")</f>
        <v>Dubai</v>
      </c>
      <c r="B4700" s="2" t="str">
        <f ca="1">IFERROR(__xludf.DUMMYFUNCTION("""COMPUTED_VALUE"""),"Saheel 1")</f>
        <v>Saheel 1</v>
      </c>
      <c r="C4700" s="2" t="str">
        <f ca="1">IFERROR(__xludf.DUMMYFUNCTION("""COMPUTED_VALUE"""),"Neighbourhood")</f>
        <v>Neighbourhood</v>
      </c>
      <c r="D4700" s="2" t="str">
        <f ca="1">IFERROR(__xludf.DUMMYFUNCTION("""COMPUTED_VALUE"""),"Dubai&gt;Arabian Ranches&gt;Saheel&gt;Saheel 1")</f>
        <v>Dubai&gt;Arabian Ranches&gt;Saheel&gt;Saheel 1</v>
      </c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</row>
    <row r="4701" spans="1:26" ht="16.5" x14ac:dyDescent="0.35">
      <c r="A4701" s="2" t="str">
        <f ca="1">IFERROR(__xludf.DUMMYFUNCTION("""COMPUTED_VALUE"""),"Dubai")</f>
        <v>Dubai</v>
      </c>
      <c r="B4701" s="2" t="str">
        <f ca="1">IFERROR(__xludf.DUMMYFUNCTION("""COMPUTED_VALUE"""),"The Gardens Apartments 7")</f>
        <v>The Gardens Apartments 7</v>
      </c>
      <c r="C4701" s="2" t="str">
        <f ca="1">IFERROR(__xludf.DUMMYFUNCTION("""COMPUTED_VALUE"""),"Building")</f>
        <v>Building</v>
      </c>
      <c r="D4701" s="2" t="str">
        <f ca="1">IFERROR(__xludf.DUMMYFUNCTION("""COMPUTED_VALUE"""),"Dubai&gt;The Gardens&gt;The Gardens Apartments&gt;The Gardens Apartments 7")</f>
        <v>Dubai&gt;The Gardens&gt;The Gardens Apartments&gt;The Gardens Apartments 7</v>
      </c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</row>
    <row r="4702" spans="1:26" ht="16.5" x14ac:dyDescent="0.35">
      <c r="A4702" s="2" t="str">
        <f ca="1">IFERROR(__xludf.DUMMYFUNCTION("""COMPUTED_VALUE"""),"Dubai")</f>
        <v>Dubai</v>
      </c>
      <c r="B4702" s="2" t="str">
        <f ca="1">IFERROR(__xludf.DUMMYFUNCTION("""COMPUTED_VALUE"""),"The Gardens Building 119")</f>
        <v>The Gardens Building 119</v>
      </c>
      <c r="C4702" s="2" t="str">
        <f ca="1">IFERROR(__xludf.DUMMYFUNCTION("""COMPUTED_VALUE"""),"Building")</f>
        <v>Building</v>
      </c>
      <c r="D4702" s="2" t="str">
        <f ca="1">IFERROR(__xludf.DUMMYFUNCTION("""COMPUTED_VALUE"""),"Dubai&gt;The Gardens&gt;The Gardens Building 119")</f>
        <v>Dubai&gt;The Gardens&gt;The Gardens Building 119</v>
      </c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</row>
    <row r="4703" spans="1:26" ht="16.5" x14ac:dyDescent="0.35">
      <c r="A4703" s="2" t="str">
        <f ca="1">IFERROR(__xludf.DUMMYFUNCTION("""COMPUTED_VALUE"""),"Dubai")</f>
        <v>Dubai</v>
      </c>
      <c r="B4703" s="2" t="str">
        <f ca="1">IFERROR(__xludf.DUMMYFUNCTION("""COMPUTED_VALUE"""),"The Gardens Building 97")</f>
        <v>The Gardens Building 97</v>
      </c>
      <c r="C4703" s="2" t="str">
        <f ca="1">IFERROR(__xludf.DUMMYFUNCTION("""COMPUTED_VALUE"""),"Building")</f>
        <v>Building</v>
      </c>
      <c r="D4703" s="2" t="str">
        <f ca="1">IFERROR(__xludf.DUMMYFUNCTION("""COMPUTED_VALUE"""),"Dubai&gt;The Gardens&gt;The Gardens Building 97")</f>
        <v>Dubai&gt;The Gardens&gt;The Gardens Building 97</v>
      </c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</row>
    <row r="4704" spans="1:26" ht="16.5" x14ac:dyDescent="0.35">
      <c r="A4704" s="2" t="str">
        <f ca="1">IFERROR(__xludf.DUMMYFUNCTION("""COMPUTED_VALUE"""),"Dubai")</f>
        <v>Dubai</v>
      </c>
      <c r="B4704" s="2" t="str">
        <f ca="1">IFERROR(__xludf.DUMMYFUNCTION("""COMPUTED_VALUE"""),"The Gardens Building 26")</f>
        <v>The Gardens Building 26</v>
      </c>
      <c r="C4704" s="2" t="str">
        <f ca="1">IFERROR(__xludf.DUMMYFUNCTION("""COMPUTED_VALUE"""),"Building")</f>
        <v>Building</v>
      </c>
      <c r="D4704" s="2" t="str">
        <f ca="1">IFERROR(__xludf.DUMMYFUNCTION("""COMPUTED_VALUE"""),"Dubai&gt;The Gardens&gt;The Gardens Building 26")</f>
        <v>Dubai&gt;The Gardens&gt;The Gardens Building 26</v>
      </c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</row>
    <row r="4705" spans="1:26" ht="16.5" x14ac:dyDescent="0.35">
      <c r="A4705" s="2" t="str">
        <f ca="1">IFERROR(__xludf.DUMMYFUNCTION("""COMPUTED_VALUE"""),"Dubai")</f>
        <v>Dubai</v>
      </c>
      <c r="B4705" s="2" t="str">
        <f ca="1">IFERROR(__xludf.DUMMYFUNCTION("""COMPUTED_VALUE"""),"The Gardens Building 126")</f>
        <v>The Gardens Building 126</v>
      </c>
      <c r="C4705" s="2" t="str">
        <f ca="1">IFERROR(__xludf.DUMMYFUNCTION("""COMPUTED_VALUE"""),"Building")</f>
        <v>Building</v>
      </c>
      <c r="D4705" s="2" t="str">
        <f ca="1">IFERROR(__xludf.DUMMYFUNCTION("""COMPUTED_VALUE"""),"Dubai&gt;The Gardens&gt;The Gardens Building 126")</f>
        <v>Dubai&gt;The Gardens&gt;The Gardens Building 126</v>
      </c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</row>
    <row r="4706" spans="1:26" ht="16.5" x14ac:dyDescent="0.35">
      <c r="A4706" s="2" t="str">
        <f ca="1">IFERROR(__xludf.DUMMYFUNCTION("""COMPUTED_VALUE"""),"Dubai")</f>
        <v>Dubai</v>
      </c>
      <c r="B4706" s="2" t="str">
        <f ca="1">IFERROR(__xludf.DUMMYFUNCTION("""COMPUTED_VALUE"""),"Al Mamzar 916")</f>
        <v>Al Mamzar 916</v>
      </c>
      <c r="C4706" s="2" t="str">
        <f ca="1">IFERROR(__xludf.DUMMYFUNCTION("""COMPUTED_VALUE"""),"Building")</f>
        <v>Building</v>
      </c>
      <c r="D4706" s="2" t="str">
        <f ca="1">IFERROR(__xludf.DUMMYFUNCTION("""COMPUTED_VALUE"""),"Dubai&gt;Al Mamzar&gt;Al Mamzar 916")</f>
        <v>Dubai&gt;Al Mamzar&gt;Al Mamzar 916</v>
      </c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</row>
    <row r="4707" spans="1:26" ht="16.5" x14ac:dyDescent="0.35">
      <c r="A4707" s="2" t="str">
        <f ca="1">IFERROR(__xludf.DUMMYFUNCTION("""COMPUTED_VALUE"""),"Dubai")</f>
        <v>Dubai</v>
      </c>
      <c r="B4707" s="2" t="str">
        <f ca="1">IFERROR(__xludf.DUMMYFUNCTION("""COMPUTED_VALUE"""),"The Philippine School")</f>
        <v>The Philippine School</v>
      </c>
      <c r="C4707" s="2" t="str">
        <f ca="1">IFERROR(__xludf.DUMMYFUNCTION("""COMPUTED_VALUE"""),"School")</f>
        <v>School</v>
      </c>
      <c r="D4707" s="2" t="str">
        <f ca="1">IFERROR(__xludf.DUMMYFUNCTION("""COMPUTED_VALUE"""),"Dubai&gt;Muhaisnah&gt;Muhaisnah 2&gt;The Philippine School")</f>
        <v>Dubai&gt;Muhaisnah&gt;Muhaisnah 2&gt;The Philippine School</v>
      </c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</row>
    <row r="4708" spans="1:26" ht="16.5" x14ac:dyDescent="0.35">
      <c r="A4708" s="2" t="str">
        <f ca="1">IFERROR(__xludf.DUMMYFUNCTION("""COMPUTED_VALUE"""),"Dubai")</f>
        <v>Dubai</v>
      </c>
      <c r="B4708" s="2" t="str">
        <f ca="1">IFERROR(__xludf.DUMMYFUNCTION("""COMPUTED_VALUE"""),"Awqaf 262 Building")</f>
        <v>Awqaf 262 Building</v>
      </c>
      <c r="C4708" s="2" t="str">
        <f ca="1">IFERROR(__xludf.DUMMYFUNCTION("""COMPUTED_VALUE"""),"Building")</f>
        <v>Building</v>
      </c>
      <c r="D4708" s="2" t="str">
        <f ca="1">IFERROR(__xludf.DUMMYFUNCTION("""COMPUTED_VALUE"""),"Dubai&gt;Muhaisnah&gt;Muhaisnah 4&gt;Awqaf 262 Building")</f>
        <v>Dubai&gt;Muhaisnah&gt;Muhaisnah 4&gt;Awqaf 262 Building</v>
      </c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</row>
    <row r="4709" spans="1:26" ht="16.5" x14ac:dyDescent="0.35">
      <c r="A4709" s="2" t="str">
        <f ca="1">IFERROR(__xludf.DUMMYFUNCTION("""COMPUTED_VALUE"""),"Dubai")</f>
        <v>Dubai</v>
      </c>
      <c r="B4709" s="2" t="str">
        <f ca="1">IFERROR(__xludf.DUMMYFUNCTION("""COMPUTED_VALUE"""),"AJD Building")</f>
        <v>AJD Building</v>
      </c>
      <c r="C4709" s="2" t="str">
        <f ca="1">IFERROR(__xludf.DUMMYFUNCTION("""COMPUTED_VALUE"""),"Building")</f>
        <v>Building</v>
      </c>
      <c r="D4709" s="2" t="str">
        <f ca="1">IFERROR(__xludf.DUMMYFUNCTION("""COMPUTED_VALUE"""),"Dubai&gt;Umm Ramool&gt;AJD Building")</f>
        <v>Dubai&gt;Umm Ramool&gt;AJD Building</v>
      </c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</row>
    <row r="4710" spans="1:26" ht="16.5" x14ac:dyDescent="0.35">
      <c r="A4710" s="2" t="str">
        <f ca="1">IFERROR(__xludf.DUMMYFUNCTION("""COMPUTED_VALUE"""),"Dubai")</f>
        <v>Dubai</v>
      </c>
      <c r="B4710" s="2" t="str">
        <f ca="1">IFERROR(__xludf.DUMMYFUNCTION("""COMPUTED_VALUE"""),"City Tower 1")</f>
        <v>City Tower 1</v>
      </c>
      <c r="C4710" s="2" t="str">
        <f ca="1">IFERROR(__xludf.DUMMYFUNCTION("""COMPUTED_VALUE"""),"Building")</f>
        <v>Building</v>
      </c>
      <c r="D4710" s="2" t="str">
        <f ca="1">IFERROR(__xludf.DUMMYFUNCTION("""COMPUTED_VALUE"""),"Dubai&gt;Sheikh Zayed Road&gt;City Towers&gt;City Tower 1")</f>
        <v>Dubai&gt;Sheikh Zayed Road&gt;City Towers&gt;City Tower 1</v>
      </c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</row>
    <row r="4711" spans="1:26" ht="16.5" x14ac:dyDescent="0.35">
      <c r="A4711" s="2" t="str">
        <f ca="1">IFERROR(__xludf.DUMMYFUNCTION("""COMPUTED_VALUE"""),"Dubai")</f>
        <v>Dubai</v>
      </c>
      <c r="B4711" s="2" t="str">
        <f ca="1">IFERROR(__xludf.DUMMYFUNCTION("""COMPUTED_VALUE"""),"Capricorn Tower")</f>
        <v>Capricorn Tower</v>
      </c>
      <c r="C4711" s="2" t="str">
        <f ca="1">IFERROR(__xludf.DUMMYFUNCTION("""COMPUTED_VALUE"""),"Building")</f>
        <v>Building</v>
      </c>
      <c r="D4711" s="2" t="str">
        <f ca="1">IFERROR(__xludf.DUMMYFUNCTION("""COMPUTED_VALUE"""),"Dubai&gt;Sheikh Zayed Road&gt;Capricorn Tower")</f>
        <v>Dubai&gt;Sheikh Zayed Road&gt;Capricorn Tower</v>
      </c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</row>
    <row r="4712" spans="1:26" ht="16.5" x14ac:dyDescent="0.35">
      <c r="A4712" s="2" t="str">
        <f ca="1">IFERROR(__xludf.DUMMYFUNCTION("""COMPUTED_VALUE"""),"Dubai")</f>
        <v>Dubai</v>
      </c>
      <c r="B4712" s="2" t="str">
        <f ca="1">IFERROR(__xludf.DUMMYFUNCTION("""COMPUTED_VALUE"""),"Blue Tower")</f>
        <v>Blue Tower</v>
      </c>
      <c r="C4712" s="2" t="str">
        <f ca="1">IFERROR(__xludf.DUMMYFUNCTION("""COMPUTED_VALUE"""),"Building")</f>
        <v>Building</v>
      </c>
      <c r="D4712" s="2" t="str">
        <f ca="1">IFERROR(__xludf.DUMMYFUNCTION("""COMPUTED_VALUE"""),"Dubai&gt;Sheikh Zayed Road&gt;Blue Tower")</f>
        <v>Dubai&gt;Sheikh Zayed Road&gt;Blue Tower</v>
      </c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</row>
    <row r="4713" spans="1:26" ht="16.5" x14ac:dyDescent="0.35">
      <c r="A4713" s="2" t="str">
        <f ca="1">IFERROR(__xludf.DUMMYFUNCTION("""COMPUTED_VALUE"""),"Dubai")</f>
        <v>Dubai</v>
      </c>
      <c r="B4713" s="2" t="str">
        <f ca="1">IFERROR(__xludf.DUMMYFUNCTION("""COMPUTED_VALUE"""),"Sheikh Al Mur Tower")</f>
        <v>Sheikh Al Mur Tower</v>
      </c>
      <c r="C4713" s="2" t="str">
        <f ca="1">IFERROR(__xludf.DUMMYFUNCTION("""COMPUTED_VALUE"""),"Building")</f>
        <v>Building</v>
      </c>
      <c r="D4713" s="2" t="str">
        <f ca="1">IFERROR(__xludf.DUMMYFUNCTION("""COMPUTED_VALUE"""),"Dubai&gt;Sheikh Zayed Road&gt;Sheikh Al Mur Tower")</f>
        <v>Dubai&gt;Sheikh Zayed Road&gt;Sheikh Al Mur Tower</v>
      </c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</row>
    <row r="4714" spans="1:26" ht="16.5" x14ac:dyDescent="0.35">
      <c r="A4714" s="2" t="str">
        <f ca="1">IFERROR(__xludf.DUMMYFUNCTION("""COMPUTED_VALUE"""),"Dubai")</f>
        <v>Dubai</v>
      </c>
      <c r="B4714" s="2" t="str">
        <f ca="1">IFERROR(__xludf.DUMMYFUNCTION("""COMPUTED_VALUE"""),"Wasl Pearl Building")</f>
        <v>Wasl Pearl Building</v>
      </c>
      <c r="C4714" s="2" t="str">
        <f ca="1">IFERROR(__xludf.DUMMYFUNCTION("""COMPUTED_VALUE"""),"Building")</f>
        <v>Building</v>
      </c>
      <c r="D4714" s="2" t="str">
        <f ca="1">IFERROR(__xludf.DUMMYFUNCTION("""COMPUTED_VALUE"""),"Dubai&gt;Al Karama&gt;Wasl Pearl Building")</f>
        <v>Dubai&gt;Al Karama&gt;Wasl Pearl Building</v>
      </c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</row>
    <row r="4715" spans="1:26" ht="16.5" x14ac:dyDescent="0.35">
      <c r="A4715" s="2" t="str">
        <f ca="1">IFERROR(__xludf.DUMMYFUNCTION("""COMPUTED_VALUE"""),"Dubai")</f>
        <v>Dubai</v>
      </c>
      <c r="B4715" s="2" t="str">
        <f ca="1">IFERROR(__xludf.DUMMYFUNCTION("""COMPUTED_VALUE"""),"Building 27")</f>
        <v>Building 27</v>
      </c>
      <c r="C4715" s="2" t="str">
        <f ca="1">IFERROR(__xludf.DUMMYFUNCTION("""COMPUTED_VALUE"""),"Building")</f>
        <v>Building</v>
      </c>
      <c r="D4715" s="2" t="str">
        <f ca="1">IFERROR(__xludf.DUMMYFUNCTION("""COMPUTED_VALUE"""),"Dubai&gt;Al Karama&gt;Karam Pioneer Buildings&gt;Building 27")</f>
        <v>Dubai&gt;Al Karama&gt;Karam Pioneer Buildings&gt;Building 27</v>
      </c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</row>
    <row r="4716" spans="1:26" ht="16.5" x14ac:dyDescent="0.35">
      <c r="A4716" s="2" t="str">
        <f ca="1">IFERROR(__xludf.DUMMYFUNCTION("""COMPUTED_VALUE"""),"Dubai")</f>
        <v>Dubai</v>
      </c>
      <c r="B4716" s="2" t="str">
        <f ca="1">IFERROR(__xludf.DUMMYFUNCTION("""COMPUTED_VALUE"""),"Karama Shopping Complex -N")</f>
        <v>Karama Shopping Complex -N</v>
      </c>
      <c r="C4716" s="2" t="str">
        <f ca="1">IFERROR(__xludf.DUMMYFUNCTION("""COMPUTED_VALUE"""),"Building")</f>
        <v>Building</v>
      </c>
      <c r="D4716" s="2" t="str">
        <f ca="1">IFERROR(__xludf.DUMMYFUNCTION("""COMPUTED_VALUE"""),"Dubai&gt;Al Karama&gt;Karama Shopping Complex&gt;Karama Shopping Complex -N")</f>
        <v>Dubai&gt;Al Karama&gt;Karama Shopping Complex&gt;Karama Shopping Complex -N</v>
      </c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</row>
    <row r="4717" spans="1:26" ht="16.5" x14ac:dyDescent="0.35">
      <c r="A4717" s="2" t="str">
        <f ca="1">IFERROR(__xludf.DUMMYFUNCTION("""COMPUTED_VALUE"""),"Dubai")</f>
        <v>Dubai</v>
      </c>
      <c r="B4717" s="2" t="str">
        <f ca="1">IFERROR(__xludf.DUMMYFUNCTION("""COMPUTED_VALUE"""),"Star of Karama")</f>
        <v>Star of Karama</v>
      </c>
      <c r="C4717" s="2" t="str">
        <f ca="1">IFERROR(__xludf.DUMMYFUNCTION("""COMPUTED_VALUE"""),"Building")</f>
        <v>Building</v>
      </c>
      <c r="D4717" s="2" t="str">
        <f ca="1">IFERROR(__xludf.DUMMYFUNCTION("""COMPUTED_VALUE"""),"Dubai&gt;Al Karama&gt;Star of Karama")</f>
        <v>Dubai&gt;Al Karama&gt;Star of Karama</v>
      </c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</row>
    <row r="4718" spans="1:26" ht="16.5" x14ac:dyDescent="0.35">
      <c r="A4718" s="2" t="str">
        <f ca="1">IFERROR(__xludf.DUMMYFUNCTION("""COMPUTED_VALUE"""),"Dubai")</f>
        <v>Dubai</v>
      </c>
      <c r="B4718" s="2" t="str">
        <f ca="1">IFERROR(__xludf.DUMMYFUNCTION("""COMPUTED_VALUE"""),"Al Khazna Centre")</f>
        <v>Al Khazna Centre</v>
      </c>
      <c r="C4718" s="2" t="str">
        <f ca="1">IFERROR(__xludf.DUMMYFUNCTION("""COMPUTED_VALUE"""),"Building")</f>
        <v>Building</v>
      </c>
      <c r="D4718" s="2" t="str">
        <f ca="1">IFERROR(__xludf.DUMMYFUNCTION("""COMPUTED_VALUE"""),"Dubai&gt;Al Karama&gt;Al Khazna Centre")</f>
        <v>Dubai&gt;Al Karama&gt;Al Khazna Centre</v>
      </c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</row>
    <row r="4719" spans="1:26" ht="16.5" x14ac:dyDescent="0.35">
      <c r="A4719" s="2" t="str">
        <f ca="1">IFERROR(__xludf.DUMMYFUNCTION("""COMPUTED_VALUE"""),"Dubai")</f>
        <v>Dubai</v>
      </c>
      <c r="B4719" s="2" t="str">
        <f ca="1">IFERROR(__xludf.DUMMYFUNCTION("""COMPUTED_VALUE"""),"Al Wasl R420 Block E")</f>
        <v>Al Wasl R420 Block E</v>
      </c>
      <c r="C4719" s="2" t="str">
        <f ca="1">IFERROR(__xludf.DUMMYFUNCTION("""COMPUTED_VALUE"""),"Building")</f>
        <v>Building</v>
      </c>
      <c r="D4719" s="2" t="str">
        <f ca="1">IFERROR(__xludf.DUMMYFUNCTION("""COMPUTED_VALUE"""),"Dubai&gt;Al Karama&gt;Al Wasl R420 Block E")</f>
        <v>Dubai&gt;Al Karama&gt;Al Wasl R420 Block E</v>
      </c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</row>
    <row r="4720" spans="1:26" ht="16.5" x14ac:dyDescent="0.35">
      <c r="A4720" s="2" t="str">
        <f ca="1">IFERROR(__xludf.DUMMYFUNCTION("""COMPUTED_VALUE"""),"Dubai")</f>
        <v>Dubai</v>
      </c>
      <c r="B4720" s="2" t="str">
        <f ca="1">IFERROR(__xludf.DUMMYFUNCTION("""COMPUTED_VALUE"""),"A6 Building")</f>
        <v>A6 Building</v>
      </c>
      <c r="C4720" s="2" t="str">
        <f ca="1">IFERROR(__xludf.DUMMYFUNCTION("""COMPUTED_VALUE"""),"Building")</f>
        <v>Building</v>
      </c>
      <c r="D4720" s="2" t="str">
        <f ca="1">IFERROR(__xludf.DUMMYFUNCTION("""COMPUTED_VALUE"""),"Dubai&gt;Al Karama&gt;A6 Building")</f>
        <v>Dubai&gt;Al Karama&gt;A6 Building</v>
      </c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</row>
    <row r="4721" spans="1:26" ht="16.5" x14ac:dyDescent="0.35">
      <c r="A4721" s="2" t="str">
        <f ca="1">IFERROR(__xludf.DUMMYFUNCTION("""COMPUTED_VALUE"""),"Dubai")</f>
        <v>Dubai</v>
      </c>
      <c r="B4721" s="2" t="str">
        <f ca="1">IFERROR(__xludf.DUMMYFUNCTION("""COMPUTED_VALUE"""),"Deyaar Building")</f>
        <v>Deyaar Building</v>
      </c>
      <c r="C4721" s="2" t="str">
        <f ca="1">IFERROR(__xludf.DUMMYFUNCTION("""COMPUTED_VALUE"""),"Building")</f>
        <v>Building</v>
      </c>
      <c r="D4721" s="2" t="str">
        <f ca="1">IFERROR(__xludf.DUMMYFUNCTION("""COMPUTED_VALUE"""),"Dubai&gt;Al Karama&gt;Deyaar Building")</f>
        <v>Dubai&gt;Al Karama&gt;Deyaar Building</v>
      </c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</row>
    <row r="4722" spans="1:26" ht="16.5" x14ac:dyDescent="0.35">
      <c r="A4722" s="2" t="str">
        <f ca="1">IFERROR(__xludf.DUMMYFUNCTION("""COMPUTED_VALUE"""),"Dubai")</f>
        <v>Dubai</v>
      </c>
      <c r="B4722" s="2" t="str">
        <f ca="1">IFERROR(__xludf.DUMMYFUNCTION("""COMPUTED_VALUE"""),"Block A")</f>
        <v>Block A</v>
      </c>
      <c r="C4722" s="2" t="str">
        <f ca="1">IFERROR(__xludf.DUMMYFUNCTION("""COMPUTED_VALUE"""),"Building")</f>
        <v>Building</v>
      </c>
      <c r="D4722" s="2" t="str">
        <f ca="1">IFERROR(__xludf.DUMMYFUNCTION("""COMPUTED_VALUE"""),"Dubai&gt;Al Karama&gt;Al Nabooda&gt;Block A")</f>
        <v>Dubai&gt;Al Karama&gt;Al Nabooda&gt;Block A</v>
      </c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</row>
    <row r="4723" spans="1:26" ht="16.5" x14ac:dyDescent="0.35">
      <c r="A4723" s="2" t="str">
        <f ca="1">IFERROR(__xludf.DUMMYFUNCTION("""COMPUTED_VALUE"""),"Dubai")</f>
        <v>Dubai</v>
      </c>
      <c r="B4723" s="2" t="str">
        <f ca="1">IFERROR(__xludf.DUMMYFUNCTION("""COMPUTED_VALUE"""),"Al Khaleej Apartment")</f>
        <v>Al Khaleej Apartment</v>
      </c>
      <c r="C4723" s="2" t="str">
        <f ca="1">IFERROR(__xludf.DUMMYFUNCTION("""COMPUTED_VALUE"""),"Building")</f>
        <v>Building</v>
      </c>
      <c r="D4723" s="2" t="str">
        <f ca="1">IFERROR(__xludf.DUMMYFUNCTION("""COMPUTED_VALUE"""),"Dubai&gt;Al Karama&gt;Al Khaleej Apartment")</f>
        <v>Dubai&gt;Al Karama&gt;Al Khaleej Apartment</v>
      </c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</row>
    <row r="4724" spans="1:26" ht="16.5" x14ac:dyDescent="0.35">
      <c r="A4724" s="2" t="str">
        <f ca="1">IFERROR(__xludf.DUMMYFUNCTION("""COMPUTED_VALUE"""),"Dubai")</f>
        <v>Dubai</v>
      </c>
      <c r="B4724" s="2" t="str">
        <f ca="1">IFERROR(__xludf.DUMMYFUNCTION("""COMPUTED_VALUE"""),"Regent Palace Hotel")</f>
        <v>Regent Palace Hotel</v>
      </c>
      <c r="C4724" s="2" t="str">
        <f ca="1">IFERROR(__xludf.DUMMYFUNCTION("""COMPUTED_VALUE"""),"Building")</f>
        <v>Building</v>
      </c>
      <c r="D4724" s="2" t="str">
        <f ca="1">IFERROR(__xludf.DUMMYFUNCTION("""COMPUTED_VALUE"""),"Dubai&gt;Al Karama&gt;Regent Palace Hotel")</f>
        <v>Dubai&gt;Al Karama&gt;Regent Palace Hotel</v>
      </c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</row>
    <row r="4725" spans="1:26" ht="16.5" x14ac:dyDescent="0.35">
      <c r="A4725" s="2" t="str">
        <f ca="1">IFERROR(__xludf.DUMMYFUNCTION("""COMPUTED_VALUE"""),"Dubai")</f>
        <v>Dubai</v>
      </c>
      <c r="B4725" s="2" t="str">
        <f ca="1">IFERROR(__xludf.DUMMYFUNCTION("""COMPUTED_VALUE"""),"Palazzo Versace")</f>
        <v>Palazzo Versace</v>
      </c>
      <c r="C4725" s="2" t="str">
        <f ca="1">IFERROR(__xludf.DUMMYFUNCTION("""COMPUTED_VALUE"""),"Building")</f>
        <v>Building</v>
      </c>
      <c r="D4725" s="2" t="str">
        <f ca="1">IFERROR(__xludf.DUMMYFUNCTION("""COMPUTED_VALUE"""),"Dubai&gt;Culture Village (Jaddaf Waterfront)&gt;Palazzo Versace")</f>
        <v>Dubai&gt;Culture Village (Jaddaf Waterfront)&gt;Palazzo Versace</v>
      </c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</row>
    <row r="4726" spans="1:26" ht="16.5" x14ac:dyDescent="0.35">
      <c r="A4726" s="2" t="str">
        <f ca="1">IFERROR(__xludf.DUMMYFUNCTION("""COMPUTED_VALUE"""),"Dubai")</f>
        <v>Dubai</v>
      </c>
      <c r="B4726" s="2" t="str">
        <f ca="1">IFERROR(__xludf.DUMMYFUNCTION("""COMPUTED_VALUE"""),"Binghatti Twilight")</f>
        <v>Binghatti Twilight</v>
      </c>
      <c r="C4726" s="2" t="str">
        <f ca="1">IFERROR(__xludf.DUMMYFUNCTION("""COMPUTED_VALUE"""),"Building")</f>
        <v>Building</v>
      </c>
      <c r="D4726" s="2" t="str">
        <f ca="1">IFERROR(__xludf.DUMMYFUNCTION("""COMPUTED_VALUE"""),"Dubai&gt;Culture Village (Jaddaf Waterfront)&gt;Binghatti Twilight")</f>
        <v>Dubai&gt;Culture Village (Jaddaf Waterfront)&gt;Binghatti Twilight</v>
      </c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</row>
    <row r="4727" spans="1:26" ht="16.5" x14ac:dyDescent="0.35">
      <c r="A4727" s="2" t="str">
        <f ca="1">IFERROR(__xludf.DUMMYFUNCTION("""COMPUTED_VALUE"""),"Dubai")</f>
        <v>Dubai</v>
      </c>
      <c r="B4727" s="2" t="str">
        <f ca="1">IFERROR(__xludf.DUMMYFUNCTION("""COMPUTED_VALUE"""),"Lamtara Building 1")</f>
        <v>Lamtara Building 1</v>
      </c>
      <c r="C4727" s="2" t="str">
        <f ca="1">IFERROR(__xludf.DUMMYFUNCTION("""COMPUTED_VALUE"""),"Building")</f>
        <v>Building</v>
      </c>
      <c r="D4727" s="2" t="str">
        <f ca="1">IFERROR(__xludf.DUMMYFUNCTION("""COMPUTED_VALUE"""),"Dubai&gt;Umm Suqeim&gt;Madinat Jumeirah Living&gt;Lamtara&gt;Lamtara Building 1")</f>
        <v>Dubai&gt;Umm Suqeim&gt;Madinat Jumeirah Living&gt;Lamtara&gt;Lamtara Building 1</v>
      </c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</row>
    <row r="4728" spans="1:26" ht="16.5" x14ac:dyDescent="0.35">
      <c r="A4728" s="2" t="str">
        <f ca="1">IFERROR(__xludf.DUMMYFUNCTION("""COMPUTED_VALUE"""),"Dubai")</f>
        <v>Dubai</v>
      </c>
      <c r="B4728" s="2" t="str">
        <f ca="1">IFERROR(__xludf.DUMMYFUNCTION("""COMPUTED_VALUE"""),"Elara Building 1")</f>
        <v>Elara Building 1</v>
      </c>
      <c r="C4728" s="2" t="str">
        <f ca="1">IFERROR(__xludf.DUMMYFUNCTION("""COMPUTED_VALUE"""),"Building")</f>
        <v>Building</v>
      </c>
      <c r="D4728" s="2" t="str">
        <f ca="1">IFERROR(__xludf.DUMMYFUNCTION("""COMPUTED_VALUE"""),"Dubai&gt;Umm Suqeim&gt;Madinat Jumeirah Living&gt;Elara&gt;Elara Building 1")</f>
        <v>Dubai&gt;Umm Suqeim&gt;Madinat Jumeirah Living&gt;Elara&gt;Elara Building 1</v>
      </c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</row>
    <row r="4729" spans="1:26" ht="16.5" x14ac:dyDescent="0.35">
      <c r="A4729" s="2" t="str">
        <f ca="1">IFERROR(__xludf.DUMMYFUNCTION("""COMPUTED_VALUE"""),"Dubai")</f>
        <v>Dubai</v>
      </c>
      <c r="B4729" s="2" t="str">
        <f ca="1">IFERROR(__xludf.DUMMYFUNCTION("""COMPUTED_VALUE"""),"Haya Villas")</f>
        <v>Haya Villas</v>
      </c>
      <c r="C4729" s="2" t="str">
        <f ca="1">IFERROR(__xludf.DUMMYFUNCTION("""COMPUTED_VALUE"""),"Neighbourhood")</f>
        <v>Neighbourhood</v>
      </c>
      <c r="D4729" s="2" t="str">
        <f ca="1">IFERROR(__xludf.DUMMYFUNCTION("""COMPUTED_VALUE"""),"Dubai&gt;Umm Suqeim&gt;Umm Suqeim 1&gt;Haya Villas")</f>
        <v>Dubai&gt;Umm Suqeim&gt;Umm Suqeim 1&gt;Haya Villas</v>
      </c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</row>
    <row r="4730" spans="1:26" ht="16.5" x14ac:dyDescent="0.35">
      <c r="A4730" s="2" t="str">
        <f ca="1">IFERROR(__xludf.DUMMYFUNCTION("""COMPUTED_VALUE"""),"Dubai")</f>
        <v>Dubai</v>
      </c>
      <c r="B4730" s="2" t="str">
        <f ca="1">IFERROR(__xludf.DUMMYFUNCTION("""COMPUTED_VALUE"""),"Dune Centre")</f>
        <v>Dune Centre</v>
      </c>
      <c r="C4730" s="2" t="str">
        <f ca="1">IFERROR(__xludf.DUMMYFUNCTION("""COMPUTED_VALUE"""),"Building")</f>
        <v>Building</v>
      </c>
      <c r="D4730" s="2" t="str">
        <f ca="1">IFERROR(__xludf.DUMMYFUNCTION("""COMPUTED_VALUE"""),"Dubai&gt;Al Badaa&gt;Dune Centre")</f>
        <v>Dubai&gt;Al Badaa&gt;Dune Centre</v>
      </c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</row>
    <row r="4731" spans="1:26" ht="16.5" x14ac:dyDescent="0.35">
      <c r="A4731" s="2" t="str">
        <f ca="1">IFERROR(__xludf.DUMMYFUNCTION("""COMPUTED_VALUE"""),"Dubai")</f>
        <v>Dubai</v>
      </c>
      <c r="B4731" s="2" t="str">
        <f ca="1">IFERROR(__xludf.DUMMYFUNCTION("""COMPUTED_VALUE"""),"Al Khatib Building")</f>
        <v>Al Khatib Building</v>
      </c>
      <c r="C4731" s="2" t="str">
        <f ca="1">IFERROR(__xludf.DUMMYFUNCTION("""COMPUTED_VALUE"""),"Building")</f>
        <v>Building</v>
      </c>
      <c r="D4731" s="2" t="str">
        <f ca="1">IFERROR(__xludf.DUMMYFUNCTION("""COMPUTED_VALUE"""),"Dubai&gt;Al Badaa&gt;Al Khatib Building")</f>
        <v>Dubai&gt;Al Badaa&gt;Al Khatib Building</v>
      </c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</row>
    <row r="4732" spans="1:26" ht="16.5" x14ac:dyDescent="0.35">
      <c r="A4732" s="2" t="str">
        <f ca="1">IFERROR(__xludf.DUMMYFUNCTION("""COMPUTED_VALUE"""),"Dubai")</f>
        <v>Dubai</v>
      </c>
      <c r="B4732" s="2" t="str">
        <f ca="1">IFERROR(__xludf.DUMMYFUNCTION("""COMPUTED_VALUE"""),"Al Layyan Residence")</f>
        <v>Al Layyan Residence</v>
      </c>
      <c r="C4732" s="2" t="str">
        <f ca="1">IFERROR(__xludf.DUMMYFUNCTION("""COMPUTED_VALUE"""),"Building")</f>
        <v>Building</v>
      </c>
      <c r="D4732" s="2" t="str">
        <f ca="1">IFERROR(__xludf.DUMMYFUNCTION("""COMPUTED_VALUE"""),"Dubai&gt;Al Badaa&gt;Al Layyan Residence")</f>
        <v>Dubai&gt;Al Badaa&gt;Al Layyan Residence</v>
      </c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</row>
    <row r="4733" spans="1:26" ht="16.5" x14ac:dyDescent="0.35">
      <c r="A4733" s="2" t="str">
        <f ca="1">IFERROR(__xludf.DUMMYFUNCTION("""COMPUTED_VALUE"""),"Dubai")</f>
        <v>Dubai</v>
      </c>
      <c r="B4733" s="2" t="str">
        <f ca="1">IFERROR(__xludf.DUMMYFUNCTION("""COMPUTED_VALUE"""),"Sheikh Rashid bin Saeed Islamic Institute")</f>
        <v>Sheikh Rashid bin Saeed Islamic Institute</v>
      </c>
      <c r="C4733" s="2" t="str">
        <f ca="1">IFERROR(__xludf.DUMMYFUNCTION("""COMPUTED_VALUE"""),"School")</f>
        <v>School</v>
      </c>
      <c r="D4733" s="2" t="str">
        <f ca="1">IFERROR(__xludf.DUMMYFUNCTION("""COMPUTED_VALUE"""),"Dubai&gt;Academic City&gt;Sheikh Rashid bin Saeed Islamic Institute")</f>
        <v>Dubai&gt;Academic City&gt;Sheikh Rashid bin Saeed Islamic Institute</v>
      </c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</row>
    <row r="4734" spans="1:26" ht="16.5" x14ac:dyDescent="0.35">
      <c r="A4734" s="2" t="str">
        <f ca="1">IFERROR(__xludf.DUMMYFUNCTION("""COMPUTED_VALUE"""),"Dubai")</f>
        <v>Dubai</v>
      </c>
      <c r="B4734" s="2" t="str">
        <f ca="1">IFERROR(__xludf.DUMMYFUNCTION("""COMPUTED_VALUE"""),"Dubai Design District")</f>
        <v>Dubai Design District</v>
      </c>
      <c r="C4734" s="2" t="str">
        <f ca="1">IFERROR(__xludf.DUMMYFUNCTION("""COMPUTED_VALUE"""),"Neighbourhood")</f>
        <v>Neighbourhood</v>
      </c>
      <c r="D4734" s="2" t="str">
        <f ca="1">IFERROR(__xludf.DUMMYFUNCTION("""COMPUTED_VALUE"""),"Dubai&gt;Dubai Design District")</f>
        <v>Dubai&gt;Dubai Design District</v>
      </c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</row>
    <row r="4735" spans="1:26" ht="16.5" x14ac:dyDescent="0.35">
      <c r="A4735" s="2" t="str">
        <f ca="1">IFERROR(__xludf.DUMMYFUNCTION("""COMPUTED_VALUE"""),"Dubai")</f>
        <v>Dubai</v>
      </c>
      <c r="B4735" s="2" t="str">
        <f ca="1">IFERROR(__xludf.DUMMYFUNCTION("""COMPUTED_VALUE"""),"Al Wasl Block A")</f>
        <v>Al Wasl Block A</v>
      </c>
      <c r="C4735" s="2" t="str">
        <f ca="1">IFERROR(__xludf.DUMMYFUNCTION("""COMPUTED_VALUE"""),"Building")</f>
        <v>Building</v>
      </c>
      <c r="D4735" s="2" t="str">
        <f ca="1">IFERROR(__xludf.DUMMYFUNCTION("""COMPUTED_VALUE"""),"Dubai&gt;Al Hudaiba&gt;Al Wasl Block A")</f>
        <v>Dubai&gt;Al Hudaiba&gt;Al Wasl Block A</v>
      </c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</row>
    <row r="4736" spans="1:26" ht="16.5" x14ac:dyDescent="0.35">
      <c r="A4736" s="2" t="str">
        <f ca="1">IFERROR(__xludf.DUMMYFUNCTION("""COMPUTED_VALUE"""),"Dubai")</f>
        <v>Dubai</v>
      </c>
      <c r="B4736" s="2" t="str">
        <f ca="1">IFERROR(__xludf.DUMMYFUNCTION("""COMPUTED_VALUE"""),"Al Tayer Building")</f>
        <v>Al Tayer Building</v>
      </c>
      <c r="C4736" s="2" t="str">
        <f ca="1">IFERROR(__xludf.DUMMYFUNCTION("""COMPUTED_VALUE"""),"Building")</f>
        <v>Building</v>
      </c>
      <c r="D4736" s="2" t="str">
        <f ca="1">IFERROR(__xludf.DUMMYFUNCTION("""COMPUTED_VALUE"""),"Dubai&gt;Al Hudaiba&gt;Al Tayer Building")</f>
        <v>Dubai&gt;Al Hudaiba&gt;Al Tayer Building</v>
      </c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</row>
    <row r="4737" spans="1:26" ht="16.5" x14ac:dyDescent="0.35">
      <c r="A4737" s="2" t="str">
        <f ca="1">IFERROR(__xludf.DUMMYFUNCTION("""COMPUTED_VALUE"""),"Dubai")</f>
        <v>Dubai</v>
      </c>
      <c r="B4737" s="2" t="str">
        <f ca="1">IFERROR(__xludf.DUMMYFUNCTION("""COMPUTED_VALUE"""),"Mandarin Oriental Hotel")</f>
        <v>Mandarin Oriental Hotel</v>
      </c>
      <c r="C4737" s="2" t="str">
        <f ca="1">IFERROR(__xludf.DUMMYFUNCTION("""COMPUTED_VALUE"""),"Building")</f>
        <v>Building</v>
      </c>
      <c r="D4737" s="2" t="str">
        <f ca="1">IFERROR(__xludf.DUMMYFUNCTION("""COMPUTED_VALUE"""),"Dubai&gt;Jumeirah&gt;Jumeirah 1&gt;Mandarin Oriental Hotel")</f>
        <v>Dubai&gt;Jumeirah&gt;Jumeirah 1&gt;Mandarin Oriental Hotel</v>
      </c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</row>
    <row r="4738" spans="1:26" ht="16.5" x14ac:dyDescent="0.35">
      <c r="A4738" s="2" t="str">
        <f ca="1">IFERROR(__xludf.DUMMYFUNCTION("""COMPUTED_VALUE"""),"Dubai")</f>
        <v>Dubai</v>
      </c>
      <c r="B4738" s="2" t="str">
        <f ca="1">IFERROR(__xludf.DUMMYFUNCTION("""COMPUTED_VALUE"""),"La Plage II")</f>
        <v>La Plage II</v>
      </c>
      <c r="C4738" s="2" t="str">
        <f ca="1">IFERROR(__xludf.DUMMYFUNCTION("""COMPUTED_VALUE"""),"Building")</f>
        <v>Building</v>
      </c>
      <c r="D4738" s="2" t="str">
        <f ca="1">IFERROR(__xludf.DUMMYFUNCTION("""COMPUTED_VALUE"""),"Dubai&gt;Jumeirah&gt;Jumeirah 2&gt;La Plage II")</f>
        <v>Dubai&gt;Jumeirah&gt;Jumeirah 2&gt;La Plage II</v>
      </c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</row>
    <row r="4739" spans="1:26" ht="16.5" x14ac:dyDescent="0.35">
      <c r="A4739" s="2" t="str">
        <f ca="1">IFERROR(__xludf.DUMMYFUNCTION("""COMPUTED_VALUE"""),"Dubai")</f>
        <v>Dubai</v>
      </c>
      <c r="B4739" s="2" t="str">
        <f ca="1">IFERROR(__xludf.DUMMYFUNCTION("""COMPUTED_VALUE"""),"La Cote Tower 5")</f>
        <v>La Cote Tower 5</v>
      </c>
      <c r="C4739" s="2" t="str">
        <f ca="1">IFERROR(__xludf.DUMMYFUNCTION("""COMPUTED_VALUE"""),"Building")</f>
        <v>Building</v>
      </c>
      <c r="D4739" s="2" t="str">
        <f ca="1">IFERROR(__xludf.DUMMYFUNCTION("""COMPUTED_VALUE"""),"Dubai&gt;Jumeirah&gt;La Mer&gt;Port de La Mer&gt;La Cote&gt;La Cote Tower 5")</f>
        <v>Dubai&gt;Jumeirah&gt;La Mer&gt;Port de La Mer&gt;La Cote&gt;La Cote Tower 5</v>
      </c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</row>
    <row r="4740" spans="1:26" ht="16.5" x14ac:dyDescent="0.35">
      <c r="A4740" s="2" t="str">
        <f ca="1">IFERROR(__xludf.DUMMYFUNCTION("""COMPUTED_VALUE"""),"Dubai")</f>
        <v>Dubai</v>
      </c>
      <c r="B4740" s="2" t="str">
        <f ca="1">IFERROR(__xludf.DUMMYFUNCTION("""COMPUTED_VALUE"""),"Creek Horizon Tower 2")</f>
        <v>Creek Horizon Tower 2</v>
      </c>
      <c r="C4740" s="2" t="str">
        <f ca="1">IFERROR(__xludf.DUMMYFUNCTION("""COMPUTED_VALUE"""),"Building")</f>
        <v>Building</v>
      </c>
      <c r="D4740" s="2" t="str">
        <f ca="1">IFERROR(__xludf.DUMMYFUNCTION("""COMPUTED_VALUE"""),"Dubai&gt;Dubai Creek Harbour&gt;Creek Horizon&gt;Creek Horizon Tower 2")</f>
        <v>Dubai&gt;Dubai Creek Harbour&gt;Creek Horizon&gt;Creek Horizon Tower 2</v>
      </c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</row>
    <row r="4741" spans="1:26" ht="16.5" x14ac:dyDescent="0.35">
      <c r="A4741" s="2" t="str">
        <f ca="1">IFERROR(__xludf.DUMMYFUNCTION("""COMPUTED_VALUE"""),"Dubai")</f>
        <v>Dubai</v>
      </c>
      <c r="B4741" s="2" t="str">
        <f ca="1">IFERROR(__xludf.DUMMYFUNCTION("""COMPUTED_VALUE"""),"Breeze 2")</f>
        <v>Breeze 2</v>
      </c>
      <c r="C4741" s="2" t="str">
        <f ca="1">IFERROR(__xludf.DUMMYFUNCTION("""COMPUTED_VALUE"""),"Building")</f>
        <v>Building</v>
      </c>
      <c r="D4741" s="2" t="str">
        <f ca="1">IFERROR(__xludf.DUMMYFUNCTION("""COMPUTED_VALUE"""),"Dubai&gt;Dubai Creek Harbour&gt;Breeze at Creek Beach&gt;Breeze 2")</f>
        <v>Dubai&gt;Dubai Creek Harbour&gt;Breeze at Creek Beach&gt;Breeze 2</v>
      </c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</row>
    <row r="4742" spans="1:26" ht="16.5" x14ac:dyDescent="0.35">
      <c r="A4742" s="2" t="str">
        <f ca="1">IFERROR(__xludf.DUMMYFUNCTION("""COMPUTED_VALUE"""),"Dubai")</f>
        <v>Dubai</v>
      </c>
      <c r="B4742" s="2" t="str">
        <f ca="1">IFERROR(__xludf.DUMMYFUNCTION("""COMPUTED_VALUE"""),"Rosewater at Creek Beach")</f>
        <v>Rosewater at Creek Beach</v>
      </c>
      <c r="C4742" s="2" t="str">
        <f ca="1">IFERROR(__xludf.DUMMYFUNCTION("""COMPUTED_VALUE"""),"Cluster")</f>
        <v>Cluster</v>
      </c>
      <c r="D4742" s="2" t="str">
        <f ca="1">IFERROR(__xludf.DUMMYFUNCTION("""COMPUTED_VALUE"""),"Dubai&gt;Dubai Creek Harbour&gt;Rosewater at Creek Beach")</f>
        <v>Dubai&gt;Dubai Creek Harbour&gt;Rosewater at Creek Beach</v>
      </c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</row>
    <row r="4743" spans="1:26" ht="16.5" x14ac:dyDescent="0.35">
      <c r="A4743" s="2" t="str">
        <f ca="1">IFERROR(__xludf.DUMMYFUNCTION("""COMPUTED_VALUE"""),"Dubai")</f>
        <v>Dubai</v>
      </c>
      <c r="B4743" s="2" t="str">
        <f ca="1">IFERROR(__xludf.DUMMYFUNCTION("""COMPUTED_VALUE"""),"Savanna Building 2")</f>
        <v>Savanna Building 2</v>
      </c>
      <c r="C4743" s="2" t="str">
        <f ca="1">IFERROR(__xludf.DUMMYFUNCTION("""COMPUTED_VALUE"""),"Building")</f>
        <v>Building</v>
      </c>
      <c r="D4743" s="2" t="str">
        <f ca="1">IFERROR(__xludf.DUMMYFUNCTION("""COMPUTED_VALUE"""),"Dubai&gt;Dubai Creek Harbour&gt;Savanna&gt;Savanna Building 2")</f>
        <v>Dubai&gt;Dubai Creek Harbour&gt;Savanna&gt;Savanna Building 2</v>
      </c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</row>
    <row r="4744" spans="1:26" ht="16.5" x14ac:dyDescent="0.35">
      <c r="A4744" s="2" t="str">
        <f ca="1">IFERROR(__xludf.DUMMYFUNCTION("""COMPUTED_VALUE"""),"Dubai")</f>
        <v>Dubai</v>
      </c>
      <c r="B4744" s="2" t="str">
        <f ca="1">IFERROR(__xludf.DUMMYFUNCTION("""COMPUTED_VALUE"""),"Palace Residences Creek Blue")</f>
        <v>Palace Residences Creek Blue</v>
      </c>
      <c r="C4744" s="2" t="str">
        <f ca="1">IFERROR(__xludf.DUMMYFUNCTION("""COMPUTED_VALUE"""),"Building")</f>
        <v>Building</v>
      </c>
      <c r="D4744" s="2" t="str">
        <f ca="1">IFERROR(__xludf.DUMMYFUNCTION("""COMPUTED_VALUE"""),"Dubai&gt;Dubai Creek Harbour&gt;Palace Residences Creek Blue")</f>
        <v>Dubai&gt;Dubai Creek Harbour&gt;Palace Residences Creek Blue</v>
      </c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</row>
    <row r="4745" spans="1:26" ht="16.5" x14ac:dyDescent="0.35">
      <c r="A4745" s="2" t="str">
        <f ca="1">IFERROR(__xludf.DUMMYFUNCTION("""COMPUTED_VALUE"""),"Dubai")</f>
        <v>Dubai</v>
      </c>
      <c r="B4745" s="2" t="str">
        <f ca="1">IFERROR(__xludf.DUMMYFUNCTION("""COMPUTED_VALUE"""),"Liwa Heights Tower")</f>
        <v>Liwa Heights Tower</v>
      </c>
      <c r="C4745" s="2" t="str">
        <f ca="1">IFERROR(__xludf.DUMMYFUNCTION("""COMPUTED_VALUE"""),"Building")</f>
        <v>Building</v>
      </c>
      <c r="D4745" s="2" t="str">
        <f ca="1">IFERROR(__xludf.DUMMYFUNCTION("""COMPUTED_VALUE"""),"Dubai&gt;Barsha Heights (Tecom)&gt;Liwa Heights Tower")</f>
        <v>Dubai&gt;Barsha Heights (Tecom)&gt;Liwa Heights Tower</v>
      </c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</row>
    <row r="4746" spans="1:26" ht="16.5" x14ac:dyDescent="0.35">
      <c r="A4746" s="2" t="str">
        <f ca="1">IFERROR(__xludf.DUMMYFUNCTION("""COMPUTED_VALUE"""),"Dubai")</f>
        <v>Dubai</v>
      </c>
      <c r="B4746" s="2" t="str">
        <f ca="1">IFERROR(__xludf.DUMMYFUNCTION("""COMPUTED_VALUE"""),"Two Towers")</f>
        <v>Two Towers</v>
      </c>
      <c r="C4746" s="2" t="str">
        <f ca="1">IFERROR(__xludf.DUMMYFUNCTION("""COMPUTED_VALUE"""),"Cluster")</f>
        <v>Cluster</v>
      </c>
      <c r="D4746" s="2" t="str">
        <f ca="1">IFERROR(__xludf.DUMMYFUNCTION("""COMPUTED_VALUE"""),"Dubai&gt;Barsha Heights (Tecom)&gt;Two Towers")</f>
        <v>Dubai&gt;Barsha Heights (Tecom)&gt;Two Towers</v>
      </c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</row>
    <row r="4747" spans="1:26" ht="16.5" x14ac:dyDescent="0.35">
      <c r="A4747" s="2" t="str">
        <f ca="1">IFERROR(__xludf.DUMMYFUNCTION("""COMPUTED_VALUE"""),"Dubai")</f>
        <v>Dubai</v>
      </c>
      <c r="B4747" s="2" t="str">
        <f ca="1">IFERROR(__xludf.DUMMYFUNCTION("""COMPUTED_VALUE"""),"Al Ameeri Tower")</f>
        <v>Al Ameeri Tower</v>
      </c>
      <c r="C4747" s="2" t="str">
        <f ca="1">IFERROR(__xludf.DUMMYFUNCTION("""COMPUTED_VALUE"""),"Building")</f>
        <v>Building</v>
      </c>
      <c r="D4747" s="2" t="str">
        <f ca="1">IFERROR(__xludf.DUMMYFUNCTION("""COMPUTED_VALUE"""),"Dubai&gt;Barsha Heights (Tecom)&gt;Al Ameeri Tower")</f>
        <v>Dubai&gt;Barsha Heights (Tecom)&gt;Al Ameeri Tower</v>
      </c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</row>
    <row r="4748" spans="1:26" ht="16.5" x14ac:dyDescent="0.35">
      <c r="A4748" s="2" t="str">
        <f ca="1">IFERROR(__xludf.DUMMYFUNCTION("""COMPUTED_VALUE"""),"Dubai")</f>
        <v>Dubai</v>
      </c>
      <c r="B4748" s="2" t="str">
        <f ca="1">IFERROR(__xludf.DUMMYFUNCTION("""COMPUTED_VALUE"""),"The Chedi Private Residences")</f>
        <v>The Chedi Private Residences</v>
      </c>
      <c r="C4748" s="2" t="str">
        <f ca="1">IFERROR(__xludf.DUMMYFUNCTION("""COMPUTED_VALUE"""),"Building")</f>
        <v>Building</v>
      </c>
      <c r="D4748" s="2" t="str">
        <f ca="1">IFERROR(__xludf.DUMMYFUNCTION("""COMPUTED_VALUE"""),"Dubai&gt;Barsha Heights (Tecom)&gt;The Chedi Private Residences")</f>
        <v>Dubai&gt;Barsha Heights (Tecom)&gt;The Chedi Private Residences</v>
      </c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</row>
    <row r="4749" spans="1:26" ht="16.5" x14ac:dyDescent="0.35">
      <c r="A4749" s="2" t="str">
        <f ca="1">IFERROR(__xludf.DUMMYFUNCTION("""COMPUTED_VALUE"""),"Dubai")</f>
        <v>Dubai</v>
      </c>
      <c r="B4749" s="2" t="str">
        <f ca="1">IFERROR(__xludf.DUMMYFUNCTION("""COMPUTED_VALUE"""),"Terraced Apartment 2B")</f>
        <v>Terraced Apartment 2B</v>
      </c>
      <c r="C4749" s="2" t="str">
        <f ca="1">IFERROR(__xludf.DUMMYFUNCTION("""COMPUTED_VALUE"""),"Building")</f>
        <v>Building</v>
      </c>
      <c r="D4749" s="2" t="str">
        <f ca="1">IFERROR(__xludf.DUMMYFUNCTION("""COMPUTED_VALUE"""),"Dubai&gt;Motor City&gt;Green Community (Motor City)&gt;Terraced Apartments&gt;Terraced Apartment 2B")</f>
        <v>Dubai&gt;Motor City&gt;Green Community (Motor City)&gt;Terraced Apartments&gt;Terraced Apartment 2B</v>
      </c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</row>
    <row r="4750" spans="1:26" ht="16.5" x14ac:dyDescent="0.35">
      <c r="A4750" s="2" t="str">
        <f ca="1">IFERROR(__xludf.DUMMYFUNCTION("""COMPUTED_VALUE"""),"Dubai")</f>
        <v>Dubai</v>
      </c>
      <c r="B4750" s="2" t="str">
        <f ca="1">IFERROR(__xludf.DUMMYFUNCTION("""COMPUTED_VALUE"""),"Bennett House 1")</f>
        <v>Bennett House 1</v>
      </c>
      <c r="C4750" s="2" t="str">
        <f ca="1">IFERROR(__xludf.DUMMYFUNCTION("""COMPUTED_VALUE"""),"Building")</f>
        <v>Building</v>
      </c>
      <c r="D4750" s="2" t="str">
        <f ca="1">IFERROR(__xludf.DUMMYFUNCTION("""COMPUTED_VALUE"""),"Dubai&gt;Motor City&gt;Uptown Motor City&gt;Bennett House&gt;Bennett House 1")</f>
        <v>Dubai&gt;Motor City&gt;Uptown Motor City&gt;Bennett House&gt;Bennett House 1</v>
      </c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</row>
    <row r="4751" spans="1:26" ht="16.5" x14ac:dyDescent="0.35">
      <c r="A4751" s="2" t="str">
        <f ca="1">IFERROR(__xludf.DUMMYFUNCTION("""COMPUTED_VALUE"""),"Dubai")</f>
        <v>Dubai</v>
      </c>
      <c r="B4751" s="2" t="str">
        <f ca="1">IFERROR(__xludf.DUMMYFUNCTION("""COMPUTED_VALUE"""),"OIA West Residence")</f>
        <v>OIA West Residence</v>
      </c>
      <c r="C4751" s="2" t="str">
        <f ca="1">IFERROR(__xludf.DUMMYFUNCTION("""COMPUTED_VALUE"""),"Building")</f>
        <v>Building</v>
      </c>
      <c r="D4751" s="2" t="str">
        <f ca="1">IFERROR(__xludf.DUMMYFUNCTION("""COMPUTED_VALUE"""),"Dubai&gt;Motor City&gt;Uptown Motor City&gt;OIA Residence&gt;OIA West Residence")</f>
        <v>Dubai&gt;Motor City&gt;Uptown Motor City&gt;OIA Residence&gt;OIA West Residence</v>
      </c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</row>
    <row r="4752" spans="1:26" ht="16.5" x14ac:dyDescent="0.35">
      <c r="A4752" s="2" t="str">
        <f ca="1">IFERROR(__xludf.DUMMYFUNCTION("""COMPUTED_VALUE"""),"Dubai")</f>
        <v>Dubai</v>
      </c>
      <c r="B4752" s="2" t="str">
        <f ca="1">IFERROR(__xludf.DUMMYFUNCTION("""COMPUTED_VALUE"""),"Sobha Orbis Tower E")</f>
        <v>Sobha Orbis Tower E</v>
      </c>
      <c r="C4752" s="2" t="str">
        <f ca="1">IFERROR(__xludf.DUMMYFUNCTION("""COMPUTED_VALUE"""),"Building")</f>
        <v>Building</v>
      </c>
      <c r="D4752" s="2" t="str">
        <f ca="1">IFERROR(__xludf.DUMMYFUNCTION("""COMPUTED_VALUE"""),"Dubai&gt;Motor City&gt;Sobha Orbis&gt;Sobha Orbis Tower E")</f>
        <v>Dubai&gt;Motor City&gt;Sobha Orbis&gt;Sobha Orbis Tower E</v>
      </c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</row>
    <row r="4753" spans="1:26" ht="16.5" x14ac:dyDescent="0.35">
      <c r="A4753" s="2" t="str">
        <f ca="1">IFERROR(__xludf.DUMMYFUNCTION("""COMPUTED_VALUE"""),"Dubai")</f>
        <v>Dubai</v>
      </c>
      <c r="B4753" s="2" t="str">
        <f ca="1">IFERROR(__xludf.DUMMYFUNCTION("""COMPUTED_VALUE"""),"Al Sufouh")</f>
        <v>Al Sufouh</v>
      </c>
      <c r="C4753" s="2" t="str">
        <f ca="1">IFERROR(__xludf.DUMMYFUNCTION("""COMPUTED_VALUE"""),"Neighbourhood")</f>
        <v>Neighbourhood</v>
      </c>
      <c r="D4753" s="2" t="str">
        <f ca="1">IFERROR(__xludf.DUMMYFUNCTION("""COMPUTED_VALUE"""),"Dubai&gt;Al Sufouh")</f>
        <v>Dubai&gt;Al Sufouh</v>
      </c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</row>
    <row r="4754" spans="1:26" ht="16.5" x14ac:dyDescent="0.35">
      <c r="A4754" s="2" t="str">
        <f ca="1">IFERROR(__xludf.DUMMYFUNCTION("""COMPUTED_VALUE"""),"Dubai")</f>
        <v>Dubai</v>
      </c>
      <c r="B4754" s="2" t="str">
        <f ca="1">IFERROR(__xludf.DUMMYFUNCTION("""COMPUTED_VALUE"""),"Cordoba Residence")</f>
        <v>Cordoba Residence</v>
      </c>
      <c r="C4754" s="2" t="str">
        <f ca="1">IFERROR(__xludf.DUMMYFUNCTION("""COMPUTED_VALUE"""),"Neighbourhood")</f>
        <v>Neighbourhood</v>
      </c>
      <c r="D4754" s="2" t="str">
        <f ca="1">IFERROR(__xludf.DUMMYFUNCTION("""COMPUTED_VALUE"""),"Dubai&gt;Al Sufouh&gt;Al Sufouh 2&gt;Cordoba Residence")</f>
        <v>Dubai&gt;Al Sufouh&gt;Al Sufouh 2&gt;Cordoba Residence</v>
      </c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</row>
    <row r="4755" spans="1:26" ht="16.5" x14ac:dyDescent="0.35">
      <c r="A4755" s="2" t="str">
        <f ca="1">IFERROR(__xludf.DUMMYFUNCTION("""COMPUTED_VALUE"""),"Dubai")</f>
        <v>Dubai</v>
      </c>
      <c r="B4755" s="2" t="str">
        <f ca="1">IFERROR(__xludf.DUMMYFUNCTION("""COMPUTED_VALUE"""),"Al Waha Community")</f>
        <v>Al Waha Community</v>
      </c>
      <c r="C4755" s="2" t="str">
        <f ca="1">IFERROR(__xludf.DUMMYFUNCTION("""COMPUTED_VALUE"""),"Building")</f>
        <v>Building</v>
      </c>
      <c r="D4755" s="2" t="str">
        <f ca="1">IFERROR(__xludf.DUMMYFUNCTION("""COMPUTED_VALUE"""),"Dubai&gt;Dubai Festival City&gt;Al Waha Community")</f>
        <v>Dubai&gt;Dubai Festival City&gt;Al Waha Community</v>
      </c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</row>
    <row r="4756" spans="1:26" ht="16.5" x14ac:dyDescent="0.35">
      <c r="A4756" s="2" t="str">
        <f ca="1">IFERROR(__xludf.DUMMYFUNCTION("""COMPUTED_VALUE"""),"Dubai")</f>
        <v>Dubai</v>
      </c>
      <c r="B4756" s="2" t="str">
        <f ca="1">IFERROR(__xludf.DUMMYFUNCTION("""COMPUTED_VALUE"""),"Al Badia Living Building D")</f>
        <v>Al Badia Living Building D</v>
      </c>
      <c r="C4756" s="2" t="str">
        <f ca="1">IFERROR(__xludf.DUMMYFUNCTION("""COMPUTED_VALUE"""),"Building")</f>
        <v>Building</v>
      </c>
      <c r="D4756" s="2" t="str">
        <f ca="1">IFERROR(__xludf.DUMMYFUNCTION("""COMPUTED_VALUE"""),"Dubai&gt;Dubai Festival City&gt;Al Badia Living&gt;Al Badia Living Building D")</f>
        <v>Dubai&gt;Dubai Festival City&gt;Al Badia Living&gt;Al Badia Living Building D</v>
      </c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</row>
    <row r="4757" spans="1:26" ht="16.5" x14ac:dyDescent="0.35">
      <c r="A4757" s="2" t="str">
        <f ca="1">IFERROR(__xludf.DUMMYFUNCTION("""COMPUTED_VALUE"""),"Dubai")</f>
        <v>Dubai</v>
      </c>
      <c r="B4757" s="2" t="str">
        <f ca="1">IFERROR(__xludf.DUMMYFUNCTION("""COMPUTED_VALUE"""),"Golf Promenade 4A")</f>
        <v>Golf Promenade 4A</v>
      </c>
      <c r="C4757" s="2" t="str">
        <f ca="1">IFERROR(__xludf.DUMMYFUNCTION("""COMPUTED_VALUE"""),"Building")</f>
        <v>Building</v>
      </c>
      <c r="D4757" s="2" t="str">
        <f ca="1">IFERROR(__xludf.DUMMYFUNCTION("""COMPUTED_VALUE"""),"Dubai&gt;DAMAC Hills&gt;Golf Town&gt;Golf Promenade&gt;Golf Promenade 4&gt;Golf Promenade 4A")</f>
        <v>Dubai&gt;DAMAC Hills&gt;Golf Town&gt;Golf Promenade&gt;Golf Promenade 4&gt;Golf Promenade 4A</v>
      </c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</row>
    <row r="4758" spans="1:26" ht="16.5" x14ac:dyDescent="0.35">
      <c r="A4758" s="2" t="str">
        <f ca="1">IFERROR(__xludf.DUMMYFUNCTION("""COMPUTED_VALUE"""),"Dubai")</f>
        <v>Dubai</v>
      </c>
      <c r="B4758" s="2" t="str">
        <f ca="1">IFERROR(__xludf.DUMMYFUNCTION("""COMPUTED_VALUE"""),"Trump Estates")</f>
        <v>Trump Estates</v>
      </c>
      <c r="C4758" s="2" t="str">
        <f ca="1">IFERROR(__xludf.DUMMYFUNCTION("""COMPUTED_VALUE"""),"Neighbourhood")</f>
        <v>Neighbourhood</v>
      </c>
      <c r="D4758" s="2" t="str">
        <f ca="1">IFERROR(__xludf.DUMMYFUNCTION("""COMPUTED_VALUE"""),"Dubai&gt;DAMAC Hills&gt;Trump Estates")</f>
        <v>Dubai&gt;DAMAC Hills&gt;Trump Estates</v>
      </c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</row>
    <row r="4759" spans="1:26" ht="16.5" x14ac:dyDescent="0.35">
      <c r="A4759" s="2" t="str">
        <f ca="1">IFERROR(__xludf.DUMMYFUNCTION("""COMPUTED_VALUE"""),"Dubai")</f>
        <v>Dubai</v>
      </c>
      <c r="B4759" s="2" t="str">
        <f ca="1">IFERROR(__xludf.DUMMYFUNCTION("""COMPUTED_VALUE"""),"Utopia")</f>
        <v>Utopia</v>
      </c>
      <c r="C4759" s="2" t="str">
        <f ca="1">IFERROR(__xludf.DUMMYFUNCTION("""COMPUTED_VALUE"""),"Neighbourhood")</f>
        <v>Neighbourhood</v>
      </c>
      <c r="D4759" s="2" t="str">
        <f ca="1">IFERROR(__xludf.DUMMYFUNCTION("""COMPUTED_VALUE"""),"Dubai&gt;DAMAC Hills&gt;Utopia")</f>
        <v>Dubai&gt;DAMAC Hills&gt;Utopia</v>
      </c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</row>
    <row r="4760" spans="1:26" ht="16.5" x14ac:dyDescent="0.35">
      <c r="A4760" s="2" t="str">
        <f ca="1">IFERROR(__xludf.DUMMYFUNCTION("""COMPUTED_VALUE"""),"Dubai")</f>
        <v>Dubai</v>
      </c>
      <c r="B4760" s="2" t="str">
        <f ca="1">IFERROR(__xludf.DUMMYFUNCTION("""COMPUTED_VALUE"""),"Wasl Port Views 6")</f>
        <v>Wasl Port Views 6</v>
      </c>
      <c r="C4760" s="2" t="str">
        <f ca="1">IFERROR(__xludf.DUMMYFUNCTION("""COMPUTED_VALUE"""),"Building")</f>
        <v>Building</v>
      </c>
      <c r="D4760" s="2" t="str">
        <f ca="1">IFERROR(__xludf.DUMMYFUNCTION("""COMPUTED_VALUE"""),"Dubai&gt;Al Mina&gt;Wasl Port Views&gt;Wasl Port Views 6")</f>
        <v>Dubai&gt;Al Mina&gt;Wasl Port Views&gt;Wasl Port Views 6</v>
      </c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</row>
    <row r="4761" spans="1:26" ht="16.5" x14ac:dyDescent="0.35">
      <c r="A4761" s="2" t="str">
        <f ca="1">IFERROR(__xludf.DUMMYFUNCTION("""COMPUTED_VALUE"""),"Dubai")</f>
        <v>Dubai</v>
      </c>
      <c r="B4761" s="2" t="str">
        <f ca="1">IFERROR(__xludf.DUMMYFUNCTION("""COMPUTED_VALUE"""),"Coral Reef by DAMAC")</f>
        <v>Coral Reef by DAMAC</v>
      </c>
      <c r="C4761" s="2" t="str">
        <f ca="1">IFERROR(__xludf.DUMMYFUNCTION("""COMPUTED_VALUE"""),"Building")</f>
        <v>Building</v>
      </c>
      <c r="D4761" s="2" t="str">
        <f ca="1">IFERROR(__xludf.DUMMYFUNCTION("""COMPUTED_VALUE"""),"Dubai&gt;Dubai Maritime City&gt;Coral Reef by DAMAC")</f>
        <v>Dubai&gt;Dubai Maritime City&gt;Coral Reef by DAMAC</v>
      </c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</row>
    <row r="4762" spans="1:26" ht="16.5" x14ac:dyDescent="0.35">
      <c r="A4762" s="2" t="str">
        <f ca="1">IFERROR(__xludf.DUMMYFUNCTION("""COMPUTED_VALUE"""),"Dubai")</f>
        <v>Dubai</v>
      </c>
      <c r="B4762" s="2" t="str">
        <f ca="1">IFERROR(__xludf.DUMMYFUNCTION("""COMPUTED_VALUE"""),"Soulever Tower 2")</f>
        <v>Soulever Tower 2</v>
      </c>
      <c r="C4762" s="2" t="str">
        <f ca="1">IFERROR(__xludf.DUMMYFUNCTION("""COMPUTED_VALUE"""),"Building")</f>
        <v>Building</v>
      </c>
      <c r="D4762" s="2" t="str">
        <f ca="1">IFERROR(__xludf.DUMMYFUNCTION("""COMPUTED_VALUE"""),"Dubai&gt;Dubai Maritime City&gt;Soulever by Beyond&gt;Soulever Tower 2")</f>
        <v>Dubai&gt;Dubai Maritime City&gt;Soulever by Beyond&gt;Soulever Tower 2</v>
      </c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</row>
    <row r="4763" spans="1:26" ht="16.5" x14ac:dyDescent="0.35">
      <c r="A4763" s="2" t="str">
        <f ca="1">IFERROR(__xludf.DUMMYFUNCTION("""COMPUTED_VALUE"""),"Dubai")</f>
        <v>Dubai</v>
      </c>
      <c r="B4763" s="2" t="str">
        <f ca="1">IFERROR(__xludf.DUMMYFUNCTION("""COMPUTED_VALUE"""),"The Links East Tower")</f>
        <v>The Links East Tower</v>
      </c>
      <c r="C4763" s="2" t="str">
        <f ca="1">IFERROR(__xludf.DUMMYFUNCTION("""COMPUTED_VALUE"""),"Building")</f>
        <v>Building</v>
      </c>
      <c r="D4763" s="2" t="str">
        <f ca="1">IFERROR(__xludf.DUMMYFUNCTION("""COMPUTED_VALUE"""),"Dubai&gt;The Views&gt;The Links&gt;The Links East Tower")</f>
        <v>Dubai&gt;The Views&gt;The Links&gt;The Links East Tower</v>
      </c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</row>
    <row r="4764" spans="1:26" ht="16.5" x14ac:dyDescent="0.35">
      <c r="A4764" s="2" t="str">
        <f ca="1">IFERROR(__xludf.DUMMYFUNCTION("""COMPUTED_VALUE"""),"Dubai")</f>
        <v>Dubai</v>
      </c>
      <c r="B4764" s="2" t="str">
        <f ca="1">IFERROR(__xludf.DUMMYFUNCTION("""COMPUTED_VALUE"""),"Al Khail Gate")</f>
        <v>Al Khail Gate</v>
      </c>
      <c r="C4764" s="2" t="str">
        <f ca="1">IFERROR(__xludf.DUMMYFUNCTION("""COMPUTED_VALUE"""),"Neighbourhood")</f>
        <v>Neighbourhood</v>
      </c>
      <c r="D4764" s="2" t="str">
        <f ca="1">IFERROR(__xludf.DUMMYFUNCTION("""COMPUTED_VALUE"""),"Dubai&gt;Al Quoz&gt;Al Quoz Industrial Area&gt;Al Quoz Industrial Area 2&gt;Al Khail Gate")</f>
        <v>Dubai&gt;Al Quoz&gt;Al Quoz Industrial Area&gt;Al Quoz Industrial Area 2&gt;Al Khail Gate</v>
      </c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</row>
    <row r="4765" spans="1:26" ht="16.5" x14ac:dyDescent="0.35">
      <c r="A4765" s="2" t="str">
        <f ca="1">IFERROR(__xludf.DUMMYFUNCTION("""COMPUTED_VALUE"""),"Dubai")</f>
        <v>Dubai</v>
      </c>
      <c r="B4765" s="2" t="str">
        <f ca="1">IFERROR(__xludf.DUMMYFUNCTION("""COMPUTED_VALUE"""),"Al Quoz Third 145 Building")</f>
        <v>Al Quoz Third 145 Building</v>
      </c>
      <c r="C4765" s="2" t="str">
        <f ca="1">IFERROR(__xludf.DUMMYFUNCTION("""COMPUTED_VALUE"""),"Building")</f>
        <v>Building</v>
      </c>
      <c r="D4765" s="2" t="str">
        <f ca="1">IFERROR(__xludf.DUMMYFUNCTION("""COMPUTED_VALUE"""),"Dubai&gt;Al Quoz&gt;Al Quoz 3&gt;Al Quoz Third 145 Building")</f>
        <v>Dubai&gt;Al Quoz&gt;Al Quoz 3&gt;Al Quoz Third 145 Building</v>
      </c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</row>
    <row r="4766" spans="1:26" ht="16.5" x14ac:dyDescent="0.35">
      <c r="A4766" s="2" t="str">
        <f ca="1">IFERROR(__xludf.DUMMYFUNCTION("""COMPUTED_VALUE"""),"Dubai")</f>
        <v>Dubai</v>
      </c>
      <c r="B4766" s="2" t="str">
        <f ca="1">IFERROR(__xludf.DUMMYFUNCTION("""COMPUTED_VALUE"""),"Al Khail Heights Building 10A")</f>
        <v>Al Khail Heights Building 10A</v>
      </c>
      <c r="C4766" s="2" t="str">
        <f ca="1">IFERROR(__xludf.DUMMYFUNCTION("""COMPUTED_VALUE"""),"Building")</f>
        <v>Building</v>
      </c>
      <c r="D4766" s="2" t="str">
        <f ca="1">IFERROR(__xludf.DUMMYFUNCTION("""COMPUTED_VALUE"""),"Dubai&gt;Al Quoz&gt;Al Quoz 4&gt;Al Khail Heights&gt;Al Khail Heights Building 10A")</f>
        <v>Dubai&gt;Al Quoz&gt;Al Quoz 4&gt;Al Khail Heights&gt;Al Khail Heights Building 10A</v>
      </c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</row>
    <row r="4767" spans="1:26" ht="16.5" x14ac:dyDescent="0.35">
      <c r="A4767" s="2" t="str">
        <f ca="1">IFERROR(__xludf.DUMMYFUNCTION("""COMPUTED_VALUE"""),"Dubai")</f>
        <v>Dubai</v>
      </c>
      <c r="B4767" s="2" t="str">
        <f ca="1">IFERROR(__xludf.DUMMYFUNCTION("""COMPUTED_VALUE"""),"SIT Tower")</f>
        <v>SIT Tower</v>
      </c>
      <c r="C4767" s="2" t="str">
        <f ca="1">IFERROR(__xludf.DUMMYFUNCTION("""COMPUTED_VALUE"""),"Building")</f>
        <v>Building</v>
      </c>
      <c r="D4767" s="2" t="str">
        <f ca="1">IFERROR(__xludf.DUMMYFUNCTION("""COMPUTED_VALUE"""),"Dubai&gt;Dubai Silicon Oasis (DSO)&gt;SIT Tower")</f>
        <v>Dubai&gt;Dubai Silicon Oasis (DSO)&gt;SIT Tower</v>
      </c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</row>
    <row r="4768" spans="1:26" ht="16.5" x14ac:dyDescent="0.35">
      <c r="A4768" s="2" t="str">
        <f ca="1">IFERROR(__xludf.DUMMYFUNCTION("""COMPUTED_VALUE"""),"Dubai")</f>
        <v>Dubai</v>
      </c>
      <c r="B4768" s="2" t="str">
        <f ca="1">IFERROR(__xludf.DUMMYFUNCTION("""COMPUTED_VALUE"""),"Al Hathboor Residence")</f>
        <v>Al Hathboor Residence</v>
      </c>
      <c r="C4768" s="2" t="str">
        <f ca="1">IFERROR(__xludf.DUMMYFUNCTION("""COMPUTED_VALUE"""),"Building")</f>
        <v>Building</v>
      </c>
      <c r="D4768" s="2" t="str">
        <f ca="1">IFERROR(__xludf.DUMMYFUNCTION("""COMPUTED_VALUE"""),"Dubai&gt;Dubai Silicon Oasis (DSO)&gt;Al Hathboor Residence")</f>
        <v>Dubai&gt;Dubai Silicon Oasis (DSO)&gt;Al Hathboor Residence</v>
      </c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</row>
    <row r="4769" spans="1:26" ht="16.5" x14ac:dyDescent="0.35">
      <c r="A4769" s="2" t="str">
        <f ca="1">IFERROR(__xludf.DUMMYFUNCTION("""COMPUTED_VALUE"""),"Dubai")</f>
        <v>Dubai</v>
      </c>
      <c r="B4769" s="2" t="str">
        <f ca="1">IFERROR(__xludf.DUMMYFUNCTION("""COMPUTED_VALUE"""),"Palacio Tower")</f>
        <v>Palacio Tower</v>
      </c>
      <c r="C4769" s="2" t="str">
        <f ca="1">IFERROR(__xludf.DUMMYFUNCTION("""COMPUTED_VALUE"""),"Building")</f>
        <v>Building</v>
      </c>
      <c r="D4769" s="2" t="str">
        <f ca="1">IFERROR(__xludf.DUMMYFUNCTION("""COMPUTED_VALUE"""),"Dubai&gt;Dubai Silicon Oasis (DSO)&gt;Palacio Tower")</f>
        <v>Dubai&gt;Dubai Silicon Oasis (DSO)&gt;Palacio Tower</v>
      </c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</row>
    <row r="4770" spans="1:26" ht="16.5" x14ac:dyDescent="0.35">
      <c r="A4770" s="2" t="str">
        <f ca="1">IFERROR(__xludf.DUMMYFUNCTION("""COMPUTED_VALUE"""),"Dubai")</f>
        <v>Dubai</v>
      </c>
      <c r="B4770" s="2" t="str">
        <f ca="1">IFERROR(__xludf.DUMMYFUNCTION("""COMPUTED_VALUE"""),"Al Nayli Building")</f>
        <v>Al Nayli Building</v>
      </c>
      <c r="C4770" s="2" t="str">
        <f ca="1">IFERROR(__xludf.DUMMYFUNCTION("""COMPUTED_VALUE"""),"Building")</f>
        <v>Building</v>
      </c>
      <c r="D4770" s="2" t="str">
        <f ca="1">IFERROR(__xludf.DUMMYFUNCTION("""COMPUTED_VALUE"""),"Dubai&gt;Dubai Silicon Oasis (DSO)&gt;Al Nayli Building")</f>
        <v>Dubai&gt;Dubai Silicon Oasis (DSO)&gt;Al Nayli Building</v>
      </c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</row>
    <row r="4771" spans="1:26" ht="16.5" x14ac:dyDescent="0.35">
      <c r="A4771" s="2" t="str">
        <f ca="1">IFERROR(__xludf.DUMMYFUNCTION("""COMPUTED_VALUE"""),"Dubai")</f>
        <v>Dubai</v>
      </c>
      <c r="B4771" s="2" t="str">
        <f ca="1">IFERROR(__xludf.DUMMYFUNCTION("""COMPUTED_VALUE"""),"Adams Building")</f>
        <v>Adams Building</v>
      </c>
      <c r="C4771" s="2" t="str">
        <f ca="1">IFERROR(__xludf.DUMMYFUNCTION("""COMPUTED_VALUE"""),"Building")</f>
        <v>Building</v>
      </c>
      <c r="D4771" s="2" t="str">
        <f ca="1">IFERROR(__xludf.DUMMYFUNCTION("""COMPUTED_VALUE"""),"Dubai&gt;Dubai Silicon Oasis (DSO)&gt;Adams Building")</f>
        <v>Dubai&gt;Dubai Silicon Oasis (DSO)&gt;Adams Building</v>
      </c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</row>
    <row r="4772" spans="1:26" ht="16.5" x14ac:dyDescent="0.35">
      <c r="A4772" s="2" t="str">
        <f ca="1">IFERROR(__xludf.DUMMYFUNCTION("""COMPUTED_VALUE"""),"Dubai")</f>
        <v>Dubai</v>
      </c>
      <c r="B4772" s="2" t="str">
        <f ca="1">IFERROR(__xludf.DUMMYFUNCTION("""COMPUTED_VALUE"""),"DSO Emirates Tower 1")</f>
        <v>DSO Emirates Tower 1</v>
      </c>
      <c r="C4772" s="2" t="str">
        <f ca="1">IFERROR(__xludf.DUMMYFUNCTION("""COMPUTED_VALUE"""),"Building")</f>
        <v>Building</v>
      </c>
      <c r="D4772" s="2" t="str">
        <f ca="1">IFERROR(__xludf.DUMMYFUNCTION("""COMPUTED_VALUE"""),"Dubai&gt;Dubai Silicon Oasis (DSO)&gt;DSO Emirates Towers&gt;DSO Emirates Tower 1")</f>
        <v>Dubai&gt;Dubai Silicon Oasis (DSO)&gt;DSO Emirates Towers&gt;DSO Emirates Tower 1</v>
      </c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</row>
    <row r="4773" spans="1:26" ht="16.5" x14ac:dyDescent="0.35">
      <c r="A4773" s="2" t="str">
        <f ca="1">IFERROR(__xludf.DUMMYFUNCTION("""COMPUTED_VALUE"""),"Dubai")</f>
        <v>Dubai</v>
      </c>
      <c r="B4773" s="2" t="str">
        <f ca="1">IFERROR(__xludf.DUMMYFUNCTION("""COMPUTED_VALUE"""),"Chorisia I")</f>
        <v>Chorisia I</v>
      </c>
      <c r="C4773" s="2" t="str">
        <f ca="1">IFERROR(__xludf.DUMMYFUNCTION("""COMPUTED_VALUE"""),"Neighbourhood")</f>
        <v>Neighbourhood</v>
      </c>
      <c r="D4773" s="2" t="str">
        <f ca="1">IFERROR(__xludf.DUMMYFUNCTION("""COMPUTED_VALUE"""),"Dubai&gt;Al Barari&gt;Chorisia I")</f>
        <v>Dubai&gt;Al Barari&gt;Chorisia I</v>
      </c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</row>
    <row r="4774" spans="1:26" ht="16.5" x14ac:dyDescent="0.35">
      <c r="A4774" s="2" t="str">
        <f ca="1">IFERROR(__xludf.DUMMYFUNCTION("""COMPUTED_VALUE"""),"Dubai")</f>
        <v>Dubai</v>
      </c>
      <c r="B4774" s="2" t="str">
        <f ca="1">IFERROR(__xludf.DUMMYFUNCTION("""COMPUTED_VALUE"""),"Jasmine Leaf 7")</f>
        <v>Jasmine Leaf 7</v>
      </c>
      <c r="C4774" s="2" t="str">
        <f ca="1">IFERROR(__xludf.DUMMYFUNCTION("""COMPUTED_VALUE"""),"Neighbourhood")</f>
        <v>Neighbourhood</v>
      </c>
      <c r="D4774" s="2" t="str">
        <f ca="1">IFERROR(__xludf.DUMMYFUNCTION("""COMPUTED_VALUE"""),"Dubai&gt;Al Barari&gt;The Residences&gt;Jasmine Leaf&gt;Jasmine Leaf 7")</f>
        <v>Dubai&gt;Al Barari&gt;The Residences&gt;Jasmine Leaf&gt;Jasmine Leaf 7</v>
      </c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</row>
    <row r="4775" spans="1:26" ht="16.5" x14ac:dyDescent="0.35">
      <c r="A4775" s="2" t="str">
        <f ca="1">IFERROR(__xludf.DUMMYFUNCTION("""COMPUTED_VALUE"""),"Dubai")</f>
        <v>Dubai</v>
      </c>
      <c r="B4775" s="2" t="str">
        <f ca="1">IFERROR(__xludf.DUMMYFUNCTION("""COMPUTED_VALUE"""),"Keturah Reserve")</f>
        <v>Keturah Reserve</v>
      </c>
      <c r="C4775" s="2" t="str">
        <f ca="1">IFERROR(__xludf.DUMMYFUNCTION("""COMPUTED_VALUE"""),"Neighbourhood")</f>
        <v>Neighbourhood</v>
      </c>
      <c r="D4775" s="2" t="str">
        <f ca="1">IFERROR(__xludf.DUMMYFUNCTION("""COMPUTED_VALUE"""),"Dubai&gt;Mohammed Bin Rashid City&gt;District 7&gt;Keturah Reserve")</f>
        <v>Dubai&gt;Mohammed Bin Rashid City&gt;District 7&gt;Keturah Reserve</v>
      </c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</row>
    <row r="4776" spans="1:26" ht="16.5" x14ac:dyDescent="0.35">
      <c r="A4776" s="2" t="str">
        <f ca="1">IFERROR(__xludf.DUMMYFUNCTION("""COMPUTED_VALUE"""),"Dubai")</f>
        <v>Dubai</v>
      </c>
      <c r="B4776" s="2" t="str">
        <f ca="1">IFERROR(__xludf.DUMMYFUNCTION("""COMPUTED_VALUE"""),"Emerald Residences by Sido")</f>
        <v>Emerald Residences by Sido</v>
      </c>
      <c r="C4776" s="2" t="str">
        <f ca="1">IFERROR(__xludf.DUMMYFUNCTION("""COMPUTED_VALUE"""),"Building")</f>
        <v>Building</v>
      </c>
      <c r="D4776" s="2" t="str">
        <f ca="1">IFERROR(__xludf.DUMMYFUNCTION("""COMPUTED_VALUE"""),"Dubai&gt;Mohammed Bin Rashid City&gt;District 11&gt;Emerald Residences by Sido")</f>
        <v>Dubai&gt;Mohammed Bin Rashid City&gt;District 11&gt;Emerald Residences by Sido</v>
      </c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</row>
    <row r="4777" spans="1:26" ht="16.5" x14ac:dyDescent="0.35">
      <c r="A4777" s="2" t="str">
        <f ca="1">IFERROR(__xludf.DUMMYFUNCTION("""COMPUTED_VALUE"""),"Dubai")</f>
        <v>Dubai</v>
      </c>
      <c r="B4777" s="2" t="str">
        <f ca="1">IFERROR(__xludf.DUMMYFUNCTION("""COMPUTED_VALUE"""),"Residences 7")</f>
        <v>Residences 7</v>
      </c>
      <c r="C4777" s="2" t="str">
        <f ca="1">IFERROR(__xludf.DUMMYFUNCTION("""COMPUTED_VALUE"""),"Building")</f>
        <v>Building</v>
      </c>
      <c r="D4777" s="2" t="str">
        <f ca="1">IFERROR(__xludf.DUMMYFUNCTION("""COMPUTED_VALUE"""),"Dubai&gt;Mohammed Bin Rashid City&gt;District One&gt;The Residences at District One&gt;Residences 7")</f>
        <v>Dubai&gt;Mohammed Bin Rashid City&gt;District One&gt;The Residences at District One&gt;Residences 7</v>
      </c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</row>
    <row r="4778" spans="1:26" ht="16.5" x14ac:dyDescent="0.35">
      <c r="A4778" s="2" t="str">
        <f ca="1">IFERROR(__xludf.DUMMYFUNCTION("""COMPUTED_VALUE"""),"Dubai")</f>
        <v>Dubai</v>
      </c>
      <c r="B4778" s="2" t="str">
        <f ca="1">IFERROR(__xludf.DUMMYFUNCTION("""COMPUTED_VALUE"""),"Majestique Residences")</f>
        <v>Majestique Residences</v>
      </c>
      <c r="C4778" s="2" t="str">
        <f ca="1">IFERROR(__xludf.DUMMYFUNCTION("""COMPUTED_VALUE"""),"Cluster")</f>
        <v>Cluster</v>
      </c>
      <c r="D4778" s="2" t="str">
        <f ca="1">IFERROR(__xludf.DUMMYFUNCTION("""COMPUTED_VALUE"""),"Dubai&gt;Dubai South&gt;Residential District&gt;Majestique Residences")</f>
        <v>Dubai&gt;Dubai South&gt;Residential District&gt;Majestique Residences</v>
      </c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</row>
    <row r="4779" spans="1:26" ht="16.5" x14ac:dyDescent="0.35">
      <c r="A4779" s="2" t="str">
        <f ca="1">IFERROR(__xludf.DUMMYFUNCTION("""COMPUTED_VALUE"""),"Dubai")</f>
        <v>Dubai</v>
      </c>
      <c r="B4779" s="2" t="str">
        <f ca="1">IFERROR(__xludf.DUMMYFUNCTION("""COMPUTED_VALUE"""),"Astra Residences")</f>
        <v>Astra Residences</v>
      </c>
      <c r="C4779" s="2" t="str">
        <f ca="1">IFERROR(__xludf.DUMMYFUNCTION("""COMPUTED_VALUE"""),"Building")</f>
        <v>Building</v>
      </c>
      <c r="D4779" s="2" t="str">
        <f ca="1">IFERROR(__xludf.DUMMYFUNCTION("""COMPUTED_VALUE"""),"Dubai&gt;Dubai South&gt;Residential District&gt;The Pulse&gt;Astra Residences")</f>
        <v>Dubai&gt;Dubai South&gt;Residential District&gt;The Pulse&gt;Astra Residences</v>
      </c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</row>
    <row r="4780" spans="1:26" ht="16.5" x14ac:dyDescent="0.35">
      <c r="A4780" s="2" t="str">
        <f ca="1">IFERROR(__xludf.DUMMYFUNCTION("""COMPUTED_VALUE"""),"Dubai")</f>
        <v>Dubai</v>
      </c>
      <c r="B4780" s="2" t="str">
        <f ca="1">IFERROR(__xludf.DUMMYFUNCTION("""COMPUTED_VALUE"""),"Kappa Acca 5")</f>
        <v>Kappa Acca 5</v>
      </c>
      <c r="C4780" s="2" t="str">
        <f ca="1">IFERROR(__xludf.DUMMYFUNCTION("""COMPUTED_VALUE"""),"Building")</f>
        <v>Building</v>
      </c>
      <c r="D4780" s="2" t="str">
        <f ca="1">IFERROR(__xludf.DUMMYFUNCTION("""COMPUTED_VALUE"""),"Dubai&gt;Dubai South&gt;Residential District&gt;Kappa Acca 5")</f>
        <v>Dubai&gt;Dubai South&gt;Residential District&gt;Kappa Acca 5</v>
      </c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</row>
    <row r="4781" spans="1:26" ht="16.5" x14ac:dyDescent="0.35">
      <c r="A4781" s="2" t="str">
        <f ca="1">IFERROR(__xludf.DUMMYFUNCTION("""COMPUTED_VALUE"""),"Dubai")</f>
        <v>Dubai</v>
      </c>
      <c r="B4781" s="2" t="str">
        <f ca="1">IFERROR(__xludf.DUMMYFUNCTION("""COMPUTED_VALUE"""),"Lilian Residences")</f>
        <v>Lilian Residences</v>
      </c>
      <c r="C4781" s="2" t="str">
        <f ca="1">IFERROR(__xludf.DUMMYFUNCTION("""COMPUTED_VALUE"""),"Building")</f>
        <v>Building</v>
      </c>
      <c r="D4781" s="2" t="str">
        <f ca="1">IFERROR(__xludf.DUMMYFUNCTION("""COMPUTED_VALUE"""),"Dubai&gt;Dubai South&gt;Residential District&gt;Lilian Residences")</f>
        <v>Dubai&gt;Dubai South&gt;Residential District&gt;Lilian Residences</v>
      </c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</row>
    <row r="4782" spans="1:26" ht="16.5" x14ac:dyDescent="0.35">
      <c r="A4782" s="2" t="str">
        <f ca="1">IFERROR(__xludf.DUMMYFUNCTION("""COMPUTED_VALUE"""),"Dubai")</f>
        <v>Dubai</v>
      </c>
      <c r="B4782" s="2" t="str">
        <f ca="1">IFERROR(__xludf.DUMMYFUNCTION("""COMPUTED_VALUE"""),"Expo Golf Villas 1 (Parkside 1)")</f>
        <v>Expo Golf Villas 1 (Parkside 1)</v>
      </c>
      <c r="C4782" s="2" t="str">
        <f ca="1">IFERROR(__xludf.DUMMYFUNCTION("""COMPUTED_VALUE"""),"Neighbourhood")</f>
        <v>Neighbourhood</v>
      </c>
      <c r="D4782" s="2" t="str">
        <f ca="1">IFERROR(__xludf.DUMMYFUNCTION("""COMPUTED_VALUE"""),"Dubai&gt;Dubai South&gt;Emaar South&gt;Expo Golf Villas&gt;Expo Golf Villas 1 (Parkside 1)")</f>
        <v>Dubai&gt;Dubai South&gt;Emaar South&gt;Expo Golf Villas&gt;Expo Golf Villas 1 (Parkside 1)</v>
      </c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</row>
    <row r="4783" spans="1:26" ht="16.5" x14ac:dyDescent="0.35">
      <c r="A4783" s="2" t="str">
        <f ca="1">IFERROR(__xludf.DUMMYFUNCTION("""COMPUTED_VALUE"""),"Dubai")</f>
        <v>Dubai</v>
      </c>
      <c r="B4783" s="2" t="str">
        <f ca="1">IFERROR(__xludf.DUMMYFUNCTION("""COMPUTED_VALUE"""),"Greenspoint")</f>
        <v>Greenspoint</v>
      </c>
      <c r="C4783" s="2" t="str">
        <f ca="1">IFERROR(__xludf.DUMMYFUNCTION("""COMPUTED_VALUE"""),"Neighbourhood")</f>
        <v>Neighbourhood</v>
      </c>
      <c r="D4783" s="2" t="str">
        <f ca="1">IFERROR(__xludf.DUMMYFUNCTION("""COMPUTED_VALUE"""),"Dubai&gt;Dubai South&gt;Emaar South&gt;Greenspoint")</f>
        <v>Dubai&gt;Dubai South&gt;Emaar South&gt;Greenspoint</v>
      </c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</row>
    <row r="4784" spans="1:26" ht="16.5" x14ac:dyDescent="0.35">
      <c r="A4784" s="2" t="str">
        <f ca="1">IFERROR(__xludf.DUMMYFUNCTION("""COMPUTED_VALUE"""),"Dubai")</f>
        <v>Dubai</v>
      </c>
      <c r="B4784" s="2" t="str">
        <f ca="1">IFERROR(__xludf.DUMMYFUNCTION("""COMPUTED_VALUE"""),"South Square Building 4")</f>
        <v>South Square Building 4</v>
      </c>
      <c r="C4784" s="2" t="str">
        <f ca="1">IFERROR(__xludf.DUMMYFUNCTION("""COMPUTED_VALUE"""),"Building")</f>
        <v>Building</v>
      </c>
      <c r="D4784" s="2" t="str">
        <f ca="1">IFERROR(__xludf.DUMMYFUNCTION("""COMPUTED_VALUE"""),"Dubai&gt;Dubai South&gt;Logistics City&gt;South Square&gt;South Square Building 4")</f>
        <v>Dubai&gt;Dubai South&gt;Logistics City&gt;South Square&gt;South Square Building 4</v>
      </c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</row>
    <row r="4785" spans="1:26" ht="16.5" x14ac:dyDescent="0.35">
      <c r="A4785" s="2" t="str">
        <f ca="1">IFERROR(__xludf.DUMMYFUNCTION("""COMPUTED_VALUE"""),"Dubai")</f>
        <v>Dubai</v>
      </c>
      <c r="B4785" s="2" t="str">
        <f ca="1">IFERROR(__xludf.DUMMYFUNCTION("""COMPUTED_VALUE"""),"Azizi Venice 9")</f>
        <v>Azizi Venice 9</v>
      </c>
      <c r="C4785" s="2" t="str">
        <f ca="1">IFERROR(__xludf.DUMMYFUNCTION("""COMPUTED_VALUE"""),"Cluster")</f>
        <v>Cluster</v>
      </c>
      <c r="D4785" s="2" t="str">
        <f ca="1">IFERROR(__xludf.DUMMYFUNCTION("""COMPUTED_VALUE"""),"Dubai&gt;Dubai South&gt;Azizi Venice&gt;Azizi Venice 9")</f>
        <v>Dubai&gt;Dubai South&gt;Azizi Venice&gt;Azizi Venice 9</v>
      </c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</row>
    <row r="4786" spans="1:26" ht="16.5" x14ac:dyDescent="0.35">
      <c r="A4786" s="2" t="str">
        <f ca="1">IFERROR(__xludf.DUMMYFUNCTION("""COMPUTED_VALUE"""),"Dubai")</f>
        <v>Dubai</v>
      </c>
      <c r="B4786" s="2" t="str">
        <f ca="1">IFERROR(__xludf.DUMMYFUNCTION("""COMPUTED_VALUE"""),"Cascada 1")</f>
        <v>Cascada 1</v>
      </c>
      <c r="C4786" s="2" t="str">
        <f ca="1">IFERROR(__xludf.DUMMYFUNCTION("""COMPUTED_VALUE"""),"Building")</f>
        <v>Building</v>
      </c>
      <c r="D4786" s="2" t="str">
        <f ca="1">IFERROR(__xludf.DUMMYFUNCTION("""COMPUTED_VALUE"""),"Dubai&gt;Dubai South&gt;Waada&gt;Cascada&gt;Cascada 1")</f>
        <v>Dubai&gt;Dubai South&gt;Waada&gt;Cascada&gt;Cascada 1</v>
      </c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</row>
    <row r="4787" spans="1:26" ht="16.5" x14ac:dyDescent="0.35">
      <c r="A4787" s="2" t="str">
        <f ca="1">IFERROR(__xludf.DUMMYFUNCTION("""COMPUTED_VALUE"""),"Dubai")</f>
        <v>Dubai</v>
      </c>
      <c r="B4787" s="2" t="str">
        <f ca="1">IFERROR(__xludf.DUMMYFUNCTION("""COMPUTED_VALUE"""),"Lycee Francais International Georges Pompidou, Oud Metha")</f>
        <v>Lycee Francais International Georges Pompidou, Oud Metha</v>
      </c>
      <c r="C4787" s="2" t="str">
        <f ca="1">IFERROR(__xludf.DUMMYFUNCTION("""COMPUTED_VALUE"""),"School")</f>
        <v>School</v>
      </c>
      <c r="D4787" s="2" t="str">
        <f ca="1">IFERROR(__xludf.DUMMYFUNCTION("""COMPUTED_VALUE"""),"Dubai&gt;Bur Dubai&gt;Oud Metha&gt;Lycee Francais International Georges Pompidou, Oud Metha")</f>
        <v>Dubai&gt;Bur Dubai&gt;Oud Metha&gt;Lycee Francais International Georges Pompidou, Oud Metha</v>
      </c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</row>
    <row r="4788" spans="1:26" ht="16.5" x14ac:dyDescent="0.35">
      <c r="A4788" s="2" t="str">
        <f ca="1">IFERROR(__xludf.DUMMYFUNCTION("""COMPUTED_VALUE"""),"Dubai")</f>
        <v>Dubai</v>
      </c>
      <c r="B4788" s="2" t="str">
        <f ca="1">IFERROR(__xludf.DUMMYFUNCTION("""COMPUTED_VALUE"""),"Wasl R369")</f>
        <v>Wasl R369</v>
      </c>
      <c r="C4788" s="2" t="str">
        <f ca="1">IFERROR(__xludf.DUMMYFUNCTION("""COMPUTED_VALUE"""),"Building")</f>
        <v>Building</v>
      </c>
      <c r="D4788" s="2" t="str">
        <f ca="1">IFERROR(__xludf.DUMMYFUNCTION("""COMPUTED_VALUE"""),"Dubai&gt;Bur Dubai&gt;Oud Metha&gt;Wasl R369")</f>
        <v>Dubai&gt;Bur Dubai&gt;Oud Metha&gt;Wasl R369</v>
      </c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</row>
    <row r="4789" spans="1:26" ht="16.5" x14ac:dyDescent="0.35">
      <c r="A4789" s="2" t="str">
        <f ca="1">IFERROR(__xludf.DUMMYFUNCTION("""COMPUTED_VALUE"""),"Dubai")</f>
        <v>Dubai</v>
      </c>
      <c r="B4789" s="2" t="str">
        <f ca="1">IFERROR(__xludf.DUMMYFUNCTION("""COMPUTED_VALUE"""),"SRG Building")</f>
        <v>SRG Building</v>
      </c>
      <c r="C4789" s="2" t="str">
        <f ca="1">IFERROR(__xludf.DUMMYFUNCTION("""COMPUTED_VALUE"""),"Building")</f>
        <v>Building</v>
      </c>
      <c r="D4789" s="2" t="str">
        <f ca="1">IFERROR(__xludf.DUMMYFUNCTION("""COMPUTED_VALUE"""),"Dubai&gt;Bur Dubai&gt;Al Raffa&gt;SRG Building")</f>
        <v>Dubai&gt;Bur Dubai&gt;Al Raffa&gt;SRG Building</v>
      </c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</row>
    <row r="4790" spans="1:26" ht="16.5" x14ac:dyDescent="0.35">
      <c r="A4790" s="2" t="str">
        <f ca="1">IFERROR(__xludf.DUMMYFUNCTION("""COMPUTED_VALUE"""),"Dubai")</f>
        <v>Dubai</v>
      </c>
      <c r="B4790" s="2" t="str">
        <f ca="1">IFERROR(__xludf.DUMMYFUNCTION("""COMPUTED_VALUE"""),"Masaken Al Raffa 02")</f>
        <v>Masaken Al Raffa 02</v>
      </c>
      <c r="C4790" s="2" t="str">
        <f ca="1">IFERROR(__xludf.DUMMYFUNCTION("""COMPUTED_VALUE"""),"Building")</f>
        <v>Building</v>
      </c>
      <c r="D4790" s="2" t="str">
        <f ca="1">IFERROR(__xludf.DUMMYFUNCTION("""COMPUTED_VALUE"""),"Dubai&gt;Bur Dubai&gt;Al Raffa&gt;Masaken Al Raffa 02")</f>
        <v>Dubai&gt;Bur Dubai&gt;Al Raffa&gt;Masaken Al Raffa 02</v>
      </c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</row>
    <row r="4791" spans="1:26" ht="16.5" x14ac:dyDescent="0.35">
      <c r="A4791" s="2" t="str">
        <f ca="1">IFERROR(__xludf.DUMMYFUNCTION("""COMPUTED_VALUE"""),"Dubai")</f>
        <v>Dubai</v>
      </c>
      <c r="B4791" s="2" t="str">
        <f ca="1">IFERROR(__xludf.DUMMYFUNCTION("""COMPUTED_VALUE"""),"Golden Sands 12")</f>
        <v>Golden Sands 12</v>
      </c>
      <c r="C4791" s="2" t="str">
        <f ca="1">IFERROR(__xludf.DUMMYFUNCTION("""COMPUTED_VALUE"""),"Building")</f>
        <v>Building</v>
      </c>
      <c r="D4791" s="2" t="str">
        <f ca="1">IFERROR(__xludf.DUMMYFUNCTION("""COMPUTED_VALUE"""),"Dubai&gt;Bur Dubai&gt;Al Mankhool&gt;Golden Sands 12")</f>
        <v>Dubai&gt;Bur Dubai&gt;Al Mankhool&gt;Golden Sands 12</v>
      </c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</row>
    <row r="4792" spans="1:26" ht="16.5" x14ac:dyDescent="0.35">
      <c r="A4792" s="2" t="str">
        <f ca="1">IFERROR(__xludf.DUMMYFUNCTION("""COMPUTED_VALUE"""),"Dubai")</f>
        <v>Dubai</v>
      </c>
      <c r="B4792" s="2" t="str">
        <f ca="1">IFERROR(__xludf.DUMMYFUNCTION("""COMPUTED_VALUE"""),"Mankhool 56")</f>
        <v>Mankhool 56</v>
      </c>
      <c r="C4792" s="2" t="str">
        <f ca="1">IFERROR(__xludf.DUMMYFUNCTION("""COMPUTED_VALUE"""),"Building")</f>
        <v>Building</v>
      </c>
      <c r="D4792" s="2" t="str">
        <f ca="1">IFERROR(__xludf.DUMMYFUNCTION("""COMPUTED_VALUE"""),"Dubai&gt;Bur Dubai&gt;Al Mankhool&gt;Mankhool 56")</f>
        <v>Dubai&gt;Bur Dubai&gt;Al Mankhool&gt;Mankhool 56</v>
      </c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</row>
    <row r="4793" spans="1:26" ht="16.5" x14ac:dyDescent="0.35">
      <c r="A4793" s="2" t="str">
        <f ca="1">IFERROR(__xludf.DUMMYFUNCTION("""COMPUTED_VALUE"""),"Dubai")</f>
        <v>Dubai</v>
      </c>
      <c r="B4793" s="2" t="str">
        <f ca="1">IFERROR(__xludf.DUMMYFUNCTION("""COMPUTED_VALUE"""),"Manazil Al Mankhool 01")</f>
        <v>Manazil Al Mankhool 01</v>
      </c>
      <c r="C4793" s="2" t="str">
        <f ca="1">IFERROR(__xludf.DUMMYFUNCTION("""COMPUTED_VALUE"""),"Building")</f>
        <v>Building</v>
      </c>
      <c r="D4793" s="2" t="str">
        <f ca="1">IFERROR(__xludf.DUMMYFUNCTION("""COMPUTED_VALUE"""),"Dubai&gt;Bur Dubai&gt;Al Mankhool&gt;Manazil Al Mankhool 01")</f>
        <v>Dubai&gt;Bur Dubai&gt;Al Mankhool&gt;Manazil Al Mankhool 01</v>
      </c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</row>
    <row r="4794" spans="1:26" ht="16.5" x14ac:dyDescent="0.35">
      <c r="A4794" s="2" t="str">
        <f ca="1">IFERROR(__xludf.DUMMYFUNCTION("""COMPUTED_VALUE"""),"Dubai")</f>
        <v>Dubai</v>
      </c>
      <c r="B4794" s="2" t="str">
        <f ca="1">IFERROR(__xludf.DUMMYFUNCTION("""COMPUTED_VALUE"""),"Park Gate Residence")</f>
        <v>Park Gate Residence</v>
      </c>
      <c r="C4794" s="2" t="str">
        <f ca="1">IFERROR(__xludf.DUMMYFUNCTION("""COMPUTED_VALUE"""),"Cluster")</f>
        <v>Cluster</v>
      </c>
      <c r="D4794" s="2" t="str">
        <f ca="1">IFERROR(__xludf.DUMMYFUNCTION("""COMPUTED_VALUE"""),"Dubai&gt;Bur Dubai&gt;Al Kifaf&gt;Park Gate Residence")</f>
        <v>Dubai&gt;Bur Dubai&gt;Al Kifaf&gt;Park Gate Residence</v>
      </c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</row>
    <row r="4795" spans="1:26" ht="16.5" x14ac:dyDescent="0.35">
      <c r="A4795" s="2" t="str">
        <f ca="1">IFERROR(__xludf.DUMMYFUNCTION("""COMPUTED_VALUE"""),"Dubai")</f>
        <v>Dubai</v>
      </c>
      <c r="B4795" s="2" t="str">
        <f ca="1">IFERROR(__xludf.DUMMYFUNCTION("""COMPUTED_VALUE"""),"Corniche Building")</f>
        <v>Corniche Building</v>
      </c>
      <c r="C4795" s="2" t="str">
        <f ca="1">IFERROR(__xludf.DUMMYFUNCTION("""COMPUTED_VALUE"""),"Building")</f>
        <v>Building</v>
      </c>
      <c r="D4795" s="2" t="str">
        <f ca="1">IFERROR(__xludf.DUMMYFUNCTION("""COMPUTED_VALUE"""),"Dubai&gt;Bur Dubai&gt;Umm Hurair&gt;Umm Hurair 1&gt;Corniche Building")</f>
        <v>Dubai&gt;Bur Dubai&gt;Umm Hurair&gt;Umm Hurair 1&gt;Corniche Building</v>
      </c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</row>
    <row r="4796" spans="1:26" ht="16.5" x14ac:dyDescent="0.35">
      <c r="A4796" s="2" t="str">
        <f ca="1">IFERROR(__xludf.DUMMYFUNCTION("""COMPUTED_VALUE"""),"Dubai")</f>
        <v>Dubai</v>
      </c>
      <c r="B4796" s="2" t="str">
        <f ca="1">IFERROR(__xludf.DUMMYFUNCTION("""COMPUTED_VALUE"""),"Souk Al Kabeer-4 Building")</f>
        <v>Souk Al Kabeer-4 Building</v>
      </c>
      <c r="C4796" s="2" t="str">
        <f ca="1">IFERROR(__xludf.DUMMYFUNCTION("""COMPUTED_VALUE"""),"Building")</f>
        <v>Building</v>
      </c>
      <c r="D4796" s="2" t="str">
        <f ca="1">IFERROR(__xludf.DUMMYFUNCTION("""COMPUTED_VALUE"""),"Dubai&gt;Bur Dubai&gt;Al Souk Al Kabeer (Al Fahidi)&gt;Souk Al Kabeer-4 Building")</f>
        <v>Dubai&gt;Bur Dubai&gt;Al Souk Al Kabeer (Al Fahidi)&gt;Souk Al Kabeer-4 Building</v>
      </c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</row>
    <row r="4797" spans="1:26" ht="16.5" x14ac:dyDescent="0.35">
      <c r="A4797" s="2" t="str">
        <f ca="1">IFERROR(__xludf.DUMMYFUNCTION("""COMPUTED_VALUE"""),"Dubai")</f>
        <v>Dubai</v>
      </c>
      <c r="B4797" s="2" t="str">
        <f ca="1">IFERROR(__xludf.DUMMYFUNCTION("""COMPUTED_VALUE"""),"Al Fateh Building")</f>
        <v>Al Fateh Building</v>
      </c>
      <c r="C4797" s="2" t="str">
        <f ca="1">IFERROR(__xludf.DUMMYFUNCTION("""COMPUTED_VALUE"""),"Building")</f>
        <v>Building</v>
      </c>
      <c r="D4797" s="2" t="str">
        <f ca="1">IFERROR(__xludf.DUMMYFUNCTION("""COMPUTED_VALUE"""),"Dubai&gt;Bur Dubai&gt;Al Hamriya&gt;Al Fateh Building")</f>
        <v>Dubai&gt;Bur Dubai&gt;Al Hamriya&gt;Al Fateh Building</v>
      </c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</row>
    <row r="4798" spans="1:26" ht="16.5" x14ac:dyDescent="0.35">
      <c r="A4798" s="2" t="str">
        <f ca="1">IFERROR(__xludf.DUMMYFUNCTION("""COMPUTED_VALUE"""),"Dubai")</f>
        <v>Dubai</v>
      </c>
      <c r="B4798" s="2" t="str">
        <f ca="1">IFERROR(__xludf.DUMMYFUNCTION("""COMPUTED_VALUE"""),"Al Baker Building")</f>
        <v>Al Baker Building</v>
      </c>
      <c r="C4798" s="2" t="str">
        <f ca="1">IFERROR(__xludf.DUMMYFUNCTION("""COMPUTED_VALUE"""),"Building")</f>
        <v>Building</v>
      </c>
      <c r="D4798" s="2" t="str">
        <f ca="1">IFERROR(__xludf.DUMMYFUNCTION("""COMPUTED_VALUE"""),"Dubai&gt;Bur Dubai&gt;Dubai Healthcare City&gt;Al Baker Building")</f>
        <v>Dubai&gt;Bur Dubai&gt;Dubai Healthcare City&gt;Al Baker Building</v>
      </c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</row>
    <row r="4799" spans="1:26" ht="16.5" x14ac:dyDescent="0.35">
      <c r="A4799" s="2" t="str">
        <f ca="1">IFERROR(__xludf.DUMMYFUNCTION("""COMPUTED_VALUE"""),"Dubai")</f>
        <v>Dubai</v>
      </c>
      <c r="B4799" s="2" t="str">
        <f ca="1">IFERROR(__xludf.DUMMYFUNCTION("""COMPUTED_VALUE"""),"Jumeirah Luxury")</f>
        <v>Jumeirah Luxury</v>
      </c>
      <c r="C4799" s="2" t="str">
        <f ca="1">IFERROR(__xludf.DUMMYFUNCTION("""COMPUTED_VALUE"""),"Neighbourhood")</f>
        <v>Neighbourhood</v>
      </c>
      <c r="D4799" s="2" t="str">
        <f ca="1">IFERROR(__xludf.DUMMYFUNCTION("""COMPUTED_VALUE"""),"Dubai&gt;Jumeirah Golf Estates&gt;Jumeirah Luxury")</f>
        <v>Dubai&gt;Jumeirah Golf Estates&gt;Jumeirah Luxury</v>
      </c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</row>
    <row r="4800" spans="1:26" ht="16.5" x14ac:dyDescent="0.35">
      <c r="A4800" s="2" t="str">
        <f ca="1">IFERROR(__xludf.DUMMYFUNCTION("""COMPUTED_VALUE"""),"Dubai")</f>
        <v>Dubai</v>
      </c>
      <c r="B4800" s="2" t="str">
        <f ca="1">IFERROR(__xludf.DUMMYFUNCTION("""COMPUTED_VALUE"""),"Palace Beach Residence Tower 2")</f>
        <v>Palace Beach Residence Tower 2</v>
      </c>
      <c r="C4800" s="2" t="str">
        <f ca="1">IFERROR(__xludf.DUMMYFUNCTION("""COMPUTED_VALUE"""),"Building")</f>
        <v>Building</v>
      </c>
      <c r="D4800" s="2" t="str">
        <f ca="1">IFERROR(__xludf.DUMMYFUNCTION("""COMPUTED_VALUE"""),"Dubai&gt;Dubai Harbour&gt;Emaar Beachfront&gt;Palace Beach Residence&gt;Palace Beach Residence Tower 2")</f>
        <v>Dubai&gt;Dubai Harbour&gt;Emaar Beachfront&gt;Palace Beach Residence&gt;Palace Beach Residence Tower 2</v>
      </c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</row>
    <row r="4801" spans="1:26" ht="16.5" x14ac:dyDescent="0.35">
      <c r="A4801" s="2" t="str">
        <f ca="1">IFERROR(__xludf.DUMMYFUNCTION("""COMPUTED_VALUE"""),"Dubai")</f>
        <v>Dubai</v>
      </c>
      <c r="B4801" s="2" t="str">
        <f ca="1">IFERROR(__xludf.DUMMYFUNCTION("""COMPUTED_VALUE"""),"DAMAC Bay Tower C")</f>
        <v>DAMAC Bay Tower C</v>
      </c>
      <c r="C4801" s="2" t="str">
        <f ca="1">IFERROR(__xludf.DUMMYFUNCTION("""COMPUTED_VALUE"""),"Building")</f>
        <v>Building</v>
      </c>
      <c r="D4801" s="2" t="str">
        <f ca="1">IFERROR(__xludf.DUMMYFUNCTION("""COMPUTED_VALUE"""),"Dubai&gt;Dubai Harbour&gt;DAMAC Bay by Cavalli&gt;DAMAC Bay Tower C")</f>
        <v>Dubai&gt;Dubai Harbour&gt;DAMAC Bay by Cavalli&gt;DAMAC Bay Tower C</v>
      </c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</row>
    <row r="4802" spans="1:26" ht="16.5" x14ac:dyDescent="0.35">
      <c r="A4802" s="2" t="str">
        <f ca="1">IFERROR(__xludf.DUMMYFUNCTION("""COMPUTED_VALUE"""),"Dubai")</f>
        <v>Dubai</v>
      </c>
      <c r="B4802" s="2" t="str">
        <f ca="1">IFERROR(__xludf.DUMMYFUNCTION("""COMPUTED_VALUE"""),"Viridis Tower B")</f>
        <v>Viridis Tower B</v>
      </c>
      <c r="C4802" s="2" t="str">
        <f ca="1">IFERROR(__xludf.DUMMYFUNCTION("""COMPUTED_VALUE"""),"Building")</f>
        <v>Building</v>
      </c>
      <c r="D4802" s="2" t="str">
        <f ca="1">IFERROR(__xludf.DUMMYFUNCTION("""COMPUTED_VALUE"""),"Dubai&gt;DAMAC Hills 2 (Akoya by DAMAC)&gt;Viridis Residence and Hotel Apartments&gt;Viridis Tower B")</f>
        <v>Dubai&gt;DAMAC Hills 2 (Akoya by DAMAC)&gt;Viridis Residence and Hotel Apartments&gt;Viridis Tower B</v>
      </c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</row>
    <row r="4803" spans="1:26" ht="16.5" x14ac:dyDescent="0.35">
      <c r="A4803" s="2" t="str">
        <f ca="1">IFERROR(__xludf.DUMMYFUNCTION("""COMPUTED_VALUE"""),"Dubai")</f>
        <v>Dubai</v>
      </c>
      <c r="B4803" s="2" t="str">
        <f ca="1">IFERROR(__xludf.DUMMYFUNCTION("""COMPUTED_VALUE"""),"Hummingbird Nursery DAFZ")</f>
        <v>Hummingbird Nursery DAFZ</v>
      </c>
      <c r="C4803" s="2" t="str">
        <f ca="1">IFERROR(__xludf.DUMMYFUNCTION("""COMPUTED_VALUE"""),"Nursery")</f>
        <v>Nursery</v>
      </c>
      <c r="D4803" s="2" t="str">
        <f ca="1">IFERROR(__xludf.DUMMYFUNCTION("""COMPUTED_VALUE"""),"Dubai&gt;Dubai Airport Freezone (DAFZA)&gt;Hummingbird Nursery DAFZ")</f>
        <v>Dubai&gt;Dubai Airport Freezone (DAFZA)&gt;Hummingbird Nursery DAFZ</v>
      </c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</row>
    <row r="4804" spans="1:26" ht="16.5" x14ac:dyDescent="0.35">
      <c r="A4804" s="2" t="str">
        <f ca="1">IFERROR(__xludf.DUMMYFUNCTION("""COMPUTED_VALUE"""),"Dubai")</f>
        <v>Dubai</v>
      </c>
      <c r="B4804" s="2" t="str">
        <f ca="1">IFERROR(__xludf.DUMMYFUNCTION("""COMPUTED_VALUE"""),"G-06")</f>
        <v>G-06</v>
      </c>
      <c r="C4804" s="2" t="str">
        <f ca="1">IFERROR(__xludf.DUMMYFUNCTION("""COMPUTED_VALUE"""),"Building")</f>
        <v>Building</v>
      </c>
      <c r="D4804" s="2" t="str">
        <f ca="1">IFERROR(__xludf.DUMMYFUNCTION("""COMPUTED_VALUE"""),"Dubai&gt;International City&gt;Morocco Cluster&gt;G-06")</f>
        <v>Dubai&gt;International City&gt;Morocco Cluster&gt;G-06</v>
      </c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</row>
    <row r="4805" spans="1:26" ht="16.5" x14ac:dyDescent="0.35">
      <c r="A4805" s="2" t="str">
        <f ca="1">IFERROR(__xludf.DUMMYFUNCTION("""COMPUTED_VALUE"""),"Dubai")</f>
        <v>Dubai</v>
      </c>
      <c r="B4805" s="2" t="str">
        <f ca="1">IFERROR(__xludf.DUMMYFUNCTION("""COMPUTED_VALUE"""),"A-04")</f>
        <v>A-04</v>
      </c>
      <c r="C4805" s="2" t="str">
        <f ca="1">IFERROR(__xludf.DUMMYFUNCTION("""COMPUTED_VALUE"""),"Building")</f>
        <v>Building</v>
      </c>
      <c r="D4805" s="2" t="str">
        <f ca="1">IFERROR(__xludf.DUMMYFUNCTION("""COMPUTED_VALUE"""),"Dubai&gt;International City&gt;China Cluster&gt;A-04")</f>
        <v>Dubai&gt;International City&gt;China Cluster&gt;A-04</v>
      </c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</row>
    <row r="4806" spans="1:26" ht="16.5" x14ac:dyDescent="0.35">
      <c r="A4806" s="2" t="str">
        <f ca="1">IFERROR(__xludf.DUMMYFUNCTION("""COMPUTED_VALUE"""),"Dubai")</f>
        <v>Dubai</v>
      </c>
      <c r="B4806" s="2" t="str">
        <f ca="1">IFERROR(__xludf.DUMMYFUNCTION("""COMPUTED_VALUE"""),"C-11")</f>
        <v>C-11</v>
      </c>
      <c r="C4806" s="2" t="str">
        <f ca="1">IFERROR(__xludf.DUMMYFUNCTION("""COMPUTED_VALUE"""),"Building")</f>
        <v>Building</v>
      </c>
      <c r="D4806" s="2" t="str">
        <f ca="1">IFERROR(__xludf.DUMMYFUNCTION("""COMPUTED_VALUE"""),"Dubai&gt;International City&gt;China Cluster&gt;C-11")</f>
        <v>Dubai&gt;International City&gt;China Cluster&gt;C-11</v>
      </c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</row>
    <row r="4807" spans="1:26" ht="16.5" x14ac:dyDescent="0.35">
      <c r="A4807" s="2" t="str">
        <f ca="1">IFERROR(__xludf.DUMMYFUNCTION("""COMPUTED_VALUE"""),"Dubai")</f>
        <v>Dubai</v>
      </c>
      <c r="B4807" s="2" t="str">
        <f ca="1">IFERROR(__xludf.DUMMYFUNCTION("""COMPUTED_VALUE"""),"H-02")</f>
        <v>H-02</v>
      </c>
      <c r="C4807" s="2" t="str">
        <f ca="1">IFERROR(__xludf.DUMMYFUNCTION("""COMPUTED_VALUE"""),"Building")</f>
        <v>Building</v>
      </c>
      <c r="D4807" s="2" t="str">
        <f ca="1">IFERROR(__xludf.DUMMYFUNCTION("""COMPUTED_VALUE"""),"Dubai&gt;International City&gt;China Cluster&gt;H-02")</f>
        <v>Dubai&gt;International City&gt;China Cluster&gt;H-02</v>
      </c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</row>
    <row r="4808" spans="1:26" ht="16.5" x14ac:dyDescent="0.35">
      <c r="A4808" s="2" t="str">
        <f ca="1">IFERROR(__xludf.DUMMYFUNCTION("""COMPUTED_VALUE"""),"Dubai")</f>
        <v>Dubai</v>
      </c>
      <c r="B4808" s="2" t="str">
        <f ca="1">IFERROR(__xludf.DUMMYFUNCTION("""COMPUTED_VALUE"""),"S-11")</f>
        <v>S-11</v>
      </c>
      <c r="C4808" s="2" t="str">
        <f ca="1">IFERROR(__xludf.DUMMYFUNCTION("""COMPUTED_VALUE"""),"Building")</f>
        <v>Building</v>
      </c>
      <c r="D4808" s="2" t="str">
        <f ca="1">IFERROR(__xludf.DUMMYFUNCTION("""COMPUTED_VALUE"""),"Dubai&gt;International City&gt;Spain Cluster&gt;S-11")</f>
        <v>Dubai&gt;International City&gt;Spain Cluster&gt;S-11</v>
      </c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</row>
    <row r="4809" spans="1:26" ht="16.5" x14ac:dyDescent="0.35">
      <c r="A4809" s="2" t="str">
        <f ca="1">IFERROR(__xludf.DUMMYFUNCTION("""COMPUTED_VALUE"""),"Dubai")</f>
        <v>Dubai</v>
      </c>
      <c r="B4809" s="2" t="str">
        <f ca="1">IFERROR(__xludf.DUMMYFUNCTION("""COMPUTED_VALUE"""),"U-14")</f>
        <v>U-14</v>
      </c>
      <c r="C4809" s="2" t="str">
        <f ca="1">IFERROR(__xludf.DUMMYFUNCTION("""COMPUTED_VALUE"""),"Building")</f>
        <v>Building</v>
      </c>
      <c r="D4809" s="2" t="str">
        <f ca="1">IFERROR(__xludf.DUMMYFUNCTION("""COMPUTED_VALUE"""),"Dubai&gt;International City&gt;Italy Cluster&gt;U-14")</f>
        <v>Dubai&gt;International City&gt;Italy Cluster&gt;U-14</v>
      </c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</row>
    <row r="4810" spans="1:26" ht="16.5" x14ac:dyDescent="0.35">
      <c r="A4810" s="2" t="str">
        <f ca="1">IFERROR(__xludf.DUMMYFUNCTION("""COMPUTED_VALUE"""),"Dubai")</f>
        <v>Dubai</v>
      </c>
      <c r="B4810" s="2" t="str">
        <f ca="1">IFERROR(__xludf.DUMMYFUNCTION("""COMPUTED_VALUE"""),"V-20")</f>
        <v>V-20</v>
      </c>
      <c r="C4810" s="2" t="str">
        <f ca="1">IFERROR(__xludf.DUMMYFUNCTION("""COMPUTED_VALUE"""),"Building")</f>
        <v>Building</v>
      </c>
      <c r="D4810" s="2" t="str">
        <f ca="1">IFERROR(__xludf.DUMMYFUNCTION("""COMPUTED_VALUE"""),"Dubai&gt;International City&gt;Russia Cluster&gt;V-20")</f>
        <v>Dubai&gt;International City&gt;Russia Cluster&gt;V-20</v>
      </c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</row>
    <row r="4811" spans="1:26" ht="16.5" x14ac:dyDescent="0.35">
      <c r="A4811" s="2" t="str">
        <f ca="1">IFERROR(__xludf.DUMMYFUNCTION("""COMPUTED_VALUE"""),"Dubai")</f>
        <v>Dubai</v>
      </c>
      <c r="B4811" s="2" t="str">
        <f ca="1">IFERROR(__xludf.DUMMYFUNCTION("""COMPUTED_VALUE"""),"O-04")</f>
        <v>O-04</v>
      </c>
      <c r="C4811" s="2" t="str">
        <f ca="1">IFERROR(__xludf.DUMMYFUNCTION("""COMPUTED_VALUE"""),"Building")</f>
        <v>Building</v>
      </c>
      <c r="D4811" s="2" t="str">
        <f ca="1">IFERROR(__xludf.DUMMYFUNCTION("""COMPUTED_VALUE"""),"Dubai&gt;International City&gt;Persia Cluster&gt;O-04")</f>
        <v>Dubai&gt;International City&gt;Persia Cluster&gt;O-04</v>
      </c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</row>
    <row r="4812" spans="1:26" ht="16.5" x14ac:dyDescent="0.35">
      <c r="A4812" s="2" t="str">
        <f ca="1">IFERROR(__xludf.DUMMYFUNCTION("""COMPUTED_VALUE"""),"Dubai")</f>
        <v>Dubai</v>
      </c>
      <c r="B4812" s="2" t="str">
        <f ca="1">IFERROR(__xludf.DUMMYFUNCTION("""COMPUTED_VALUE"""),"EMR-22")</f>
        <v>EMR-22</v>
      </c>
      <c r="C4812" s="2" t="str">
        <f ca="1">IFERROR(__xludf.DUMMYFUNCTION("""COMPUTED_VALUE"""),"Building")</f>
        <v>Building</v>
      </c>
      <c r="D4812" s="2" t="str">
        <f ca="1">IFERROR(__xludf.DUMMYFUNCTION("""COMPUTED_VALUE"""),"Dubai&gt;International City&gt;Emirates Cluster&gt;EMR-22")</f>
        <v>Dubai&gt;International City&gt;Emirates Cluster&gt;EMR-22</v>
      </c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</row>
    <row r="4813" spans="1:26" ht="16.5" x14ac:dyDescent="0.35">
      <c r="A4813" s="2" t="str">
        <f ca="1">IFERROR(__xludf.DUMMYFUNCTION("""COMPUTED_VALUE"""),"Dubai")</f>
        <v>Dubai</v>
      </c>
      <c r="B4813" s="2" t="str">
        <f ca="1">IFERROR(__xludf.DUMMYFUNCTION("""COMPUTED_VALUE"""),"X-18")</f>
        <v>X-18</v>
      </c>
      <c r="C4813" s="2" t="str">
        <f ca="1">IFERROR(__xludf.DUMMYFUNCTION("""COMPUTED_VALUE"""),"Building")</f>
        <v>Building</v>
      </c>
      <c r="D4813" s="2" t="str">
        <f ca="1">IFERROR(__xludf.DUMMYFUNCTION("""COMPUTED_VALUE"""),"Dubai&gt;International City&gt;England Cluster&gt;X-18")</f>
        <v>Dubai&gt;International City&gt;England Cluster&gt;X-18</v>
      </c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</row>
    <row r="4814" spans="1:26" ht="16.5" x14ac:dyDescent="0.35">
      <c r="A4814" s="2" t="str">
        <f ca="1">IFERROR(__xludf.DUMMYFUNCTION("""COMPUTED_VALUE"""),"Dubai")</f>
        <v>Dubai</v>
      </c>
      <c r="B4814" s="2" t="str">
        <f ca="1">IFERROR(__xludf.DUMMYFUNCTION("""COMPUTED_VALUE"""),"Y-24")</f>
        <v>Y-24</v>
      </c>
      <c r="C4814" s="2" t="str">
        <f ca="1">IFERROR(__xludf.DUMMYFUNCTION("""COMPUTED_VALUE"""),"Building")</f>
        <v>Building</v>
      </c>
      <c r="D4814" s="2" t="str">
        <f ca="1">IFERROR(__xludf.DUMMYFUNCTION("""COMPUTED_VALUE"""),"Dubai&gt;International City&gt;England Cluster&gt;Y-24")</f>
        <v>Dubai&gt;International City&gt;England Cluster&gt;Y-24</v>
      </c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</row>
    <row r="4815" spans="1:26" ht="16.5" x14ac:dyDescent="0.35">
      <c r="A4815" s="2" t="str">
        <f ca="1">IFERROR(__xludf.DUMMYFUNCTION("""COMPUTED_VALUE"""),"Dubai")</f>
        <v>Dubai</v>
      </c>
      <c r="B4815" s="2" t="str">
        <f ca="1">IFERROR(__xludf.DUMMYFUNCTION("""COMPUTED_VALUE"""),"Park Ville 07")</f>
        <v>Park Ville 07</v>
      </c>
      <c r="C4815" s="2" t="str">
        <f ca="1">IFERROR(__xludf.DUMMYFUNCTION("""COMPUTED_VALUE"""),"Building")</f>
        <v>Building</v>
      </c>
      <c r="D4815" s="2" t="str">
        <f ca="1">IFERROR(__xludf.DUMMYFUNCTION("""COMPUTED_VALUE"""),"Dubai&gt;International City&gt;International City Phase 2 (Warsan 4)&gt;Park Ville 07")</f>
        <v>Dubai&gt;International City&gt;International City Phase 2 (Warsan 4)&gt;Park Ville 07</v>
      </c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</row>
    <row r="4816" spans="1:26" ht="16.5" x14ac:dyDescent="0.35">
      <c r="A4816" s="2" t="str">
        <f ca="1">IFERROR(__xludf.DUMMYFUNCTION("""COMPUTED_VALUE"""),"Dubai")</f>
        <v>Dubai</v>
      </c>
      <c r="B4816" s="2" t="str">
        <f ca="1">IFERROR(__xludf.DUMMYFUNCTION("""COMPUTED_VALUE"""),"Al Owais Icon")</f>
        <v>Al Owais Icon</v>
      </c>
      <c r="C4816" s="2" t="str">
        <f ca="1">IFERROR(__xludf.DUMMYFUNCTION("""COMPUTED_VALUE"""),"Building")</f>
        <v>Building</v>
      </c>
      <c r="D4816" s="2" t="str">
        <f ca="1">IFERROR(__xludf.DUMMYFUNCTION("""COMPUTED_VALUE"""),"Dubai&gt;International City&gt;International City Phase 2 (Warsan 4)&gt;Al Owais Icon")</f>
        <v>Dubai&gt;International City&gt;International City Phase 2 (Warsan 4)&gt;Al Owais Icon</v>
      </c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</row>
    <row r="4817" spans="1:26" ht="16.5" x14ac:dyDescent="0.35">
      <c r="A4817" s="2" t="str">
        <f ca="1">IFERROR(__xludf.DUMMYFUNCTION("""COMPUTED_VALUE"""),"Dubai")</f>
        <v>Dubai</v>
      </c>
      <c r="B4817" s="2" t="str">
        <f ca="1">IFERROR(__xludf.DUMMYFUNCTION("""COMPUTED_VALUE"""),"Sandy Avenue - 7 Seasons")</f>
        <v>Sandy Avenue - 7 Seasons</v>
      </c>
      <c r="C4817" s="2" t="str">
        <f ca="1">IFERROR(__xludf.DUMMYFUNCTION("""COMPUTED_VALUE"""),"Building")</f>
        <v>Building</v>
      </c>
      <c r="D4817" s="2" t="str">
        <f ca="1">IFERROR(__xludf.DUMMYFUNCTION("""COMPUTED_VALUE"""),"Dubai&gt;International City&gt;International City Phase 2 (Warsan 4)&gt;Sandy Avenue - 7 Seasons")</f>
        <v>Dubai&gt;International City&gt;International City Phase 2 (Warsan 4)&gt;Sandy Avenue - 7 Seasons</v>
      </c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</row>
    <row r="4818" spans="1:26" ht="16.5" x14ac:dyDescent="0.35">
      <c r="A4818" s="2" t="str">
        <f ca="1">IFERROR(__xludf.DUMMYFUNCTION("""COMPUTED_VALUE"""),"Dubai")</f>
        <v>Dubai</v>
      </c>
      <c r="B4818" s="2" t="str">
        <f ca="1">IFERROR(__xludf.DUMMYFUNCTION("""COMPUTED_VALUE"""),"Akasya")</f>
        <v>Akasya</v>
      </c>
      <c r="C4818" s="2" t="str">
        <f ca="1">IFERROR(__xludf.DUMMYFUNCTION("""COMPUTED_VALUE"""),"Cluster")</f>
        <v>Cluster</v>
      </c>
      <c r="D4818" s="2" t="str">
        <f ca="1">IFERROR(__xludf.DUMMYFUNCTION("""COMPUTED_VALUE"""),"Dubai&gt;International City&gt;International City Phase 2 (Warsan 4)&gt;Akasya")</f>
        <v>Dubai&gt;International City&gt;International City Phase 2 (Warsan 4)&gt;Akasya</v>
      </c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</row>
    <row r="4819" spans="1:26" ht="16.5" x14ac:dyDescent="0.35">
      <c r="A4819" s="2" t="str">
        <f ca="1">IFERROR(__xludf.DUMMYFUNCTION("""COMPUTED_VALUE"""),"Dubai")</f>
        <v>Dubai</v>
      </c>
      <c r="B4819" s="2" t="str">
        <f ca="1">IFERROR(__xludf.DUMMYFUNCTION("""COMPUTED_VALUE"""),"Zyra Hills")</f>
        <v>Zyra Hills</v>
      </c>
      <c r="C4819" s="2" t="str">
        <f ca="1">IFERROR(__xludf.DUMMYFUNCTION("""COMPUTED_VALUE"""),"Building")</f>
        <v>Building</v>
      </c>
      <c r="D4819" s="2" t="str">
        <f ca="1">IFERROR(__xludf.DUMMYFUNCTION("""COMPUTED_VALUE"""),"Dubai&gt;International City&gt;International City Phase 2 (Warsan 4)&gt;Zyra Hills")</f>
        <v>Dubai&gt;International City&gt;International City Phase 2 (Warsan 4)&gt;Zyra Hills</v>
      </c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</row>
    <row r="4820" spans="1:26" ht="16.5" x14ac:dyDescent="0.35">
      <c r="A4820" s="2" t="str">
        <f ca="1">IFERROR(__xludf.DUMMYFUNCTION("""COMPUTED_VALUE"""),"Dubai")</f>
        <v>Dubai</v>
      </c>
      <c r="B4820" s="2" t="str">
        <f ca="1">IFERROR(__xludf.DUMMYFUNCTION("""COMPUTED_VALUE"""),"P-01")</f>
        <v>P-01</v>
      </c>
      <c r="C4820" s="2" t="str">
        <f ca="1">IFERROR(__xludf.DUMMYFUNCTION("""COMPUTED_VALUE"""),"Building")</f>
        <v>Building</v>
      </c>
      <c r="D4820" s="2" t="str">
        <f ca="1">IFERROR(__xludf.DUMMYFUNCTION("""COMPUTED_VALUE"""),"Dubai&gt;International City&gt;France Cluster&gt;P-01")</f>
        <v>Dubai&gt;International City&gt;France Cluster&gt;P-01</v>
      </c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</row>
    <row r="4821" spans="1:26" ht="16.5" x14ac:dyDescent="0.35">
      <c r="A4821" s="2" t="str">
        <f ca="1">IFERROR(__xludf.DUMMYFUNCTION("""COMPUTED_VALUE"""),"Dubai")</f>
        <v>Dubai</v>
      </c>
      <c r="B4821" s="2" t="str">
        <f ca="1">IFERROR(__xludf.DUMMYFUNCTION("""COMPUTED_VALUE"""),"R-02")</f>
        <v>R-02</v>
      </c>
      <c r="C4821" s="2" t="str">
        <f ca="1">IFERROR(__xludf.DUMMYFUNCTION("""COMPUTED_VALUE"""),"Building")</f>
        <v>Building</v>
      </c>
      <c r="D4821" s="2" t="str">
        <f ca="1">IFERROR(__xludf.DUMMYFUNCTION("""COMPUTED_VALUE"""),"Dubai&gt;International City&gt;France Cluster&gt;R-02")</f>
        <v>Dubai&gt;International City&gt;France Cluster&gt;R-02</v>
      </c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</row>
    <row r="4822" spans="1:26" ht="16.5" x14ac:dyDescent="0.35">
      <c r="A4822" s="2" t="str">
        <f ca="1">IFERROR(__xludf.DUMMYFUNCTION("""COMPUTED_VALUE"""),"Dubai")</f>
        <v>Dubai</v>
      </c>
      <c r="B4822" s="2" t="str">
        <f ca="1">IFERROR(__xludf.DUMMYFUNCTION("""COMPUTED_VALUE"""),"MD 63 Residence")</f>
        <v>MD 63 Residence</v>
      </c>
      <c r="C4822" s="2" t="str">
        <f ca="1">IFERROR(__xludf.DUMMYFUNCTION("""COMPUTED_VALUE"""),"Building")</f>
        <v>Building</v>
      </c>
      <c r="D4822" s="2" t="str">
        <f ca="1">IFERROR(__xludf.DUMMYFUNCTION("""COMPUTED_VALUE"""),"Dubai&gt;International City&gt;MD 63 Residence")</f>
        <v>Dubai&gt;International City&gt;MD 63 Residence</v>
      </c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</row>
    <row r="4823" spans="1:26" ht="16.5" x14ac:dyDescent="0.35">
      <c r="A4823" s="2" t="str">
        <f ca="1">IFERROR(__xludf.DUMMYFUNCTION("""COMPUTED_VALUE"""),"Dubai")</f>
        <v>Dubai</v>
      </c>
      <c r="B4823" s="2" t="str">
        <f ca="1">IFERROR(__xludf.DUMMYFUNCTION("""COMPUTED_VALUE"""),"CBD-E03")</f>
        <v>CBD-E03</v>
      </c>
      <c r="C4823" s="2" t="str">
        <f ca="1">IFERROR(__xludf.DUMMYFUNCTION("""COMPUTED_VALUE"""),"Building")</f>
        <v>Building</v>
      </c>
      <c r="D4823" s="2" t="str">
        <f ca="1">IFERROR(__xludf.DUMMYFUNCTION("""COMPUTED_VALUE"""),"Dubai&gt;International City&gt;Central Business District&gt;CBD-E03")</f>
        <v>Dubai&gt;International City&gt;Central Business District&gt;CBD-E03</v>
      </c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</row>
    <row r="4824" spans="1:26" ht="16.5" x14ac:dyDescent="0.35">
      <c r="A4824" s="2" t="str">
        <f ca="1">IFERROR(__xludf.DUMMYFUNCTION("""COMPUTED_VALUE"""),"Dubai")</f>
        <v>Dubai</v>
      </c>
      <c r="B4824" s="2" t="str">
        <f ca="1">IFERROR(__xludf.DUMMYFUNCTION("""COMPUTED_VALUE"""),"Longford Residences by Devan Real Estate Development")</f>
        <v>Longford Residences by Devan Real Estate Development</v>
      </c>
      <c r="C4824" s="2" t="str">
        <f ca="1">IFERROR(__xludf.DUMMYFUNCTION("""COMPUTED_VALUE"""),"Building")</f>
        <v>Building</v>
      </c>
      <c r="D4824" s="2" t="str">
        <f ca="1">IFERROR(__xludf.DUMMYFUNCTION("""COMPUTED_VALUE"""),"Dubai&gt;International City&gt;Longford Residences by Devan Real Estate Development")</f>
        <v>Dubai&gt;International City&gt;Longford Residences by Devan Real Estate Development</v>
      </c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</row>
    <row r="4825" spans="1:26" ht="16.5" x14ac:dyDescent="0.35">
      <c r="A4825" s="2" t="str">
        <f ca="1">IFERROR(__xludf.DUMMYFUNCTION("""COMPUTED_VALUE"""),"Dubai")</f>
        <v>Dubai</v>
      </c>
      <c r="B4825" s="2" t="str">
        <f ca="1">IFERROR(__xludf.DUMMYFUNCTION("""COMPUTED_VALUE"""),"Pier 8")</f>
        <v>Pier 8</v>
      </c>
      <c r="C4825" s="2" t="str">
        <f ca="1">IFERROR(__xludf.DUMMYFUNCTION("""COMPUTED_VALUE"""),"Building")</f>
        <v>Building</v>
      </c>
      <c r="D4825" s="2" t="str">
        <f ca="1">IFERROR(__xludf.DUMMYFUNCTION("""COMPUTED_VALUE"""),"Dubai&gt;Dubai Marina&gt;Pier 8")</f>
        <v>Dubai&gt;Dubai Marina&gt;Pier 8</v>
      </c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</row>
    <row r="4826" spans="1:26" ht="16.5" x14ac:dyDescent="0.35">
      <c r="A4826" s="2" t="str">
        <f ca="1">IFERROR(__xludf.DUMMYFUNCTION("""COMPUTED_VALUE"""),"Dubai")</f>
        <v>Dubai</v>
      </c>
      <c r="B4826" s="2" t="str">
        <f ca="1">IFERROR(__xludf.DUMMYFUNCTION("""COMPUTED_VALUE"""),"Elite Residence")</f>
        <v>Elite Residence</v>
      </c>
      <c r="C4826" s="2" t="str">
        <f ca="1">IFERROR(__xludf.DUMMYFUNCTION("""COMPUTED_VALUE"""),"Building")</f>
        <v>Building</v>
      </c>
      <c r="D4826" s="2" t="str">
        <f ca="1">IFERROR(__xludf.DUMMYFUNCTION("""COMPUTED_VALUE"""),"Dubai&gt;Dubai Marina&gt;Elite Residence")</f>
        <v>Dubai&gt;Dubai Marina&gt;Elite Residence</v>
      </c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</row>
    <row r="4827" spans="1:26" ht="16.5" x14ac:dyDescent="0.35">
      <c r="A4827" s="2" t="str">
        <f ca="1">IFERROR(__xludf.DUMMYFUNCTION("""COMPUTED_VALUE"""),"Dubai")</f>
        <v>Dubai</v>
      </c>
      <c r="B4827" s="2" t="str">
        <f ca="1">IFERROR(__xludf.DUMMYFUNCTION("""COMPUTED_VALUE"""),"Raffles Nursery Dubai Marina")</f>
        <v>Raffles Nursery Dubai Marina</v>
      </c>
      <c r="C4827" s="2" t="str">
        <f ca="1">IFERROR(__xludf.DUMMYFUNCTION("""COMPUTED_VALUE"""),"Nursery")</f>
        <v>Nursery</v>
      </c>
      <c r="D4827" s="2" t="str">
        <f ca="1">IFERROR(__xludf.DUMMYFUNCTION("""COMPUTED_VALUE"""),"Dubai&gt;Dubai Marina&gt;Dubai Marina Towers&gt;Raffles Nursery Dubai Marina")</f>
        <v>Dubai&gt;Dubai Marina&gt;Dubai Marina Towers&gt;Raffles Nursery Dubai Marina</v>
      </c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</row>
    <row r="4828" spans="1:26" ht="16.5" x14ac:dyDescent="0.35">
      <c r="A4828" s="2" t="str">
        <f ca="1">IFERROR(__xludf.DUMMYFUNCTION("""COMPUTED_VALUE"""),"Dubai")</f>
        <v>Dubai</v>
      </c>
      <c r="B4828" s="2" t="str">
        <f ca="1">IFERROR(__xludf.DUMMYFUNCTION("""COMPUTED_VALUE"""),"Delphine")</f>
        <v>Delphine</v>
      </c>
      <c r="C4828" s="2" t="str">
        <f ca="1">IFERROR(__xludf.DUMMYFUNCTION("""COMPUTED_VALUE"""),"Building")</f>
        <v>Building</v>
      </c>
      <c r="D4828" s="2" t="str">
        <f ca="1">IFERROR(__xludf.DUMMYFUNCTION("""COMPUTED_VALUE"""),"Dubai&gt;Dubai Marina&gt;Marina Promenade&gt;Delphine")</f>
        <v>Dubai&gt;Dubai Marina&gt;Marina Promenade&gt;Delphine</v>
      </c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</row>
    <row r="4829" spans="1:26" ht="16.5" x14ac:dyDescent="0.35">
      <c r="A4829" s="2" t="str">
        <f ca="1">IFERROR(__xludf.DUMMYFUNCTION("""COMPUTED_VALUE"""),"Dubai")</f>
        <v>Dubai</v>
      </c>
      <c r="B4829" s="2" t="str">
        <f ca="1">IFERROR(__xludf.DUMMYFUNCTION("""COMPUTED_VALUE"""),"Dream Tower 2")</f>
        <v>Dream Tower 2</v>
      </c>
      <c r="C4829" s="2" t="str">
        <f ca="1">IFERROR(__xludf.DUMMYFUNCTION("""COMPUTED_VALUE"""),"Building")</f>
        <v>Building</v>
      </c>
      <c r="D4829" s="2" t="str">
        <f ca="1">IFERROR(__xludf.DUMMYFUNCTION("""COMPUTED_VALUE"""),"Dubai&gt;Dubai Marina&gt;Dream Towers&gt;Dream Tower 2")</f>
        <v>Dubai&gt;Dubai Marina&gt;Dream Towers&gt;Dream Tower 2</v>
      </c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</row>
    <row r="4830" spans="1:26" ht="16.5" x14ac:dyDescent="0.35">
      <c r="A4830" s="2" t="str">
        <f ca="1">IFERROR(__xludf.DUMMYFUNCTION("""COMPUTED_VALUE"""),"Dubai")</f>
        <v>Dubai</v>
      </c>
      <c r="B4830" s="2" t="str">
        <f ca="1">IFERROR(__xludf.DUMMYFUNCTION("""COMPUTED_VALUE"""),"JW Marriott Hotel Marina")</f>
        <v>JW Marriott Hotel Marina</v>
      </c>
      <c r="C4830" s="2" t="str">
        <f ca="1">IFERROR(__xludf.DUMMYFUNCTION("""COMPUTED_VALUE"""),"Building")</f>
        <v>Building</v>
      </c>
      <c r="D4830" s="2" t="str">
        <f ca="1">IFERROR(__xludf.DUMMYFUNCTION("""COMPUTED_VALUE"""),"Dubai&gt;Dubai Marina&gt;JW Marriott Hotel Marina")</f>
        <v>Dubai&gt;Dubai Marina&gt;JW Marriott Hotel Marina</v>
      </c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</row>
    <row r="4831" spans="1:26" ht="16.5" x14ac:dyDescent="0.35">
      <c r="A4831" s="2" t="str">
        <f ca="1">IFERROR(__xludf.DUMMYFUNCTION("""COMPUTED_VALUE"""),"Dubai")</f>
        <v>Dubai</v>
      </c>
      <c r="B4831" s="2" t="str">
        <f ca="1">IFERROR(__xludf.DUMMYFUNCTION("""COMPUTED_VALUE"""),"The Residences at the Dubai Beach Edition")</f>
        <v>The Residences at the Dubai Beach Edition</v>
      </c>
      <c r="C4831" s="2" t="str">
        <f ca="1">IFERROR(__xludf.DUMMYFUNCTION("""COMPUTED_VALUE"""),"Cluster")</f>
        <v>Cluster</v>
      </c>
      <c r="D4831" s="2" t="str">
        <f ca="1">IFERROR(__xludf.DUMMYFUNCTION("""COMPUTED_VALUE"""),"Dubai&gt;Dubai Marina&gt;The Residences at the Dubai Beach Edition")</f>
        <v>Dubai&gt;Dubai Marina&gt;The Residences at the Dubai Beach Edition</v>
      </c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</row>
    <row r="4832" spans="1:26" ht="16.5" x14ac:dyDescent="0.35">
      <c r="A4832" s="2" t="str">
        <f ca="1">IFERROR(__xludf.DUMMYFUNCTION("""COMPUTED_VALUE"""),"Dubai")</f>
        <v>Dubai</v>
      </c>
      <c r="B4832" s="2" t="str">
        <f ca="1">IFERROR(__xludf.DUMMYFUNCTION("""COMPUTED_VALUE"""),"Zahra Breeze Apartments 4A")</f>
        <v>Zahra Breeze Apartments 4A</v>
      </c>
      <c r="C4832" s="2" t="str">
        <f ca="1">IFERROR(__xludf.DUMMYFUNCTION("""COMPUTED_VALUE"""),"Building")</f>
        <v>Building</v>
      </c>
      <c r="D4832" s="2" t="str">
        <f ca="1">IFERROR(__xludf.DUMMYFUNCTION("""COMPUTED_VALUE"""),"Dubai&gt;Town Square&gt;Zahra Breeze Apartments&gt;Zahra Breeze Apartments 4A")</f>
        <v>Dubai&gt;Town Square&gt;Zahra Breeze Apartments&gt;Zahra Breeze Apartments 4A</v>
      </c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</row>
    <row r="4833" spans="1:26" ht="16.5" x14ac:dyDescent="0.35">
      <c r="A4833" s="2" t="str">
        <f ca="1">IFERROR(__xludf.DUMMYFUNCTION("""COMPUTED_VALUE"""),"Dubai")</f>
        <v>Dubai</v>
      </c>
      <c r="B4833" s="2" t="str">
        <f ca="1">IFERROR(__xludf.DUMMYFUNCTION("""COMPUTED_VALUE"""),"Al Qudra Building 3B")</f>
        <v>Al Qudra Building 3B</v>
      </c>
      <c r="C4833" s="2" t="str">
        <f ca="1">IFERROR(__xludf.DUMMYFUNCTION("""COMPUTED_VALUE"""),"Building")</f>
        <v>Building</v>
      </c>
      <c r="D4833" s="2" t="str">
        <f ca="1">IFERROR(__xludf.DUMMYFUNCTION("""COMPUTED_VALUE"""),"Dubai&gt;Town Square&gt;Al Qudra Buildings&gt;Al Qudra Building 3B")</f>
        <v>Dubai&gt;Town Square&gt;Al Qudra Buildings&gt;Al Qudra Building 3B</v>
      </c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</row>
    <row r="4834" spans="1:26" ht="16.5" x14ac:dyDescent="0.35">
      <c r="A4834" s="2" t="str">
        <f ca="1">IFERROR(__xludf.DUMMYFUNCTION("""COMPUTED_VALUE"""),"Dubai")</f>
        <v>Dubai</v>
      </c>
      <c r="B4834" s="2" t="str">
        <f ca="1">IFERROR(__xludf.DUMMYFUNCTION("""COMPUTED_VALUE"""),"Mira 3")</f>
        <v>Mira 3</v>
      </c>
      <c r="C4834" s="2" t="str">
        <f ca="1">IFERROR(__xludf.DUMMYFUNCTION("""COMPUTED_VALUE"""),"Neighbourhood")</f>
        <v>Neighbourhood</v>
      </c>
      <c r="D4834" s="2" t="str">
        <f ca="1">IFERROR(__xludf.DUMMYFUNCTION("""COMPUTED_VALUE"""),"Dubai&gt;Reem&gt;Mira&gt;Mira 3")</f>
        <v>Dubai&gt;Reem&gt;Mira&gt;Mira 3</v>
      </c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</row>
    <row r="4835" spans="1:26" ht="16.5" x14ac:dyDescent="0.35">
      <c r="A4835" s="2" t="str">
        <f ca="1">IFERROR(__xludf.DUMMYFUNCTION("""COMPUTED_VALUE"""),"Dubai")</f>
        <v>Dubai</v>
      </c>
      <c r="B4835" s="2" t="str">
        <f ca="1">IFERROR(__xludf.DUMMYFUNCTION("""COMPUTED_VALUE"""),"Grace Residency")</f>
        <v>Grace Residency</v>
      </c>
      <c r="C4835" s="2" t="str">
        <f ca="1">IFERROR(__xludf.DUMMYFUNCTION("""COMPUTED_VALUE"""),"Building")</f>
        <v>Building</v>
      </c>
      <c r="D4835" s="2" t="str">
        <f ca="1">IFERROR(__xludf.DUMMYFUNCTION("""COMPUTED_VALUE"""),"Dubai&gt;Al Furjan&gt;Grace Residency")</f>
        <v>Dubai&gt;Al Furjan&gt;Grace Residency</v>
      </c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</row>
    <row r="4836" spans="1:26" ht="16.5" x14ac:dyDescent="0.35">
      <c r="A4836" s="2" t="str">
        <f ca="1">IFERROR(__xludf.DUMMYFUNCTION("""COMPUTED_VALUE"""),"Dubai")</f>
        <v>Dubai</v>
      </c>
      <c r="B4836" s="2" t="str">
        <f ca="1">IFERROR(__xludf.DUMMYFUNCTION("""COMPUTED_VALUE"""),"Azizi Star")</f>
        <v>Azizi Star</v>
      </c>
      <c r="C4836" s="2" t="str">
        <f ca="1">IFERROR(__xludf.DUMMYFUNCTION("""COMPUTED_VALUE"""),"Building")</f>
        <v>Building</v>
      </c>
      <c r="D4836" s="2" t="str">
        <f ca="1">IFERROR(__xludf.DUMMYFUNCTION("""COMPUTED_VALUE"""),"Dubai&gt;Al Furjan&gt;Azizi Star")</f>
        <v>Dubai&gt;Al Furjan&gt;Azizi Star</v>
      </c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</row>
    <row r="4837" spans="1:26" ht="16.5" x14ac:dyDescent="0.35">
      <c r="A4837" s="2" t="str">
        <f ca="1">IFERROR(__xludf.DUMMYFUNCTION("""COMPUTED_VALUE"""),"Dubai")</f>
        <v>Dubai</v>
      </c>
      <c r="B4837" s="2" t="str">
        <f ca="1">IFERROR(__xludf.DUMMYFUNCTION("""COMPUTED_VALUE"""),"Equiti Arcade")</f>
        <v>Equiti Arcade</v>
      </c>
      <c r="C4837" s="2" t="str">
        <f ca="1">IFERROR(__xludf.DUMMYFUNCTION("""COMPUTED_VALUE"""),"Building")</f>
        <v>Building</v>
      </c>
      <c r="D4837" s="2" t="str">
        <f ca="1">IFERROR(__xludf.DUMMYFUNCTION("""COMPUTED_VALUE"""),"Dubai&gt;Al Furjan&gt;Equiti Arcade")</f>
        <v>Dubai&gt;Al Furjan&gt;Equiti Arcade</v>
      </c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</row>
    <row r="4838" spans="1:26" ht="16.5" x14ac:dyDescent="0.35">
      <c r="A4838" s="2" t="str">
        <f ca="1">IFERROR(__xludf.DUMMYFUNCTION("""COMPUTED_VALUE"""),"Dubai")</f>
        <v>Dubai</v>
      </c>
      <c r="B4838" s="2" t="str">
        <f ca="1">IFERROR(__xludf.DUMMYFUNCTION("""COMPUTED_VALUE"""),"Azizi Neila")</f>
        <v>Azizi Neila</v>
      </c>
      <c r="C4838" s="2" t="str">
        <f ca="1">IFERROR(__xludf.DUMMYFUNCTION("""COMPUTED_VALUE"""),"Building")</f>
        <v>Building</v>
      </c>
      <c r="D4838" s="2" t="str">
        <f ca="1">IFERROR(__xludf.DUMMYFUNCTION("""COMPUTED_VALUE"""),"Dubai&gt;Al Furjan&gt;Azizi Neila")</f>
        <v>Dubai&gt;Al Furjan&gt;Azizi Neila</v>
      </c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</row>
    <row r="4839" spans="1:26" ht="16.5" x14ac:dyDescent="0.35">
      <c r="A4839" s="2" t="str">
        <f ca="1">IFERROR(__xludf.DUMMYFUNCTION("""COMPUTED_VALUE"""),"Dubai")</f>
        <v>Dubai</v>
      </c>
      <c r="B4839" s="2" t="str">
        <f ca="1">IFERROR(__xludf.DUMMYFUNCTION("""COMPUTED_VALUE"""),"Elegance by Zimaya")</f>
        <v>Elegance by Zimaya</v>
      </c>
      <c r="C4839" s="2" t="str">
        <f ca="1">IFERROR(__xludf.DUMMYFUNCTION("""COMPUTED_VALUE"""),"Neighbourhood")</f>
        <v>Neighbourhood</v>
      </c>
      <c r="D4839" s="2" t="str">
        <f ca="1">IFERROR(__xludf.DUMMYFUNCTION("""COMPUTED_VALUE"""),"Dubai&gt;Al Furjan&gt;Elegance by Zimaya")</f>
        <v>Dubai&gt;Al Furjan&gt;Elegance by Zimaya</v>
      </c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</row>
    <row r="4840" spans="1:26" ht="16.5" x14ac:dyDescent="0.35">
      <c r="A4840" s="2" t="str">
        <f ca="1">IFERROR(__xludf.DUMMYFUNCTION("""COMPUTED_VALUE"""),"Dubai")</f>
        <v>Dubai</v>
      </c>
      <c r="B4840" s="2" t="str">
        <f ca="1">IFERROR(__xludf.DUMMYFUNCTION("""COMPUTED_VALUE"""),"Azizi Riviera 14")</f>
        <v>Azizi Riviera 14</v>
      </c>
      <c r="C4840" s="2" t="str">
        <f ca="1">IFERROR(__xludf.DUMMYFUNCTION("""COMPUTED_VALUE"""),"Building")</f>
        <v>Building</v>
      </c>
      <c r="D4840" s="2" t="str">
        <f ca="1">IFERROR(__xludf.DUMMYFUNCTION("""COMPUTED_VALUE"""),"Dubai&gt;Meydan City&gt;Meydan One&gt;Azizi Riviera&gt;Azizi Riviera 14")</f>
        <v>Dubai&gt;Meydan City&gt;Meydan One&gt;Azizi Riviera&gt;Azizi Riviera 14</v>
      </c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</row>
    <row r="4841" spans="1:26" ht="16.5" x14ac:dyDescent="0.35">
      <c r="A4841" s="2" t="str">
        <f ca="1">IFERROR(__xludf.DUMMYFUNCTION("""COMPUTED_VALUE"""),"Dubai")</f>
        <v>Dubai</v>
      </c>
      <c r="B4841" s="2" t="str">
        <f ca="1">IFERROR(__xludf.DUMMYFUNCTION("""COMPUTED_VALUE"""),"Azizi Riviera 36")</f>
        <v>Azizi Riviera 36</v>
      </c>
      <c r="C4841" s="2" t="str">
        <f ca="1">IFERROR(__xludf.DUMMYFUNCTION("""COMPUTED_VALUE"""),"Building")</f>
        <v>Building</v>
      </c>
      <c r="D4841" s="2" t="str">
        <f ca="1">IFERROR(__xludf.DUMMYFUNCTION("""COMPUTED_VALUE"""),"Dubai&gt;Meydan City&gt;Meydan One&gt;Azizi Riviera&gt;Azizi Riviera 36")</f>
        <v>Dubai&gt;Meydan City&gt;Meydan One&gt;Azizi Riviera&gt;Azizi Riviera 36</v>
      </c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</row>
    <row r="4842" spans="1:26" ht="16.5" x14ac:dyDescent="0.35">
      <c r="A4842" s="2" t="str">
        <f ca="1">IFERROR(__xludf.DUMMYFUNCTION("""COMPUTED_VALUE"""),"Dubai")</f>
        <v>Dubai</v>
      </c>
      <c r="B4842" s="2" t="str">
        <f ca="1">IFERROR(__xludf.DUMMYFUNCTION("""COMPUTED_VALUE"""),"Azizi Riviera 68")</f>
        <v>Azizi Riviera 68</v>
      </c>
      <c r="C4842" s="2" t="str">
        <f ca="1">IFERROR(__xludf.DUMMYFUNCTION("""COMPUTED_VALUE"""),"Building")</f>
        <v>Building</v>
      </c>
      <c r="D4842" s="2" t="str">
        <f ca="1">IFERROR(__xludf.DUMMYFUNCTION("""COMPUTED_VALUE"""),"Dubai&gt;Meydan City&gt;Meydan One&gt;Azizi Riviera&gt;Azizi Riviera 68")</f>
        <v>Dubai&gt;Meydan City&gt;Meydan One&gt;Azizi Riviera&gt;Azizi Riviera 68</v>
      </c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</row>
    <row r="4843" spans="1:26" ht="16.5" x14ac:dyDescent="0.35">
      <c r="A4843" s="2" t="str">
        <f ca="1">IFERROR(__xludf.DUMMYFUNCTION("""COMPUTED_VALUE"""),"Dubai")</f>
        <v>Dubai</v>
      </c>
      <c r="B4843" s="2" t="str">
        <f ca="1">IFERROR(__xludf.DUMMYFUNCTION("""COMPUTED_VALUE"""),"Polo Residence C3")</f>
        <v>Polo Residence C3</v>
      </c>
      <c r="C4843" s="2" t="str">
        <f ca="1">IFERROR(__xludf.DUMMYFUNCTION("""COMPUTED_VALUE"""),"Building")</f>
        <v>Building</v>
      </c>
      <c r="D4843" s="2" t="str">
        <f ca="1">IFERROR(__xludf.DUMMYFUNCTION("""COMPUTED_VALUE"""),"Dubai&gt;Meydan City&gt;Meydan Avenue&gt;Polo Residence&gt;Polo Residence C3")</f>
        <v>Dubai&gt;Meydan City&gt;Meydan Avenue&gt;Polo Residence&gt;Polo Residence C3</v>
      </c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</row>
    <row r="4844" spans="1:26" ht="16.5" x14ac:dyDescent="0.35">
      <c r="A4844" s="2" t="str">
        <f ca="1">IFERROR(__xludf.DUMMYFUNCTION("""COMPUTED_VALUE"""),"Dubai")</f>
        <v>Dubai</v>
      </c>
      <c r="B4844" s="2" t="str">
        <f ca="1">IFERROR(__xludf.DUMMYFUNCTION("""COMPUTED_VALUE"""),"Saad Suhail Salim Al Mukhaini Bahwan Building 2")</f>
        <v>Saad Suhail Salim Al Mukhaini Bahwan Building 2</v>
      </c>
      <c r="C4844" s="2" t="str">
        <f ca="1">IFERROR(__xludf.DUMMYFUNCTION("""COMPUTED_VALUE"""),"Building")</f>
        <v>Building</v>
      </c>
      <c r="D4844" s="2" t="str">
        <f ca="1">IFERROR(__xludf.DUMMYFUNCTION("""COMPUTED_VALUE"""),"Dubai&gt;Meydan City&gt;Meydan Avenue&gt;Saad Suhail Salim Al Mukhaini Bahwan Building 2")</f>
        <v>Dubai&gt;Meydan City&gt;Meydan Avenue&gt;Saad Suhail Salim Al Mukhaini Bahwan Building 2</v>
      </c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</row>
    <row r="4845" spans="1:26" ht="16.5" x14ac:dyDescent="0.35">
      <c r="A4845" s="2" t="str">
        <f ca="1">IFERROR(__xludf.DUMMYFUNCTION("""COMPUTED_VALUE"""),"Dubai")</f>
        <v>Dubai</v>
      </c>
      <c r="B4845" s="2" t="str">
        <f ca="1">IFERROR(__xludf.DUMMYFUNCTION("""COMPUTED_VALUE"""),"Al Ghaf 3")</f>
        <v>Al Ghaf 3</v>
      </c>
      <c r="C4845" s="2" t="str">
        <f ca="1">IFERROR(__xludf.DUMMYFUNCTION("""COMPUTED_VALUE"""),"Building")</f>
        <v>Building</v>
      </c>
      <c r="D4845" s="2" t="str">
        <f ca="1">IFERROR(__xludf.DUMMYFUNCTION("""COMPUTED_VALUE"""),"Dubai&gt;The Greens&gt;Al Ghaf&gt;Al Ghaf 3")</f>
        <v>Dubai&gt;The Greens&gt;Al Ghaf&gt;Al Ghaf 3</v>
      </c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</row>
    <row r="4846" spans="1:26" ht="16.5" x14ac:dyDescent="0.35">
      <c r="A4846" s="2" t="str">
        <f ca="1">IFERROR(__xludf.DUMMYFUNCTION("""COMPUTED_VALUE"""),"Dubai")</f>
        <v>Dubai</v>
      </c>
      <c r="B4846" s="2" t="str">
        <f ca="1">IFERROR(__xludf.DUMMYFUNCTION("""COMPUTED_VALUE"""),"Al Thayyal 2")</f>
        <v>Al Thayyal 2</v>
      </c>
      <c r="C4846" s="2" t="str">
        <f ca="1">IFERROR(__xludf.DUMMYFUNCTION("""COMPUTED_VALUE"""),"Building")</f>
        <v>Building</v>
      </c>
      <c r="D4846" s="2" t="str">
        <f ca="1">IFERROR(__xludf.DUMMYFUNCTION("""COMPUTED_VALUE"""),"Dubai&gt;The Greens&gt;Al Thayyal&gt;Al Thayyal 2")</f>
        <v>Dubai&gt;The Greens&gt;Al Thayyal&gt;Al Thayyal 2</v>
      </c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</row>
    <row r="4847" spans="1:26" ht="16.5" x14ac:dyDescent="0.35">
      <c r="A4847" s="2" t="str">
        <f ca="1">IFERROR(__xludf.DUMMYFUNCTION("""COMPUTED_VALUE"""),"Dubai")</f>
        <v>Dubai</v>
      </c>
      <c r="B4847" s="2" t="str">
        <f ca="1">IFERROR(__xludf.DUMMYFUNCTION("""COMPUTED_VALUE"""),"H40 Building")</f>
        <v>H40 Building</v>
      </c>
      <c r="C4847" s="2" t="str">
        <f ca="1">IFERROR(__xludf.DUMMYFUNCTION("""COMPUTED_VALUE"""),"Building")</f>
        <v>Building</v>
      </c>
      <c r="D4847" s="2" t="str">
        <f ca="1">IFERROR(__xludf.DUMMYFUNCTION("""COMPUTED_VALUE"""),"Dubai&gt;Dubai Production City (IMPZ)&gt;H40 Building")</f>
        <v>Dubai&gt;Dubai Production City (IMPZ)&gt;H40 Building</v>
      </c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</row>
    <row r="4848" spans="1:26" ht="16.5" x14ac:dyDescent="0.35">
      <c r="A4848" s="2" t="str">
        <f ca="1">IFERROR(__xludf.DUMMYFUNCTION("""COMPUTED_VALUE"""),"Dubai")</f>
        <v>Dubai</v>
      </c>
      <c r="B4848" s="2" t="str">
        <f ca="1">IFERROR(__xludf.DUMMYFUNCTION("""COMPUTED_VALUE"""),"The Crescent Towers")</f>
        <v>The Crescent Towers</v>
      </c>
      <c r="C4848" s="2" t="str">
        <f ca="1">IFERROR(__xludf.DUMMYFUNCTION("""COMPUTED_VALUE"""),"Cluster")</f>
        <v>Cluster</v>
      </c>
      <c r="D4848" s="2" t="str">
        <f ca="1">IFERROR(__xludf.DUMMYFUNCTION("""COMPUTED_VALUE"""),"Dubai&gt;Dubai Production City (IMPZ)&gt;The Crescent Towers")</f>
        <v>Dubai&gt;Dubai Production City (IMPZ)&gt;The Crescent Towers</v>
      </c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</row>
    <row r="4849" spans="1:26" ht="16.5" x14ac:dyDescent="0.35">
      <c r="A4849" s="2" t="str">
        <f ca="1">IFERROR(__xludf.DUMMYFUNCTION("""COMPUTED_VALUE"""),"Dubai")</f>
        <v>Dubai</v>
      </c>
      <c r="B4849" s="2" t="str">
        <f ca="1">IFERROR(__xludf.DUMMYFUNCTION("""COMPUTED_VALUE"""),"Sun Point Dubai C")</f>
        <v>Sun Point Dubai C</v>
      </c>
      <c r="C4849" s="2" t="str">
        <f ca="1">IFERROR(__xludf.DUMMYFUNCTION("""COMPUTED_VALUE"""),"Building")</f>
        <v>Building</v>
      </c>
      <c r="D4849" s="2" t="str">
        <f ca="1">IFERROR(__xludf.DUMMYFUNCTION("""COMPUTED_VALUE"""),"Dubai&gt;Dubai Production City (IMPZ)&gt;Sun Point Dubai&gt;Sun Point Dubai C")</f>
        <v>Dubai&gt;Dubai Production City (IMPZ)&gt;Sun Point Dubai&gt;Sun Point Dubai C</v>
      </c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</row>
    <row r="4850" spans="1:26" ht="16.5" x14ac:dyDescent="0.35">
      <c r="A4850" s="2" t="str">
        <f ca="1">IFERROR(__xludf.DUMMYFUNCTION("""COMPUTED_VALUE"""),"Dubai")</f>
        <v>Dubai</v>
      </c>
      <c r="B4850" s="2" t="str">
        <f ca="1">IFERROR(__xludf.DUMMYFUNCTION("""COMPUTED_VALUE"""),"Park Five by Deyaar")</f>
        <v>Park Five by Deyaar</v>
      </c>
      <c r="C4850" s="2" t="str">
        <f ca="1">IFERROR(__xludf.DUMMYFUNCTION("""COMPUTED_VALUE"""),"Cluster")</f>
        <v>Cluster</v>
      </c>
      <c r="D4850" s="2" t="str">
        <f ca="1">IFERROR(__xludf.DUMMYFUNCTION("""COMPUTED_VALUE"""),"Dubai&gt;Dubai Production City (IMPZ)&gt;Park Five by Deyaar")</f>
        <v>Dubai&gt;Dubai Production City (IMPZ)&gt;Park Five by Deyaar</v>
      </c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</row>
    <row r="4851" spans="1:26" ht="16.5" x14ac:dyDescent="0.35">
      <c r="A4851" s="2" t="str">
        <f ca="1">IFERROR(__xludf.DUMMYFUNCTION("""COMPUTED_VALUE"""),"Dubai")</f>
        <v>Dubai</v>
      </c>
      <c r="B4851" s="2" t="str">
        <f ca="1">IFERROR(__xludf.DUMMYFUNCTION("""COMPUTED_VALUE"""),"Sahara Living")</f>
        <v>Sahara Living</v>
      </c>
      <c r="C4851" s="2" t="str">
        <f ca="1">IFERROR(__xludf.DUMMYFUNCTION("""COMPUTED_VALUE"""),"Neighbourhood")</f>
        <v>Neighbourhood</v>
      </c>
      <c r="D4851" s="2" t="str">
        <f ca="1">IFERROR(__xludf.DUMMYFUNCTION("""COMPUTED_VALUE"""),"Dubai&gt;Dubai Industrial City&gt;Sahara Living")</f>
        <v>Dubai&gt;Dubai Industrial City&gt;Sahara Living</v>
      </c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</row>
    <row r="4852" spans="1:26" ht="16.5" x14ac:dyDescent="0.35">
      <c r="A4852" s="2" t="str">
        <f ca="1">IFERROR(__xludf.DUMMYFUNCTION("""COMPUTED_VALUE"""),"Dubai")</f>
        <v>Dubai</v>
      </c>
      <c r="B4852" s="2" t="str">
        <f ca="1">IFERROR(__xludf.DUMMYFUNCTION("""COMPUTED_VALUE"""),"British Rose Nursery Jumeirah")</f>
        <v>British Rose Nursery Jumeirah</v>
      </c>
      <c r="C4852" s="2" t="str">
        <f ca="1">IFERROR(__xludf.DUMMYFUNCTION("""COMPUTED_VALUE"""),"Nursery")</f>
        <v>Nursery</v>
      </c>
      <c r="D4852" s="2" t="str">
        <f ca="1">IFERROR(__xludf.DUMMYFUNCTION("""COMPUTED_VALUE"""),"Dubai&gt;Umm Al Sheif&gt;British Rose Nursery Jumeirah")</f>
        <v>Dubai&gt;Umm Al Sheif&gt;British Rose Nursery Jumeirah</v>
      </c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</row>
    <row r="4853" spans="1:26" ht="16.5" x14ac:dyDescent="0.35">
      <c r="A4853" s="2" t="str">
        <f ca="1">IFERROR(__xludf.DUMMYFUNCTION("""COMPUTED_VALUE"""),"Dubai")</f>
        <v>Dubai</v>
      </c>
      <c r="B4853" s="2" t="str">
        <f ca="1">IFERROR(__xludf.DUMMYFUNCTION("""COMPUTED_VALUE"""),"Dubai Islands")</f>
        <v>Dubai Islands</v>
      </c>
      <c r="C4853" s="2" t="str">
        <f ca="1">IFERROR(__xludf.DUMMYFUNCTION("""COMPUTED_VALUE"""),"Neighbourhood")</f>
        <v>Neighbourhood</v>
      </c>
      <c r="D4853" s="2" t="str">
        <f ca="1">IFERROR(__xludf.DUMMYFUNCTION("""COMPUTED_VALUE"""),"Dubai&gt;Dubai Islands")</f>
        <v>Dubai&gt;Dubai Islands</v>
      </c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</row>
    <row r="4854" spans="1:26" ht="16.5" x14ac:dyDescent="0.35">
      <c r="A4854" s="2" t="str">
        <f ca="1">IFERROR(__xludf.DUMMYFUNCTION("""COMPUTED_VALUE"""),"Dubai")</f>
        <v>Dubai</v>
      </c>
      <c r="B4854" s="2" t="str">
        <f ca="1">IFERROR(__xludf.DUMMYFUNCTION("""COMPUTED_VALUE"""),"Ocean Tower")</f>
        <v>Ocean Tower</v>
      </c>
      <c r="C4854" s="2" t="str">
        <f ca="1">IFERROR(__xludf.DUMMYFUNCTION("""COMPUTED_VALUE"""),"Building")</f>
        <v>Building</v>
      </c>
      <c r="D4854" s="2" t="str">
        <f ca="1">IFERROR(__xludf.DUMMYFUNCTION("""COMPUTED_VALUE"""),"Dubai&gt;Dubai Islands&gt;Ocean Tower")</f>
        <v>Dubai&gt;Dubai Islands&gt;Ocean Tower</v>
      </c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</row>
    <row r="4855" spans="1:26" ht="16.5" x14ac:dyDescent="0.35">
      <c r="A4855" s="2" t="str">
        <f ca="1">IFERROR(__xludf.DUMMYFUNCTION("""COMPUTED_VALUE"""),"Dubai")</f>
        <v>Dubai</v>
      </c>
      <c r="B4855" s="2" t="str">
        <f ca="1">IFERROR(__xludf.DUMMYFUNCTION("""COMPUTED_VALUE"""),"Cotier House 2 by Imtiaz")</f>
        <v>Cotier House 2 by Imtiaz</v>
      </c>
      <c r="C4855" s="2" t="str">
        <f ca="1">IFERROR(__xludf.DUMMYFUNCTION("""COMPUTED_VALUE"""),"Building")</f>
        <v>Building</v>
      </c>
      <c r="D4855" s="2" t="str">
        <f ca="1">IFERROR(__xludf.DUMMYFUNCTION("""COMPUTED_VALUE"""),"Dubai&gt;Dubai Islands&gt;Cotier House 2 by Imtiaz")</f>
        <v>Dubai&gt;Dubai Islands&gt;Cotier House 2 by Imtiaz</v>
      </c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</row>
    <row r="4856" spans="1:26" ht="16.5" x14ac:dyDescent="0.35">
      <c r="A4856" s="2" t="str">
        <f ca="1">IFERROR(__xludf.DUMMYFUNCTION("""COMPUTED_VALUE"""),"Unknown")</f>
        <v>Unknown</v>
      </c>
      <c r="B4856" s="2" t="str">
        <f ca="1">IFERROR(__xludf.DUMMYFUNCTION("""COMPUTED_VALUE"""),"UAE")</f>
        <v>UAE</v>
      </c>
      <c r="C4856" s="2"/>
      <c r="D4856" s="2" t="str">
        <f ca="1">IFERROR(__xludf.DUMMYFUNCTION("""COMPUTED_VALUE"""),"Unknown")</f>
        <v>Unknown</v>
      </c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</row>
    <row r="4857" spans="1:26" ht="16.5" x14ac:dyDescent="0.35">
      <c r="A4857" s="2" t="str">
        <f ca="1">IFERROR(__xludf.DUMMYFUNCTION("""COMPUTED_VALUE"""),"Dubai")</f>
        <v>Dubai</v>
      </c>
      <c r="B4857" s="2" t="str">
        <f ca="1">IFERROR(__xludf.DUMMYFUNCTION("""COMPUTED_VALUE"""),"Ras Al Khor")</f>
        <v>Ras Al Khor</v>
      </c>
      <c r="C4857" s="2" t="str">
        <f ca="1">IFERROR(__xludf.DUMMYFUNCTION("""COMPUTED_VALUE"""),"Neighbourhood")</f>
        <v>Neighbourhood</v>
      </c>
      <c r="D4857" s="2" t="str">
        <f ca="1">IFERROR(__xludf.DUMMYFUNCTION("""COMPUTED_VALUE"""),"Dubai&gt;Ras Al Khor")</f>
        <v>Dubai&gt;Ras Al Khor</v>
      </c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</row>
    <row r="4858" spans="1:26" ht="16.5" x14ac:dyDescent="0.35">
      <c r="A4858" s="2" t="str">
        <f ca="1">IFERROR(__xludf.DUMMYFUNCTION("""COMPUTED_VALUE"""),"Dubai")</f>
        <v>Dubai</v>
      </c>
      <c r="B4858" s="2" t="str">
        <f ca="1">IFERROR(__xludf.DUMMYFUNCTION("""COMPUTED_VALUE"""),"Samari Residences 19")</f>
        <v>Samari Residences 19</v>
      </c>
      <c r="C4858" s="2" t="str">
        <f ca="1">IFERROR(__xludf.DUMMYFUNCTION("""COMPUTED_VALUE"""),"Building")</f>
        <v>Building</v>
      </c>
      <c r="D4858" s="2" t="str">
        <f ca="1">IFERROR(__xludf.DUMMYFUNCTION("""COMPUTED_VALUE"""),"Dubai&gt;Ras Al Khor&gt;Ras Al Khor Industrial&gt;Ras Al Khor Industrial 3&gt;Samari Residences&gt;Samari Residences 19")</f>
        <v>Dubai&gt;Ras Al Khor&gt;Ras Al Khor Industrial&gt;Ras Al Khor Industrial 3&gt;Samari Residences&gt;Samari Residences 19</v>
      </c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</row>
    <row r="4859" spans="1:26" ht="16.5" x14ac:dyDescent="0.35">
      <c r="A4859" s="2" t="str">
        <f ca="1">IFERROR(__xludf.DUMMYFUNCTION("""COMPUTED_VALUE"""),"Dubai")</f>
        <v>Dubai</v>
      </c>
      <c r="B4859" s="2" t="str">
        <f ca="1">IFERROR(__xludf.DUMMYFUNCTION("""COMPUTED_VALUE"""),"Jafza View Towers")</f>
        <v>Jafza View Towers</v>
      </c>
      <c r="C4859" s="2" t="str">
        <f ca="1">IFERROR(__xludf.DUMMYFUNCTION("""COMPUTED_VALUE"""),"Cluster")</f>
        <v>Cluster</v>
      </c>
      <c r="D4859" s="2" t="str">
        <f ca="1">IFERROR(__xludf.DUMMYFUNCTION("""COMPUTED_VALUE"""),"Dubai&gt;Jebel Ali&gt;Downtown Jebel Ali&gt;Jafza View Towers")</f>
        <v>Dubai&gt;Jebel Ali&gt;Downtown Jebel Ali&gt;Jafza View Towers</v>
      </c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</row>
    <row r="4860" spans="1:26" ht="16.5" x14ac:dyDescent="0.35">
      <c r="A4860" s="2" t="str">
        <f ca="1">IFERROR(__xludf.DUMMYFUNCTION("""COMPUTED_VALUE"""),"Dubai")</f>
        <v>Dubai</v>
      </c>
      <c r="B4860" s="2" t="str">
        <f ca="1">IFERROR(__xludf.DUMMYFUNCTION("""COMPUTED_VALUE"""),"Ibn Battuta Mall")</f>
        <v>Ibn Battuta Mall</v>
      </c>
      <c r="C4860" s="2" t="str">
        <f ca="1">IFERROR(__xludf.DUMMYFUNCTION("""COMPUTED_VALUE"""),"Building")</f>
        <v>Building</v>
      </c>
      <c r="D4860" s="2" t="str">
        <f ca="1">IFERROR(__xludf.DUMMYFUNCTION("""COMPUTED_VALUE"""),"Dubai&gt;Jebel Ali&gt;Ibn Battuta Mall")</f>
        <v>Dubai&gt;Jebel Ali&gt;Ibn Battuta Mall</v>
      </c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</row>
    <row r="4861" spans="1:26" ht="16.5" x14ac:dyDescent="0.35">
      <c r="A4861" s="2" t="str">
        <f ca="1">IFERROR(__xludf.DUMMYFUNCTION("""COMPUTED_VALUE"""),"Dubai")</f>
        <v>Dubai</v>
      </c>
      <c r="B4861" s="2" t="str">
        <f ca="1">IFERROR(__xludf.DUMMYFUNCTION("""COMPUTED_VALUE"""),"Nesto Mall")</f>
        <v>Nesto Mall</v>
      </c>
      <c r="C4861" s="2" t="str">
        <f ca="1">IFERROR(__xludf.DUMMYFUNCTION("""COMPUTED_VALUE"""),"Building")</f>
        <v>Building</v>
      </c>
      <c r="D4861" s="2" t="str">
        <f ca="1">IFERROR(__xludf.DUMMYFUNCTION("""COMPUTED_VALUE"""),"Dubai&gt;Nad Al Hamar&gt;Nesto Mall")</f>
        <v>Dubai&gt;Nad Al Hamar&gt;Nesto Mall</v>
      </c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</row>
    <row r="4862" spans="1:26" ht="16.5" x14ac:dyDescent="0.35">
      <c r="A4862" s="2" t="str">
        <f ca="1">IFERROR(__xludf.DUMMYFUNCTION("""COMPUTED_VALUE"""),"Dubai")</f>
        <v>Dubai</v>
      </c>
      <c r="B4862" s="2" t="str">
        <f ca="1">IFERROR(__xludf.DUMMYFUNCTION("""COMPUTED_VALUE"""),"Dubai International Academy, Al Barsha")</f>
        <v>Dubai International Academy, Al Barsha</v>
      </c>
      <c r="C4862" s="2" t="str">
        <f ca="1">IFERROR(__xludf.DUMMYFUNCTION("""COMPUTED_VALUE"""),"School")</f>
        <v>School</v>
      </c>
      <c r="D4862" s="2" t="str">
        <f ca="1">IFERROR(__xludf.DUMMYFUNCTION("""COMPUTED_VALUE"""),"Dubai&gt;Al Barsha&gt;Al Barsha 1&gt;Dubai International Academy, Al Barsha")</f>
        <v>Dubai&gt;Al Barsha&gt;Al Barsha 1&gt;Dubai International Academy, Al Barsha</v>
      </c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</row>
    <row r="4863" spans="1:26" ht="16.5" x14ac:dyDescent="0.35">
      <c r="A4863" s="2" t="str">
        <f ca="1">IFERROR(__xludf.DUMMYFUNCTION("""COMPUTED_VALUE"""),"Dubai")</f>
        <v>Dubai</v>
      </c>
      <c r="B4863" s="2" t="str">
        <f ca="1">IFERROR(__xludf.DUMMYFUNCTION("""COMPUTED_VALUE"""),"Saleh Bin Lahej Building 365")</f>
        <v>Saleh Bin Lahej Building 365</v>
      </c>
      <c r="C4863" s="2" t="str">
        <f ca="1">IFERROR(__xludf.DUMMYFUNCTION("""COMPUTED_VALUE"""),"Building")</f>
        <v>Building</v>
      </c>
      <c r="D4863" s="2" t="str">
        <f ca="1">IFERROR(__xludf.DUMMYFUNCTION("""COMPUTED_VALUE"""),"Dubai&gt;Al Barsha&gt;Al Barsha 1&gt;Saleh Bin Lahej Building 365")</f>
        <v>Dubai&gt;Al Barsha&gt;Al Barsha 1&gt;Saleh Bin Lahej Building 365</v>
      </c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</row>
    <row r="4864" spans="1:26" ht="16.5" x14ac:dyDescent="0.35">
      <c r="A4864" s="2" t="str">
        <f ca="1">IFERROR(__xludf.DUMMYFUNCTION("""COMPUTED_VALUE"""),"Dubai")</f>
        <v>Dubai</v>
      </c>
      <c r="B4864" s="2" t="str">
        <f ca="1">IFERROR(__xludf.DUMMYFUNCTION("""COMPUTED_VALUE"""),"Heritage Building")</f>
        <v>Heritage Building</v>
      </c>
      <c r="C4864" s="2" t="str">
        <f ca="1">IFERROR(__xludf.DUMMYFUNCTION("""COMPUTED_VALUE"""),"Building")</f>
        <v>Building</v>
      </c>
      <c r="D4864" s="2" t="str">
        <f ca="1">IFERROR(__xludf.DUMMYFUNCTION("""COMPUTED_VALUE"""),"Dubai&gt;Al Barsha&gt;Al Barsha 1&gt;Heritage Building")</f>
        <v>Dubai&gt;Al Barsha&gt;Al Barsha 1&gt;Heritage Building</v>
      </c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</row>
    <row r="4865" spans="1:26" ht="16.5" x14ac:dyDescent="0.35">
      <c r="A4865" s="2" t="str">
        <f ca="1">IFERROR(__xludf.DUMMYFUNCTION("""COMPUTED_VALUE"""),"Dubai")</f>
        <v>Dubai</v>
      </c>
      <c r="B4865" s="2" t="str">
        <f ca="1">IFERROR(__xludf.DUMMYFUNCTION("""COMPUTED_VALUE"""),"Al Habtoor House 2")</f>
        <v>Al Habtoor House 2</v>
      </c>
      <c r="C4865" s="2" t="str">
        <f ca="1">IFERROR(__xludf.DUMMYFUNCTION("""COMPUTED_VALUE"""),"Building")</f>
        <v>Building</v>
      </c>
      <c r="D4865" s="2" t="str">
        <f ca="1">IFERROR(__xludf.DUMMYFUNCTION("""COMPUTED_VALUE"""),"Dubai&gt;Al Barsha&gt;Al Barsha 1&gt;Al Habtoor House 2")</f>
        <v>Dubai&gt;Al Barsha&gt;Al Barsha 1&gt;Al Habtoor House 2</v>
      </c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</row>
    <row r="4866" spans="1:26" ht="16.5" x14ac:dyDescent="0.35">
      <c r="A4866" s="2" t="str">
        <f ca="1">IFERROR(__xludf.DUMMYFUNCTION("""COMPUTED_VALUE"""),"Dubai")</f>
        <v>Dubai</v>
      </c>
      <c r="B4866" s="2" t="str">
        <f ca="1">IFERROR(__xludf.DUMMYFUNCTION("""COMPUTED_VALUE"""),"Al Barsha Twin Tower B")</f>
        <v>Al Barsha Twin Tower B</v>
      </c>
      <c r="C4866" s="2" t="str">
        <f ca="1">IFERROR(__xludf.DUMMYFUNCTION("""COMPUTED_VALUE"""),"Building")</f>
        <v>Building</v>
      </c>
      <c r="D4866" s="2" t="str">
        <f ca="1">IFERROR(__xludf.DUMMYFUNCTION("""COMPUTED_VALUE"""),"Dubai&gt;Al Barsha&gt;Al Barsha 1&gt;Al Barsha Twin Towers&gt;Al Barsha Twin Tower B")</f>
        <v>Dubai&gt;Al Barsha&gt;Al Barsha 1&gt;Al Barsha Twin Towers&gt;Al Barsha Twin Tower B</v>
      </c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</row>
    <row r="4867" spans="1:26" ht="16.5" x14ac:dyDescent="0.35">
      <c r="A4867" s="2" t="str">
        <f ca="1">IFERROR(__xludf.DUMMYFUNCTION("""COMPUTED_VALUE"""),"Dubai")</f>
        <v>Dubai</v>
      </c>
      <c r="B4867" s="2" t="str">
        <f ca="1">IFERROR(__xludf.DUMMYFUNCTION("""COMPUTED_VALUE"""),"City Stay Prime Hotel Apartments")</f>
        <v>City Stay Prime Hotel Apartments</v>
      </c>
      <c r="C4867" s="2" t="str">
        <f ca="1">IFERROR(__xludf.DUMMYFUNCTION("""COMPUTED_VALUE"""),"Building")</f>
        <v>Building</v>
      </c>
      <c r="D4867" s="2" t="str">
        <f ca="1">IFERROR(__xludf.DUMMYFUNCTION("""COMPUTED_VALUE"""),"Dubai&gt;Al Barsha&gt;Al Barsha 1&gt;City Stay Prime Hotel Apartments")</f>
        <v>Dubai&gt;Al Barsha&gt;Al Barsha 1&gt;City Stay Prime Hotel Apartments</v>
      </c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</row>
    <row r="4868" spans="1:26" ht="16.5" x14ac:dyDescent="0.35">
      <c r="A4868" s="2" t="str">
        <f ca="1">IFERROR(__xludf.DUMMYFUNCTION("""COMPUTED_VALUE"""),"Dubai")</f>
        <v>Dubai</v>
      </c>
      <c r="B4868" s="2" t="str">
        <f ca="1">IFERROR(__xludf.DUMMYFUNCTION("""COMPUTED_VALUE"""),"Pinnacle Building")</f>
        <v>Pinnacle Building</v>
      </c>
      <c r="C4868" s="2" t="str">
        <f ca="1">IFERROR(__xludf.DUMMYFUNCTION("""COMPUTED_VALUE"""),"Building")</f>
        <v>Building</v>
      </c>
      <c r="D4868" s="2" t="str">
        <f ca="1">IFERROR(__xludf.DUMMYFUNCTION("""COMPUTED_VALUE"""),"Dubai&gt;Al Barsha&gt;Al Barsha 1&gt;Pinnacle Building")</f>
        <v>Dubai&gt;Al Barsha&gt;Al Barsha 1&gt;Pinnacle Building</v>
      </c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</row>
    <row r="4869" spans="1:26" ht="16.5" x14ac:dyDescent="0.35">
      <c r="A4869" s="2" t="str">
        <f ca="1">IFERROR(__xludf.DUMMYFUNCTION("""COMPUTED_VALUE"""),"Dubai")</f>
        <v>Dubai</v>
      </c>
      <c r="B4869" s="2" t="str">
        <f ca="1">IFERROR(__xludf.DUMMYFUNCTION("""COMPUTED_VALUE"""),"Time Topaz Hotel Apartments")</f>
        <v>Time Topaz Hotel Apartments</v>
      </c>
      <c r="C4869" s="2" t="str">
        <f ca="1">IFERROR(__xludf.DUMMYFUNCTION("""COMPUTED_VALUE"""),"Building")</f>
        <v>Building</v>
      </c>
      <c r="D4869" s="2" t="str">
        <f ca="1">IFERROR(__xludf.DUMMYFUNCTION("""COMPUTED_VALUE"""),"Dubai&gt;Al Barsha&gt;Al Barsha 1&gt;Time Topaz Hotel Apartments")</f>
        <v>Dubai&gt;Al Barsha&gt;Al Barsha 1&gt;Time Topaz Hotel Apartments</v>
      </c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</row>
    <row r="4870" spans="1:26" ht="16.5" x14ac:dyDescent="0.35">
      <c r="A4870" s="2" t="str">
        <f ca="1">IFERROR(__xludf.DUMMYFUNCTION("""COMPUTED_VALUE"""),"Dubai")</f>
        <v>Dubai</v>
      </c>
      <c r="B4870" s="2" t="str">
        <f ca="1">IFERROR(__xludf.DUMMYFUNCTION("""COMPUTED_VALUE"""),"Dallah Building")</f>
        <v>Dallah Building</v>
      </c>
      <c r="C4870" s="2" t="str">
        <f ca="1">IFERROR(__xludf.DUMMYFUNCTION("""COMPUTED_VALUE"""),"Building")</f>
        <v>Building</v>
      </c>
      <c r="D4870" s="2" t="str">
        <f ca="1">IFERROR(__xludf.DUMMYFUNCTION("""COMPUTED_VALUE"""),"Dubai&gt;Al Barsha&gt;Al Barsha 1&gt;Dallah Building")</f>
        <v>Dubai&gt;Al Barsha&gt;Al Barsha 1&gt;Dallah Building</v>
      </c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</row>
    <row r="4871" spans="1:26" ht="16.5" x14ac:dyDescent="0.35">
      <c r="A4871" s="2" t="str">
        <f ca="1">IFERROR(__xludf.DUMMYFUNCTION("""COMPUTED_VALUE"""),"Dubai")</f>
        <v>Dubai</v>
      </c>
      <c r="B4871" s="2" t="str">
        <f ca="1">IFERROR(__xludf.DUMMYFUNCTION("""COMPUTED_VALUE"""),"Al Jaber 2 Building")</f>
        <v>Al Jaber 2 Building</v>
      </c>
      <c r="C4871" s="2" t="str">
        <f ca="1">IFERROR(__xludf.DUMMYFUNCTION("""COMPUTED_VALUE"""),"Building")</f>
        <v>Building</v>
      </c>
      <c r="D4871" s="2" t="str">
        <f ca="1">IFERROR(__xludf.DUMMYFUNCTION("""COMPUTED_VALUE"""),"Dubai&gt;Al Barsha&gt;Al Barsha 1&gt;Al Jaber 2 Building")</f>
        <v>Dubai&gt;Al Barsha&gt;Al Barsha 1&gt;Al Jaber 2 Building</v>
      </c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</row>
    <row r="4872" spans="1:26" ht="16.5" x14ac:dyDescent="0.35">
      <c r="A4872" s="2" t="str">
        <f ca="1">IFERROR(__xludf.DUMMYFUNCTION("""COMPUTED_VALUE"""),"Dubai")</f>
        <v>Dubai</v>
      </c>
      <c r="B4872" s="2" t="str">
        <f ca="1">IFERROR(__xludf.DUMMYFUNCTION("""COMPUTED_VALUE"""),"BLVD Heights")</f>
        <v>BLVD Heights</v>
      </c>
      <c r="C4872" s="2" t="str">
        <f ca="1">IFERROR(__xludf.DUMMYFUNCTION("""COMPUTED_VALUE"""),"Cluster")</f>
        <v>Cluster</v>
      </c>
      <c r="D4872" s="2" t="str">
        <f ca="1">IFERROR(__xludf.DUMMYFUNCTION("""COMPUTED_VALUE"""),"Dubai&gt;Downtown Dubai&gt;BLVD Heights")</f>
        <v>Dubai&gt;Downtown Dubai&gt;BLVD Heights</v>
      </c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</row>
    <row r="4873" spans="1:26" ht="16.5" x14ac:dyDescent="0.35">
      <c r="A4873" s="2" t="str">
        <f ca="1">IFERROR(__xludf.DUMMYFUNCTION("""COMPUTED_VALUE"""),"Dubai")</f>
        <v>Dubai</v>
      </c>
      <c r="B4873" s="2" t="str">
        <f ca="1">IFERROR(__xludf.DUMMYFUNCTION("""COMPUTED_VALUE"""),"Emaar Square")</f>
        <v>Emaar Square</v>
      </c>
      <c r="C4873" s="2" t="str">
        <f ca="1">IFERROR(__xludf.DUMMYFUNCTION("""COMPUTED_VALUE"""),"Cluster")</f>
        <v>Cluster</v>
      </c>
      <c r="D4873" s="2" t="str">
        <f ca="1">IFERROR(__xludf.DUMMYFUNCTION("""COMPUTED_VALUE"""),"Dubai&gt;Downtown Dubai&gt;Emaar Square")</f>
        <v>Dubai&gt;Downtown Dubai&gt;Emaar Square</v>
      </c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</row>
    <row r="4874" spans="1:26" ht="16.5" x14ac:dyDescent="0.35">
      <c r="A4874" s="2" t="str">
        <f ca="1">IFERROR(__xludf.DUMMYFUNCTION("""COMPUTED_VALUE"""),"Dubai")</f>
        <v>Dubai</v>
      </c>
      <c r="B4874" s="2" t="str">
        <f ca="1">IFERROR(__xludf.DUMMYFUNCTION("""COMPUTED_VALUE"""),"Saaha Offices Block D")</f>
        <v>Saaha Offices Block D</v>
      </c>
      <c r="C4874" s="2" t="str">
        <f ca="1">IFERROR(__xludf.DUMMYFUNCTION("""COMPUTED_VALUE"""),"Building")</f>
        <v>Building</v>
      </c>
      <c r="D4874" s="2" t="str">
        <f ca="1">IFERROR(__xludf.DUMMYFUNCTION("""COMPUTED_VALUE"""),"Dubai&gt;Downtown Dubai&gt;The Old Town Island&gt;Al Saaha Offices&gt;Saaha Offices Block D")</f>
        <v>Dubai&gt;Downtown Dubai&gt;The Old Town Island&gt;Al Saaha Offices&gt;Saaha Offices Block D</v>
      </c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</row>
    <row r="4875" spans="1:26" ht="16.5" x14ac:dyDescent="0.35">
      <c r="A4875" s="2" t="str">
        <f ca="1">IFERROR(__xludf.DUMMYFUNCTION("""COMPUTED_VALUE"""),"Dubai")</f>
        <v>Dubai</v>
      </c>
      <c r="B4875" s="2" t="str">
        <f ca="1">IFERROR(__xludf.DUMMYFUNCTION("""COMPUTED_VALUE"""),"Mon Reve")</f>
        <v>Mon Reve</v>
      </c>
      <c r="C4875" s="2" t="str">
        <f ca="1">IFERROR(__xludf.DUMMYFUNCTION("""COMPUTED_VALUE"""),"Building")</f>
        <v>Building</v>
      </c>
      <c r="D4875" s="2" t="str">
        <f ca="1">IFERROR(__xludf.DUMMYFUNCTION("""COMPUTED_VALUE"""),"Dubai&gt;Downtown Dubai&gt;Mon Reve")</f>
        <v>Dubai&gt;Downtown Dubai&gt;Mon Reve</v>
      </c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</row>
    <row r="4876" spans="1:26" ht="16.5" x14ac:dyDescent="0.35">
      <c r="A4876" s="2" t="str">
        <f ca="1">IFERROR(__xludf.DUMMYFUNCTION("""COMPUTED_VALUE"""),"Dubai")</f>
        <v>Dubai</v>
      </c>
      <c r="B4876" s="2" t="str">
        <f ca="1">IFERROR(__xludf.DUMMYFUNCTION("""COMPUTED_VALUE"""),"Reehan 1")</f>
        <v>Reehan 1</v>
      </c>
      <c r="C4876" s="2" t="str">
        <f ca="1">IFERROR(__xludf.DUMMYFUNCTION("""COMPUTED_VALUE"""),"Building")</f>
        <v>Building</v>
      </c>
      <c r="D4876" s="2" t="str">
        <f ca="1">IFERROR(__xludf.DUMMYFUNCTION("""COMPUTED_VALUE"""),"Dubai&gt;Downtown Dubai&gt;Old Town&gt;Reehan&gt;Reehan 1")</f>
        <v>Dubai&gt;Downtown Dubai&gt;Old Town&gt;Reehan&gt;Reehan 1</v>
      </c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</row>
    <row r="4877" spans="1:26" ht="16.5" x14ac:dyDescent="0.35">
      <c r="A4877" s="2" t="str">
        <f ca="1">IFERROR(__xludf.DUMMYFUNCTION("""COMPUTED_VALUE"""),"Dubai")</f>
        <v>Dubai</v>
      </c>
      <c r="B4877" s="2" t="str">
        <f ca="1">IFERROR(__xludf.DUMMYFUNCTION("""COMPUTED_VALUE"""),"Souk Al Manzil")</f>
        <v>Souk Al Manzil</v>
      </c>
      <c r="C4877" s="2" t="str">
        <f ca="1">IFERROR(__xludf.DUMMYFUNCTION("""COMPUTED_VALUE"""),"Building")</f>
        <v>Building</v>
      </c>
      <c r="D4877" s="2" t="str">
        <f ca="1">IFERROR(__xludf.DUMMYFUNCTION("""COMPUTED_VALUE"""),"Dubai&gt;Downtown Dubai&gt;Souk Al Manzil")</f>
        <v>Dubai&gt;Downtown Dubai&gt;Souk Al Manzil</v>
      </c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</row>
    <row r="4878" spans="1:26" ht="16.5" x14ac:dyDescent="0.35">
      <c r="A4878" s="2" t="str">
        <f ca="1">IFERROR(__xludf.DUMMYFUNCTION("""COMPUTED_VALUE"""),"Dubai")</f>
        <v>Dubai</v>
      </c>
      <c r="B4878" s="2" t="str">
        <f ca="1">IFERROR(__xludf.DUMMYFUNCTION("""COMPUTED_VALUE"""),"Address Grand Downtown")</f>
        <v>Address Grand Downtown</v>
      </c>
      <c r="C4878" s="2" t="str">
        <f ca="1">IFERROR(__xludf.DUMMYFUNCTION("""COMPUTED_VALUE"""),"Building")</f>
        <v>Building</v>
      </c>
      <c r="D4878" s="2" t="str">
        <f ca="1">IFERROR(__xludf.DUMMYFUNCTION("""COMPUTED_VALUE"""),"Dubai&gt;Downtown Dubai&gt;Address Grand Downtown")</f>
        <v>Dubai&gt;Downtown Dubai&gt;Address Grand Downtown</v>
      </c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</row>
    <row r="4879" spans="1:26" ht="16.5" x14ac:dyDescent="0.35">
      <c r="A4879" s="2" t="str">
        <f ca="1">IFERROR(__xludf.DUMMYFUNCTION("""COMPUTED_VALUE"""),"Dubai")</f>
        <v>Dubai</v>
      </c>
      <c r="B4879" s="2" t="str">
        <f ca="1">IFERROR(__xludf.DUMMYFUNCTION("""COMPUTED_VALUE"""),"Mazaya 23")</f>
        <v>Mazaya 23</v>
      </c>
      <c r="C4879" s="2" t="str">
        <f ca="1">IFERROR(__xludf.DUMMYFUNCTION("""COMPUTED_VALUE"""),"Building")</f>
        <v>Building</v>
      </c>
      <c r="D4879" s="2" t="str">
        <f ca="1">IFERROR(__xludf.DUMMYFUNCTION("""COMPUTED_VALUE"""),"Dubai&gt;Liwan&gt;Queue Point&gt;Mazaya 23")</f>
        <v>Dubai&gt;Liwan&gt;Queue Point&gt;Mazaya 23</v>
      </c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</row>
    <row r="4880" spans="1:26" ht="16.5" x14ac:dyDescent="0.35">
      <c r="A4880" s="2" t="str">
        <f ca="1">IFERROR(__xludf.DUMMYFUNCTION("""COMPUTED_VALUE"""),"Dubai")</f>
        <v>Dubai</v>
      </c>
      <c r="B4880" s="2" t="str">
        <f ca="1">IFERROR(__xludf.DUMMYFUNCTION("""COMPUTED_VALUE"""),"Symbolic Alpha")</f>
        <v>Symbolic Alpha</v>
      </c>
      <c r="C4880" s="2" t="str">
        <f ca="1">IFERROR(__xludf.DUMMYFUNCTION("""COMPUTED_VALUE"""),"Building")</f>
        <v>Building</v>
      </c>
      <c r="D4880" s="2" t="str">
        <f ca="1">IFERROR(__xludf.DUMMYFUNCTION("""COMPUTED_VALUE"""),"Dubai&gt;Liwan&gt;Queue Point&gt;Symbolic Alpha")</f>
        <v>Dubai&gt;Liwan&gt;Queue Point&gt;Symbolic Alpha</v>
      </c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</row>
    <row r="4881" spans="1:26" ht="16.5" x14ac:dyDescent="0.35">
      <c r="A4881" s="2" t="str">
        <f ca="1">IFERROR(__xludf.DUMMYFUNCTION("""COMPUTED_VALUE"""),"Dubai")</f>
        <v>Dubai</v>
      </c>
      <c r="B4881" s="2" t="str">
        <f ca="1">IFERROR(__xludf.DUMMYFUNCTION("""COMPUTED_VALUE"""),"Dar Al Marefa School")</f>
        <v>Dar Al Marefa School</v>
      </c>
      <c r="C4881" s="2" t="str">
        <f ca="1">IFERROR(__xludf.DUMMYFUNCTION("""COMPUTED_VALUE"""),"School")</f>
        <v>School</v>
      </c>
      <c r="D4881" s="2" t="str">
        <f ca="1">IFERROR(__xludf.DUMMYFUNCTION("""COMPUTED_VALUE"""),"Dubai&gt;Al Khawaneej&gt;Al Khawaneej 1&gt;Dar Al Marefa School")</f>
        <v>Dubai&gt;Al Khawaneej&gt;Al Khawaneej 1&gt;Dar Al Marefa School</v>
      </c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</row>
    <row r="4882" spans="1:26" ht="16.5" x14ac:dyDescent="0.35">
      <c r="A4882" s="2" t="str">
        <f ca="1">IFERROR(__xludf.DUMMYFUNCTION("""COMPUTED_VALUE"""),"Dubai")</f>
        <v>Dubai</v>
      </c>
      <c r="B4882" s="2" t="str">
        <f ca="1">IFERROR(__xludf.DUMMYFUNCTION("""COMPUTED_VALUE"""),"Central Park Office Tower")</f>
        <v>Central Park Office Tower</v>
      </c>
      <c r="C4882" s="2" t="str">
        <f ca="1">IFERROR(__xludf.DUMMYFUNCTION("""COMPUTED_VALUE"""),"Building")</f>
        <v>Building</v>
      </c>
      <c r="D4882" s="2" t="str">
        <f ca="1">IFERROR(__xludf.DUMMYFUNCTION("""COMPUTED_VALUE"""),"Dubai&gt;DIFC&gt;Central Park Towers&gt;Central Park Office Tower")</f>
        <v>Dubai&gt;DIFC&gt;Central Park Towers&gt;Central Park Office Tower</v>
      </c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</row>
    <row r="4883" spans="1:26" ht="16.5" x14ac:dyDescent="0.35">
      <c r="A4883" s="2" t="str">
        <f ca="1">IFERROR(__xludf.DUMMYFUNCTION("""COMPUTED_VALUE"""),"Dubai")</f>
        <v>Dubai</v>
      </c>
      <c r="B4883" s="2" t="str">
        <f ca="1">IFERROR(__xludf.DUMMYFUNCTION("""COMPUTED_VALUE"""),"Sky Gardens DIFC")</f>
        <v>Sky Gardens DIFC</v>
      </c>
      <c r="C4883" s="2" t="str">
        <f ca="1">IFERROR(__xludf.DUMMYFUNCTION("""COMPUTED_VALUE"""),"Building")</f>
        <v>Building</v>
      </c>
      <c r="D4883" s="2" t="str">
        <f ca="1">IFERROR(__xludf.DUMMYFUNCTION("""COMPUTED_VALUE"""),"Dubai&gt;DIFC&gt;Sky Gardens DIFC")</f>
        <v>Dubai&gt;DIFC&gt;Sky Gardens DIFC</v>
      </c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</row>
    <row r="4884" spans="1:26" ht="16.5" x14ac:dyDescent="0.35">
      <c r="A4884" s="2" t="str">
        <f ca="1">IFERROR(__xludf.DUMMYFUNCTION("""COMPUTED_VALUE"""),"Dubai")</f>
        <v>Dubai</v>
      </c>
      <c r="B4884" s="2" t="str">
        <f ca="1">IFERROR(__xludf.DUMMYFUNCTION("""COMPUTED_VALUE"""),"International Academic School")</f>
        <v>International Academic School</v>
      </c>
      <c r="C4884" s="2" t="str">
        <f ca="1">IFERROR(__xludf.DUMMYFUNCTION("""COMPUTED_VALUE"""),"School")</f>
        <v>School</v>
      </c>
      <c r="D4884" s="2" t="str">
        <f ca="1">IFERROR(__xludf.DUMMYFUNCTION("""COMPUTED_VALUE"""),"Dubai&gt;Al Warqaa&gt;Al Warqaa 1&gt;International Academic School")</f>
        <v>Dubai&gt;Al Warqaa&gt;Al Warqaa 1&gt;International Academic School</v>
      </c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</row>
    <row r="4885" spans="1:26" ht="16.5" x14ac:dyDescent="0.35">
      <c r="A4885" s="2" t="str">
        <f ca="1">IFERROR(__xludf.DUMMYFUNCTION("""COMPUTED_VALUE"""),"Dubai")</f>
        <v>Dubai</v>
      </c>
      <c r="B4885" s="2" t="str">
        <f ca="1">IFERROR(__xludf.DUMMYFUNCTION("""COMPUTED_VALUE"""),"Ananas 3 Building")</f>
        <v>Ananas 3 Building</v>
      </c>
      <c r="C4885" s="2" t="str">
        <f ca="1">IFERROR(__xludf.DUMMYFUNCTION("""COMPUTED_VALUE"""),"Building")</f>
        <v>Building</v>
      </c>
      <c r="D4885" s="2" t="str">
        <f ca="1">IFERROR(__xludf.DUMMYFUNCTION("""COMPUTED_VALUE"""),"Dubai&gt;Al Warqaa&gt;Al Warqaa 1&gt;Ananas 3 Building")</f>
        <v>Dubai&gt;Al Warqaa&gt;Al Warqaa 1&gt;Ananas 3 Building</v>
      </c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</row>
    <row r="4886" spans="1:26" ht="16.5" x14ac:dyDescent="0.35">
      <c r="A4886" s="2" t="str">
        <f ca="1">IFERROR(__xludf.DUMMYFUNCTION("""COMPUTED_VALUE"""),"Dubai")</f>
        <v>Dubai</v>
      </c>
      <c r="B4886" s="2" t="str">
        <f ca="1">IFERROR(__xludf.DUMMYFUNCTION("""COMPUTED_VALUE"""),"Emerald Al Warqa")</f>
        <v>Emerald Al Warqa</v>
      </c>
      <c r="C4886" s="2" t="str">
        <f ca="1">IFERROR(__xludf.DUMMYFUNCTION("""COMPUTED_VALUE"""),"Building")</f>
        <v>Building</v>
      </c>
      <c r="D4886" s="2" t="str">
        <f ca="1">IFERROR(__xludf.DUMMYFUNCTION("""COMPUTED_VALUE"""),"Dubai&gt;Al Warqaa&gt;Al Warqaa 1&gt;Emerald Al Warqa")</f>
        <v>Dubai&gt;Al Warqaa&gt;Al Warqaa 1&gt;Emerald Al Warqa</v>
      </c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</row>
    <row r="4887" spans="1:26" ht="16.5" x14ac:dyDescent="0.35">
      <c r="A4887" s="2" t="str">
        <f ca="1">IFERROR(__xludf.DUMMYFUNCTION("""COMPUTED_VALUE"""),"Dubai")</f>
        <v>Dubai</v>
      </c>
      <c r="B4887" s="2" t="str">
        <f ca="1">IFERROR(__xludf.DUMMYFUNCTION("""COMPUTED_VALUE"""),"Al Mansoori Building")</f>
        <v>Al Mansoori Building</v>
      </c>
      <c r="C4887" s="2" t="str">
        <f ca="1">IFERROR(__xludf.DUMMYFUNCTION("""COMPUTED_VALUE"""),"Building")</f>
        <v>Building</v>
      </c>
      <c r="D4887" s="2" t="str">
        <f ca="1">IFERROR(__xludf.DUMMYFUNCTION("""COMPUTED_VALUE"""),"Dubai&gt;Al Warqaa&gt;Al Warqaa 1&gt;Al Mansoori Building")</f>
        <v>Dubai&gt;Al Warqaa&gt;Al Warqaa 1&gt;Al Mansoori Building</v>
      </c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</row>
    <row r="4888" spans="1:26" ht="16.5" x14ac:dyDescent="0.35">
      <c r="A4888" s="2" t="str">
        <f ca="1">IFERROR(__xludf.DUMMYFUNCTION("""COMPUTED_VALUE"""),"Dubai")</f>
        <v>Dubai</v>
      </c>
      <c r="B4888" s="2" t="str">
        <f ca="1">IFERROR(__xludf.DUMMYFUNCTION("""COMPUTED_VALUE"""),"The Residences JLT (Taj)")</f>
        <v>The Residences JLT (Taj)</v>
      </c>
      <c r="C4888" s="2" t="str">
        <f ca="1">IFERROR(__xludf.DUMMYFUNCTION("""COMPUTED_VALUE"""),"Building")</f>
        <v>Building</v>
      </c>
      <c r="D4888" s="2" t="str">
        <f ca="1">IFERROR(__xludf.DUMMYFUNCTION("""COMPUTED_VALUE"""),"Dubai&gt;Jumeirah Lake Towers (JLT)&gt;The Residences JLT (Taj)")</f>
        <v>Dubai&gt;Jumeirah Lake Towers (JLT)&gt;The Residences JLT (Taj)</v>
      </c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</row>
    <row r="4889" spans="1:26" ht="16.5" x14ac:dyDescent="0.35">
      <c r="A4889" s="2" t="str">
        <f ca="1">IFERROR(__xludf.DUMMYFUNCTION("""COMPUTED_VALUE"""),"Dubai")</f>
        <v>Dubai</v>
      </c>
      <c r="B4889" s="2" t="str">
        <f ca="1">IFERROR(__xludf.DUMMYFUNCTION("""COMPUTED_VALUE"""),"Vista Heights")</f>
        <v>Vista Heights</v>
      </c>
      <c r="C4889" s="2" t="str">
        <f ca="1">IFERROR(__xludf.DUMMYFUNCTION("""COMPUTED_VALUE"""),"Building")</f>
        <v>Building</v>
      </c>
      <c r="D4889" s="2" t="str">
        <f ca="1">IFERROR(__xludf.DUMMYFUNCTION("""COMPUTED_VALUE"""),"Dubai&gt;Jumeirah Lake Towers (JLT)&gt;JLT Cluster F&gt;Vista Heights")</f>
        <v>Dubai&gt;Jumeirah Lake Towers (JLT)&gt;JLT Cluster F&gt;Vista Heights</v>
      </c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</row>
    <row r="4890" spans="1:26" ht="16.5" x14ac:dyDescent="0.35">
      <c r="A4890" s="2" t="str">
        <f ca="1">IFERROR(__xludf.DUMMYFUNCTION("""COMPUTED_VALUE"""),"Dubai")</f>
        <v>Dubai</v>
      </c>
      <c r="B4890" s="2" t="str">
        <f ca="1">IFERROR(__xludf.DUMMYFUNCTION("""COMPUTED_VALUE"""),"Lake Point Tower")</f>
        <v>Lake Point Tower</v>
      </c>
      <c r="C4890" s="2" t="str">
        <f ca="1">IFERROR(__xludf.DUMMYFUNCTION("""COMPUTED_VALUE"""),"Building")</f>
        <v>Building</v>
      </c>
      <c r="D4890" s="2" t="str">
        <f ca="1">IFERROR(__xludf.DUMMYFUNCTION("""COMPUTED_VALUE"""),"Dubai&gt;Jumeirah Lake Towers (JLT)&gt;JLT Cluster N&gt;Lake Point Tower")</f>
        <v>Dubai&gt;Jumeirah Lake Towers (JLT)&gt;JLT Cluster N&gt;Lake Point Tower</v>
      </c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</row>
    <row r="4891" spans="1:26" ht="16.5" x14ac:dyDescent="0.35">
      <c r="A4891" s="2" t="str">
        <f ca="1">IFERROR(__xludf.DUMMYFUNCTION("""COMPUTED_VALUE"""),"Dubai")</f>
        <v>Dubai</v>
      </c>
      <c r="B4891" s="2" t="str">
        <f ca="1">IFERROR(__xludf.DUMMYFUNCTION("""COMPUTED_VALUE"""),"JLT Cluster V")</f>
        <v>JLT Cluster V</v>
      </c>
      <c r="C4891" s="2" t="str">
        <f ca="1">IFERROR(__xludf.DUMMYFUNCTION("""COMPUTED_VALUE"""),"Cluster")</f>
        <v>Cluster</v>
      </c>
      <c r="D4891" s="2" t="str">
        <f ca="1">IFERROR(__xludf.DUMMYFUNCTION("""COMPUTED_VALUE"""),"Dubai&gt;Jumeirah Lake Towers (JLT)&gt;JLT Cluster V")</f>
        <v>Dubai&gt;Jumeirah Lake Towers (JLT)&gt;JLT Cluster V</v>
      </c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</row>
    <row r="4892" spans="1:26" ht="16.5" x14ac:dyDescent="0.35">
      <c r="A4892" s="2" t="str">
        <f ca="1">IFERROR(__xludf.DUMMYFUNCTION("""COMPUTED_VALUE"""),"Dubai")</f>
        <v>Dubai</v>
      </c>
      <c r="B4892" s="2" t="str">
        <f ca="1">IFERROR(__xludf.DUMMYFUNCTION("""COMPUTED_VALUE"""),"Uptown Tower")</f>
        <v>Uptown Tower</v>
      </c>
      <c r="C4892" s="2" t="str">
        <f ca="1">IFERROR(__xludf.DUMMYFUNCTION("""COMPUTED_VALUE"""),"Building")</f>
        <v>Building</v>
      </c>
      <c r="D4892" s="2" t="str">
        <f ca="1">IFERROR(__xludf.DUMMYFUNCTION("""COMPUTED_VALUE"""),"Dubai&gt;Jumeirah Lake Towers (JLT)&gt;Uptown Dubai&gt;Uptown Tower")</f>
        <v>Dubai&gt;Jumeirah Lake Towers (JLT)&gt;Uptown Dubai&gt;Uptown Tower</v>
      </c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</row>
    <row r="4893" spans="1:26" ht="16.5" x14ac:dyDescent="0.35">
      <c r="A4893" s="2" t="str">
        <f ca="1">IFERROR(__xludf.DUMMYFUNCTION("""COMPUTED_VALUE"""),"Dubai")</f>
        <v>Dubai</v>
      </c>
      <c r="B4893" s="2" t="str">
        <f ca="1">IFERROR(__xludf.DUMMYFUNCTION("""COMPUTED_VALUE"""),"Ranches Primary School")</f>
        <v>Ranches Primary School</v>
      </c>
      <c r="C4893" s="2" t="str">
        <f ca="1">IFERROR(__xludf.DUMMYFUNCTION("""COMPUTED_VALUE"""),"School")</f>
        <v>School</v>
      </c>
      <c r="D4893" s="2" t="str">
        <f ca="1">IFERROR(__xludf.DUMMYFUNCTION("""COMPUTED_VALUE"""),"Dubai&gt;Arabian Ranches 2&gt;Ranches Primary School")</f>
        <v>Dubai&gt;Arabian Ranches 2&gt;Ranches Primary School</v>
      </c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</row>
    <row r="4894" spans="1:26" ht="16.5" x14ac:dyDescent="0.35">
      <c r="A4894" s="2" t="str">
        <f ca="1">IFERROR(__xludf.DUMMYFUNCTION("""COMPUTED_VALUE"""),"Dubai")</f>
        <v>Dubai</v>
      </c>
      <c r="B4894" s="2" t="str">
        <f ca="1">IFERROR(__xludf.DUMMYFUNCTION("""COMPUTED_VALUE"""),"Cloud 88")</f>
        <v>Cloud 88</v>
      </c>
      <c r="C4894" s="2" t="str">
        <f ca="1">IFERROR(__xludf.DUMMYFUNCTION("""COMPUTED_VALUE"""),"Building")</f>
        <v>Building</v>
      </c>
      <c r="D4894" s="2" t="str">
        <f ca="1">IFERROR(__xludf.DUMMYFUNCTION("""COMPUTED_VALUE"""),"Dubai&gt;Al Satwa&gt;Jumeirah Garden City&gt;Cloud 88")</f>
        <v>Dubai&gt;Al Satwa&gt;Jumeirah Garden City&gt;Cloud 88</v>
      </c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</row>
    <row r="4895" spans="1:26" ht="16.5" x14ac:dyDescent="0.35">
      <c r="A4895" s="2" t="str">
        <f ca="1">IFERROR(__xludf.DUMMYFUNCTION("""COMPUTED_VALUE"""),"Dubai")</f>
        <v>Dubai</v>
      </c>
      <c r="B4895" s="2" t="str">
        <f ca="1">IFERROR(__xludf.DUMMYFUNCTION("""COMPUTED_VALUE"""),"Grandala by Palladium")</f>
        <v>Grandala by Palladium</v>
      </c>
      <c r="C4895" s="2" t="str">
        <f ca="1">IFERROR(__xludf.DUMMYFUNCTION("""COMPUTED_VALUE"""),"Building")</f>
        <v>Building</v>
      </c>
      <c r="D4895" s="2" t="str">
        <f ca="1">IFERROR(__xludf.DUMMYFUNCTION("""COMPUTED_VALUE"""),"Dubai&gt;Al Satwa&gt;Jumeirah Garden City&gt;Grandala by Palladium")</f>
        <v>Dubai&gt;Al Satwa&gt;Jumeirah Garden City&gt;Grandala by Palladium</v>
      </c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</row>
    <row r="4896" spans="1:26" ht="16.5" x14ac:dyDescent="0.35">
      <c r="A4896" s="2" t="str">
        <f ca="1">IFERROR(__xludf.DUMMYFUNCTION("""COMPUTED_VALUE"""),"Dubai")</f>
        <v>Dubai</v>
      </c>
      <c r="B4896" s="2" t="str">
        <f ca="1">IFERROR(__xludf.DUMMYFUNCTION("""COMPUTED_VALUE"""),"Hana Residence")</f>
        <v>Hana Residence</v>
      </c>
      <c r="C4896" s="2" t="str">
        <f ca="1">IFERROR(__xludf.DUMMYFUNCTION("""COMPUTED_VALUE"""),"Building")</f>
        <v>Building</v>
      </c>
      <c r="D4896" s="2" t="str">
        <f ca="1">IFERROR(__xludf.DUMMYFUNCTION("""COMPUTED_VALUE"""),"Dubai&gt;Al Satwa&gt;Jumeirah Garden City&gt;Hana Residence")</f>
        <v>Dubai&gt;Al Satwa&gt;Jumeirah Garden City&gt;Hana Residence</v>
      </c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</row>
    <row r="4897" spans="1:26" ht="16.5" x14ac:dyDescent="0.35">
      <c r="A4897" s="2" t="str">
        <f ca="1">IFERROR(__xludf.DUMMYFUNCTION("""COMPUTED_VALUE"""),"Dubai")</f>
        <v>Dubai</v>
      </c>
      <c r="B4897" s="2" t="str">
        <f ca="1">IFERROR(__xludf.DUMMYFUNCTION("""COMPUTED_VALUE"""),"Jad 288 Building A")</f>
        <v>Jad 288 Building A</v>
      </c>
      <c r="C4897" s="2" t="str">
        <f ca="1">IFERROR(__xludf.DUMMYFUNCTION("""COMPUTED_VALUE"""),"Building")</f>
        <v>Building</v>
      </c>
      <c r="D4897" s="2" t="str">
        <f ca="1">IFERROR(__xludf.DUMMYFUNCTION("""COMPUTED_VALUE"""),"Dubai&gt;Al Satwa&gt;Jumeirah Garden City&gt;Jad 288&gt;Jad 288 Building A")</f>
        <v>Dubai&gt;Al Satwa&gt;Jumeirah Garden City&gt;Jad 288&gt;Jad 288 Building A</v>
      </c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</row>
    <row r="4898" spans="1:26" ht="16.5" x14ac:dyDescent="0.35">
      <c r="A4898" s="2" t="str">
        <f ca="1">IFERROR(__xludf.DUMMYFUNCTION("""COMPUTED_VALUE"""),"Dubai")</f>
        <v>Dubai</v>
      </c>
      <c r="B4898" s="2" t="str">
        <f ca="1">IFERROR(__xludf.DUMMYFUNCTION("""COMPUTED_VALUE"""),"Al Mizhar 4")</f>
        <v>Al Mizhar 4</v>
      </c>
      <c r="C4898" s="2" t="str">
        <f ca="1">IFERROR(__xludf.DUMMYFUNCTION("""COMPUTED_VALUE"""),"Neighbourhood")</f>
        <v>Neighbourhood</v>
      </c>
      <c r="D4898" s="2" t="str">
        <f ca="1">IFERROR(__xludf.DUMMYFUNCTION("""COMPUTED_VALUE"""),"Dubai&gt;Al Mizhar&gt;Al Mizhar 4")</f>
        <v>Dubai&gt;Al Mizhar&gt;Al Mizhar 4</v>
      </c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</row>
    <row r="4899" spans="1:26" ht="16.5" x14ac:dyDescent="0.35">
      <c r="A4899" s="2" t="str">
        <f ca="1">IFERROR(__xludf.DUMMYFUNCTION("""COMPUTED_VALUE"""),"Dubai")</f>
        <v>Dubai</v>
      </c>
      <c r="B4899" s="2" t="str">
        <f ca="1">IFERROR(__xludf.DUMMYFUNCTION("""COMPUTED_VALUE"""),"Building 117")</f>
        <v>Building 117</v>
      </c>
      <c r="C4899" s="2" t="str">
        <f ca="1">IFERROR(__xludf.DUMMYFUNCTION("""COMPUTED_VALUE"""),"Building")</f>
        <v>Building</v>
      </c>
      <c r="D4899" s="2" t="str">
        <f ca="1">IFERROR(__xludf.DUMMYFUNCTION("""COMPUTED_VALUE"""),"Dubai&gt;Discovery Gardens&gt;Contemporary&gt;Building 117")</f>
        <v>Dubai&gt;Discovery Gardens&gt;Contemporary&gt;Building 117</v>
      </c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</row>
    <row r="4900" spans="1:26" ht="16.5" x14ac:dyDescent="0.35">
      <c r="A4900" s="2" t="str">
        <f ca="1">IFERROR(__xludf.DUMMYFUNCTION("""COMPUTED_VALUE"""),"Dubai")</f>
        <v>Dubai</v>
      </c>
      <c r="B4900" s="2" t="str">
        <f ca="1">IFERROR(__xludf.DUMMYFUNCTION("""COMPUTED_VALUE"""),"Building 248")</f>
        <v>Building 248</v>
      </c>
      <c r="C4900" s="2" t="str">
        <f ca="1">IFERROR(__xludf.DUMMYFUNCTION("""COMPUTED_VALUE"""),"Building")</f>
        <v>Building</v>
      </c>
      <c r="D4900" s="2" t="str">
        <f ca="1">IFERROR(__xludf.DUMMYFUNCTION("""COMPUTED_VALUE"""),"Dubai&gt;Discovery Gardens&gt;Mesoamerican&gt;Building 248")</f>
        <v>Dubai&gt;Discovery Gardens&gt;Mesoamerican&gt;Building 248</v>
      </c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</row>
    <row r="4901" spans="1:26" ht="16.5" x14ac:dyDescent="0.35">
      <c r="A4901" s="2" t="str">
        <f ca="1">IFERROR(__xludf.DUMMYFUNCTION("""COMPUTED_VALUE"""),"Dubai")</f>
        <v>Dubai</v>
      </c>
      <c r="B4901" s="2" t="str">
        <f ca="1">IFERROR(__xludf.DUMMYFUNCTION("""COMPUTED_VALUE"""),"Building 210")</f>
        <v>Building 210</v>
      </c>
      <c r="C4901" s="2" t="str">
        <f ca="1">IFERROR(__xludf.DUMMYFUNCTION("""COMPUTED_VALUE"""),"Building")</f>
        <v>Building</v>
      </c>
      <c r="D4901" s="2" t="str">
        <f ca="1">IFERROR(__xludf.DUMMYFUNCTION("""COMPUTED_VALUE"""),"Dubai&gt;Discovery Gardens&gt;Mogul&gt;Building 210")</f>
        <v>Dubai&gt;Discovery Gardens&gt;Mogul&gt;Building 210</v>
      </c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</row>
    <row r="4902" spans="1:26" ht="16.5" x14ac:dyDescent="0.35">
      <c r="A4902" s="2" t="str">
        <f ca="1">IFERROR(__xludf.DUMMYFUNCTION("""COMPUTED_VALUE"""),"Dubai")</f>
        <v>Dubai</v>
      </c>
      <c r="B4902" s="2" t="str">
        <f ca="1">IFERROR(__xludf.DUMMYFUNCTION("""COMPUTED_VALUE"""),"Building 10")</f>
        <v>Building 10</v>
      </c>
      <c r="C4902" s="2" t="str">
        <f ca="1">IFERROR(__xludf.DUMMYFUNCTION("""COMPUTED_VALUE"""),"Building")</f>
        <v>Building</v>
      </c>
      <c r="D4902" s="2" t="str">
        <f ca="1">IFERROR(__xludf.DUMMYFUNCTION("""COMPUTED_VALUE"""),"Dubai&gt;Discovery Gardens&gt;Zen Cluster&gt;Building 10")</f>
        <v>Dubai&gt;Discovery Gardens&gt;Zen Cluster&gt;Building 10</v>
      </c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</row>
    <row r="4903" spans="1:26" ht="16.5" x14ac:dyDescent="0.35">
      <c r="A4903" s="2" t="str">
        <f ca="1">IFERROR(__xludf.DUMMYFUNCTION("""COMPUTED_VALUE"""),"Dubai")</f>
        <v>Dubai</v>
      </c>
      <c r="B4903" s="2" t="str">
        <f ca="1">IFERROR(__xludf.DUMMYFUNCTION("""COMPUTED_VALUE"""),"Building 71")</f>
        <v>Building 71</v>
      </c>
      <c r="C4903" s="2" t="str">
        <f ca="1">IFERROR(__xludf.DUMMYFUNCTION("""COMPUTED_VALUE"""),"Building")</f>
        <v>Building</v>
      </c>
      <c r="D4903" s="2" t="str">
        <f ca="1">IFERROR(__xludf.DUMMYFUNCTION("""COMPUTED_VALUE"""),"Dubai&gt;Discovery Gardens&gt;Mediterranean&gt;Building 71")</f>
        <v>Dubai&gt;Discovery Gardens&gt;Mediterranean&gt;Building 71</v>
      </c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</row>
    <row r="4904" spans="1:26" ht="16.5" x14ac:dyDescent="0.35">
      <c r="A4904" s="2" t="str">
        <f ca="1">IFERROR(__xludf.DUMMYFUNCTION("""COMPUTED_VALUE"""),"Dubai")</f>
        <v>Dubai</v>
      </c>
      <c r="B4904" s="2" t="str">
        <f ca="1">IFERROR(__xludf.DUMMYFUNCTION("""COMPUTED_VALUE"""),"Building 51")</f>
        <v>Building 51</v>
      </c>
      <c r="C4904" s="2" t="str">
        <f ca="1">IFERROR(__xludf.DUMMYFUNCTION("""COMPUTED_VALUE"""),"Building")</f>
        <v>Building</v>
      </c>
      <c r="D4904" s="2" t="str">
        <f ca="1">IFERROR(__xludf.DUMMYFUNCTION("""COMPUTED_VALUE"""),"Dubai&gt;Discovery Gardens&gt;Mediterranean&gt;Building 51")</f>
        <v>Dubai&gt;Discovery Gardens&gt;Mediterranean&gt;Building 51</v>
      </c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</row>
    <row r="4905" spans="1:26" ht="16.5" x14ac:dyDescent="0.35">
      <c r="A4905" s="2" t="str">
        <f ca="1">IFERROR(__xludf.DUMMYFUNCTION("""COMPUTED_VALUE"""),"Dubai")</f>
        <v>Dubai</v>
      </c>
      <c r="B4905" s="2" t="str">
        <f ca="1">IFERROR(__xludf.DUMMYFUNCTION("""COMPUTED_VALUE"""),"Building 103")</f>
        <v>Building 103</v>
      </c>
      <c r="C4905" s="2" t="str">
        <f ca="1">IFERROR(__xludf.DUMMYFUNCTION("""COMPUTED_VALUE"""),"Building")</f>
        <v>Building</v>
      </c>
      <c r="D4905" s="2" t="str">
        <f ca="1">IFERROR(__xludf.DUMMYFUNCTION("""COMPUTED_VALUE"""),"Dubai&gt;Discovery Gardens&gt;Mediterranean&gt;Building 103")</f>
        <v>Dubai&gt;Discovery Gardens&gt;Mediterranean&gt;Building 103</v>
      </c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</row>
    <row r="4906" spans="1:26" ht="16.5" x14ac:dyDescent="0.35">
      <c r="A4906" s="2" t="str">
        <f ca="1">IFERROR(__xludf.DUMMYFUNCTION("""COMPUTED_VALUE"""),"Dubai")</f>
        <v>Dubai</v>
      </c>
      <c r="B4906" s="2" t="str">
        <f ca="1">IFERROR(__xludf.DUMMYFUNCTION("""COMPUTED_VALUE"""),"Al Sarrood")</f>
        <v>Al Sarrood</v>
      </c>
      <c r="C4906" s="2" t="str">
        <f ca="1">IFERROR(__xludf.DUMMYFUNCTION("""COMPUTED_VALUE"""),"Building")</f>
        <v>Building</v>
      </c>
      <c r="D4906" s="2" t="str">
        <f ca="1">IFERROR(__xludf.DUMMYFUNCTION("""COMPUTED_VALUE"""),"Dubai&gt;Palm Jumeirah&gt;Shoreline Apartments&gt;Al Sarrood")</f>
        <v>Dubai&gt;Palm Jumeirah&gt;Shoreline Apartments&gt;Al Sarrood</v>
      </c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</row>
    <row r="4907" spans="1:26" ht="16.5" x14ac:dyDescent="0.35">
      <c r="A4907" s="2" t="str">
        <f ca="1">IFERROR(__xludf.DUMMYFUNCTION("""COMPUTED_VALUE"""),"Dubai")</f>
        <v>Dubai</v>
      </c>
      <c r="B4907" s="2" t="str">
        <f ca="1">IFERROR(__xludf.DUMMYFUNCTION("""COMPUTED_VALUE"""),"Tanzanite")</f>
        <v>Tanzanite</v>
      </c>
      <c r="C4907" s="2" t="str">
        <f ca="1">IFERROR(__xludf.DUMMYFUNCTION("""COMPUTED_VALUE"""),"Building")</f>
        <v>Building</v>
      </c>
      <c r="D4907" s="2" t="str">
        <f ca="1">IFERROR(__xludf.DUMMYFUNCTION("""COMPUTED_VALUE"""),"Dubai&gt;Palm Jumeirah&gt;Tiara Residences&gt;Tanzanite")</f>
        <v>Dubai&gt;Palm Jumeirah&gt;Tiara Residences&gt;Tanzanite</v>
      </c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</row>
    <row r="4908" spans="1:26" ht="16.5" x14ac:dyDescent="0.35">
      <c r="A4908" s="2" t="str">
        <f ca="1">IFERROR(__xludf.DUMMYFUNCTION("""COMPUTED_VALUE"""),"Dubai")</f>
        <v>Dubai</v>
      </c>
      <c r="B4908" s="2" t="str">
        <f ca="1">IFERROR(__xludf.DUMMYFUNCTION("""COMPUTED_VALUE"""),"Golden Mile 8")</f>
        <v>Golden Mile 8</v>
      </c>
      <c r="C4908" s="2" t="str">
        <f ca="1">IFERROR(__xludf.DUMMYFUNCTION("""COMPUTED_VALUE"""),"Building")</f>
        <v>Building</v>
      </c>
      <c r="D4908" s="2" t="str">
        <f ca="1">IFERROR(__xludf.DUMMYFUNCTION("""COMPUTED_VALUE"""),"Dubai&gt;Palm Jumeirah&gt;Golden Mile&gt;Golden Mile 8")</f>
        <v>Dubai&gt;Palm Jumeirah&gt;Golden Mile&gt;Golden Mile 8</v>
      </c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</row>
    <row r="4909" spans="1:26" ht="16.5" x14ac:dyDescent="0.35">
      <c r="A4909" s="2" t="str">
        <f ca="1">IFERROR(__xludf.DUMMYFUNCTION("""COMPUTED_VALUE"""),"Dubai")</f>
        <v>Dubai</v>
      </c>
      <c r="B4909" s="2" t="str">
        <f ca="1">IFERROR(__xludf.DUMMYFUNCTION("""COMPUTED_VALUE"""),"Muraba Residence")</f>
        <v>Muraba Residence</v>
      </c>
      <c r="C4909" s="2" t="str">
        <f ca="1">IFERROR(__xludf.DUMMYFUNCTION("""COMPUTED_VALUE"""),"Building")</f>
        <v>Building</v>
      </c>
      <c r="D4909" s="2" t="str">
        <f ca="1">IFERROR(__xludf.DUMMYFUNCTION("""COMPUTED_VALUE"""),"Dubai&gt;Palm Jumeirah&gt;The Crescent&gt;Muraba Residence")</f>
        <v>Dubai&gt;Palm Jumeirah&gt;The Crescent&gt;Muraba Residence</v>
      </c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</row>
    <row r="4910" spans="1:26" ht="16.5" x14ac:dyDescent="0.35">
      <c r="A4910" s="2" t="str">
        <f ca="1">IFERROR(__xludf.DUMMYFUNCTION("""COMPUTED_VALUE"""),"Dubai")</f>
        <v>Dubai</v>
      </c>
      <c r="B4910" s="2" t="str">
        <f ca="1">IFERROR(__xludf.DUMMYFUNCTION("""COMPUTED_VALUE"""),"Anantara The Palm Dubai Resort")</f>
        <v>Anantara The Palm Dubai Resort</v>
      </c>
      <c r="C4910" s="2" t="str">
        <f ca="1">IFERROR(__xludf.DUMMYFUNCTION("""COMPUTED_VALUE"""),"Building")</f>
        <v>Building</v>
      </c>
      <c r="D4910" s="2" t="str">
        <f ca="1">IFERROR(__xludf.DUMMYFUNCTION("""COMPUTED_VALUE"""),"Dubai&gt;Palm Jumeirah&gt;Anantara The Palm Dubai Resort")</f>
        <v>Dubai&gt;Palm Jumeirah&gt;Anantara The Palm Dubai Resort</v>
      </c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</row>
    <row r="4911" spans="1:26" ht="16.5" x14ac:dyDescent="0.35">
      <c r="A4911" s="2" t="str">
        <f ca="1">IFERROR(__xludf.DUMMYFUNCTION("""COMPUTED_VALUE"""),"Dubai")</f>
        <v>Dubai</v>
      </c>
      <c r="B4911" s="2" t="str">
        <f ca="1">IFERROR(__xludf.DUMMYFUNCTION("""COMPUTED_VALUE"""),"Luce")</f>
        <v>Luce</v>
      </c>
      <c r="C4911" s="2" t="str">
        <f ca="1">IFERROR(__xludf.DUMMYFUNCTION("""COMPUTED_VALUE"""),"Building")</f>
        <v>Building</v>
      </c>
      <c r="D4911" s="2" t="str">
        <f ca="1">IFERROR(__xludf.DUMMYFUNCTION("""COMPUTED_VALUE"""),"Dubai&gt;Palm Jumeirah&gt;Luce")</f>
        <v>Dubai&gt;Palm Jumeirah&gt;Luce</v>
      </c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</row>
    <row r="4912" spans="1:26" ht="16.5" x14ac:dyDescent="0.35">
      <c r="A4912" s="2" t="str">
        <f ca="1">IFERROR(__xludf.DUMMYFUNCTION("""COMPUTED_VALUE"""),"Dubai")</f>
        <v>Dubai</v>
      </c>
      <c r="B4912" s="2" t="str">
        <f ca="1">IFERROR(__xludf.DUMMYFUNCTION("""COMPUTED_VALUE"""),"The Royal Amwaj Resort &amp; Spa")</f>
        <v>The Royal Amwaj Resort &amp; Spa</v>
      </c>
      <c r="C4912" s="2" t="str">
        <f ca="1">IFERROR(__xludf.DUMMYFUNCTION("""COMPUTED_VALUE"""),"Building")</f>
        <v>Building</v>
      </c>
      <c r="D4912" s="2" t="str">
        <f ca="1">IFERROR(__xludf.DUMMYFUNCTION("""COMPUTED_VALUE"""),"Dubai&gt;Palm Jumeirah&gt;The Royal Amwaj Resort &amp; Spa")</f>
        <v>Dubai&gt;Palm Jumeirah&gt;The Royal Amwaj Resort &amp; Spa</v>
      </c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</row>
    <row r="4913" spans="1:26" ht="16.5" x14ac:dyDescent="0.35">
      <c r="A4913" s="2" t="str">
        <f ca="1">IFERROR(__xludf.DUMMYFUNCTION("""COMPUTED_VALUE"""),"Dubai")</f>
        <v>Dubai</v>
      </c>
      <c r="B4913" s="2" t="str">
        <f ca="1">IFERROR(__xludf.DUMMYFUNCTION("""COMPUTED_VALUE"""),"Azizi Aliyah Residence")</f>
        <v>Azizi Aliyah Residence</v>
      </c>
      <c r="C4913" s="2" t="str">
        <f ca="1">IFERROR(__xludf.DUMMYFUNCTION("""COMPUTED_VALUE"""),"Building")</f>
        <v>Building</v>
      </c>
      <c r="D4913" s="2" t="str">
        <f ca="1">IFERROR(__xludf.DUMMYFUNCTION("""COMPUTED_VALUE"""),"Dubai&gt;Al Jaddaf&gt;Dubai Healthcare City Phase 2&gt;Azizi Aliyah Residence")</f>
        <v>Dubai&gt;Al Jaddaf&gt;Dubai Healthcare City Phase 2&gt;Azizi Aliyah Residence</v>
      </c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</row>
    <row r="4914" spans="1:26" ht="16.5" x14ac:dyDescent="0.35">
      <c r="A4914" s="2" t="str">
        <f ca="1">IFERROR(__xludf.DUMMYFUNCTION("""COMPUTED_VALUE"""),"Dubai")</f>
        <v>Dubai</v>
      </c>
      <c r="B4914" s="2" t="str">
        <f ca="1">IFERROR(__xludf.DUMMYFUNCTION("""COMPUTED_VALUE"""),"Binghatti Creek")</f>
        <v>Binghatti Creek</v>
      </c>
      <c r="C4914" s="2" t="str">
        <f ca="1">IFERROR(__xludf.DUMMYFUNCTION("""COMPUTED_VALUE"""),"Building")</f>
        <v>Building</v>
      </c>
      <c r="D4914" s="2" t="str">
        <f ca="1">IFERROR(__xludf.DUMMYFUNCTION("""COMPUTED_VALUE"""),"Dubai&gt;Al Jaddaf&gt;Binghatti Creek")</f>
        <v>Dubai&gt;Al Jaddaf&gt;Binghatti Creek</v>
      </c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</row>
    <row r="4915" spans="1:26" ht="16.5" x14ac:dyDescent="0.35">
      <c r="A4915" s="2" t="str">
        <f ca="1">IFERROR(__xludf.DUMMYFUNCTION("""COMPUTED_VALUE"""),"Dubai")</f>
        <v>Dubai</v>
      </c>
      <c r="B4915" s="2" t="str">
        <f ca="1">IFERROR(__xludf.DUMMYFUNCTION("""COMPUTED_VALUE"""),"Montage")</f>
        <v>Montage</v>
      </c>
      <c r="C4915" s="2" t="str">
        <f ca="1">IFERROR(__xludf.DUMMYFUNCTION("""COMPUTED_VALUE"""),"Building")</f>
        <v>Building</v>
      </c>
      <c r="D4915" s="2" t="str">
        <f ca="1">IFERROR(__xludf.DUMMYFUNCTION("""COMPUTED_VALUE"""),"Dubai&gt;Al Jaddaf&gt;Montage")</f>
        <v>Dubai&gt;Al Jaddaf&gt;Montage</v>
      </c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</row>
    <row r="4916" spans="1:26" ht="16.5" x14ac:dyDescent="0.35">
      <c r="A4916" s="2" t="str">
        <f ca="1">IFERROR(__xludf.DUMMYFUNCTION("""COMPUTED_VALUE"""),"Dubai")</f>
        <v>Dubai</v>
      </c>
      <c r="B4916" s="2" t="str">
        <f ca="1">IFERROR(__xludf.DUMMYFUNCTION("""COMPUTED_VALUE"""),"The Beach Collection")</f>
        <v>The Beach Collection</v>
      </c>
      <c r="C4916" s="2" t="str">
        <f ca="1">IFERROR(__xludf.DUMMYFUNCTION("""COMPUTED_VALUE"""),"Neighbourhood")</f>
        <v>Neighbourhood</v>
      </c>
      <c r="D4916" s="2" t="str">
        <f ca="1">IFERROR(__xludf.DUMMYFUNCTION("""COMPUTED_VALUE"""),"Dubai&gt;Palm Jebel Ali&gt;Frond N&gt;The Beach Collection")</f>
        <v>Dubai&gt;Palm Jebel Ali&gt;Frond N&gt;The Beach Collection</v>
      </c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</row>
    <row r="4917" spans="1:26" ht="16.5" x14ac:dyDescent="0.35">
      <c r="A4917" s="2" t="str">
        <f ca="1">IFERROR(__xludf.DUMMYFUNCTION("""COMPUTED_VALUE"""),"Dubai")</f>
        <v>Dubai</v>
      </c>
      <c r="B4917" s="2" t="str">
        <f ca="1">IFERROR(__xludf.DUMMYFUNCTION("""COMPUTED_VALUE"""),"Villa Lantana 2")</f>
        <v>Villa Lantana 2</v>
      </c>
      <c r="C4917" s="2" t="str">
        <f ca="1">IFERROR(__xludf.DUMMYFUNCTION("""COMPUTED_VALUE"""),"Neighbourhood")</f>
        <v>Neighbourhood</v>
      </c>
      <c r="D4917" s="2" t="str">
        <f ca="1">IFERROR(__xludf.DUMMYFUNCTION("""COMPUTED_VALUE"""),"Dubai&gt;Dubai Science Park&gt;Villa Lantana&gt;Villa Lantana 2")</f>
        <v>Dubai&gt;Dubai Science Park&gt;Villa Lantana&gt;Villa Lantana 2</v>
      </c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</row>
    <row r="4918" spans="1:26" ht="16.5" x14ac:dyDescent="0.35">
      <c r="A4918" s="2" t="str">
        <f ca="1">IFERROR(__xludf.DUMMYFUNCTION("""COMPUTED_VALUE"""),"Dubai")</f>
        <v>Dubai</v>
      </c>
      <c r="B4918" s="2" t="str">
        <f ca="1">IFERROR(__xludf.DUMMYFUNCTION("""COMPUTED_VALUE"""),"Dubai British School")</f>
        <v>Dubai British School</v>
      </c>
      <c r="C4918" s="2" t="str">
        <f ca="1">IFERROR(__xludf.DUMMYFUNCTION("""COMPUTED_VALUE"""),"School")</f>
        <v>School</v>
      </c>
      <c r="D4918" s="2" t="str">
        <f ca="1">IFERROR(__xludf.DUMMYFUNCTION("""COMPUTED_VALUE"""),"Dubai&gt;The Springs&gt;Dubai British School")</f>
        <v>Dubai&gt;The Springs&gt;Dubai British School</v>
      </c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</row>
    <row r="4919" spans="1:26" ht="16.5" x14ac:dyDescent="0.35">
      <c r="A4919" s="2" t="str">
        <f ca="1">IFERROR(__xludf.DUMMYFUNCTION("""COMPUTED_VALUE"""),"Dubai")</f>
        <v>Dubai</v>
      </c>
      <c r="B4919" s="2" t="str">
        <f ca="1">IFERROR(__xludf.DUMMYFUNCTION("""COMPUTED_VALUE"""),"Hillside Residences 2")</f>
        <v>Hillside Residences 2</v>
      </c>
      <c r="C4919" s="2" t="str">
        <f ca="1">IFERROR(__xludf.DUMMYFUNCTION("""COMPUTED_VALUE"""),"Cluster")</f>
        <v>Cluster</v>
      </c>
      <c r="D4919" s="2" t="str">
        <f ca="1">IFERROR(__xludf.DUMMYFUNCTION("""COMPUTED_VALUE"""),"Dubai&gt;Wasl Gate&gt;Hillside Residences&gt;Hillside Residences 2")</f>
        <v>Dubai&gt;Wasl Gate&gt;Hillside Residences&gt;Hillside Residences 2</v>
      </c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</row>
    <row r="4920" spans="1:26" ht="16.5" x14ac:dyDescent="0.35">
      <c r="A4920" s="2" t="str">
        <f ca="1">IFERROR(__xludf.DUMMYFUNCTION("""COMPUTED_VALUE"""),"Dubai")</f>
        <v>Dubai</v>
      </c>
      <c r="B4920" s="2" t="str">
        <f ca="1">IFERROR(__xludf.DUMMYFUNCTION("""COMPUTED_VALUE"""),"MAG 22")</f>
        <v>MAG 22</v>
      </c>
      <c r="C4920" s="2" t="str">
        <f ca="1">IFERROR(__xludf.DUMMYFUNCTION("""COMPUTED_VALUE"""),"Neighbourhood")</f>
        <v>Neighbourhood</v>
      </c>
      <c r="D4920" s="2" t="str">
        <f ca="1">IFERROR(__xludf.DUMMYFUNCTION("""COMPUTED_VALUE"""),"Dubai&gt;Nad Al Sheba&gt;Nad Al Sheba 1&gt;Nad Al Sheba Gardens&gt;Nad Al Sheba Gardens 1&gt;MAG 22")</f>
        <v>Dubai&gt;Nad Al Sheba&gt;Nad Al Sheba 1&gt;Nad Al Sheba Gardens&gt;Nad Al Sheba Gardens 1&gt;MAG 22</v>
      </c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</row>
    <row r="4921" spans="1:26" ht="16.5" x14ac:dyDescent="0.35">
      <c r="A4921" s="2" t="str">
        <f ca="1">IFERROR(__xludf.DUMMYFUNCTION("""COMPUTED_VALUE"""),"Dubai")</f>
        <v>Dubai</v>
      </c>
      <c r="B4921" s="2" t="str">
        <f ca="1">IFERROR(__xludf.DUMMYFUNCTION("""COMPUTED_VALUE"""),"Nad Al Sheba Villas")</f>
        <v>Nad Al Sheba Villas</v>
      </c>
      <c r="C4921" s="2" t="str">
        <f ca="1">IFERROR(__xludf.DUMMYFUNCTION("""COMPUTED_VALUE"""),"Neighbourhood")</f>
        <v>Neighbourhood</v>
      </c>
      <c r="D4921" s="2" t="str">
        <f ca="1">IFERROR(__xludf.DUMMYFUNCTION("""COMPUTED_VALUE"""),"Dubai&gt;Nad Al Sheba&gt;Nad Al Sheba 3&gt;Nad Al Sheba Villas")</f>
        <v>Dubai&gt;Nad Al Sheba&gt;Nad Al Sheba 3&gt;Nad Al Sheba Villas</v>
      </c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</row>
    <row r="4922" spans="1:26" ht="16.5" x14ac:dyDescent="0.35">
      <c r="A4922" s="2" t="str">
        <f ca="1">IFERROR(__xludf.DUMMYFUNCTION("""COMPUTED_VALUE"""),"Dubai")</f>
        <v>Dubai</v>
      </c>
      <c r="B4922" s="2" t="str">
        <f ca="1">IFERROR(__xludf.DUMMYFUNCTION("""COMPUTED_VALUE"""),"DIC 12")</f>
        <v>DIC 12</v>
      </c>
      <c r="C4922" s="2" t="str">
        <f ca="1">IFERROR(__xludf.DUMMYFUNCTION("""COMPUTED_VALUE"""),"Building")</f>
        <v>Building</v>
      </c>
      <c r="D4922" s="2" t="str">
        <f ca="1">IFERROR(__xludf.DUMMYFUNCTION("""COMPUTED_VALUE"""),"Dubai&gt;Dubai Internet City&gt;DIC&gt;DIC 12")</f>
        <v>Dubai&gt;Dubai Internet City&gt;DIC&gt;DIC 12</v>
      </c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</row>
    <row r="4923" spans="1:26" ht="16.5" x14ac:dyDescent="0.35">
      <c r="A4923" s="2" t="str">
        <f ca="1">IFERROR(__xludf.DUMMYFUNCTION("""COMPUTED_VALUE"""),"Dubai")</f>
        <v>Dubai</v>
      </c>
      <c r="B4923" s="2" t="str">
        <f ca="1">IFERROR(__xludf.DUMMYFUNCTION("""COMPUTED_VALUE"""),"Bliss")</f>
        <v>Bliss</v>
      </c>
      <c r="C4923" s="2" t="str">
        <f ca="1">IFERROR(__xludf.DUMMYFUNCTION("""COMPUTED_VALUE"""),"Neighbourhood")</f>
        <v>Neighbourhood</v>
      </c>
      <c r="D4923" s="2" t="str">
        <f ca="1">IFERROR(__xludf.DUMMYFUNCTION("""COMPUTED_VALUE"""),"Dubai&gt;Arabian Ranches 3&gt;Bliss")</f>
        <v>Dubai&gt;Arabian Ranches 3&gt;Bliss</v>
      </c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</row>
    <row r="4924" spans="1:26" ht="16.5" x14ac:dyDescent="0.35">
      <c r="A4924" s="2" t="str">
        <f ca="1">IFERROR(__xludf.DUMMYFUNCTION("""COMPUTED_VALUE"""),"Dubai")</f>
        <v>Dubai</v>
      </c>
      <c r="B4924" s="2" t="str">
        <f ca="1">IFERROR(__xludf.DUMMYFUNCTION("""COMPUTED_VALUE"""),"Sunridge")</f>
        <v>Sunridge</v>
      </c>
      <c r="C4924" s="2" t="str">
        <f ca="1">IFERROR(__xludf.DUMMYFUNCTION("""COMPUTED_VALUE"""),"Building")</f>
        <v>Building</v>
      </c>
      <c r="D4924" s="2" t="str">
        <f ca="1">IFERROR(__xludf.DUMMYFUNCTION("""COMPUTED_VALUE"""),"Dubai&gt;Mina Rashid&gt;Sunridge")</f>
        <v>Dubai&gt;Mina Rashid&gt;Sunridge</v>
      </c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</row>
    <row r="4925" spans="1:26" ht="16.5" x14ac:dyDescent="0.35">
      <c r="A4925" s="2" t="str">
        <f ca="1">IFERROR(__xludf.DUMMYFUNCTION("""COMPUTED_VALUE"""),"Dubai")</f>
        <v>Dubai</v>
      </c>
      <c r="B4925" s="2" t="str">
        <f ca="1">IFERROR(__xludf.DUMMYFUNCTION("""COMPUTED_VALUE"""),"Portside Square")</f>
        <v>Portside Square</v>
      </c>
      <c r="C4925" s="2" t="str">
        <f ca="1">IFERROR(__xludf.DUMMYFUNCTION("""COMPUTED_VALUE"""),"Cluster")</f>
        <v>Cluster</v>
      </c>
      <c r="D4925" s="2" t="str">
        <f ca="1">IFERROR(__xludf.DUMMYFUNCTION("""COMPUTED_VALUE"""),"Dubai&gt;Mina Rashid&gt;Portside Square")</f>
        <v>Dubai&gt;Mina Rashid&gt;Portside Square</v>
      </c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</row>
    <row r="4926" spans="1:26" ht="16.5" x14ac:dyDescent="0.35">
      <c r="A4926" s="2" t="str">
        <f ca="1">IFERROR(__xludf.DUMMYFUNCTION("""COMPUTED_VALUE"""),"Dubai")</f>
        <v>Dubai</v>
      </c>
      <c r="B4926" s="2" t="str">
        <f ca="1">IFERROR(__xludf.DUMMYFUNCTION("""COMPUTED_VALUE"""),"Lillia")</f>
        <v>Lillia</v>
      </c>
      <c r="C4926" s="2" t="str">
        <f ca="1">IFERROR(__xludf.DUMMYFUNCTION("""COMPUTED_VALUE"""),"Neighbourhood")</f>
        <v>Neighbourhood</v>
      </c>
      <c r="D4926" s="2" t="str">
        <f ca="1">IFERROR(__xludf.DUMMYFUNCTION("""COMPUTED_VALUE"""),"Dubai&gt;The Valley by Emaar&gt;Lillia")</f>
        <v>Dubai&gt;The Valley by Emaar&gt;Lillia</v>
      </c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</row>
    <row r="4927" spans="1:26" ht="16.5" x14ac:dyDescent="0.35">
      <c r="A4927" s="2" t="str">
        <f ca="1">IFERROR(__xludf.DUMMYFUNCTION("""COMPUTED_VALUE"""),"Dubai")</f>
        <v>Dubai</v>
      </c>
      <c r="B4927" s="2" t="str">
        <f ca="1">IFERROR(__xludf.DUMMYFUNCTION("""COMPUTED_VALUE"""),"Aseel")</f>
        <v>Aseel</v>
      </c>
      <c r="C4927" s="2" t="str">
        <f ca="1">IFERROR(__xludf.DUMMYFUNCTION("""COMPUTED_VALUE"""),"Neighbourhood")</f>
        <v>Neighbourhood</v>
      </c>
      <c r="D4927" s="2" t="str">
        <f ca="1">IFERROR(__xludf.DUMMYFUNCTION("""COMPUTED_VALUE"""),"Dubai&gt;Arabian Ranches&gt;Aseel")</f>
        <v>Dubai&gt;Arabian Ranches&gt;Aseel</v>
      </c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</row>
    <row r="4928" spans="1:26" ht="16.5" x14ac:dyDescent="0.35">
      <c r="A4928" s="2" t="str">
        <f ca="1">IFERROR(__xludf.DUMMYFUNCTION("""COMPUTED_VALUE"""),"Dubai")</f>
        <v>Dubai</v>
      </c>
      <c r="B4928" s="2" t="str">
        <f ca="1">IFERROR(__xludf.DUMMYFUNCTION("""COMPUTED_VALUE"""),"The Gardens Apartments 5")</f>
        <v>The Gardens Apartments 5</v>
      </c>
      <c r="C4928" s="2" t="str">
        <f ca="1">IFERROR(__xludf.DUMMYFUNCTION("""COMPUTED_VALUE"""),"Building")</f>
        <v>Building</v>
      </c>
      <c r="D4928" s="2" t="str">
        <f ca="1">IFERROR(__xludf.DUMMYFUNCTION("""COMPUTED_VALUE"""),"Dubai&gt;The Gardens&gt;The Gardens Apartments&gt;The Gardens Apartments 5")</f>
        <v>Dubai&gt;The Gardens&gt;The Gardens Apartments&gt;The Gardens Apartments 5</v>
      </c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</row>
    <row r="4929" spans="1:26" ht="16.5" x14ac:dyDescent="0.35">
      <c r="A4929" s="2" t="str">
        <f ca="1">IFERROR(__xludf.DUMMYFUNCTION("""COMPUTED_VALUE"""),"Dubai")</f>
        <v>Dubai</v>
      </c>
      <c r="B4929" s="2" t="str">
        <f ca="1">IFERROR(__xludf.DUMMYFUNCTION("""COMPUTED_VALUE"""),"The Gardens Building 22")</f>
        <v>The Gardens Building 22</v>
      </c>
      <c r="C4929" s="2" t="str">
        <f ca="1">IFERROR(__xludf.DUMMYFUNCTION("""COMPUTED_VALUE"""),"Building")</f>
        <v>Building</v>
      </c>
      <c r="D4929" s="2" t="str">
        <f ca="1">IFERROR(__xludf.DUMMYFUNCTION("""COMPUTED_VALUE"""),"Dubai&gt;The Gardens&gt;The Gardens Building 22")</f>
        <v>Dubai&gt;The Gardens&gt;The Gardens Building 22</v>
      </c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</row>
    <row r="4930" spans="1:26" ht="16.5" x14ac:dyDescent="0.35">
      <c r="A4930" s="2" t="str">
        <f ca="1">IFERROR(__xludf.DUMMYFUNCTION("""COMPUTED_VALUE"""),"Dubai")</f>
        <v>Dubai</v>
      </c>
      <c r="B4930" s="2" t="str">
        <f ca="1">IFERROR(__xludf.DUMMYFUNCTION("""COMPUTED_VALUE"""),"The Gardens Building 82")</f>
        <v>The Gardens Building 82</v>
      </c>
      <c r="C4930" s="2" t="str">
        <f ca="1">IFERROR(__xludf.DUMMYFUNCTION("""COMPUTED_VALUE"""),"Building")</f>
        <v>Building</v>
      </c>
      <c r="D4930" s="2" t="str">
        <f ca="1">IFERROR(__xludf.DUMMYFUNCTION("""COMPUTED_VALUE"""),"Dubai&gt;The Gardens&gt;The Gardens Building 82")</f>
        <v>Dubai&gt;The Gardens&gt;The Gardens Building 82</v>
      </c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</row>
    <row r="4931" spans="1:26" ht="16.5" x14ac:dyDescent="0.35">
      <c r="A4931" s="2" t="str">
        <f ca="1">IFERROR(__xludf.DUMMYFUNCTION("""COMPUTED_VALUE"""),"Dubai")</f>
        <v>Dubai</v>
      </c>
      <c r="B4931" s="2" t="str">
        <f ca="1">IFERROR(__xludf.DUMMYFUNCTION("""COMPUTED_VALUE"""),"The Gardens Building 24")</f>
        <v>The Gardens Building 24</v>
      </c>
      <c r="C4931" s="2" t="str">
        <f ca="1">IFERROR(__xludf.DUMMYFUNCTION("""COMPUTED_VALUE"""),"Building")</f>
        <v>Building</v>
      </c>
      <c r="D4931" s="2" t="str">
        <f ca="1">IFERROR(__xludf.DUMMYFUNCTION("""COMPUTED_VALUE"""),"Dubai&gt;The Gardens&gt;The Gardens Building 24")</f>
        <v>Dubai&gt;The Gardens&gt;The Gardens Building 24</v>
      </c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</row>
    <row r="4932" spans="1:26" ht="16.5" x14ac:dyDescent="0.35">
      <c r="A4932" s="2" t="str">
        <f ca="1">IFERROR(__xludf.DUMMYFUNCTION("""COMPUTED_VALUE"""),"Dubai")</f>
        <v>Dubai</v>
      </c>
      <c r="B4932" s="2" t="str">
        <f ca="1">IFERROR(__xludf.DUMMYFUNCTION("""COMPUTED_VALUE"""),"The Gardens Building 65")</f>
        <v>The Gardens Building 65</v>
      </c>
      <c r="C4932" s="2" t="str">
        <f ca="1">IFERROR(__xludf.DUMMYFUNCTION("""COMPUTED_VALUE"""),"Building")</f>
        <v>Building</v>
      </c>
      <c r="D4932" s="2" t="str">
        <f ca="1">IFERROR(__xludf.DUMMYFUNCTION("""COMPUTED_VALUE"""),"Dubai&gt;The Gardens&gt;The Gardens Building 65")</f>
        <v>Dubai&gt;The Gardens&gt;The Gardens Building 65</v>
      </c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</row>
    <row r="4933" spans="1:26" ht="16.5" x14ac:dyDescent="0.35">
      <c r="A4933" s="2" t="str">
        <f ca="1">IFERROR(__xludf.DUMMYFUNCTION("""COMPUTED_VALUE"""),"Dubai")</f>
        <v>Dubai</v>
      </c>
      <c r="B4933" s="2" t="str">
        <f ca="1">IFERROR(__xludf.DUMMYFUNCTION("""COMPUTED_VALUE"""),"Al Zahra Residence")</f>
        <v>Al Zahra Residence</v>
      </c>
      <c r="C4933" s="2" t="str">
        <f ca="1">IFERROR(__xludf.DUMMYFUNCTION("""COMPUTED_VALUE"""),"Building")</f>
        <v>Building</v>
      </c>
      <c r="D4933" s="2" t="str">
        <f ca="1">IFERROR(__xludf.DUMMYFUNCTION("""COMPUTED_VALUE"""),"Dubai&gt;Al Mamzar&gt;Al Zahra Residence")</f>
        <v>Dubai&gt;Al Mamzar&gt;Al Zahra Residence</v>
      </c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</row>
    <row r="4934" spans="1:26" ht="16.5" x14ac:dyDescent="0.35">
      <c r="A4934" s="2" t="str">
        <f ca="1">IFERROR(__xludf.DUMMYFUNCTION("""COMPUTED_VALUE"""),"Dubai")</f>
        <v>Dubai</v>
      </c>
      <c r="B4934" s="2" t="str">
        <f ca="1">IFERROR(__xludf.DUMMYFUNCTION("""COMPUTED_VALUE"""),"United International Private School (UIPS)")</f>
        <v>United International Private School (UIPS)</v>
      </c>
      <c r="C4934" s="2" t="str">
        <f ca="1">IFERROR(__xludf.DUMMYFUNCTION("""COMPUTED_VALUE"""),"School")</f>
        <v>School</v>
      </c>
      <c r="D4934" s="2" t="str">
        <f ca="1">IFERROR(__xludf.DUMMYFUNCTION("""COMPUTED_VALUE"""),"Dubai&gt;Muhaisnah&gt;United International Private School (UIPS)")</f>
        <v>Dubai&gt;Muhaisnah&gt;United International Private School (UIPS)</v>
      </c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</row>
    <row r="4935" spans="1:26" ht="16.5" x14ac:dyDescent="0.35">
      <c r="A4935" s="2" t="str">
        <f ca="1">IFERROR(__xludf.DUMMYFUNCTION("""COMPUTED_VALUE"""),"Dubai")</f>
        <v>Dubai</v>
      </c>
      <c r="B4935" s="2" t="str">
        <f ca="1">IFERROR(__xludf.DUMMYFUNCTION("""COMPUTED_VALUE"""),"Droor 3 Residency")</f>
        <v>Droor 3 Residency</v>
      </c>
      <c r="C4935" s="2" t="str">
        <f ca="1">IFERROR(__xludf.DUMMYFUNCTION("""COMPUTED_VALUE"""),"Building")</f>
        <v>Building</v>
      </c>
      <c r="D4935" s="2" t="str">
        <f ca="1">IFERROR(__xludf.DUMMYFUNCTION("""COMPUTED_VALUE"""),"Dubai&gt;Muhaisnah&gt;Muhaisnah 4&gt;Droor 3 Residency")</f>
        <v>Dubai&gt;Muhaisnah&gt;Muhaisnah 4&gt;Droor 3 Residency</v>
      </c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</row>
    <row r="4936" spans="1:26" ht="16.5" x14ac:dyDescent="0.35">
      <c r="A4936" s="2" t="str">
        <f ca="1">IFERROR(__xludf.DUMMYFUNCTION("""COMPUTED_VALUE"""),"Dubai")</f>
        <v>Dubai</v>
      </c>
      <c r="B4936" s="2" t="str">
        <f ca="1">IFERROR(__xludf.DUMMYFUNCTION("""COMPUTED_VALUE"""),"Muhaisnah 3")</f>
        <v>Muhaisnah 3</v>
      </c>
      <c r="C4936" s="2" t="str">
        <f ca="1">IFERROR(__xludf.DUMMYFUNCTION("""COMPUTED_VALUE"""),"Neighbourhood")</f>
        <v>Neighbourhood</v>
      </c>
      <c r="D4936" s="2" t="str">
        <f ca="1">IFERROR(__xludf.DUMMYFUNCTION("""COMPUTED_VALUE"""),"Dubai&gt;Muhaisnah&gt;Muhaisnah 3")</f>
        <v>Dubai&gt;Muhaisnah&gt;Muhaisnah 3</v>
      </c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</row>
    <row r="4937" spans="1:26" ht="16.5" x14ac:dyDescent="0.35">
      <c r="A4937" s="2" t="str">
        <f ca="1">IFERROR(__xludf.DUMMYFUNCTION("""COMPUTED_VALUE"""),"Dubai")</f>
        <v>Dubai</v>
      </c>
      <c r="B4937" s="2" t="str">
        <f ca="1">IFERROR(__xludf.DUMMYFUNCTION("""COMPUTED_VALUE"""),"City Towers")</f>
        <v>City Towers</v>
      </c>
      <c r="C4937" s="2" t="str">
        <f ca="1">IFERROR(__xludf.DUMMYFUNCTION("""COMPUTED_VALUE"""),"Cluster")</f>
        <v>Cluster</v>
      </c>
      <c r="D4937" s="2" t="str">
        <f ca="1">IFERROR(__xludf.DUMMYFUNCTION("""COMPUTED_VALUE"""),"Dubai&gt;Sheikh Zayed Road&gt;City Towers")</f>
        <v>Dubai&gt;Sheikh Zayed Road&gt;City Towers</v>
      </c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</row>
    <row r="4938" spans="1:26" ht="16.5" x14ac:dyDescent="0.35">
      <c r="A4938" s="2" t="str">
        <f ca="1">IFERROR(__xludf.DUMMYFUNCTION("""COMPUTED_VALUE"""),"Dubai")</f>
        <v>Dubai</v>
      </c>
      <c r="B4938" s="2" t="str">
        <f ca="1">IFERROR(__xludf.DUMMYFUNCTION("""COMPUTED_VALUE"""),"Al Kawakeb C")</f>
        <v>Al Kawakeb C</v>
      </c>
      <c r="C4938" s="2" t="str">
        <f ca="1">IFERROR(__xludf.DUMMYFUNCTION("""COMPUTED_VALUE"""),"Building")</f>
        <v>Building</v>
      </c>
      <c r="D4938" s="2" t="str">
        <f ca="1">IFERROR(__xludf.DUMMYFUNCTION("""COMPUTED_VALUE"""),"Dubai&gt;Sheikh Zayed Road&gt;Al Kawakeb&gt;Al Kawakeb C")</f>
        <v>Dubai&gt;Sheikh Zayed Road&gt;Al Kawakeb&gt;Al Kawakeb C</v>
      </c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</row>
    <row r="4939" spans="1:26" ht="16.5" x14ac:dyDescent="0.35">
      <c r="A4939" s="2" t="str">
        <f ca="1">IFERROR(__xludf.DUMMYFUNCTION("""COMPUTED_VALUE"""),"Dubai")</f>
        <v>Dubai</v>
      </c>
      <c r="B4939" s="2" t="str">
        <f ca="1">IFERROR(__xludf.DUMMYFUNCTION("""COMPUTED_VALUE"""),"Al Meraikhi Tower")</f>
        <v>Al Meraikhi Tower</v>
      </c>
      <c r="C4939" s="2" t="str">
        <f ca="1">IFERROR(__xludf.DUMMYFUNCTION("""COMPUTED_VALUE"""),"Building")</f>
        <v>Building</v>
      </c>
      <c r="D4939" s="2" t="str">
        <f ca="1">IFERROR(__xludf.DUMMYFUNCTION("""COMPUTED_VALUE"""),"Dubai&gt;Sheikh Zayed Road&gt;Al Meraikhi Tower")</f>
        <v>Dubai&gt;Sheikh Zayed Road&gt;Al Meraikhi Tower</v>
      </c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</row>
    <row r="4940" spans="1:26" ht="16.5" x14ac:dyDescent="0.35">
      <c r="A4940" s="2" t="str">
        <f ca="1">IFERROR(__xludf.DUMMYFUNCTION("""COMPUTED_VALUE"""),"Dubai")</f>
        <v>Dubai</v>
      </c>
      <c r="B4940" s="2" t="str">
        <f ca="1">IFERROR(__xludf.DUMMYFUNCTION("""COMPUTED_VALUE"""),"Al Wasl Centre")</f>
        <v>Al Wasl Centre</v>
      </c>
      <c r="C4940" s="2" t="str">
        <f ca="1">IFERROR(__xludf.DUMMYFUNCTION("""COMPUTED_VALUE"""),"Building")</f>
        <v>Building</v>
      </c>
      <c r="D4940" s="2" t="str">
        <f ca="1">IFERROR(__xludf.DUMMYFUNCTION("""COMPUTED_VALUE"""),"Dubai&gt;Sheikh Zayed Road&gt;Al Wasl Centre")</f>
        <v>Dubai&gt;Sheikh Zayed Road&gt;Al Wasl Centre</v>
      </c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</row>
    <row r="4941" spans="1:26" ht="16.5" x14ac:dyDescent="0.35">
      <c r="A4941" s="2" t="str">
        <f ca="1">IFERROR(__xludf.DUMMYFUNCTION("""COMPUTED_VALUE"""),"Dubai")</f>
        <v>Dubai</v>
      </c>
      <c r="B4941" s="2" t="str">
        <f ca="1">IFERROR(__xludf.DUMMYFUNCTION("""COMPUTED_VALUE"""),"Al Waleed 5 Building")</f>
        <v>Al Waleed 5 Building</v>
      </c>
      <c r="C4941" s="2" t="str">
        <f ca="1">IFERROR(__xludf.DUMMYFUNCTION("""COMPUTED_VALUE"""),"Building")</f>
        <v>Building</v>
      </c>
      <c r="D4941" s="2" t="str">
        <f ca="1">IFERROR(__xludf.DUMMYFUNCTION("""COMPUTED_VALUE"""),"Dubai&gt;Al Karama&gt;Al Waleed 5 Building")</f>
        <v>Dubai&gt;Al Karama&gt;Al Waleed 5 Building</v>
      </c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</row>
    <row r="4942" spans="1:26" ht="16.5" x14ac:dyDescent="0.35">
      <c r="A4942" s="2" t="str">
        <f ca="1">IFERROR(__xludf.DUMMYFUNCTION("""COMPUTED_VALUE"""),"Dubai")</f>
        <v>Dubai</v>
      </c>
      <c r="B4942" s="2" t="str">
        <f ca="1">IFERROR(__xludf.DUMMYFUNCTION("""COMPUTED_VALUE"""),"Building 25")</f>
        <v>Building 25</v>
      </c>
      <c r="C4942" s="2" t="str">
        <f ca="1">IFERROR(__xludf.DUMMYFUNCTION("""COMPUTED_VALUE"""),"Building")</f>
        <v>Building</v>
      </c>
      <c r="D4942" s="2" t="str">
        <f ca="1">IFERROR(__xludf.DUMMYFUNCTION("""COMPUTED_VALUE"""),"Dubai&gt;Al Karama&gt;Karam Pioneer Buildings&gt;Building 25")</f>
        <v>Dubai&gt;Al Karama&gt;Karam Pioneer Buildings&gt;Building 25</v>
      </c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</row>
    <row r="4943" spans="1:26" ht="16.5" x14ac:dyDescent="0.35">
      <c r="A4943" s="2" t="str">
        <f ca="1">IFERROR(__xludf.DUMMYFUNCTION("""COMPUTED_VALUE"""),"Dubai")</f>
        <v>Dubai</v>
      </c>
      <c r="B4943" s="2" t="str">
        <f ca="1">IFERROR(__xludf.DUMMYFUNCTION("""COMPUTED_VALUE"""),"Karama Shopping Complex")</f>
        <v>Karama Shopping Complex</v>
      </c>
      <c r="C4943" s="2" t="str">
        <f ca="1">IFERROR(__xludf.DUMMYFUNCTION("""COMPUTED_VALUE"""),"Cluster")</f>
        <v>Cluster</v>
      </c>
      <c r="D4943" s="2" t="str">
        <f ca="1">IFERROR(__xludf.DUMMYFUNCTION("""COMPUTED_VALUE"""),"Dubai&gt;Al Karama&gt;Karama Shopping Complex")</f>
        <v>Dubai&gt;Al Karama&gt;Karama Shopping Complex</v>
      </c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</row>
    <row r="4944" spans="1:26" ht="16.5" x14ac:dyDescent="0.35">
      <c r="A4944" s="2" t="str">
        <f ca="1">IFERROR(__xludf.DUMMYFUNCTION("""COMPUTED_VALUE"""),"Dubai")</f>
        <v>Dubai</v>
      </c>
      <c r="B4944" s="2" t="str">
        <f ca="1">IFERROR(__xludf.DUMMYFUNCTION("""COMPUTED_VALUE"""),"Al Reyami Building")</f>
        <v>Al Reyami Building</v>
      </c>
      <c r="C4944" s="2" t="str">
        <f ca="1">IFERROR(__xludf.DUMMYFUNCTION("""COMPUTED_VALUE"""),"Building")</f>
        <v>Building</v>
      </c>
      <c r="D4944" s="2" t="str">
        <f ca="1">IFERROR(__xludf.DUMMYFUNCTION("""COMPUTED_VALUE"""),"Dubai&gt;Al Karama&gt;Al Reyami Building")</f>
        <v>Dubai&gt;Al Karama&gt;Al Reyami Building</v>
      </c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</row>
    <row r="4945" spans="1:26" ht="16.5" x14ac:dyDescent="0.35">
      <c r="A4945" s="2" t="str">
        <f ca="1">IFERROR(__xludf.DUMMYFUNCTION("""COMPUTED_VALUE"""),"Dubai")</f>
        <v>Dubai</v>
      </c>
      <c r="B4945" s="2" t="str">
        <f ca="1">IFERROR(__xludf.DUMMYFUNCTION("""COMPUTED_VALUE"""),"Al Shumookh")</f>
        <v>Al Shumookh</v>
      </c>
      <c r="C4945" s="2" t="str">
        <f ca="1">IFERROR(__xludf.DUMMYFUNCTION("""COMPUTED_VALUE"""),"Building")</f>
        <v>Building</v>
      </c>
      <c r="D4945" s="2" t="str">
        <f ca="1">IFERROR(__xludf.DUMMYFUNCTION("""COMPUTED_VALUE"""),"Dubai&gt;Al Karama&gt;Al Shumookh")</f>
        <v>Dubai&gt;Al Karama&gt;Al Shumookh</v>
      </c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</row>
    <row r="4946" spans="1:26" ht="16.5" x14ac:dyDescent="0.35">
      <c r="A4946" s="2" t="str">
        <f ca="1">IFERROR(__xludf.DUMMYFUNCTION("""COMPUTED_VALUE"""),"Dubai")</f>
        <v>Dubai</v>
      </c>
      <c r="B4946" s="2" t="str">
        <f ca="1">IFERROR(__xludf.DUMMYFUNCTION("""COMPUTED_VALUE"""),"Pyramid C")</f>
        <v>Pyramid C</v>
      </c>
      <c r="C4946" s="2" t="str">
        <f ca="1">IFERROR(__xludf.DUMMYFUNCTION("""COMPUTED_VALUE"""),"Building")</f>
        <v>Building</v>
      </c>
      <c r="D4946" s="2" t="str">
        <f ca="1">IFERROR(__xludf.DUMMYFUNCTION("""COMPUTED_VALUE"""),"Dubai&gt;Al Karama&gt;Pyramid C")</f>
        <v>Dubai&gt;Al Karama&gt;Pyramid C</v>
      </c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</row>
    <row r="4947" spans="1:26" ht="16.5" x14ac:dyDescent="0.35">
      <c r="A4947" s="2" t="str">
        <f ca="1">IFERROR(__xludf.DUMMYFUNCTION("""COMPUTED_VALUE"""),"Dubai")</f>
        <v>Dubai</v>
      </c>
      <c r="B4947" s="2" t="str">
        <f ca="1">IFERROR(__xludf.DUMMYFUNCTION("""COMPUTED_VALUE"""),"Ali Salam B2 Building")</f>
        <v>Ali Salam B2 Building</v>
      </c>
      <c r="C4947" s="2" t="str">
        <f ca="1">IFERROR(__xludf.DUMMYFUNCTION("""COMPUTED_VALUE"""),"Building")</f>
        <v>Building</v>
      </c>
      <c r="D4947" s="2" t="str">
        <f ca="1">IFERROR(__xludf.DUMMYFUNCTION("""COMPUTED_VALUE"""),"Dubai&gt;Al Karama&gt;Ali Salam B2 Building")</f>
        <v>Dubai&gt;Al Karama&gt;Ali Salam B2 Building</v>
      </c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</row>
    <row r="4948" spans="1:26" ht="16.5" x14ac:dyDescent="0.35">
      <c r="A4948" s="2" t="str">
        <f ca="1">IFERROR(__xludf.DUMMYFUNCTION("""COMPUTED_VALUE"""),"Dubai")</f>
        <v>Dubai</v>
      </c>
      <c r="B4948" s="2" t="str">
        <f ca="1">IFERROR(__xludf.DUMMYFUNCTION("""COMPUTED_VALUE"""),"P512")</f>
        <v>P512</v>
      </c>
      <c r="C4948" s="2" t="str">
        <f ca="1">IFERROR(__xludf.DUMMYFUNCTION("""COMPUTED_VALUE"""),"Building")</f>
        <v>Building</v>
      </c>
      <c r="D4948" s="2" t="str">
        <f ca="1">IFERROR(__xludf.DUMMYFUNCTION("""COMPUTED_VALUE"""),"Dubai&gt;Al Karama&gt;P512")</f>
        <v>Dubai&gt;Al Karama&gt;P512</v>
      </c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</row>
    <row r="4949" spans="1:26" ht="16.5" x14ac:dyDescent="0.35">
      <c r="A4949" s="2" t="str">
        <f ca="1">IFERROR(__xludf.DUMMYFUNCTION("""COMPUTED_VALUE"""),"Dubai")</f>
        <v>Dubai</v>
      </c>
      <c r="B4949" s="2" t="str">
        <f ca="1">IFERROR(__xludf.DUMMYFUNCTION("""COMPUTED_VALUE"""),"Orville Building")</f>
        <v>Orville Building</v>
      </c>
      <c r="C4949" s="2" t="str">
        <f ca="1">IFERROR(__xludf.DUMMYFUNCTION("""COMPUTED_VALUE"""),"Building")</f>
        <v>Building</v>
      </c>
      <c r="D4949" s="2" t="str">
        <f ca="1">IFERROR(__xludf.DUMMYFUNCTION("""COMPUTED_VALUE"""),"Dubai&gt;Al Karama&gt;Orville Building")</f>
        <v>Dubai&gt;Al Karama&gt;Orville Building</v>
      </c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</row>
    <row r="4950" spans="1:26" ht="16.5" x14ac:dyDescent="0.35">
      <c r="A4950" s="2" t="str">
        <f ca="1">IFERROR(__xludf.DUMMYFUNCTION("""COMPUTED_VALUE"""),"Dubai")</f>
        <v>Dubai</v>
      </c>
      <c r="B4950" s="2" t="str">
        <f ca="1">IFERROR(__xludf.DUMMYFUNCTION("""COMPUTED_VALUE"""),"Khalifa Bin Naser Khalifa Building")</f>
        <v>Khalifa Bin Naser Khalifa Building</v>
      </c>
      <c r="C4950" s="2" t="str">
        <f ca="1">IFERROR(__xludf.DUMMYFUNCTION("""COMPUTED_VALUE"""),"Building")</f>
        <v>Building</v>
      </c>
      <c r="D4950" s="2" t="str">
        <f ca="1">IFERROR(__xludf.DUMMYFUNCTION("""COMPUTED_VALUE"""),"Dubai&gt;Al Karama&gt;Khalifa Bin Naser Khalifa Building")</f>
        <v>Dubai&gt;Al Karama&gt;Khalifa Bin Naser Khalifa Building</v>
      </c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</row>
    <row r="4951" spans="1:26" ht="16.5" x14ac:dyDescent="0.35">
      <c r="A4951" s="2" t="str">
        <f ca="1">IFERROR(__xludf.DUMMYFUNCTION("""COMPUTED_VALUE"""),"Dubai")</f>
        <v>Dubai</v>
      </c>
      <c r="B4951" s="2" t="str">
        <f ca="1">IFERROR(__xludf.DUMMYFUNCTION("""COMPUTED_VALUE"""),"HMS Bin Humaidan Building")</f>
        <v>HMS Bin Humaidan Building</v>
      </c>
      <c r="C4951" s="2" t="str">
        <f ca="1">IFERROR(__xludf.DUMMYFUNCTION("""COMPUTED_VALUE"""),"Building")</f>
        <v>Building</v>
      </c>
      <c r="D4951" s="2" t="str">
        <f ca="1">IFERROR(__xludf.DUMMYFUNCTION("""COMPUTED_VALUE"""),"Dubai&gt;Al Karama&gt;HMS Bin Humaidan Building")</f>
        <v>Dubai&gt;Al Karama&gt;HMS Bin Humaidan Building</v>
      </c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</row>
    <row r="4952" spans="1:26" ht="16.5" x14ac:dyDescent="0.35">
      <c r="A4952" s="2" t="str">
        <f ca="1">IFERROR(__xludf.DUMMYFUNCTION("""COMPUTED_VALUE"""),"Dubai")</f>
        <v>Dubai</v>
      </c>
      <c r="B4952" s="2" t="str">
        <f ca="1">IFERROR(__xludf.DUMMYFUNCTION("""COMPUTED_VALUE"""),"Mahdi 2 Building")</f>
        <v>Mahdi 2 Building</v>
      </c>
      <c r="C4952" s="2" t="str">
        <f ca="1">IFERROR(__xludf.DUMMYFUNCTION("""COMPUTED_VALUE"""),"Building")</f>
        <v>Building</v>
      </c>
      <c r="D4952" s="2" t="str">
        <f ca="1">IFERROR(__xludf.DUMMYFUNCTION("""COMPUTED_VALUE"""),"Dubai&gt;Al Karama&gt;Mahdi 2 Building")</f>
        <v>Dubai&gt;Al Karama&gt;Mahdi 2 Building</v>
      </c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</row>
    <row r="4953" spans="1:26" ht="16.5" x14ac:dyDescent="0.35">
      <c r="A4953" s="2" t="str">
        <f ca="1">IFERROR(__xludf.DUMMYFUNCTION("""COMPUTED_VALUE"""),"Dubai")</f>
        <v>Dubai</v>
      </c>
      <c r="B4953" s="2" t="str">
        <f ca="1">IFERROR(__xludf.DUMMYFUNCTION("""COMPUTED_VALUE"""),"Val by Kasco")</f>
        <v>Val by Kasco</v>
      </c>
      <c r="C4953" s="2" t="str">
        <f ca="1">IFERROR(__xludf.DUMMYFUNCTION("""COMPUTED_VALUE"""),"Building")</f>
        <v>Building</v>
      </c>
      <c r="D4953" s="2" t="str">
        <f ca="1">IFERROR(__xludf.DUMMYFUNCTION("""COMPUTED_VALUE"""),"Dubai&gt;Culture Village (Jaddaf Waterfront)&gt;Val by Kasco")</f>
        <v>Dubai&gt;Culture Village (Jaddaf Waterfront)&gt;Val by Kasco</v>
      </c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</row>
    <row r="4954" spans="1:26" ht="16.5" x14ac:dyDescent="0.35">
      <c r="A4954" s="2" t="str">
        <f ca="1">IFERROR(__xludf.DUMMYFUNCTION("""COMPUTED_VALUE"""),"Dubai")</f>
        <v>Dubai</v>
      </c>
      <c r="B4954" s="2" t="str">
        <f ca="1">IFERROR(__xludf.DUMMYFUNCTION("""COMPUTED_VALUE"""),"Lamtara Building 2")</f>
        <v>Lamtara Building 2</v>
      </c>
      <c r="C4954" s="2" t="str">
        <f ca="1">IFERROR(__xludf.DUMMYFUNCTION("""COMPUTED_VALUE"""),"Building")</f>
        <v>Building</v>
      </c>
      <c r="D4954" s="2" t="str">
        <f ca="1">IFERROR(__xludf.DUMMYFUNCTION("""COMPUTED_VALUE"""),"Dubai&gt;Umm Suqeim&gt;Madinat Jumeirah Living&gt;Lamtara&gt;Lamtara Building 2")</f>
        <v>Dubai&gt;Umm Suqeim&gt;Madinat Jumeirah Living&gt;Lamtara&gt;Lamtara Building 2</v>
      </c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</row>
    <row r="4955" spans="1:26" ht="16.5" x14ac:dyDescent="0.35">
      <c r="A4955" s="2" t="str">
        <f ca="1">IFERROR(__xludf.DUMMYFUNCTION("""COMPUTED_VALUE"""),"Dubai")</f>
        <v>Dubai</v>
      </c>
      <c r="B4955" s="2" t="str">
        <f ca="1">IFERROR(__xludf.DUMMYFUNCTION("""COMPUTED_VALUE"""),"Jomana 8")</f>
        <v>Jomana 8</v>
      </c>
      <c r="C4955" s="2" t="str">
        <f ca="1">IFERROR(__xludf.DUMMYFUNCTION("""COMPUTED_VALUE"""),"Building")</f>
        <v>Building</v>
      </c>
      <c r="D4955" s="2" t="str">
        <f ca="1">IFERROR(__xludf.DUMMYFUNCTION("""COMPUTED_VALUE"""),"Dubai&gt;Umm Suqeim&gt;Madinat Jumeirah Living&gt;Jomana&gt;Jomana 8")</f>
        <v>Dubai&gt;Umm Suqeim&gt;Madinat Jumeirah Living&gt;Jomana&gt;Jomana 8</v>
      </c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</row>
    <row r="4956" spans="1:26" ht="16.5" x14ac:dyDescent="0.35">
      <c r="A4956" s="2" t="str">
        <f ca="1">IFERROR(__xludf.DUMMYFUNCTION("""COMPUTED_VALUE"""),"Dubai")</f>
        <v>Dubai</v>
      </c>
      <c r="B4956" s="2" t="str">
        <f ca="1">IFERROR(__xludf.DUMMYFUNCTION("""COMPUTED_VALUE"""),"Al Yazzi Villas")</f>
        <v>Al Yazzi Villas</v>
      </c>
      <c r="C4956" s="2" t="str">
        <f ca="1">IFERROR(__xludf.DUMMYFUNCTION("""COMPUTED_VALUE"""),"Neighbourhood")</f>
        <v>Neighbourhood</v>
      </c>
      <c r="D4956" s="2" t="str">
        <f ca="1">IFERROR(__xludf.DUMMYFUNCTION("""COMPUTED_VALUE"""),"Dubai&gt;Umm Suqeim&gt;Umm Suqeim 1&gt;Al Yazzi Villas")</f>
        <v>Dubai&gt;Umm Suqeim&gt;Umm Suqeim 1&gt;Al Yazzi Villas</v>
      </c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</row>
    <row r="4957" spans="1:26" ht="16.5" x14ac:dyDescent="0.35">
      <c r="A4957" s="2" t="str">
        <f ca="1">IFERROR(__xludf.DUMMYFUNCTION("""COMPUTED_VALUE"""),"Dubai")</f>
        <v>Dubai</v>
      </c>
      <c r="B4957" s="2" t="str">
        <f ca="1">IFERROR(__xludf.DUMMYFUNCTION("""COMPUTED_VALUE"""),"Azizi Milan Heights Tower H")</f>
        <v>Azizi Milan Heights Tower H</v>
      </c>
      <c r="C4957" s="2" t="str">
        <f ca="1">IFERROR(__xludf.DUMMYFUNCTION("""COMPUTED_VALUE"""),"Building")</f>
        <v>Building</v>
      </c>
      <c r="D4957" s="2" t="str">
        <f ca="1">IFERROR(__xludf.DUMMYFUNCTION("""COMPUTED_VALUE"""),"Dubai&gt;City of Arabia&gt;Azizi Milan&gt;Azizi Milan Heights&gt;Azizi Milan Heights Tower H")</f>
        <v>Dubai&gt;City of Arabia&gt;Azizi Milan&gt;Azizi Milan Heights&gt;Azizi Milan Heights Tower H</v>
      </c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</row>
    <row r="4958" spans="1:26" ht="16.5" x14ac:dyDescent="0.35">
      <c r="A4958" s="2" t="str">
        <f ca="1">IFERROR(__xludf.DUMMYFUNCTION("""COMPUTED_VALUE"""),"Dubai")</f>
        <v>Dubai</v>
      </c>
      <c r="B4958" s="2" t="str">
        <f ca="1">IFERROR(__xludf.DUMMYFUNCTION("""COMPUTED_VALUE"""),"Mohammad Ibrahim Al Mazrab Building")</f>
        <v>Mohammad Ibrahim Al Mazrab Building</v>
      </c>
      <c r="C4958" s="2" t="str">
        <f ca="1">IFERROR(__xludf.DUMMYFUNCTION("""COMPUTED_VALUE"""),"Building")</f>
        <v>Building</v>
      </c>
      <c r="D4958" s="2" t="str">
        <f ca="1">IFERROR(__xludf.DUMMYFUNCTION("""COMPUTED_VALUE"""),"Dubai&gt;Al Badaa&gt;Mohammad Ibrahim Al Mazrab Building")</f>
        <v>Dubai&gt;Al Badaa&gt;Mohammad Ibrahim Al Mazrab Building</v>
      </c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</row>
    <row r="4959" spans="1:26" ht="16.5" x14ac:dyDescent="0.35">
      <c r="A4959" s="2" t="str">
        <f ca="1">IFERROR(__xludf.DUMMYFUNCTION("""COMPUTED_VALUE"""),"Dubai")</f>
        <v>Dubai</v>
      </c>
      <c r="B4959" s="2" t="str">
        <f ca="1">IFERROR(__xludf.DUMMYFUNCTION("""COMPUTED_VALUE"""),"The Fold by Huna")</f>
        <v>The Fold by Huna</v>
      </c>
      <c r="C4959" s="2" t="str">
        <f ca="1">IFERROR(__xludf.DUMMYFUNCTION("""COMPUTED_VALUE"""),"Neighbourhood")</f>
        <v>Neighbourhood</v>
      </c>
      <c r="D4959" s="2" t="str">
        <f ca="1">IFERROR(__xludf.DUMMYFUNCTION("""COMPUTED_VALUE"""),"Dubai&gt;Al Badaa&gt;The Fold by Huna")</f>
        <v>Dubai&gt;Al Badaa&gt;The Fold by Huna</v>
      </c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</row>
    <row r="4960" spans="1:26" ht="16.5" x14ac:dyDescent="0.35">
      <c r="A4960" s="2" t="str">
        <f ca="1">IFERROR(__xludf.DUMMYFUNCTION("""COMPUTED_VALUE"""),"Dubai")</f>
        <v>Dubai</v>
      </c>
      <c r="B4960" s="2" t="str">
        <f ca="1">IFERROR(__xludf.DUMMYFUNCTION("""COMPUTED_VALUE"""),"Dubai English Speaking College, Academic City")</f>
        <v>Dubai English Speaking College, Academic City</v>
      </c>
      <c r="C4960" s="2" t="str">
        <f ca="1">IFERROR(__xludf.DUMMYFUNCTION("""COMPUTED_VALUE"""),"School")</f>
        <v>School</v>
      </c>
      <c r="D4960" s="2" t="str">
        <f ca="1">IFERROR(__xludf.DUMMYFUNCTION("""COMPUTED_VALUE"""),"Dubai&gt;Academic City&gt;Dubai English Speaking College, Academic City")</f>
        <v>Dubai&gt;Academic City&gt;Dubai English Speaking College, Academic City</v>
      </c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</row>
    <row r="4961" spans="1:26" ht="16.5" x14ac:dyDescent="0.35">
      <c r="A4961" s="2" t="str">
        <f ca="1">IFERROR(__xludf.DUMMYFUNCTION("""COMPUTED_VALUE"""),"Dubai")</f>
        <v>Dubai</v>
      </c>
      <c r="B4961" s="2" t="str">
        <f ca="1">IFERROR(__xludf.DUMMYFUNCTION("""COMPUTED_VALUE"""),"Bin Sougat Centre")</f>
        <v>Bin Sougat Centre</v>
      </c>
      <c r="C4961" s="2" t="str">
        <f ca="1">IFERROR(__xludf.DUMMYFUNCTION("""COMPUTED_VALUE"""),"Building")</f>
        <v>Building</v>
      </c>
      <c r="D4961" s="2" t="str">
        <f ca="1">IFERROR(__xludf.DUMMYFUNCTION("""COMPUTED_VALUE"""),"Dubai&gt;Al Rashidiya&gt;Bin Sougat Centre")</f>
        <v>Dubai&gt;Al Rashidiya&gt;Bin Sougat Centre</v>
      </c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</row>
    <row r="4962" spans="1:26" ht="16.5" x14ac:dyDescent="0.35">
      <c r="A4962" s="2" t="str">
        <f ca="1">IFERROR(__xludf.DUMMYFUNCTION("""COMPUTED_VALUE"""),"Dubai")</f>
        <v>Dubai</v>
      </c>
      <c r="B4962" s="2" t="str">
        <f ca="1">IFERROR(__xludf.DUMMYFUNCTION("""COMPUTED_VALUE"""),"New Dubai Nursery Early Learning Center")</f>
        <v>New Dubai Nursery Early Learning Center</v>
      </c>
      <c r="C4962" s="2" t="str">
        <f ca="1">IFERROR(__xludf.DUMMYFUNCTION("""COMPUTED_VALUE"""),"Nursery")</f>
        <v>Nursery</v>
      </c>
      <c r="D4962" s="2" t="str">
        <f ca="1">IFERROR(__xludf.DUMMYFUNCTION("""COMPUTED_VALUE"""),"Dubai&gt;Al Hudaiba&gt;New Dubai Nursery Early Learning Center")</f>
        <v>Dubai&gt;Al Hudaiba&gt;New Dubai Nursery Early Learning Center</v>
      </c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</row>
    <row r="4963" spans="1:26" ht="16.5" x14ac:dyDescent="0.35">
      <c r="A4963" s="2" t="str">
        <f ca="1">IFERROR(__xludf.DUMMYFUNCTION("""COMPUTED_VALUE"""),"Dubai")</f>
        <v>Dubai</v>
      </c>
      <c r="B4963" s="2" t="str">
        <f ca="1">IFERROR(__xludf.DUMMYFUNCTION("""COMPUTED_VALUE"""),"Bin Sabt Building")</f>
        <v>Bin Sabt Building</v>
      </c>
      <c r="C4963" s="2" t="str">
        <f ca="1">IFERROR(__xludf.DUMMYFUNCTION("""COMPUTED_VALUE"""),"Building")</f>
        <v>Building</v>
      </c>
      <c r="D4963" s="2" t="str">
        <f ca="1">IFERROR(__xludf.DUMMYFUNCTION("""COMPUTED_VALUE"""),"Dubai&gt;Al Hudaiba&gt;Bin Sabt Building")</f>
        <v>Dubai&gt;Al Hudaiba&gt;Bin Sabt Building</v>
      </c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</row>
    <row r="4964" spans="1:26" ht="16.5" x14ac:dyDescent="0.35">
      <c r="A4964" s="2" t="str">
        <f ca="1">IFERROR(__xludf.DUMMYFUNCTION("""COMPUTED_VALUE"""),"Dubai")</f>
        <v>Dubai</v>
      </c>
      <c r="B4964" s="2" t="str">
        <f ca="1">IFERROR(__xludf.DUMMYFUNCTION("""COMPUTED_VALUE"""),"Ibrahim Siddique Building")</f>
        <v>Ibrahim Siddique Building</v>
      </c>
      <c r="C4964" s="2" t="str">
        <f ca="1">IFERROR(__xludf.DUMMYFUNCTION("""COMPUTED_VALUE"""),"Building")</f>
        <v>Building</v>
      </c>
      <c r="D4964" s="2" t="str">
        <f ca="1">IFERROR(__xludf.DUMMYFUNCTION("""COMPUTED_VALUE"""),"Dubai&gt;Jumeirah&gt;Jumeirah 1&gt;Ibrahim Siddique Building")</f>
        <v>Dubai&gt;Jumeirah&gt;Jumeirah 1&gt;Ibrahim Siddique Building</v>
      </c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</row>
    <row r="4965" spans="1:26" ht="16.5" x14ac:dyDescent="0.35">
      <c r="A4965" s="2" t="str">
        <f ca="1">IFERROR(__xludf.DUMMYFUNCTION("""COMPUTED_VALUE"""),"Dubai")</f>
        <v>Dubai</v>
      </c>
      <c r="B4965" s="2" t="str">
        <f ca="1">IFERROR(__xludf.DUMMYFUNCTION("""COMPUTED_VALUE"""),"Four Seasons Resorts Dubai")</f>
        <v>Four Seasons Resorts Dubai</v>
      </c>
      <c r="C4965" s="2" t="str">
        <f ca="1">IFERROR(__xludf.DUMMYFUNCTION("""COMPUTED_VALUE"""),"Building")</f>
        <v>Building</v>
      </c>
      <c r="D4965" s="2" t="str">
        <f ca="1">IFERROR(__xludf.DUMMYFUNCTION("""COMPUTED_VALUE"""),"Dubai&gt;Jumeirah&gt;Jumeirah 2&gt;Four Seasons Resorts Dubai")</f>
        <v>Dubai&gt;Jumeirah&gt;Jumeirah 2&gt;Four Seasons Resorts Dubai</v>
      </c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</row>
    <row r="4966" spans="1:26" ht="16.5" x14ac:dyDescent="0.35">
      <c r="A4966" s="2" t="str">
        <f ca="1">IFERROR(__xludf.DUMMYFUNCTION("""COMPUTED_VALUE"""),"Dubai")</f>
        <v>Dubai</v>
      </c>
      <c r="B4966" s="2" t="str">
        <f ca="1">IFERROR(__xludf.DUMMYFUNCTION("""COMPUTED_VALUE"""),"La Cote Tower 3")</f>
        <v>La Cote Tower 3</v>
      </c>
      <c r="C4966" s="2" t="str">
        <f ca="1">IFERROR(__xludf.DUMMYFUNCTION("""COMPUTED_VALUE"""),"Building")</f>
        <v>Building</v>
      </c>
      <c r="D4966" s="2" t="str">
        <f ca="1">IFERROR(__xludf.DUMMYFUNCTION("""COMPUTED_VALUE"""),"Dubai&gt;Jumeirah&gt;La Mer&gt;Port de La Mer&gt;La Cote&gt;La Cote Tower 3")</f>
        <v>Dubai&gt;Jumeirah&gt;La Mer&gt;Port de La Mer&gt;La Cote&gt;La Cote Tower 3</v>
      </c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</row>
    <row r="4967" spans="1:26" ht="16.5" x14ac:dyDescent="0.35">
      <c r="A4967" s="2" t="str">
        <f ca="1">IFERROR(__xludf.DUMMYFUNCTION("""COMPUTED_VALUE"""),"Dubai")</f>
        <v>Dubai</v>
      </c>
      <c r="B4967" s="2" t="str">
        <f ca="1">IFERROR(__xludf.DUMMYFUNCTION("""COMPUTED_VALUE"""),"Creek Horizon")</f>
        <v>Creek Horizon</v>
      </c>
      <c r="C4967" s="2" t="str">
        <f ca="1">IFERROR(__xludf.DUMMYFUNCTION("""COMPUTED_VALUE"""),"Cluster")</f>
        <v>Cluster</v>
      </c>
      <c r="D4967" s="2" t="str">
        <f ca="1">IFERROR(__xludf.DUMMYFUNCTION("""COMPUTED_VALUE"""),"Dubai&gt;Dubai Creek Harbour&gt;Creek Horizon")</f>
        <v>Dubai&gt;Dubai Creek Harbour&gt;Creek Horizon</v>
      </c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</row>
    <row r="4968" spans="1:26" ht="16.5" x14ac:dyDescent="0.35">
      <c r="A4968" s="2" t="str">
        <f ca="1">IFERROR(__xludf.DUMMYFUNCTION("""COMPUTED_VALUE"""),"Dubai")</f>
        <v>Dubai</v>
      </c>
      <c r="B4968" s="2" t="str">
        <f ca="1">IFERROR(__xludf.DUMMYFUNCTION("""COMPUTED_VALUE"""),"Breeze at Creek Beach")</f>
        <v>Breeze at Creek Beach</v>
      </c>
      <c r="C4968" s="2" t="str">
        <f ca="1">IFERROR(__xludf.DUMMYFUNCTION("""COMPUTED_VALUE"""),"Cluster")</f>
        <v>Cluster</v>
      </c>
      <c r="D4968" s="2" t="str">
        <f ca="1">IFERROR(__xludf.DUMMYFUNCTION("""COMPUTED_VALUE"""),"Dubai&gt;Dubai Creek Harbour&gt;Breeze at Creek Beach")</f>
        <v>Dubai&gt;Dubai Creek Harbour&gt;Breeze at Creek Beach</v>
      </c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</row>
    <row r="4969" spans="1:26" ht="16.5" x14ac:dyDescent="0.35">
      <c r="A4969" s="2" t="str">
        <f ca="1">IFERROR(__xludf.DUMMYFUNCTION("""COMPUTED_VALUE"""),"Dubai")</f>
        <v>Dubai</v>
      </c>
      <c r="B4969" s="2" t="str">
        <f ca="1">IFERROR(__xludf.DUMMYFUNCTION("""COMPUTED_VALUE"""),"Grove Building 4")</f>
        <v>Grove Building 4</v>
      </c>
      <c r="C4969" s="2" t="str">
        <f ca="1">IFERROR(__xludf.DUMMYFUNCTION("""COMPUTED_VALUE"""),"Building")</f>
        <v>Building</v>
      </c>
      <c r="D4969" s="2" t="str">
        <f ca="1">IFERROR(__xludf.DUMMYFUNCTION("""COMPUTED_VALUE"""),"Dubai&gt;Dubai Creek Harbour&gt;Grove at Creek Beach&gt;Grove Building 4")</f>
        <v>Dubai&gt;Dubai Creek Harbour&gt;Grove at Creek Beach&gt;Grove Building 4</v>
      </c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</row>
    <row r="4970" spans="1:26" ht="16.5" x14ac:dyDescent="0.35">
      <c r="A4970" s="2" t="str">
        <f ca="1">IFERROR(__xludf.DUMMYFUNCTION("""COMPUTED_VALUE"""),"Dubai")</f>
        <v>Dubai</v>
      </c>
      <c r="B4970" s="2" t="str">
        <f ca="1">IFERROR(__xludf.DUMMYFUNCTION("""COMPUTED_VALUE"""),"Savanna")</f>
        <v>Savanna</v>
      </c>
      <c r="C4970" s="2" t="str">
        <f ca="1">IFERROR(__xludf.DUMMYFUNCTION("""COMPUTED_VALUE"""),"Cluster")</f>
        <v>Cluster</v>
      </c>
      <c r="D4970" s="2" t="str">
        <f ca="1">IFERROR(__xludf.DUMMYFUNCTION("""COMPUTED_VALUE"""),"Dubai&gt;Dubai Creek Harbour&gt;Savanna")</f>
        <v>Dubai&gt;Dubai Creek Harbour&gt;Savanna</v>
      </c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</row>
    <row r="4971" spans="1:26" ht="16.5" x14ac:dyDescent="0.35">
      <c r="A4971" s="2" t="str">
        <f ca="1">IFERROR(__xludf.DUMMYFUNCTION("""COMPUTED_VALUE"""),"Dubai")</f>
        <v>Dubai</v>
      </c>
      <c r="B4971" s="2" t="str">
        <f ca="1">IFERROR(__xludf.DUMMYFUNCTION("""COMPUTED_VALUE"""),"Moor at Creek Beach Building 3")</f>
        <v>Moor at Creek Beach Building 3</v>
      </c>
      <c r="C4971" s="2" t="str">
        <f ca="1">IFERROR(__xludf.DUMMYFUNCTION("""COMPUTED_VALUE"""),"Building")</f>
        <v>Building</v>
      </c>
      <c r="D4971" s="2" t="str">
        <f ca="1">IFERROR(__xludf.DUMMYFUNCTION("""COMPUTED_VALUE"""),"Dubai&gt;Dubai Creek Harbour&gt;Moor at Creek Beach&gt;Moor at Creek Beach Building 3")</f>
        <v>Dubai&gt;Dubai Creek Harbour&gt;Moor at Creek Beach&gt;Moor at Creek Beach Building 3</v>
      </c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</row>
    <row r="4972" spans="1:26" ht="16.5" x14ac:dyDescent="0.35">
      <c r="A4972" s="2" t="str">
        <f ca="1">IFERROR(__xludf.DUMMYFUNCTION("""COMPUTED_VALUE"""),"Dubai")</f>
        <v>Dubai</v>
      </c>
      <c r="B4972" s="2" t="str">
        <f ca="1">IFERROR(__xludf.DUMMYFUNCTION("""COMPUTED_VALUE"""),"Al Fardan Tower")</f>
        <v>Al Fardan Tower</v>
      </c>
      <c r="C4972" s="2" t="str">
        <f ca="1">IFERROR(__xludf.DUMMYFUNCTION("""COMPUTED_VALUE"""),"Building")</f>
        <v>Building</v>
      </c>
      <c r="D4972" s="2" t="str">
        <f ca="1">IFERROR(__xludf.DUMMYFUNCTION("""COMPUTED_VALUE"""),"Dubai&gt;Barsha Heights (Tecom)&gt;Al Fardan Tower")</f>
        <v>Dubai&gt;Barsha Heights (Tecom)&gt;Al Fardan Tower</v>
      </c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</row>
    <row r="4973" spans="1:26" ht="16.5" x14ac:dyDescent="0.35">
      <c r="A4973" s="2" t="str">
        <f ca="1">IFERROR(__xludf.DUMMYFUNCTION("""COMPUTED_VALUE"""),"Dubai")</f>
        <v>Dubai</v>
      </c>
      <c r="B4973" s="2" t="str">
        <f ca="1">IFERROR(__xludf.DUMMYFUNCTION("""COMPUTED_VALUE"""),"Art XII")</f>
        <v>Art XII</v>
      </c>
      <c r="C4973" s="2" t="str">
        <f ca="1">IFERROR(__xludf.DUMMYFUNCTION("""COMPUTED_VALUE"""),"Building")</f>
        <v>Building</v>
      </c>
      <c r="D4973" s="2" t="str">
        <f ca="1">IFERROR(__xludf.DUMMYFUNCTION("""COMPUTED_VALUE"""),"Dubai&gt;Barsha Heights (Tecom)&gt;Art XII")</f>
        <v>Dubai&gt;Barsha Heights (Tecom)&gt;Art XII</v>
      </c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</row>
    <row r="4974" spans="1:26" ht="16.5" x14ac:dyDescent="0.35">
      <c r="A4974" s="2" t="str">
        <f ca="1">IFERROR(__xludf.DUMMYFUNCTION("""COMPUTED_VALUE"""),"Dubai")</f>
        <v>Dubai</v>
      </c>
      <c r="B4974" s="2" t="str">
        <f ca="1">IFERROR(__xludf.DUMMYFUNCTION("""COMPUTED_VALUE"""),"Thuraya Telecommunications Tower")</f>
        <v>Thuraya Telecommunications Tower</v>
      </c>
      <c r="C4974" s="2" t="str">
        <f ca="1">IFERROR(__xludf.DUMMYFUNCTION("""COMPUTED_VALUE"""),"Building")</f>
        <v>Building</v>
      </c>
      <c r="D4974" s="2" t="str">
        <f ca="1">IFERROR(__xludf.DUMMYFUNCTION("""COMPUTED_VALUE"""),"Dubai&gt;Barsha Heights (Tecom)&gt;Thuraya Telecommunications Tower")</f>
        <v>Dubai&gt;Barsha Heights (Tecom)&gt;Thuraya Telecommunications Tower</v>
      </c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</row>
    <row r="4975" spans="1:26" ht="16.5" x14ac:dyDescent="0.35">
      <c r="A4975" s="2" t="str">
        <f ca="1">IFERROR(__xludf.DUMMYFUNCTION("""COMPUTED_VALUE"""),"Dubai")</f>
        <v>Dubai</v>
      </c>
      <c r="B4975" s="2" t="str">
        <f ca="1">IFERROR(__xludf.DUMMYFUNCTION("""COMPUTED_VALUE"""),"Paradise Residence")</f>
        <v>Paradise Residence</v>
      </c>
      <c r="C4975" s="2" t="str">
        <f ca="1">IFERROR(__xludf.DUMMYFUNCTION("""COMPUTED_VALUE"""),"Building")</f>
        <v>Building</v>
      </c>
      <c r="D4975" s="2" t="str">
        <f ca="1">IFERROR(__xludf.DUMMYFUNCTION("""COMPUTED_VALUE"""),"Dubai&gt;Barsha Heights (Tecom)&gt;Paradise Residence")</f>
        <v>Dubai&gt;Barsha Heights (Tecom)&gt;Paradise Residence</v>
      </c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</row>
    <row r="4976" spans="1:26" ht="16.5" x14ac:dyDescent="0.35">
      <c r="A4976" s="2" t="str">
        <f ca="1">IFERROR(__xludf.DUMMYFUNCTION("""COMPUTED_VALUE"""),"Dubai")</f>
        <v>Dubai</v>
      </c>
      <c r="B4976" s="2" t="str">
        <f ca="1">IFERROR(__xludf.DUMMYFUNCTION("""COMPUTED_VALUE"""),"Terraced Apartment 1D")</f>
        <v>Terraced Apartment 1D</v>
      </c>
      <c r="C4976" s="2" t="str">
        <f ca="1">IFERROR(__xludf.DUMMYFUNCTION("""COMPUTED_VALUE"""),"Building")</f>
        <v>Building</v>
      </c>
      <c r="D4976" s="2" t="str">
        <f ca="1">IFERROR(__xludf.DUMMYFUNCTION("""COMPUTED_VALUE"""),"Dubai&gt;Motor City&gt;Green Community (Motor City)&gt;Terraced Apartments&gt;Terraced Apartment 1D")</f>
        <v>Dubai&gt;Motor City&gt;Green Community (Motor City)&gt;Terraced Apartments&gt;Terraced Apartment 1D</v>
      </c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</row>
    <row r="4977" spans="1:26" ht="16.5" x14ac:dyDescent="0.35">
      <c r="A4977" s="2" t="str">
        <f ca="1">IFERROR(__xludf.DUMMYFUNCTION("""COMPUTED_VALUE"""),"Dubai")</f>
        <v>Dubai</v>
      </c>
      <c r="B4977" s="2" t="str">
        <f ca="1">IFERROR(__xludf.DUMMYFUNCTION("""COMPUTED_VALUE"""),"Norton Court 1")</f>
        <v>Norton Court 1</v>
      </c>
      <c r="C4977" s="2" t="str">
        <f ca="1">IFERROR(__xludf.DUMMYFUNCTION("""COMPUTED_VALUE"""),"Building")</f>
        <v>Building</v>
      </c>
      <c r="D4977" s="2" t="str">
        <f ca="1">IFERROR(__xludf.DUMMYFUNCTION("""COMPUTED_VALUE"""),"Dubai&gt;Motor City&gt;Uptown Motor City&gt;Norton Court&gt;Norton Court 1")</f>
        <v>Dubai&gt;Motor City&gt;Uptown Motor City&gt;Norton Court&gt;Norton Court 1</v>
      </c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</row>
    <row r="4978" spans="1:26" ht="16.5" x14ac:dyDescent="0.35">
      <c r="A4978" s="2" t="str">
        <f ca="1">IFERROR(__xludf.DUMMYFUNCTION("""COMPUTED_VALUE"""),"Dubai")</f>
        <v>Dubai</v>
      </c>
      <c r="B4978" s="2" t="str">
        <f ca="1">IFERROR(__xludf.DUMMYFUNCTION("""COMPUTED_VALUE"""),"Fox Hill 6")</f>
        <v>Fox Hill 6</v>
      </c>
      <c r="C4978" s="2" t="str">
        <f ca="1">IFERROR(__xludf.DUMMYFUNCTION("""COMPUTED_VALUE"""),"Building")</f>
        <v>Building</v>
      </c>
      <c r="D4978" s="2" t="str">
        <f ca="1">IFERROR(__xludf.DUMMYFUNCTION("""COMPUTED_VALUE"""),"Dubai&gt;Motor City&gt;Uptown Motor City&gt;Fox Hill&gt;Fox Hill 6")</f>
        <v>Dubai&gt;Motor City&gt;Uptown Motor City&gt;Fox Hill&gt;Fox Hill 6</v>
      </c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</row>
    <row r="4979" spans="1:26" ht="16.5" x14ac:dyDescent="0.35">
      <c r="A4979" s="2" t="str">
        <f ca="1">IFERROR(__xludf.DUMMYFUNCTION("""COMPUTED_VALUE"""),"Dubai")</f>
        <v>Dubai</v>
      </c>
      <c r="B4979" s="2" t="str">
        <f ca="1">IFERROR(__xludf.DUMMYFUNCTION("""COMPUTED_VALUE"""),"Sobha Orbis Tower C")</f>
        <v>Sobha Orbis Tower C</v>
      </c>
      <c r="C4979" s="2" t="str">
        <f ca="1">IFERROR(__xludf.DUMMYFUNCTION("""COMPUTED_VALUE"""),"Building")</f>
        <v>Building</v>
      </c>
      <c r="D4979" s="2" t="str">
        <f ca="1">IFERROR(__xludf.DUMMYFUNCTION("""COMPUTED_VALUE"""),"Dubai&gt;Motor City&gt;Sobha Orbis&gt;Sobha Orbis Tower C")</f>
        <v>Dubai&gt;Motor City&gt;Sobha Orbis&gt;Sobha Orbis Tower C</v>
      </c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</row>
    <row r="4980" spans="1:26" ht="16.5" x14ac:dyDescent="0.35">
      <c r="A4980" s="2" t="str">
        <f ca="1">IFERROR(__xludf.DUMMYFUNCTION("""COMPUTED_VALUE"""),"Dubai")</f>
        <v>Dubai</v>
      </c>
      <c r="B4980" s="2" t="str">
        <f ca="1">IFERROR(__xludf.DUMMYFUNCTION("""COMPUTED_VALUE"""),"Oud Al Muteena 1")</f>
        <v>Oud Al Muteena 1</v>
      </c>
      <c r="C4980" s="2" t="str">
        <f ca="1">IFERROR(__xludf.DUMMYFUNCTION("""COMPUTED_VALUE"""),"Neighbourhood")</f>
        <v>Neighbourhood</v>
      </c>
      <c r="D4980" s="2" t="str">
        <f ca="1">IFERROR(__xludf.DUMMYFUNCTION("""COMPUTED_VALUE"""),"Dubai&gt;Oud Al Muteena&gt;Oud Al Muteena 1")</f>
        <v>Dubai&gt;Oud Al Muteena&gt;Oud Al Muteena 1</v>
      </c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</row>
    <row r="4981" spans="1:26" ht="16.5" x14ac:dyDescent="0.35">
      <c r="A4981" s="2" t="str">
        <f ca="1">IFERROR(__xludf.DUMMYFUNCTION("""COMPUTED_VALUE"""),"Dubai")</f>
        <v>Dubai</v>
      </c>
      <c r="B4981" s="2" t="str">
        <f ca="1">IFERROR(__xludf.DUMMYFUNCTION("""COMPUTED_VALUE"""),"The International School of Choueifat (ISC) Al Sufouh")</f>
        <v>The International School of Choueifat (ISC) Al Sufouh</v>
      </c>
      <c r="C4981" s="2" t="str">
        <f ca="1">IFERROR(__xludf.DUMMYFUNCTION("""COMPUTED_VALUE"""),"School")</f>
        <v>School</v>
      </c>
      <c r="D4981" s="2" t="str">
        <f ca="1">IFERROR(__xludf.DUMMYFUNCTION("""COMPUTED_VALUE"""),"Dubai&gt;Al Sufouh&gt;Al Sufouh 2&gt;The International School of Choueifat (ISC) Al Sufouh")</f>
        <v>Dubai&gt;Al Sufouh&gt;Al Sufouh 2&gt;The International School of Choueifat (ISC) Al Sufouh</v>
      </c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</row>
    <row r="4982" spans="1:26" ht="16.5" x14ac:dyDescent="0.35">
      <c r="A4982" s="2" t="str">
        <f ca="1">IFERROR(__xludf.DUMMYFUNCTION("""COMPUTED_VALUE"""),"Dubai")</f>
        <v>Dubai</v>
      </c>
      <c r="B4982" s="2" t="str">
        <f ca="1">IFERROR(__xludf.DUMMYFUNCTION("""COMPUTED_VALUE"""),"Deira International School (DIS)")</f>
        <v>Deira International School (DIS)</v>
      </c>
      <c r="C4982" s="2" t="str">
        <f ca="1">IFERROR(__xludf.DUMMYFUNCTION("""COMPUTED_VALUE"""),"School")</f>
        <v>School</v>
      </c>
      <c r="D4982" s="2" t="str">
        <f ca="1">IFERROR(__xludf.DUMMYFUNCTION("""COMPUTED_VALUE"""),"Dubai&gt;Dubai Festival City&gt;Deira International School (DIS)")</f>
        <v>Dubai&gt;Dubai Festival City&gt;Deira International School (DIS)</v>
      </c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</row>
    <row r="4983" spans="1:26" ht="16.5" x14ac:dyDescent="0.35">
      <c r="A4983" s="2" t="str">
        <f ca="1">IFERROR(__xludf.DUMMYFUNCTION("""COMPUTED_VALUE"""),"Dubai")</f>
        <v>Dubai</v>
      </c>
      <c r="B4983" s="2" t="str">
        <f ca="1">IFERROR(__xludf.DUMMYFUNCTION("""COMPUTED_VALUE"""),"Al Badia Living Building B")</f>
        <v>Al Badia Living Building B</v>
      </c>
      <c r="C4983" s="2" t="str">
        <f ca="1">IFERROR(__xludf.DUMMYFUNCTION("""COMPUTED_VALUE"""),"Building")</f>
        <v>Building</v>
      </c>
      <c r="D4983" s="2" t="str">
        <f ca="1">IFERROR(__xludf.DUMMYFUNCTION("""COMPUTED_VALUE"""),"Dubai&gt;Dubai Festival City&gt;Al Badia Living&gt;Al Badia Living Building B")</f>
        <v>Dubai&gt;Dubai Festival City&gt;Al Badia Living&gt;Al Badia Living Building B</v>
      </c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</row>
    <row r="4984" spans="1:26" ht="16.5" x14ac:dyDescent="0.35">
      <c r="A4984" s="2" t="str">
        <f ca="1">IFERROR(__xludf.DUMMYFUNCTION("""COMPUTED_VALUE"""),"Dubai")</f>
        <v>Dubai</v>
      </c>
      <c r="B4984" s="2" t="str">
        <f ca="1">IFERROR(__xludf.DUMMYFUNCTION("""COMPUTED_VALUE"""),"Golf Promenade 3B")</f>
        <v>Golf Promenade 3B</v>
      </c>
      <c r="C4984" s="2" t="str">
        <f ca="1">IFERROR(__xludf.DUMMYFUNCTION("""COMPUTED_VALUE"""),"Building")</f>
        <v>Building</v>
      </c>
      <c r="D4984" s="2" t="str">
        <f ca="1">IFERROR(__xludf.DUMMYFUNCTION("""COMPUTED_VALUE"""),"Dubai&gt;DAMAC Hills&gt;Golf Town&gt;Golf Promenade&gt;Golf Promenade 3&gt;Golf Promenade 3B")</f>
        <v>Dubai&gt;DAMAC Hills&gt;Golf Town&gt;Golf Promenade&gt;Golf Promenade 3&gt;Golf Promenade 3B</v>
      </c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</row>
    <row r="4985" spans="1:26" ht="16.5" x14ac:dyDescent="0.35">
      <c r="A4985" s="2" t="str">
        <f ca="1">IFERROR(__xludf.DUMMYFUNCTION("""COMPUTED_VALUE"""),"Dubai")</f>
        <v>Dubai</v>
      </c>
      <c r="B4985" s="2" t="str">
        <f ca="1">IFERROR(__xludf.DUMMYFUNCTION("""COMPUTED_VALUE"""),"Green Acres")</f>
        <v>Green Acres</v>
      </c>
      <c r="C4985" s="2" t="str">
        <f ca="1">IFERROR(__xludf.DUMMYFUNCTION("""COMPUTED_VALUE"""),"Neighbourhood")</f>
        <v>Neighbourhood</v>
      </c>
      <c r="D4985" s="2" t="str">
        <f ca="1">IFERROR(__xludf.DUMMYFUNCTION("""COMPUTED_VALUE"""),"Dubai&gt;DAMAC Hills&gt;The Park Villas&gt;Green Acres")</f>
        <v>Dubai&gt;DAMAC Hills&gt;The Park Villas&gt;Green Acres</v>
      </c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</row>
    <row r="4986" spans="1:26" ht="16.5" x14ac:dyDescent="0.35">
      <c r="A4986" s="2" t="str">
        <f ca="1">IFERROR(__xludf.DUMMYFUNCTION("""COMPUTED_VALUE"""),"Dubai")</f>
        <v>Dubai</v>
      </c>
      <c r="B4986" s="2" t="str">
        <f ca="1">IFERROR(__xludf.DUMMYFUNCTION("""COMPUTED_VALUE"""),"Golf Gate")</f>
        <v>Golf Gate</v>
      </c>
      <c r="C4986" s="2" t="str">
        <f ca="1">IFERROR(__xludf.DUMMYFUNCTION("""COMPUTED_VALUE"""),"Building")</f>
        <v>Building</v>
      </c>
      <c r="D4986" s="2" t="str">
        <f ca="1">IFERROR(__xludf.DUMMYFUNCTION("""COMPUTED_VALUE"""),"Dubai&gt;DAMAC Hills&gt;Golf Gate")</f>
        <v>Dubai&gt;DAMAC Hills&gt;Golf Gate</v>
      </c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</row>
    <row r="4987" spans="1:26" ht="16.5" x14ac:dyDescent="0.35">
      <c r="A4987" s="2" t="str">
        <f ca="1">IFERROR(__xludf.DUMMYFUNCTION("""COMPUTED_VALUE"""),"Dubai")</f>
        <v>Dubai</v>
      </c>
      <c r="B4987" s="2" t="str">
        <f ca="1">IFERROR(__xludf.DUMMYFUNCTION("""COMPUTED_VALUE"""),"Wasl Port Views 10")</f>
        <v>Wasl Port Views 10</v>
      </c>
      <c r="C4987" s="2" t="str">
        <f ca="1">IFERROR(__xludf.DUMMYFUNCTION("""COMPUTED_VALUE"""),"Building")</f>
        <v>Building</v>
      </c>
      <c r="D4987" s="2" t="str">
        <f ca="1">IFERROR(__xludf.DUMMYFUNCTION("""COMPUTED_VALUE"""),"Dubai&gt;Al Mina&gt;Wasl Port Views&gt;Wasl Port Views 10")</f>
        <v>Dubai&gt;Al Mina&gt;Wasl Port Views&gt;Wasl Port Views 10</v>
      </c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</row>
    <row r="4988" spans="1:26" ht="16.5" x14ac:dyDescent="0.35">
      <c r="A4988" s="2" t="str">
        <f ca="1">IFERROR(__xludf.DUMMYFUNCTION("""COMPUTED_VALUE"""),"Dubai")</f>
        <v>Dubai</v>
      </c>
      <c r="B4988" s="2" t="str">
        <f ca="1">IFERROR(__xludf.DUMMYFUNCTION("""COMPUTED_VALUE"""),"Harbour Lights")</f>
        <v>Harbour Lights</v>
      </c>
      <c r="C4988" s="2" t="str">
        <f ca="1">IFERROR(__xludf.DUMMYFUNCTION("""COMPUTED_VALUE"""),"Building")</f>
        <v>Building</v>
      </c>
      <c r="D4988" s="2" t="str">
        <f ca="1">IFERROR(__xludf.DUMMYFUNCTION("""COMPUTED_VALUE"""),"Dubai&gt;Dubai Maritime City&gt;Harbour Lights")</f>
        <v>Dubai&gt;Dubai Maritime City&gt;Harbour Lights</v>
      </c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</row>
    <row r="4989" spans="1:26" ht="16.5" x14ac:dyDescent="0.35">
      <c r="A4989" s="2" t="str">
        <f ca="1">IFERROR(__xludf.DUMMYFUNCTION("""COMPUTED_VALUE"""),"Dubai")</f>
        <v>Dubai</v>
      </c>
      <c r="B4989" s="2" t="str">
        <f ca="1">IFERROR(__xludf.DUMMYFUNCTION("""COMPUTED_VALUE"""),"Soulever by Beyond")</f>
        <v>Soulever by Beyond</v>
      </c>
      <c r="C4989" s="2" t="str">
        <f ca="1">IFERROR(__xludf.DUMMYFUNCTION("""COMPUTED_VALUE"""),"Cluster")</f>
        <v>Cluster</v>
      </c>
      <c r="D4989" s="2" t="str">
        <f ca="1">IFERROR(__xludf.DUMMYFUNCTION("""COMPUTED_VALUE"""),"Dubai&gt;Dubai Maritime City&gt;Soulever by Beyond")</f>
        <v>Dubai&gt;Dubai Maritime City&gt;Soulever by Beyond</v>
      </c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</row>
    <row r="4990" spans="1:26" ht="16.5" x14ac:dyDescent="0.35">
      <c r="A4990" s="2" t="str">
        <f ca="1">IFERROR(__xludf.DUMMYFUNCTION("""COMPUTED_VALUE"""),"Dubai")</f>
        <v>Dubai</v>
      </c>
      <c r="B4990" s="2" t="str">
        <f ca="1">IFERROR(__xludf.DUMMYFUNCTION("""COMPUTED_VALUE"""),"Golf Villas")</f>
        <v>Golf Villas</v>
      </c>
      <c r="C4990" s="2" t="str">
        <f ca="1">IFERROR(__xludf.DUMMYFUNCTION("""COMPUTED_VALUE"""),"Neighbourhood")</f>
        <v>Neighbourhood</v>
      </c>
      <c r="D4990" s="2" t="str">
        <f ca="1">IFERROR(__xludf.DUMMYFUNCTION("""COMPUTED_VALUE"""),"Dubai&gt;The Views&gt;The Links&gt;Golf Villas")</f>
        <v>Dubai&gt;The Views&gt;The Links&gt;Golf Villas</v>
      </c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</row>
    <row r="4991" spans="1:26" ht="16.5" x14ac:dyDescent="0.35">
      <c r="A4991" s="2" t="str">
        <f ca="1">IFERROR(__xludf.DUMMYFUNCTION("""COMPUTED_VALUE"""),"Dubai")</f>
        <v>Dubai</v>
      </c>
      <c r="B4991" s="2" t="str">
        <f ca="1">IFERROR(__xludf.DUMMYFUNCTION("""COMPUTED_VALUE"""),"Al Quoz Industrial Area")</f>
        <v>Al Quoz Industrial Area</v>
      </c>
      <c r="C4991" s="2" t="str">
        <f ca="1">IFERROR(__xludf.DUMMYFUNCTION("""COMPUTED_VALUE"""),"Neighbourhood")</f>
        <v>Neighbourhood</v>
      </c>
      <c r="D4991" s="2" t="str">
        <f ca="1">IFERROR(__xludf.DUMMYFUNCTION("""COMPUTED_VALUE"""),"Dubai&gt;Al Quoz&gt;Al Quoz Industrial Area")</f>
        <v>Dubai&gt;Al Quoz&gt;Al Quoz Industrial Area</v>
      </c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</row>
    <row r="4992" spans="1:26" ht="16.5" x14ac:dyDescent="0.35">
      <c r="A4992" s="2" t="str">
        <f ca="1">IFERROR(__xludf.DUMMYFUNCTION("""COMPUTED_VALUE"""),"Dubai")</f>
        <v>Dubai</v>
      </c>
      <c r="B4992" s="2" t="str">
        <f ca="1">IFERROR(__xludf.DUMMYFUNCTION("""COMPUTED_VALUE"""),"Alpha Property Investment Inc Building")</f>
        <v>Alpha Property Investment Inc Building</v>
      </c>
      <c r="C4992" s="2" t="str">
        <f ca="1">IFERROR(__xludf.DUMMYFUNCTION("""COMPUTED_VALUE"""),"Building")</f>
        <v>Building</v>
      </c>
      <c r="D4992" s="2" t="str">
        <f ca="1">IFERROR(__xludf.DUMMYFUNCTION("""COMPUTED_VALUE"""),"Dubai&gt;Al Quoz&gt;Al Quoz 3&gt;Alpha Property Investment Inc Building")</f>
        <v>Dubai&gt;Al Quoz&gt;Al Quoz 3&gt;Alpha Property Investment Inc Building</v>
      </c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</row>
    <row r="4993" spans="1:26" ht="16.5" x14ac:dyDescent="0.35">
      <c r="A4993" s="2" t="str">
        <f ca="1">IFERROR(__xludf.DUMMYFUNCTION("""COMPUTED_VALUE"""),"Dubai")</f>
        <v>Dubai</v>
      </c>
      <c r="B4993" s="2" t="str">
        <f ca="1">IFERROR(__xludf.DUMMYFUNCTION("""COMPUTED_VALUE"""),"Al Khail Heights Building 9A")</f>
        <v>Al Khail Heights Building 9A</v>
      </c>
      <c r="C4993" s="2" t="str">
        <f ca="1">IFERROR(__xludf.DUMMYFUNCTION("""COMPUTED_VALUE"""),"Building")</f>
        <v>Building</v>
      </c>
      <c r="D4993" s="2" t="str">
        <f ca="1">IFERROR(__xludf.DUMMYFUNCTION("""COMPUTED_VALUE"""),"Dubai&gt;Al Quoz&gt;Al Quoz 4&gt;Al Khail Heights&gt;Al Khail Heights Building 9A")</f>
        <v>Dubai&gt;Al Quoz&gt;Al Quoz 4&gt;Al Khail Heights&gt;Al Khail Heights Building 9A</v>
      </c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</row>
    <row r="4994" spans="1:26" ht="16.5" x14ac:dyDescent="0.35">
      <c r="A4994" s="2" t="str">
        <f ca="1">IFERROR(__xludf.DUMMYFUNCTION("""COMPUTED_VALUE"""),"Dubai")</f>
        <v>Dubai</v>
      </c>
      <c r="B4994" s="2" t="str">
        <f ca="1">IFERROR(__xludf.DUMMYFUNCTION("""COMPUTED_VALUE"""),"Jade Residence")</f>
        <v>Jade Residence</v>
      </c>
      <c r="C4994" s="2" t="str">
        <f ca="1">IFERROR(__xludf.DUMMYFUNCTION("""COMPUTED_VALUE"""),"Building")</f>
        <v>Building</v>
      </c>
      <c r="D4994" s="2" t="str">
        <f ca="1">IFERROR(__xludf.DUMMYFUNCTION("""COMPUTED_VALUE"""),"Dubai&gt;Dubai Silicon Oasis (DSO)&gt;Jade Residence")</f>
        <v>Dubai&gt;Dubai Silicon Oasis (DSO)&gt;Jade Residence</v>
      </c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</row>
    <row r="4995" spans="1:26" ht="16.5" x14ac:dyDescent="0.35">
      <c r="A4995" s="2" t="str">
        <f ca="1">IFERROR(__xludf.DUMMYFUNCTION("""COMPUTED_VALUE"""),"Dubai")</f>
        <v>Dubai</v>
      </c>
      <c r="B4995" s="2" t="str">
        <f ca="1">IFERROR(__xludf.DUMMYFUNCTION("""COMPUTED_VALUE"""),"Platinum Residence 2")</f>
        <v>Platinum Residence 2</v>
      </c>
      <c r="C4995" s="2" t="str">
        <f ca="1">IFERROR(__xludf.DUMMYFUNCTION("""COMPUTED_VALUE"""),"Building")</f>
        <v>Building</v>
      </c>
      <c r="D4995" s="2" t="str">
        <f ca="1">IFERROR(__xludf.DUMMYFUNCTION("""COMPUTED_VALUE"""),"Dubai&gt;Dubai Silicon Oasis (DSO)&gt;Platinum Residence 2")</f>
        <v>Dubai&gt;Dubai Silicon Oasis (DSO)&gt;Platinum Residence 2</v>
      </c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</row>
    <row r="4996" spans="1:26" ht="16.5" x14ac:dyDescent="0.35">
      <c r="A4996" s="2" t="str">
        <f ca="1">IFERROR(__xludf.DUMMYFUNCTION("""COMPUTED_VALUE"""),"Dubai")</f>
        <v>Dubai</v>
      </c>
      <c r="B4996" s="2" t="str">
        <f ca="1">IFERROR(__xludf.DUMMYFUNCTION("""COMPUTED_VALUE"""),"Silicon Oasis Techno Hub 2")</f>
        <v>Silicon Oasis Techno Hub 2</v>
      </c>
      <c r="C4996" s="2" t="str">
        <f ca="1">IFERROR(__xludf.DUMMYFUNCTION("""COMPUTED_VALUE"""),"Building")</f>
        <v>Building</v>
      </c>
      <c r="D4996" s="2" t="str">
        <f ca="1">IFERROR(__xludf.DUMMYFUNCTION("""COMPUTED_VALUE"""),"Dubai&gt;Dubai Silicon Oasis (DSO)&gt;Silicon Oasis Techno Hub&gt;Silicon Oasis Techno Hub 2")</f>
        <v>Dubai&gt;Dubai Silicon Oasis (DSO)&gt;Silicon Oasis Techno Hub&gt;Silicon Oasis Techno Hub 2</v>
      </c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</row>
    <row r="4997" spans="1:26" ht="16.5" x14ac:dyDescent="0.35">
      <c r="A4997" s="2" t="str">
        <f ca="1">IFERROR(__xludf.DUMMYFUNCTION("""COMPUTED_VALUE"""),"Dubai")</f>
        <v>Dubai</v>
      </c>
      <c r="B4997" s="2" t="str">
        <f ca="1">IFERROR(__xludf.DUMMYFUNCTION("""COMPUTED_VALUE"""),"Al Khair Building")</f>
        <v>Al Khair Building</v>
      </c>
      <c r="C4997" s="2" t="str">
        <f ca="1">IFERROR(__xludf.DUMMYFUNCTION("""COMPUTED_VALUE"""),"Building")</f>
        <v>Building</v>
      </c>
      <c r="D4997" s="2" t="str">
        <f ca="1">IFERROR(__xludf.DUMMYFUNCTION("""COMPUTED_VALUE"""),"Dubai&gt;Dubai Silicon Oasis (DSO)&gt;Al Khair Building")</f>
        <v>Dubai&gt;Dubai Silicon Oasis (DSO)&gt;Al Khair Building</v>
      </c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</row>
    <row r="4998" spans="1:26" ht="16.5" x14ac:dyDescent="0.35">
      <c r="A4998" s="2" t="str">
        <f ca="1">IFERROR(__xludf.DUMMYFUNCTION("""COMPUTED_VALUE"""),"Dubai")</f>
        <v>Dubai</v>
      </c>
      <c r="B4998" s="2" t="str">
        <f ca="1">IFERROR(__xludf.DUMMYFUNCTION("""COMPUTED_VALUE"""),"Ahmed Al Murr Building")</f>
        <v>Ahmed Al Murr Building</v>
      </c>
      <c r="C4998" s="2" t="str">
        <f ca="1">IFERROR(__xludf.DUMMYFUNCTION("""COMPUTED_VALUE"""),"Building")</f>
        <v>Building</v>
      </c>
      <c r="D4998" s="2" t="str">
        <f ca="1">IFERROR(__xludf.DUMMYFUNCTION("""COMPUTED_VALUE"""),"Dubai&gt;Dubai Silicon Oasis (DSO)&gt;Ahmed Al Murr Building")</f>
        <v>Dubai&gt;Dubai Silicon Oasis (DSO)&gt;Ahmed Al Murr Building</v>
      </c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</row>
    <row r="4999" spans="1:26" ht="16.5" x14ac:dyDescent="0.35">
      <c r="A4999" s="2" t="str">
        <f ca="1">IFERROR(__xludf.DUMMYFUNCTION("""COMPUTED_VALUE"""),"Dubai")</f>
        <v>Dubai</v>
      </c>
      <c r="B4999" s="2" t="str">
        <f ca="1">IFERROR(__xludf.DUMMYFUNCTION("""COMPUTED_VALUE"""),"DSO Emirates Tower 6")</f>
        <v>DSO Emirates Tower 6</v>
      </c>
      <c r="C4999" s="2" t="str">
        <f ca="1">IFERROR(__xludf.DUMMYFUNCTION("""COMPUTED_VALUE"""),"Building")</f>
        <v>Building</v>
      </c>
      <c r="D4999" s="2" t="str">
        <f ca="1">IFERROR(__xludf.DUMMYFUNCTION("""COMPUTED_VALUE"""),"Dubai&gt;Dubai Silicon Oasis (DSO)&gt;DSO Emirates Towers&gt;DSO Emirates Tower 6")</f>
        <v>Dubai&gt;Dubai Silicon Oasis (DSO)&gt;DSO Emirates Towers&gt;DSO Emirates Tower 6</v>
      </c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</row>
    <row r="5000" spans="1:26" ht="16.5" x14ac:dyDescent="0.35">
      <c r="A5000" s="2" t="str">
        <f ca="1">IFERROR(__xludf.DUMMYFUNCTION("""COMPUTED_VALUE"""),"Dubai")</f>
        <v>Dubai</v>
      </c>
      <c r="B5000" s="2" t="str">
        <f ca="1">IFERROR(__xludf.DUMMYFUNCTION("""COMPUTED_VALUE"""),"DHP Residency 2")</f>
        <v>DHP Residency 2</v>
      </c>
      <c r="C5000" s="2" t="str">
        <f ca="1">IFERROR(__xludf.DUMMYFUNCTION("""COMPUTED_VALUE"""),"Building")</f>
        <v>Building</v>
      </c>
      <c r="D5000" s="2" t="str">
        <f ca="1">IFERROR(__xludf.DUMMYFUNCTION("""COMPUTED_VALUE"""),"Dubai&gt;Dubai Silicon Oasis (DSO)&gt;DHP Residency 2")</f>
        <v>Dubai&gt;Dubai Silicon Oasis (DSO)&gt;DHP Residency 2</v>
      </c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</row>
    <row r="5001" spans="1:26" ht="16.5" x14ac:dyDescent="0.35">
      <c r="A5001" s="2" t="str">
        <f ca="1">IFERROR(__xludf.DUMMYFUNCTION("""COMPUTED_VALUE"""),"Dubai")</f>
        <v>Dubai</v>
      </c>
      <c r="B5001" s="2" t="str">
        <f ca="1">IFERROR(__xludf.DUMMYFUNCTION("""COMPUTED_VALUE"""),"Desert Leaf 6")</f>
        <v>Desert Leaf 6</v>
      </c>
      <c r="C5001" s="2" t="str">
        <f ca="1">IFERROR(__xludf.DUMMYFUNCTION("""COMPUTED_VALUE"""),"Neighbourhood")</f>
        <v>Neighbourhood</v>
      </c>
      <c r="D5001" s="2" t="str">
        <f ca="1">IFERROR(__xludf.DUMMYFUNCTION("""COMPUTED_VALUE"""),"Dubai&gt;Al Barari&gt;The Residences&gt;Desert Leaf&gt;Desert Leaf 6")</f>
        <v>Dubai&gt;Al Barari&gt;The Residences&gt;Desert Leaf&gt;Desert Leaf 6</v>
      </c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</row>
    <row r="5002" spans="1:26" ht="16.5" x14ac:dyDescent="0.35">
      <c r="A5002" s="2" t="str">
        <f ca="1">IFERROR(__xludf.DUMMYFUNCTION("""COMPUTED_VALUE"""),"Dubai")</f>
        <v>Dubai</v>
      </c>
      <c r="B5002" s="2" t="str">
        <f ca="1">IFERROR(__xludf.DUMMYFUNCTION("""COMPUTED_VALUE"""),"MAG 970")</f>
        <v>MAG 970</v>
      </c>
      <c r="C5002" s="2" t="str">
        <f ca="1">IFERROR(__xludf.DUMMYFUNCTION("""COMPUTED_VALUE"""),"Building")</f>
        <v>Building</v>
      </c>
      <c r="D5002" s="2" t="str">
        <f ca="1">IFERROR(__xludf.DUMMYFUNCTION("""COMPUTED_VALUE"""),"Dubai&gt;Mohammed Bin Rashid City&gt;District 7&gt;MAG City&gt;MAG 970")</f>
        <v>Dubai&gt;Mohammed Bin Rashid City&gt;District 7&gt;MAG City&gt;MAG 970</v>
      </c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</row>
    <row r="5003" spans="1:26" ht="16.5" x14ac:dyDescent="0.35">
      <c r="A5003" s="2" t="str">
        <f ca="1">IFERROR(__xludf.DUMMYFUNCTION("""COMPUTED_VALUE"""),"Dubai")</f>
        <v>Dubai</v>
      </c>
      <c r="B5003" s="2" t="str">
        <f ca="1">IFERROR(__xludf.DUMMYFUNCTION("""COMPUTED_VALUE"""),"Knightsbridge")</f>
        <v>Knightsbridge</v>
      </c>
      <c r="C5003" s="2" t="str">
        <f ca="1">IFERROR(__xludf.DUMMYFUNCTION("""COMPUTED_VALUE"""),"Neighbourhood")</f>
        <v>Neighbourhood</v>
      </c>
      <c r="D5003" s="2" t="str">
        <f ca="1">IFERROR(__xludf.DUMMYFUNCTION("""COMPUTED_VALUE"""),"Dubai&gt;Mohammed Bin Rashid City&gt;District 11&gt;Knightsbridge")</f>
        <v>Dubai&gt;Mohammed Bin Rashid City&gt;District 11&gt;Knightsbridge</v>
      </c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</row>
    <row r="5004" spans="1:26" ht="16.5" x14ac:dyDescent="0.35">
      <c r="A5004" s="2" t="str">
        <f ca="1">IFERROR(__xludf.DUMMYFUNCTION("""COMPUTED_VALUE"""),"Dubai")</f>
        <v>Dubai</v>
      </c>
      <c r="B5004" s="2" t="str">
        <f ca="1">IFERROR(__xludf.DUMMYFUNCTION("""COMPUTED_VALUE"""),"Residences 4")</f>
        <v>Residences 4</v>
      </c>
      <c r="C5004" s="2" t="str">
        <f ca="1">IFERROR(__xludf.DUMMYFUNCTION("""COMPUTED_VALUE"""),"Building")</f>
        <v>Building</v>
      </c>
      <c r="D5004" s="2" t="str">
        <f ca="1">IFERROR(__xludf.DUMMYFUNCTION("""COMPUTED_VALUE"""),"Dubai&gt;Mohammed Bin Rashid City&gt;District One&gt;The Residences at District One&gt;Residences 4")</f>
        <v>Dubai&gt;Mohammed Bin Rashid City&gt;District One&gt;The Residences at District One&gt;Residences 4</v>
      </c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</row>
    <row r="5005" spans="1:26" ht="16.5" x14ac:dyDescent="0.35">
      <c r="A5005" s="2" t="str">
        <f ca="1">IFERROR(__xludf.DUMMYFUNCTION("""COMPUTED_VALUE"""),"Dubai")</f>
        <v>Dubai</v>
      </c>
      <c r="B5005" s="2" t="str">
        <f ca="1">IFERROR(__xludf.DUMMYFUNCTION("""COMPUTED_VALUE"""),"Kappa Acca 4")</f>
        <v>Kappa Acca 4</v>
      </c>
      <c r="C5005" s="2" t="str">
        <f ca="1">IFERROR(__xludf.DUMMYFUNCTION("""COMPUTED_VALUE"""),"Building")</f>
        <v>Building</v>
      </c>
      <c r="D5005" s="2" t="str">
        <f ca="1">IFERROR(__xludf.DUMMYFUNCTION("""COMPUTED_VALUE"""),"Dubai&gt;Dubai South&gt;Residential District&gt;Kappa Acca 4")</f>
        <v>Dubai&gt;Dubai South&gt;Residential District&gt;Kappa Acca 4</v>
      </c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</row>
    <row r="5006" spans="1:26" ht="16.5" x14ac:dyDescent="0.35">
      <c r="A5006" s="2" t="str">
        <f ca="1">IFERROR(__xludf.DUMMYFUNCTION("""COMPUTED_VALUE"""),"Dubai")</f>
        <v>Dubai</v>
      </c>
      <c r="B5006" s="2" t="str">
        <f ca="1">IFERROR(__xludf.DUMMYFUNCTION("""COMPUTED_VALUE"""),"The Pulse Boulevard Grove")</f>
        <v>The Pulse Boulevard Grove</v>
      </c>
      <c r="C5006" s="2" t="str">
        <f ca="1">IFERROR(__xludf.DUMMYFUNCTION("""COMPUTED_VALUE"""),"Building")</f>
        <v>Building</v>
      </c>
      <c r="D5006" s="2" t="str">
        <f ca="1">IFERROR(__xludf.DUMMYFUNCTION("""COMPUTED_VALUE"""),"Dubai&gt;Dubai South&gt;Residential District&gt;The Pulse&gt;The Pulse Boulevard Grove")</f>
        <v>Dubai&gt;Dubai South&gt;Residential District&gt;The Pulse&gt;The Pulse Boulevard Grove</v>
      </c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</row>
    <row r="5007" spans="1:26" ht="16.5" x14ac:dyDescent="0.35">
      <c r="A5007" s="2" t="str">
        <f ca="1">IFERROR(__xludf.DUMMYFUNCTION("""COMPUTED_VALUE"""),"Dubai")</f>
        <v>Dubai</v>
      </c>
      <c r="B5007" s="2" t="str">
        <f ca="1">IFERROR(__xludf.DUMMYFUNCTION("""COMPUTED_VALUE"""),"Celestia A")</f>
        <v>Celestia A</v>
      </c>
      <c r="C5007" s="2" t="str">
        <f ca="1">IFERROR(__xludf.DUMMYFUNCTION("""COMPUTED_VALUE"""),"Building")</f>
        <v>Building</v>
      </c>
      <c r="D5007" s="2" t="str">
        <f ca="1">IFERROR(__xludf.DUMMYFUNCTION("""COMPUTED_VALUE"""),"Dubai&gt;Dubai South&gt;Residential District&gt;Celestia&gt;Celestia A")</f>
        <v>Dubai&gt;Dubai South&gt;Residential District&gt;Celestia&gt;Celestia A</v>
      </c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</row>
    <row r="5008" spans="1:26" ht="16.5" x14ac:dyDescent="0.35">
      <c r="A5008" s="2" t="str">
        <f ca="1">IFERROR(__xludf.DUMMYFUNCTION("""COMPUTED_VALUE"""),"Dubai")</f>
        <v>Dubai</v>
      </c>
      <c r="B5008" s="2" t="str">
        <f ca="1">IFERROR(__xludf.DUMMYFUNCTION("""COMPUTED_VALUE"""),"Avion Residence")</f>
        <v>Avion Residence</v>
      </c>
      <c r="C5008" s="2" t="str">
        <f ca="1">IFERROR(__xludf.DUMMYFUNCTION("""COMPUTED_VALUE"""),"Building")</f>
        <v>Building</v>
      </c>
      <c r="D5008" s="2" t="str">
        <f ca="1">IFERROR(__xludf.DUMMYFUNCTION("""COMPUTED_VALUE"""),"Dubai&gt;Dubai South&gt;Residential District&gt;Avion Residence")</f>
        <v>Dubai&gt;Dubai South&gt;Residential District&gt;Avion Residence</v>
      </c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</row>
    <row r="5009" spans="1:26" ht="16.5" x14ac:dyDescent="0.35">
      <c r="A5009" s="2" t="str">
        <f ca="1">IFERROR(__xludf.DUMMYFUNCTION("""COMPUTED_VALUE"""),"Dubai")</f>
        <v>Dubai</v>
      </c>
      <c r="B5009" s="2" t="str">
        <f ca="1">IFERROR(__xludf.DUMMYFUNCTION("""COMPUTED_VALUE"""),"Emaar South")</f>
        <v>Emaar South</v>
      </c>
      <c r="C5009" s="2" t="str">
        <f ca="1">IFERROR(__xludf.DUMMYFUNCTION("""COMPUTED_VALUE"""),"Neighbourhood")</f>
        <v>Neighbourhood</v>
      </c>
      <c r="D5009" s="2" t="str">
        <f ca="1">IFERROR(__xludf.DUMMYFUNCTION("""COMPUTED_VALUE"""),"Dubai&gt;Dubai South&gt;Emaar South")</f>
        <v>Dubai&gt;Dubai South&gt;Emaar South</v>
      </c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</row>
    <row r="5010" spans="1:26" ht="16.5" x14ac:dyDescent="0.35">
      <c r="A5010" s="2" t="str">
        <f ca="1">IFERROR(__xludf.DUMMYFUNCTION("""COMPUTED_VALUE"""),"Dubai")</f>
        <v>Dubai</v>
      </c>
      <c r="B5010" s="2" t="str">
        <f ca="1">IFERROR(__xludf.DUMMYFUNCTION("""COMPUTED_VALUE"""),"Greenville 2")</f>
        <v>Greenville 2</v>
      </c>
      <c r="C5010" s="2" t="str">
        <f ca="1">IFERROR(__xludf.DUMMYFUNCTION("""COMPUTED_VALUE"""),"Neighbourhood")</f>
        <v>Neighbourhood</v>
      </c>
      <c r="D5010" s="2" t="str">
        <f ca="1">IFERROR(__xludf.DUMMYFUNCTION("""COMPUTED_VALUE"""),"Dubai&gt;Dubai South&gt;Emaar South&gt;Greenville 2")</f>
        <v>Dubai&gt;Dubai South&gt;Emaar South&gt;Greenville 2</v>
      </c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</row>
    <row r="5011" spans="1:26" ht="16.5" x14ac:dyDescent="0.35">
      <c r="A5011" s="2" t="str">
        <f ca="1">IFERROR(__xludf.DUMMYFUNCTION("""COMPUTED_VALUE"""),"Dubai")</f>
        <v>Dubai</v>
      </c>
      <c r="B5011" s="2" t="str">
        <f ca="1">IFERROR(__xludf.DUMMYFUNCTION("""COMPUTED_VALUE"""),"South Square Building 2")</f>
        <v>South Square Building 2</v>
      </c>
      <c r="C5011" s="2" t="str">
        <f ca="1">IFERROR(__xludf.DUMMYFUNCTION("""COMPUTED_VALUE"""),"Building")</f>
        <v>Building</v>
      </c>
      <c r="D5011" s="2" t="str">
        <f ca="1">IFERROR(__xludf.DUMMYFUNCTION("""COMPUTED_VALUE"""),"Dubai&gt;Dubai South&gt;Logistics City&gt;South Square&gt;South Square Building 2")</f>
        <v>Dubai&gt;Dubai South&gt;Logistics City&gt;South Square&gt;South Square Building 2</v>
      </c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</row>
    <row r="5012" spans="1:26" ht="16.5" x14ac:dyDescent="0.35">
      <c r="A5012" s="2" t="str">
        <f ca="1">IFERROR(__xludf.DUMMYFUNCTION("""COMPUTED_VALUE"""),"Dubai")</f>
        <v>Dubai</v>
      </c>
      <c r="B5012" s="2" t="str">
        <f ca="1">IFERROR(__xludf.DUMMYFUNCTION("""COMPUTED_VALUE"""),"Azizi Venice 8 Building A")</f>
        <v>Azizi Venice 8 Building A</v>
      </c>
      <c r="C5012" s="2" t="str">
        <f ca="1">IFERROR(__xludf.DUMMYFUNCTION("""COMPUTED_VALUE"""),"Building")</f>
        <v>Building</v>
      </c>
      <c r="D5012" s="2" t="str">
        <f ca="1">IFERROR(__xludf.DUMMYFUNCTION("""COMPUTED_VALUE"""),"Dubai&gt;Dubai South&gt;Azizi Venice&gt;Azizi Venice 8&gt;Azizi Venice 8 Building A")</f>
        <v>Dubai&gt;Dubai South&gt;Azizi Venice&gt;Azizi Venice 8&gt;Azizi Venice 8 Building A</v>
      </c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</row>
    <row r="5013" spans="1:26" ht="16.5" x14ac:dyDescent="0.35">
      <c r="A5013" s="2" t="str">
        <f ca="1">IFERROR(__xludf.DUMMYFUNCTION("""COMPUTED_VALUE"""),"Dubai")</f>
        <v>Dubai</v>
      </c>
      <c r="B5013" s="2" t="str">
        <f ca="1">IFERROR(__xludf.DUMMYFUNCTION("""COMPUTED_VALUE"""),"Waada")</f>
        <v>Waada</v>
      </c>
      <c r="C5013" s="2" t="str">
        <f ca="1">IFERROR(__xludf.DUMMYFUNCTION("""COMPUTED_VALUE"""),"Neighbourhood")</f>
        <v>Neighbourhood</v>
      </c>
      <c r="D5013" s="2" t="str">
        <f ca="1">IFERROR(__xludf.DUMMYFUNCTION("""COMPUTED_VALUE"""),"Dubai&gt;Dubai South&gt;Waada")</f>
        <v>Dubai&gt;Dubai South&gt;Waada</v>
      </c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</row>
    <row r="5014" spans="1:26" ht="16.5" x14ac:dyDescent="0.35">
      <c r="A5014" s="2" t="str">
        <f ca="1">IFERROR(__xludf.DUMMYFUNCTION("""COMPUTED_VALUE"""),"Dubai")</f>
        <v>Dubai</v>
      </c>
      <c r="B5014" s="2" t="str">
        <f ca="1">IFERROR(__xludf.DUMMYFUNCTION("""COMPUTED_VALUE"""),"Indian High School (IHS), Oud Metha")</f>
        <v>Indian High School (IHS), Oud Metha</v>
      </c>
      <c r="C5014" s="2" t="str">
        <f ca="1">IFERROR(__xludf.DUMMYFUNCTION("""COMPUTED_VALUE"""),"School")</f>
        <v>School</v>
      </c>
      <c r="D5014" s="2" t="str">
        <f ca="1">IFERROR(__xludf.DUMMYFUNCTION("""COMPUTED_VALUE"""),"Dubai&gt;Bur Dubai&gt;Oud Metha&gt;Indian High School (IHS), Oud Metha")</f>
        <v>Dubai&gt;Bur Dubai&gt;Oud Metha&gt;Indian High School (IHS), Oud Metha</v>
      </c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</row>
    <row r="5015" spans="1:26" ht="16.5" x14ac:dyDescent="0.35">
      <c r="A5015" s="2" t="str">
        <f ca="1">IFERROR(__xludf.DUMMYFUNCTION("""COMPUTED_VALUE"""),"Dubai")</f>
        <v>Dubai</v>
      </c>
      <c r="B5015" s="2" t="str">
        <f ca="1">IFERROR(__xludf.DUMMYFUNCTION("""COMPUTED_VALUE"""),"Oud Metha Building")</f>
        <v>Oud Metha Building</v>
      </c>
      <c r="C5015" s="2" t="str">
        <f ca="1">IFERROR(__xludf.DUMMYFUNCTION("""COMPUTED_VALUE"""),"Building")</f>
        <v>Building</v>
      </c>
      <c r="D5015" s="2" t="str">
        <f ca="1">IFERROR(__xludf.DUMMYFUNCTION("""COMPUTED_VALUE"""),"Dubai&gt;Bur Dubai&gt;Oud Metha&gt;Oud Metha Building")</f>
        <v>Dubai&gt;Bur Dubai&gt;Oud Metha&gt;Oud Metha Building</v>
      </c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</row>
    <row r="5016" spans="1:26" ht="16.5" x14ac:dyDescent="0.35">
      <c r="A5016" s="2" t="str">
        <f ca="1">IFERROR(__xludf.DUMMYFUNCTION("""COMPUTED_VALUE"""),"Dubai")</f>
        <v>Dubai</v>
      </c>
      <c r="B5016" s="2" t="str">
        <f ca="1">IFERROR(__xludf.DUMMYFUNCTION("""COMPUTED_VALUE"""),"Al Raffa")</f>
        <v>Al Raffa</v>
      </c>
      <c r="C5016" s="2" t="str">
        <f ca="1">IFERROR(__xludf.DUMMYFUNCTION("""COMPUTED_VALUE"""),"Neighbourhood")</f>
        <v>Neighbourhood</v>
      </c>
      <c r="D5016" s="2" t="str">
        <f ca="1">IFERROR(__xludf.DUMMYFUNCTION("""COMPUTED_VALUE"""),"Dubai&gt;Bur Dubai&gt;Al Raffa")</f>
        <v>Dubai&gt;Bur Dubai&gt;Al Raffa</v>
      </c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</row>
    <row r="5017" spans="1:26" ht="16.5" x14ac:dyDescent="0.35">
      <c r="A5017" s="2" t="str">
        <f ca="1">IFERROR(__xludf.DUMMYFUNCTION("""COMPUTED_VALUE"""),"Dubai")</f>
        <v>Dubai</v>
      </c>
      <c r="B5017" s="2" t="str">
        <f ca="1">IFERROR(__xludf.DUMMYFUNCTION("""COMPUTED_VALUE"""),"Manazil Al Raffa 02")</f>
        <v>Manazil Al Raffa 02</v>
      </c>
      <c r="C5017" s="2" t="str">
        <f ca="1">IFERROR(__xludf.DUMMYFUNCTION("""COMPUTED_VALUE"""),"Building")</f>
        <v>Building</v>
      </c>
      <c r="D5017" s="2" t="str">
        <f ca="1">IFERROR(__xludf.DUMMYFUNCTION("""COMPUTED_VALUE"""),"Dubai&gt;Bur Dubai&gt;Al Raffa&gt;Manazil Al Raffa 02")</f>
        <v>Dubai&gt;Bur Dubai&gt;Al Raffa&gt;Manazil Al Raffa 02</v>
      </c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</row>
    <row r="5018" spans="1:26" ht="16.5" x14ac:dyDescent="0.35">
      <c r="A5018" s="2" t="str">
        <f ca="1">IFERROR(__xludf.DUMMYFUNCTION("""COMPUTED_VALUE"""),"Dubai")</f>
        <v>Dubai</v>
      </c>
      <c r="B5018" s="2" t="str">
        <f ca="1">IFERROR(__xludf.DUMMYFUNCTION("""COMPUTED_VALUE"""),"Al Salam Residence")</f>
        <v>Al Salam Residence</v>
      </c>
      <c r="C5018" s="2" t="str">
        <f ca="1">IFERROR(__xludf.DUMMYFUNCTION("""COMPUTED_VALUE"""),"Building")</f>
        <v>Building</v>
      </c>
      <c r="D5018" s="2" t="str">
        <f ca="1">IFERROR(__xludf.DUMMYFUNCTION("""COMPUTED_VALUE"""),"Dubai&gt;Bur Dubai&gt;Al Mankhool&gt;Al Salam Residence")</f>
        <v>Dubai&gt;Bur Dubai&gt;Al Mankhool&gt;Al Salam Residence</v>
      </c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</row>
    <row r="5019" spans="1:26" ht="16.5" x14ac:dyDescent="0.35">
      <c r="A5019" s="2" t="str">
        <f ca="1">IFERROR(__xludf.DUMMYFUNCTION("""COMPUTED_VALUE"""),"Dubai")</f>
        <v>Dubai</v>
      </c>
      <c r="B5019" s="2" t="str">
        <f ca="1">IFERROR(__xludf.DUMMYFUNCTION("""COMPUTED_VALUE"""),"DoubleTree by Hilton Dubai M Square Hotel &amp; Residences")</f>
        <v>DoubleTree by Hilton Dubai M Square Hotel &amp; Residences</v>
      </c>
      <c r="C5019" s="2" t="str">
        <f ca="1">IFERROR(__xludf.DUMMYFUNCTION("""COMPUTED_VALUE"""),"Building")</f>
        <v>Building</v>
      </c>
      <c r="D5019" s="2" t="str">
        <f ca="1">IFERROR(__xludf.DUMMYFUNCTION("""COMPUTED_VALUE"""),"Dubai&gt;Bur Dubai&gt;Al Mankhool&gt;DoubleTree by Hilton Dubai M Square Hotel &amp; Residences")</f>
        <v>Dubai&gt;Bur Dubai&gt;Al Mankhool&gt;DoubleTree by Hilton Dubai M Square Hotel &amp; Residences</v>
      </c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</row>
    <row r="5020" spans="1:26" ht="16.5" x14ac:dyDescent="0.35">
      <c r="A5020" s="2" t="str">
        <f ca="1">IFERROR(__xludf.DUMMYFUNCTION("""COMPUTED_VALUE"""),"Dubai")</f>
        <v>Dubai</v>
      </c>
      <c r="B5020" s="2" t="str">
        <f ca="1">IFERROR(__xludf.DUMMYFUNCTION("""COMPUTED_VALUE"""),"ABC 1 Building")</f>
        <v>ABC 1 Building</v>
      </c>
      <c r="C5020" s="2" t="str">
        <f ca="1">IFERROR(__xludf.DUMMYFUNCTION("""COMPUTED_VALUE"""),"Building")</f>
        <v>Building</v>
      </c>
      <c r="D5020" s="2" t="str">
        <f ca="1">IFERROR(__xludf.DUMMYFUNCTION("""COMPUTED_VALUE"""),"Dubai&gt;Bur Dubai&gt;Al Mankhool&gt;ABC 1 Building")</f>
        <v>Dubai&gt;Bur Dubai&gt;Al Mankhool&gt;ABC 1 Building</v>
      </c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</row>
    <row r="5021" spans="1:26" ht="16.5" x14ac:dyDescent="0.35">
      <c r="A5021" s="2" t="str">
        <f ca="1">IFERROR(__xludf.DUMMYFUNCTION("""COMPUTED_VALUE"""),"Dubai")</f>
        <v>Dubai</v>
      </c>
      <c r="B5021" s="2" t="str">
        <f ca="1">IFERROR(__xludf.DUMMYFUNCTION("""COMPUTED_VALUE"""),"Al Kifaf")</f>
        <v>Al Kifaf</v>
      </c>
      <c r="C5021" s="2" t="str">
        <f ca="1">IFERROR(__xludf.DUMMYFUNCTION("""COMPUTED_VALUE"""),"Neighbourhood")</f>
        <v>Neighbourhood</v>
      </c>
      <c r="D5021" s="2" t="str">
        <f ca="1">IFERROR(__xludf.DUMMYFUNCTION("""COMPUTED_VALUE"""),"Dubai&gt;Bur Dubai&gt;Al Kifaf")</f>
        <v>Dubai&gt;Bur Dubai&gt;Al Kifaf</v>
      </c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</row>
    <row r="5022" spans="1:26" ht="16.5" x14ac:dyDescent="0.35">
      <c r="A5022" s="2" t="str">
        <f ca="1">IFERROR(__xludf.DUMMYFUNCTION("""COMPUTED_VALUE"""),"Dubai")</f>
        <v>Dubai</v>
      </c>
      <c r="B5022" s="2" t="str">
        <f ca="1">IFERROR(__xludf.DUMMYFUNCTION("""COMPUTED_VALUE"""),"Umm Hurair 1")</f>
        <v>Umm Hurair 1</v>
      </c>
      <c r="C5022" s="2" t="str">
        <f ca="1">IFERROR(__xludf.DUMMYFUNCTION("""COMPUTED_VALUE"""),"Neighbourhood")</f>
        <v>Neighbourhood</v>
      </c>
      <c r="D5022" s="2" t="str">
        <f ca="1">IFERROR(__xludf.DUMMYFUNCTION("""COMPUTED_VALUE"""),"Dubai&gt;Bur Dubai&gt;Umm Hurair&gt;Umm Hurair 1")</f>
        <v>Dubai&gt;Bur Dubai&gt;Umm Hurair&gt;Umm Hurair 1</v>
      </c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</row>
    <row r="5023" spans="1:26" ht="16.5" x14ac:dyDescent="0.35">
      <c r="A5023" s="2" t="str">
        <f ca="1">IFERROR(__xludf.DUMMYFUNCTION("""COMPUTED_VALUE"""),"Dubai")</f>
        <v>Dubai</v>
      </c>
      <c r="B5023" s="2" t="str">
        <f ca="1">IFERROR(__xludf.DUMMYFUNCTION("""COMPUTED_VALUE"""),"Rivoli Building")</f>
        <v>Rivoli Building</v>
      </c>
      <c r="C5023" s="2" t="str">
        <f ca="1">IFERROR(__xludf.DUMMYFUNCTION("""COMPUTED_VALUE"""),"Building")</f>
        <v>Building</v>
      </c>
      <c r="D5023" s="2" t="str">
        <f ca="1">IFERROR(__xludf.DUMMYFUNCTION("""COMPUTED_VALUE"""),"Dubai&gt;Bur Dubai&gt;Al Souk Al Kabeer (Al Fahidi)&gt;Rivoli Building")</f>
        <v>Dubai&gt;Bur Dubai&gt;Al Souk Al Kabeer (Al Fahidi)&gt;Rivoli Building</v>
      </c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</row>
    <row r="5024" spans="1:26" ht="16.5" x14ac:dyDescent="0.35">
      <c r="A5024" s="2" t="str">
        <f ca="1">IFERROR(__xludf.DUMMYFUNCTION("""COMPUTED_VALUE"""),"Dubai")</f>
        <v>Dubai</v>
      </c>
      <c r="B5024" s="2" t="str">
        <f ca="1">IFERROR(__xludf.DUMMYFUNCTION("""COMPUTED_VALUE"""),"Badriya Mohammed Al Khoori Building")</f>
        <v>Badriya Mohammed Al Khoori Building</v>
      </c>
      <c r="C5024" s="2" t="str">
        <f ca="1">IFERROR(__xludf.DUMMYFUNCTION("""COMPUTED_VALUE"""),"Building")</f>
        <v>Building</v>
      </c>
      <c r="D5024" s="2" t="str">
        <f ca="1">IFERROR(__xludf.DUMMYFUNCTION("""COMPUTED_VALUE"""),"Dubai&gt;Bur Dubai&gt;Al Hamriya&gt;Badriya Mohammed Al Khoori Building")</f>
        <v>Dubai&gt;Bur Dubai&gt;Al Hamriya&gt;Badriya Mohammed Al Khoori Building</v>
      </c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</row>
    <row r="5025" spans="1:26" ht="16.5" x14ac:dyDescent="0.35">
      <c r="A5025" s="2" t="str">
        <f ca="1">IFERROR(__xludf.DUMMYFUNCTION("""COMPUTED_VALUE"""),"Dubai")</f>
        <v>Dubai</v>
      </c>
      <c r="B5025" s="2" t="str">
        <f ca="1">IFERROR(__xludf.DUMMYFUNCTION("""COMPUTED_VALUE"""),"Building 41")</f>
        <v>Building 41</v>
      </c>
      <c r="C5025" s="2" t="str">
        <f ca="1">IFERROR(__xludf.DUMMYFUNCTION("""COMPUTED_VALUE"""),"Building")</f>
        <v>Building</v>
      </c>
      <c r="D5025" s="2" t="str">
        <f ca="1">IFERROR(__xludf.DUMMYFUNCTION("""COMPUTED_VALUE"""),"Dubai&gt;Bur Dubai&gt;Dubai Healthcare City&gt;Building 41")</f>
        <v>Dubai&gt;Bur Dubai&gt;Dubai Healthcare City&gt;Building 41</v>
      </c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</row>
    <row r="5026" spans="1:26" ht="16.5" x14ac:dyDescent="0.35">
      <c r="A5026" s="2" t="str">
        <f ca="1">IFERROR(__xludf.DUMMYFUNCTION("""COMPUTED_VALUE"""),"Dubai")</f>
        <v>Dubai</v>
      </c>
      <c r="B5026" s="2" t="str">
        <f ca="1">IFERROR(__xludf.DUMMYFUNCTION("""COMPUTED_VALUE"""),"Redwood Avenue")</f>
        <v>Redwood Avenue</v>
      </c>
      <c r="C5026" s="2" t="str">
        <f ca="1">IFERROR(__xludf.DUMMYFUNCTION("""COMPUTED_VALUE"""),"Neighbourhood")</f>
        <v>Neighbourhood</v>
      </c>
      <c r="D5026" s="2" t="str">
        <f ca="1">IFERROR(__xludf.DUMMYFUNCTION("""COMPUTED_VALUE"""),"Dubai&gt;Jumeirah Golf Estates&gt;Redwood Avenue")</f>
        <v>Dubai&gt;Jumeirah Golf Estates&gt;Redwood Avenue</v>
      </c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</row>
    <row r="5027" spans="1:26" ht="16.5" x14ac:dyDescent="0.35">
      <c r="A5027" s="2" t="str">
        <f ca="1">IFERROR(__xludf.DUMMYFUNCTION("""COMPUTED_VALUE"""),"Dubai")</f>
        <v>Dubai</v>
      </c>
      <c r="B5027" s="2" t="str">
        <f ca="1">IFERROR(__xludf.DUMMYFUNCTION("""COMPUTED_VALUE"""),"Palace Beach Residence")</f>
        <v>Palace Beach Residence</v>
      </c>
      <c r="C5027" s="2" t="str">
        <f ca="1">IFERROR(__xludf.DUMMYFUNCTION("""COMPUTED_VALUE"""),"Cluster")</f>
        <v>Cluster</v>
      </c>
      <c r="D5027" s="2" t="str">
        <f ca="1">IFERROR(__xludf.DUMMYFUNCTION("""COMPUTED_VALUE"""),"Dubai&gt;Dubai Harbour&gt;Emaar Beachfront&gt;Palace Beach Residence")</f>
        <v>Dubai&gt;Dubai Harbour&gt;Emaar Beachfront&gt;Palace Beach Residence</v>
      </c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</row>
    <row r="5028" spans="1:26" ht="16.5" x14ac:dyDescent="0.35">
      <c r="A5028" s="2" t="str">
        <f ca="1">IFERROR(__xludf.DUMMYFUNCTION("""COMPUTED_VALUE"""),"Dubai")</f>
        <v>Dubai</v>
      </c>
      <c r="B5028" s="2" t="str">
        <f ca="1">IFERROR(__xludf.DUMMYFUNCTION("""COMPUTED_VALUE"""),"DAMAC Bay Tower A")</f>
        <v>DAMAC Bay Tower A</v>
      </c>
      <c r="C5028" s="2" t="str">
        <f ca="1">IFERROR(__xludf.DUMMYFUNCTION("""COMPUTED_VALUE"""),"Building")</f>
        <v>Building</v>
      </c>
      <c r="D5028" s="2" t="str">
        <f ca="1">IFERROR(__xludf.DUMMYFUNCTION("""COMPUTED_VALUE"""),"Dubai&gt;Dubai Harbour&gt;DAMAC Bay by Cavalli&gt;DAMAC Bay Tower A")</f>
        <v>Dubai&gt;Dubai Harbour&gt;DAMAC Bay by Cavalli&gt;DAMAC Bay Tower A</v>
      </c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</row>
    <row r="5029" spans="1:26" ht="16.5" x14ac:dyDescent="0.35">
      <c r="A5029" s="2" t="str">
        <f ca="1">IFERROR(__xludf.DUMMYFUNCTION("""COMPUTED_VALUE"""),"Dubai")</f>
        <v>Dubai</v>
      </c>
      <c r="B5029" s="2" t="str">
        <f ca="1">IFERROR(__xludf.DUMMYFUNCTION("""COMPUTED_VALUE"""),"Viridis Residence and Hotel Apartments")</f>
        <v>Viridis Residence and Hotel Apartments</v>
      </c>
      <c r="C5029" s="2" t="str">
        <f ca="1">IFERROR(__xludf.DUMMYFUNCTION("""COMPUTED_VALUE"""),"Cluster")</f>
        <v>Cluster</v>
      </c>
      <c r="D5029" s="2" t="str">
        <f ca="1">IFERROR(__xludf.DUMMYFUNCTION("""COMPUTED_VALUE"""),"Dubai&gt;DAMAC Hills 2 (Akoya by DAMAC)&gt;Viridis Residence and Hotel Apartments")</f>
        <v>Dubai&gt;DAMAC Hills 2 (Akoya by DAMAC)&gt;Viridis Residence and Hotel Apartments</v>
      </c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</row>
    <row r="5030" spans="1:26" ht="16.5" x14ac:dyDescent="0.35">
      <c r="A5030" s="2" t="str">
        <f ca="1">IFERROR(__xludf.DUMMYFUNCTION("""COMPUTED_VALUE"""),"Dubai")</f>
        <v>Dubai</v>
      </c>
      <c r="B5030" s="2" t="str">
        <f ca="1">IFERROR(__xludf.DUMMYFUNCTION("""COMPUTED_VALUE"""),"iCademy Middle East")</f>
        <v>iCademy Middle East</v>
      </c>
      <c r="C5030" s="2" t="str">
        <f ca="1">IFERROR(__xludf.DUMMYFUNCTION("""COMPUTED_VALUE"""),"School")</f>
        <v>School</v>
      </c>
      <c r="D5030" s="2" t="str">
        <f ca="1">IFERROR(__xludf.DUMMYFUNCTION("""COMPUTED_VALUE"""),"Dubai&gt;Knowledge Village&gt;iCademy Middle East")</f>
        <v>Dubai&gt;Knowledge Village&gt;iCademy Middle East</v>
      </c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</row>
    <row r="5031" spans="1:26" ht="16.5" x14ac:dyDescent="0.35">
      <c r="A5031" s="2" t="str">
        <f ca="1">IFERROR(__xludf.DUMMYFUNCTION("""COMPUTED_VALUE"""),"Dubai")</f>
        <v>Dubai</v>
      </c>
      <c r="B5031" s="2" t="str">
        <f ca="1">IFERROR(__xludf.DUMMYFUNCTION("""COMPUTED_VALUE"""),"G-04")</f>
        <v>G-04</v>
      </c>
      <c r="C5031" s="2" t="str">
        <f ca="1">IFERROR(__xludf.DUMMYFUNCTION("""COMPUTED_VALUE"""),"Building")</f>
        <v>Building</v>
      </c>
      <c r="D5031" s="2" t="str">
        <f ca="1">IFERROR(__xludf.DUMMYFUNCTION("""COMPUTED_VALUE"""),"Dubai&gt;International City&gt;Morocco Cluster&gt;G-04")</f>
        <v>Dubai&gt;International City&gt;Morocco Cluster&gt;G-04</v>
      </c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</row>
    <row r="5032" spans="1:26" ht="16.5" x14ac:dyDescent="0.35">
      <c r="A5032" s="2" t="str">
        <f ca="1">IFERROR(__xludf.DUMMYFUNCTION("""COMPUTED_VALUE"""),"Dubai")</f>
        <v>Dubai</v>
      </c>
      <c r="B5032" s="2" t="str">
        <f ca="1">IFERROR(__xludf.DUMMYFUNCTION("""COMPUTED_VALUE"""),"A-02")</f>
        <v>A-02</v>
      </c>
      <c r="C5032" s="2" t="str">
        <f ca="1">IFERROR(__xludf.DUMMYFUNCTION("""COMPUTED_VALUE"""),"Building")</f>
        <v>Building</v>
      </c>
      <c r="D5032" s="2" t="str">
        <f ca="1">IFERROR(__xludf.DUMMYFUNCTION("""COMPUTED_VALUE"""),"Dubai&gt;International City&gt;China Cluster&gt;A-02")</f>
        <v>Dubai&gt;International City&gt;China Cluster&gt;A-02</v>
      </c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</row>
    <row r="5033" spans="1:26" ht="16.5" x14ac:dyDescent="0.35">
      <c r="A5033" s="2" t="str">
        <f ca="1">IFERROR(__xludf.DUMMYFUNCTION("""COMPUTED_VALUE"""),"Dubai")</f>
        <v>Dubai</v>
      </c>
      <c r="B5033" s="2" t="str">
        <f ca="1">IFERROR(__xludf.DUMMYFUNCTION("""COMPUTED_VALUE"""),"C-09")</f>
        <v>C-09</v>
      </c>
      <c r="C5033" s="2" t="str">
        <f ca="1">IFERROR(__xludf.DUMMYFUNCTION("""COMPUTED_VALUE"""),"Building")</f>
        <v>Building</v>
      </c>
      <c r="D5033" s="2" t="str">
        <f ca="1">IFERROR(__xludf.DUMMYFUNCTION("""COMPUTED_VALUE"""),"Dubai&gt;International City&gt;China Cluster&gt;C-09")</f>
        <v>Dubai&gt;International City&gt;China Cluster&gt;C-09</v>
      </c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</row>
    <row r="5034" spans="1:26" ht="16.5" x14ac:dyDescent="0.35">
      <c r="A5034" s="2" t="str">
        <f ca="1">IFERROR(__xludf.DUMMYFUNCTION("""COMPUTED_VALUE"""),"Dubai")</f>
        <v>Dubai</v>
      </c>
      <c r="B5034" s="2" t="str">
        <f ca="1">IFERROR(__xludf.DUMMYFUNCTION("""COMPUTED_VALUE"""),"F-15")</f>
        <v>F-15</v>
      </c>
      <c r="C5034" s="2" t="str">
        <f ca="1">IFERROR(__xludf.DUMMYFUNCTION("""COMPUTED_VALUE"""),"Building")</f>
        <v>Building</v>
      </c>
      <c r="D5034" s="2" t="str">
        <f ca="1">IFERROR(__xludf.DUMMYFUNCTION("""COMPUTED_VALUE"""),"Dubai&gt;International City&gt;China Cluster&gt;F-15")</f>
        <v>Dubai&gt;International City&gt;China Cluster&gt;F-15</v>
      </c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</row>
    <row r="5035" spans="1:26" ht="16.5" x14ac:dyDescent="0.35">
      <c r="A5035" s="2" t="str">
        <f ca="1">IFERROR(__xludf.DUMMYFUNCTION("""COMPUTED_VALUE"""),"Dubai")</f>
        <v>Dubai</v>
      </c>
      <c r="B5035" s="2" t="str">
        <f ca="1">IFERROR(__xludf.DUMMYFUNCTION("""COMPUTED_VALUE"""),"S-21")</f>
        <v>S-21</v>
      </c>
      <c r="C5035" s="2" t="str">
        <f ca="1">IFERROR(__xludf.DUMMYFUNCTION("""COMPUTED_VALUE"""),"Building")</f>
        <v>Building</v>
      </c>
      <c r="D5035" s="2" t="str">
        <f ca="1">IFERROR(__xludf.DUMMYFUNCTION("""COMPUTED_VALUE"""),"Dubai&gt;International City&gt;Spain Cluster&gt;S-21")</f>
        <v>Dubai&gt;International City&gt;Spain Cluster&gt;S-21</v>
      </c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</row>
    <row r="5036" spans="1:26" ht="16.5" x14ac:dyDescent="0.35">
      <c r="A5036" s="2" t="str">
        <f ca="1">IFERROR(__xludf.DUMMYFUNCTION("""COMPUTED_VALUE"""),"Dubai")</f>
        <v>Dubai</v>
      </c>
      <c r="B5036" s="2" t="str">
        <f ca="1">IFERROR(__xludf.DUMMYFUNCTION("""COMPUTED_VALUE"""),"U-12")</f>
        <v>U-12</v>
      </c>
      <c r="C5036" s="2" t="str">
        <f ca="1">IFERROR(__xludf.DUMMYFUNCTION("""COMPUTED_VALUE"""),"Building")</f>
        <v>Building</v>
      </c>
      <c r="D5036" s="2" t="str">
        <f ca="1">IFERROR(__xludf.DUMMYFUNCTION("""COMPUTED_VALUE"""),"Dubai&gt;International City&gt;Italy Cluster&gt;U-12")</f>
        <v>Dubai&gt;International City&gt;Italy Cluster&gt;U-12</v>
      </c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</row>
    <row r="5037" spans="1:26" ht="16.5" x14ac:dyDescent="0.35">
      <c r="A5037" s="2" t="str">
        <f ca="1">IFERROR(__xludf.DUMMYFUNCTION("""COMPUTED_VALUE"""),"Dubai")</f>
        <v>Dubai</v>
      </c>
      <c r="B5037" s="2" t="str">
        <f ca="1">IFERROR(__xludf.DUMMYFUNCTION("""COMPUTED_VALUE"""),"V-18")</f>
        <v>V-18</v>
      </c>
      <c r="C5037" s="2" t="str">
        <f ca="1">IFERROR(__xludf.DUMMYFUNCTION("""COMPUTED_VALUE"""),"Building")</f>
        <v>Building</v>
      </c>
      <c r="D5037" s="2" t="str">
        <f ca="1">IFERROR(__xludf.DUMMYFUNCTION("""COMPUTED_VALUE"""),"Dubai&gt;International City&gt;Russia Cluster&gt;V-18")</f>
        <v>Dubai&gt;International City&gt;Russia Cluster&gt;V-18</v>
      </c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</row>
    <row r="5038" spans="1:26" ht="16.5" x14ac:dyDescent="0.35">
      <c r="A5038" s="2" t="str">
        <f ca="1">IFERROR(__xludf.DUMMYFUNCTION("""COMPUTED_VALUE"""),"Dubai")</f>
        <v>Dubai</v>
      </c>
      <c r="B5038" s="2" t="str">
        <f ca="1">IFERROR(__xludf.DUMMYFUNCTION("""COMPUTED_VALUE"""),"M-02")</f>
        <v>M-02</v>
      </c>
      <c r="C5038" s="2" t="str">
        <f ca="1">IFERROR(__xludf.DUMMYFUNCTION("""COMPUTED_VALUE"""),"Building")</f>
        <v>Building</v>
      </c>
      <c r="D5038" s="2" t="str">
        <f ca="1">IFERROR(__xludf.DUMMYFUNCTION("""COMPUTED_VALUE"""),"Dubai&gt;International City&gt;Persia Cluster&gt;M-02")</f>
        <v>Dubai&gt;International City&gt;Persia Cluster&gt;M-02</v>
      </c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</row>
    <row r="5039" spans="1:26" ht="16.5" x14ac:dyDescent="0.35">
      <c r="A5039" s="2" t="str">
        <f ca="1">IFERROR(__xludf.DUMMYFUNCTION("""COMPUTED_VALUE"""),"Dubai")</f>
        <v>Dubai</v>
      </c>
      <c r="B5039" s="2" t="str">
        <f ca="1">IFERROR(__xludf.DUMMYFUNCTION("""COMPUTED_VALUE"""),"EMR-19")</f>
        <v>EMR-19</v>
      </c>
      <c r="C5039" s="2" t="str">
        <f ca="1">IFERROR(__xludf.DUMMYFUNCTION("""COMPUTED_VALUE"""),"Building")</f>
        <v>Building</v>
      </c>
      <c r="D5039" s="2" t="str">
        <f ca="1">IFERROR(__xludf.DUMMYFUNCTION("""COMPUTED_VALUE"""),"Dubai&gt;International City&gt;Emirates Cluster&gt;EMR-19")</f>
        <v>Dubai&gt;International City&gt;Emirates Cluster&gt;EMR-19</v>
      </c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</row>
    <row r="5040" spans="1:26" ht="16.5" x14ac:dyDescent="0.35">
      <c r="A5040" s="2" t="str">
        <f ca="1">IFERROR(__xludf.DUMMYFUNCTION("""COMPUTED_VALUE"""),"Dubai")</f>
        <v>Dubai</v>
      </c>
      <c r="B5040" s="2" t="str">
        <f ca="1">IFERROR(__xludf.DUMMYFUNCTION("""COMPUTED_VALUE"""),"X-16")</f>
        <v>X-16</v>
      </c>
      <c r="C5040" s="2" t="str">
        <f ca="1">IFERROR(__xludf.DUMMYFUNCTION("""COMPUTED_VALUE"""),"Building")</f>
        <v>Building</v>
      </c>
      <c r="D5040" s="2" t="str">
        <f ca="1">IFERROR(__xludf.DUMMYFUNCTION("""COMPUTED_VALUE"""),"Dubai&gt;International City&gt;England Cluster&gt;X-16")</f>
        <v>Dubai&gt;International City&gt;England Cluster&gt;X-16</v>
      </c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</row>
    <row r="5041" spans="1:26" ht="16.5" x14ac:dyDescent="0.35">
      <c r="A5041" s="2" t="str">
        <f ca="1">IFERROR(__xludf.DUMMYFUNCTION("""COMPUTED_VALUE"""),"Dubai")</f>
        <v>Dubai</v>
      </c>
      <c r="B5041" s="2" t="str">
        <f ca="1">IFERROR(__xludf.DUMMYFUNCTION("""COMPUTED_VALUE"""),"Y-22")</f>
        <v>Y-22</v>
      </c>
      <c r="C5041" s="2" t="str">
        <f ca="1">IFERROR(__xludf.DUMMYFUNCTION("""COMPUTED_VALUE"""),"Building")</f>
        <v>Building</v>
      </c>
      <c r="D5041" s="2" t="str">
        <f ca="1">IFERROR(__xludf.DUMMYFUNCTION("""COMPUTED_VALUE"""),"Dubai&gt;International City&gt;England Cluster&gt;Y-22")</f>
        <v>Dubai&gt;International City&gt;England Cluster&gt;Y-22</v>
      </c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</row>
    <row r="5042" spans="1:26" ht="16.5" x14ac:dyDescent="0.35">
      <c r="A5042" s="2" t="str">
        <f ca="1">IFERROR(__xludf.DUMMYFUNCTION("""COMPUTED_VALUE"""),"Dubai")</f>
        <v>Dubai</v>
      </c>
      <c r="B5042" s="2" t="str">
        <f ca="1">IFERROR(__xludf.DUMMYFUNCTION("""COMPUTED_VALUE"""),"R05 Building")</f>
        <v>R05 Building</v>
      </c>
      <c r="C5042" s="2" t="str">
        <f ca="1">IFERROR(__xludf.DUMMYFUNCTION("""COMPUTED_VALUE"""),"Building")</f>
        <v>Building</v>
      </c>
      <c r="D5042" s="2" t="str">
        <f ca="1">IFERROR(__xludf.DUMMYFUNCTION("""COMPUTED_VALUE"""),"Dubai&gt;International City&gt;International City Phase 2 (Warsan 4)&gt;R05 Building")</f>
        <v>Dubai&gt;International City&gt;International City Phase 2 (Warsan 4)&gt;R05 Building</v>
      </c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</row>
    <row r="5043" spans="1:26" ht="16.5" x14ac:dyDescent="0.35">
      <c r="A5043" s="2" t="str">
        <f ca="1">IFERROR(__xludf.DUMMYFUNCTION("""COMPUTED_VALUE"""),"Dubai")</f>
        <v>Dubai</v>
      </c>
      <c r="B5043" s="2" t="str">
        <f ca="1">IFERROR(__xludf.DUMMYFUNCTION("""COMPUTED_VALUE"""),"Modelux Tower 1")</f>
        <v>Modelux Tower 1</v>
      </c>
      <c r="C5043" s="2" t="str">
        <f ca="1">IFERROR(__xludf.DUMMYFUNCTION("""COMPUTED_VALUE"""),"Building")</f>
        <v>Building</v>
      </c>
      <c r="D5043" s="2" t="str">
        <f ca="1">IFERROR(__xludf.DUMMYFUNCTION("""COMPUTED_VALUE"""),"Dubai&gt;International City&gt;International City Phase 2 (Warsan 4)&gt;Modelux Tower 1")</f>
        <v>Dubai&gt;International City&gt;International City Phase 2 (Warsan 4)&gt;Modelux Tower 1</v>
      </c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</row>
    <row r="5044" spans="1:26" ht="16.5" x14ac:dyDescent="0.35">
      <c r="A5044" s="2" t="str">
        <f ca="1">IFERROR(__xludf.DUMMYFUNCTION("""COMPUTED_VALUE"""),"Dubai")</f>
        <v>Dubai</v>
      </c>
      <c r="B5044" s="2" t="str">
        <f ca="1">IFERROR(__xludf.DUMMYFUNCTION("""COMPUTED_VALUE"""),"MS Zeest Building")</f>
        <v>MS Zeest Building</v>
      </c>
      <c r="C5044" s="2" t="str">
        <f ca="1">IFERROR(__xludf.DUMMYFUNCTION("""COMPUTED_VALUE"""),"Building")</f>
        <v>Building</v>
      </c>
      <c r="D5044" s="2" t="str">
        <f ca="1">IFERROR(__xludf.DUMMYFUNCTION("""COMPUTED_VALUE"""),"Dubai&gt;International City&gt;International City Phase 2 (Warsan 4)&gt;MS Zeest Building")</f>
        <v>Dubai&gt;International City&gt;International City Phase 2 (Warsan 4)&gt;MS Zeest Building</v>
      </c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</row>
    <row r="5045" spans="1:26" ht="16.5" x14ac:dyDescent="0.35">
      <c r="A5045" s="2" t="str">
        <f ca="1">IFERROR(__xludf.DUMMYFUNCTION("""COMPUTED_VALUE"""),"Dubai")</f>
        <v>Dubai</v>
      </c>
      <c r="B5045" s="2" t="str">
        <f ca="1">IFERROR(__xludf.DUMMYFUNCTION("""COMPUTED_VALUE"""),"KHK 24 Building")</f>
        <v>KHK 24 Building</v>
      </c>
      <c r="C5045" s="2" t="str">
        <f ca="1">IFERROR(__xludf.DUMMYFUNCTION("""COMPUTED_VALUE"""),"Building")</f>
        <v>Building</v>
      </c>
      <c r="D5045" s="2" t="str">
        <f ca="1">IFERROR(__xludf.DUMMYFUNCTION("""COMPUTED_VALUE"""),"Dubai&gt;International City&gt;International City Phase 2 (Warsan 4)&gt;KHK 24 Building")</f>
        <v>Dubai&gt;International City&gt;International City Phase 2 (Warsan 4)&gt;KHK 24 Building</v>
      </c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</row>
    <row r="5046" spans="1:26" ht="16.5" x14ac:dyDescent="0.35">
      <c r="A5046" s="2" t="str">
        <f ca="1">IFERROR(__xludf.DUMMYFUNCTION("""COMPUTED_VALUE"""),"Dubai")</f>
        <v>Dubai</v>
      </c>
      <c r="B5046" s="2" t="str">
        <f ca="1">IFERROR(__xludf.DUMMYFUNCTION("""COMPUTED_VALUE"""),"Sports View Residence 2")</f>
        <v>Sports View Residence 2</v>
      </c>
      <c r="C5046" s="2" t="str">
        <f ca="1">IFERROR(__xludf.DUMMYFUNCTION("""COMPUTED_VALUE"""),"Building")</f>
        <v>Building</v>
      </c>
      <c r="D5046" s="2" t="str">
        <f ca="1">IFERROR(__xludf.DUMMYFUNCTION("""COMPUTED_VALUE"""),"Dubai&gt;International City&gt;International City Phase 2 (Warsan 4)&gt;Sports View Residence 2")</f>
        <v>Dubai&gt;International City&gt;International City Phase 2 (Warsan 4)&gt;Sports View Residence 2</v>
      </c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</row>
    <row r="5047" spans="1:26" ht="16.5" x14ac:dyDescent="0.35">
      <c r="A5047" s="2" t="str">
        <f ca="1">IFERROR(__xludf.DUMMYFUNCTION("""COMPUTED_VALUE"""),"Dubai")</f>
        <v>Dubai</v>
      </c>
      <c r="B5047" s="2" t="str">
        <f ca="1">IFERROR(__xludf.DUMMYFUNCTION("""COMPUTED_VALUE"""),"France Cluster")</f>
        <v>France Cluster</v>
      </c>
      <c r="C5047" s="2" t="str">
        <f ca="1">IFERROR(__xludf.DUMMYFUNCTION("""COMPUTED_VALUE"""),"Neighbourhood")</f>
        <v>Neighbourhood</v>
      </c>
      <c r="D5047" s="2" t="str">
        <f ca="1">IFERROR(__xludf.DUMMYFUNCTION("""COMPUTED_VALUE"""),"Dubai&gt;International City&gt;France Cluster")</f>
        <v>Dubai&gt;International City&gt;France Cluster</v>
      </c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</row>
    <row r="5048" spans="1:26" ht="16.5" x14ac:dyDescent="0.35">
      <c r="A5048" s="2" t="str">
        <f ca="1">IFERROR(__xludf.DUMMYFUNCTION("""COMPUTED_VALUE"""),"Dubai")</f>
        <v>Dubai</v>
      </c>
      <c r="B5048" s="2" t="str">
        <f ca="1">IFERROR(__xludf.DUMMYFUNCTION("""COMPUTED_VALUE"""),"P-28")</f>
        <v>P-28</v>
      </c>
      <c r="C5048" s="2" t="str">
        <f ca="1">IFERROR(__xludf.DUMMYFUNCTION("""COMPUTED_VALUE"""),"Building")</f>
        <v>Building</v>
      </c>
      <c r="D5048" s="2" t="str">
        <f ca="1">IFERROR(__xludf.DUMMYFUNCTION("""COMPUTED_VALUE"""),"Dubai&gt;International City&gt;France Cluster&gt;P-28")</f>
        <v>Dubai&gt;International City&gt;France Cluster&gt;P-28</v>
      </c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</row>
    <row r="5049" spans="1:26" ht="16.5" x14ac:dyDescent="0.35">
      <c r="A5049" s="2" t="str">
        <f ca="1">IFERROR(__xludf.DUMMYFUNCTION("""COMPUTED_VALUE"""),"Dubai")</f>
        <v>Dubai</v>
      </c>
      <c r="B5049" s="2" t="str">
        <f ca="1">IFERROR(__xludf.DUMMYFUNCTION("""COMPUTED_VALUE"""),"Orbit Residences by Jewel")</f>
        <v>Orbit Residences by Jewel</v>
      </c>
      <c r="C5049" s="2" t="str">
        <f ca="1">IFERROR(__xludf.DUMMYFUNCTION("""COMPUTED_VALUE"""),"Building")</f>
        <v>Building</v>
      </c>
      <c r="D5049" s="2" t="str">
        <f ca="1">IFERROR(__xludf.DUMMYFUNCTION("""COMPUTED_VALUE"""),"Dubai&gt;International City&gt;France Cluster&gt;Orbit Residences by Jewel")</f>
        <v>Dubai&gt;International City&gt;France Cluster&gt;Orbit Residences by Jewel</v>
      </c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</row>
    <row r="5050" spans="1:26" ht="16.5" x14ac:dyDescent="0.35">
      <c r="A5050" s="2" t="str">
        <f ca="1">IFERROR(__xludf.DUMMYFUNCTION("""COMPUTED_VALUE"""),"Dubai")</f>
        <v>Dubai</v>
      </c>
      <c r="B5050" s="2" t="str">
        <f ca="1">IFERROR(__xludf.DUMMYFUNCTION("""COMPUTED_VALUE"""),"Trafalgar Executive")</f>
        <v>Trafalgar Executive</v>
      </c>
      <c r="C5050" s="2" t="str">
        <f ca="1">IFERROR(__xludf.DUMMYFUNCTION("""COMPUTED_VALUE"""),"Building")</f>
        <v>Building</v>
      </c>
      <c r="D5050" s="2" t="str">
        <f ca="1">IFERROR(__xludf.DUMMYFUNCTION("""COMPUTED_VALUE"""),"Dubai&gt;International City&gt;Central Business District&gt;Trafalgar Executive")</f>
        <v>Dubai&gt;International City&gt;Central Business District&gt;Trafalgar Executive</v>
      </c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</row>
    <row r="5051" spans="1:26" ht="16.5" x14ac:dyDescent="0.35">
      <c r="A5051" s="2" t="str">
        <f ca="1">IFERROR(__xludf.DUMMYFUNCTION("""COMPUTED_VALUE"""),"Dubai")</f>
        <v>Dubai</v>
      </c>
      <c r="B5051" s="2" t="str">
        <f ca="1">IFERROR(__xludf.DUMMYFUNCTION("""COMPUTED_VALUE"""),"Hassani 25 Building")</f>
        <v>Hassani 25 Building</v>
      </c>
      <c r="C5051" s="2" t="str">
        <f ca="1">IFERROR(__xludf.DUMMYFUNCTION("""COMPUTED_VALUE"""),"Building")</f>
        <v>Building</v>
      </c>
      <c r="D5051" s="2" t="str">
        <f ca="1">IFERROR(__xludf.DUMMYFUNCTION("""COMPUTED_VALUE"""),"Dubai&gt;International City&gt;Hassani 25 Building")</f>
        <v>Dubai&gt;International City&gt;Hassani 25 Building</v>
      </c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</row>
    <row r="5052" spans="1:26" ht="16.5" x14ac:dyDescent="0.35">
      <c r="A5052" s="2" t="str">
        <f ca="1">IFERROR(__xludf.DUMMYFUNCTION("""COMPUTED_VALUE"""),"Dubai")</f>
        <v>Dubai</v>
      </c>
      <c r="B5052" s="2" t="str">
        <f ca="1">IFERROR(__xludf.DUMMYFUNCTION("""COMPUTED_VALUE"""),"DAMAC Heights")</f>
        <v>DAMAC Heights</v>
      </c>
      <c r="C5052" s="2" t="str">
        <f ca="1">IFERROR(__xludf.DUMMYFUNCTION("""COMPUTED_VALUE"""),"Building")</f>
        <v>Building</v>
      </c>
      <c r="D5052" s="2" t="str">
        <f ca="1">IFERROR(__xludf.DUMMYFUNCTION("""COMPUTED_VALUE"""),"Dubai&gt;Dubai Marina&gt;DAMAC Heights")</f>
        <v>Dubai&gt;Dubai Marina&gt;DAMAC Heights</v>
      </c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</row>
    <row r="5053" spans="1:26" ht="16.5" x14ac:dyDescent="0.35">
      <c r="A5053" s="2" t="str">
        <f ca="1">IFERROR(__xludf.DUMMYFUNCTION("""COMPUTED_VALUE"""),"Dubai")</f>
        <v>Dubai</v>
      </c>
      <c r="B5053" s="2" t="str">
        <f ca="1">IFERROR(__xludf.DUMMYFUNCTION("""COMPUTED_VALUE"""),"Bay Central (Central Tower)")</f>
        <v>Bay Central (Central Tower)</v>
      </c>
      <c r="C5053" s="2" t="str">
        <f ca="1">IFERROR(__xludf.DUMMYFUNCTION("""COMPUTED_VALUE"""),"Building")</f>
        <v>Building</v>
      </c>
      <c r="D5053" s="2" t="str">
        <f ca="1">IFERROR(__xludf.DUMMYFUNCTION("""COMPUTED_VALUE"""),"Dubai&gt;Dubai Marina&gt;Bay Central&gt;Bay Central (Central Tower)")</f>
        <v>Dubai&gt;Dubai Marina&gt;Bay Central&gt;Bay Central (Central Tower)</v>
      </c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</row>
    <row r="5054" spans="1:26" ht="16.5" x14ac:dyDescent="0.35">
      <c r="A5054" s="2" t="str">
        <f ca="1">IFERROR(__xludf.DUMMYFUNCTION("""COMPUTED_VALUE"""),"Dubai")</f>
        <v>Dubai</v>
      </c>
      <c r="B5054" s="2" t="str">
        <f ca="1">IFERROR(__xludf.DUMMYFUNCTION("""COMPUTED_VALUE"""),"Marina Opal Tower")</f>
        <v>Marina Opal Tower</v>
      </c>
      <c r="C5054" s="2" t="str">
        <f ca="1">IFERROR(__xludf.DUMMYFUNCTION("""COMPUTED_VALUE"""),"Building")</f>
        <v>Building</v>
      </c>
      <c r="D5054" s="2" t="str">
        <f ca="1">IFERROR(__xludf.DUMMYFUNCTION("""COMPUTED_VALUE"""),"Dubai&gt;Dubai Marina&gt;Marina Opal Tower")</f>
        <v>Dubai&gt;Dubai Marina&gt;Marina Opal Tower</v>
      </c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</row>
    <row r="5055" spans="1:26" ht="16.5" x14ac:dyDescent="0.35">
      <c r="A5055" s="2" t="str">
        <f ca="1">IFERROR(__xludf.DUMMYFUNCTION("""COMPUTED_VALUE"""),"Dubai")</f>
        <v>Dubai</v>
      </c>
      <c r="B5055" s="2" t="str">
        <f ca="1">IFERROR(__xludf.DUMMYFUNCTION("""COMPUTED_VALUE"""),"Beauport")</f>
        <v>Beauport</v>
      </c>
      <c r="C5055" s="2" t="str">
        <f ca="1">IFERROR(__xludf.DUMMYFUNCTION("""COMPUTED_VALUE"""),"Building")</f>
        <v>Building</v>
      </c>
      <c r="D5055" s="2" t="str">
        <f ca="1">IFERROR(__xludf.DUMMYFUNCTION("""COMPUTED_VALUE"""),"Dubai&gt;Dubai Marina&gt;Marina Promenade&gt;Beauport")</f>
        <v>Dubai&gt;Dubai Marina&gt;Marina Promenade&gt;Beauport</v>
      </c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</row>
    <row r="5056" spans="1:26" ht="16.5" x14ac:dyDescent="0.35">
      <c r="A5056" s="2" t="str">
        <f ca="1">IFERROR(__xludf.DUMMYFUNCTION("""COMPUTED_VALUE"""),"Dubai")</f>
        <v>Dubai</v>
      </c>
      <c r="B5056" s="2" t="str">
        <f ca="1">IFERROR(__xludf.DUMMYFUNCTION("""COMPUTED_VALUE"""),"Time Place")</f>
        <v>Time Place</v>
      </c>
      <c r="C5056" s="2" t="str">
        <f ca="1">IFERROR(__xludf.DUMMYFUNCTION("""COMPUTED_VALUE"""),"Building")</f>
        <v>Building</v>
      </c>
      <c r="D5056" s="2" t="str">
        <f ca="1">IFERROR(__xludf.DUMMYFUNCTION("""COMPUTED_VALUE"""),"Dubai&gt;Dubai Marina&gt;Time Place")</f>
        <v>Dubai&gt;Dubai Marina&gt;Time Place</v>
      </c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</row>
    <row r="5057" spans="1:26" ht="16.5" x14ac:dyDescent="0.35">
      <c r="A5057" s="2" t="str">
        <f ca="1">IFERROR(__xludf.DUMMYFUNCTION("""COMPUTED_VALUE"""),"Dubai")</f>
        <v>Dubai</v>
      </c>
      <c r="B5057" s="2" t="str">
        <f ca="1">IFERROR(__xludf.DUMMYFUNCTION("""COMPUTED_VALUE"""),"The Jewel Tower B")</f>
        <v>The Jewel Tower B</v>
      </c>
      <c r="C5057" s="2" t="str">
        <f ca="1">IFERROR(__xludf.DUMMYFUNCTION("""COMPUTED_VALUE"""),"Building")</f>
        <v>Building</v>
      </c>
      <c r="D5057" s="2" t="str">
        <f ca="1">IFERROR(__xludf.DUMMYFUNCTION("""COMPUTED_VALUE"""),"Dubai&gt;Dubai Marina&gt;The Jewels&gt;The Jewel Tower B")</f>
        <v>Dubai&gt;Dubai Marina&gt;The Jewels&gt;The Jewel Tower B</v>
      </c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</row>
    <row r="5058" spans="1:26" ht="16.5" x14ac:dyDescent="0.35">
      <c r="A5058" s="2" t="str">
        <f ca="1">IFERROR(__xludf.DUMMYFUNCTION("""COMPUTED_VALUE"""),"Dubai")</f>
        <v>Dubai</v>
      </c>
      <c r="B5058" s="2" t="str">
        <f ca="1">IFERROR(__xludf.DUMMYFUNCTION("""COMPUTED_VALUE"""),"The Residences Al Habtoor Grand")</f>
        <v>The Residences Al Habtoor Grand</v>
      </c>
      <c r="C5058" s="2" t="str">
        <f ca="1">IFERROR(__xludf.DUMMYFUNCTION("""COMPUTED_VALUE"""),"Building")</f>
        <v>Building</v>
      </c>
      <c r="D5058" s="2" t="str">
        <f ca="1">IFERROR(__xludf.DUMMYFUNCTION("""COMPUTED_VALUE"""),"Dubai&gt;Dubai Marina&gt;The Residences Al Habtoor Grand")</f>
        <v>Dubai&gt;Dubai Marina&gt;The Residences Al Habtoor Grand</v>
      </c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</row>
    <row r="5059" spans="1:26" ht="16.5" x14ac:dyDescent="0.35">
      <c r="A5059" s="2" t="str">
        <f ca="1">IFERROR(__xludf.DUMMYFUNCTION("""COMPUTED_VALUE"""),"Dubai")</f>
        <v>Dubai</v>
      </c>
      <c r="B5059" s="2" t="str">
        <f ca="1">IFERROR(__xludf.DUMMYFUNCTION("""COMPUTED_VALUE"""),"Zahra Breeze Apartments 3A")</f>
        <v>Zahra Breeze Apartments 3A</v>
      </c>
      <c r="C5059" s="2" t="str">
        <f ca="1">IFERROR(__xludf.DUMMYFUNCTION("""COMPUTED_VALUE"""),"Building")</f>
        <v>Building</v>
      </c>
      <c r="D5059" s="2" t="str">
        <f ca="1">IFERROR(__xludf.DUMMYFUNCTION("""COMPUTED_VALUE"""),"Dubai&gt;Town Square&gt;Zahra Breeze Apartments&gt;Zahra Breeze Apartments 3A")</f>
        <v>Dubai&gt;Town Square&gt;Zahra Breeze Apartments&gt;Zahra Breeze Apartments 3A</v>
      </c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</row>
    <row r="5060" spans="1:26" ht="16.5" x14ac:dyDescent="0.35">
      <c r="A5060" s="2" t="str">
        <f ca="1">IFERROR(__xludf.DUMMYFUNCTION("""COMPUTED_VALUE"""),"Dubai")</f>
        <v>Dubai</v>
      </c>
      <c r="B5060" s="2" t="str">
        <f ca="1">IFERROR(__xludf.DUMMYFUNCTION("""COMPUTED_VALUE"""),"Al Qudra Buildings")</f>
        <v>Al Qudra Buildings</v>
      </c>
      <c r="C5060" s="2" t="str">
        <f ca="1">IFERROR(__xludf.DUMMYFUNCTION("""COMPUTED_VALUE"""),"Cluster")</f>
        <v>Cluster</v>
      </c>
      <c r="D5060" s="2" t="str">
        <f ca="1">IFERROR(__xludf.DUMMYFUNCTION("""COMPUTED_VALUE"""),"Dubai&gt;Town Square&gt;Al Qudra Buildings")</f>
        <v>Dubai&gt;Town Square&gt;Al Qudra Buildings</v>
      </c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</row>
    <row r="5061" spans="1:26" ht="16.5" x14ac:dyDescent="0.35">
      <c r="A5061" s="2" t="str">
        <f ca="1">IFERROR(__xludf.DUMMYFUNCTION("""COMPUTED_VALUE"""),"Dubai")</f>
        <v>Dubai</v>
      </c>
      <c r="B5061" s="2" t="str">
        <f ca="1">IFERROR(__xludf.DUMMYFUNCTION("""COMPUTED_VALUE"""),"Reem")</f>
        <v>Reem</v>
      </c>
      <c r="C5061" s="2" t="str">
        <f ca="1">IFERROR(__xludf.DUMMYFUNCTION("""COMPUTED_VALUE"""),"Neighbourhood")</f>
        <v>Neighbourhood</v>
      </c>
      <c r="D5061" s="2" t="str">
        <f ca="1">IFERROR(__xludf.DUMMYFUNCTION("""COMPUTED_VALUE"""),"Dubai&gt;Reem")</f>
        <v>Dubai&gt;Reem</v>
      </c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</row>
    <row r="5062" spans="1:26" ht="16.5" x14ac:dyDescent="0.35">
      <c r="A5062" s="2" t="str">
        <f ca="1">IFERROR(__xludf.DUMMYFUNCTION("""COMPUTED_VALUE"""),"Dubai")</f>
        <v>Dubai</v>
      </c>
      <c r="B5062" s="2" t="str">
        <f ca="1">IFERROR(__xludf.DUMMYFUNCTION("""COMPUTED_VALUE"""),"East 40")</f>
        <v>East 40</v>
      </c>
      <c r="C5062" s="2" t="str">
        <f ca="1">IFERROR(__xludf.DUMMYFUNCTION("""COMPUTED_VALUE"""),"Building")</f>
        <v>Building</v>
      </c>
      <c r="D5062" s="2" t="str">
        <f ca="1">IFERROR(__xludf.DUMMYFUNCTION("""COMPUTED_VALUE"""),"Dubai&gt;Al Furjan&gt;East 40")</f>
        <v>Dubai&gt;Al Furjan&gt;East 40</v>
      </c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</row>
    <row r="5063" spans="1:26" ht="16.5" x14ac:dyDescent="0.35">
      <c r="A5063" s="2" t="str">
        <f ca="1">IFERROR(__xludf.DUMMYFUNCTION("""COMPUTED_VALUE"""),"Dubai")</f>
        <v>Dubai</v>
      </c>
      <c r="B5063" s="2" t="str">
        <f ca="1">IFERROR(__xludf.DUMMYFUNCTION("""COMPUTED_VALUE"""),"Azizi Roy Mediterranean")</f>
        <v>Azizi Roy Mediterranean</v>
      </c>
      <c r="C5063" s="2" t="str">
        <f ca="1">IFERROR(__xludf.DUMMYFUNCTION("""COMPUTED_VALUE"""),"Building")</f>
        <v>Building</v>
      </c>
      <c r="D5063" s="2" t="str">
        <f ca="1">IFERROR(__xludf.DUMMYFUNCTION("""COMPUTED_VALUE"""),"Dubai&gt;Al Furjan&gt;Azizi Roy Mediterranean")</f>
        <v>Dubai&gt;Al Furjan&gt;Azizi Roy Mediterranean</v>
      </c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</row>
    <row r="5064" spans="1:26" ht="16.5" x14ac:dyDescent="0.35">
      <c r="A5064" s="2" t="str">
        <f ca="1">IFERROR(__xludf.DUMMYFUNCTION("""COMPUTED_VALUE"""),"Dubai")</f>
        <v>Dubai</v>
      </c>
      <c r="B5064" s="2" t="str">
        <f ca="1">IFERROR(__xludf.DUMMYFUNCTION("""COMPUTED_VALUE"""),"Amalia Residences")</f>
        <v>Amalia Residences</v>
      </c>
      <c r="C5064" s="2" t="str">
        <f ca="1">IFERROR(__xludf.DUMMYFUNCTION("""COMPUTED_VALUE"""),"Building")</f>
        <v>Building</v>
      </c>
      <c r="D5064" s="2" t="str">
        <f ca="1">IFERROR(__xludf.DUMMYFUNCTION("""COMPUTED_VALUE"""),"Dubai&gt;Al Furjan&gt;Amalia Residences")</f>
        <v>Dubai&gt;Al Furjan&gt;Amalia Residences</v>
      </c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</row>
    <row r="5065" spans="1:26" ht="16.5" x14ac:dyDescent="0.35">
      <c r="A5065" s="2" t="str">
        <f ca="1">IFERROR(__xludf.DUMMYFUNCTION("""COMPUTED_VALUE"""),"Dubai")</f>
        <v>Dubai</v>
      </c>
      <c r="B5065" s="2" t="str">
        <f ca="1">IFERROR(__xludf.DUMMYFUNCTION("""COMPUTED_VALUE"""),"Minati Homes 1")</f>
        <v>Minati Homes 1</v>
      </c>
      <c r="C5065" s="2" t="str">
        <f ca="1">IFERROR(__xludf.DUMMYFUNCTION("""COMPUTED_VALUE"""),"Building")</f>
        <v>Building</v>
      </c>
      <c r="D5065" s="2" t="str">
        <f ca="1">IFERROR(__xludf.DUMMYFUNCTION("""COMPUTED_VALUE"""),"Dubai&gt;Al Furjan&gt;Minati Homes 1")</f>
        <v>Dubai&gt;Al Furjan&gt;Minati Homes 1</v>
      </c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</row>
    <row r="5066" spans="1:26" ht="16.5" x14ac:dyDescent="0.35">
      <c r="A5066" s="2" t="str">
        <f ca="1">IFERROR(__xludf.DUMMYFUNCTION("""COMPUTED_VALUE"""),"Dubai")</f>
        <v>Dubai</v>
      </c>
      <c r="B5066" s="2" t="str">
        <f ca="1">IFERROR(__xludf.DUMMYFUNCTION("""COMPUTED_VALUE"""),"Bliss by Zimaya")</f>
        <v>Bliss by Zimaya</v>
      </c>
      <c r="C5066" s="2" t="str">
        <f ca="1">IFERROR(__xludf.DUMMYFUNCTION("""COMPUTED_VALUE"""),"Neighbourhood")</f>
        <v>Neighbourhood</v>
      </c>
      <c r="D5066" s="2" t="str">
        <f ca="1">IFERROR(__xludf.DUMMYFUNCTION("""COMPUTED_VALUE"""),"Dubai&gt;Al Furjan&gt;Bliss by Zimaya")</f>
        <v>Dubai&gt;Al Furjan&gt;Bliss by Zimaya</v>
      </c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</row>
    <row r="5067" spans="1:26" ht="16.5" x14ac:dyDescent="0.35">
      <c r="A5067" s="2" t="str">
        <f ca="1">IFERROR(__xludf.DUMMYFUNCTION("""COMPUTED_VALUE"""),"Dubai")</f>
        <v>Dubai</v>
      </c>
      <c r="B5067" s="2" t="str">
        <f ca="1">IFERROR(__xludf.DUMMYFUNCTION("""COMPUTED_VALUE"""),"Azizi Riviera 40")</f>
        <v>Azizi Riviera 40</v>
      </c>
      <c r="C5067" s="2" t="str">
        <f ca="1">IFERROR(__xludf.DUMMYFUNCTION("""COMPUTED_VALUE"""),"Building")</f>
        <v>Building</v>
      </c>
      <c r="D5067" s="2" t="str">
        <f ca="1">IFERROR(__xludf.DUMMYFUNCTION("""COMPUTED_VALUE"""),"Dubai&gt;Meydan City&gt;Meydan One&gt;Azizi Riviera&gt;Azizi Riviera 40")</f>
        <v>Dubai&gt;Meydan City&gt;Meydan One&gt;Azizi Riviera&gt;Azizi Riviera 40</v>
      </c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</row>
    <row r="5068" spans="1:26" ht="16.5" x14ac:dyDescent="0.35">
      <c r="A5068" s="2" t="str">
        <f ca="1">IFERROR(__xludf.DUMMYFUNCTION("""COMPUTED_VALUE"""),"Dubai")</f>
        <v>Dubai</v>
      </c>
      <c r="B5068" s="2" t="str">
        <f ca="1">IFERROR(__xludf.DUMMYFUNCTION("""COMPUTED_VALUE"""),"Riviera Beachfront Tower C")</f>
        <v>Riviera Beachfront Tower C</v>
      </c>
      <c r="C5068" s="2" t="str">
        <f ca="1">IFERROR(__xludf.DUMMYFUNCTION("""COMPUTED_VALUE"""),"Building")</f>
        <v>Building</v>
      </c>
      <c r="D5068" s="2" t="str">
        <f ca="1">IFERROR(__xludf.DUMMYFUNCTION("""COMPUTED_VALUE"""),"Dubai&gt;Meydan City&gt;Meydan One&gt;Azizi Riviera&gt;Riviera Beachfront&gt;Riviera Beachfront Tower C")</f>
        <v>Dubai&gt;Meydan City&gt;Meydan One&gt;Azizi Riviera&gt;Riviera Beachfront&gt;Riviera Beachfront Tower C</v>
      </c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</row>
    <row r="5069" spans="1:26" ht="16.5" x14ac:dyDescent="0.35">
      <c r="A5069" s="2" t="str">
        <f ca="1">IFERROR(__xludf.DUMMYFUNCTION("""COMPUTED_VALUE"""),"Dubai")</f>
        <v>Dubai</v>
      </c>
      <c r="B5069" s="2" t="str">
        <f ca="1">IFERROR(__xludf.DUMMYFUNCTION("""COMPUTED_VALUE"""),"Azizi Riviera 56")</f>
        <v>Azizi Riviera 56</v>
      </c>
      <c r="C5069" s="2" t="str">
        <f ca="1">IFERROR(__xludf.DUMMYFUNCTION("""COMPUTED_VALUE"""),"Building")</f>
        <v>Building</v>
      </c>
      <c r="D5069" s="2" t="str">
        <f ca="1">IFERROR(__xludf.DUMMYFUNCTION("""COMPUTED_VALUE"""),"Dubai&gt;Meydan City&gt;Meydan One&gt;Azizi Riviera&gt;Azizi Riviera 56")</f>
        <v>Dubai&gt;Meydan City&gt;Meydan One&gt;Azizi Riviera&gt;Azizi Riviera 56</v>
      </c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</row>
    <row r="5070" spans="1:26" ht="16.5" x14ac:dyDescent="0.35">
      <c r="A5070" s="2" t="str">
        <f ca="1">IFERROR(__xludf.DUMMYFUNCTION("""COMPUTED_VALUE"""),"Dubai")</f>
        <v>Dubai</v>
      </c>
      <c r="B5070" s="2" t="str">
        <f ca="1">IFERROR(__xludf.DUMMYFUNCTION("""COMPUTED_VALUE"""),"Polo Residence C1")</f>
        <v>Polo Residence C1</v>
      </c>
      <c r="C5070" s="2" t="str">
        <f ca="1">IFERROR(__xludf.DUMMYFUNCTION("""COMPUTED_VALUE"""),"Building")</f>
        <v>Building</v>
      </c>
      <c r="D5070" s="2" t="str">
        <f ca="1">IFERROR(__xludf.DUMMYFUNCTION("""COMPUTED_VALUE"""),"Dubai&gt;Meydan City&gt;Meydan Avenue&gt;Polo Residence&gt;Polo Residence C1")</f>
        <v>Dubai&gt;Meydan City&gt;Meydan Avenue&gt;Polo Residence&gt;Polo Residence C1</v>
      </c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</row>
    <row r="5071" spans="1:26" ht="16.5" x14ac:dyDescent="0.35">
      <c r="A5071" s="2" t="str">
        <f ca="1">IFERROR(__xludf.DUMMYFUNCTION("""COMPUTED_VALUE"""),"Dubai")</f>
        <v>Dubai</v>
      </c>
      <c r="B5071" s="2" t="str">
        <f ca="1">IFERROR(__xludf.DUMMYFUNCTION("""COMPUTED_VALUE"""),"The 100")</f>
        <v>The 100</v>
      </c>
      <c r="C5071" s="2" t="str">
        <f ca="1">IFERROR(__xludf.DUMMYFUNCTION("""COMPUTED_VALUE"""),"Building")</f>
        <v>Building</v>
      </c>
      <c r="D5071" s="2" t="str">
        <f ca="1">IFERROR(__xludf.DUMMYFUNCTION("""COMPUTED_VALUE"""),"Dubai&gt;Meydan City&gt;Meydan Avenue&gt;The 100")</f>
        <v>Dubai&gt;Meydan City&gt;Meydan Avenue&gt;The 100</v>
      </c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</row>
    <row r="5072" spans="1:26" ht="16.5" x14ac:dyDescent="0.35">
      <c r="A5072" s="2" t="str">
        <f ca="1">IFERROR(__xludf.DUMMYFUNCTION("""COMPUTED_VALUE"""),"Dubai")</f>
        <v>Dubai</v>
      </c>
      <c r="B5072" s="2" t="str">
        <f ca="1">IFERROR(__xludf.DUMMYFUNCTION("""COMPUTED_VALUE"""),"Al Ghaf 2")</f>
        <v>Al Ghaf 2</v>
      </c>
      <c r="C5072" s="2" t="str">
        <f ca="1">IFERROR(__xludf.DUMMYFUNCTION("""COMPUTED_VALUE"""),"Building")</f>
        <v>Building</v>
      </c>
      <c r="D5072" s="2" t="str">
        <f ca="1">IFERROR(__xludf.DUMMYFUNCTION("""COMPUTED_VALUE"""),"Dubai&gt;The Greens&gt;Al Ghaf&gt;Al Ghaf 2")</f>
        <v>Dubai&gt;The Greens&gt;Al Ghaf&gt;Al Ghaf 2</v>
      </c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</row>
    <row r="5073" spans="1:26" ht="16.5" x14ac:dyDescent="0.35">
      <c r="A5073" s="2" t="str">
        <f ca="1">IFERROR(__xludf.DUMMYFUNCTION("""COMPUTED_VALUE"""),"Dubai")</f>
        <v>Dubai</v>
      </c>
      <c r="B5073" s="2" t="str">
        <f ca="1">IFERROR(__xludf.DUMMYFUNCTION("""COMPUTED_VALUE"""),"Al Dhafrah 3")</f>
        <v>Al Dhafrah 3</v>
      </c>
      <c r="C5073" s="2" t="str">
        <f ca="1">IFERROR(__xludf.DUMMYFUNCTION("""COMPUTED_VALUE"""),"Building")</f>
        <v>Building</v>
      </c>
      <c r="D5073" s="2" t="str">
        <f ca="1">IFERROR(__xludf.DUMMYFUNCTION("""COMPUTED_VALUE"""),"Dubai&gt;The Greens&gt;Al Dhafrah&gt;Al Dhafrah 3")</f>
        <v>Dubai&gt;The Greens&gt;Al Dhafrah&gt;Al Dhafrah 3</v>
      </c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</row>
    <row r="5074" spans="1:26" ht="16.5" x14ac:dyDescent="0.35">
      <c r="A5074" s="2" t="str">
        <f ca="1">IFERROR(__xludf.DUMMYFUNCTION("""COMPUTED_VALUE"""),"Dubai")</f>
        <v>Dubai</v>
      </c>
      <c r="B5074" s="2" t="str">
        <f ca="1">IFERROR(__xludf.DUMMYFUNCTION("""COMPUTED_VALUE"""),"SOL Golf Views B")</f>
        <v>SOL Golf Views B</v>
      </c>
      <c r="C5074" s="2" t="str">
        <f ca="1">IFERROR(__xludf.DUMMYFUNCTION("""COMPUTED_VALUE"""),"Building")</f>
        <v>Building</v>
      </c>
      <c r="D5074" s="2" t="str">
        <f ca="1">IFERROR(__xludf.DUMMYFUNCTION("""COMPUTED_VALUE"""),"Dubai&gt;Dubai Production City (IMPZ)&gt;SOL Golf Views&gt;SOL Golf Views B")</f>
        <v>Dubai&gt;Dubai Production City (IMPZ)&gt;SOL Golf Views&gt;SOL Golf Views B</v>
      </c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</row>
    <row r="5075" spans="1:26" ht="16.5" x14ac:dyDescent="0.35">
      <c r="A5075" s="2" t="str">
        <f ca="1">IFERROR(__xludf.DUMMYFUNCTION("""COMPUTED_VALUE"""),"Dubai")</f>
        <v>Dubai</v>
      </c>
      <c r="B5075" s="2" t="str">
        <f ca="1">IFERROR(__xludf.DUMMYFUNCTION("""COMPUTED_VALUE"""),"Mesk 4")</f>
        <v>Mesk 4</v>
      </c>
      <c r="C5075" s="2" t="str">
        <f ca="1">IFERROR(__xludf.DUMMYFUNCTION("""COMPUTED_VALUE"""),"Building")</f>
        <v>Building</v>
      </c>
      <c r="D5075" s="2" t="str">
        <f ca="1">IFERROR(__xludf.DUMMYFUNCTION("""COMPUTED_VALUE"""),"Dubai&gt;Dubai Production City (IMPZ)&gt;Midtown&gt;Mesk&gt;Mesk 4")</f>
        <v>Dubai&gt;Dubai Production City (IMPZ)&gt;Midtown&gt;Mesk&gt;Mesk 4</v>
      </c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</row>
    <row r="5076" spans="1:26" ht="16.5" x14ac:dyDescent="0.35">
      <c r="A5076" s="2" t="str">
        <f ca="1">IFERROR(__xludf.DUMMYFUNCTION("""COMPUTED_VALUE"""),"Dubai")</f>
        <v>Dubai</v>
      </c>
      <c r="B5076" s="2" t="str">
        <f ca="1">IFERROR(__xludf.DUMMYFUNCTION("""COMPUTED_VALUE"""),"Sun Point Dubai A")</f>
        <v>Sun Point Dubai A</v>
      </c>
      <c r="C5076" s="2" t="str">
        <f ca="1">IFERROR(__xludf.DUMMYFUNCTION("""COMPUTED_VALUE"""),"Building")</f>
        <v>Building</v>
      </c>
      <c r="D5076" s="2" t="str">
        <f ca="1">IFERROR(__xludf.DUMMYFUNCTION("""COMPUTED_VALUE"""),"Dubai&gt;Dubai Production City (IMPZ)&gt;Sun Point Dubai&gt;Sun Point Dubai A")</f>
        <v>Dubai&gt;Dubai Production City (IMPZ)&gt;Sun Point Dubai&gt;Sun Point Dubai A</v>
      </c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</row>
    <row r="5077" spans="1:26" ht="16.5" x14ac:dyDescent="0.35">
      <c r="A5077" s="2" t="str">
        <f ca="1">IFERROR(__xludf.DUMMYFUNCTION("""COMPUTED_VALUE"""),"Dubai")</f>
        <v>Dubai</v>
      </c>
      <c r="B5077" s="2" t="str">
        <f ca="1">IFERROR(__xludf.DUMMYFUNCTION("""COMPUTED_VALUE"""),"Soul by Vision")</f>
        <v>Soul by Vision</v>
      </c>
      <c r="C5077" s="2" t="str">
        <f ca="1">IFERROR(__xludf.DUMMYFUNCTION("""COMPUTED_VALUE"""),"Building")</f>
        <v>Building</v>
      </c>
      <c r="D5077" s="2" t="str">
        <f ca="1">IFERROR(__xludf.DUMMYFUNCTION("""COMPUTED_VALUE"""),"Dubai&gt;Dubai Production City (IMPZ)&gt;Soul by Vision")</f>
        <v>Dubai&gt;Dubai Production City (IMPZ)&gt;Soul by Vision</v>
      </c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</row>
    <row r="5078" spans="1:26" ht="16.5" x14ac:dyDescent="0.35">
      <c r="A5078" s="2" t="str">
        <f ca="1">IFERROR(__xludf.DUMMYFUNCTION("""COMPUTED_VALUE"""),"Dubai")</f>
        <v>Dubai</v>
      </c>
      <c r="B5078" s="2" t="str">
        <f ca="1">IFERROR(__xludf.DUMMYFUNCTION("""COMPUTED_VALUE"""),"Saphire Mall")</f>
        <v>Saphire Mall</v>
      </c>
      <c r="C5078" s="2" t="str">
        <f ca="1">IFERROR(__xludf.DUMMYFUNCTION("""COMPUTED_VALUE"""),"Building")</f>
        <v>Building</v>
      </c>
      <c r="D5078" s="2" t="str">
        <f ca="1">IFERROR(__xludf.DUMMYFUNCTION("""COMPUTED_VALUE"""),"Dubai&gt;Dubai Industrial City&gt;Saphire Mall")</f>
        <v>Dubai&gt;Dubai Industrial City&gt;Saphire Mall</v>
      </c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</row>
    <row r="5079" spans="1:26" ht="16.5" x14ac:dyDescent="0.35">
      <c r="A5079" s="2" t="str">
        <f ca="1">IFERROR(__xludf.DUMMYFUNCTION("""COMPUTED_VALUE"""),"Dubai")</f>
        <v>Dubai</v>
      </c>
      <c r="B5079" s="2" t="str">
        <f ca="1">IFERROR(__xludf.DUMMYFUNCTION("""COMPUTED_VALUE"""),"Emirates International School, Jumeirah")</f>
        <v>Emirates International School, Jumeirah</v>
      </c>
      <c r="C5079" s="2" t="str">
        <f ca="1">IFERROR(__xludf.DUMMYFUNCTION("""COMPUTED_VALUE"""),"School")</f>
        <v>School</v>
      </c>
      <c r="D5079" s="2" t="str">
        <f ca="1">IFERROR(__xludf.DUMMYFUNCTION("""COMPUTED_VALUE"""),"Dubai&gt;Umm Al Sheif&gt;Emirates International School, Jumeirah")</f>
        <v>Dubai&gt;Umm Al Sheif&gt;Emirates International School, Jumeirah</v>
      </c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</row>
    <row r="5080" spans="1:26" ht="16.5" x14ac:dyDescent="0.35">
      <c r="A5080" s="2" t="str">
        <f ca="1">IFERROR(__xludf.DUMMYFUNCTION("""COMPUTED_VALUE"""),"Dubai")</f>
        <v>Dubai</v>
      </c>
      <c r="B5080" s="2" t="str">
        <f ca="1">IFERROR(__xludf.DUMMYFUNCTION("""COMPUTED_VALUE"""),"Waterfront Serenity Mansions")</f>
        <v>Waterfront Serenity Mansions</v>
      </c>
      <c r="C5080" s="2" t="str">
        <f ca="1">IFERROR(__xludf.DUMMYFUNCTION("""COMPUTED_VALUE"""),"Neighbourhood")</f>
        <v>Neighbourhood</v>
      </c>
      <c r="D5080" s="2" t="str">
        <f ca="1">IFERROR(__xludf.DUMMYFUNCTION("""COMPUTED_VALUE"""),"Dubai&gt;Tilal Al Ghaf&gt;Waterfront Serenity Mansions")</f>
        <v>Dubai&gt;Tilal Al Ghaf&gt;Waterfront Serenity Mansions</v>
      </c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</row>
    <row r="5081" spans="1:26" ht="16.5" x14ac:dyDescent="0.35">
      <c r="A5081" s="2" t="str">
        <f ca="1">IFERROR(__xludf.DUMMYFUNCTION("""COMPUTED_VALUE"""),"Dubai")</f>
        <v>Dubai</v>
      </c>
      <c r="B5081" s="2" t="str">
        <f ca="1">IFERROR(__xludf.DUMMYFUNCTION("""COMPUTED_VALUE"""),"Bay Grove Residences Building 7")</f>
        <v>Bay Grove Residences Building 7</v>
      </c>
      <c r="C5081" s="2" t="str">
        <f ca="1">IFERROR(__xludf.DUMMYFUNCTION("""COMPUTED_VALUE"""),"Building")</f>
        <v>Building</v>
      </c>
      <c r="D5081" s="2" t="str">
        <f ca="1">IFERROR(__xludf.DUMMYFUNCTION("""COMPUTED_VALUE"""),"Dubai&gt;Dubai Islands&gt;Bay Grove Residences&gt;Bay Grove Residences Building 7")</f>
        <v>Dubai&gt;Dubai Islands&gt;Bay Grove Residences&gt;Bay Grove Residences Building 7</v>
      </c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</row>
    <row r="5082" spans="1:26" ht="16.5" x14ac:dyDescent="0.35">
      <c r="A5082" s="2" t="str">
        <f ca="1">IFERROR(__xludf.DUMMYFUNCTION("""COMPUTED_VALUE"""),"Dubai")</f>
        <v>Dubai</v>
      </c>
      <c r="B5082" s="2" t="str">
        <f ca="1">IFERROR(__xludf.DUMMYFUNCTION("""COMPUTED_VALUE"""),"Luzora Residences")</f>
        <v>Luzora Residences</v>
      </c>
      <c r="C5082" s="2" t="str">
        <f ca="1">IFERROR(__xludf.DUMMYFUNCTION("""COMPUTED_VALUE"""),"Building")</f>
        <v>Building</v>
      </c>
      <c r="D5082" s="2" t="str">
        <f ca="1">IFERROR(__xludf.DUMMYFUNCTION("""COMPUTED_VALUE"""),"Dubai&gt;Dubai Islands&gt;Luzora Residences")</f>
        <v>Dubai&gt;Dubai Islands&gt;Luzora Residences</v>
      </c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</row>
    <row r="5083" spans="1:26" ht="16.5" x14ac:dyDescent="0.35">
      <c r="A5083" s="2" t="str">
        <f ca="1">IFERROR(__xludf.DUMMYFUNCTION("""COMPUTED_VALUE"""),"Dubai")</f>
        <v>Dubai</v>
      </c>
      <c r="B5083" s="2" t="str">
        <f ca="1">IFERROR(__xludf.DUMMYFUNCTION("""COMPUTED_VALUE"""),"Bay Grove Residences D Building 12")</f>
        <v>Bay Grove Residences D Building 12</v>
      </c>
      <c r="C5083" s="2" t="str">
        <f ca="1">IFERROR(__xludf.DUMMYFUNCTION("""COMPUTED_VALUE"""),"Building")</f>
        <v>Building</v>
      </c>
      <c r="D5083" s="2" t="str">
        <f ca="1">IFERROR(__xludf.DUMMYFUNCTION("""COMPUTED_VALUE"""),"Dubai&gt;Dubai Islands&gt;Bay Grove Residences D&gt;Bay Grove Residences D Building 12")</f>
        <v>Dubai&gt;Dubai Islands&gt;Bay Grove Residences D&gt;Bay Grove Residences D Building 12</v>
      </c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</row>
    <row r="5084" spans="1:26" ht="16.5" x14ac:dyDescent="0.35">
      <c r="A5084" s="2" t="str">
        <f ca="1">IFERROR(__xludf.DUMMYFUNCTION("""COMPUTED_VALUE"""),"Al Ain")</f>
        <v>Al Ain</v>
      </c>
      <c r="B5084" s="2" t="str">
        <f ca="1">IFERROR(__xludf.DUMMYFUNCTION("""COMPUTED_VALUE"""),"Sheikha Shamsa Building")</f>
        <v>Sheikha Shamsa Building</v>
      </c>
      <c r="C5084" s="2" t="str">
        <f ca="1">IFERROR(__xludf.DUMMYFUNCTION("""COMPUTED_VALUE"""),"Building")</f>
        <v>Building</v>
      </c>
      <c r="D5084" s="2" t="str">
        <f ca="1">IFERROR(__xludf.DUMMYFUNCTION("""COMPUTED_VALUE"""),"Al Ain&gt;Central District&gt;Al Rubainah&gt;Sheikha Shamsa Building")</f>
        <v>Al Ain&gt;Central District&gt;Al Rubainah&gt;Sheikha Shamsa Building</v>
      </c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</row>
    <row r="5085" spans="1:26" ht="16.5" x14ac:dyDescent="0.35">
      <c r="A5085" s="2" t="str">
        <f ca="1">IFERROR(__xludf.DUMMYFUNCTION("""COMPUTED_VALUE"""),"Al Ain")</f>
        <v>Al Ain</v>
      </c>
      <c r="B5085" s="2" t="str">
        <f ca="1">IFERROR(__xludf.DUMMYFUNCTION("""COMPUTED_VALUE"""),"Al Khibeesi")</f>
        <v>Al Khibeesi</v>
      </c>
      <c r="C5085" s="2" t="str">
        <f ca="1">IFERROR(__xludf.DUMMYFUNCTION("""COMPUTED_VALUE"""),"Neighbourhood")</f>
        <v>Neighbourhood</v>
      </c>
      <c r="D5085" s="2" t="str">
        <f ca="1">IFERROR(__xludf.DUMMYFUNCTION("""COMPUTED_VALUE"""),"Al Ain&gt;Al Khibeesi")</f>
        <v>Al Ain&gt;Al Khibeesi</v>
      </c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</row>
    <row r="5086" spans="1:26" ht="16.5" x14ac:dyDescent="0.35">
      <c r="A5086" s="2" t="str">
        <f ca="1">IFERROR(__xludf.DUMMYFUNCTION("""COMPUTED_VALUE"""),"Al Ain")</f>
        <v>Al Ain</v>
      </c>
      <c r="B5086" s="2" t="str">
        <f ca="1">IFERROR(__xludf.DUMMYFUNCTION("""COMPUTED_VALUE"""),"Markaz Al Khail")</f>
        <v>Markaz Al Khail</v>
      </c>
      <c r="C5086" s="2" t="str">
        <f ca="1">IFERROR(__xludf.DUMMYFUNCTION("""COMPUTED_VALUE"""),"Neighbourhood")</f>
        <v>Neighbourhood</v>
      </c>
      <c r="D5086" s="2" t="str">
        <f ca="1">IFERROR(__xludf.DUMMYFUNCTION("""COMPUTED_VALUE"""),"Al Ain&gt;Hili&gt;Markaz Al Khail")</f>
        <v>Al Ain&gt;Hili&gt;Markaz Al Khail</v>
      </c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</row>
    <row r="5087" spans="1:26" ht="16.5" x14ac:dyDescent="0.35">
      <c r="A5087" s="2" t="str">
        <f ca="1">IFERROR(__xludf.DUMMYFUNCTION("""COMPUTED_VALUE"""),"Al Ain")</f>
        <v>Al Ain</v>
      </c>
      <c r="B5087" s="2" t="str">
        <f ca="1">IFERROR(__xludf.DUMMYFUNCTION("""COMPUTED_VALUE"""),"Al Ittihad National Private School, Al Ain")</f>
        <v>Al Ittihad National Private School, Al Ain</v>
      </c>
      <c r="C5087" s="2" t="str">
        <f ca="1">IFERROR(__xludf.DUMMYFUNCTION("""COMPUTED_VALUE"""),"School")</f>
        <v>School</v>
      </c>
      <c r="D5087" s="2" t="str">
        <f ca="1">IFERROR(__xludf.DUMMYFUNCTION("""COMPUTED_VALUE"""),"Al Ain&gt;Falaj Hazzaa&gt;Al Ittihad National Private School, Al Ain")</f>
        <v>Al Ain&gt;Falaj Hazzaa&gt;Al Ittihad National Private School, Al Ain</v>
      </c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</row>
    <row r="5088" spans="1:26" ht="16.5" x14ac:dyDescent="0.35">
      <c r="A5088" s="2" t="str">
        <f ca="1">IFERROR(__xludf.DUMMYFUNCTION("""COMPUTED_VALUE"""),"Al Ain")</f>
        <v>Al Ain</v>
      </c>
      <c r="B5088" s="2" t="str">
        <f ca="1">IFERROR(__xludf.DUMMYFUNCTION("""COMPUTED_VALUE"""),"Rotana Accommodation")</f>
        <v>Rotana Accommodation</v>
      </c>
      <c r="C5088" s="2" t="str">
        <f ca="1">IFERROR(__xludf.DUMMYFUNCTION("""COMPUTED_VALUE"""),"Building")</f>
        <v>Building</v>
      </c>
      <c r="D5088" s="2" t="str">
        <f ca="1">IFERROR(__xludf.DUMMYFUNCTION("""COMPUTED_VALUE"""),"Al Ain&gt;Al Ain Industrial Area&gt;Rotana Accommodation")</f>
        <v>Al Ain&gt;Al Ain Industrial Area&gt;Rotana Accommodation</v>
      </c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</row>
    <row r="5089" spans="1:26" ht="16.5" x14ac:dyDescent="0.35">
      <c r="A5089" s="2" t="str">
        <f ca="1">IFERROR(__xludf.DUMMYFUNCTION("""COMPUTED_VALUE"""),"Al Ain")</f>
        <v>Al Ain</v>
      </c>
      <c r="B5089" s="2" t="str">
        <f ca="1">IFERROR(__xludf.DUMMYFUNCTION("""COMPUTED_VALUE"""),"Al Nabbagh")</f>
        <v>Al Nabbagh</v>
      </c>
      <c r="C5089" s="2" t="str">
        <f ca="1">IFERROR(__xludf.DUMMYFUNCTION("""COMPUTED_VALUE"""),"Neighbourhood")</f>
        <v>Neighbourhood</v>
      </c>
      <c r="D5089" s="2" t="str">
        <f ca="1">IFERROR(__xludf.DUMMYFUNCTION("""COMPUTED_VALUE"""),"Al Ain&gt;Al Nabbagh")</f>
        <v>Al Ain&gt;Al Nabbagh</v>
      </c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</row>
    <row r="5090" spans="1:26" ht="16.5" x14ac:dyDescent="0.35">
      <c r="A5090" s="2" t="str">
        <f ca="1">IFERROR(__xludf.DUMMYFUNCTION("""COMPUTED_VALUE"""),"Ras Al Khaimah")</f>
        <v>Ras Al Khaimah</v>
      </c>
      <c r="B5090" s="2" t="str">
        <f ca="1">IFERROR(__xludf.DUMMYFUNCTION("""COMPUTED_VALUE"""),"Quattro Del Mar Building 3")</f>
        <v>Quattro Del Mar Building 3</v>
      </c>
      <c r="C5090" s="2" t="str">
        <f ca="1">IFERROR(__xludf.DUMMYFUNCTION("""COMPUTED_VALUE"""),"Building")</f>
        <v>Building</v>
      </c>
      <c r="D5090" s="2" t="str">
        <f ca="1">IFERROR(__xludf.DUMMYFUNCTION("""COMPUTED_VALUE"""),"Ras Al Khaimah&gt;Mina Al Arab&gt;Quattro Del Mar&gt;Quattro Del Mar Building 3")</f>
        <v>Ras Al Khaimah&gt;Mina Al Arab&gt;Quattro Del Mar&gt;Quattro Del Mar Building 3</v>
      </c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</row>
    <row r="5091" spans="1:26" ht="16.5" x14ac:dyDescent="0.35">
      <c r="A5091" s="2" t="str">
        <f ca="1">IFERROR(__xludf.DUMMYFUNCTION("""COMPUTED_VALUE"""),"Ras Al Khaimah")</f>
        <v>Ras Al Khaimah</v>
      </c>
      <c r="B5091" s="2" t="str">
        <f ca="1">IFERROR(__xludf.DUMMYFUNCTION("""COMPUTED_VALUE"""),"Al Danah Residential Tower")</f>
        <v>Al Danah Residential Tower</v>
      </c>
      <c r="C5091" s="2" t="str">
        <f ca="1">IFERROR(__xludf.DUMMYFUNCTION("""COMPUTED_VALUE"""),"Building")</f>
        <v>Building</v>
      </c>
      <c r="D5091" s="2" t="str">
        <f ca="1">IFERROR(__xludf.DUMMYFUNCTION("""COMPUTED_VALUE"""),"Ras Al Khaimah&gt;Al Marjan Island&gt;Danah Bay&gt;Al Danah Residential Tower")</f>
        <v>Ras Al Khaimah&gt;Al Marjan Island&gt;Danah Bay&gt;Al Danah Residential Tower</v>
      </c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</row>
    <row r="5092" spans="1:26" ht="16.5" x14ac:dyDescent="0.35">
      <c r="A5092" s="2" t="str">
        <f ca="1">IFERROR(__xludf.DUMMYFUNCTION("""COMPUTED_VALUE"""),"Ras Al Khaimah")</f>
        <v>Ras Al Khaimah</v>
      </c>
      <c r="B5092" s="2" t="str">
        <f ca="1">IFERROR(__xludf.DUMMYFUNCTION("""COMPUTED_VALUE"""),"Uno Luxe")</f>
        <v>Uno Luxe</v>
      </c>
      <c r="C5092" s="2" t="str">
        <f ca="1">IFERROR(__xludf.DUMMYFUNCTION("""COMPUTED_VALUE"""),"Building")</f>
        <v>Building</v>
      </c>
      <c r="D5092" s="2" t="str">
        <f ca="1">IFERROR(__xludf.DUMMYFUNCTION("""COMPUTED_VALUE"""),"Ras Al Khaimah&gt;Al Marjan Island&gt;Uno Luxe")</f>
        <v>Ras Al Khaimah&gt;Al Marjan Island&gt;Uno Luxe</v>
      </c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</row>
    <row r="5093" spans="1:26" ht="16.5" x14ac:dyDescent="0.35">
      <c r="A5093" s="2" t="str">
        <f ca="1">IFERROR(__xludf.DUMMYFUNCTION("""COMPUTED_VALUE"""),"Ras Al Khaimah")</f>
        <v>Ras Al Khaimah</v>
      </c>
      <c r="B5093" s="2" t="str">
        <f ca="1">IFERROR(__xludf.DUMMYFUNCTION("""COMPUTED_VALUE"""),"Marina Apartment D")</f>
        <v>Marina Apartment D</v>
      </c>
      <c r="C5093" s="2" t="str">
        <f ca="1">IFERROR(__xludf.DUMMYFUNCTION("""COMPUTED_VALUE"""),"Building")</f>
        <v>Building</v>
      </c>
      <c r="D5093" s="2" t="str">
        <f ca="1">IFERROR(__xludf.DUMMYFUNCTION("""COMPUTED_VALUE"""),"Ras Al Khaimah&gt;Al Hamra Village&gt;Al Hamra Marina Residences&gt;Marina Apartment D")</f>
        <v>Ras Al Khaimah&gt;Al Hamra Village&gt;Al Hamra Marina Residences&gt;Marina Apartment D</v>
      </c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</row>
    <row r="5094" spans="1:26" ht="16.5" x14ac:dyDescent="0.35">
      <c r="A5094" s="2" t="str">
        <f ca="1">IFERROR(__xludf.DUMMYFUNCTION("""COMPUTED_VALUE"""),"Ras Al Khaimah")</f>
        <v>Ras Al Khaimah</v>
      </c>
      <c r="B5094" s="2" t="str">
        <f ca="1">IFERROR(__xludf.DUMMYFUNCTION("""COMPUTED_VALUE"""),"Aila Homes")</f>
        <v>Aila Homes</v>
      </c>
      <c r="C5094" s="2" t="str">
        <f ca="1">IFERROR(__xludf.DUMMYFUNCTION("""COMPUTED_VALUE"""),"Neighbourhood")</f>
        <v>Neighbourhood</v>
      </c>
      <c r="D5094" s="2" t="str">
        <f ca="1">IFERROR(__xludf.DUMMYFUNCTION("""COMPUTED_VALUE"""),"Ras Al Khaimah&gt;Al Hamra Village&gt;Aila Homes")</f>
        <v>Ras Al Khaimah&gt;Al Hamra Village&gt;Aila Homes</v>
      </c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</row>
    <row r="5095" spans="1:26" ht="16.5" x14ac:dyDescent="0.35">
      <c r="A5095" s="2" t="str">
        <f ca="1">IFERROR(__xludf.DUMMYFUNCTION("""COMPUTED_VALUE"""),"Ras Al Khaimah")</f>
        <v>Ras Al Khaimah</v>
      </c>
      <c r="B5095" s="2" t="str">
        <f ca="1">IFERROR(__xludf.DUMMYFUNCTION("""COMPUTED_VALUE"""),"Al Juwais")</f>
        <v>Al Juwais</v>
      </c>
      <c r="C5095" s="2" t="str">
        <f ca="1">IFERROR(__xludf.DUMMYFUNCTION("""COMPUTED_VALUE"""),"Neighbourhood")</f>
        <v>Neighbourhood</v>
      </c>
      <c r="D5095" s="2" t="str">
        <f ca="1">IFERROR(__xludf.DUMMYFUNCTION("""COMPUTED_VALUE"""),"Ras Al Khaimah&gt;Al Juwais")</f>
        <v>Ras Al Khaimah&gt;Al Juwais</v>
      </c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</row>
    <row r="5096" spans="1:26" ht="16.5" x14ac:dyDescent="0.35">
      <c r="A5096" s="2" t="str">
        <f ca="1">IFERROR(__xludf.DUMMYFUNCTION("""COMPUTED_VALUE"""),"Ras Al Khaimah")</f>
        <v>Ras Al Khaimah</v>
      </c>
      <c r="B5096" s="2" t="str">
        <f ca="1">IFERROR(__xludf.DUMMYFUNCTION("""COMPUTED_VALUE"""),"Shamal Gelan")</f>
        <v>Shamal Gelan</v>
      </c>
      <c r="C5096" s="2"/>
      <c r="D5096" s="2" t="str">
        <f ca="1">IFERROR(__xludf.DUMMYFUNCTION("""COMPUTED_VALUE"""),"Ras Al Khaimah&gt;Shamal&gt;Shamal Gelan")</f>
        <v>Ras Al Khaimah&gt;Shamal&gt;Shamal Gelan</v>
      </c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</row>
    <row r="5097" spans="1:26" ht="16.5" x14ac:dyDescent="0.35">
      <c r="A5097" s="2" t="str">
        <f ca="1">IFERROR(__xludf.DUMMYFUNCTION("""COMPUTED_VALUE"""),"Ras Al Khaimah")</f>
        <v>Ras Al Khaimah</v>
      </c>
      <c r="B5097" s="2" t="str">
        <f ca="1">IFERROR(__xludf.DUMMYFUNCTION("""COMPUTED_VALUE"""),"Ghalilah")</f>
        <v>Ghalilah</v>
      </c>
      <c r="C5097" s="2" t="str">
        <f ca="1">IFERROR(__xludf.DUMMYFUNCTION("""COMPUTED_VALUE"""),"Neighbourhood")</f>
        <v>Neighbourhood</v>
      </c>
      <c r="D5097" s="2" t="str">
        <f ca="1">IFERROR(__xludf.DUMMYFUNCTION("""COMPUTED_VALUE"""),"Ras Al Khaimah&gt;Ghalilah")</f>
        <v>Ras Al Khaimah&gt;Ghalilah</v>
      </c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</row>
    <row r="5098" spans="1:26" ht="16.5" x14ac:dyDescent="0.35">
      <c r="A5098" s="2" t="str">
        <f ca="1">IFERROR(__xludf.DUMMYFUNCTION("""COMPUTED_VALUE"""),"Ras Al Khaimah")</f>
        <v>Ras Al Khaimah</v>
      </c>
      <c r="B5098" s="2" t="str">
        <f ca="1">IFERROR(__xludf.DUMMYFUNCTION("""COMPUTED_VALUE"""),"One Central")</f>
        <v>One Central</v>
      </c>
      <c r="C5098" s="2" t="str">
        <f ca="1">IFERROR(__xludf.DUMMYFUNCTION("""COMPUTED_VALUE"""),"Building")</f>
        <v>Building</v>
      </c>
      <c r="D5098" s="2" t="str">
        <f ca="1">IFERROR(__xludf.DUMMYFUNCTION("""COMPUTED_VALUE"""),"Ras Al Khaimah&gt;RAK Central&gt;One Central")</f>
        <v>Ras Al Khaimah&gt;RAK Central&gt;One Central</v>
      </c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</row>
    <row r="5099" spans="1:26" ht="16.5" x14ac:dyDescent="0.35">
      <c r="A5099" s="2" t="str">
        <f ca="1">IFERROR(__xludf.DUMMYFUNCTION("""COMPUTED_VALUE"""),"Umm Al Quwain")</f>
        <v>Umm Al Quwain</v>
      </c>
      <c r="B5099" s="2" t="str">
        <f ca="1">IFERROR(__xludf.DUMMYFUNCTION("""COMPUTED_VALUE"""),"New Indian School Umm Al Quwain")</f>
        <v>New Indian School Umm Al Quwain</v>
      </c>
      <c r="C5099" s="2" t="str">
        <f ca="1">IFERROR(__xludf.DUMMYFUNCTION("""COMPUTED_VALUE"""),"School")</f>
        <v>School</v>
      </c>
      <c r="D5099" s="2" t="str">
        <f ca="1">IFERROR(__xludf.DUMMYFUNCTION("""COMPUTED_VALUE"""),"Umm Al Quwain&gt;Al Riqqah&gt;New Indian School Umm Al Quwain")</f>
        <v>Umm Al Quwain&gt;Al Riqqah&gt;New Indian School Umm Al Quwain</v>
      </c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</row>
    <row r="5100" spans="1:26" ht="16.5" x14ac:dyDescent="0.35">
      <c r="A5100" s="2" t="str">
        <f ca="1">IFERROR(__xludf.DUMMYFUNCTION("""COMPUTED_VALUE"""),"Umm Al Quwain")</f>
        <v>Umm Al Quwain</v>
      </c>
      <c r="B5100" s="2" t="str">
        <f ca="1">IFERROR(__xludf.DUMMYFUNCTION("""COMPUTED_VALUE"""),"Al Dar Al Baida A")</f>
        <v>Al Dar Al Baida A</v>
      </c>
      <c r="C5100" s="2"/>
      <c r="D5100" s="2" t="str">
        <f ca="1">IFERROR(__xludf.DUMMYFUNCTION("""COMPUTED_VALUE"""),"Umm Al Quwain&gt;Al Dar Al Baida&gt;Al Dar Al Baida A")</f>
        <v>Umm Al Quwain&gt;Al Dar Al Baida&gt;Al Dar Al Baida A</v>
      </c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</row>
    <row r="5101" spans="1:26" ht="16.5" x14ac:dyDescent="0.35">
      <c r="A5101" s="2" t="str">
        <f ca="1">IFERROR(__xludf.DUMMYFUNCTION("""COMPUTED_VALUE"""),"Umm Al Quwain")</f>
        <v>Umm Al Quwain</v>
      </c>
      <c r="B5101" s="2" t="str">
        <f ca="1">IFERROR(__xludf.DUMMYFUNCTION("""COMPUTED_VALUE"""),"Bayside Marina Residences Tower 2")</f>
        <v>Bayside Marina Residences Tower 2</v>
      </c>
      <c r="C5101" s="2" t="str">
        <f ca="1">IFERROR(__xludf.DUMMYFUNCTION("""COMPUTED_VALUE"""),"Building")</f>
        <v>Building</v>
      </c>
      <c r="D5101" s="2" t="str">
        <f ca="1">IFERROR(__xludf.DUMMYFUNCTION("""COMPUTED_VALUE"""),"Umm Al Quwain&gt;Al Seanneeah&gt;Sobha Siniya Island&gt;Bayside Marina Residences&gt;Bayside Marina Residences Tower 2")</f>
        <v>Umm Al Quwain&gt;Al Seanneeah&gt;Sobha Siniya Island&gt;Bayside Marina Residences&gt;Bayside Marina Residences Tower 2</v>
      </c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</row>
    <row r="5102" spans="1:26" ht="16.5" x14ac:dyDescent="0.35">
      <c r="A5102" s="2" t="str">
        <f ca="1">IFERROR(__xludf.DUMMYFUNCTION("""COMPUTED_VALUE"""),"Umm Al Quwain")</f>
        <v>Umm Al Quwain</v>
      </c>
      <c r="B5102" s="2" t="str">
        <f ca="1">IFERROR(__xludf.DUMMYFUNCTION("""COMPUTED_VALUE"""),"Khalifah City 2")</f>
        <v>Khalifah City 2</v>
      </c>
      <c r="C5102" s="2" t="str">
        <f ca="1">IFERROR(__xludf.DUMMYFUNCTION("""COMPUTED_VALUE"""),"Neighbourhood")</f>
        <v>Neighbourhood</v>
      </c>
      <c r="D5102" s="2" t="str">
        <f ca="1">IFERROR(__xludf.DUMMYFUNCTION("""COMPUTED_VALUE"""),"Umm Al Quwain&gt;Khalifah City&gt;Khalifah City 2")</f>
        <v>Umm Al Quwain&gt;Khalifah City&gt;Khalifah City 2</v>
      </c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</row>
    <row r="5103" spans="1:26" ht="16.5" x14ac:dyDescent="0.35">
      <c r="A5103" s="2" t="str">
        <f ca="1">IFERROR(__xludf.DUMMYFUNCTION("""COMPUTED_VALUE"""),"Fujairah")</f>
        <v>Fujairah</v>
      </c>
      <c r="B5103" s="2" t="str">
        <f ca="1">IFERROR(__xludf.DUMMYFUNCTION("""COMPUTED_VALUE"""),"Indian School Fujairah")</f>
        <v>Indian School Fujairah</v>
      </c>
      <c r="C5103" s="2" t="str">
        <f ca="1">IFERROR(__xludf.DUMMYFUNCTION("""COMPUTED_VALUE"""),"School")</f>
        <v>School</v>
      </c>
      <c r="D5103" s="2" t="str">
        <f ca="1">IFERROR(__xludf.DUMMYFUNCTION("""COMPUTED_VALUE"""),"Fujairah&gt;Al Faseel Area&gt;Indian School Fujairah")</f>
        <v>Fujairah&gt;Al Faseel Area&gt;Indian School Fujairah</v>
      </c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</row>
    <row r="5104" spans="1:26" ht="16.5" x14ac:dyDescent="0.35">
      <c r="A5104" s="2" t="str">
        <f ca="1">IFERROR(__xludf.DUMMYFUNCTION("""COMPUTED_VALUE"""),"Fujairah")</f>
        <v>Fujairah</v>
      </c>
      <c r="B5104" s="2" t="str">
        <f ca="1">IFERROR(__xludf.DUMMYFUNCTION("""COMPUTED_VALUE"""),"Siji Residences")</f>
        <v>Siji Residences</v>
      </c>
      <c r="C5104" s="2" t="str">
        <f ca="1">IFERROR(__xludf.DUMMYFUNCTION("""COMPUTED_VALUE"""),"Cluster")</f>
        <v>Cluster</v>
      </c>
      <c r="D5104" s="2" t="str">
        <f ca="1">IFERROR(__xludf.DUMMYFUNCTION("""COMPUTED_VALUE"""),"Fujairah&gt;Town Centre&gt;Siji Residences")</f>
        <v>Fujairah&gt;Town Centre&gt;Siji Residences</v>
      </c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</row>
    <row r="5105" spans="1:26" ht="16.5" x14ac:dyDescent="0.35">
      <c r="A5105" s="2" t="str">
        <f ca="1">IFERROR(__xludf.DUMMYFUNCTION("""COMPUTED_VALUE"""),"Dubai")</f>
        <v>Dubai</v>
      </c>
      <c r="B5105" s="2" t="str">
        <f ca="1">IFERROR(__xludf.DUMMYFUNCTION("""COMPUTED_VALUE"""),"Reem 2")</f>
        <v>Reem 2</v>
      </c>
      <c r="C5105" s="2" t="str">
        <f ca="1">IFERROR(__xludf.DUMMYFUNCTION("""COMPUTED_VALUE"""),"Building")</f>
        <v>Building</v>
      </c>
      <c r="D5105" s="2" t="str">
        <f ca="1">IFERROR(__xludf.DUMMYFUNCTION("""COMPUTED_VALUE"""),"Dubai&gt;Al Mamzar&gt;Reem 2")</f>
        <v>Dubai&gt;Al Mamzar&gt;Reem 2</v>
      </c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</row>
    <row r="5106" spans="1:26" ht="16.5" x14ac:dyDescent="0.35">
      <c r="A5106" s="2" t="str">
        <f ca="1">IFERROR(__xludf.DUMMYFUNCTION("""COMPUTED_VALUE"""),"Dubai")</f>
        <v>Dubai</v>
      </c>
      <c r="B5106" s="2" t="str">
        <f ca="1">IFERROR(__xludf.DUMMYFUNCTION("""COMPUTED_VALUE"""),"Muhaisnah 2")</f>
        <v>Muhaisnah 2</v>
      </c>
      <c r="C5106" s="2" t="str">
        <f ca="1">IFERROR(__xludf.DUMMYFUNCTION("""COMPUTED_VALUE"""),"Neighbourhood")</f>
        <v>Neighbourhood</v>
      </c>
      <c r="D5106" s="2" t="str">
        <f ca="1">IFERROR(__xludf.DUMMYFUNCTION("""COMPUTED_VALUE"""),"Dubai&gt;Muhaisnah&gt;Muhaisnah 2")</f>
        <v>Dubai&gt;Muhaisnah&gt;Muhaisnah 2</v>
      </c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</row>
    <row r="5107" spans="1:26" ht="16.5" x14ac:dyDescent="0.35">
      <c r="A5107" s="2" t="str">
        <f ca="1">IFERROR(__xludf.DUMMYFUNCTION("""COMPUTED_VALUE"""),"Dubai")</f>
        <v>Dubai</v>
      </c>
      <c r="B5107" s="2" t="str">
        <f ca="1">IFERROR(__xludf.DUMMYFUNCTION("""COMPUTED_VALUE"""),"Awqaf 269 Building")</f>
        <v>Awqaf 269 Building</v>
      </c>
      <c r="C5107" s="2" t="str">
        <f ca="1">IFERROR(__xludf.DUMMYFUNCTION("""COMPUTED_VALUE"""),"Building")</f>
        <v>Building</v>
      </c>
      <c r="D5107" s="2" t="str">
        <f ca="1">IFERROR(__xludf.DUMMYFUNCTION("""COMPUTED_VALUE"""),"Dubai&gt;Muhaisnah&gt;Muhaisnah 4&gt;Awqaf 269 Building")</f>
        <v>Dubai&gt;Muhaisnah&gt;Muhaisnah 4&gt;Awqaf 269 Building</v>
      </c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</row>
    <row r="5108" spans="1:26" ht="16.5" x14ac:dyDescent="0.35">
      <c r="A5108" s="2" t="str">
        <f ca="1">IFERROR(__xludf.DUMMYFUNCTION("""COMPUTED_VALUE"""),"Dubai")</f>
        <v>Dubai</v>
      </c>
      <c r="B5108" s="2" t="str">
        <f ca="1">IFERROR(__xludf.DUMMYFUNCTION("""COMPUTED_VALUE"""),"Umm Ramool")</f>
        <v>Umm Ramool</v>
      </c>
      <c r="C5108" s="2" t="str">
        <f ca="1">IFERROR(__xludf.DUMMYFUNCTION("""COMPUTED_VALUE"""),"Neighbourhood")</f>
        <v>Neighbourhood</v>
      </c>
      <c r="D5108" s="2" t="str">
        <f ca="1">IFERROR(__xludf.DUMMYFUNCTION("""COMPUTED_VALUE"""),"Dubai&gt;Umm Ramool")</f>
        <v>Dubai&gt;Umm Ramool</v>
      </c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</row>
    <row r="5109" spans="1:26" ht="16.5" x14ac:dyDescent="0.35">
      <c r="A5109" s="2" t="str">
        <f ca="1">IFERROR(__xludf.DUMMYFUNCTION("""COMPUTED_VALUE"""),"Dubai")</f>
        <v>Dubai</v>
      </c>
      <c r="B5109" s="2" t="str">
        <f ca="1">IFERROR(__xludf.DUMMYFUNCTION("""COMPUTED_VALUE"""),"City Tower 2")</f>
        <v>City Tower 2</v>
      </c>
      <c r="C5109" s="2" t="str">
        <f ca="1">IFERROR(__xludf.DUMMYFUNCTION("""COMPUTED_VALUE"""),"Building")</f>
        <v>Building</v>
      </c>
      <c r="D5109" s="2" t="str">
        <f ca="1">IFERROR(__xludf.DUMMYFUNCTION("""COMPUTED_VALUE"""),"Dubai&gt;Sheikh Zayed Road&gt;City Towers&gt;City Tower 2")</f>
        <v>Dubai&gt;Sheikh Zayed Road&gt;City Towers&gt;City Tower 2</v>
      </c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</row>
    <row r="5110" spans="1:26" ht="16.5" x14ac:dyDescent="0.35">
      <c r="A5110" s="2" t="str">
        <f ca="1">IFERROR(__xludf.DUMMYFUNCTION("""COMPUTED_VALUE"""),"Dubai")</f>
        <v>Dubai</v>
      </c>
      <c r="B5110" s="2" t="str">
        <f ca="1">IFERROR(__xludf.DUMMYFUNCTION("""COMPUTED_VALUE"""),"Rolex Tower")</f>
        <v>Rolex Tower</v>
      </c>
      <c r="C5110" s="2" t="str">
        <f ca="1">IFERROR(__xludf.DUMMYFUNCTION("""COMPUTED_VALUE"""),"Building")</f>
        <v>Building</v>
      </c>
      <c r="D5110" s="2" t="str">
        <f ca="1">IFERROR(__xludf.DUMMYFUNCTION("""COMPUTED_VALUE"""),"Dubai&gt;Sheikh Zayed Road&gt;Rolex Tower")</f>
        <v>Dubai&gt;Sheikh Zayed Road&gt;Rolex Tower</v>
      </c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</row>
    <row r="5111" spans="1:26" ht="16.5" x14ac:dyDescent="0.35">
      <c r="A5111" s="2" t="str">
        <f ca="1">IFERROR(__xludf.DUMMYFUNCTION("""COMPUTED_VALUE"""),"Dubai")</f>
        <v>Dubai</v>
      </c>
      <c r="B5111" s="2" t="str">
        <f ca="1">IFERROR(__xludf.DUMMYFUNCTION("""COMPUTED_VALUE"""),"Saeed Tower 1")</f>
        <v>Saeed Tower 1</v>
      </c>
      <c r="C5111" s="2" t="str">
        <f ca="1">IFERROR(__xludf.DUMMYFUNCTION("""COMPUTED_VALUE"""),"Building")</f>
        <v>Building</v>
      </c>
      <c r="D5111" s="2" t="str">
        <f ca="1">IFERROR(__xludf.DUMMYFUNCTION("""COMPUTED_VALUE"""),"Dubai&gt;Sheikh Zayed Road&gt;Saeed Tower 1")</f>
        <v>Dubai&gt;Sheikh Zayed Road&gt;Saeed Tower 1</v>
      </c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</row>
    <row r="5112" spans="1:26" ht="16.5" x14ac:dyDescent="0.35">
      <c r="A5112" s="2" t="str">
        <f ca="1">IFERROR(__xludf.DUMMYFUNCTION("""COMPUTED_VALUE"""),"Dubai")</f>
        <v>Dubai</v>
      </c>
      <c r="B5112" s="2" t="str">
        <f ca="1">IFERROR(__xludf.DUMMYFUNCTION("""COMPUTED_VALUE"""),"Rawadat Al Wasl Building")</f>
        <v>Rawadat Al Wasl Building</v>
      </c>
      <c r="C5112" s="2" t="str">
        <f ca="1">IFERROR(__xludf.DUMMYFUNCTION("""COMPUTED_VALUE"""),"Building")</f>
        <v>Building</v>
      </c>
      <c r="D5112" s="2" t="str">
        <f ca="1">IFERROR(__xludf.DUMMYFUNCTION("""COMPUTED_VALUE"""),"Dubai&gt;Sheikh Zayed Road&gt;Rawadat Al Wasl Building")</f>
        <v>Dubai&gt;Sheikh Zayed Road&gt;Rawadat Al Wasl Building</v>
      </c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</row>
    <row r="5113" spans="1:26" ht="16.5" x14ac:dyDescent="0.35">
      <c r="A5113" s="2" t="str">
        <f ca="1">IFERROR(__xludf.DUMMYFUNCTION("""COMPUTED_VALUE"""),"Dubai")</f>
        <v>Dubai</v>
      </c>
      <c r="B5113" s="2" t="str">
        <f ca="1">IFERROR(__xludf.DUMMYFUNCTION("""COMPUTED_VALUE"""),"Karama Palace Building")</f>
        <v>Karama Palace Building</v>
      </c>
      <c r="C5113" s="2" t="str">
        <f ca="1">IFERROR(__xludf.DUMMYFUNCTION("""COMPUTED_VALUE"""),"Building")</f>
        <v>Building</v>
      </c>
      <c r="D5113" s="2" t="str">
        <f ca="1">IFERROR(__xludf.DUMMYFUNCTION("""COMPUTED_VALUE"""),"Dubai&gt;Al Karama&gt;Karama Palace Building")</f>
        <v>Dubai&gt;Al Karama&gt;Karama Palace Building</v>
      </c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</row>
    <row r="5114" spans="1:26" ht="16.5" x14ac:dyDescent="0.35">
      <c r="A5114" s="2" t="str">
        <f ca="1">IFERROR(__xludf.DUMMYFUNCTION("""COMPUTED_VALUE"""),"Dubai")</f>
        <v>Dubai</v>
      </c>
      <c r="B5114" s="2" t="str">
        <f ca="1">IFERROR(__xludf.DUMMYFUNCTION("""COMPUTED_VALUE"""),"Building 26")</f>
        <v>Building 26</v>
      </c>
      <c r="C5114" s="2" t="str">
        <f ca="1">IFERROR(__xludf.DUMMYFUNCTION("""COMPUTED_VALUE"""),"Building")</f>
        <v>Building</v>
      </c>
      <c r="D5114" s="2" t="str">
        <f ca="1">IFERROR(__xludf.DUMMYFUNCTION("""COMPUTED_VALUE"""),"Dubai&gt;Al Karama&gt;Karam Pioneer Buildings&gt;Building 26")</f>
        <v>Dubai&gt;Al Karama&gt;Karam Pioneer Buildings&gt;Building 26</v>
      </c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</row>
    <row r="5115" spans="1:26" ht="16.5" x14ac:dyDescent="0.35">
      <c r="A5115" s="2" t="str">
        <f ca="1">IFERROR(__xludf.DUMMYFUNCTION("""COMPUTED_VALUE"""),"Dubai")</f>
        <v>Dubai</v>
      </c>
      <c r="B5115" s="2" t="str">
        <f ca="1">IFERROR(__xludf.DUMMYFUNCTION("""COMPUTED_VALUE"""),"Karama Shopping Complex - V")</f>
        <v>Karama Shopping Complex - V</v>
      </c>
      <c r="C5115" s="2" t="str">
        <f ca="1">IFERROR(__xludf.DUMMYFUNCTION("""COMPUTED_VALUE"""),"Building")</f>
        <v>Building</v>
      </c>
      <c r="D5115" s="2" t="str">
        <f ca="1">IFERROR(__xludf.DUMMYFUNCTION("""COMPUTED_VALUE"""),"Dubai&gt;Al Karama&gt;Karama Shopping Complex&gt;Karama Shopping Complex - V")</f>
        <v>Dubai&gt;Al Karama&gt;Karama Shopping Complex&gt;Karama Shopping Complex - V</v>
      </c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</row>
    <row r="5116" spans="1:26" ht="16.5" x14ac:dyDescent="0.35">
      <c r="A5116" s="2" t="str">
        <f ca="1">IFERROR(__xludf.DUMMYFUNCTION("""COMPUTED_VALUE"""),"Dubai")</f>
        <v>Dubai</v>
      </c>
      <c r="B5116" s="2" t="str">
        <f ca="1">IFERROR(__xludf.DUMMYFUNCTION("""COMPUTED_VALUE"""),"Aliya Building")</f>
        <v>Aliya Building</v>
      </c>
      <c r="C5116" s="2" t="str">
        <f ca="1">IFERROR(__xludf.DUMMYFUNCTION("""COMPUTED_VALUE"""),"Building")</f>
        <v>Building</v>
      </c>
      <c r="D5116" s="2" t="str">
        <f ca="1">IFERROR(__xludf.DUMMYFUNCTION("""COMPUTED_VALUE"""),"Dubai&gt;Al Karama&gt;Aliya Building")</f>
        <v>Dubai&gt;Al Karama&gt;Aliya Building</v>
      </c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</row>
    <row r="5117" spans="1:26" ht="16.5" x14ac:dyDescent="0.35">
      <c r="A5117" s="2" t="str">
        <f ca="1">IFERROR(__xludf.DUMMYFUNCTION("""COMPUTED_VALUE"""),"Dubai")</f>
        <v>Dubai</v>
      </c>
      <c r="B5117" s="2" t="str">
        <f ca="1">IFERROR(__xludf.DUMMYFUNCTION("""COMPUTED_VALUE"""),"Zabeel Building")</f>
        <v>Zabeel Building</v>
      </c>
      <c r="C5117" s="2" t="str">
        <f ca="1">IFERROR(__xludf.DUMMYFUNCTION("""COMPUTED_VALUE"""),"Building")</f>
        <v>Building</v>
      </c>
      <c r="D5117" s="2" t="str">
        <f ca="1">IFERROR(__xludf.DUMMYFUNCTION("""COMPUTED_VALUE"""),"Dubai&gt;Al Karama&gt;Zabeel Building")</f>
        <v>Dubai&gt;Al Karama&gt;Zabeel Building</v>
      </c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</row>
    <row r="5118" spans="1:26" ht="16.5" x14ac:dyDescent="0.35">
      <c r="A5118" s="2" t="str">
        <f ca="1">IFERROR(__xludf.DUMMYFUNCTION("""COMPUTED_VALUE"""),"Dubai")</f>
        <v>Dubai</v>
      </c>
      <c r="B5118" s="2" t="str">
        <f ca="1">IFERROR(__xludf.DUMMYFUNCTION("""COMPUTED_VALUE"""),"Pyramid D")</f>
        <v>Pyramid D</v>
      </c>
      <c r="C5118" s="2" t="str">
        <f ca="1">IFERROR(__xludf.DUMMYFUNCTION("""COMPUTED_VALUE"""),"Building")</f>
        <v>Building</v>
      </c>
      <c r="D5118" s="2" t="str">
        <f ca="1">IFERROR(__xludf.DUMMYFUNCTION("""COMPUTED_VALUE"""),"Dubai&gt;Al Karama&gt;Pyramid D")</f>
        <v>Dubai&gt;Al Karama&gt;Pyramid D</v>
      </c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</row>
    <row r="5119" spans="1:26" ht="16.5" x14ac:dyDescent="0.35">
      <c r="A5119" s="2" t="str">
        <f ca="1">IFERROR(__xludf.DUMMYFUNCTION("""COMPUTED_VALUE"""),"Dubai")</f>
        <v>Dubai</v>
      </c>
      <c r="B5119" s="2" t="str">
        <f ca="1">IFERROR(__xludf.DUMMYFUNCTION("""COMPUTED_VALUE"""),"Gate Of Karama 1")</f>
        <v>Gate Of Karama 1</v>
      </c>
      <c r="C5119" s="2" t="str">
        <f ca="1">IFERROR(__xludf.DUMMYFUNCTION("""COMPUTED_VALUE"""),"Building")</f>
        <v>Building</v>
      </c>
      <c r="D5119" s="2" t="str">
        <f ca="1">IFERROR(__xludf.DUMMYFUNCTION("""COMPUTED_VALUE"""),"Dubai&gt;Al Karama&gt;Gate Of Karama 1")</f>
        <v>Dubai&gt;Al Karama&gt;Gate Of Karama 1</v>
      </c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</row>
    <row r="5120" spans="1:26" ht="16.5" x14ac:dyDescent="0.35">
      <c r="A5120" s="2" t="str">
        <f ca="1">IFERROR(__xludf.DUMMYFUNCTION("""COMPUTED_VALUE"""),"Dubai")</f>
        <v>Dubai</v>
      </c>
      <c r="B5120" s="2" t="str">
        <f ca="1">IFERROR(__xludf.DUMMYFUNCTION("""COMPUTED_VALUE"""),"Matar Salim Arti B")</f>
        <v>Matar Salim Arti B</v>
      </c>
      <c r="C5120" s="2" t="str">
        <f ca="1">IFERROR(__xludf.DUMMYFUNCTION("""COMPUTED_VALUE"""),"Building")</f>
        <v>Building</v>
      </c>
      <c r="D5120" s="2" t="str">
        <f ca="1">IFERROR(__xludf.DUMMYFUNCTION("""COMPUTED_VALUE"""),"Dubai&gt;Al Karama&gt;Matar Salim Arti B")</f>
        <v>Dubai&gt;Al Karama&gt;Matar Salim Arti B</v>
      </c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</row>
    <row r="5121" spans="1:26" ht="16.5" x14ac:dyDescent="0.35">
      <c r="A5121" s="2" t="str">
        <f ca="1">IFERROR(__xludf.DUMMYFUNCTION("""COMPUTED_VALUE"""),"Dubai")</f>
        <v>Dubai</v>
      </c>
      <c r="B5121" s="2" t="str">
        <f ca="1">IFERROR(__xludf.DUMMYFUNCTION("""COMPUTED_VALUE"""),"Al Nabooda")</f>
        <v>Al Nabooda</v>
      </c>
      <c r="C5121" s="2" t="str">
        <f ca="1">IFERROR(__xludf.DUMMYFUNCTION("""COMPUTED_VALUE"""),"Cluster")</f>
        <v>Cluster</v>
      </c>
      <c r="D5121" s="2" t="str">
        <f ca="1">IFERROR(__xludf.DUMMYFUNCTION("""COMPUTED_VALUE"""),"Dubai&gt;Al Karama&gt;Al Nabooda")</f>
        <v>Dubai&gt;Al Karama&gt;Al Nabooda</v>
      </c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</row>
    <row r="5122" spans="1:26" ht="16.5" x14ac:dyDescent="0.35">
      <c r="A5122" s="2" t="str">
        <f ca="1">IFERROR(__xludf.DUMMYFUNCTION("""COMPUTED_VALUE"""),"Dubai")</f>
        <v>Dubai</v>
      </c>
      <c r="B5122" s="2" t="str">
        <f ca="1">IFERROR(__xludf.DUMMYFUNCTION("""COMPUTED_VALUE"""),"Matar Salim Arti")</f>
        <v>Matar Salim Arti</v>
      </c>
      <c r="C5122" s="2" t="str">
        <f ca="1">IFERROR(__xludf.DUMMYFUNCTION("""COMPUTED_VALUE"""),"Building")</f>
        <v>Building</v>
      </c>
      <c r="D5122" s="2" t="str">
        <f ca="1">IFERROR(__xludf.DUMMYFUNCTION("""COMPUTED_VALUE"""),"Dubai&gt;Al Karama&gt;Matar Salim Arti")</f>
        <v>Dubai&gt;Al Karama&gt;Matar Salim Arti</v>
      </c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</row>
    <row r="5123" spans="1:26" ht="16.5" x14ac:dyDescent="0.35">
      <c r="A5123" s="2" t="str">
        <f ca="1">IFERROR(__xludf.DUMMYFUNCTION("""COMPUTED_VALUE"""),"Dubai")</f>
        <v>Dubai</v>
      </c>
      <c r="B5123" s="2" t="str">
        <f ca="1">IFERROR(__xludf.DUMMYFUNCTION("""COMPUTED_VALUE"""),"A-1 Building")</f>
        <v>A-1 Building</v>
      </c>
      <c r="C5123" s="2" t="str">
        <f ca="1">IFERROR(__xludf.DUMMYFUNCTION("""COMPUTED_VALUE"""),"Building")</f>
        <v>Building</v>
      </c>
      <c r="D5123" s="2" t="str">
        <f ca="1">IFERROR(__xludf.DUMMYFUNCTION("""COMPUTED_VALUE"""),"Dubai&gt;Al Karama&gt;A-1 Building")</f>
        <v>Dubai&gt;Al Karama&gt;A-1 Building</v>
      </c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</row>
    <row r="5124" spans="1:26" ht="16.5" x14ac:dyDescent="0.35">
      <c r="A5124" s="2" t="str">
        <f ca="1">IFERROR(__xludf.DUMMYFUNCTION("""COMPUTED_VALUE"""),"Dubai")</f>
        <v>Dubai</v>
      </c>
      <c r="B5124" s="2" t="str">
        <f ca="1">IFERROR(__xludf.DUMMYFUNCTION("""COMPUTED_VALUE"""),"Culture Village (Jaddaf Waterfront)")</f>
        <v>Culture Village (Jaddaf Waterfront)</v>
      </c>
      <c r="C5124" s="2" t="str">
        <f ca="1">IFERROR(__xludf.DUMMYFUNCTION("""COMPUTED_VALUE"""),"Neighbourhood")</f>
        <v>Neighbourhood</v>
      </c>
      <c r="D5124" s="2" t="str">
        <f ca="1">IFERROR(__xludf.DUMMYFUNCTION("""COMPUTED_VALUE"""),"Dubai&gt;Culture Village (Jaddaf Waterfront)")</f>
        <v>Dubai&gt;Culture Village (Jaddaf Waterfront)</v>
      </c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</row>
    <row r="5125" spans="1:26" ht="16.5" x14ac:dyDescent="0.35">
      <c r="A5125" s="2" t="str">
        <f ca="1">IFERROR(__xludf.DUMMYFUNCTION("""COMPUTED_VALUE"""),"Dubai")</f>
        <v>Dubai</v>
      </c>
      <c r="B5125" s="2" t="str">
        <f ca="1">IFERROR(__xludf.DUMMYFUNCTION("""COMPUTED_VALUE"""),"Volna by Kasco")</f>
        <v>Volna by Kasco</v>
      </c>
      <c r="C5125" s="2" t="str">
        <f ca="1">IFERROR(__xludf.DUMMYFUNCTION("""COMPUTED_VALUE"""),"Building")</f>
        <v>Building</v>
      </c>
      <c r="D5125" s="2" t="str">
        <f ca="1">IFERROR(__xludf.DUMMYFUNCTION("""COMPUTED_VALUE"""),"Dubai&gt;Culture Village (Jaddaf Waterfront)&gt;Volna by Kasco")</f>
        <v>Dubai&gt;Culture Village (Jaddaf Waterfront)&gt;Volna by Kasco</v>
      </c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</row>
    <row r="5126" spans="1:26" ht="16.5" x14ac:dyDescent="0.35">
      <c r="A5126" s="2" t="str">
        <f ca="1">IFERROR(__xludf.DUMMYFUNCTION("""COMPUTED_VALUE"""),"Dubai")</f>
        <v>Dubai</v>
      </c>
      <c r="B5126" s="2" t="str">
        <f ca="1">IFERROR(__xludf.DUMMYFUNCTION("""COMPUTED_VALUE"""),"Lamtara Building 3")</f>
        <v>Lamtara Building 3</v>
      </c>
      <c r="C5126" s="2" t="str">
        <f ca="1">IFERROR(__xludf.DUMMYFUNCTION("""COMPUTED_VALUE"""),"Building")</f>
        <v>Building</v>
      </c>
      <c r="D5126" s="2" t="str">
        <f ca="1">IFERROR(__xludf.DUMMYFUNCTION("""COMPUTED_VALUE"""),"Dubai&gt;Umm Suqeim&gt;Madinat Jumeirah Living&gt;Lamtara&gt;Lamtara Building 3")</f>
        <v>Dubai&gt;Umm Suqeim&gt;Madinat Jumeirah Living&gt;Lamtara&gt;Lamtara Building 3</v>
      </c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</row>
    <row r="5127" spans="1:26" ht="16.5" x14ac:dyDescent="0.35">
      <c r="A5127" s="2" t="str">
        <f ca="1">IFERROR(__xludf.DUMMYFUNCTION("""COMPUTED_VALUE"""),"Dubai")</f>
        <v>Dubai</v>
      </c>
      <c r="B5127" s="2" t="str">
        <f ca="1">IFERROR(__xludf.DUMMYFUNCTION("""COMPUTED_VALUE"""),"Elara")</f>
        <v>Elara</v>
      </c>
      <c r="C5127" s="2" t="str">
        <f ca="1">IFERROR(__xludf.DUMMYFUNCTION("""COMPUTED_VALUE"""),"Cluster")</f>
        <v>Cluster</v>
      </c>
      <c r="D5127" s="2" t="str">
        <f ca="1">IFERROR(__xludf.DUMMYFUNCTION("""COMPUTED_VALUE"""),"Dubai&gt;Umm Suqeim&gt;Madinat Jumeirah Living&gt;Elara")</f>
        <v>Dubai&gt;Umm Suqeim&gt;Madinat Jumeirah Living&gt;Elara</v>
      </c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</row>
    <row r="5128" spans="1:26" ht="16.5" x14ac:dyDescent="0.35">
      <c r="A5128" s="2" t="str">
        <f ca="1">IFERROR(__xludf.DUMMYFUNCTION("""COMPUTED_VALUE"""),"Dubai")</f>
        <v>Dubai</v>
      </c>
      <c r="B5128" s="2" t="str">
        <f ca="1">IFERROR(__xludf.DUMMYFUNCTION("""COMPUTED_VALUE"""),"Bahwan Complex")</f>
        <v>Bahwan Complex</v>
      </c>
      <c r="C5128" s="2" t="str">
        <f ca="1">IFERROR(__xludf.DUMMYFUNCTION("""COMPUTED_VALUE"""),"Neighbourhood")</f>
        <v>Neighbourhood</v>
      </c>
      <c r="D5128" s="2" t="str">
        <f ca="1">IFERROR(__xludf.DUMMYFUNCTION("""COMPUTED_VALUE"""),"Dubai&gt;Umm Suqeim&gt;Umm Suqeim 1&gt;Bahwan Complex")</f>
        <v>Dubai&gt;Umm Suqeim&gt;Umm Suqeim 1&gt;Bahwan Complex</v>
      </c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</row>
    <row r="5129" spans="1:26" ht="16.5" x14ac:dyDescent="0.35">
      <c r="A5129" s="2" t="str">
        <f ca="1">IFERROR(__xludf.DUMMYFUNCTION("""COMPUTED_VALUE"""),"Dubai")</f>
        <v>Dubai</v>
      </c>
      <c r="B5129" s="2" t="str">
        <f ca="1">IFERROR(__xludf.DUMMYFUNCTION("""COMPUTED_VALUE"""),"Al Badaa")</f>
        <v>Al Badaa</v>
      </c>
      <c r="C5129" s="2" t="str">
        <f ca="1">IFERROR(__xludf.DUMMYFUNCTION("""COMPUTED_VALUE"""),"Neighbourhood")</f>
        <v>Neighbourhood</v>
      </c>
      <c r="D5129" s="2" t="str">
        <f ca="1">IFERROR(__xludf.DUMMYFUNCTION("""COMPUTED_VALUE"""),"Dubai&gt;Al Badaa")</f>
        <v>Dubai&gt;Al Badaa</v>
      </c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</row>
    <row r="5130" spans="1:26" ht="16.5" x14ac:dyDescent="0.35">
      <c r="A5130" s="2" t="str">
        <f ca="1">IFERROR(__xludf.DUMMYFUNCTION("""COMPUTED_VALUE"""),"Dubai")</f>
        <v>Dubai</v>
      </c>
      <c r="B5130" s="2" t="str">
        <f ca="1">IFERROR(__xludf.DUMMYFUNCTION("""COMPUTED_VALUE"""),"Shuhail Building")</f>
        <v>Shuhail Building</v>
      </c>
      <c r="C5130" s="2" t="str">
        <f ca="1">IFERROR(__xludf.DUMMYFUNCTION("""COMPUTED_VALUE"""),"Building")</f>
        <v>Building</v>
      </c>
      <c r="D5130" s="2" t="str">
        <f ca="1">IFERROR(__xludf.DUMMYFUNCTION("""COMPUTED_VALUE"""),"Dubai&gt;Al Badaa&gt;Shuhail Building")</f>
        <v>Dubai&gt;Al Badaa&gt;Shuhail Building</v>
      </c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</row>
    <row r="5131" spans="1:26" ht="16.5" x14ac:dyDescent="0.35">
      <c r="A5131" s="2" t="str">
        <f ca="1">IFERROR(__xludf.DUMMYFUNCTION("""COMPUTED_VALUE"""),"Dubai")</f>
        <v>Dubai</v>
      </c>
      <c r="B5131" s="2" t="str">
        <f ca="1">IFERROR(__xludf.DUMMYFUNCTION("""COMPUTED_VALUE"""),"Al Wasl Properties R1055")</f>
        <v>Al Wasl Properties R1055</v>
      </c>
      <c r="C5131" s="2" t="str">
        <f ca="1">IFERROR(__xludf.DUMMYFUNCTION("""COMPUTED_VALUE"""),"Neighbourhood")</f>
        <v>Neighbourhood</v>
      </c>
      <c r="D5131" s="2" t="str">
        <f ca="1">IFERROR(__xludf.DUMMYFUNCTION("""COMPUTED_VALUE"""),"Dubai&gt;Al Badaa&gt;Al Wasl Properties R1055")</f>
        <v>Dubai&gt;Al Badaa&gt;Al Wasl Properties R1055</v>
      </c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</row>
    <row r="5132" spans="1:26" ht="16.5" x14ac:dyDescent="0.35">
      <c r="A5132" s="2" t="str">
        <f ca="1">IFERROR(__xludf.DUMMYFUNCTION("""COMPUTED_VALUE"""),"Dubai")</f>
        <v>Dubai</v>
      </c>
      <c r="B5132" s="2" t="str">
        <f ca="1">IFERROR(__xludf.DUMMYFUNCTION("""COMPUTED_VALUE"""),"German International School Dubai")</f>
        <v>German International School Dubai</v>
      </c>
      <c r="C5132" s="2" t="str">
        <f ca="1">IFERROR(__xludf.DUMMYFUNCTION("""COMPUTED_VALUE"""),"School")</f>
        <v>School</v>
      </c>
      <c r="D5132" s="2" t="str">
        <f ca="1">IFERROR(__xludf.DUMMYFUNCTION("""COMPUTED_VALUE"""),"Dubai&gt;Academic City&gt;German International School Dubai")</f>
        <v>Dubai&gt;Academic City&gt;German International School Dubai</v>
      </c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</row>
    <row r="5133" spans="1:26" ht="16.5" x14ac:dyDescent="0.35">
      <c r="A5133" s="2" t="str">
        <f ca="1">IFERROR(__xludf.DUMMYFUNCTION("""COMPUTED_VALUE"""),"Dubai")</f>
        <v>Dubai</v>
      </c>
      <c r="B5133" s="2" t="str">
        <f ca="1">IFERROR(__xludf.DUMMYFUNCTION("""COMPUTED_VALUE"""),"Lulu Hypermarket")</f>
        <v>Lulu Hypermarket</v>
      </c>
      <c r="C5133" s="2" t="str">
        <f ca="1">IFERROR(__xludf.DUMMYFUNCTION("""COMPUTED_VALUE"""),"Building")</f>
        <v>Building</v>
      </c>
      <c r="D5133" s="2" t="str">
        <f ca="1">IFERROR(__xludf.DUMMYFUNCTION("""COMPUTED_VALUE"""),"Dubai&gt;Al Rashidiya&gt;Lulu Hypermarket")</f>
        <v>Dubai&gt;Al Rashidiya&gt;Lulu Hypermarket</v>
      </c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</row>
    <row r="5134" spans="1:26" ht="16.5" x14ac:dyDescent="0.35">
      <c r="A5134" s="2" t="str">
        <f ca="1">IFERROR(__xludf.DUMMYFUNCTION("""COMPUTED_VALUE"""),"Dubai")</f>
        <v>Dubai</v>
      </c>
      <c r="B5134" s="2" t="str">
        <f ca="1">IFERROR(__xludf.DUMMYFUNCTION("""COMPUTED_VALUE"""),"Crown Plaza Jumeirah")</f>
        <v>Crown Plaza Jumeirah</v>
      </c>
      <c r="C5134" s="2" t="str">
        <f ca="1">IFERROR(__xludf.DUMMYFUNCTION("""COMPUTED_VALUE"""),"Building")</f>
        <v>Building</v>
      </c>
      <c r="D5134" s="2" t="str">
        <f ca="1">IFERROR(__xludf.DUMMYFUNCTION("""COMPUTED_VALUE"""),"Dubai&gt;Al Hudaiba&gt;Crown Plaza Jumeirah")</f>
        <v>Dubai&gt;Al Hudaiba&gt;Crown Plaza Jumeirah</v>
      </c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</row>
    <row r="5135" spans="1:26" ht="16.5" x14ac:dyDescent="0.35">
      <c r="A5135" s="2" t="str">
        <f ca="1">IFERROR(__xludf.DUMMYFUNCTION("""COMPUTED_VALUE"""),"Dubai")</f>
        <v>Dubai</v>
      </c>
      <c r="B5135" s="2" t="str">
        <f ca="1">IFERROR(__xludf.DUMMYFUNCTION("""COMPUTED_VALUE"""),"Al Wasl R345 Building")</f>
        <v>Al Wasl R345 Building</v>
      </c>
      <c r="C5135" s="2" t="str">
        <f ca="1">IFERROR(__xludf.DUMMYFUNCTION("""COMPUTED_VALUE"""),"Building")</f>
        <v>Building</v>
      </c>
      <c r="D5135" s="2" t="str">
        <f ca="1">IFERROR(__xludf.DUMMYFUNCTION("""COMPUTED_VALUE"""),"Dubai&gt;Al Hudaiba&gt;Al Wasl R345 Building")</f>
        <v>Dubai&gt;Al Hudaiba&gt;Al Wasl R345 Building</v>
      </c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</row>
    <row r="5136" spans="1:26" ht="16.5" x14ac:dyDescent="0.35">
      <c r="A5136" s="2" t="str">
        <f ca="1">IFERROR(__xludf.DUMMYFUNCTION("""COMPUTED_VALUE"""),"Dubai")</f>
        <v>Dubai</v>
      </c>
      <c r="B5136" s="2" t="str">
        <f ca="1">IFERROR(__xludf.DUMMYFUNCTION("""COMPUTED_VALUE"""),"AL Telal 12 Building")</f>
        <v>AL Telal 12 Building</v>
      </c>
      <c r="C5136" s="2" t="str">
        <f ca="1">IFERROR(__xludf.DUMMYFUNCTION("""COMPUTED_VALUE"""),"Building")</f>
        <v>Building</v>
      </c>
      <c r="D5136" s="2" t="str">
        <f ca="1">IFERROR(__xludf.DUMMYFUNCTION("""COMPUTED_VALUE"""),"Dubai&gt;Jumeirah&gt;Jumeirah 1&gt;AL Telal 12 Building")</f>
        <v>Dubai&gt;Jumeirah&gt;Jumeirah 1&gt;AL Telal 12 Building</v>
      </c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</row>
    <row r="5137" spans="1:26" ht="16.5" x14ac:dyDescent="0.35">
      <c r="A5137" s="2" t="str">
        <f ca="1">IFERROR(__xludf.DUMMYFUNCTION("""COMPUTED_VALUE"""),"Dubai")</f>
        <v>Dubai</v>
      </c>
      <c r="B5137" s="2" t="str">
        <f ca="1">IFERROR(__xludf.DUMMYFUNCTION("""COMPUTED_VALUE"""),"Beach Park Plaza Centre")</f>
        <v>Beach Park Plaza Centre</v>
      </c>
      <c r="C5137" s="2" t="str">
        <f ca="1">IFERROR(__xludf.DUMMYFUNCTION("""COMPUTED_VALUE"""),"Building")</f>
        <v>Building</v>
      </c>
      <c r="D5137" s="2" t="str">
        <f ca="1">IFERROR(__xludf.DUMMYFUNCTION("""COMPUTED_VALUE"""),"Dubai&gt;Jumeirah&gt;Jumeirah 2&gt;Beach Park Plaza Centre")</f>
        <v>Dubai&gt;Jumeirah&gt;Jumeirah 2&gt;Beach Park Plaza Centre</v>
      </c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</row>
    <row r="5138" spans="1:26" ht="16.5" x14ac:dyDescent="0.35">
      <c r="A5138" s="2" t="str">
        <f ca="1">IFERROR(__xludf.DUMMYFUNCTION("""COMPUTED_VALUE"""),"Dubai")</f>
        <v>Dubai</v>
      </c>
      <c r="B5138" s="2" t="str">
        <f ca="1">IFERROR(__xludf.DUMMYFUNCTION("""COMPUTED_VALUE"""),"La Cote Tower 4")</f>
        <v>La Cote Tower 4</v>
      </c>
      <c r="C5138" s="2" t="str">
        <f ca="1">IFERROR(__xludf.DUMMYFUNCTION("""COMPUTED_VALUE"""),"Building")</f>
        <v>Building</v>
      </c>
      <c r="D5138" s="2" t="str">
        <f ca="1">IFERROR(__xludf.DUMMYFUNCTION("""COMPUTED_VALUE"""),"Dubai&gt;Jumeirah&gt;La Mer&gt;Port de La Mer&gt;La Cote&gt;La Cote Tower 4")</f>
        <v>Dubai&gt;Jumeirah&gt;La Mer&gt;Port de La Mer&gt;La Cote&gt;La Cote Tower 4</v>
      </c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</row>
    <row r="5139" spans="1:26" ht="16.5" x14ac:dyDescent="0.35">
      <c r="A5139" s="2" t="str">
        <f ca="1">IFERROR(__xludf.DUMMYFUNCTION("""COMPUTED_VALUE"""),"Dubai")</f>
        <v>Dubai</v>
      </c>
      <c r="B5139" s="2" t="str">
        <f ca="1">IFERROR(__xludf.DUMMYFUNCTION("""COMPUTED_VALUE"""),"Creek Horizon Tower 1")</f>
        <v>Creek Horizon Tower 1</v>
      </c>
      <c r="C5139" s="2" t="str">
        <f ca="1">IFERROR(__xludf.DUMMYFUNCTION("""COMPUTED_VALUE"""),"Building")</f>
        <v>Building</v>
      </c>
      <c r="D5139" s="2" t="str">
        <f ca="1">IFERROR(__xludf.DUMMYFUNCTION("""COMPUTED_VALUE"""),"Dubai&gt;Dubai Creek Harbour&gt;Creek Horizon&gt;Creek Horizon Tower 1")</f>
        <v>Dubai&gt;Dubai Creek Harbour&gt;Creek Horizon&gt;Creek Horizon Tower 1</v>
      </c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</row>
    <row r="5140" spans="1:26" ht="16.5" x14ac:dyDescent="0.35">
      <c r="A5140" s="2" t="str">
        <f ca="1">IFERROR(__xludf.DUMMYFUNCTION("""COMPUTED_VALUE"""),"Dubai")</f>
        <v>Dubai</v>
      </c>
      <c r="B5140" s="2" t="str">
        <f ca="1">IFERROR(__xludf.DUMMYFUNCTION("""COMPUTED_VALUE"""),"Breeze 1")</f>
        <v>Breeze 1</v>
      </c>
      <c r="C5140" s="2" t="str">
        <f ca="1">IFERROR(__xludf.DUMMYFUNCTION("""COMPUTED_VALUE"""),"Building")</f>
        <v>Building</v>
      </c>
      <c r="D5140" s="2" t="str">
        <f ca="1">IFERROR(__xludf.DUMMYFUNCTION("""COMPUTED_VALUE"""),"Dubai&gt;Dubai Creek Harbour&gt;Breeze at Creek Beach&gt;Breeze 1")</f>
        <v>Dubai&gt;Dubai Creek Harbour&gt;Breeze at Creek Beach&gt;Breeze 1</v>
      </c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</row>
    <row r="5141" spans="1:26" ht="16.5" x14ac:dyDescent="0.35">
      <c r="A5141" s="2" t="str">
        <f ca="1">IFERROR(__xludf.DUMMYFUNCTION("""COMPUTED_VALUE"""),"Dubai")</f>
        <v>Dubai</v>
      </c>
      <c r="B5141" s="2" t="str">
        <f ca="1">IFERROR(__xludf.DUMMYFUNCTION("""COMPUTED_VALUE"""),"Grove Building 5")</f>
        <v>Grove Building 5</v>
      </c>
      <c r="C5141" s="2" t="str">
        <f ca="1">IFERROR(__xludf.DUMMYFUNCTION("""COMPUTED_VALUE"""),"Building")</f>
        <v>Building</v>
      </c>
      <c r="D5141" s="2" t="str">
        <f ca="1">IFERROR(__xludf.DUMMYFUNCTION("""COMPUTED_VALUE"""),"Dubai&gt;Dubai Creek Harbour&gt;Grove at Creek Beach&gt;Grove Building 5")</f>
        <v>Dubai&gt;Dubai Creek Harbour&gt;Grove at Creek Beach&gt;Grove Building 5</v>
      </c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</row>
    <row r="5142" spans="1:26" ht="16.5" x14ac:dyDescent="0.35">
      <c r="A5142" s="2" t="str">
        <f ca="1">IFERROR(__xludf.DUMMYFUNCTION("""COMPUTED_VALUE"""),"Dubai")</f>
        <v>Dubai</v>
      </c>
      <c r="B5142" s="2" t="str">
        <f ca="1">IFERROR(__xludf.DUMMYFUNCTION("""COMPUTED_VALUE"""),"Savanna Building 1")</f>
        <v>Savanna Building 1</v>
      </c>
      <c r="C5142" s="2" t="str">
        <f ca="1">IFERROR(__xludf.DUMMYFUNCTION("""COMPUTED_VALUE"""),"Building")</f>
        <v>Building</v>
      </c>
      <c r="D5142" s="2" t="str">
        <f ca="1">IFERROR(__xludf.DUMMYFUNCTION("""COMPUTED_VALUE"""),"Dubai&gt;Dubai Creek Harbour&gt;Savanna&gt;Savanna Building 1")</f>
        <v>Dubai&gt;Dubai Creek Harbour&gt;Savanna&gt;Savanna Building 1</v>
      </c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</row>
    <row r="5143" spans="1:26" ht="16.5" x14ac:dyDescent="0.35">
      <c r="A5143" s="2" t="str">
        <f ca="1">IFERROR(__xludf.DUMMYFUNCTION("""COMPUTED_VALUE"""),"Dubai")</f>
        <v>Dubai</v>
      </c>
      <c r="B5143" s="2" t="str">
        <f ca="1">IFERROR(__xludf.DUMMYFUNCTION("""COMPUTED_VALUE"""),"Moor at Creek Beach Building 4")</f>
        <v>Moor at Creek Beach Building 4</v>
      </c>
      <c r="C5143" s="2" t="str">
        <f ca="1">IFERROR(__xludf.DUMMYFUNCTION("""COMPUTED_VALUE"""),"Building")</f>
        <v>Building</v>
      </c>
      <c r="D5143" s="2" t="str">
        <f ca="1">IFERROR(__xludf.DUMMYFUNCTION("""COMPUTED_VALUE"""),"Dubai&gt;Dubai Creek Harbour&gt;Moor at Creek Beach&gt;Moor at Creek Beach Building 4")</f>
        <v>Dubai&gt;Dubai Creek Harbour&gt;Moor at Creek Beach&gt;Moor at Creek Beach Building 4</v>
      </c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</row>
    <row r="5144" spans="1:26" ht="16.5" x14ac:dyDescent="0.35">
      <c r="A5144" s="2" t="str">
        <f ca="1">IFERROR(__xludf.DUMMYFUNCTION("""COMPUTED_VALUE"""),"Dubai")</f>
        <v>Dubai</v>
      </c>
      <c r="B5144" s="2" t="str">
        <f ca="1">IFERROR(__xludf.DUMMYFUNCTION("""COMPUTED_VALUE"""),"Crown Residence")</f>
        <v>Crown Residence</v>
      </c>
      <c r="C5144" s="2" t="str">
        <f ca="1">IFERROR(__xludf.DUMMYFUNCTION("""COMPUTED_VALUE"""),"Building")</f>
        <v>Building</v>
      </c>
      <c r="D5144" s="2" t="str">
        <f ca="1">IFERROR(__xludf.DUMMYFUNCTION("""COMPUTED_VALUE"""),"Dubai&gt;Barsha Heights (Tecom)&gt;Crown Residence")</f>
        <v>Dubai&gt;Barsha Heights (Tecom)&gt;Crown Residence</v>
      </c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</row>
    <row r="5145" spans="1:26" ht="16.5" x14ac:dyDescent="0.35">
      <c r="A5145" s="2" t="str">
        <f ca="1">IFERROR(__xludf.DUMMYFUNCTION("""COMPUTED_VALUE"""),"Dubai")</f>
        <v>Dubai</v>
      </c>
      <c r="B5145" s="2" t="str">
        <f ca="1">IFERROR(__xludf.DUMMYFUNCTION("""COMPUTED_VALUE"""),"DAMAC Executive Heights")</f>
        <v>DAMAC Executive Heights</v>
      </c>
      <c r="C5145" s="2" t="str">
        <f ca="1">IFERROR(__xludf.DUMMYFUNCTION("""COMPUTED_VALUE"""),"Building")</f>
        <v>Building</v>
      </c>
      <c r="D5145" s="2" t="str">
        <f ca="1">IFERROR(__xludf.DUMMYFUNCTION("""COMPUTED_VALUE"""),"Dubai&gt;Barsha Heights (Tecom)&gt;DAMAC Executive Heights")</f>
        <v>Dubai&gt;Barsha Heights (Tecom)&gt;DAMAC Executive Heights</v>
      </c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</row>
    <row r="5146" spans="1:26" ht="16.5" x14ac:dyDescent="0.35">
      <c r="A5146" s="2" t="str">
        <f ca="1">IFERROR(__xludf.DUMMYFUNCTION("""COMPUTED_VALUE"""),"Dubai")</f>
        <v>Dubai</v>
      </c>
      <c r="B5146" s="2" t="str">
        <f ca="1">IFERROR(__xludf.DUMMYFUNCTION("""COMPUTED_VALUE"""),"Al Saraya")</f>
        <v>Al Saraya</v>
      </c>
      <c r="C5146" s="2" t="str">
        <f ca="1">IFERROR(__xludf.DUMMYFUNCTION("""COMPUTED_VALUE"""),"Building")</f>
        <v>Building</v>
      </c>
      <c r="D5146" s="2" t="str">
        <f ca="1">IFERROR(__xludf.DUMMYFUNCTION("""COMPUTED_VALUE"""),"Dubai&gt;Barsha Heights (Tecom)&gt;Al Saraya")</f>
        <v>Dubai&gt;Barsha Heights (Tecom)&gt;Al Saraya</v>
      </c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</row>
    <row r="5147" spans="1:26" ht="16.5" x14ac:dyDescent="0.35">
      <c r="A5147" s="2" t="str">
        <f ca="1">IFERROR(__xludf.DUMMYFUNCTION("""COMPUTED_VALUE"""),"Dubai")</f>
        <v>Dubai</v>
      </c>
      <c r="B5147" s="2" t="str">
        <f ca="1">IFERROR(__xludf.DUMMYFUNCTION("""COMPUTED_VALUE"""),"Dusit D2 Kenz Hotel")</f>
        <v>Dusit D2 Kenz Hotel</v>
      </c>
      <c r="C5147" s="2" t="str">
        <f ca="1">IFERROR(__xludf.DUMMYFUNCTION("""COMPUTED_VALUE"""),"Building")</f>
        <v>Building</v>
      </c>
      <c r="D5147" s="2" t="str">
        <f ca="1">IFERROR(__xludf.DUMMYFUNCTION("""COMPUTED_VALUE"""),"Dubai&gt;Barsha Heights (Tecom)&gt;Dusit D2 Kenz Hotel")</f>
        <v>Dubai&gt;Barsha Heights (Tecom)&gt;Dusit D2 Kenz Hotel</v>
      </c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</row>
    <row r="5148" spans="1:26" ht="16.5" x14ac:dyDescent="0.35">
      <c r="A5148" s="2" t="str">
        <f ca="1">IFERROR(__xludf.DUMMYFUNCTION("""COMPUTED_VALUE"""),"Dubai")</f>
        <v>Dubai</v>
      </c>
      <c r="B5148" s="2" t="str">
        <f ca="1">IFERROR(__xludf.DUMMYFUNCTION("""COMPUTED_VALUE"""),"Terraced Apartment 2A")</f>
        <v>Terraced Apartment 2A</v>
      </c>
      <c r="C5148" s="2" t="str">
        <f ca="1">IFERROR(__xludf.DUMMYFUNCTION("""COMPUTED_VALUE"""),"Building")</f>
        <v>Building</v>
      </c>
      <c r="D5148" s="2" t="str">
        <f ca="1">IFERROR(__xludf.DUMMYFUNCTION("""COMPUTED_VALUE"""),"Dubai&gt;Motor City&gt;Green Community (Motor City)&gt;Terraced Apartments&gt;Terraced Apartment 2A")</f>
        <v>Dubai&gt;Motor City&gt;Green Community (Motor City)&gt;Terraced Apartments&gt;Terraced Apartment 2A</v>
      </c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</row>
    <row r="5149" spans="1:26" ht="16.5" x14ac:dyDescent="0.35">
      <c r="A5149" s="2" t="str">
        <f ca="1">IFERROR(__xludf.DUMMYFUNCTION("""COMPUTED_VALUE"""),"Dubai")</f>
        <v>Dubai</v>
      </c>
      <c r="B5149" s="2" t="str">
        <f ca="1">IFERROR(__xludf.DUMMYFUNCTION("""COMPUTED_VALUE"""),"Bennett House")</f>
        <v>Bennett House</v>
      </c>
      <c r="C5149" s="2" t="str">
        <f ca="1">IFERROR(__xludf.DUMMYFUNCTION("""COMPUTED_VALUE"""),"Cluster")</f>
        <v>Cluster</v>
      </c>
      <c r="D5149" s="2" t="str">
        <f ca="1">IFERROR(__xludf.DUMMYFUNCTION("""COMPUTED_VALUE"""),"Dubai&gt;Motor City&gt;Uptown Motor City&gt;Bennett House")</f>
        <v>Dubai&gt;Motor City&gt;Uptown Motor City&gt;Bennett House</v>
      </c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</row>
    <row r="5150" spans="1:26" ht="16.5" x14ac:dyDescent="0.35">
      <c r="A5150" s="2" t="str">
        <f ca="1">IFERROR(__xludf.DUMMYFUNCTION("""COMPUTED_VALUE"""),"Dubai")</f>
        <v>Dubai</v>
      </c>
      <c r="B5150" s="2" t="str">
        <f ca="1">IFERROR(__xludf.DUMMYFUNCTION("""COMPUTED_VALUE"""),"OIA Residence")</f>
        <v>OIA Residence</v>
      </c>
      <c r="C5150" s="2" t="str">
        <f ca="1">IFERROR(__xludf.DUMMYFUNCTION("""COMPUTED_VALUE"""),"Building")</f>
        <v>Building</v>
      </c>
      <c r="D5150" s="2" t="str">
        <f ca="1">IFERROR(__xludf.DUMMYFUNCTION("""COMPUTED_VALUE"""),"Dubai&gt;Motor City&gt;Uptown Motor City&gt;OIA Residence")</f>
        <v>Dubai&gt;Motor City&gt;Uptown Motor City&gt;OIA Residence</v>
      </c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</row>
    <row r="5151" spans="1:26" ht="16.5" x14ac:dyDescent="0.35">
      <c r="A5151" s="2" t="str">
        <f ca="1">IFERROR(__xludf.DUMMYFUNCTION("""COMPUTED_VALUE"""),"Dubai")</f>
        <v>Dubai</v>
      </c>
      <c r="B5151" s="2" t="str">
        <f ca="1">IFERROR(__xludf.DUMMYFUNCTION("""COMPUTED_VALUE"""),"Sobha Orbis Tower D")</f>
        <v>Sobha Orbis Tower D</v>
      </c>
      <c r="C5151" s="2" t="str">
        <f ca="1">IFERROR(__xludf.DUMMYFUNCTION("""COMPUTED_VALUE"""),"Building")</f>
        <v>Building</v>
      </c>
      <c r="D5151" s="2" t="str">
        <f ca="1">IFERROR(__xludf.DUMMYFUNCTION("""COMPUTED_VALUE"""),"Dubai&gt;Motor City&gt;Sobha Orbis&gt;Sobha Orbis Tower D")</f>
        <v>Dubai&gt;Motor City&gt;Sobha Orbis&gt;Sobha Orbis Tower D</v>
      </c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</row>
    <row r="5152" spans="1:26" ht="16.5" x14ac:dyDescent="0.35">
      <c r="A5152" s="2" t="str">
        <f ca="1">IFERROR(__xludf.DUMMYFUNCTION("""COMPUTED_VALUE"""),"Dubai")</f>
        <v>Dubai</v>
      </c>
      <c r="B5152" s="2" t="str">
        <f ca="1">IFERROR(__xludf.DUMMYFUNCTION("""COMPUTED_VALUE"""),"Oud Al Muteena 2")</f>
        <v>Oud Al Muteena 2</v>
      </c>
      <c r="C5152" s="2" t="str">
        <f ca="1">IFERROR(__xludf.DUMMYFUNCTION("""COMPUTED_VALUE"""),"Neighbourhood")</f>
        <v>Neighbourhood</v>
      </c>
      <c r="D5152" s="2" t="str">
        <f ca="1">IFERROR(__xludf.DUMMYFUNCTION("""COMPUTED_VALUE"""),"Dubai&gt;Oud Al Muteena&gt;Oud Al Muteena 2")</f>
        <v>Dubai&gt;Oud Al Muteena&gt;Oud Al Muteena 2</v>
      </c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</row>
    <row r="5153" spans="1:26" ht="16.5" x14ac:dyDescent="0.35">
      <c r="A5153" s="2" t="str">
        <f ca="1">IFERROR(__xludf.DUMMYFUNCTION("""COMPUTED_VALUE"""),"Dubai")</f>
        <v>Dubai</v>
      </c>
      <c r="B5153" s="2" t="str">
        <f ca="1">IFERROR(__xludf.DUMMYFUNCTION("""COMPUTED_VALUE"""),"Arenco Villas")</f>
        <v>Arenco Villas</v>
      </c>
      <c r="C5153" s="2" t="str">
        <f ca="1">IFERROR(__xludf.DUMMYFUNCTION("""COMPUTED_VALUE"""),"Neighbourhood")</f>
        <v>Neighbourhood</v>
      </c>
      <c r="D5153" s="2" t="str">
        <f ca="1">IFERROR(__xludf.DUMMYFUNCTION("""COMPUTED_VALUE"""),"Dubai&gt;Al Sufouh&gt;Al Sufouh 2&gt;Arenco Villas")</f>
        <v>Dubai&gt;Al Sufouh&gt;Al Sufouh 2&gt;Arenco Villas</v>
      </c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</row>
    <row r="5154" spans="1:26" ht="16.5" x14ac:dyDescent="0.35">
      <c r="A5154" s="2" t="str">
        <f ca="1">IFERROR(__xludf.DUMMYFUNCTION("""COMPUTED_VALUE"""),"Dubai")</f>
        <v>Dubai</v>
      </c>
      <c r="B5154" s="2" t="str">
        <f ca="1">IFERROR(__xludf.DUMMYFUNCTION("""COMPUTED_VALUE"""),"Universal American School")</f>
        <v>Universal American School</v>
      </c>
      <c r="C5154" s="2" t="str">
        <f ca="1">IFERROR(__xludf.DUMMYFUNCTION("""COMPUTED_VALUE"""),"School")</f>
        <v>School</v>
      </c>
      <c r="D5154" s="2" t="str">
        <f ca="1">IFERROR(__xludf.DUMMYFUNCTION("""COMPUTED_VALUE"""),"Dubai&gt;Dubai Festival City&gt;Universal American School")</f>
        <v>Dubai&gt;Dubai Festival City&gt;Universal American School</v>
      </c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</row>
    <row r="5155" spans="1:26" ht="16.5" x14ac:dyDescent="0.35">
      <c r="A5155" s="2" t="str">
        <f ca="1">IFERROR(__xludf.DUMMYFUNCTION("""COMPUTED_VALUE"""),"Dubai")</f>
        <v>Dubai</v>
      </c>
      <c r="B5155" s="2" t="str">
        <f ca="1">IFERROR(__xludf.DUMMYFUNCTION("""COMPUTED_VALUE"""),"Al Badia Living Building C")</f>
        <v>Al Badia Living Building C</v>
      </c>
      <c r="C5155" s="2" t="str">
        <f ca="1">IFERROR(__xludf.DUMMYFUNCTION("""COMPUTED_VALUE"""),"Building")</f>
        <v>Building</v>
      </c>
      <c r="D5155" s="2" t="str">
        <f ca="1">IFERROR(__xludf.DUMMYFUNCTION("""COMPUTED_VALUE"""),"Dubai&gt;Dubai Festival City&gt;Al Badia Living&gt;Al Badia Living Building C")</f>
        <v>Dubai&gt;Dubai Festival City&gt;Al Badia Living&gt;Al Badia Living Building C</v>
      </c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</row>
    <row r="5156" spans="1:26" ht="16.5" x14ac:dyDescent="0.35">
      <c r="A5156" s="2" t="str">
        <f ca="1">IFERROR(__xludf.DUMMYFUNCTION("""COMPUTED_VALUE"""),"Dubai")</f>
        <v>Dubai</v>
      </c>
      <c r="B5156" s="2" t="str">
        <f ca="1">IFERROR(__xludf.DUMMYFUNCTION("""COMPUTED_VALUE"""),"Golf Promenade 4")</f>
        <v>Golf Promenade 4</v>
      </c>
      <c r="C5156" s="2" t="str">
        <f ca="1">IFERROR(__xludf.DUMMYFUNCTION("""COMPUTED_VALUE"""),"Cluster")</f>
        <v>Cluster</v>
      </c>
      <c r="D5156" s="2" t="str">
        <f ca="1">IFERROR(__xludf.DUMMYFUNCTION("""COMPUTED_VALUE"""),"Dubai&gt;DAMAC Hills&gt;Golf Town&gt;Golf Promenade&gt;Golf Promenade 4")</f>
        <v>Dubai&gt;DAMAC Hills&gt;Golf Town&gt;Golf Promenade&gt;Golf Promenade 4</v>
      </c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</row>
    <row r="5157" spans="1:26" ht="16.5" x14ac:dyDescent="0.35">
      <c r="A5157" s="2" t="str">
        <f ca="1">IFERROR(__xludf.DUMMYFUNCTION("""COMPUTED_VALUE"""),"Dubai")</f>
        <v>Dubai</v>
      </c>
      <c r="B5157" s="2" t="str">
        <f ca="1">IFERROR(__xludf.DUMMYFUNCTION("""COMPUTED_VALUE"""),"A La Carte Villas")</f>
        <v>A La Carte Villas</v>
      </c>
      <c r="C5157" s="2" t="str">
        <f ca="1">IFERROR(__xludf.DUMMYFUNCTION("""COMPUTED_VALUE"""),"Neighbourhood")</f>
        <v>Neighbourhood</v>
      </c>
      <c r="D5157" s="2" t="str">
        <f ca="1">IFERROR(__xludf.DUMMYFUNCTION("""COMPUTED_VALUE"""),"Dubai&gt;DAMAC Hills&gt;A La Carte Villas")</f>
        <v>Dubai&gt;DAMAC Hills&gt;A La Carte Villas</v>
      </c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</row>
    <row r="5158" spans="1:26" ht="16.5" x14ac:dyDescent="0.35">
      <c r="A5158" s="2" t="str">
        <f ca="1">IFERROR(__xludf.DUMMYFUNCTION("""COMPUTED_VALUE"""),"Dubai")</f>
        <v>Dubai</v>
      </c>
      <c r="B5158" s="2" t="str">
        <f ca="1">IFERROR(__xludf.DUMMYFUNCTION("""COMPUTED_VALUE"""),"Cavalli Estates")</f>
        <v>Cavalli Estates</v>
      </c>
      <c r="C5158" s="2" t="str">
        <f ca="1">IFERROR(__xludf.DUMMYFUNCTION("""COMPUTED_VALUE"""),"Neighbourhood")</f>
        <v>Neighbourhood</v>
      </c>
      <c r="D5158" s="2" t="str">
        <f ca="1">IFERROR(__xludf.DUMMYFUNCTION("""COMPUTED_VALUE"""),"Dubai&gt;DAMAC Hills&gt;Cavalli Estates")</f>
        <v>Dubai&gt;DAMAC Hills&gt;Cavalli Estates</v>
      </c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</row>
    <row r="5159" spans="1:26" ht="16.5" x14ac:dyDescent="0.35">
      <c r="A5159" s="2" t="str">
        <f ca="1">IFERROR(__xludf.DUMMYFUNCTION("""COMPUTED_VALUE"""),"Dubai")</f>
        <v>Dubai</v>
      </c>
      <c r="B5159" s="2" t="str">
        <f ca="1">IFERROR(__xludf.DUMMYFUNCTION("""COMPUTED_VALUE"""),"Wasl Port Views 4")</f>
        <v>Wasl Port Views 4</v>
      </c>
      <c r="C5159" s="2" t="str">
        <f ca="1">IFERROR(__xludf.DUMMYFUNCTION("""COMPUTED_VALUE"""),"Building")</f>
        <v>Building</v>
      </c>
      <c r="D5159" s="2" t="str">
        <f ca="1">IFERROR(__xludf.DUMMYFUNCTION("""COMPUTED_VALUE"""),"Dubai&gt;Al Mina&gt;Wasl Port Views&gt;Wasl Port Views 4")</f>
        <v>Dubai&gt;Al Mina&gt;Wasl Port Views&gt;Wasl Port Views 4</v>
      </c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</row>
    <row r="5160" spans="1:26" ht="16.5" x14ac:dyDescent="0.35">
      <c r="A5160" s="2" t="str">
        <f ca="1">IFERROR(__xludf.DUMMYFUNCTION("""COMPUTED_VALUE"""),"Dubai")</f>
        <v>Dubai</v>
      </c>
      <c r="B5160" s="2" t="str">
        <f ca="1">IFERROR(__xludf.DUMMYFUNCTION("""COMPUTED_VALUE"""),"Mar Casa")</f>
        <v>Mar Casa</v>
      </c>
      <c r="C5160" s="2" t="str">
        <f ca="1">IFERROR(__xludf.DUMMYFUNCTION("""COMPUTED_VALUE"""),"Building")</f>
        <v>Building</v>
      </c>
      <c r="D5160" s="2" t="str">
        <f ca="1">IFERROR(__xludf.DUMMYFUNCTION("""COMPUTED_VALUE"""),"Dubai&gt;Dubai Maritime City&gt;Mar Casa")</f>
        <v>Dubai&gt;Dubai Maritime City&gt;Mar Casa</v>
      </c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</row>
    <row r="5161" spans="1:26" ht="16.5" x14ac:dyDescent="0.35">
      <c r="A5161" s="2" t="str">
        <f ca="1">IFERROR(__xludf.DUMMYFUNCTION("""COMPUTED_VALUE"""),"Dubai")</f>
        <v>Dubai</v>
      </c>
      <c r="B5161" s="2" t="str">
        <f ca="1">IFERROR(__xludf.DUMMYFUNCTION("""COMPUTED_VALUE"""),"Soulever Tower 1")</f>
        <v>Soulever Tower 1</v>
      </c>
      <c r="C5161" s="2" t="str">
        <f ca="1">IFERROR(__xludf.DUMMYFUNCTION("""COMPUTED_VALUE"""),"Building")</f>
        <v>Building</v>
      </c>
      <c r="D5161" s="2" t="str">
        <f ca="1">IFERROR(__xludf.DUMMYFUNCTION("""COMPUTED_VALUE"""),"Dubai&gt;Dubai Maritime City&gt;Soulever by Beyond&gt;Soulever Tower 1")</f>
        <v>Dubai&gt;Dubai Maritime City&gt;Soulever by Beyond&gt;Soulever Tower 1</v>
      </c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</row>
    <row r="5162" spans="1:26" ht="16.5" x14ac:dyDescent="0.35">
      <c r="A5162" s="2" t="str">
        <f ca="1">IFERROR(__xludf.DUMMYFUNCTION("""COMPUTED_VALUE"""),"Dubai")</f>
        <v>Dubai</v>
      </c>
      <c r="B5162" s="2" t="str">
        <f ca="1">IFERROR(__xludf.DUMMYFUNCTION("""COMPUTED_VALUE"""),"Golf Apartments")</f>
        <v>Golf Apartments</v>
      </c>
      <c r="C5162" s="2" t="str">
        <f ca="1">IFERROR(__xludf.DUMMYFUNCTION("""COMPUTED_VALUE"""),"Building")</f>
        <v>Building</v>
      </c>
      <c r="D5162" s="2" t="str">
        <f ca="1">IFERROR(__xludf.DUMMYFUNCTION("""COMPUTED_VALUE"""),"Dubai&gt;The Views&gt;The Links&gt;Golf Apartments")</f>
        <v>Dubai&gt;The Views&gt;The Links&gt;Golf Apartments</v>
      </c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</row>
    <row r="5163" spans="1:26" ht="16.5" x14ac:dyDescent="0.35">
      <c r="A5163" s="2" t="str">
        <f ca="1">IFERROR(__xludf.DUMMYFUNCTION("""COMPUTED_VALUE"""),"Dubai")</f>
        <v>Dubai</v>
      </c>
      <c r="B5163" s="2" t="str">
        <f ca="1">IFERROR(__xludf.DUMMYFUNCTION("""COMPUTED_VALUE"""),"Al Quoz Industrial Area 2")</f>
        <v>Al Quoz Industrial Area 2</v>
      </c>
      <c r="C5163" s="2" t="str">
        <f ca="1">IFERROR(__xludf.DUMMYFUNCTION("""COMPUTED_VALUE"""),"Neighbourhood")</f>
        <v>Neighbourhood</v>
      </c>
      <c r="D5163" s="2" t="str">
        <f ca="1">IFERROR(__xludf.DUMMYFUNCTION("""COMPUTED_VALUE"""),"Dubai&gt;Al Quoz&gt;Al Quoz Industrial Area&gt;Al Quoz Industrial Area 2")</f>
        <v>Dubai&gt;Al Quoz&gt;Al Quoz Industrial Area&gt;Al Quoz Industrial Area 2</v>
      </c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</row>
    <row r="5164" spans="1:26" ht="16.5" x14ac:dyDescent="0.35">
      <c r="A5164" s="2" t="str">
        <f ca="1">IFERROR(__xludf.DUMMYFUNCTION("""COMPUTED_VALUE"""),"Dubai")</f>
        <v>Dubai</v>
      </c>
      <c r="B5164" s="2" t="str">
        <f ca="1">IFERROR(__xludf.DUMMYFUNCTION("""COMPUTED_VALUE"""),"Smark Building")</f>
        <v>Smark Building</v>
      </c>
      <c r="C5164" s="2" t="str">
        <f ca="1">IFERROR(__xludf.DUMMYFUNCTION("""COMPUTED_VALUE"""),"Building")</f>
        <v>Building</v>
      </c>
      <c r="D5164" s="2" t="str">
        <f ca="1">IFERROR(__xludf.DUMMYFUNCTION("""COMPUTED_VALUE"""),"Dubai&gt;Al Quoz&gt;Al Quoz 3&gt;Smark Building")</f>
        <v>Dubai&gt;Al Quoz&gt;Al Quoz 3&gt;Smark Building</v>
      </c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</row>
    <row r="5165" spans="1:26" ht="16.5" x14ac:dyDescent="0.35">
      <c r="A5165" s="2" t="str">
        <f ca="1">IFERROR(__xludf.DUMMYFUNCTION("""COMPUTED_VALUE"""),"Dubai")</f>
        <v>Dubai</v>
      </c>
      <c r="B5165" s="2" t="str">
        <f ca="1">IFERROR(__xludf.DUMMYFUNCTION("""COMPUTED_VALUE"""),"Al Khail Heights Building 9B")</f>
        <v>Al Khail Heights Building 9B</v>
      </c>
      <c r="C5165" s="2" t="str">
        <f ca="1">IFERROR(__xludf.DUMMYFUNCTION("""COMPUTED_VALUE"""),"Building")</f>
        <v>Building</v>
      </c>
      <c r="D5165" s="2" t="str">
        <f ca="1">IFERROR(__xludf.DUMMYFUNCTION("""COMPUTED_VALUE"""),"Dubai&gt;Al Quoz&gt;Al Quoz 4&gt;Al Khail Heights&gt;Al Khail Heights Building 9B")</f>
        <v>Dubai&gt;Al Quoz&gt;Al Quoz 4&gt;Al Khail Heights&gt;Al Khail Heights Building 9B</v>
      </c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</row>
    <row r="5166" spans="1:26" ht="16.5" x14ac:dyDescent="0.35">
      <c r="A5166" s="2" t="str">
        <f ca="1">IFERROR(__xludf.DUMMYFUNCTION("""COMPUTED_VALUE"""),"Dubai")</f>
        <v>Dubai</v>
      </c>
      <c r="B5166" s="2" t="str">
        <f ca="1">IFERROR(__xludf.DUMMYFUNCTION("""COMPUTED_VALUE"""),"Spring Oasis")</f>
        <v>Spring Oasis</v>
      </c>
      <c r="C5166" s="2" t="str">
        <f ca="1">IFERROR(__xludf.DUMMYFUNCTION("""COMPUTED_VALUE"""),"Building")</f>
        <v>Building</v>
      </c>
      <c r="D5166" s="2" t="str">
        <f ca="1">IFERROR(__xludf.DUMMYFUNCTION("""COMPUTED_VALUE"""),"Dubai&gt;Dubai Silicon Oasis (DSO)&gt;Spring Oasis")</f>
        <v>Dubai&gt;Dubai Silicon Oasis (DSO)&gt;Spring Oasis</v>
      </c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</row>
    <row r="5167" spans="1:26" ht="16.5" x14ac:dyDescent="0.35">
      <c r="A5167" s="2" t="str">
        <f ca="1">IFERROR(__xludf.DUMMYFUNCTION("""COMPUTED_VALUE"""),"Dubai")</f>
        <v>Dubai</v>
      </c>
      <c r="B5167" s="2" t="str">
        <f ca="1">IFERROR(__xludf.DUMMYFUNCTION("""COMPUTED_VALUE"""),"Khan Saheb Building 2")</f>
        <v>Khan Saheb Building 2</v>
      </c>
      <c r="C5167" s="2" t="str">
        <f ca="1">IFERROR(__xludf.DUMMYFUNCTION("""COMPUTED_VALUE"""),"Building")</f>
        <v>Building</v>
      </c>
      <c r="D5167" s="2" t="str">
        <f ca="1">IFERROR(__xludf.DUMMYFUNCTION("""COMPUTED_VALUE"""),"Dubai&gt;Dubai Silicon Oasis (DSO)&gt;Khan Saheb Building 2")</f>
        <v>Dubai&gt;Dubai Silicon Oasis (DSO)&gt;Khan Saheb Building 2</v>
      </c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</row>
    <row r="5168" spans="1:26" ht="16.5" x14ac:dyDescent="0.35">
      <c r="A5168" s="2" t="str">
        <f ca="1">IFERROR(__xludf.DUMMYFUNCTION("""COMPUTED_VALUE"""),"Dubai")</f>
        <v>Dubai</v>
      </c>
      <c r="B5168" s="2" t="str">
        <f ca="1">IFERROR(__xludf.DUMMYFUNCTION("""COMPUTED_VALUE"""),"DHP Residency")</f>
        <v>DHP Residency</v>
      </c>
      <c r="C5168" s="2" t="str">
        <f ca="1">IFERROR(__xludf.DUMMYFUNCTION("""COMPUTED_VALUE"""),"Building")</f>
        <v>Building</v>
      </c>
      <c r="D5168" s="2" t="str">
        <f ca="1">IFERROR(__xludf.DUMMYFUNCTION("""COMPUTED_VALUE"""),"Dubai&gt;Dubai Silicon Oasis (DSO)&gt;DHP Residency")</f>
        <v>Dubai&gt;Dubai Silicon Oasis (DSO)&gt;DHP Residency</v>
      </c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</row>
    <row r="5169" spans="1:26" ht="16.5" x14ac:dyDescent="0.35">
      <c r="A5169" s="2" t="str">
        <f ca="1">IFERROR(__xludf.DUMMYFUNCTION("""COMPUTED_VALUE"""),"Dubai")</f>
        <v>Dubai</v>
      </c>
      <c r="B5169" s="2" t="str">
        <f ca="1">IFERROR(__xludf.DUMMYFUNCTION("""COMPUTED_VALUE"""),"Al Liwan Building 1")</f>
        <v>Al Liwan Building 1</v>
      </c>
      <c r="C5169" s="2" t="str">
        <f ca="1">IFERROR(__xludf.DUMMYFUNCTION("""COMPUTED_VALUE"""),"Building")</f>
        <v>Building</v>
      </c>
      <c r="D5169" s="2" t="str">
        <f ca="1">IFERROR(__xludf.DUMMYFUNCTION("""COMPUTED_VALUE"""),"Dubai&gt;Dubai Silicon Oasis (DSO)&gt;Al Liwan Building 1")</f>
        <v>Dubai&gt;Dubai Silicon Oasis (DSO)&gt;Al Liwan Building 1</v>
      </c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</row>
    <row r="5170" spans="1:26" ht="16.5" x14ac:dyDescent="0.35">
      <c r="A5170" s="2" t="str">
        <f ca="1">IFERROR(__xludf.DUMMYFUNCTION("""COMPUTED_VALUE"""),"Dubai")</f>
        <v>Dubai</v>
      </c>
      <c r="B5170" s="2" t="str">
        <f ca="1">IFERROR(__xludf.DUMMYFUNCTION("""COMPUTED_VALUE"""),"Point West")</f>
        <v>Point West</v>
      </c>
      <c r="C5170" s="2" t="str">
        <f ca="1">IFERROR(__xludf.DUMMYFUNCTION("""COMPUTED_VALUE"""),"Building")</f>
        <v>Building</v>
      </c>
      <c r="D5170" s="2" t="str">
        <f ca="1">IFERROR(__xludf.DUMMYFUNCTION("""COMPUTED_VALUE"""),"Dubai&gt;Dubai Silicon Oasis (DSO)&gt;Point West")</f>
        <v>Dubai&gt;Dubai Silicon Oasis (DSO)&gt;Point West</v>
      </c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</row>
    <row r="5171" spans="1:26" ht="16.5" x14ac:dyDescent="0.35">
      <c r="A5171" s="2" t="str">
        <f ca="1">IFERROR(__xludf.DUMMYFUNCTION("""COMPUTED_VALUE"""),"Dubai")</f>
        <v>Dubai</v>
      </c>
      <c r="B5171" s="2" t="str">
        <f ca="1">IFERROR(__xludf.DUMMYFUNCTION("""COMPUTED_VALUE"""),"DSO Emirates Tower 7")</f>
        <v>DSO Emirates Tower 7</v>
      </c>
      <c r="C5171" s="2" t="str">
        <f ca="1">IFERROR(__xludf.DUMMYFUNCTION("""COMPUTED_VALUE"""),"Building")</f>
        <v>Building</v>
      </c>
      <c r="D5171" s="2" t="str">
        <f ca="1">IFERROR(__xludf.DUMMYFUNCTION("""COMPUTED_VALUE"""),"Dubai&gt;Dubai Silicon Oasis (DSO)&gt;DSO Emirates Towers&gt;DSO Emirates Tower 7")</f>
        <v>Dubai&gt;Dubai Silicon Oasis (DSO)&gt;DSO Emirates Towers&gt;DSO Emirates Tower 7</v>
      </c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</row>
    <row r="5172" spans="1:26" ht="16.5" x14ac:dyDescent="0.35">
      <c r="A5172" s="2" t="str">
        <f ca="1">IFERROR(__xludf.DUMMYFUNCTION("""COMPUTED_VALUE"""),"Dubai")</f>
        <v>Dubai</v>
      </c>
      <c r="B5172" s="2" t="str">
        <f ca="1">IFERROR(__xludf.DUMMYFUNCTION("""COMPUTED_VALUE"""),"Al Barari")</f>
        <v>Al Barari</v>
      </c>
      <c r="C5172" s="2" t="str">
        <f ca="1">IFERROR(__xludf.DUMMYFUNCTION("""COMPUTED_VALUE"""),"Neighbourhood")</f>
        <v>Neighbourhood</v>
      </c>
      <c r="D5172" s="2" t="str">
        <f ca="1">IFERROR(__xludf.DUMMYFUNCTION("""COMPUTED_VALUE"""),"Dubai&gt;Al Barari")</f>
        <v>Dubai&gt;Al Barari</v>
      </c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</row>
    <row r="5173" spans="1:26" ht="16.5" x14ac:dyDescent="0.35">
      <c r="A5173" s="2" t="str">
        <f ca="1">IFERROR(__xludf.DUMMYFUNCTION("""COMPUTED_VALUE"""),"Dubai")</f>
        <v>Dubai</v>
      </c>
      <c r="B5173" s="2" t="str">
        <f ca="1">IFERROR(__xludf.DUMMYFUNCTION("""COMPUTED_VALUE"""),"Jasmine Leaf")</f>
        <v>Jasmine Leaf</v>
      </c>
      <c r="C5173" s="2" t="str">
        <f ca="1">IFERROR(__xludf.DUMMYFUNCTION("""COMPUTED_VALUE"""),"Neighbourhood")</f>
        <v>Neighbourhood</v>
      </c>
      <c r="D5173" s="2" t="str">
        <f ca="1">IFERROR(__xludf.DUMMYFUNCTION("""COMPUTED_VALUE"""),"Dubai&gt;Al Barari&gt;The Residences&gt;Jasmine Leaf")</f>
        <v>Dubai&gt;Al Barari&gt;The Residences&gt;Jasmine Leaf</v>
      </c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</row>
    <row r="5174" spans="1:26" ht="16.5" x14ac:dyDescent="0.35">
      <c r="A5174" s="2" t="str">
        <f ca="1">IFERROR(__xludf.DUMMYFUNCTION("""COMPUTED_VALUE"""),"Dubai")</f>
        <v>Dubai</v>
      </c>
      <c r="B5174" s="2" t="str">
        <f ca="1">IFERROR(__xludf.DUMMYFUNCTION("""COMPUTED_VALUE"""),"MAG 920")</f>
        <v>MAG 920</v>
      </c>
      <c r="C5174" s="2" t="str">
        <f ca="1">IFERROR(__xludf.DUMMYFUNCTION("""COMPUTED_VALUE"""),"Building")</f>
        <v>Building</v>
      </c>
      <c r="D5174" s="2" t="str">
        <f ca="1">IFERROR(__xludf.DUMMYFUNCTION("""COMPUTED_VALUE"""),"Dubai&gt;Mohammed Bin Rashid City&gt;District 7&gt;MAG City&gt;MAG 920")</f>
        <v>Dubai&gt;Mohammed Bin Rashid City&gt;District 7&gt;MAG City&gt;MAG 920</v>
      </c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</row>
    <row r="5175" spans="1:26" ht="16.5" x14ac:dyDescent="0.35">
      <c r="A5175" s="2" t="str">
        <f ca="1">IFERROR(__xludf.DUMMYFUNCTION("""COMPUTED_VALUE"""),"Dubai")</f>
        <v>Dubai</v>
      </c>
      <c r="B5175" s="2" t="str">
        <f ca="1">IFERROR(__xludf.DUMMYFUNCTION("""COMPUTED_VALUE"""),"Rome 2 by Samana")</f>
        <v>Rome 2 by Samana</v>
      </c>
      <c r="C5175" s="2" t="str">
        <f ca="1">IFERROR(__xludf.DUMMYFUNCTION("""COMPUTED_VALUE"""),"Building")</f>
        <v>Building</v>
      </c>
      <c r="D5175" s="2" t="str">
        <f ca="1">IFERROR(__xludf.DUMMYFUNCTION("""COMPUTED_VALUE"""),"Dubai&gt;Mohammed Bin Rashid City&gt;District 11&gt;Rome 2 by Samana")</f>
        <v>Dubai&gt;Mohammed Bin Rashid City&gt;District 11&gt;Rome 2 by Samana</v>
      </c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</row>
    <row r="5176" spans="1:26" ht="16.5" x14ac:dyDescent="0.35">
      <c r="A5176" s="2" t="str">
        <f ca="1">IFERROR(__xludf.DUMMYFUNCTION("""COMPUTED_VALUE"""),"Dubai")</f>
        <v>Dubai</v>
      </c>
      <c r="B5176" s="2" t="str">
        <f ca="1">IFERROR(__xludf.DUMMYFUNCTION("""COMPUTED_VALUE"""),"Residences 15")</f>
        <v>Residences 15</v>
      </c>
      <c r="C5176" s="2" t="str">
        <f ca="1">IFERROR(__xludf.DUMMYFUNCTION("""COMPUTED_VALUE"""),"Building")</f>
        <v>Building</v>
      </c>
      <c r="D5176" s="2" t="str">
        <f ca="1">IFERROR(__xludf.DUMMYFUNCTION("""COMPUTED_VALUE"""),"Dubai&gt;Mohammed Bin Rashid City&gt;District One&gt;The Residences at District One&gt;Residences 15")</f>
        <v>Dubai&gt;Mohammed Bin Rashid City&gt;District One&gt;The Residences at District One&gt;Residences 15</v>
      </c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</row>
    <row r="5177" spans="1:26" ht="16.5" x14ac:dyDescent="0.35">
      <c r="A5177" s="2" t="str">
        <f ca="1">IFERROR(__xludf.DUMMYFUNCTION("""COMPUTED_VALUE"""),"Dubai")</f>
        <v>Dubai</v>
      </c>
      <c r="B5177" s="2" t="str">
        <f ca="1">IFERROR(__xludf.DUMMYFUNCTION("""COMPUTED_VALUE"""),"Bin Thabet Building")</f>
        <v>Bin Thabet Building</v>
      </c>
      <c r="C5177" s="2" t="str">
        <f ca="1">IFERROR(__xludf.DUMMYFUNCTION("""COMPUTED_VALUE"""),"Building")</f>
        <v>Building</v>
      </c>
      <c r="D5177" s="2" t="str">
        <f ca="1">IFERROR(__xludf.DUMMYFUNCTION("""COMPUTED_VALUE"""),"Dubai&gt;Dubai South&gt;Residential District&gt;Bin Thabet Building")</f>
        <v>Dubai&gt;Dubai South&gt;Residential District&gt;Bin Thabet Building</v>
      </c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</row>
    <row r="5178" spans="1:26" ht="16.5" x14ac:dyDescent="0.35">
      <c r="A5178" s="2" t="str">
        <f ca="1">IFERROR(__xludf.DUMMYFUNCTION("""COMPUTED_VALUE"""),"Dubai")</f>
        <v>Dubai</v>
      </c>
      <c r="B5178" s="2" t="str">
        <f ca="1">IFERROR(__xludf.DUMMYFUNCTION("""COMPUTED_VALUE"""),"The Pulse Beachfront 3")</f>
        <v>The Pulse Beachfront 3</v>
      </c>
      <c r="C5178" s="2" t="str">
        <f ca="1">IFERROR(__xludf.DUMMYFUNCTION("""COMPUTED_VALUE"""),"Neighbourhood")</f>
        <v>Neighbourhood</v>
      </c>
      <c r="D5178" s="2" t="str">
        <f ca="1">IFERROR(__xludf.DUMMYFUNCTION("""COMPUTED_VALUE"""),"Dubai&gt;Dubai South&gt;Residential District&gt;The Pulse&gt;The Pulse Beachfront 3")</f>
        <v>Dubai&gt;Dubai South&gt;Residential District&gt;The Pulse&gt;The Pulse Beachfront 3</v>
      </c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</row>
    <row r="5179" spans="1:26" ht="16.5" x14ac:dyDescent="0.35">
      <c r="A5179" s="2" t="str">
        <f ca="1">IFERROR(__xludf.DUMMYFUNCTION("""COMPUTED_VALUE"""),"Dubai")</f>
        <v>Dubai</v>
      </c>
      <c r="B5179" s="2" t="str">
        <f ca="1">IFERROR(__xludf.DUMMYFUNCTION("""COMPUTED_VALUE"""),"Celestia B")</f>
        <v>Celestia B</v>
      </c>
      <c r="C5179" s="2" t="str">
        <f ca="1">IFERROR(__xludf.DUMMYFUNCTION("""COMPUTED_VALUE"""),"Building")</f>
        <v>Building</v>
      </c>
      <c r="D5179" s="2" t="str">
        <f ca="1">IFERROR(__xludf.DUMMYFUNCTION("""COMPUTED_VALUE"""),"Dubai&gt;Dubai South&gt;Residential District&gt;Celestia&gt;Celestia B")</f>
        <v>Dubai&gt;Dubai South&gt;Residential District&gt;Celestia&gt;Celestia B</v>
      </c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</row>
    <row r="5180" spans="1:26" ht="16.5" x14ac:dyDescent="0.35">
      <c r="A5180" s="2" t="str">
        <f ca="1">IFERROR(__xludf.DUMMYFUNCTION("""COMPUTED_VALUE"""),"Dubai")</f>
        <v>Dubai</v>
      </c>
      <c r="B5180" s="2" t="str">
        <f ca="1">IFERROR(__xludf.DUMMYFUNCTION("""COMPUTED_VALUE"""),"One by Preston")</f>
        <v>One by Preston</v>
      </c>
      <c r="C5180" s="2" t="str">
        <f ca="1">IFERROR(__xludf.DUMMYFUNCTION("""COMPUTED_VALUE"""),"Building")</f>
        <v>Building</v>
      </c>
      <c r="D5180" s="2" t="str">
        <f ca="1">IFERROR(__xludf.DUMMYFUNCTION("""COMPUTED_VALUE"""),"Dubai&gt;Dubai South&gt;Residential District&gt;One by Preston")</f>
        <v>Dubai&gt;Dubai South&gt;Residential District&gt;One by Preston</v>
      </c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</row>
    <row r="5181" spans="1:26" ht="16.5" x14ac:dyDescent="0.35">
      <c r="A5181" s="2" t="str">
        <f ca="1">IFERROR(__xludf.DUMMYFUNCTION("""COMPUTED_VALUE"""),"Dubai")</f>
        <v>Dubai</v>
      </c>
      <c r="B5181" s="2" t="str">
        <f ca="1">IFERROR(__xludf.DUMMYFUNCTION("""COMPUTED_VALUE"""),"Expo Golf Villas")</f>
        <v>Expo Golf Villas</v>
      </c>
      <c r="C5181" s="2" t="str">
        <f ca="1">IFERROR(__xludf.DUMMYFUNCTION("""COMPUTED_VALUE"""),"Neighbourhood")</f>
        <v>Neighbourhood</v>
      </c>
      <c r="D5181" s="2" t="str">
        <f ca="1">IFERROR(__xludf.DUMMYFUNCTION("""COMPUTED_VALUE"""),"Dubai&gt;Dubai South&gt;Emaar South&gt;Expo Golf Villas")</f>
        <v>Dubai&gt;Dubai South&gt;Emaar South&gt;Expo Golf Villas</v>
      </c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</row>
    <row r="5182" spans="1:26" ht="16.5" x14ac:dyDescent="0.35">
      <c r="A5182" s="2" t="str">
        <f ca="1">IFERROR(__xludf.DUMMYFUNCTION("""COMPUTED_VALUE"""),"Dubai")</f>
        <v>Dubai</v>
      </c>
      <c r="B5182" s="2" t="str">
        <f ca="1">IFERROR(__xludf.DUMMYFUNCTION("""COMPUTED_VALUE"""),"Golf Edge")</f>
        <v>Golf Edge</v>
      </c>
      <c r="C5182" s="2" t="str">
        <f ca="1">IFERROR(__xludf.DUMMYFUNCTION("""COMPUTED_VALUE"""),"Building")</f>
        <v>Building</v>
      </c>
      <c r="D5182" s="2" t="str">
        <f ca="1">IFERROR(__xludf.DUMMYFUNCTION("""COMPUTED_VALUE"""),"Dubai&gt;Dubai South&gt;Emaar South&gt;Golf Edge")</f>
        <v>Dubai&gt;Dubai South&gt;Emaar South&gt;Golf Edge</v>
      </c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</row>
    <row r="5183" spans="1:26" ht="16.5" x14ac:dyDescent="0.35">
      <c r="A5183" s="2" t="str">
        <f ca="1">IFERROR(__xludf.DUMMYFUNCTION("""COMPUTED_VALUE"""),"Dubai")</f>
        <v>Dubai</v>
      </c>
      <c r="B5183" s="2" t="str">
        <f ca="1">IFERROR(__xludf.DUMMYFUNCTION("""COMPUTED_VALUE"""),"South Square Building 3")</f>
        <v>South Square Building 3</v>
      </c>
      <c r="C5183" s="2" t="str">
        <f ca="1">IFERROR(__xludf.DUMMYFUNCTION("""COMPUTED_VALUE"""),"Building")</f>
        <v>Building</v>
      </c>
      <c r="D5183" s="2" t="str">
        <f ca="1">IFERROR(__xludf.DUMMYFUNCTION("""COMPUTED_VALUE"""),"Dubai&gt;Dubai South&gt;Logistics City&gt;South Square&gt;South Square Building 3")</f>
        <v>Dubai&gt;Dubai South&gt;Logistics City&gt;South Square&gt;South Square Building 3</v>
      </c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</row>
    <row r="5184" spans="1:26" ht="16.5" x14ac:dyDescent="0.35">
      <c r="A5184" s="2" t="str">
        <f ca="1">IFERROR(__xludf.DUMMYFUNCTION("""COMPUTED_VALUE"""),"Dubai")</f>
        <v>Dubai</v>
      </c>
      <c r="B5184" s="2" t="str">
        <f ca="1">IFERROR(__xludf.DUMMYFUNCTION("""COMPUTED_VALUE"""),"Azizi Venice 8 Building B")</f>
        <v>Azizi Venice 8 Building B</v>
      </c>
      <c r="C5184" s="2" t="str">
        <f ca="1">IFERROR(__xludf.DUMMYFUNCTION("""COMPUTED_VALUE"""),"Building")</f>
        <v>Building</v>
      </c>
      <c r="D5184" s="2" t="str">
        <f ca="1">IFERROR(__xludf.DUMMYFUNCTION("""COMPUTED_VALUE"""),"Dubai&gt;Dubai South&gt;Azizi Venice&gt;Azizi Venice 8&gt;Azizi Venice 8 Building B")</f>
        <v>Dubai&gt;Dubai South&gt;Azizi Venice&gt;Azizi Venice 8&gt;Azizi Venice 8 Building B</v>
      </c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</row>
    <row r="5185" spans="1:26" ht="16.5" x14ac:dyDescent="0.35">
      <c r="A5185" s="2" t="str">
        <f ca="1">IFERROR(__xludf.DUMMYFUNCTION("""COMPUTED_VALUE"""),"Dubai")</f>
        <v>Dubai</v>
      </c>
      <c r="B5185" s="2" t="str">
        <f ca="1">IFERROR(__xludf.DUMMYFUNCTION("""COMPUTED_VALUE"""),"Cascada")</f>
        <v>Cascada</v>
      </c>
      <c r="C5185" s="2" t="str">
        <f ca="1">IFERROR(__xludf.DUMMYFUNCTION("""COMPUTED_VALUE"""),"Cluster")</f>
        <v>Cluster</v>
      </c>
      <c r="D5185" s="2" t="str">
        <f ca="1">IFERROR(__xludf.DUMMYFUNCTION("""COMPUTED_VALUE"""),"Dubai&gt;Dubai South&gt;Waada&gt;Cascada")</f>
        <v>Dubai&gt;Dubai South&gt;Waada&gt;Cascada</v>
      </c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</row>
    <row r="5186" spans="1:26" ht="16.5" x14ac:dyDescent="0.35">
      <c r="A5186" s="2" t="str">
        <f ca="1">IFERROR(__xludf.DUMMYFUNCTION("""COMPUTED_VALUE"""),"Dubai")</f>
        <v>Dubai</v>
      </c>
      <c r="B5186" s="2" t="str">
        <f ca="1">IFERROR(__xludf.DUMMYFUNCTION("""COMPUTED_VALUE"""),"Lycee Francais International")</f>
        <v>Lycee Francais International</v>
      </c>
      <c r="C5186" s="2" t="str">
        <f ca="1">IFERROR(__xludf.DUMMYFUNCTION("""COMPUTED_VALUE"""),"School")</f>
        <v>School</v>
      </c>
      <c r="D5186" s="2" t="str">
        <f ca="1">IFERROR(__xludf.DUMMYFUNCTION("""COMPUTED_VALUE"""),"Dubai&gt;Bur Dubai&gt;Oud Metha&gt;Lycee Francais International")</f>
        <v>Dubai&gt;Bur Dubai&gt;Oud Metha&gt;Lycee Francais International</v>
      </c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</row>
    <row r="5187" spans="1:26" ht="16.5" x14ac:dyDescent="0.35">
      <c r="A5187" s="2" t="str">
        <f ca="1">IFERROR(__xludf.DUMMYFUNCTION("""COMPUTED_VALUE"""),"Dubai")</f>
        <v>Dubai</v>
      </c>
      <c r="B5187" s="2" t="str">
        <f ca="1">IFERROR(__xludf.DUMMYFUNCTION("""COMPUTED_VALUE"""),"Roda Metha Suites")</f>
        <v>Roda Metha Suites</v>
      </c>
      <c r="C5187" s="2" t="str">
        <f ca="1">IFERROR(__xludf.DUMMYFUNCTION("""COMPUTED_VALUE"""),"Building")</f>
        <v>Building</v>
      </c>
      <c r="D5187" s="2" t="str">
        <f ca="1">IFERROR(__xludf.DUMMYFUNCTION("""COMPUTED_VALUE"""),"Dubai&gt;Bur Dubai&gt;Oud Metha&gt;Roda Metha Suites")</f>
        <v>Dubai&gt;Bur Dubai&gt;Oud Metha&gt;Roda Metha Suites</v>
      </c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</row>
    <row r="5188" spans="1:26" ht="16.5" x14ac:dyDescent="0.35">
      <c r="A5188" s="2" t="str">
        <f ca="1">IFERROR(__xludf.DUMMYFUNCTION("""COMPUTED_VALUE"""),"Dubai")</f>
        <v>Dubai</v>
      </c>
      <c r="B5188" s="2" t="str">
        <f ca="1">IFERROR(__xludf.DUMMYFUNCTION("""COMPUTED_VALUE"""),"New Academy School")</f>
        <v>New Academy School</v>
      </c>
      <c r="C5188" s="2" t="str">
        <f ca="1">IFERROR(__xludf.DUMMYFUNCTION("""COMPUTED_VALUE"""),"School")</f>
        <v>School</v>
      </c>
      <c r="D5188" s="2" t="str">
        <f ca="1">IFERROR(__xludf.DUMMYFUNCTION("""COMPUTED_VALUE"""),"Dubai&gt;Bur Dubai&gt;Al Raffa&gt;New Academy School")</f>
        <v>Dubai&gt;Bur Dubai&gt;Al Raffa&gt;New Academy School</v>
      </c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</row>
    <row r="5189" spans="1:26" ht="16.5" x14ac:dyDescent="0.35">
      <c r="A5189" s="2" t="str">
        <f ca="1">IFERROR(__xludf.DUMMYFUNCTION("""COMPUTED_VALUE"""),"Dubai")</f>
        <v>Dubai</v>
      </c>
      <c r="B5189" s="2" t="str">
        <f ca="1">IFERROR(__xludf.DUMMYFUNCTION("""COMPUTED_VALUE"""),"Al Ghubaiba Building")</f>
        <v>Al Ghubaiba Building</v>
      </c>
      <c r="C5189" s="2" t="str">
        <f ca="1">IFERROR(__xludf.DUMMYFUNCTION("""COMPUTED_VALUE"""),"Building")</f>
        <v>Building</v>
      </c>
      <c r="D5189" s="2" t="str">
        <f ca="1">IFERROR(__xludf.DUMMYFUNCTION("""COMPUTED_VALUE"""),"Dubai&gt;Bur Dubai&gt;Al Raffa&gt;Al Ghubaiba Building")</f>
        <v>Dubai&gt;Bur Dubai&gt;Al Raffa&gt;Al Ghubaiba Building</v>
      </c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</row>
    <row r="5190" spans="1:26" ht="16.5" x14ac:dyDescent="0.35">
      <c r="A5190" s="2" t="str">
        <f ca="1">IFERROR(__xludf.DUMMYFUNCTION("""COMPUTED_VALUE"""),"Dubai")</f>
        <v>Dubai</v>
      </c>
      <c r="B5190" s="2" t="str">
        <f ca="1">IFERROR(__xludf.DUMMYFUNCTION("""COMPUTED_VALUE"""),"Al Abbas Building 2")</f>
        <v>Al Abbas Building 2</v>
      </c>
      <c r="C5190" s="2" t="str">
        <f ca="1">IFERROR(__xludf.DUMMYFUNCTION("""COMPUTED_VALUE"""),"Building")</f>
        <v>Building</v>
      </c>
      <c r="D5190" s="2" t="str">
        <f ca="1">IFERROR(__xludf.DUMMYFUNCTION("""COMPUTED_VALUE"""),"Dubai&gt;Bur Dubai&gt;Al Mankhool&gt;Al Abbas Building 2")</f>
        <v>Dubai&gt;Bur Dubai&gt;Al Mankhool&gt;Al Abbas Building 2</v>
      </c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</row>
    <row r="5191" spans="1:26" ht="16.5" x14ac:dyDescent="0.35">
      <c r="A5191" s="2" t="str">
        <f ca="1">IFERROR(__xludf.DUMMYFUNCTION("""COMPUTED_VALUE"""),"Dubai")</f>
        <v>Dubai</v>
      </c>
      <c r="B5191" s="2" t="str">
        <f ca="1">IFERROR(__xludf.DUMMYFUNCTION("""COMPUTED_VALUE"""),"Mankhool 70")</f>
        <v>Mankhool 70</v>
      </c>
      <c r="C5191" s="2" t="str">
        <f ca="1">IFERROR(__xludf.DUMMYFUNCTION("""COMPUTED_VALUE"""),"Building")</f>
        <v>Building</v>
      </c>
      <c r="D5191" s="2" t="str">
        <f ca="1">IFERROR(__xludf.DUMMYFUNCTION("""COMPUTED_VALUE"""),"Dubai&gt;Bur Dubai&gt;Al Mankhool&gt;Mankhool 70")</f>
        <v>Dubai&gt;Bur Dubai&gt;Al Mankhool&gt;Mankhool 70</v>
      </c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</row>
    <row r="5192" spans="1:26" ht="16.5" x14ac:dyDescent="0.35">
      <c r="A5192" s="2" t="str">
        <f ca="1">IFERROR(__xludf.DUMMYFUNCTION("""COMPUTED_VALUE"""),"Dubai")</f>
        <v>Dubai</v>
      </c>
      <c r="B5192" s="2" t="str">
        <f ca="1">IFERROR(__xludf.DUMMYFUNCTION("""COMPUTED_VALUE"""),"Al Habtoor Building Block A &amp; B")</f>
        <v>Al Habtoor Building Block A &amp; B</v>
      </c>
      <c r="C5192" s="2" t="str">
        <f ca="1">IFERROR(__xludf.DUMMYFUNCTION("""COMPUTED_VALUE"""),"Building")</f>
        <v>Building</v>
      </c>
      <c r="D5192" s="2" t="str">
        <f ca="1">IFERROR(__xludf.DUMMYFUNCTION("""COMPUTED_VALUE"""),"Dubai&gt;Bur Dubai&gt;Al Mankhool&gt;Al Habtoor Building Block A &amp; B")</f>
        <v>Dubai&gt;Bur Dubai&gt;Al Mankhool&gt;Al Habtoor Building Block A &amp; B</v>
      </c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</row>
    <row r="5193" spans="1:26" ht="16.5" x14ac:dyDescent="0.35">
      <c r="A5193" s="2" t="str">
        <f ca="1">IFERROR(__xludf.DUMMYFUNCTION("""COMPUTED_VALUE"""),"Dubai")</f>
        <v>Dubai</v>
      </c>
      <c r="B5193" s="2" t="str">
        <f ca="1">IFERROR(__xludf.DUMMYFUNCTION("""COMPUTED_VALUE"""),"Maple Bear Nursery Al Wasl")</f>
        <v>Maple Bear Nursery Al Wasl</v>
      </c>
      <c r="C5193" s="2" t="str">
        <f ca="1">IFERROR(__xludf.DUMMYFUNCTION("""COMPUTED_VALUE"""),"Nursery")</f>
        <v>Nursery</v>
      </c>
      <c r="D5193" s="2" t="str">
        <f ca="1">IFERROR(__xludf.DUMMYFUNCTION("""COMPUTED_VALUE"""),"Dubai&gt;Bur Dubai&gt;Al Kifaf&gt;Maple Bear Nursery Al Wasl")</f>
        <v>Dubai&gt;Bur Dubai&gt;Al Kifaf&gt;Maple Bear Nursery Al Wasl</v>
      </c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</row>
    <row r="5194" spans="1:26" ht="16.5" x14ac:dyDescent="0.35">
      <c r="A5194" s="2" t="str">
        <f ca="1">IFERROR(__xludf.DUMMYFUNCTION("""COMPUTED_VALUE"""),"Dubai")</f>
        <v>Dubai</v>
      </c>
      <c r="B5194" s="2" t="str">
        <f ca="1">IFERROR(__xludf.DUMMYFUNCTION("""COMPUTED_VALUE"""),"Crown Residence")</f>
        <v>Crown Residence</v>
      </c>
      <c r="C5194" s="2" t="str">
        <f ca="1">IFERROR(__xludf.DUMMYFUNCTION("""COMPUTED_VALUE"""),"Building")</f>
        <v>Building</v>
      </c>
      <c r="D5194" s="2" t="str">
        <f ca="1">IFERROR(__xludf.DUMMYFUNCTION("""COMPUTED_VALUE"""),"Dubai&gt;Bur Dubai&gt;Umm Hurair&gt;Umm Hurair 1&gt;Crown Residence")</f>
        <v>Dubai&gt;Bur Dubai&gt;Umm Hurair&gt;Umm Hurair 1&gt;Crown Residence</v>
      </c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</row>
    <row r="5195" spans="1:26" ht="16.5" x14ac:dyDescent="0.35">
      <c r="A5195" s="2" t="str">
        <f ca="1">IFERROR(__xludf.DUMMYFUNCTION("""COMPUTED_VALUE"""),"Dubai")</f>
        <v>Dubai</v>
      </c>
      <c r="B5195" s="2" t="str">
        <f ca="1">IFERROR(__xludf.DUMMYFUNCTION("""COMPUTED_VALUE"""),"Pixel Building")</f>
        <v>Pixel Building</v>
      </c>
      <c r="C5195" s="2" t="str">
        <f ca="1">IFERROR(__xludf.DUMMYFUNCTION("""COMPUTED_VALUE"""),"Building")</f>
        <v>Building</v>
      </c>
      <c r="D5195" s="2" t="str">
        <f ca="1">IFERROR(__xludf.DUMMYFUNCTION("""COMPUTED_VALUE"""),"Dubai&gt;Bur Dubai&gt;Al Souk Al Kabeer (Al Fahidi)&gt;Pixel Building")</f>
        <v>Dubai&gt;Bur Dubai&gt;Al Souk Al Kabeer (Al Fahidi)&gt;Pixel Building</v>
      </c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</row>
    <row r="5196" spans="1:26" ht="16.5" x14ac:dyDescent="0.35">
      <c r="A5196" s="2" t="str">
        <f ca="1">IFERROR(__xludf.DUMMYFUNCTION("""COMPUTED_VALUE"""),"Dubai")</f>
        <v>Dubai</v>
      </c>
      <c r="B5196" s="2" t="str">
        <f ca="1">IFERROR(__xludf.DUMMYFUNCTION("""COMPUTED_VALUE"""),"Al Waleed 4 Building")</f>
        <v>Al Waleed 4 Building</v>
      </c>
      <c r="C5196" s="2" t="str">
        <f ca="1">IFERROR(__xludf.DUMMYFUNCTION("""COMPUTED_VALUE"""),"Building")</f>
        <v>Building</v>
      </c>
      <c r="D5196" s="2" t="str">
        <f ca="1">IFERROR(__xludf.DUMMYFUNCTION("""COMPUTED_VALUE"""),"Dubai&gt;Bur Dubai&gt;Al Hamriya&gt;Al Waleed 4 Building")</f>
        <v>Dubai&gt;Bur Dubai&gt;Al Hamriya&gt;Al Waleed 4 Building</v>
      </c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</row>
    <row r="5197" spans="1:26" ht="16.5" x14ac:dyDescent="0.35">
      <c r="A5197" s="2" t="str">
        <f ca="1">IFERROR(__xludf.DUMMYFUNCTION("""COMPUTED_VALUE"""),"Dubai")</f>
        <v>Dubai</v>
      </c>
      <c r="B5197" s="2" t="str">
        <f ca="1">IFERROR(__xludf.DUMMYFUNCTION("""COMPUTED_VALUE"""),"Building 53")</f>
        <v>Building 53</v>
      </c>
      <c r="C5197" s="2" t="str">
        <f ca="1">IFERROR(__xludf.DUMMYFUNCTION("""COMPUTED_VALUE"""),"Building")</f>
        <v>Building</v>
      </c>
      <c r="D5197" s="2" t="str">
        <f ca="1">IFERROR(__xludf.DUMMYFUNCTION("""COMPUTED_VALUE"""),"Dubai&gt;Bur Dubai&gt;Dubai Healthcare City&gt;Building 53")</f>
        <v>Dubai&gt;Bur Dubai&gt;Dubai Healthcare City&gt;Building 53</v>
      </c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</row>
    <row r="5198" spans="1:26" ht="16.5" x14ac:dyDescent="0.35">
      <c r="A5198" s="2" t="str">
        <f ca="1">IFERROR(__xludf.DUMMYFUNCTION("""COMPUTED_VALUE"""),"Dubai")</f>
        <v>Dubai</v>
      </c>
      <c r="B5198" s="2" t="str">
        <f ca="1">IFERROR(__xludf.DUMMYFUNCTION("""COMPUTED_VALUE"""),"Earth")</f>
        <v>Earth</v>
      </c>
      <c r="C5198" s="2" t="str">
        <f ca="1">IFERROR(__xludf.DUMMYFUNCTION("""COMPUTED_VALUE"""),"Cluster")</f>
        <v>Cluster</v>
      </c>
      <c r="D5198" s="2" t="str">
        <f ca="1">IFERROR(__xludf.DUMMYFUNCTION("""COMPUTED_VALUE"""),"Dubai&gt;Jumeirah Golf Estates&gt;Earth")</f>
        <v>Dubai&gt;Jumeirah Golf Estates&gt;Earth</v>
      </c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</row>
    <row r="5199" spans="1:26" ht="16.5" x14ac:dyDescent="0.35">
      <c r="A5199" s="2" t="str">
        <f ca="1">IFERROR(__xludf.DUMMYFUNCTION("""COMPUTED_VALUE"""),"Dubai")</f>
        <v>Dubai</v>
      </c>
      <c r="B5199" s="2" t="str">
        <f ca="1">IFERROR(__xludf.DUMMYFUNCTION("""COMPUTED_VALUE"""),"Palace Beach Residence Tower 1")</f>
        <v>Palace Beach Residence Tower 1</v>
      </c>
      <c r="C5199" s="2" t="str">
        <f ca="1">IFERROR(__xludf.DUMMYFUNCTION("""COMPUTED_VALUE"""),"Building")</f>
        <v>Building</v>
      </c>
      <c r="D5199" s="2" t="str">
        <f ca="1">IFERROR(__xludf.DUMMYFUNCTION("""COMPUTED_VALUE"""),"Dubai&gt;Dubai Harbour&gt;Emaar Beachfront&gt;Palace Beach Residence&gt;Palace Beach Residence Tower 1")</f>
        <v>Dubai&gt;Dubai Harbour&gt;Emaar Beachfront&gt;Palace Beach Residence&gt;Palace Beach Residence Tower 1</v>
      </c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</row>
    <row r="5200" spans="1:26" ht="16.5" x14ac:dyDescent="0.35">
      <c r="A5200" s="2" t="str">
        <f ca="1">IFERROR(__xludf.DUMMYFUNCTION("""COMPUTED_VALUE"""),"Dubai")</f>
        <v>Dubai</v>
      </c>
      <c r="B5200" s="2" t="str">
        <f ca="1">IFERROR(__xludf.DUMMYFUNCTION("""COMPUTED_VALUE"""),"DAMAC Bay Tower B")</f>
        <v>DAMAC Bay Tower B</v>
      </c>
      <c r="C5200" s="2" t="str">
        <f ca="1">IFERROR(__xludf.DUMMYFUNCTION("""COMPUTED_VALUE"""),"Building")</f>
        <v>Building</v>
      </c>
      <c r="D5200" s="2" t="str">
        <f ca="1">IFERROR(__xludf.DUMMYFUNCTION("""COMPUTED_VALUE"""),"Dubai&gt;Dubai Harbour&gt;DAMAC Bay by Cavalli&gt;DAMAC Bay Tower B")</f>
        <v>Dubai&gt;Dubai Harbour&gt;DAMAC Bay by Cavalli&gt;DAMAC Bay Tower B</v>
      </c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</row>
    <row r="5201" spans="1:26" ht="16.5" x14ac:dyDescent="0.35">
      <c r="A5201" s="2" t="str">
        <f ca="1">IFERROR(__xludf.DUMMYFUNCTION("""COMPUTED_VALUE"""),"Dubai")</f>
        <v>Dubai</v>
      </c>
      <c r="B5201" s="2" t="str">
        <f ca="1">IFERROR(__xludf.DUMMYFUNCTION("""COMPUTED_VALUE"""),"Viridis Tower A")</f>
        <v>Viridis Tower A</v>
      </c>
      <c r="C5201" s="2" t="str">
        <f ca="1">IFERROR(__xludf.DUMMYFUNCTION("""COMPUTED_VALUE"""),"Building")</f>
        <v>Building</v>
      </c>
      <c r="D5201" s="2" t="str">
        <f ca="1">IFERROR(__xludf.DUMMYFUNCTION("""COMPUTED_VALUE"""),"Dubai&gt;DAMAC Hills 2 (Akoya by DAMAC)&gt;Viridis Residence and Hotel Apartments&gt;Viridis Tower A")</f>
        <v>Dubai&gt;DAMAC Hills 2 (Akoya by DAMAC)&gt;Viridis Residence and Hotel Apartments&gt;Viridis Tower A</v>
      </c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</row>
    <row r="5202" spans="1:26" ht="16.5" x14ac:dyDescent="0.35">
      <c r="A5202" s="2" t="str">
        <f ca="1">IFERROR(__xludf.DUMMYFUNCTION("""COMPUTED_VALUE"""),"Dubai")</f>
        <v>Dubai</v>
      </c>
      <c r="B5202" s="2" t="str">
        <f ca="1">IFERROR(__xludf.DUMMYFUNCTION("""COMPUTED_VALUE"""),"Dubai Airport Freezone (DAFZA)")</f>
        <v>Dubai Airport Freezone (DAFZA)</v>
      </c>
      <c r="C5202" s="2" t="str">
        <f ca="1">IFERROR(__xludf.DUMMYFUNCTION("""COMPUTED_VALUE"""),"Neighbourhood")</f>
        <v>Neighbourhood</v>
      </c>
      <c r="D5202" s="2" t="str">
        <f ca="1">IFERROR(__xludf.DUMMYFUNCTION("""COMPUTED_VALUE"""),"Dubai&gt;Dubai Airport Freezone (DAFZA)")</f>
        <v>Dubai&gt;Dubai Airport Freezone (DAFZA)</v>
      </c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</row>
    <row r="5203" spans="1:26" ht="16.5" x14ac:dyDescent="0.35">
      <c r="A5203" s="2" t="str">
        <f ca="1">IFERROR(__xludf.DUMMYFUNCTION("""COMPUTED_VALUE"""),"Dubai")</f>
        <v>Dubai</v>
      </c>
      <c r="B5203" s="2" t="str">
        <f ca="1">IFERROR(__xludf.DUMMYFUNCTION("""COMPUTED_VALUE"""),"G-05")</f>
        <v>G-05</v>
      </c>
      <c r="C5203" s="2" t="str">
        <f ca="1">IFERROR(__xludf.DUMMYFUNCTION("""COMPUTED_VALUE"""),"Building")</f>
        <v>Building</v>
      </c>
      <c r="D5203" s="2" t="str">
        <f ca="1">IFERROR(__xludf.DUMMYFUNCTION("""COMPUTED_VALUE"""),"Dubai&gt;International City&gt;Morocco Cluster&gt;G-05")</f>
        <v>Dubai&gt;International City&gt;Morocco Cluster&gt;G-05</v>
      </c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</row>
    <row r="5204" spans="1:26" ht="16.5" x14ac:dyDescent="0.35">
      <c r="A5204" s="2" t="str">
        <f ca="1">IFERROR(__xludf.DUMMYFUNCTION("""COMPUTED_VALUE"""),"Dubai")</f>
        <v>Dubai</v>
      </c>
      <c r="B5204" s="2" t="str">
        <f ca="1">IFERROR(__xludf.DUMMYFUNCTION("""COMPUTED_VALUE"""),"A-03")</f>
        <v>A-03</v>
      </c>
      <c r="C5204" s="2" t="str">
        <f ca="1">IFERROR(__xludf.DUMMYFUNCTION("""COMPUTED_VALUE"""),"Building")</f>
        <v>Building</v>
      </c>
      <c r="D5204" s="2" t="str">
        <f ca="1">IFERROR(__xludf.DUMMYFUNCTION("""COMPUTED_VALUE"""),"Dubai&gt;International City&gt;China Cluster&gt;A-03")</f>
        <v>Dubai&gt;International City&gt;China Cluster&gt;A-03</v>
      </c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</row>
    <row r="5205" spans="1:26" ht="16.5" x14ac:dyDescent="0.35">
      <c r="A5205" s="2" t="str">
        <f ca="1">IFERROR(__xludf.DUMMYFUNCTION("""COMPUTED_VALUE"""),"Dubai")</f>
        <v>Dubai</v>
      </c>
      <c r="B5205" s="2" t="str">
        <f ca="1">IFERROR(__xludf.DUMMYFUNCTION("""COMPUTED_VALUE"""),"C-10")</f>
        <v>C-10</v>
      </c>
      <c r="C5205" s="2" t="str">
        <f ca="1">IFERROR(__xludf.DUMMYFUNCTION("""COMPUTED_VALUE"""),"Building")</f>
        <v>Building</v>
      </c>
      <c r="D5205" s="2" t="str">
        <f ca="1">IFERROR(__xludf.DUMMYFUNCTION("""COMPUTED_VALUE"""),"Dubai&gt;International City&gt;China Cluster&gt;C-10")</f>
        <v>Dubai&gt;International City&gt;China Cluster&gt;C-10</v>
      </c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</row>
    <row r="5206" spans="1:26" ht="16.5" x14ac:dyDescent="0.35">
      <c r="A5206" s="2" t="str">
        <f ca="1">IFERROR(__xludf.DUMMYFUNCTION("""COMPUTED_VALUE"""),"Dubai")</f>
        <v>Dubai</v>
      </c>
      <c r="B5206" s="2" t="str">
        <f ca="1">IFERROR(__xludf.DUMMYFUNCTION("""COMPUTED_VALUE"""),"F-16")</f>
        <v>F-16</v>
      </c>
      <c r="C5206" s="2" t="str">
        <f ca="1">IFERROR(__xludf.DUMMYFUNCTION("""COMPUTED_VALUE"""),"Building")</f>
        <v>Building</v>
      </c>
      <c r="D5206" s="2" t="str">
        <f ca="1">IFERROR(__xludf.DUMMYFUNCTION("""COMPUTED_VALUE"""),"Dubai&gt;International City&gt;China Cluster&gt;F-16")</f>
        <v>Dubai&gt;International City&gt;China Cluster&gt;F-16</v>
      </c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</row>
    <row r="5207" spans="1:26" ht="16.5" x14ac:dyDescent="0.35">
      <c r="A5207" s="2" t="str">
        <f ca="1">IFERROR(__xludf.DUMMYFUNCTION("""COMPUTED_VALUE"""),"Dubai")</f>
        <v>Dubai</v>
      </c>
      <c r="B5207" s="2" t="str">
        <f ca="1">IFERROR(__xludf.DUMMYFUNCTION("""COMPUTED_VALUE"""),"S-23")</f>
        <v>S-23</v>
      </c>
      <c r="C5207" s="2" t="str">
        <f ca="1">IFERROR(__xludf.DUMMYFUNCTION("""COMPUTED_VALUE"""),"Building")</f>
        <v>Building</v>
      </c>
      <c r="D5207" s="2" t="str">
        <f ca="1">IFERROR(__xludf.DUMMYFUNCTION("""COMPUTED_VALUE"""),"Dubai&gt;International City&gt;Spain Cluster&gt;S-23")</f>
        <v>Dubai&gt;International City&gt;Spain Cluster&gt;S-23</v>
      </c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</row>
    <row r="5208" spans="1:26" ht="16.5" x14ac:dyDescent="0.35">
      <c r="A5208" s="2" t="str">
        <f ca="1">IFERROR(__xludf.DUMMYFUNCTION("""COMPUTED_VALUE"""),"Dubai")</f>
        <v>Dubai</v>
      </c>
      <c r="B5208" s="2" t="str">
        <f ca="1">IFERROR(__xludf.DUMMYFUNCTION("""COMPUTED_VALUE"""),"U-13")</f>
        <v>U-13</v>
      </c>
      <c r="C5208" s="2" t="str">
        <f ca="1">IFERROR(__xludf.DUMMYFUNCTION("""COMPUTED_VALUE"""),"Building")</f>
        <v>Building</v>
      </c>
      <c r="D5208" s="2" t="str">
        <f ca="1">IFERROR(__xludf.DUMMYFUNCTION("""COMPUTED_VALUE"""),"Dubai&gt;International City&gt;Italy Cluster&gt;U-13")</f>
        <v>Dubai&gt;International City&gt;Italy Cluster&gt;U-13</v>
      </c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</row>
    <row r="5209" spans="1:26" ht="16.5" x14ac:dyDescent="0.35">
      <c r="A5209" s="2" t="str">
        <f ca="1">IFERROR(__xludf.DUMMYFUNCTION("""COMPUTED_VALUE"""),"Dubai")</f>
        <v>Dubai</v>
      </c>
      <c r="B5209" s="2" t="str">
        <f ca="1">IFERROR(__xludf.DUMMYFUNCTION("""COMPUTED_VALUE"""),"V-19")</f>
        <v>V-19</v>
      </c>
      <c r="C5209" s="2" t="str">
        <f ca="1">IFERROR(__xludf.DUMMYFUNCTION("""COMPUTED_VALUE"""),"Building")</f>
        <v>Building</v>
      </c>
      <c r="D5209" s="2" t="str">
        <f ca="1">IFERROR(__xludf.DUMMYFUNCTION("""COMPUTED_VALUE"""),"Dubai&gt;International City&gt;Russia Cluster&gt;V-19")</f>
        <v>Dubai&gt;International City&gt;Russia Cluster&gt;V-19</v>
      </c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</row>
    <row r="5210" spans="1:26" ht="16.5" x14ac:dyDescent="0.35">
      <c r="A5210" s="2" t="str">
        <f ca="1">IFERROR(__xludf.DUMMYFUNCTION("""COMPUTED_VALUE"""),"Dubai")</f>
        <v>Dubai</v>
      </c>
      <c r="B5210" s="2" t="str">
        <f ca="1">IFERROR(__xludf.DUMMYFUNCTION("""COMPUTED_VALUE"""),"M-03")</f>
        <v>M-03</v>
      </c>
      <c r="C5210" s="2" t="str">
        <f ca="1">IFERROR(__xludf.DUMMYFUNCTION("""COMPUTED_VALUE"""),"Building")</f>
        <v>Building</v>
      </c>
      <c r="D5210" s="2" t="str">
        <f ca="1">IFERROR(__xludf.DUMMYFUNCTION("""COMPUTED_VALUE"""),"Dubai&gt;International City&gt;Persia Cluster&gt;M-03")</f>
        <v>Dubai&gt;International City&gt;Persia Cluster&gt;M-03</v>
      </c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</row>
    <row r="5211" spans="1:26" ht="16.5" x14ac:dyDescent="0.35">
      <c r="A5211" s="2" t="str">
        <f ca="1">IFERROR(__xludf.DUMMYFUNCTION("""COMPUTED_VALUE"""),"Dubai")</f>
        <v>Dubai</v>
      </c>
      <c r="B5211" s="2" t="str">
        <f ca="1">IFERROR(__xludf.DUMMYFUNCTION("""COMPUTED_VALUE"""),"EMR-14")</f>
        <v>EMR-14</v>
      </c>
      <c r="C5211" s="2" t="str">
        <f ca="1">IFERROR(__xludf.DUMMYFUNCTION("""COMPUTED_VALUE"""),"Building")</f>
        <v>Building</v>
      </c>
      <c r="D5211" s="2" t="str">
        <f ca="1">IFERROR(__xludf.DUMMYFUNCTION("""COMPUTED_VALUE"""),"Dubai&gt;International City&gt;Emirates Cluster&gt;EMR-14")</f>
        <v>Dubai&gt;International City&gt;Emirates Cluster&gt;EMR-14</v>
      </c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</row>
    <row r="5212" spans="1:26" ht="16.5" x14ac:dyDescent="0.35">
      <c r="A5212" s="2" t="str">
        <f ca="1">IFERROR(__xludf.DUMMYFUNCTION("""COMPUTED_VALUE"""),"Dubai")</f>
        <v>Dubai</v>
      </c>
      <c r="B5212" s="2" t="str">
        <f ca="1">IFERROR(__xludf.DUMMYFUNCTION("""COMPUTED_VALUE"""),"X-17")</f>
        <v>X-17</v>
      </c>
      <c r="C5212" s="2" t="str">
        <f ca="1">IFERROR(__xludf.DUMMYFUNCTION("""COMPUTED_VALUE"""),"Building")</f>
        <v>Building</v>
      </c>
      <c r="D5212" s="2" t="str">
        <f ca="1">IFERROR(__xludf.DUMMYFUNCTION("""COMPUTED_VALUE"""),"Dubai&gt;International City&gt;England Cluster&gt;X-17")</f>
        <v>Dubai&gt;International City&gt;England Cluster&gt;X-17</v>
      </c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</row>
    <row r="5213" spans="1:26" ht="16.5" x14ac:dyDescent="0.35">
      <c r="A5213" s="2" t="str">
        <f ca="1">IFERROR(__xludf.DUMMYFUNCTION("""COMPUTED_VALUE"""),"Dubai")</f>
        <v>Dubai</v>
      </c>
      <c r="B5213" s="2" t="str">
        <f ca="1">IFERROR(__xludf.DUMMYFUNCTION("""COMPUTED_VALUE"""),"Y-23")</f>
        <v>Y-23</v>
      </c>
      <c r="C5213" s="2" t="str">
        <f ca="1">IFERROR(__xludf.DUMMYFUNCTION("""COMPUTED_VALUE"""),"Building")</f>
        <v>Building</v>
      </c>
      <c r="D5213" s="2" t="str">
        <f ca="1">IFERROR(__xludf.DUMMYFUNCTION("""COMPUTED_VALUE"""),"Dubai&gt;International City&gt;England Cluster&gt;Y-23")</f>
        <v>Dubai&gt;International City&gt;England Cluster&gt;Y-23</v>
      </c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</row>
    <row r="5214" spans="1:26" ht="16.5" x14ac:dyDescent="0.35">
      <c r="A5214" s="2" t="str">
        <f ca="1">IFERROR(__xludf.DUMMYFUNCTION("""COMPUTED_VALUE"""),"Dubai")</f>
        <v>Dubai</v>
      </c>
      <c r="B5214" s="2" t="str">
        <f ca="1">IFERROR(__xludf.DUMMYFUNCTION("""COMPUTED_VALUE"""),"Skyline 1")</f>
        <v>Skyline 1</v>
      </c>
      <c r="C5214" s="2" t="str">
        <f ca="1">IFERROR(__xludf.DUMMYFUNCTION("""COMPUTED_VALUE"""),"Building")</f>
        <v>Building</v>
      </c>
      <c r="D5214" s="2" t="str">
        <f ca="1">IFERROR(__xludf.DUMMYFUNCTION("""COMPUTED_VALUE"""),"Dubai&gt;International City&gt;International City Phase 2 (Warsan 4)&gt;Skyline 1")</f>
        <v>Dubai&gt;International City&gt;International City Phase 2 (Warsan 4)&gt;Skyline 1</v>
      </c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</row>
    <row r="5215" spans="1:26" ht="16.5" x14ac:dyDescent="0.35">
      <c r="A5215" s="2" t="str">
        <f ca="1">IFERROR(__xludf.DUMMYFUNCTION("""COMPUTED_VALUE"""),"Dubai")</f>
        <v>Dubai</v>
      </c>
      <c r="B5215" s="2" t="str">
        <f ca="1">IFERROR(__xludf.DUMMYFUNCTION("""COMPUTED_VALUE"""),"Al Matrooshi Warsan 9 Building")</f>
        <v>Al Matrooshi Warsan 9 Building</v>
      </c>
      <c r="C5215" s="2" t="str">
        <f ca="1">IFERROR(__xludf.DUMMYFUNCTION("""COMPUTED_VALUE"""),"Building")</f>
        <v>Building</v>
      </c>
      <c r="D5215" s="2" t="str">
        <f ca="1">IFERROR(__xludf.DUMMYFUNCTION("""COMPUTED_VALUE"""),"Dubai&gt;International City&gt;International City Phase 2 (Warsan 4)&gt;Al Matrooshi Warsan 9 Building")</f>
        <v>Dubai&gt;International City&gt;International City Phase 2 (Warsan 4)&gt;Al Matrooshi Warsan 9 Building</v>
      </c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</row>
    <row r="5216" spans="1:26" ht="16.5" x14ac:dyDescent="0.35">
      <c r="A5216" s="2" t="str">
        <f ca="1">IFERROR(__xludf.DUMMYFUNCTION("""COMPUTED_VALUE"""),"Dubai")</f>
        <v>Dubai</v>
      </c>
      <c r="B5216" s="2" t="str">
        <f ca="1">IFERROR(__xludf.DUMMYFUNCTION("""COMPUTED_VALUE"""),"Rokane G23")</f>
        <v>Rokane G23</v>
      </c>
      <c r="C5216" s="2" t="str">
        <f ca="1">IFERROR(__xludf.DUMMYFUNCTION("""COMPUTED_VALUE"""),"Building")</f>
        <v>Building</v>
      </c>
      <c r="D5216" s="2" t="str">
        <f ca="1">IFERROR(__xludf.DUMMYFUNCTION("""COMPUTED_VALUE"""),"Dubai&gt;International City&gt;International City Phase 2 (Warsan 4)&gt;Rokane G23")</f>
        <v>Dubai&gt;International City&gt;International City Phase 2 (Warsan 4)&gt;Rokane G23</v>
      </c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</row>
    <row r="5217" spans="1:26" ht="16.5" x14ac:dyDescent="0.35">
      <c r="A5217" s="2" t="str">
        <f ca="1">IFERROR(__xludf.DUMMYFUNCTION("""COMPUTED_VALUE"""),"Dubai")</f>
        <v>Dubai</v>
      </c>
      <c r="B5217" s="2" t="str">
        <f ca="1">IFERROR(__xludf.DUMMYFUNCTION("""COMPUTED_VALUE"""),"The Residence")</f>
        <v>The Residence</v>
      </c>
      <c r="C5217" s="2" t="str">
        <f ca="1">IFERROR(__xludf.DUMMYFUNCTION("""COMPUTED_VALUE"""),"Building")</f>
        <v>Building</v>
      </c>
      <c r="D5217" s="2" t="str">
        <f ca="1">IFERROR(__xludf.DUMMYFUNCTION("""COMPUTED_VALUE"""),"Dubai&gt;International City&gt;International City Phase 2 (Warsan 4)&gt;The Residence")</f>
        <v>Dubai&gt;International City&gt;International City Phase 2 (Warsan 4)&gt;The Residence</v>
      </c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</row>
    <row r="5218" spans="1:26" ht="16.5" x14ac:dyDescent="0.35">
      <c r="A5218" s="2" t="str">
        <f ca="1">IFERROR(__xludf.DUMMYFUNCTION("""COMPUTED_VALUE"""),"Dubai")</f>
        <v>Dubai</v>
      </c>
      <c r="B5218" s="2" t="str">
        <f ca="1">IFERROR(__xludf.DUMMYFUNCTION("""COMPUTED_VALUE"""),"Al Baraka Residence")</f>
        <v>Al Baraka Residence</v>
      </c>
      <c r="C5218" s="2" t="str">
        <f ca="1">IFERROR(__xludf.DUMMYFUNCTION("""COMPUTED_VALUE"""),"Building")</f>
        <v>Building</v>
      </c>
      <c r="D5218" s="2" t="str">
        <f ca="1">IFERROR(__xludf.DUMMYFUNCTION("""COMPUTED_VALUE"""),"Dubai&gt;International City&gt;International City Phase 2 (Warsan 4)&gt;Al Baraka Residence")</f>
        <v>Dubai&gt;International City&gt;International City Phase 2 (Warsan 4)&gt;Al Baraka Residence</v>
      </c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</row>
    <row r="5219" spans="1:26" ht="16.5" x14ac:dyDescent="0.35">
      <c r="A5219" s="2" t="str">
        <f ca="1">IFERROR(__xludf.DUMMYFUNCTION("""COMPUTED_VALUE"""),"Dubai")</f>
        <v>Dubai</v>
      </c>
      <c r="B5219" s="2" t="str">
        <f ca="1">IFERROR(__xludf.DUMMYFUNCTION("""COMPUTED_VALUE"""),"P-20")</f>
        <v>P-20</v>
      </c>
      <c r="C5219" s="2" t="str">
        <f ca="1">IFERROR(__xludf.DUMMYFUNCTION("""COMPUTED_VALUE"""),"Building")</f>
        <v>Building</v>
      </c>
      <c r="D5219" s="2" t="str">
        <f ca="1">IFERROR(__xludf.DUMMYFUNCTION("""COMPUTED_VALUE"""),"Dubai&gt;International City&gt;France Cluster&gt;P-20")</f>
        <v>Dubai&gt;International City&gt;France Cluster&gt;P-20</v>
      </c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</row>
    <row r="5220" spans="1:26" ht="16.5" x14ac:dyDescent="0.35">
      <c r="A5220" s="2" t="str">
        <f ca="1">IFERROR(__xludf.DUMMYFUNCTION("""COMPUTED_VALUE"""),"Dubai")</f>
        <v>Dubai</v>
      </c>
      <c r="B5220" s="2" t="str">
        <f ca="1">IFERROR(__xludf.DUMMYFUNCTION("""COMPUTED_VALUE"""),"R-01")</f>
        <v>R-01</v>
      </c>
      <c r="C5220" s="2" t="str">
        <f ca="1">IFERROR(__xludf.DUMMYFUNCTION("""COMPUTED_VALUE"""),"Building")</f>
        <v>Building</v>
      </c>
      <c r="D5220" s="2" t="str">
        <f ca="1">IFERROR(__xludf.DUMMYFUNCTION("""COMPUTED_VALUE"""),"Dubai&gt;International City&gt;France Cluster&gt;R-01")</f>
        <v>Dubai&gt;International City&gt;France Cluster&gt;R-01</v>
      </c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</row>
    <row r="5221" spans="1:26" ht="16.5" x14ac:dyDescent="0.35">
      <c r="A5221" s="2" t="str">
        <f ca="1">IFERROR(__xludf.DUMMYFUNCTION("""COMPUTED_VALUE"""),"Dubai")</f>
        <v>Dubai</v>
      </c>
      <c r="B5221" s="2" t="str">
        <f ca="1">IFERROR(__xludf.DUMMYFUNCTION("""COMPUTED_VALUE"""),"Q-07")</f>
        <v>Q-07</v>
      </c>
      <c r="C5221" s="2" t="str">
        <f ca="1">IFERROR(__xludf.DUMMYFUNCTION("""COMPUTED_VALUE"""),"Building")</f>
        <v>Building</v>
      </c>
      <c r="D5221" s="2" t="str">
        <f ca="1">IFERROR(__xludf.DUMMYFUNCTION("""COMPUTED_VALUE"""),"Dubai&gt;International City&gt;France Cluster&gt;Q-07")</f>
        <v>Dubai&gt;International City&gt;France Cluster&gt;Q-07</v>
      </c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</row>
    <row r="5222" spans="1:26" ht="16.5" x14ac:dyDescent="0.35">
      <c r="A5222" s="2" t="str">
        <f ca="1">IFERROR(__xludf.DUMMYFUNCTION("""COMPUTED_VALUE"""),"Dubai")</f>
        <v>Dubai</v>
      </c>
      <c r="B5222" s="2" t="str">
        <f ca="1">IFERROR(__xludf.DUMMYFUNCTION("""COMPUTED_VALUE"""),"CBD-B05")</f>
        <v>CBD-B05</v>
      </c>
      <c r="C5222" s="2" t="str">
        <f ca="1">IFERROR(__xludf.DUMMYFUNCTION("""COMPUTED_VALUE"""),"Building")</f>
        <v>Building</v>
      </c>
      <c r="D5222" s="2" t="str">
        <f ca="1">IFERROR(__xludf.DUMMYFUNCTION("""COMPUTED_VALUE"""),"Dubai&gt;International City&gt;Central Business District&gt;CBD-B05")</f>
        <v>Dubai&gt;International City&gt;Central Business District&gt;CBD-B05</v>
      </c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</row>
    <row r="5223" spans="1:26" ht="16.5" x14ac:dyDescent="0.35">
      <c r="A5223" s="2" t="str">
        <f ca="1">IFERROR(__xludf.DUMMYFUNCTION("""COMPUTED_VALUE"""),"Dubai")</f>
        <v>Dubai</v>
      </c>
      <c r="B5223" s="2" t="str">
        <f ca="1">IFERROR(__xludf.DUMMYFUNCTION("""COMPUTED_VALUE"""),"Ryze by AUM")</f>
        <v>Ryze by AUM</v>
      </c>
      <c r="C5223" s="2" t="str">
        <f ca="1">IFERROR(__xludf.DUMMYFUNCTION("""COMPUTED_VALUE"""),"Building")</f>
        <v>Building</v>
      </c>
      <c r="D5223" s="2" t="str">
        <f ca="1">IFERROR(__xludf.DUMMYFUNCTION("""COMPUTED_VALUE"""),"Dubai&gt;International City&gt;Ryze by AUM")</f>
        <v>Dubai&gt;International City&gt;Ryze by AUM</v>
      </c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</row>
    <row r="5224" spans="1:26" ht="16.5" x14ac:dyDescent="0.35">
      <c r="A5224" s="2" t="str">
        <f ca="1">IFERROR(__xludf.DUMMYFUNCTION("""COMPUTED_VALUE"""),"Dubai")</f>
        <v>Dubai</v>
      </c>
      <c r="B5224" s="2" t="str">
        <f ca="1">IFERROR(__xludf.DUMMYFUNCTION("""COMPUTED_VALUE"""),"Pelagos by IGO")</f>
        <v>Pelagos by IGO</v>
      </c>
      <c r="C5224" s="2" t="str">
        <f ca="1">IFERROR(__xludf.DUMMYFUNCTION("""COMPUTED_VALUE"""),"Building")</f>
        <v>Building</v>
      </c>
      <c r="D5224" s="2" t="str">
        <f ca="1">IFERROR(__xludf.DUMMYFUNCTION("""COMPUTED_VALUE"""),"Dubai&gt;Dubai Marina&gt;Pelagos by IGO")</f>
        <v>Dubai&gt;Dubai Marina&gt;Pelagos by IGO</v>
      </c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</row>
    <row r="5225" spans="1:26" ht="16.5" x14ac:dyDescent="0.35">
      <c r="A5225" s="2" t="str">
        <f ca="1">IFERROR(__xludf.DUMMYFUNCTION("""COMPUTED_VALUE"""),"Dubai")</f>
        <v>Dubai</v>
      </c>
      <c r="B5225" s="2" t="str">
        <f ca="1">IFERROR(__xludf.DUMMYFUNCTION("""COMPUTED_VALUE"""),"Bay Central West")</f>
        <v>Bay Central West</v>
      </c>
      <c r="C5225" s="2" t="str">
        <f ca="1">IFERROR(__xludf.DUMMYFUNCTION("""COMPUTED_VALUE"""),"Building")</f>
        <v>Building</v>
      </c>
      <c r="D5225" s="2" t="str">
        <f ca="1">IFERROR(__xludf.DUMMYFUNCTION("""COMPUTED_VALUE"""),"Dubai&gt;Dubai Marina&gt;Bay Central&gt;Bay Central West")</f>
        <v>Dubai&gt;Dubai Marina&gt;Bay Central&gt;Bay Central West</v>
      </c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</row>
    <row r="5226" spans="1:26" ht="16.5" x14ac:dyDescent="0.35">
      <c r="A5226" s="2" t="str">
        <f ca="1">IFERROR(__xludf.DUMMYFUNCTION("""COMPUTED_VALUE"""),"Dubai")</f>
        <v>Dubai</v>
      </c>
      <c r="B5226" s="2" t="str">
        <f ca="1">IFERROR(__xludf.DUMMYFUNCTION("""COMPUTED_VALUE"""),"Dubai Marina Towers")</f>
        <v>Dubai Marina Towers</v>
      </c>
      <c r="C5226" s="2" t="str">
        <f ca="1">IFERROR(__xludf.DUMMYFUNCTION("""COMPUTED_VALUE"""),"Neighbourhood")</f>
        <v>Neighbourhood</v>
      </c>
      <c r="D5226" s="2" t="str">
        <f ca="1">IFERROR(__xludf.DUMMYFUNCTION("""COMPUTED_VALUE"""),"Dubai&gt;Dubai Marina&gt;Dubai Marina Towers")</f>
        <v>Dubai&gt;Dubai Marina&gt;Dubai Marina Towers</v>
      </c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</row>
    <row r="5227" spans="1:26" ht="16.5" x14ac:dyDescent="0.35">
      <c r="A5227" s="2" t="str">
        <f ca="1">IFERROR(__xludf.DUMMYFUNCTION("""COMPUTED_VALUE"""),"Dubai")</f>
        <v>Dubai</v>
      </c>
      <c r="B5227" s="2" t="str">
        <f ca="1">IFERROR(__xludf.DUMMYFUNCTION("""COMPUTED_VALUE"""),"Attessa")</f>
        <v>Attessa</v>
      </c>
      <c r="C5227" s="2" t="str">
        <f ca="1">IFERROR(__xludf.DUMMYFUNCTION("""COMPUTED_VALUE"""),"Building")</f>
        <v>Building</v>
      </c>
      <c r="D5227" s="2" t="str">
        <f ca="1">IFERROR(__xludf.DUMMYFUNCTION("""COMPUTED_VALUE"""),"Dubai&gt;Dubai Marina&gt;Marina Promenade&gt;Attessa")</f>
        <v>Dubai&gt;Dubai Marina&gt;Marina Promenade&gt;Attessa</v>
      </c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</row>
    <row r="5228" spans="1:26" ht="16.5" x14ac:dyDescent="0.35">
      <c r="A5228" s="2" t="str">
        <f ca="1">IFERROR(__xludf.DUMMYFUNCTION("""COMPUTED_VALUE"""),"Dubai")</f>
        <v>Dubai</v>
      </c>
      <c r="B5228" s="2" t="str">
        <f ca="1">IFERROR(__xludf.DUMMYFUNCTION("""COMPUTED_VALUE"""),"Dream Towers")</f>
        <v>Dream Towers</v>
      </c>
      <c r="C5228" s="2" t="str">
        <f ca="1">IFERROR(__xludf.DUMMYFUNCTION("""COMPUTED_VALUE"""),"Cluster")</f>
        <v>Cluster</v>
      </c>
      <c r="D5228" s="2" t="str">
        <f ca="1">IFERROR(__xludf.DUMMYFUNCTION("""COMPUTED_VALUE"""),"Dubai&gt;Dubai Marina&gt;Dream Towers")</f>
        <v>Dubai&gt;Dubai Marina&gt;Dream Towers</v>
      </c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</row>
    <row r="5229" spans="1:26" ht="16.5" x14ac:dyDescent="0.35">
      <c r="A5229" s="2" t="str">
        <f ca="1">IFERROR(__xludf.DUMMYFUNCTION("""COMPUTED_VALUE"""),"Dubai")</f>
        <v>Dubai</v>
      </c>
      <c r="B5229" s="2" t="str">
        <f ca="1">IFERROR(__xludf.DUMMYFUNCTION("""COMPUTED_VALUE"""),"The Jewels Villas")</f>
        <v>The Jewels Villas</v>
      </c>
      <c r="C5229" s="2" t="str">
        <f ca="1">IFERROR(__xludf.DUMMYFUNCTION("""COMPUTED_VALUE"""),"Neighbourhood")</f>
        <v>Neighbourhood</v>
      </c>
      <c r="D5229" s="2" t="str">
        <f ca="1">IFERROR(__xludf.DUMMYFUNCTION("""COMPUTED_VALUE"""),"Dubai&gt;Dubai Marina&gt;The Jewels&gt;The Jewels Villas")</f>
        <v>Dubai&gt;Dubai Marina&gt;The Jewels&gt;The Jewels Villas</v>
      </c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</row>
    <row r="5230" spans="1:26" ht="16.5" x14ac:dyDescent="0.35">
      <c r="A5230" s="2" t="str">
        <f ca="1">IFERROR(__xludf.DUMMYFUNCTION("""COMPUTED_VALUE"""),"Dubai")</f>
        <v>Dubai</v>
      </c>
      <c r="B5230" s="2" t="str">
        <f ca="1">IFERROR(__xludf.DUMMYFUNCTION("""COMPUTED_VALUE"""),"Jannah Marina Hotel Apartments")</f>
        <v>Jannah Marina Hotel Apartments</v>
      </c>
      <c r="C5230" s="2" t="str">
        <f ca="1">IFERROR(__xludf.DUMMYFUNCTION("""COMPUTED_VALUE"""),"Building")</f>
        <v>Building</v>
      </c>
      <c r="D5230" s="2" t="str">
        <f ca="1">IFERROR(__xludf.DUMMYFUNCTION("""COMPUTED_VALUE"""),"Dubai&gt;Dubai Marina&gt;Jannah Marina Hotel Apartments")</f>
        <v>Dubai&gt;Dubai Marina&gt;Jannah Marina Hotel Apartments</v>
      </c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</row>
    <row r="5231" spans="1:26" ht="16.5" x14ac:dyDescent="0.35">
      <c r="A5231" s="2" t="str">
        <f ca="1">IFERROR(__xludf.DUMMYFUNCTION("""COMPUTED_VALUE"""),"Dubai")</f>
        <v>Dubai</v>
      </c>
      <c r="B5231" s="2" t="str">
        <f ca="1">IFERROR(__xludf.DUMMYFUNCTION("""COMPUTED_VALUE"""),"Zahra Breeze Apartments 3B")</f>
        <v>Zahra Breeze Apartments 3B</v>
      </c>
      <c r="C5231" s="2" t="str">
        <f ca="1">IFERROR(__xludf.DUMMYFUNCTION("""COMPUTED_VALUE"""),"Building")</f>
        <v>Building</v>
      </c>
      <c r="D5231" s="2" t="str">
        <f ca="1">IFERROR(__xludf.DUMMYFUNCTION("""COMPUTED_VALUE"""),"Dubai&gt;Town Square&gt;Zahra Breeze Apartments&gt;Zahra Breeze Apartments 3B")</f>
        <v>Dubai&gt;Town Square&gt;Zahra Breeze Apartments&gt;Zahra Breeze Apartments 3B</v>
      </c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</row>
    <row r="5232" spans="1:26" ht="16.5" x14ac:dyDescent="0.35">
      <c r="A5232" s="2" t="str">
        <f ca="1">IFERROR(__xludf.DUMMYFUNCTION("""COMPUTED_VALUE"""),"Dubai")</f>
        <v>Dubai</v>
      </c>
      <c r="B5232" s="2" t="str">
        <f ca="1">IFERROR(__xludf.DUMMYFUNCTION("""COMPUTED_VALUE"""),"Al Qudra Building 3A")</f>
        <v>Al Qudra Building 3A</v>
      </c>
      <c r="C5232" s="2" t="str">
        <f ca="1">IFERROR(__xludf.DUMMYFUNCTION("""COMPUTED_VALUE"""),"Building")</f>
        <v>Building</v>
      </c>
      <c r="D5232" s="2" t="str">
        <f ca="1">IFERROR(__xludf.DUMMYFUNCTION("""COMPUTED_VALUE"""),"Dubai&gt;Town Square&gt;Al Qudra Buildings&gt;Al Qudra Building 3A")</f>
        <v>Dubai&gt;Town Square&gt;Al Qudra Buildings&gt;Al Qudra Building 3A</v>
      </c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</row>
    <row r="5233" spans="1:26" ht="16.5" x14ac:dyDescent="0.35">
      <c r="A5233" s="2" t="str">
        <f ca="1">IFERROR(__xludf.DUMMYFUNCTION("""COMPUTED_VALUE"""),"Dubai")</f>
        <v>Dubai</v>
      </c>
      <c r="B5233" s="2" t="str">
        <f ca="1">IFERROR(__xludf.DUMMYFUNCTION("""COMPUTED_VALUE"""),"Mira")</f>
        <v>Mira</v>
      </c>
      <c r="C5233" s="2" t="str">
        <f ca="1">IFERROR(__xludf.DUMMYFUNCTION("""COMPUTED_VALUE"""),"Neighbourhood")</f>
        <v>Neighbourhood</v>
      </c>
      <c r="D5233" s="2" t="str">
        <f ca="1">IFERROR(__xludf.DUMMYFUNCTION("""COMPUTED_VALUE"""),"Dubai&gt;Reem&gt;Mira")</f>
        <v>Dubai&gt;Reem&gt;Mira</v>
      </c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</row>
    <row r="5234" spans="1:26" ht="16.5" x14ac:dyDescent="0.35">
      <c r="A5234" s="2" t="str">
        <f ca="1">IFERROR(__xludf.DUMMYFUNCTION("""COMPUTED_VALUE"""),"Dubai")</f>
        <v>Dubai</v>
      </c>
      <c r="B5234" s="2" t="str">
        <f ca="1">IFERROR(__xludf.DUMMYFUNCTION("""COMPUTED_VALUE"""),"Topaz Avenue")</f>
        <v>Topaz Avenue</v>
      </c>
      <c r="C5234" s="2" t="str">
        <f ca="1">IFERROR(__xludf.DUMMYFUNCTION("""COMPUTED_VALUE"""),"Building")</f>
        <v>Building</v>
      </c>
      <c r="D5234" s="2" t="str">
        <f ca="1">IFERROR(__xludf.DUMMYFUNCTION("""COMPUTED_VALUE"""),"Dubai&gt;Al Furjan&gt;Topaz Avenue")</f>
        <v>Dubai&gt;Al Furjan&gt;Topaz Avenue</v>
      </c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</row>
    <row r="5235" spans="1:26" ht="16.5" x14ac:dyDescent="0.35">
      <c r="A5235" s="2" t="str">
        <f ca="1">IFERROR(__xludf.DUMMYFUNCTION("""COMPUTED_VALUE"""),"Dubai")</f>
        <v>Dubai</v>
      </c>
      <c r="B5235" s="2" t="str">
        <f ca="1">IFERROR(__xludf.DUMMYFUNCTION("""COMPUTED_VALUE"""),"Shaista Azizi")</f>
        <v>Shaista Azizi</v>
      </c>
      <c r="C5235" s="2" t="str">
        <f ca="1">IFERROR(__xludf.DUMMYFUNCTION("""COMPUTED_VALUE"""),"Building")</f>
        <v>Building</v>
      </c>
      <c r="D5235" s="2" t="str">
        <f ca="1">IFERROR(__xludf.DUMMYFUNCTION("""COMPUTED_VALUE"""),"Dubai&gt;Al Furjan&gt;Shaista Azizi")</f>
        <v>Dubai&gt;Al Furjan&gt;Shaista Azizi</v>
      </c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</row>
    <row r="5236" spans="1:26" ht="16.5" x14ac:dyDescent="0.35">
      <c r="A5236" s="2" t="str">
        <f ca="1">IFERROR(__xludf.DUMMYFUNCTION("""COMPUTED_VALUE"""),"Dubai")</f>
        <v>Dubai</v>
      </c>
      <c r="B5236" s="2" t="str">
        <f ca="1">IFERROR(__xludf.DUMMYFUNCTION("""COMPUTED_VALUE"""),"Avenue Residence 4")</f>
        <v>Avenue Residence 4</v>
      </c>
      <c r="C5236" s="2" t="str">
        <f ca="1">IFERROR(__xludf.DUMMYFUNCTION("""COMPUTED_VALUE"""),"Building")</f>
        <v>Building</v>
      </c>
      <c r="D5236" s="2" t="str">
        <f ca="1">IFERROR(__xludf.DUMMYFUNCTION("""COMPUTED_VALUE"""),"Dubai&gt;Al Furjan&gt;Avenue Residence 4")</f>
        <v>Dubai&gt;Al Furjan&gt;Avenue Residence 4</v>
      </c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</row>
    <row r="5237" spans="1:26" ht="16.5" x14ac:dyDescent="0.35">
      <c r="A5237" s="2" t="str">
        <f ca="1">IFERROR(__xludf.DUMMYFUNCTION("""COMPUTED_VALUE"""),"Dubai")</f>
        <v>Dubai</v>
      </c>
      <c r="B5237" s="2" t="str">
        <f ca="1">IFERROR(__xludf.DUMMYFUNCTION("""COMPUTED_VALUE"""),"PG Maison")</f>
        <v>PG Maison</v>
      </c>
      <c r="C5237" s="2" t="str">
        <f ca="1">IFERROR(__xludf.DUMMYFUNCTION("""COMPUTED_VALUE"""),"Building")</f>
        <v>Building</v>
      </c>
      <c r="D5237" s="2" t="str">
        <f ca="1">IFERROR(__xludf.DUMMYFUNCTION("""COMPUTED_VALUE"""),"Dubai&gt;Al Furjan&gt;PG Maison")</f>
        <v>Dubai&gt;Al Furjan&gt;PG Maison</v>
      </c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</row>
    <row r="5238" spans="1:26" ht="16.5" x14ac:dyDescent="0.35">
      <c r="A5238" s="2" t="str">
        <f ca="1">IFERROR(__xludf.DUMMYFUNCTION("""COMPUTED_VALUE"""),"Dubai")</f>
        <v>Dubai</v>
      </c>
      <c r="B5238" s="2" t="str">
        <f ca="1">IFERROR(__xludf.DUMMYFUNCTION("""COMPUTED_VALUE"""),"Repose Residence")</f>
        <v>Repose Residence</v>
      </c>
      <c r="C5238" s="2" t="str">
        <f ca="1">IFERROR(__xludf.DUMMYFUNCTION("""COMPUTED_VALUE"""),"Building")</f>
        <v>Building</v>
      </c>
      <c r="D5238" s="2" t="str">
        <f ca="1">IFERROR(__xludf.DUMMYFUNCTION("""COMPUTED_VALUE"""),"Dubai&gt;Al Furjan&gt;Repose Residence")</f>
        <v>Dubai&gt;Al Furjan&gt;Repose Residence</v>
      </c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</row>
    <row r="5239" spans="1:26" ht="16.5" x14ac:dyDescent="0.35">
      <c r="A5239" s="2" t="str">
        <f ca="1">IFERROR(__xludf.DUMMYFUNCTION("""COMPUTED_VALUE"""),"Dubai")</f>
        <v>Dubai</v>
      </c>
      <c r="B5239" s="2" t="str">
        <f ca="1">IFERROR(__xludf.DUMMYFUNCTION("""COMPUTED_VALUE"""),"Azizi Riviera 29")</f>
        <v>Azizi Riviera 29</v>
      </c>
      <c r="C5239" s="2" t="str">
        <f ca="1">IFERROR(__xludf.DUMMYFUNCTION("""COMPUTED_VALUE"""),"Building")</f>
        <v>Building</v>
      </c>
      <c r="D5239" s="2" t="str">
        <f ca="1">IFERROR(__xludf.DUMMYFUNCTION("""COMPUTED_VALUE"""),"Dubai&gt;Meydan City&gt;Meydan One&gt;Azizi Riviera&gt;Azizi Riviera 29")</f>
        <v>Dubai&gt;Meydan City&gt;Meydan One&gt;Azizi Riviera&gt;Azizi Riviera 29</v>
      </c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</row>
    <row r="5240" spans="1:26" ht="16.5" x14ac:dyDescent="0.35">
      <c r="A5240" s="2" t="str">
        <f ca="1">IFERROR(__xludf.DUMMYFUNCTION("""COMPUTED_VALUE"""),"Dubai")</f>
        <v>Dubai</v>
      </c>
      <c r="B5240" s="2" t="str">
        <f ca="1">IFERROR(__xludf.DUMMYFUNCTION("""COMPUTED_VALUE"""),"Riviera Beachfront Podium")</f>
        <v>Riviera Beachfront Podium</v>
      </c>
      <c r="C5240" s="2" t="str">
        <f ca="1">IFERROR(__xludf.DUMMYFUNCTION("""COMPUTED_VALUE"""),"Building")</f>
        <v>Building</v>
      </c>
      <c r="D5240" s="2" t="str">
        <f ca="1">IFERROR(__xludf.DUMMYFUNCTION("""COMPUTED_VALUE"""),"Dubai&gt;Meydan City&gt;Meydan One&gt;Azizi Riviera&gt;Riviera Beachfront&gt;Riviera Beachfront Podium")</f>
        <v>Dubai&gt;Meydan City&gt;Meydan One&gt;Azizi Riviera&gt;Riviera Beachfront&gt;Riviera Beachfront Podium</v>
      </c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</row>
    <row r="5241" spans="1:26" ht="16.5" x14ac:dyDescent="0.35">
      <c r="A5241" s="2" t="str">
        <f ca="1">IFERROR(__xludf.DUMMYFUNCTION("""COMPUTED_VALUE"""),"Dubai")</f>
        <v>Dubai</v>
      </c>
      <c r="B5241" s="2" t="str">
        <f ca="1">IFERROR(__xludf.DUMMYFUNCTION("""COMPUTED_VALUE"""),"Azizi Riviera 60")</f>
        <v>Azizi Riviera 60</v>
      </c>
      <c r="C5241" s="2" t="str">
        <f ca="1">IFERROR(__xludf.DUMMYFUNCTION("""COMPUTED_VALUE"""),"Building")</f>
        <v>Building</v>
      </c>
      <c r="D5241" s="2" t="str">
        <f ca="1">IFERROR(__xludf.DUMMYFUNCTION("""COMPUTED_VALUE"""),"Dubai&gt;Meydan City&gt;Meydan One&gt;Azizi Riviera&gt;Azizi Riviera 60")</f>
        <v>Dubai&gt;Meydan City&gt;Meydan One&gt;Azizi Riviera&gt;Azizi Riviera 60</v>
      </c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</row>
    <row r="5242" spans="1:26" ht="16.5" x14ac:dyDescent="0.35">
      <c r="A5242" s="2" t="str">
        <f ca="1">IFERROR(__xludf.DUMMYFUNCTION("""COMPUTED_VALUE"""),"Dubai")</f>
        <v>Dubai</v>
      </c>
      <c r="B5242" s="2" t="str">
        <f ca="1">IFERROR(__xludf.DUMMYFUNCTION("""COMPUTED_VALUE"""),"Polo Residence C2")</f>
        <v>Polo Residence C2</v>
      </c>
      <c r="C5242" s="2" t="str">
        <f ca="1">IFERROR(__xludf.DUMMYFUNCTION("""COMPUTED_VALUE"""),"Building")</f>
        <v>Building</v>
      </c>
      <c r="D5242" s="2" t="str">
        <f ca="1">IFERROR(__xludf.DUMMYFUNCTION("""COMPUTED_VALUE"""),"Dubai&gt;Meydan City&gt;Meydan Avenue&gt;Polo Residence&gt;Polo Residence C2")</f>
        <v>Dubai&gt;Meydan City&gt;Meydan Avenue&gt;Polo Residence&gt;Polo Residence C2</v>
      </c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</row>
    <row r="5243" spans="1:26" ht="16.5" x14ac:dyDescent="0.35">
      <c r="A5243" s="2" t="str">
        <f ca="1">IFERROR(__xludf.DUMMYFUNCTION("""COMPUTED_VALUE"""),"Dubai")</f>
        <v>Dubai</v>
      </c>
      <c r="B5243" s="2" t="str">
        <f ca="1">IFERROR(__xludf.DUMMYFUNCTION("""COMPUTED_VALUE"""),"Ayana Gardens")</f>
        <v>Ayana Gardens</v>
      </c>
      <c r="C5243" s="2" t="str">
        <f ca="1">IFERROR(__xludf.DUMMYFUNCTION("""COMPUTED_VALUE"""),"Building")</f>
        <v>Building</v>
      </c>
      <c r="D5243" s="2" t="str">
        <f ca="1">IFERROR(__xludf.DUMMYFUNCTION("""COMPUTED_VALUE"""),"Dubai&gt;Meydan City&gt;Meydan Avenue&gt;Ayana Gardens")</f>
        <v>Dubai&gt;Meydan City&gt;Meydan Avenue&gt;Ayana Gardens</v>
      </c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</row>
    <row r="5244" spans="1:26" ht="16.5" x14ac:dyDescent="0.35">
      <c r="A5244" s="2" t="str">
        <f ca="1">IFERROR(__xludf.DUMMYFUNCTION("""COMPUTED_VALUE"""),"Dubai")</f>
        <v>Dubai</v>
      </c>
      <c r="B5244" s="2" t="str">
        <f ca="1">IFERROR(__xludf.DUMMYFUNCTION("""COMPUTED_VALUE"""),"Al Ghaf 1")</f>
        <v>Al Ghaf 1</v>
      </c>
      <c r="C5244" s="2" t="str">
        <f ca="1">IFERROR(__xludf.DUMMYFUNCTION("""COMPUTED_VALUE"""),"Building")</f>
        <v>Building</v>
      </c>
      <c r="D5244" s="2" t="str">
        <f ca="1">IFERROR(__xludf.DUMMYFUNCTION("""COMPUTED_VALUE"""),"Dubai&gt;The Greens&gt;Al Ghaf&gt;Al Ghaf 1")</f>
        <v>Dubai&gt;The Greens&gt;Al Ghaf&gt;Al Ghaf 1</v>
      </c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</row>
    <row r="5245" spans="1:26" ht="16.5" x14ac:dyDescent="0.35">
      <c r="A5245" s="2" t="str">
        <f ca="1">IFERROR(__xludf.DUMMYFUNCTION("""COMPUTED_VALUE"""),"Dubai")</f>
        <v>Dubai</v>
      </c>
      <c r="B5245" s="2" t="str">
        <f ca="1">IFERROR(__xludf.DUMMYFUNCTION("""COMPUTED_VALUE"""),"Al Thayyal")</f>
        <v>Al Thayyal</v>
      </c>
      <c r="C5245" s="2" t="str">
        <f ca="1">IFERROR(__xludf.DUMMYFUNCTION("""COMPUTED_VALUE"""),"Cluster")</f>
        <v>Cluster</v>
      </c>
      <c r="D5245" s="2" t="str">
        <f ca="1">IFERROR(__xludf.DUMMYFUNCTION("""COMPUTED_VALUE"""),"Dubai&gt;The Greens&gt;Al Thayyal")</f>
        <v>Dubai&gt;The Greens&gt;Al Thayyal</v>
      </c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</row>
    <row r="5246" spans="1:26" ht="16.5" x14ac:dyDescent="0.35">
      <c r="A5246" s="2" t="str">
        <f ca="1">IFERROR(__xludf.DUMMYFUNCTION("""COMPUTED_VALUE"""),"Dubai")</f>
        <v>Dubai</v>
      </c>
      <c r="B5246" s="2" t="str">
        <f ca="1">IFERROR(__xludf.DUMMYFUNCTION("""COMPUTED_VALUE"""),"Occidental Hotel")</f>
        <v>Occidental Hotel</v>
      </c>
      <c r="C5246" s="2" t="str">
        <f ca="1">IFERROR(__xludf.DUMMYFUNCTION("""COMPUTED_VALUE"""),"Building")</f>
        <v>Building</v>
      </c>
      <c r="D5246" s="2" t="str">
        <f ca="1">IFERROR(__xludf.DUMMYFUNCTION("""COMPUTED_VALUE"""),"Dubai&gt;Dubai Production City (IMPZ)&gt;Occidental Hotel")</f>
        <v>Dubai&gt;Dubai Production City (IMPZ)&gt;Occidental Hotel</v>
      </c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</row>
    <row r="5247" spans="1:26" ht="16.5" x14ac:dyDescent="0.35">
      <c r="A5247" s="2" t="str">
        <f ca="1">IFERROR(__xludf.DUMMYFUNCTION("""COMPUTED_VALUE"""),"Dubai")</f>
        <v>Dubai</v>
      </c>
      <c r="B5247" s="2" t="str">
        <f ca="1">IFERROR(__xludf.DUMMYFUNCTION("""COMPUTED_VALUE"""),"Jannat")</f>
        <v>Jannat</v>
      </c>
      <c r="C5247" s="2" t="str">
        <f ca="1">IFERROR(__xludf.DUMMYFUNCTION("""COMPUTED_VALUE"""),"Building")</f>
        <v>Building</v>
      </c>
      <c r="D5247" s="2" t="str">
        <f ca="1">IFERROR(__xludf.DUMMYFUNCTION("""COMPUTED_VALUE"""),"Dubai&gt;Dubai Production City (IMPZ)&gt;Midtown&gt;Jannat")</f>
        <v>Dubai&gt;Dubai Production City (IMPZ)&gt;Midtown&gt;Jannat</v>
      </c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</row>
    <row r="5248" spans="1:26" ht="16.5" x14ac:dyDescent="0.35">
      <c r="A5248" s="2" t="str">
        <f ca="1">IFERROR(__xludf.DUMMYFUNCTION("""COMPUTED_VALUE"""),"Dubai")</f>
        <v>Dubai</v>
      </c>
      <c r="B5248" s="2" t="str">
        <f ca="1">IFERROR(__xludf.DUMMYFUNCTION("""COMPUTED_VALUE"""),"Sun Point Dubai B")</f>
        <v>Sun Point Dubai B</v>
      </c>
      <c r="C5248" s="2" t="str">
        <f ca="1">IFERROR(__xludf.DUMMYFUNCTION("""COMPUTED_VALUE"""),"Building")</f>
        <v>Building</v>
      </c>
      <c r="D5248" s="2" t="str">
        <f ca="1">IFERROR(__xludf.DUMMYFUNCTION("""COMPUTED_VALUE"""),"Dubai&gt;Dubai Production City (IMPZ)&gt;Sun Point Dubai&gt;Sun Point Dubai B")</f>
        <v>Dubai&gt;Dubai Production City (IMPZ)&gt;Sun Point Dubai&gt;Sun Point Dubai B</v>
      </c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</row>
    <row r="5249" spans="1:26" ht="16.5" x14ac:dyDescent="0.35">
      <c r="A5249" s="2" t="str">
        <f ca="1">IFERROR(__xludf.DUMMYFUNCTION("""COMPUTED_VALUE"""),"Dubai")</f>
        <v>Dubai</v>
      </c>
      <c r="B5249" s="2" t="str">
        <f ca="1">IFERROR(__xludf.DUMMYFUNCTION("""COMPUTED_VALUE"""),"Samana Sky Views")</f>
        <v>Samana Sky Views</v>
      </c>
      <c r="C5249" s="2" t="str">
        <f ca="1">IFERROR(__xludf.DUMMYFUNCTION("""COMPUTED_VALUE"""),"Building")</f>
        <v>Building</v>
      </c>
      <c r="D5249" s="2" t="str">
        <f ca="1">IFERROR(__xludf.DUMMYFUNCTION("""COMPUTED_VALUE"""),"Dubai&gt;Dubai Production City (IMPZ)&gt;Samana Sky Views")</f>
        <v>Dubai&gt;Dubai Production City (IMPZ)&gt;Samana Sky Views</v>
      </c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</row>
    <row r="5250" spans="1:26" ht="16.5" x14ac:dyDescent="0.35">
      <c r="A5250" s="2" t="str">
        <f ca="1">IFERROR(__xludf.DUMMYFUNCTION("""COMPUTED_VALUE"""),"Dubai")</f>
        <v>Dubai</v>
      </c>
      <c r="B5250" s="2" t="str">
        <f ca="1">IFERROR(__xludf.DUMMYFUNCTION("""COMPUTED_VALUE"""),"Nobel Studios")</f>
        <v>Nobel Studios</v>
      </c>
      <c r="C5250" s="2" t="str">
        <f ca="1">IFERROR(__xludf.DUMMYFUNCTION("""COMPUTED_VALUE"""),"Building")</f>
        <v>Building</v>
      </c>
      <c r="D5250" s="2" t="str">
        <f ca="1">IFERROR(__xludf.DUMMYFUNCTION("""COMPUTED_VALUE"""),"Dubai&gt;Dubai Industrial City&gt;Nobel Studios")</f>
        <v>Dubai&gt;Dubai Industrial City&gt;Nobel Studios</v>
      </c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</row>
    <row r="5251" spans="1:26" ht="16.5" x14ac:dyDescent="0.35">
      <c r="A5251" s="2" t="str">
        <f ca="1">IFERROR(__xludf.DUMMYFUNCTION("""COMPUTED_VALUE"""),"Dubai")</f>
        <v>Dubai</v>
      </c>
      <c r="B5251" s="2" t="str">
        <f ca="1">IFERROR(__xludf.DUMMYFUNCTION("""COMPUTED_VALUE"""),"Little Minds Nursery")</f>
        <v>Little Minds Nursery</v>
      </c>
      <c r="C5251" s="2" t="str">
        <f ca="1">IFERROR(__xludf.DUMMYFUNCTION("""COMPUTED_VALUE"""),"Nursery")</f>
        <v>Nursery</v>
      </c>
      <c r="D5251" s="2" t="str">
        <f ca="1">IFERROR(__xludf.DUMMYFUNCTION("""COMPUTED_VALUE"""),"Dubai&gt;Umm Al Sheif&gt;Little Minds Nursery")</f>
        <v>Dubai&gt;Umm Al Sheif&gt;Little Minds Nursery</v>
      </c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</row>
    <row r="5252" spans="1:26" ht="16.5" x14ac:dyDescent="0.35">
      <c r="A5252" s="2" t="str">
        <f ca="1">IFERROR(__xludf.DUMMYFUNCTION("""COMPUTED_VALUE"""),"Dubai")</f>
        <v>Dubai</v>
      </c>
      <c r="B5252" s="2" t="str">
        <f ca="1">IFERROR(__xludf.DUMMYFUNCTION("""COMPUTED_VALUE"""),"Bo Monde")</f>
        <v>Bo Monde</v>
      </c>
      <c r="C5252" s="2" t="str">
        <f ca="1">IFERROR(__xludf.DUMMYFUNCTION("""COMPUTED_VALUE"""),"Neighbourhood")</f>
        <v>Neighbourhood</v>
      </c>
      <c r="D5252" s="2" t="str">
        <f ca="1">IFERROR(__xludf.DUMMYFUNCTION("""COMPUTED_VALUE"""),"Dubai&gt;Tilal Al Ghaf&gt;Bo Monde")</f>
        <v>Dubai&gt;Tilal Al Ghaf&gt;Bo Monde</v>
      </c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</row>
    <row r="5253" spans="1:26" ht="16.5" x14ac:dyDescent="0.35">
      <c r="A5253" s="2" t="str">
        <f ca="1">IFERROR(__xludf.DUMMYFUNCTION("""COMPUTED_VALUE"""),"Dubai")</f>
        <v>Dubai</v>
      </c>
      <c r="B5253" s="2" t="str">
        <f ca="1">IFERROR(__xludf.DUMMYFUNCTION("""COMPUTED_VALUE"""),"Bayview Boulevard")</f>
        <v>Bayview Boulevard</v>
      </c>
      <c r="C5253" s="2" t="str">
        <f ca="1">IFERROR(__xludf.DUMMYFUNCTION("""COMPUTED_VALUE"""),"Building")</f>
        <v>Building</v>
      </c>
      <c r="D5253" s="2" t="str">
        <f ca="1">IFERROR(__xludf.DUMMYFUNCTION("""COMPUTED_VALUE"""),"Dubai&gt;Dubai Islands&gt;Bayview Boulevard")</f>
        <v>Dubai&gt;Dubai Islands&gt;Bayview Boulevard</v>
      </c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</row>
    <row r="5254" spans="1:26" ht="16.5" x14ac:dyDescent="0.35">
      <c r="A5254" s="2" t="str">
        <f ca="1">IFERROR(__xludf.DUMMYFUNCTION("""COMPUTED_VALUE"""),"Dubai")</f>
        <v>Dubai</v>
      </c>
      <c r="B5254" s="2" t="str">
        <f ca="1">IFERROR(__xludf.DUMMYFUNCTION("""COMPUTED_VALUE"""),"Sunset Bay 3 by Imtiaz")</f>
        <v>Sunset Bay 3 by Imtiaz</v>
      </c>
      <c r="C5254" s="2" t="str">
        <f ca="1">IFERROR(__xludf.DUMMYFUNCTION("""COMPUTED_VALUE"""),"Building")</f>
        <v>Building</v>
      </c>
      <c r="D5254" s="2" t="str">
        <f ca="1">IFERROR(__xludf.DUMMYFUNCTION("""COMPUTED_VALUE"""),"Dubai&gt;Dubai Islands&gt;Sunset Bay 3 by Imtiaz")</f>
        <v>Dubai&gt;Dubai Islands&gt;Sunset Bay 3 by Imtiaz</v>
      </c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</row>
    <row r="5255" spans="1:26" ht="16.5" x14ac:dyDescent="0.35">
      <c r="A5255" s="2" t="str">
        <f ca="1">IFERROR(__xludf.DUMMYFUNCTION("""COMPUTED_VALUE"""),"Dubai")</f>
        <v>Dubai</v>
      </c>
      <c r="B5255" s="2" t="str">
        <f ca="1">IFERROR(__xludf.DUMMYFUNCTION("""COMPUTED_VALUE"""),"Bay Grove Residences D Building 13")</f>
        <v>Bay Grove Residences D Building 13</v>
      </c>
      <c r="C5255" s="2" t="str">
        <f ca="1">IFERROR(__xludf.DUMMYFUNCTION("""COMPUTED_VALUE"""),"Building")</f>
        <v>Building</v>
      </c>
      <c r="D5255" s="2" t="str">
        <f ca="1">IFERROR(__xludf.DUMMYFUNCTION("""COMPUTED_VALUE"""),"Dubai&gt;Dubai Islands&gt;Bay Grove Residences D&gt;Bay Grove Residences D Building 13")</f>
        <v>Dubai&gt;Dubai Islands&gt;Bay Grove Residences D&gt;Bay Grove Residences D Building 13</v>
      </c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</row>
    <row r="5256" spans="1:26" ht="16.5" x14ac:dyDescent="0.35">
      <c r="A5256" s="2" t="str">
        <f ca="1">IFERROR(__xludf.DUMMYFUNCTION("""COMPUTED_VALUE"""),"Dubai")</f>
        <v>Dubai</v>
      </c>
      <c r="B5256" s="2" t="str">
        <f ca="1">IFERROR(__xludf.DUMMYFUNCTION("""COMPUTED_VALUE"""),"Ellington Sands II")</f>
        <v>Ellington Sands II</v>
      </c>
      <c r="C5256" s="2" t="str">
        <f ca="1">IFERROR(__xludf.DUMMYFUNCTION("""COMPUTED_VALUE"""),"Cluster")</f>
        <v>Cluster</v>
      </c>
      <c r="D5256" s="2" t="str">
        <f ca="1">IFERROR(__xludf.DUMMYFUNCTION("""COMPUTED_VALUE"""),"Dubai&gt;Dubai Islands&gt;Ellington Sands II")</f>
        <v>Dubai&gt;Dubai Islands&gt;Ellington Sands II</v>
      </c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</row>
    <row r="5257" spans="1:26" ht="16.5" x14ac:dyDescent="0.35">
      <c r="A5257" s="2" t="str">
        <f ca="1">IFERROR(__xludf.DUMMYFUNCTION("""COMPUTED_VALUE"""),"Dubai")</f>
        <v>Dubai</v>
      </c>
      <c r="B5257" s="2" t="str">
        <f ca="1">IFERROR(__xludf.DUMMYFUNCTION("""COMPUTED_VALUE"""),"Tijarah Town")</f>
        <v>Tijarah Town</v>
      </c>
      <c r="C5257" s="2" t="str">
        <f ca="1">IFERROR(__xludf.DUMMYFUNCTION("""COMPUTED_VALUE"""),"Neighbourhood")</f>
        <v>Neighbourhood</v>
      </c>
      <c r="D5257" s="2" t="str">
        <f ca="1">IFERROR(__xludf.DUMMYFUNCTION("""COMPUTED_VALUE"""),"Dubai&gt;Dubailand&gt;Tijarah Town")</f>
        <v>Dubai&gt;Dubailand&gt;Tijarah Town</v>
      </c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</row>
    <row r="5258" spans="1:26" ht="16.5" x14ac:dyDescent="0.35">
      <c r="A5258" s="2" t="str">
        <f ca="1">IFERROR(__xludf.DUMMYFUNCTION("""COMPUTED_VALUE"""),"Dubai")</f>
        <v>Dubai</v>
      </c>
      <c r="B5258" s="2" t="str">
        <f ca="1">IFERROR(__xludf.DUMMYFUNCTION("""COMPUTED_VALUE"""),"La Violeta 2")</f>
        <v>La Violeta 2</v>
      </c>
      <c r="C5258" s="2" t="str">
        <f ca="1">IFERROR(__xludf.DUMMYFUNCTION("""COMPUTED_VALUE"""),"Neighbourhood")</f>
        <v>Neighbourhood</v>
      </c>
      <c r="D5258" s="2" t="str">
        <f ca="1">IFERROR(__xludf.DUMMYFUNCTION("""COMPUTED_VALUE"""),"Dubai&gt;Dubailand&gt;Villanova&gt;La Violeta&gt;La Violeta 2")</f>
        <v>Dubai&gt;Dubailand&gt;Villanova&gt;La Violeta&gt;La Violeta 2</v>
      </c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</row>
    <row r="5259" spans="1:26" ht="16.5" x14ac:dyDescent="0.35">
      <c r="A5259" s="2" t="str">
        <f ca="1">IFERROR(__xludf.DUMMYFUNCTION("""COMPUTED_VALUE"""),"Dubai")</f>
        <v>Dubai</v>
      </c>
      <c r="B5259" s="2" t="str">
        <f ca="1">IFERROR(__xludf.DUMMYFUNCTION("""COMPUTED_VALUE"""),"Naseem")</f>
        <v>Naseem</v>
      </c>
      <c r="C5259" s="2" t="str">
        <f ca="1">IFERROR(__xludf.DUMMYFUNCTION("""COMPUTED_VALUE"""),"Neighbourhood")</f>
        <v>Neighbourhood</v>
      </c>
      <c r="D5259" s="2" t="str">
        <f ca="1">IFERROR(__xludf.DUMMYFUNCTION("""COMPUTED_VALUE"""),"Dubai&gt;Dubailand&gt;The Wilds&gt;Naseem")</f>
        <v>Dubai&gt;Dubailand&gt;The Wilds&gt;Naseem</v>
      </c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</row>
    <row r="5260" spans="1:26" ht="16.5" x14ac:dyDescent="0.35">
      <c r="A5260" s="2" t="str">
        <f ca="1">IFERROR(__xludf.DUMMYFUNCTION("""COMPUTED_VALUE"""),"Dubai")</f>
        <v>Dubai</v>
      </c>
      <c r="B5260" s="2" t="str">
        <f ca="1">IFERROR(__xludf.DUMMYFUNCTION("""COMPUTED_VALUE"""),"Caesar Tower")</f>
        <v>Caesar Tower</v>
      </c>
      <c r="C5260" s="2" t="str">
        <f ca="1">IFERROR(__xludf.DUMMYFUNCTION("""COMPUTED_VALUE"""),"Building")</f>
        <v>Building</v>
      </c>
      <c r="D5260" s="2" t="str">
        <f ca="1">IFERROR(__xludf.DUMMYFUNCTION("""COMPUTED_VALUE"""),"Dubai&gt;Living Legends&gt;Caesar Tower")</f>
        <v>Dubai&gt;Living Legends&gt;Caesar Tower</v>
      </c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</row>
    <row r="5261" spans="1:26" ht="16.5" x14ac:dyDescent="0.35">
      <c r="A5261" s="2" t="str">
        <f ca="1">IFERROR(__xludf.DUMMYFUNCTION("""COMPUTED_VALUE"""),"Dubai")</f>
        <v>Dubai</v>
      </c>
      <c r="B5261" s="2" t="str">
        <f ca="1">IFERROR(__xludf.DUMMYFUNCTION("""COMPUTED_VALUE"""),"The Apartments Dubai World Trade Centre A")</f>
        <v>The Apartments Dubai World Trade Centre A</v>
      </c>
      <c r="C5261" s="2" t="str">
        <f ca="1">IFERROR(__xludf.DUMMYFUNCTION("""COMPUTED_VALUE"""),"Building")</f>
        <v>Building</v>
      </c>
      <c r="D5261" s="2" t="str">
        <f ca="1">IFERROR(__xludf.DUMMYFUNCTION("""COMPUTED_VALUE"""),"Dubai&gt;World Trade Centre&gt;The Apartments Dubai World Trade Centre&gt;The Apartments Dubai World Trade Centre A")</f>
        <v>Dubai&gt;World Trade Centre&gt;The Apartments Dubai World Trade Centre&gt;The Apartments Dubai World Trade Centre A</v>
      </c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</row>
    <row r="5262" spans="1:26" ht="16.5" x14ac:dyDescent="0.35">
      <c r="A5262" s="2" t="str">
        <f ca="1">IFERROR(__xludf.DUMMYFUNCTION("""COMPUTED_VALUE"""),"Dubai")</f>
        <v>Dubai</v>
      </c>
      <c r="B5262" s="2" t="str">
        <f ca="1">IFERROR(__xludf.DUMMYFUNCTION("""COMPUTED_VALUE"""),"Al Sarraf Residence")</f>
        <v>Al Sarraf Residence</v>
      </c>
      <c r="C5262" s="2" t="str">
        <f ca="1">IFERROR(__xludf.DUMMYFUNCTION("""COMPUTED_VALUE"""),"Building")</f>
        <v>Building</v>
      </c>
      <c r="D5262" s="2" t="str">
        <f ca="1">IFERROR(__xludf.DUMMYFUNCTION("""COMPUTED_VALUE"""),"Dubai&gt;Al Qusais&gt;Al Qusais Residential Area&gt;Al Qusais 2&gt;Al Sarraf Residence")</f>
        <v>Dubai&gt;Al Qusais&gt;Al Qusais Residential Area&gt;Al Qusais 2&gt;Al Sarraf Residence</v>
      </c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</row>
    <row r="5263" spans="1:26" ht="16.5" x14ac:dyDescent="0.35">
      <c r="A5263" s="2" t="str">
        <f ca="1">IFERROR(__xludf.DUMMYFUNCTION("""COMPUTED_VALUE"""),"Dubai")</f>
        <v>Dubai</v>
      </c>
      <c r="B5263" s="2" t="str">
        <f ca="1">IFERROR(__xludf.DUMMYFUNCTION("""COMPUTED_VALUE"""),"Woodlem Park School, Dubai")</f>
        <v>Woodlem Park School, Dubai</v>
      </c>
      <c r="C5263" s="2" t="str">
        <f ca="1">IFERROR(__xludf.DUMMYFUNCTION("""COMPUTED_VALUE"""),"School")</f>
        <v>School</v>
      </c>
      <c r="D5263" s="2" t="str">
        <f ca="1">IFERROR(__xludf.DUMMYFUNCTION("""COMPUTED_VALUE"""),"Dubai&gt;Al Qusais&gt;Al Qusais Residential Area&gt;Al Qusais 1&gt;Woodlem Park School, Dubai")</f>
        <v>Dubai&gt;Al Qusais&gt;Al Qusais Residential Area&gt;Al Qusais 1&gt;Woodlem Park School, Dubai</v>
      </c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</row>
    <row r="5264" spans="1:26" ht="16.5" x14ac:dyDescent="0.35">
      <c r="A5264" s="2" t="str">
        <f ca="1">IFERROR(__xludf.DUMMYFUNCTION("""COMPUTED_VALUE"""),"Dubai")</f>
        <v>Dubai</v>
      </c>
      <c r="B5264" s="2" t="str">
        <f ca="1">IFERROR(__xludf.DUMMYFUNCTION("""COMPUTED_VALUE"""),"Al Jabri Tower 9")</f>
        <v>Al Jabri Tower 9</v>
      </c>
      <c r="C5264" s="2" t="str">
        <f ca="1">IFERROR(__xludf.DUMMYFUNCTION("""COMPUTED_VALUE"""),"Building")</f>
        <v>Building</v>
      </c>
      <c r="D5264" s="2" t="str">
        <f ca="1">IFERROR(__xludf.DUMMYFUNCTION("""COMPUTED_VALUE"""),"Dubai&gt;Al Qusais&gt;Al Qusais Residential Area&gt;Al Qusais 1&gt;Al Jabri Tower 9")</f>
        <v>Dubai&gt;Al Qusais&gt;Al Qusais Residential Area&gt;Al Qusais 1&gt;Al Jabri Tower 9</v>
      </c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</row>
    <row r="5265" spans="1:26" ht="16.5" x14ac:dyDescent="0.35">
      <c r="A5265" s="2" t="str">
        <f ca="1">IFERROR(__xludf.DUMMYFUNCTION("""COMPUTED_VALUE"""),"Dubai")</f>
        <v>Dubai</v>
      </c>
      <c r="B5265" s="2" t="str">
        <f ca="1">IFERROR(__xludf.DUMMYFUNCTION("""COMPUTED_VALUE"""),"Gayath Building Block A")</f>
        <v>Gayath Building Block A</v>
      </c>
      <c r="C5265" s="2" t="str">
        <f ca="1">IFERROR(__xludf.DUMMYFUNCTION("""COMPUTED_VALUE"""),"Building")</f>
        <v>Building</v>
      </c>
      <c r="D5265" s="2" t="str">
        <f ca="1">IFERROR(__xludf.DUMMYFUNCTION("""COMPUTED_VALUE"""),"Dubai&gt;Al Qusais&gt;Al Qusais Industrial Area&gt;Al Qusais Industrial 4&gt;Gayath Building&gt;Gayath Building Block A")</f>
        <v>Dubai&gt;Al Qusais&gt;Al Qusais Industrial Area&gt;Al Qusais Industrial 4&gt;Gayath Building&gt;Gayath Building Block A</v>
      </c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</row>
    <row r="5266" spans="1:26" ht="16.5" x14ac:dyDescent="0.35">
      <c r="A5266" s="2" t="str">
        <f ca="1">IFERROR(__xludf.DUMMYFUNCTION("""COMPUTED_VALUE"""),"Dubai")</f>
        <v>Dubai</v>
      </c>
      <c r="B5266" s="2" t="str">
        <f ca="1">IFERROR(__xludf.DUMMYFUNCTION("""COMPUTED_VALUE"""),"Park Heights 2 Tower 2")</f>
        <v>Park Heights 2 Tower 2</v>
      </c>
      <c r="C5266" s="2" t="str">
        <f ca="1">IFERROR(__xludf.DUMMYFUNCTION("""COMPUTED_VALUE"""),"Building")</f>
        <v>Building</v>
      </c>
      <c r="D5266" s="2" t="str">
        <f ca="1">IFERROR(__xludf.DUMMYFUNCTION("""COMPUTED_VALUE"""),"Dubai&gt;Dubai Hills Estate&gt;Park Heights&gt;Park Heights 2&gt;Park Heights 2 Tower 2")</f>
        <v>Dubai&gt;Dubai Hills Estate&gt;Park Heights&gt;Park Heights 2&gt;Park Heights 2 Tower 2</v>
      </c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</row>
    <row r="5267" spans="1:26" ht="16.5" x14ac:dyDescent="0.35">
      <c r="A5267" s="2" t="str">
        <f ca="1">IFERROR(__xludf.DUMMYFUNCTION("""COMPUTED_VALUE"""),"Dubai")</f>
        <v>Dubai</v>
      </c>
      <c r="B5267" s="2" t="str">
        <f ca="1">IFERROR(__xludf.DUMMYFUNCTION("""COMPUTED_VALUE"""),"Dubai Hills View")</f>
        <v>Dubai Hills View</v>
      </c>
      <c r="C5267" s="2" t="str">
        <f ca="1">IFERROR(__xludf.DUMMYFUNCTION("""COMPUTED_VALUE"""),"Neighbourhood")</f>
        <v>Neighbourhood</v>
      </c>
      <c r="D5267" s="2" t="str">
        <f ca="1">IFERROR(__xludf.DUMMYFUNCTION("""COMPUTED_VALUE"""),"Dubai&gt;Dubai Hills Estate&gt;Dubai Hills View")</f>
        <v>Dubai&gt;Dubai Hills Estate&gt;Dubai Hills View</v>
      </c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</row>
    <row r="5268" spans="1:26" ht="16.5" x14ac:dyDescent="0.35">
      <c r="A5268" s="2" t="str">
        <f ca="1">IFERROR(__xludf.DUMMYFUNCTION("""COMPUTED_VALUE"""),"Dubai")</f>
        <v>Dubai</v>
      </c>
      <c r="B5268" s="2" t="str">
        <f ca="1">IFERROR(__xludf.DUMMYFUNCTION("""COMPUTED_VALUE"""),"Green Square")</f>
        <v>Green Square</v>
      </c>
      <c r="C5268" s="2" t="str">
        <f ca="1">IFERROR(__xludf.DUMMYFUNCTION("""COMPUTED_VALUE"""),"Building")</f>
        <v>Building</v>
      </c>
      <c r="D5268" s="2" t="str">
        <f ca="1">IFERROR(__xludf.DUMMYFUNCTION("""COMPUTED_VALUE"""),"Dubai&gt;Dubai Hills Estate&gt;Green Square")</f>
        <v>Dubai&gt;Dubai Hills Estate&gt;Green Square</v>
      </c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</row>
    <row r="5269" spans="1:26" ht="16.5" x14ac:dyDescent="0.35">
      <c r="A5269" s="2" t="str">
        <f ca="1">IFERROR(__xludf.DUMMYFUNCTION("""COMPUTED_VALUE"""),"Dubai")</f>
        <v>Dubai</v>
      </c>
      <c r="B5269" s="2" t="str">
        <f ca="1">IFERROR(__xludf.DUMMYFUNCTION("""COMPUTED_VALUE"""),"Parkside Views")</f>
        <v>Parkside Views</v>
      </c>
      <c r="C5269" s="2" t="str">
        <f ca="1">IFERROR(__xludf.DUMMYFUNCTION("""COMPUTED_VALUE"""),"Building")</f>
        <v>Building</v>
      </c>
      <c r="D5269" s="2" t="str">
        <f ca="1">IFERROR(__xludf.DUMMYFUNCTION("""COMPUTED_VALUE"""),"Dubai&gt;Dubai Hills Estate&gt;Parkside Views")</f>
        <v>Dubai&gt;Dubai Hills Estate&gt;Parkside Views</v>
      </c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</row>
    <row r="5270" spans="1:26" ht="16.5" x14ac:dyDescent="0.35">
      <c r="A5270" s="2" t="str">
        <f ca="1">IFERROR(__xludf.DUMMYFUNCTION("""COMPUTED_VALUE"""),"Dubai")</f>
        <v>Dubai</v>
      </c>
      <c r="B5270" s="2" t="str">
        <f ca="1">IFERROR(__xludf.DUMMYFUNCTION("""COMPUTED_VALUE"""),"Hillsedge Tower A")</f>
        <v>Hillsedge Tower A</v>
      </c>
      <c r="C5270" s="2" t="str">
        <f ca="1">IFERROR(__xludf.DUMMYFUNCTION("""COMPUTED_VALUE"""),"Building")</f>
        <v>Building</v>
      </c>
      <c r="D5270" s="2" t="str">
        <f ca="1">IFERROR(__xludf.DUMMYFUNCTION("""COMPUTED_VALUE"""),"Dubai&gt;Dubai Hills Estate&gt;Hillsedge&gt;Hillsedge Tower A")</f>
        <v>Dubai&gt;Dubai Hills Estate&gt;Hillsedge&gt;Hillsedge Tower A</v>
      </c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</row>
    <row r="5271" spans="1:26" ht="16.5" x14ac:dyDescent="0.35">
      <c r="A5271" s="2" t="str">
        <f ca="1">IFERROR(__xludf.DUMMYFUNCTION("""COMPUTED_VALUE"""),"Dubai")</f>
        <v>Dubai</v>
      </c>
      <c r="B5271" s="2" t="str">
        <f ca="1">IFERROR(__xludf.DUMMYFUNCTION("""COMPUTED_VALUE"""),"Manazil Al Muraqqabat 01")</f>
        <v>Manazil Al Muraqqabat 01</v>
      </c>
      <c r="C5271" s="2" t="str">
        <f ca="1">IFERROR(__xludf.DUMMYFUNCTION("""COMPUTED_VALUE"""),"Building")</f>
        <v>Building</v>
      </c>
      <c r="D5271" s="2" t="str">
        <f ca="1">IFERROR(__xludf.DUMMYFUNCTION("""COMPUTED_VALUE"""),"Dubai&gt;Deira&gt;Al Muraqqabat&gt;Manazil Al Muraqqabat 01")</f>
        <v>Dubai&gt;Deira&gt;Al Muraqqabat&gt;Manazil Al Muraqqabat 01</v>
      </c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</row>
    <row r="5272" spans="1:26" ht="16.5" x14ac:dyDescent="0.35">
      <c r="A5272" s="2" t="str">
        <f ca="1">IFERROR(__xludf.DUMMYFUNCTION("""COMPUTED_VALUE"""),"Dubai")</f>
        <v>Dubai</v>
      </c>
      <c r="B5272" s="2" t="str">
        <f ca="1">IFERROR(__xludf.DUMMYFUNCTION("""COMPUTED_VALUE"""),"Manazil Al Muraqqabat 03")</f>
        <v>Manazil Al Muraqqabat 03</v>
      </c>
      <c r="C5272" s="2" t="str">
        <f ca="1">IFERROR(__xludf.DUMMYFUNCTION("""COMPUTED_VALUE"""),"Building")</f>
        <v>Building</v>
      </c>
      <c r="D5272" s="2" t="str">
        <f ca="1">IFERROR(__xludf.DUMMYFUNCTION("""COMPUTED_VALUE"""),"Dubai&gt;Deira&gt;Al Muraqqabat&gt;Manazil Al Muraqqabat 03")</f>
        <v>Dubai&gt;Deira&gt;Al Muraqqabat&gt;Manazil Al Muraqqabat 03</v>
      </c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</row>
    <row r="5273" spans="1:26" ht="16.5" x14ac:dyDescent="0.35">
      <c r="A5273" s="2" t="str">
        <f ca="1">IFERROR(__xludf.DUMMYFUNCTION("""COMPUTED_VALUE"""),"Dubai")</f>
        <v>Dubai</v>
      </c>
      <c r="B5273" s="2" t="str">
        <f ca="1">IFERROR(__xludf.DUMMYFUNCTION("""COMPUTED_VALUE"""),"Emirates Concorde Hotel and Residence")</f>
        <v>Emirates Concorde Hotel and Residence</v>
      </c>
      <c r="C5273" s="2" t="str">
        <f ca="1">IFERROR(__xludf.DUMMYFUNCTION("""COMPUTED_VALUE"""),"Building")</f>
        <v>Building</v>
      </c>
      <c r="D5273" s="2" t="str">
        <f ca="1">IFERROR(__xludf.DUMMYFUNCTION("""COMPUTED_VALUE"""),"Dubai&gt;Deira&gt;Riggat Al Buteen&gt;Emirates Concorde Hotel and Residence")</f>
        <v>Dubai&gt;Deira&gt;Riggat Al Buteen&gt;Emirates Concorde Hotel and Residence</v>
      </c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</row>
    <row r="5274" spans="1:26" ht="16.5" x14ac:dyDescent="0.35">
      <c r="A5274" s="2" t="str">
        <f ca="1">IFERROR(__xludf.DUMMYFUNCTION("""COMPUTED_VALUE"""),"Dubai")</f>
        <v>Dubai</v>
      </c>
      <c r="B5274" s="2" t="str">
        <f ca="1">IFERROR(__xludf.DUMMYFUNCTION("""COMPUTED_VALUE"""),"The A.B. Plaza 1")</f>
        <v>The A.B. Plaza 1</v>
      </c>
      <c r="C5274" s="2" t="str">
        <f ca="1">IFERROR(__xludf.DUMMYFUNCTION("""COMPUTED_VALUE"""),"Building")</f>
        <v>Building</v>
      </c>
      <c r="D5274" s="2" t="str">
        <f ca="1">IFERROR(__xludf.DUMMYFUNCTION("""COMPUTED_VALUE"""),"Dubai&gt;Deira&gt;Hor Al Anz&gt;The A.B. Plaza 1")</f>
        <v>Dubai&gt;Deira&gt;Hor Al Anz&gt;The A.B. Plaza 1</v>
      </c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</row>
    <row r="5275" spans="1:26" ht="16.5" x14ac:dyDescent="0.35">
      <c r="A5275" s="2" t="str">
        <f ca="1">IFERROR(__xludf.DUMMYFUNCTION("""COMPUTED_VALUE"""),"Dubai")</f>
        <v>Dubai</v>
      </c>
      <c r="B5275" s="2" t="str">
        <f ca="1">IFERROR(__xludf.DUMMYFUNCTION("""COMPUTED_VALUE"""),"Al Safiya Residence")</f>
        <v>Al Safiya Residence</v>
      </c>
      <c r="C5275" s="2" t="str">
        <f ca="1">IFERROR(__xludf.DUMMYFUNCTION("""COMPUTED_VALUE"""),"Building")</f>
        <v>Building</v>
      </c>
      <c r="D5275" s="2" t="str">
        <f ca="1">IFERROR(__xludf.DUMMYFUNCTION("""COMPUTED_VALUE"""),"Dubai&gt;Deira&gt;Hor Al Anz&gt;Al Safiya Residence")</f>
        <v>Dubai&gt;Deira&gt;Hor Al Anz&gt;Al Safiya Residence</v>
      </c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</row>
    <row r="5276" spans="1:26" ht="16.5" x14ac:dyDescent="0.35">
      <c r="A5276" s="2" t="str">
        <f ca="1">IFERROR(__xludf.DUMMYFUNCTION("""COMPUTED_VALUE"""),"Dubai")</f>
        <v>Dubai</v>
      </c>
      <c r="B5276" s="2" t="str">
        <f ca="1">IFERROR(__xludf.DUMMYFUNCTION("""COMPUTED_VALUE"""),"City Avenue Hotel")</f>
        <v>City Avenue Hotel</v>
      </c>
      <c r="C5276" s="2" t="str">
        <f ca="1">IFERROR(__xludf.DUMMYFUNCTION("""COMPUTED_VALUE"""),"Building")</f>
        <v>Building</v>
      </c>
      <c r="D5276" s="2" t="str">
        <f ca="1">IFERROR(__xludf.DUMMYFUNCTION("""COMPUTED_VALUE"""),"Dubai&gt;Deira&gt;Al Muteena&gt;City Avenue Hotel")</f>
        <v>Dubai&gt;Deira&gt;Al Muteena&gt;City Avenue Hotel</v>
      </c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</row>
    <row r="5277" spans="1:26" ht="16.5" x14ac:dyDescent="0.35">
      <c r="A5277" s="2" t="str">
        <f ca="1">IFERROR(__xludf.DUMMYFUNCTION("""COMPUTED_VALUE"""),"Dubai")</f>
        <v>Dubai</v>
      </c>
      <c r="B5277" s="2" t="str">
        <f ca="1">IFERROR(__xludf.DUMMYFUNCTION("""COMPUTED_VALUE"""),"Rigga Road")</f>
        <v>Rigga Road</v>
      </c>
      <c r="C5277" s="2"/>
      <c r="D5277" s="2" t="str">
        <f ca="1">IFERROR(__xludf.DUMMYFUNCTION("""COMPUTED_VALUE"""),"Dubai&gt;Deira&gt;Al Rigga&gt;Rigga Road")</f>
        <v>Dubai&gt;Deira&gt;Al Rigga&gt;Rigga Road</v>
      </c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</row>
    <row r="5278" spans="1:26" ht="16.5" x14ac:dyDescent="0.35">
      <c r="A5278" s="2" t="str">
        <f ca="1">IFERROR(__xludf.DUMMYFUNCTION("""COMPUTED_VALUE"""),"Dubai")</f>
        <v>Dubai</v>
      </c>
      <c r="B5278" s="2" t="str">
        <f ca="1">IFERROR(__xludf.DUMMYFUNCTION("""COMPUTED_VALUE"""),"Moza Plaza 5")</f>
        <v>Moza Plaza 5</v>
      </c>
      <c r="C5278" s="2" t="str">
        <f ca="1">IFERROR(__xludf.DUMMYFUNCTION("""COMPUTED_VALUE"""),"Building")</f>
        <v>Building</v>
      </c>
      <c r="D5278" s="2" t="str">
        <f ca="1">IFERROR(__xludf.DUMMYFUNCTION("""COMPUTED_VALUE"""),"Dubai&gt;Deira&gt;Deira Enrichment Project&gt;Moza Plaza&gt;Moza Plaza 5")</f>
        <v>Dubai&gt;Deira&gt;Deira Enrichment Project&gt;Moza Plaza&gt;Moza Plaza 5</v>
      </c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</row>
    <row r="5279" spans="1:26" ht="16.5" x14ac:dyDescent="0.35">
      <c r="A5279" s="2" t="str">
        <f ca="1">IFERROR(__xludf.DUMMYFUNCTION("""COMPUTED_VALUE"""),"Dubai")</f>
        <v>Dubai</v>
      </c>
      <c r="B5279" s="2" t="str">
        <f ca="1">IFERROR(__xludf.DUMMYFUNCTION("""COMPUTED_VALUE"""),"Hardware Building")</f>
        <v>Hardware Building</v>
      </c>
      <c r="C5279" s="2" t="str">
        <f ca="1">IFERROR(__xludf.DUMMYFUNCTION("""COMPUTED_VALUE"""),"Building")</f>
        <v>Building</v>
      </c>
      <c r="D5279" s="2" t="str">
        <f ca="1">IFERROR(__xludf.DUMMYFUNCTION("""COMPUTED_VALUE"""),"Dubai&gt;Deira&gt;Naif&gt;Hardware Building")</f>
        <v>Dubai&gt;Deira&gt;Naif&gt;Hardware Building</v>
      </c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</row>
    <row r="5280" spans="1:26" ht="16.5" x14ac:dyDescent="0.35">
      <c r="A5280" s="2" t="str">
        <f ca="1">IFERROR(__xludf.DUMMYFUNCTION("""COMPUTED_VALUE"""),"Dubai")</f>
        <v>Dubai</v>
      </c>
      <c r="B5280" s="2" t="str">
        <f ca="1">IFERROR(__xludf.DUMMYFUNCTION("""COMPUTED_VALUE"""),"Abdullah Mohamed Saeed Al Ghobash Al Nakhal Building")</f>
        <v>Abdullah Mohamed Saeed Al Ghobash Al Nakhal Building</v>
      </c>
      <c r="C5280" s="2" t="str">
        <f ca="1">IFERROR(__xludf.DUMMYFUNCTION("""COMPUTED_VALUE"""),"Building")</f>
        <v>Building</v>
      </c>
      <c r="D5280" s="2" t="str">
        <f ca="1">IFERROR(__xludf.DUMMYFUNCTION("""COMPUTED_VALUE"""),"Dubai&gt;Deira&gt;Naif&gt;Abdullah Mohamed Saeed Al Ghobash Al Nakhal Building")</f>
        <v>Dubai&gt;Deira&gt;Naif&gt;Abdullah Mohamed Saeed Al Ghobash Al Nakhal Building</v>
      </c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</row>
    <row r="5281" spans="1:26" ht="16.5" x14ac:dyDescent="0.35">
      <c r="A5281" s="2" t="str">
        <f ca="1">IFERROR(__xludf.DUMMYFUNCTION("""COMPUTED_VALUE"""),"Dubai")</f>
        <v>Dubai</v>
      </c>
      <c r="B5281" s="2" t="str">
        <f ca="1">IFERROR(__xludf.DUMMYFUNCTION("""COMPUTED_VALUE"""),"Mohamaed Sultan Mattar Al Hallami Building")</f>
        <v>Mohamaed Sultan Mattar Al Hallami Building</v>
      </c>
      <c r="C5281" s="2" t="str">
        <f ca="1">IFERROR(__xludf.DUMMYFUNCTION("""COMPUTED_VALUE"""),"Building")</f>
        <v>Building</v>
      </c>
      <c r="D5281" s="2" t="str">
        <f ca="1">IFERROR(__xludf.DUMMYFUNCTION("""COMPUTED_VALUE"""),"Dubai&gt;Deira&gt;Al Murar&gt;Mohamaed Sultan Mattar Al Hallami Building")</f>
        <v>Dubai&gt;Deira&gt;Al Murar&gt;Mohamaed Sultan Mattar Al Hallami Building</v>
      </c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</row>
    <row r="5282" spans="1:26" ht="16.5" x14ac:dyDescent="0.35">
      <c r="A5282" s="2" t="str">
        <f ca="1">IFERROR(__xludf.DUMMYFUNCTION("""COMPUTED_VALUE"""),"Dubai")</f>
        <v>Dubai</v>
      </c>
      <c r="B5282" s="2" t="str">
        <f ca="1">IFERROR(__xludf.DUMMYFUNCTION("""COMPUTED_VALUE"""),"Al Hamriya Street")</f>
        <v>Al Hamriya Street</v>
      </c>
      <c r="C5282" s="2" t="str">
        <f ca="1">IFERROR(__xludf.DUMMYFUNCTION("""COMPUTED_VALUE"""),"Neighbourhood")</f>
        <v>Neighbourhood</v>
      </c>
      <c r="D5282" s="2" t="str">
        <f ca="1">IFERROR(__xludf.DUMMYFUNCTION("""COMPUTED_VALUE"""),"Dubai&gt;Deira&gt;Al Wuheida&gt;Al Hamriya Street")</f>
        <v>Dubai&gt;Deira&gt;Al Wuheida&gt;Al Hamriya Street</v>
      </c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</row>
    <row r="5283" spans="1:26" ht="16.5" x14ac:dyDescent="0.35">
      <c r="A5283" s="2" t="str">
        <f ca="1">IFERROR(__xludf.DUMMYFUNCTION("""COMPUTED_VALUE"""),"Dubai")</f>
        <v>Dubai</v>
      </c>
      <c r="B5283" s="2" t="str">
        <f ca="1">IFERROR(__xludf.DUMMYFUNCTION("""COMPUTED_VALUE"""),"Centurion Star A")</f>
        <v>Centurion Star A</v>
      </c>
      <c r="C5283" s="2" t="str">
        <f ca="1">IFERROR(__xludf.DUMMYFUNCTION("""COMPUTED_VALUE"""),"Building")</f>
        <v>Building</v>
      </c>
      <c r="D5283" s="2" t="str">
        <f ca="1">IFERROR(__xludf.DUMMYFUNCTION("""COMPUTED_VALUE"""),"Dubai&gt;Deira&gt;Port Saeed&gt;Centurion Star&gt;Centurion Star A")</f>
        <v>Dubai&gt;Deira&gt;Port Saeed&gt;Centurion Star&gt;Centurion Star A</v>
      </c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</row>
    <row r="5284" spans="1:26" ht="16.5" x14ac:dyDescent="0.35">
      <c r="A5284" s="2" t="str">
        <f ca="1">IFERROR(__xludf.DUMMYFUNCTION("""COMPUTED_VALUE"""),"Dubai")</f>
        <v>Dubai</v>
      </c>
      <c r="B5284" s="2" t="str">
        <f ca="1">IFERROR(__xludf.DUMMYFUNCTION("""COMPUTED_VALUE"""),"Horizone Building")</f>
        <v>Horizone Building</v>
      </c>
      <c r="C5284" s="2" t="str">
        <f ca="1">IFERROR(__xludf.DUMMYFUNCTION("""COMPUTED_VALUE"""),"Building")</f>
        <v>Building</v>
      </c>
      <c r="D5284" s="2" t="str">
        <f ca="1">IFERROR(__xludf.DUMMYFUNCTION("""COMPUTED_VALUE"""),"Dubai&gt;Deira&gt;Port Saeed&gt;Horizone Building")</f>
        <v>Dubai&gt;Deira&gt;Port Saeed&gt;Horizone Building</v>
      </c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</row>
    <row r="5285" spans="1:26" ht="16.5" x14ac:dyDescent="0.35">
      <c r="A5285" s="2" t="str">
        <f ca="1">IFERROR(__xludf.DUMMYFUNCTION("""COMPUTED_VALUE"""),"Dubai")</f>
        <v>Dubai</v>
      </c>
      <c r="B5285" s="2" t="str">
        <f ca="1">IFERROR(__xludf.DUMMYFUNCTION("""COMPUTED_VALUE"""),"Elite Business Bay Residence")</f>
        <v>Elite Business Bay Residence</v>
      </c>
      <c r="C5285" s="2" t="str">
        <f ca="1">IFERROR(__xludf.DUMMYFUNCTION("""COMPUTED_VALUE"""),"Building")</f>
        <v>Building</v>
      </c>
      <c r="D5285" s="2" t="str">
        <f ca="1">IFERROR(__xludf.DUMMYFUNCTION("""COMPUTED_VALUE"""),"Dubai&gt;Business Bay&gt;Elite Business Bay Residence")</f>
        <v>Dubai&gt;Business Bay&gt;Elite Business Bay Residence</v>
      </c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</row>
    <row r="5286" spans="1:26" ht="16.5" x14ac:dyDescent="0.35">
      <c r="A5286" s="2" t="str">
        <f ca="1">IFERROR(__xludf.DUMMYFUNCTION("""COMPUTED_VALUE"""),"Dubai")</f>
        <v>Dubai</v>
      </c>
      <c r="B5286" s="2" t="str">
        <f ca="1">IFERROR(__xludf.DUMMYFUNCTION("""COMPUTED_VALUE"""),"The Sterling West")</f>
        <v>The Sterling West</v>
      </c>
      <c r="C5286" s="2" t="str">
        <f ca="1">IFERROR(__xludf.DUMMYFUNCTION("""COMPUTED_VALUE"""),"Building")</f>
        <v>Building</v>
      </c>
      <c r="D5286" s="2" t="str">
        <f ca="1">IFERROR(__xludf.DUMMYFUNCTION("""COMPUTED_VALUE"""),"Dubai&gt;Business Bay&gt;The Sterling&gt;The Sterling West")</f>
        <v>Dubai&gt;Business Bay&gt;The Sterling&gt;The Sterling West</v>
      </c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</row>
    <row r="5287" spans="1:26" ht="16.5" x14ac:dyDescent="0.35">
      <c r="A5287" s="2" t="str">
        <f ca="1">IFERROR(__xludf.DUMMYFUNCTION("""COMPUTED_VALUE"""),"Dubai")</f>
        <v>Dubai</v>
      </c>
      <c r="B5287" s="2" t="str">
        <f ca="1">IFERROR(__xludf.DUMMYFUNCTION("""COMPUTED_VALUE"""),"Volante Tower")</f>
        <v>Volante Tower</v>
      </c>
      <c r="C5287" s="2" t="str">
        <f ca="1">IFERROR(__xludf.DUMMYFUNCTION("""COMPUTED_VALUE"""),"Building")</f>
        <v>Building</v>
      </c>
      <c r="D5287" s="2" t="str">
        <f ca="1">IFERROR(__xludf.DUMMYFUNCTION("""COMPUTED_VALUE"""),"Dubai&gt;Business Bay&gt;Volante Tower")</f>
        <v>Dubai&gt;Business Bay&gt;Volante Tower</v>
      </c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</row>
    <row r="5288" spans="1:26" ht="16.5" x14ac:dyDescent="0.35">
      <c r="A5288" s="2" t="str">
        <f ca="1">IFERROR(__xludf.DUMMYFUNCTION("""COMPUTED_VALUE"""),"Dubai")</f>
        <v>Dubai</v>
      </c>
      <c r="B5288" s="2" t="str">
        <f ca="1">IFERROR(__xludf.DUMMYFUNCTION("""COMPUTED_VALUE"""),"Moon Tower")</f>
        <v>Moon Tower</v>
      </c>
      <c r="C5288" s="2" t="str">
        <f ca="1">IFERROR(__xludf.DUMMYFUNCTION("""COMPUTED_VALUE"""),"Building")</f>
        <v>Building</v>
      </c>
      <c r="D5288" s="2" t="str">
        <f ca="1">IFERROR(__xludf.DUMMYFUNCTION("""COMPUTED_VALUE"""),"Dubai&gt;Business Bay&gt;Moon Tower")</f>
        <v>Dubai&gt;Business Bay&gt;Moon Tower</v>
      </c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</row>
    <row r="5289" spans="1:26" ht="16.5" x14ac:dyDescent="0.35">
      <c r="A5289" s="2" t="str">
        <f ca="1">IFERROR(__xludf.DUMMYFUNCTION("""COMPUTED_VALUE"""),"Dubai")</f>
        <v>Dubai</v>
      </c>
      <c r="B5289" s="2" t="str">
        <f ca="1">IFERROR(__xludf.DUMMYFUNCTION("""COMPUTED_VALUE"""),"International Business Tower")</f>
        <v>International Business Tower</v>
      </c>
      <c r="C5289" s="2" t="str">
        <f ca="1">IFERROR(__xludf.DUMMYFUNCTION("""COMPUTED_VALUE"""),"Building")</f>
        <v>Building</v>
      </c>
      <c r="D5289" s="2" t="str">
        <f ca="1">IFERROR(__xludf.DUMMYFUNCTION("""COMPUTED_VALUE"""),"Dubai&gt;Business Bay&gt;International Business Tower")</f>
        <v>Dubai&gt;Business Bay&gt;International Business Tower</v>
      </c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</row>
    <row r="5290" spans="1:26" ht="16.5" x14ac:dyDescent="0.35">
      <c r="A5290" s="2" t="str">
        <f ca="1">IFERROR(__xludf.DUMMYFUNCTION("""COMPUTED_VALUE"""),"Dubai")</f>
        <v>Dubai</v>
      </c>
      <c r="B5290" s="2" t="str">
        <f ca="1">IFERROR(__xludf.DUMMYFUNCTION("""COMPUTED_VALUE"""),"Burlington")</f>
        <v>Burlington</v>
      </c>
      <c r="C5290" s="2" t="str">
        <f ca="1">IFERROR(__xludf.DUMMYFUNCTION("""COMPUTED_VALUE"""),"Building")</f>
        <v>Building</v>
      </c>
      <c r="D5290" s="2" t="str">
        <f ca="1">IFERROR(__xludf.DUMMYFUNCTION("""COMPUTED_VALUE"""),"Dubai&gt;Business Bay&gt;Burlington")</f>
        <v>Dubai&gt;Business Bay&gt;Burlington</v>
      </c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</row>
    <row r="5291" spans="1:26" ht="16.5" x14ac:dyDescent="0.35">
      <c r="A5291" s="2" t="str">
        <f ca="1">IFERROR(__xludf.DUMMYFUNCTION("""COMPUTED_VALUE"""),"Dubai")</f>
        <v>Dubai</v>
      </c>
      <c r="B5291" s="2" t="str">
        <f ca="1">IFERROR(__xludf.DUMMYFUNCTION("""COMPUTED_VALUE"""),"DG1 Living")</f>
        <v>DG1 Living</v>
      </c>
      <c r="C5291" s="2" t="str">
        <f ca="1">IFERROR(__xludf.DUMMYFUNCTION("""COMPUTED_VALUE"""),"Building")</f>
        <v>Building</v>
      </c>
      <c r="D5291" s="2" t="str">
        <f ca="1">IFERROR(__xludf.DUMMYFUNCTION("""COMPUTED_VALUE"""),"Dubai&gt;Business Bay&gt;DG1 Living")</f>
        <v>Dubai&gt;Business Bay&gt;DG1 Living</v>
      </c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</row>
    <row r="5292" spans="1:26" ht="16.5" x14ac:dyDescent="0.35">
      <c r="A5292" s="2" t="str">
        <f ca="1">IFERROR(__xludf.DUMMYFUNCTION("""COMPUTED_VALUE"""),"Dubai")</f>
        <v>Dubai</v>
      </c>
      <c r="B5292" s="2" t="str">
        <f ca="1">IFERROR(__xludf.DUMMYFUNCTION("""COMPUTED_VALUE"""),"One River Point")</f>
        <v>One River Point</v>
      </c>
      <c r="C5292" s="2" t="str">
        <f ca="1">IFERROR(__xludf.DUMMYFUNCTION("""COMPUTED_VALUE"""),"Building")</f>
        <v>Building</v>
      </c>
      <c r="D5292" s="2" t="str">
        <f ca="1">IFERROR(__xludf.DUMMYFUNCTION("""COMPUTED_VALUE"""),"Dubai&gt;Business Bay&gt;One River Point")</f>
        <v>Dubai&gt;Business Bay&gt;One River Point</v>
      </c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</row>
    <row r="5293" spans="1:26" ht="16.5" x14ac:dyDescent="0.35">
      <c r="A5293" s="2" t="str">
        <f ca="1">IFERROR(__xludf.DUMMYFUNCTION("""COMPUTED_VALUE"""),"Dubai")</f>
        <v>Dubai</v>
      </c>
      <c r="B5293" s="2" t="str">
        <f ca="1">IFERROR(__xludf.DUMMYFUNCTION("""COMPUTED_VALUE"""),"Binghatti Skyrise Tower C")</f>
        <v>Binghatti Skyrise Tower C</v>
      </c>
      <c r="C5293" s="2" t="str">
        <f ca="1">IFERROR(__xludf.DUMMYFUNCTION("""COMPUTED_VALUE"""),"Building")</f>
        <v>Building</v>
      </c>
      <c r="D5293" s="2" t="str">
        <f ca="1">IFERROR(__xludf.DUMMYFUNCTION("""COMPUTED_VALUE"""),"Dubai&gt;Business Bay&gt;Binghatti Skyrise&gt;Binghatti Skyrise Tower C")</f>
        <v>Dubai&gt;Business Bay&gt;Binghatti Skyrise&gt;Binghatti Skyrise Tower C</v>
      </c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</row>
    <row r="5294" spans="1:26" ht="16.5" x14ac:dyDescent="0.35">
      <c r="A5294" s="2" t="str">
        <f ca="1">IFERROR(__xludf.DUMMYFUNCTION("""COMPUTED_VALUE"""),"Dubai")</f>
        <v>Dubai</v>
      </c>
      <c r="B5294" s="2" t="str">
        <f ca="1">IFERROR(__xludf.DUMMYFUNCTION("""COMPUTED_VALUE"""),"The Imperial Residence B")</f>
        <v>The Imperial Residence B</v>
      </c>
      <c r="C5294" s="2" t="str">
        <f ca="1">IFERROR(__xludf.DUMMYFUNCTION("""COMPUTED_VALUE"""),"Building")</f>
        <v>Building</v>
      </c>
      <c r="D5294" s="2" t="str">
        <f ca="1">IFERROR(__xludf.DUMMYFUNCTION("""COMPUTED_VALUE"""),"Dubai&gt;Jumeirah Village Triangle (JVT)&gt;JVT District 5&gt;The Imperial Residence&gt;The Imperial Residence B")</f>
        <v>Dubai&gt;Jumeirah Village Triangle (JVT)&gt;JVT District 5&gt;The Imperial Residence&gt;The Imperial Residence B</v>
      </c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</row>
    <row r="5295" spans="1:26" ht="16.5" x14ac:dyDescent="0.35">
      <c r="A5295" s="2" t="str">
        <f ca="1">IFERROR(__xludf.DUMMYFUNCTION("""COMPUTED_VALUE"""),"Dubai")</f>
        <v>Dubai</v>
      </c>
      <c r="B5295" s="2" t="str">
        <f ca="1">IFERROR(__xludf.DUMMYFUNCTION("""COMPUTED_VALUE"""),"District 8E")</f>
        <v>District 8E</v>
      </c>
      <c r="C5295" s="2" t="str">
        <f ca="1">IFERROR(__xludf.DUMMYFUNCTION("""COMPUTED_VALUE"""),"Neighbourhood")</f>
        <v>Neighbourhood</v>
      </c>
      <c r="D5295" s="2" t="str">
        <f ca="1">IFERROR(__xludf.DUMMYFUNCTION("""COMPUTED_VALUE"""),"Dubai&gt;Jumeirah Village Triangle (JVT)&gt;JVT District 8&gt;District 8E")</f>
        <v>Dubai&gt;Jumeirah Village Triangle (JVT)&gt;JVT District 8&gt;District 8E</v>
      </c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</row>
    <row r="5296" spans="1:26" ht="16.5" x14ac:dyDescent="0.35">
      <c r="A5296" s="2" t="str">
        <f ca="1">IFERROR(__xludf.DUMMYFUNCTION("""COMPUTED_VALUE"""),"Dubai")</f>
        <v>Dubai</v>
      </c>
      <c r="B5296" s="2" t="str">
        <f ca="1">IFERROR(__xludf.DUMMYFUNCTION("""COMPUTED_VALUE"""),"District 2F")</f>
        <v>District 2F</v>
      </c>
      <c r="C5296" s="2" t="str">
        <f ca="1">IFERROR(__xludf.DUMMYFUNCTION("""COMPUTED_VALUE"""),"Neighbourhood")</f>
        <v>Neighbourhood</v>
      </c>
      <c r="D5296" s="2" t="str">
        <f ca="1">IFERROR(__xludf.DUMMYFUNCTION("""COMPUTED_VALUE"""),"Dubai&gt;Jumeirah Village Triangle (JVT)&gt;JVT District 2&gt;District 2F")</f>
        <v>Dubai&gt;Jumeirah Village Triangle (JVT)&gt;JVT District 2&gt;District 2F</v>
      </c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</row>
    <row r="5297" spans="1:26" ht="16.5" x14ac:dyDescent="0.35">
      <c r="A5297" s="2" t="str">
        <f ca="1">IFERROR(__xludf.DUMMYFUNCTION("""COMPUTED_VALUE"""),"Dubai")</f>
        <v>Dubai</v>
      </c>
      <c r="B5297" s="2" t="str">
        <f ca="1">IFERROR(__xludf.DUMMYFUNCTION("""COMPUTED_VALUE"""),"District 7G")</f>
        <v>District 7G</v>
      </c>
      <c r="C5297" s="2" t="str">
        <f ca="1">IFERROR(__xludf.DUMMYFUNCTION("""COMPUTED_VALUE"""),"Neighbourhood")</f>
        <v>Neighbourhood</v>
      </c>
      <c r="D5297" s="2" t="str">
        <f ca="1">IFERROR(__xludf.DUMMYFUNCTION("""COMPUTED_VALUE"""),"Dubai&gt;Jumeirah Village Triangle (JVT)&gt;JVT District 7&gt;District 7G")</f>
        <v>Dubai&gt;Jumeirah Village Triangle (JVT)&gt;JVT District 7&gt;District 7G</v>
      </c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</row>
    <row r="5298" spans="1:26" ht="16.5" x14ac:dyDescent="0.35">
      <c r="A5298" s="2" t="str">
        <f ca="1">IFERROR(__xludf.DUMMYFUNCTION("""COMPUTED_VALUE"""),"Dubai")</f>
        <v>Dubai</v>
      </c>
      <c r="B5298" s="2" t="str">
        <f ca="1">IFERROR(__xludf.DUMMYFUNCTION("""COMPUTED_VALUE"""),"District 4C")</f>
        <v>District 4C</v>
      </c>
      <c r="C5298" s="2" t="str">
        <f ca="1">IFERROR(__xludf.DUMMYFUNCTION("""COMPUTED_VALUE"""),"Neighbourhood")</f>
        <v>Neighbourhood</v>
      </c>
      <c r="D5298" s="2" t="str">
        <f ca="1">IFERROR(__xludf.DUMMYFUNCTION("""COMPUTED_VALUE"""),"Dubai&gt;Jumeirah Village Triangle (JVT)&gt;JVT District 4&gt;District 4C")</f>
        <v>Dubai&gt;Jumeirah Village Triangle (JVT)&gt;JVT District 4&gt;District 4C</v>
      </c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</row>
    <row r="5299" spans="1:26" ht="16.5" x14ac:dyDescent="0.35">
      <c r="A5299" s="2" t="str">
        <f ca="1">IFERROR(__xludf.DUMMYFUNCTION("""COMPUTED_VALUE"""),"Dubai")</f>
        <v>Dubai</v>
      </c>
      <c r="B5299" s="2" t="str">
        <f ca="1">IFERROR(__xludf.DUMMYFUNCTION("""COMPUTED_VALUE"""),"District 3D")</f>
        <v>District 3D</v>
      </c>
      <c r="C5299" s="2" t="str">
        <f ca="1">IFERROR(__xludf.DUMMYFUNCTION("""COMPUTED_VALUE"""),"Neighbourhood")</f>
        <v>Neighbourhood</v>
      </c>
      <c r="D5299" s="2" t="str">
        <f ca="1">IFERROR(__xludf.DUMMYFUNCTION("""COMPUTED_VALUE"""),"Dubai&gt;Jumeirah Village Triangle (JVT)&gt;JVT District 3&gt;District 3D")</f>
        <v>Dubai&gt;Jumeirah Village Triangle (JVT)&gt;JVT District 3&gt;District 3D</v>
      </c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</row>
    <row r="5300" spans="1:26" ht="16.5" x14ac:dyDescent="0.35">
      <c r="A5300" s="2" t="str">
        <f ca="1">IFERROR(__xludf.DUMMYFUNCTION("""COMPUTED_VALUE"""),"Dubai")</f>
        <v>Dubai</v>
      </c>
      <c r="B5300" s="2" t="str">
        <f ca="1">IFERROR(__xludf.DUMMYFUNCTION("""COMPUTED_VALUE"""),"Al Ramth 05")</f>
        <v>Al Ramth 05</v>
      </c>
      <c r="C5300" s="2" t="str">
        <f ca="1">IFERROR(__xludf.DUMMYFUNCTION("""COMPUTED_VALUE"""),"Building")</f>
        <v>Building</v>
      </c>
      <c r="D5300" s="2" t="str">
        <f ca="1">IFERROR(__xludf.DUMMYFUNCTION("""COMPUTED_VALUE"""),"Dubai&gt;Remraam&gt;Al Ramth&gt;Al Ramth 05")</f>
        <v>Dubai&gt;Remraam&gt;Al Ramth&gt;Al Ramth 05</v>
      </c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</row>
    <row r="5301" spans="1:26" ht="16.5" x14ac:dyDescent="0.35">
      <c r="A5301" s="2" t="str">
        <f ca="1">IFERROR(__xludf.DUMMYFUNCTION("""COMPUTED_VALUE"""),"Dubai")</f>
        <v>Dubai</v>
      </c>
      <c r="B5301" s="2" t="str">
        <f ca="1">IFERROR(__xludf.DUMMYFUNCTION("""COMPUTED_VALUE"""),"Al Ramth 22")</f>
        <v>Al Ramth 22</v>
      </c>
      <c r="C5301" s="2" t="str">
        <f ca="1">IFERROR(__xludf.DUMMYFUNCTION("""COMPUTED_VALUE"""),"Building")</f>
        <v>Building</v>
      </c>
      <c r="D5301" s="2" t="str">
        <f ca="1">IFERROR(__xludf.DUMMYFUNCTION("""COMPUTED_VALUE"""),"Dubai&gt;Remraam&gt;Al Ramth&gt;Al Ramth 22")</f>
        <v>Dubai&gt;Remraam&gt;Al Ramth&gt;Al Ramth 22</v>
      </c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</row>
    <row r="5302" spans="1:26" ht="16.5" x14ac:dyDescent="0.35">
      <c r="A5302" s="2" t="str">
        <f ca="1">IFERROR(__xludf.DUMMYFUNCTION("""COMPUTED_VALUE"""),"Dubai")</f>
        <v>Dubai</v>
      </c>
      <c r="B5302" s="2" t="str">
        <f ca="1">IFERROR(__xludf.DUMMYFUNCTION("""COMPUTED_VALUE"""),"Al Thamam 18")</f>
        <v>Al Thamam 18</v>
      </c>
      <c r="C5302" s="2" t="str">
        <f ca="1">IFERROR(__xludf.DUMMYFUNCTION("""COMPUTED_VALUE"""),"Building")</f>
        <v>Building</v>
      </c>
      <c r="D5302" s="2" t="str">
        <f ca="1">IFERROR(__xludf.DUMMYFUNCTION("""COMPUTED_VALUE"""),"Dubai&gt;Remraam&gt;Al Thamam&gt;Al Thamam 18")</f>
        <v>Dubai&gt;Remraam&gt;Al Thamam&gt;Al Thamam 18</v>
      </c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</row>
    <row r="5303" spans="1:26" ht="16.5" x14ac:dyDescent="0.35">
      <c r="A5303" s="2" t="str">
        <f ca="1">IFERROR(__xludf.DUMMYFUNCTION("""COMPUTED_VALUE"""),"Dubai")</f>
        <v>Dubai</v>
      </c>
      <c r="B5303" s="2" t="str">
        <f ca="1">IFERROR(__xludf.DUMMYFUNCTION("""COMPUTED_VALUE"""),"Binghatti Phantom")</f>
        <v>Binghatti Phantom</v>
      </c>
      <c r="C5303" s="2" t="str">
        <f ca="1">IFERROR(__xludf.DUMMYFUNCTION("""COMPUTED_VALUE"""),"Building")</f>
        <v>Building</v>
      </c>
      <c r="D5303" s="2" t="str">
        <f ca="1">IFERROR(__xludf.DUMMYFUNCTION("""COMPUTED_VALUE"""),"Dubai&gt;Jumeirah Village Circle (JVC)&gt;JVC District 17&gt;Binghatti Phantom")</f>
        <v>Dubai&gt;Jumeirah Village Circle (JVC)&gt;JVC District 17&gt;Binghatti Phantom</v>
      </c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</row>
    <row r="5304" spans="1:26" ht="16.5" x14ac:dyDescent="0.35">
      <c r="A5304" s="2" t="str">
        <f ca="1">IFERROR(__xludf.DUMMYFUNCTION("""COMPUTED_VALUE"""),"Dubai")</f>
        <v>Dubai</v>
      </c>
      <c r="B5304" s="2" t="str">
        <f ca="1">IFERROR(__xludf.DUMMYFUNCTION("""COMPUTED_VALUE"""),"Roxana Residence A")</f>
        <v>Roxana Residence A</v>
      </c>
      <c r="C5304" s="2" t="str">
        <f ca="1">IFERROR(__xludf.DUMMYFUNCTION("""COMPUTED_VALUE"""),"Building")</f>
        <v>Building</v>
      </c>
      <c r="D5304" s="2" t="str">
        <f ca="1">IFERROR(__xludf.DUMMYFUNCTION("""COMPUTED_VALUE"""),"Dubai&gt;Jumeirah Village Circle (JVC)&gt;JVC District 12&gt;Roxana Residences&gt;Roxana Residence A")</f>
        <v>Dubai&gt;Jumeirah Village Circle (JVC)&gt;JVC District 12&gt;Roxana Residences&gt;Roxana Residence A</v>
      </c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</row>
    <row r="5305" spans="1:26" ht="16.5" x14ac:dyDescent="0.35">
      <c r="A5305" s="2" t="str">
        <f ca="1">IFERROR(__xludf.DUMMYFUNCTION("""COMPUTED_VALUE"""),"Dubai")</f>
        <v>Dubai</v>
      </c>
      <c r="B5305" s="2" t="str">
        <f ca="1">IFERROR(__xludf.DUMMYFUNCTION("""COMPUTED_VALUE"""),"Nicholas Residence")</f>
        <v>Nicholas Residence</v>
      </c>
      <c r="C5305" s="2" t="str">
        <f ca="1">IFERROR(__xludf.DUMMYFUNCTION("""COMPUTED_VALUE"""),"Building")</f>
        <v>Building</v>
      </c>
      <c r="D5305" s="2" t="str">
        <f ca="1">IFERROR(__xludf.DUMMYFUNCTION("""COMPUTED_VALUE"""),"Dubai&gt;Jumeirah Village Circle (JVC)&gt;JVC District 12&gt;Nicholas Residence")</f>
        <v>Dubai&gt;Jumeirah Village Circle (JVC)&gt;JVC District 12&gt;Nicholas Residence</v>
      </c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</row>
    <row r="5306" spans="1:26" ht="16.5" x14ac:dyDescent="0.35">
      <c r="A5306" s="2" t="str">
        <f ca="1">IFERROR(__xludf.DUMMYFUNCTION("""COMPUTED_VALUE"""),"Dubai")</f>
        <v>Dubai</v>
      </c>
      <c r="B5306" s="2" t="str">
        <f ca="1">IFERROR(__xludf.DUMMYFUNCTION("""COMPUTED_VALUE"""),"Vue by Crystal Bay")</f>
        <v>Vue by Crystal Bay</v>
      </c>
      <c r="C5306" s="2" t="str">
        <f ca="1">IFERROR(__xludf.DUMMYFUNCTION("""COMPUTED_VALUE"""),"Building")</f>
        <v>Building</v>
      </c>
      <c r="D5306" s="2" t="str">
        <f ca="1">IFERROR(__xludf.DUMMYFUNCTION("""COMPUTED_VALUE"""),"Dubai&gt;Jumeirah Village Circle (JVC)&gt;JVC District 12&gt;Vue by Crystal Bay")</f>
        <v>Dubai&gt;Jumeirah Village Circle (JVC)&gt;JVC District 12&gt;Vue by Crystal Bay</v>
      </c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</row>
    <row r="5307" spans="1:26" ht="16.5" x14ac:dyDescent="0.35">
      <c r="A5307" s="2" t="str">
        <f ca="1">IFERROR(__xludf.DUMMYFUNCTION("""COMPUTED_VALUE"""),"Dubai")</f>
        <v>Dubai</v>
      </c>
      <c r="B5307" s="2" t="str">
        <f ca="1">IFERROR(__xludf.DUMMYFUNCTION("""COMPUTED_VALUE"""),"Chaimaa Avenue Residences")</f>
        <v>Chaimaa Avenue Residences</v>
      </c>
      <c r="C5307" s="2" t="str">
        <f ca="1">IFERROR(__xludf.DUMMYFUNCTION("""COMPUTED_VALUE"""),"Building")</f>
        <v>Building</v>
      </c>
      <c r="D5307" s="2" t="str">
        <f ca="1">IFERROR(__xludf.DUMMYFUNCTION("""COMPUTED_VALUE"""),"Dubai&gt;Jumeirah Village Circle (JVC)&gt;JVC District 13&gt;Chaimaa Avenue Residences")</f>
        <v>Dubai&gt;Jumeirah Village Circle (JVC)&gt;JVC District 13&gt;Chaimaa Avenue Residences</v>
      </c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</row>
    <row r="5308" spans="1:26" ht="16.5" x14ac:dyDescent="0.35">
      <c r="A5308" s="2" t="str">
        <f ca="1">IFERROR(__xludf.DUMMYFUNCTION("""COMPUTED_VALUE"""),"Dubai")</f>
        <v>Dubai</v>
      </c>
      <c r="B5308" s="2" t="str">
        <f ca="1">IFERROR(__xludf.DUMMYFUNCTION("""COMPUTED_VALUE"""),"Xanadu Residence 2")</f>
        <v>Xanadu Residence 2</v>
      </c>
      <c r="C5308" s="2" t="str">
        <f ca="1">IFERROR(__xludf.DUMMYFUNCTION("""COMPUTED_VALUE"""),"Building")</f>
        <v>Building</v>
      </c>
      <c r="D5308" s="2" t="str">
        <f ca="1">IFERROR(__xludf.DUMMYFUNCTION("""COMPUTED_VALUE"""),"Dubai&gt;Jumeirah Village Circle (JVC)&gt;JVC District 13&gt;Xanadu Residence 2")</f>
        <v>Dubai&gt;Jumeirah Village Circle (JVC)&gt;JVC District 13&gt;Xanadu Residence 2</v>
      </c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</row>
    <row r="5309" spans="1:26" ht="16.5" x14ac:dyDescent="0.35">
      <c r="A5309" s="2" t="str">
        <f ca="1">IFERROR(__xludf.DUMMYFUNCTION("""COMPUTED_VALUE"""),"Dubai")</f>
        <v>Dubai</v>
      </c>
      <c r="B5309" s="2" t="str">
        <f ca="1">IFERROR(__xludf.DUMMYFUNCTION("""COMPUTED_VALUE"""),"Al Asmawi Building")</f>
        <v>Al Asmawi Building</v>
      </c>
      <c r="C5309" s="2" t="str">
        <f ca="1">IFERROR(__xludf.DUMMYFUNCTION("""COMPUTED_VALUE"""),"Building")</f>
        <v>Building</v>
      </c>
      <c r="D5309" s="2" t="str">
        <f ca="1">IFERROR(__xludf.DUMMYFUNCTION("""COMPUTED_VALUE"""),"Dubai&gt;Jumeirah Village Circle (JVC)&gt;JVC District 13&gt;Al Asmawi Building")</f>
        <v>Dubai&gt;Jumeirah Village Circle (JVC)&gt;JVC District 13&gt;Al Asmawi Building</v>
      </c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</row>
    <row r="5310" spans="1:26" ht="16.5" x14ac:dyDescent="0.35">
      <c r="A5310" s="2" t="str">
        <f ca="1">IFERROR(__xludf.DUMMYFUNCTION("""COMPUTED_VALUE"""),"Dubai")</f>
        <v>Dubai</v>
      </c>
      <c r="B5310" s="2" t="str">
        <f ca="1">IFERROR(__xludf.DUMMYFUNCTION("""COMPUTED_VALUE"""),"JVC District 10")</f>
        <v>JVC District 10</v>
      </c>
      <c r="C5310" s="2" t="str">
        <f ca="1">IFERROR(__xludf.DUMMYFUNCTION("""COMPUTED_VALUE"""),"Neighbourhood")</f>
        <v>Neighbourhood</v>
      </c>
      <c r="D5310" s="2" t="str">
        <f ca="1">IFERROR(__xludf.DUMMYFUNCTION("""COMPUTED_VALUE"""),"Dubai&gt;Jumeirah Village Circle (JVC)&gt;JVC District 10")</f>
        <v>Dubai&gt;Jumeirah Village Circle (JVC)&gt;JVC District 10</v>
      </c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</row>
    <row r="5311" spans="1:26" ht="16.5" x14ac:dyDescent="0.35">
      <c r="A5311" s="2" t="str">
        <f ca="1">IFERROR(__xludf.DUMMYFUNCTION("""COMPUTED_VALUE"""),"Dubai")</f>
        <v>Dubai</v>
      </c>
      <c r="B5311" s="2" t="str">
        <f ca="1">IFERROR(__xludf.DUMMYFUNCTION("""COMPUTED_VALUE"""),"Saleh Bin Lahej JVC Block D")</f>
        <v>Saleh Bin Lahej JVC Block D</v>
      </c>
      <c r="C5311" s="2" t="str">
        <f ca="1">IFERROR(__xludf.DUMMYFUNCTION("""COMPUTED_VALUE"""),"Neighbourhood")</f>
        <v>Neighbourhood</v>
      </c>
      <c r="D5311" s="2" t="str">
        <f ca="1">IFERROR(__xludf.DUMMYFUNCTION("""COMPUTED_VALUE"""),"Dubai&gt;Jumeirah Village Circle (JVC)&gt;JVC District 10&gt;Saleh Bin Lahej JVC&gt;Saleh Bin Lahej JVC Block D")</f>
        <v>Dubai&gt;Jumeirah Village Circle (JVC)&gt;JVC District 10&gt;Saleh Bin Lahej JVC&gt;Saleh Bin Lahej JVC Block D</v>
      </c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</row>
    <row r="5312" spans="1:26" ht="16.5" x14ac:dyDescent="0.35">
      <c r="A5312" s="2" t="str">
        <f ca="1">IFERROR(__xludf.DUMMYFUNCTION("""COMPUTED_VALUE"""),"Dubai")</f>
        <v>Dubai</v>
      </c>
      <c r="B5312" s="2" t="str">
        <f ca="1">IFERROR(__xludf.DUMMYFUNCTION("""COMPUTED_VALUE"""),"Le Grand Chateau B")</f>
        <v>Le Grand Chateau B</v>
      </c>
      <c r="C5312" s="2" t="str">
        <f ca="1">IFERROR(__xludf.DUMMYFUNCTION("""COMPUTED_VALUE"""),"Building")</f>
        <v>Building</v>
      </c>
      <c r="D5312" s="2" t="str">
        <f ca="1">IFERROR(__xludf.DUMMYFUNCTION("""COMPUTED_VALUE"""),"Dubai&gt;Jumeirah Village Circle (JVC)&gt;JVC District 10&gt;Le Grand Chateau&gt;Le Grand Chateau B")</f>
        <v>Dubai&gt;Jumeirah Village Circle (JVC)&gt;JVC District 10&gt;Le Grand Chateau&gt;Le Grand Chateau B</v>
      </c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</row>
    <row r="5313" spans="1:26" ht="16.5" x14ac:dyDescent="0.35">
      <c r="A5313" s="2" t="str">
        <f ca="1">IFERROR(__xludf.DUMMYFUNCTION("""COMPUTED_VALUE"""),"Dubai")</f>
        <v>Dubai</v>
      </c>
      <c r="B5313" s="2" t="str">
        <f ca="1">IFERROR(__xludf.DUMMYFUNCTION("""COMPUTED_VALUE"""),"Riviera Chalet")</f>
        <v>Riviera Chalet</v>
      </c>
      <c r="C5313" s="2" t="str">
        <f ca="1">IFERROR(__xludf.DUMMYFUNCTION("""COMPUTED_VALUE"""),"Building")</f>
        <v>Building</v>
      </c>
      <c r="D5313" s="2" t="str">
        <f ca="1">IFERROR(__xludf.DUMMYFUNCTION("""COMPUTED_VALUE"""),"Dubai&gt;Jumeirah Village Circle (JVC)&gt;JVC District 10&gt;Riviera Chalet")</f>
        <v>Dubai&gt;Jumeirah Village Circle (JVC)&gt;JVC District 10&gt;Riviera Chalet</v>
      </c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</row>
    <row r="5314" spans="1:26" ht="16.5" x14ac:dyDescent="0.35">
      <c r="A5314" s="2" t="str">
        <f ca="1">IFERROR(__xludf.DUMMYFUNCTION("""COMPUTED_VALUE"""),"Dubai")</f>
        <v>Dubai</v>
      </c>
      <c r="B5314" s="2" t="str">
        <f ca="1">IFERROR(__xludf.DUMMYFUNCTION("""COMPUTED_VALUE"""),"May Residence Tower 1")</f>
        <v>May Residence Tower 1</v>
      </c>
      <c r="C5314" s="2" t="str">
        <f ca="1">IFERROR(__xludf.DUMMYFUNCTION("""COMPUTED_VALUE"""),"Building")</f>
        <v>Building</v>
      </c>
      <c r="D5314" s="2" t="str">
        <f ca="1">IFERROR(__xludf.DUMMYFUNCTION("""COMPUTED_VALUE"""),"Dubai&gt;Jumeirah Village Circle (JVC)&gt;JVC District 10&gt;May Residence&gt;May Residence Tower 1")</f>
        <v>Dubai&gt;Jumeirah Village Circle (JVC)&gt;JVC District 10&gt;May Residence&gt;May Residence Tower 1</v>
      </c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</row>
    <row r="5315" spans="1:26" ht="16.5" x14ac:dyDescent="0.35">
      <c r="A5315" s="2" t="str">
        <f ca="1">IFERROR(__xludf.DUMMYFUNCTION("""COMPUTED_VALUE"""),"Dubai")</f>
        <v>Dubai</v>
      </c>
      <c r="B5315" s="2" t="str">
        <f ca="1">IFERROR(__xludf.DUMMYFUNCTION("""COMPUTED_VALUE"""),"Summer")</f>
        <v>Summer</v>
      </c>
      <c r="C5315" s="2" t="str">
        <f ca="1">IFERROR(__xludf.DUMMYFUNCTION("""COMPUTED_VALUE"""),"Neighbourhood")</f>
        <v>Neighbourhood</v>
      </c>
      <c r="D5315" s="2" t="str">
        <f ca="1">IFERROR(__xludf.DUMMYFUNCTION("""COMPUTED_VALUE"""),"Dubai&gt;Jumeirah Village Circle (JVC)&gt;JVC District 15&gt;Seasons Community&gt;Summer")</f>
        <v>Dubai&gt;Jumeirah Village Circle (JVC)&gt;JVC District 15&gt;Seasons Community&gt;Summer</v>
      </c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</row>
    <row r="5316" spans="1:26" ht="16.5" x14ac:dyDescent="0.35">
      <c r="A5316" s="2" t="str">
        <f ca="1">IFERROR(__xludf.DUMMYFUNCTION("""COMPUTED_VALUE"""),"Dubai")</f>
        <v>Dubai</v>
      </c>
      <c r="B5316" s="2" t="str">
        <f ca="1">IFERROR(__xludf.DUMMYFUNCTION("""COMPUTED_VALUE"""),"Oxford Villas")</f>
        <v>Oxford Villas</v>
      </c>
      <c r="C5316" s="2" t="str">
        <f ca="1">IFERROR(__xludf.DUMMYFUNCTION("""COMPUTED_VALUE"""),"Neighbourhood")</f>
        <v>Neighbourhood</v>
      </c>
      <c r="D5316" s="2" t="str">
        <f ca="1">IFERROR(__xludf.DUMMYFUNCTION("""COMPUTED_VALUE"""),"Dubai&gt;Jumeirah Village Circle (JVC)&gt;JVC District 15&gt;Oxford Villas")</f>
        <v>Dubai&gt;Jumeirah Village Circle (JVC)&gt;JVC District 15&gt;Oxford Villas</v>
      </c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</row>
    <row r="5317" spans="1:26" ht="16.5" x14ac:dyDescent="0.35">
      <c r="A5317" s="2" t="str">
        <f ca="1">IFERROR(__xludf.DUMMYFUNCTION("""COMPUTED_VALUE"""),"Dubai")</f>
        <v>Dubai</v>
      </c>
      <c r="B5317" s="2" t="str">
        <f ca="1">IFERROR(__xludf.DUMMYFUNCTION("""COMPUTED_VALUE"""),"Azizi Ruby")</f>
        <v>Azizi Ruby</v>
      </c>
      <c r="C5317" s="2" t="str">
        <f ca="1">IFERROR(__xludf.DUMMYFUNCTION("""COMPUTED_VALUE"""),"Building")</f>
        <v>Building</v>
      </c>
      <c r="D5317" s="2" t="str">
        <f ca="1">IFERROR(__xludf.DUMMYFUNCTION("""COMPUTED_VALUE"""),"Dubai&gt;Jumeirah Village Circle (JVC)&gt;JVC District 15&gt;Azizi Ruby")</f>
        <v>Dubai&gt;Jumeirah Village Circle (JVC)&gt;JVC District 15&gt;Azizi Ruby</v>
      </c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</row>
    <row r="5318" spans="1:26" ht="16.5" x14ac:dyDescent="0.35">
      <c r="A5318" s="2" t="str">
        <f ca="1">IFERROR(__xludf.DUMMYFUNCTION("""COMPUTED_VALUE"""),"Dubai")</f>
        <v>Dubai</v>
      </c>
      <c r="B5318" s="2" t="str">
        <f ca="1">IFERROR(__xludf.DUMMYFUNCTION("""COMPUTED_VALUE"""),"Rokane G22")</f>
        <v>Rokane G22</v>
      </c>
      <c r="C5318" s="2" t="str">
        <f ca="1">IFERROR(__xludf.DUMMYFUNCTION("""COMPUTED_VALUE"""),"Building")</f>
        <v>Building</v>
      </c>
      <c r="D5318" s="2" t="str">
        <f ca="1">IFERROR(__xludf.DUMMYFUNCTION("""COMPUTED_VALUE"""),"Dubai&gt;Jumeirah Village Circle (JVC)&gt;JVC District 11&gt;Rokane G22")</f>
        <v>Dubai&gt;Jumeirah Village Circle (JVC)&gt;JVC District 11&gt;Rokane G22</v>
      </c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</row>
    <row r="5319" spans="1:26" ht="16.5" x14ac:dyDescent="0.35">
      <c r="A5319" s="2" t="str">
        <f ca="1">IFERROR(__xludf.DUMMYFUNCTION("""COMPUTED_VALUE"""),"Dubai")</f>
        <v>Dubai</v>
      </c>
      <c r="B5319" s="2" t="str">
        <f ca="1">IFERROR(__xludf.DUMMYFUNCTION("""COMPUTED_VALUE"""),"Elitz by Danube")</f>
        <v>Elitz by Danube</v>
      </c>
      <c r="C5319" s="2" t="str">
        <f ca="1">IFERROR(__xludf.DUMMYFUNCTION("""COMPUTED_VALUE"""),"Cluster")</f>
        <v>Cluster</v>
      </c>
      <c r="D5319" s="2" t="str">
        <f ca="1">IFERROR(__xludf.DUMMYFUNCTION("""COMPUTED_VALUE"""),"Dubai&gt;Jumeirah Village Circle (JVC)&gt;JVC District 11&gt;Elitz by Danube")</f>
        <v>Dubai&gt;Jumeirah Village Circle (JVC)&gt;JVC District 11&gt;Elitz by Danube</v>
      </c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</row>
    <row r="5320" spans="1:26" ht="16.5" x14ac:dyDescent="0.35">
      <c r="A5320" s="2" t="str">
        <f ca="1">IFERROR(__xludf.DUMMYFUNCTION("""COMPUTED_VALUE"""),"Dubai")</f>
        <v>Dubai</v>
      </c>
      <c r="B5320" s="2" t="str">
        <f ca="1">IFERROR(__xludf.DUMMYFUNCTION("""COMPUTED_VALUE"""),"Allura Residences")</f>
        <v>Allura Residences</v>
      </c>
      <c r="C5320" s="2" t="str">
        <f ca="1">IFERROR(__xludf.DUMMYFUNCTION("""COMPUTED_VALUE"""),"Building")</f>
        <v>Building</v>
      </c>
      <c r="D5320" s="2" t="str">
        <f ca="1">IFERROR(__xludf.DUMMYFUNCTION("""COMPUTED_VALUE"""),"Dubai&gt;Jumeirah Village Circle (JVC)&gt;JVC District 11&gt;Allura Residences")</f>
        <v>Dubai&gt;Jumeirah Village Circle (JVC)&gt;JVC District 11&gt;Allura Residences</v>
      </c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</row>
    <row r="5321" spans="1:26" ht="16.5" x14ac:dyDescent="0.35">
      <c r="A5321" s="2" t="str">
        <f ca="1">IFERROR(__xludf.DUMMYFUNCTION("""COMPUTED_VALUE"""),"Dubai")</f>
        <v>Dubai</v>
      </c>
      <c r="B5321" s="2" t="str">
        <f ca="1">IFERROR(__xludf.DUMMYFUNCTION("""COMPUTED_VALUE"""),"Sandoval Garden")</f>
        <v>Sandoval Garden</v>
      </c>
      <c r="C5321" s="2" t="str">
        <f ca="1">IFERROR(__xludf.DUMMYFUNCTION("""COMPUTED_VALUE"""),"Cluster")</f>
        <v>Cluster</v>
      </c>
      <c r="D5321" s="2" t="str">
        <f ca="1">IFERROR(__xludf.DUMMYFUNCTION("""COMPUTED_VALUE"""),"Dubai&gt;Jumeirah Village Circle (JVC)&gt;JVC District 14&gt;Sandoval Garden")</f>
        <v>Dubai&gt;Jumeirah Village Circle (JVC)&gt;JVC District 14&gt;Sandoval Garden</v>
      </c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</row>
    <row r="5322" spans="1:26" ht="16.5" x14ac:dyDescent="0.35">
      <c r="A5322" s="2" t="str">
        <f ca="1">IFERROR(__xludf.DUMMYFUNCTION("""COMPUTED_VALUE"""),"Dubai")</f>
        <v>Dubai</v>
      </c>
      <c r="B5322" s="2" t="str">
        <f ca="1">IFERROR(__xludf.DUMMYFUNCTION("""COMPUTED_VALUE"""),"Diamond Views 1 Block A")</f>
        <v>Diamond Views 1 Block A</v>
      </c>
      <c r="C5322" s="2" t="str">
        <f ca="1">IFERROR(__xludf.DUMMYFUNCTION("""COMPUTED_VALUE"""),"Building")</f>
        <v>Building</v>
      </c>
      <c r="D5322" s="2" t="str">
        <f ca="1">IFERROR(__xludf.DUMMYFUNCTION("""COMPUTED_VALUE"""),"Dubai&gt;Jumeirah Village Circle (JVC)&gt;JVC District 14&gt;Diamond Views 1&gt;Diamond Views 1 Block A")</f>
        <v>Dubai&gt;Jumeirah Village Circle (JVC)&gt;JVC District 14&gt;Diamond Views 1&gt;Diamond Views 1 Block A</v>
      </c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</row>
    <row r="5323" spans="1:26" ht="16.5" x14ac:dyDescent="0.35">
      <c r="A5323" s="2" t="str">
        <f ca="1">IFERROR(__xludf.DUMMYFUNCTION("""COMPUTED_VALUE"""),"Dubai")</f>
        <v>Dubai</v>
      </c>
      <c r="B5323" s="2" t="str">
        <f ca="1">IFERROR(__xludf.DUMMYFUNCTION("""COMPUTED_VALUE"""),"SH Living 1")</f>
        <v>SH Living 1</v>
      </c>
      <c r="C5323" s="2" t="str">
        <f ca="1">IFERROR(__xludf.DUMMYFUNCTION("""COMPUTED_VALUE"""),"Building")</f>
        <v>Building</v>
      </c>
      <c r="D5323" s="2" t="str">
        <f ca="1">IFERROR(__xludf.DUMMYFUNCTION("""COMPUTED_VALUE"""),"Dubai&gt;Jumeirah Village Circle (JVC)&gt;JVC District 14&gt;SH Living 1")</f>
        <v>Dubai&gt;Jumeirah Village Circle (JVC)&gt;JVC District 14&gt;SH Living 1</v>
      </c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</row>
    <row r="5324" spans="1:26" ht="16.5" x14ac:dyDescent="0.35">
      <c r="A5324" s="2" t="str">
        <f ca="1">IFERROR(__xludf.DUMMYFUNCTION("""COMPUTED_VALUE"""),"Dubai")</f>
        <v>Dubai</v>
      </c>
      <c r="B5324" s="2" t="str">
        <f ca="1">IFERROR(__xludf.DUMMYFUNCTION("""COMPUTED_VALUE"""),"Dunes Residence")</f>
        <v>Dunes Residence</v>
      </c>
      <c r="C5324" s="2" t="str">
        <f ca="1">IFERROR(__xludf.DUMMYFUNCTION("""COMPUTED_VALUE"""),"Building")</f>
        <v>Building</v>
      </c>
      <c r="D5324" s="2" t="str">
        <f ca="1">IFERROR(__xludf.DUMMYFUNCTION("""COMPUTED_VALUE"""),"Dubai&gt;Dubai Land Residence Complex&gt;Dunes Residence")</f>
        <v>Dubai&gt;Dubai Land Residence Complex&gt;Dunes Residence</v>
      </c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</row>
    <row r="5325" spans="1:26" ht="16.5" x14ac:dyDescent="0.35">
      <c r="A5325" s="2" t="str">
        <f ca="1">IFERROR(__xludf.DUMMYFUNCTION("""COMPUTED_VALUE"""),"Dubai")</f>
        <v>Dubai</v>
      </c>
      <c r="B5325" s="2" t="str">
        <f ca="1">IFERROR(__xludf.DUMMYFUNCTION("""COMPUTED_VALUE"""),"Turtle Avenue")</f>
        <v>Turtle Avenue</v>
      </c>
      <c r="C5325" s="2" t="str">
        <f ca="1">IFERROR(__xludf.DUMMYFUNCTION("""COMPUTED_VALUE"""),"Building")</f>
        <v>Building</v>
      </c>
      <c r="D5325" s="2" t="str">
        <f ca="1">IFERROR(__xludf.DUMMYFUNCTION("""COMPUTED_VALUE"""),"Dubai&gt;Dubai Land Residence Complex&gt;Turtle Avenue")</f>
        <v>Dubai&gt;Dubai Land Residence Complex&gt;Turtle Avenue</v>
      </c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</row>
    <row r="5326" spans="1:26" ht="16.5" x14ac:dyDescent="0.35">
      <c r="A5326" s="2" t="str">
        <f ca="1">IFERROR(__xludf.DUMMYFUNCTION("""COMPUTED_VALUE"""),"Dubai")</f>
        <v>Dubai</v>
      </c>
      <c r="B5326" s="2" t="str">
        <f ca="1">IFERROR(__xludf.DUMMYFUNCTION("""COMPUTED_VALUE"""),"Milos by Karma")</f>
        <v>Milos by Karma</v>
      </c>
      <c r="C5326" s="2" t="str">
        <f ca="1">IFERROR(__xludf.DUMMYFUNCTION("""COMPUTED_VALUE"""),"Building")</f>
        <v>Building</v>
      </c>
      <c r="D5326" s="2" t="str">
        <f ca="1">IFERROR(__xludf.DUMMYFUNCTION("""COMPUTED_VALUE"""),"Dubai&gt;Dubai Land Residence Complex&gt;Milos by Karma")</f>
        <v>Dubai&gt;Dubai Land Residence Complex&gt;Milos by Karma</v>
      </c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</row>
    <row r="5327" spans="1:26" ht="16.5" x14ac:dyDescent="0.35">
      <c r="A5327" s="2" t="str">
        <f ca="1">IFERROR(__xludf.DUMMYFUNCTION("""COMPUTED_VALUE"""),"Dubai")</f>
        <v>Dubai</v>
      </c>
      <c r="B5327" s="2" t="str">
        <f ca="1">IFERROR(__xludf.DUMMYFUNCTION("""COMPUTED_VALUE"""),"Cove Edition Residence 5 by Imtiaz")</f>
        <v>Cove Edition Residence 5 by Imtiaz</v>
      </c>
      <c r="C5327" s="2" t="str">
        <f ca="1">IFERROR(__xludf.DUMMYFUNCTION("""COMPUTED_VALUE"""),"Building")</f>
        <v>Building</v>
      </c>
      <c r="D5327" s="2" t="str">
        <f ca="1">IFERROR(__xludf.DUMMYFUNCTION("""COMPUTED_VALUE"""),"Dubai&gt;Dubai Land Residence Complex&gt;Cove Edition Residence 5 by Imtiaz")</f>
        <v>Dubai&gt;Dubai Land Residence Complex&gt;Cove Edition Residence 5 by Imtiaz</v>
      </c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</row>
    <row r="5328" spans="1:26" ht="16.5" x14ac:dyDescent="0.35">
      <c r="A5328" s="2" t="str">
        <f ca="1">IFERROR(__xludf.DUMMYFUNCTION("""COMPUTED_VALUE"""),"Dubai")</f>
        <v>Dubai</v>
      </c>
      <c r="B5328" s="2" t="str">
        <f ca="1">IFERROR(__xludf.DUMMYFUNCTION("""COMPUTED_VALUE"""),"Le Blanc by Imtiaz")</f>
        <v>Le Blanc by Imtiaz</v>
      </c>
      <c r="C5328" s="2" t="str">
        <f ca="1">IFERROR(__xludf.DUMMYFUNCTION("""COMPUTED_VALUE"""),"Building")</f>
        <v>Building</v>
      </c>
      <c r="D5328" s="2" t="str">
        <f ca="1">IFERROR(__xludf.DUMMYFUNCTION("""COMPUTED_VALUE"""),"Dubai&gt;Dubai Land Residence Complex&gt;Le Blanc by Imtiaz")</f>
        <v>Dubai&gt;Dubai Land Residence Complex&gt;Le Blanc by Imtiaz</v>
      </c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</row>
    <row r="5329" spans="1:26" ht="16.5" x14ac:dyDescent="0.35">
      <c r="A5329" s="2" t="str">
        <f ca="1">IFERROR(__xludf.DUMMYFUNCTION("""COMPUTED_VALUE"""),"Dubai")</f>
        <v>Dubai</v>
      </c>
      <c r="B5329" s="2" t="str">
        <f ca="1">IFERROR(__xludf.DUMMYFUNCTION("""COMPUTED_VALUE"""),"Janayen Avenue")</f>
        <v>Janayen Avenue</v>
      </c>
      <c r="C5329" s="2" t="str">
        <f ca="1">IFERROR(__xludf.DUMMYFUNCTION("""COMPUTED_VALUE"""),"Cluster")</f>
        <v>Cluster</v>
      </c>
      <c r="D5329" s="2" t="str">
        <f ca="1">IFERROR(__xludf.DUMMYFUNCTION("""COMPUTED_VALUE"""),"Dubai&gt;Mirdif&gt;Mirdif Hills&gt;Janayen Avenue")</f>
        <v>Dubai&gt;Mirdif&gt;Mirdif Hills&gt;Janayen Avenue</v>
      </c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</row>
    <row r="5330" spans="1:26" ht="16.5" x14ac:dyDescent="0.35">
      <c r="A5330" s="2" t="str">
        <f ca="1">IFERROR(__xludf.DUMMYFUNCTION("""COMPUTED_VALUE"""),"Dubai")</f>
        <v>Dubai</v>
      </c>
      <c r="B5330" s="2" t="str">
        <f ca="1">IFERROR(__xludf.DUMMYFUNCTION("""COMPUTED_VALUE"""),"Verve Mirdif")</f>
        <v>Verve Mirdif</v>
      </c>
      <c r="C5330" s="2" t="str">
        <f ca="1">IFERROR(__xludf.DUMMYFUNCTION("""COMPUTED_VALUE"""),"Building")</f>
        <v>Building</v>
      </c>
      <c r="D5330" s="2" t="str">
        <f ca="1">IFERROR(__xludf.DUMMYFUNCTION("""COMPUTED_VALUE"""),"Dubai&gt;Mirdif&gt;Verve Mirdif")</f>
        <v>Dubai&gt;Mirdif&gt;Verve Mirdif</v>
      </c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</row>
    <row r="5331" spans="1:26" ht="16.5" x14ac:dyDescent="0.35">
      <c r="A5331" s="2" t="str">
        <f ca="1">IFERROR(__xludf.DUMMYFUNCTION("""COMPUTED_VALUE"""),"Dubai")</f>
        <v>Dubai</v>
      </c>
      <c r="B5331" s="2" t="str">
        <f ca="1">IFERROR(__xludf.DUMMYFUNCTION("""COMPUTED_VALUE"""),"Hattan 2")</f>
        <v>Hattan 2</v>
      </c>
      <c r="C5331" s="2" t="str">
        <f ca="1">IFERROR(__xludf.DUMMYFUNCTION("""COMPUTED_VALUE"""),"Neighbourhood")</f>
        <v>Neighbourhood</v>
      </c>
      <c r="D5331" s="2" t="str">
        <f ca="1">IFERROR(__xludf.DUMMYFUNCTION("""COMPUTED_VALUE"""),"Dubai&gt;The Lakes&gt;Hattan&gt;Hattan 2")</f>
        <v>Dubai&gt;The Lakes&gt;Hattan&gt;Hattan 2</v>
      </c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</row>
    <row r="5332" spans="1:26" ht="16.5" x14ac:dyDescent="0.35">
      <c r="A5332" s="2" t="str">
        <f ca="1">IFERROR(__xludf.DUMMYFUNCTION("""COMPUTED_VALUE"""),"Dubai")</f>
        <v>Dubai</v>
      </c>
      <c r="B5332" s="2" t="str">
        <f ca="1">IFERROR(__xludf.DUMMYFUNCTION("""COMPUTED_VALUE"""),"Al Fajer Business Centre")</f>
        <v>Al Fajer Business Centre</v>
      </c>
      <c r="C5332" s="2" t="str">
        <f ca="1">IFERROR(__xludf.DUMMYFUNCTION("""COMPUTED_VALUE"""),"Building")</f>
        <v>Building</v>
      </c>
      <c r="D5332" s="2" t="str">
        <f ca="1">IFERROR(__xludf.DUMMYFUNCTION("""COMPUTED_VALUE"""),"Dubai&gt;Al Garhoud&gt;Al Fajer Business Centre")</f>
        <v>Dubai&gt;Al Garhoud&gt;Al Fajer Business Centre</v>
      </c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</row>
    <row r="5333" spans="1:26" ht="16.5" x14ac:dyDescent="0.35">
      <c r="A5333" s="2" t="str">
        <f ca="1">IFERROR(__xludf.DUMMYFUNCTION("""COMPUTED_VALUE"""),"Dubai")</f>
        <v>Dubai</v>
      </c>
      <c r="B5333" s="2" t="str">
        <f ca="1">IFERROR(__xludf.DUMMYFUNCTION("""COMPUTED_VALUE"""),"Premier Inn")</f>
        <v>Premier Inn</v>
      </c>
      <c r="C5333" s="2" t="str">
        <f ca="1">IFERROR(__xludf.DUMMYFUNCTION("""COMPUTED_VALUE"""),"Building")</f>
        <v>Building</v>
      </c>
      <c r="D5333" s="2" t="str">
        <f ca="1">IFERROR(__xludf.DUMMYFUNCTION("""COMPUTED_VALUE"""),"Dubai&gt;Al Garhoud&gt;Premier Inn")</f>
        <v>Dubai&gt;Al Garhoud&gt;Premier Inn</v>
      </c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</row>
    <row r="5334" spans="1:26" ht="16.5" x14ac:dyDescent="0.35">
      <c r="A5334" s="2" t="str">
        <f ca="1">IFERROR(__xludf.DUMMYFUNCTION("""COMPUTED_VALUE"""),"Dubai")</f>
        <v>Dubai</v>
      </c>
      <c r="B5334" s="2" t="str">
        <f ca="1">IFERROR(__xludf.DUMMYFUNCTION("""COMPUTED_VALUE"""),"Cluster 7")</f>
        <v>Cluster 7</v>
      </c>
      <c r="C5334" s="2" t="str">
        <f ca="1">IFERROR(__xludf.DUMMYFUNCTION("""COMPUTED_VALUE"""),"Neighbourhood")</f>
        <v>Neighbourhood</v>
      </c>
      <c r="D5334" s="2" t="str">
        <f ca="1">IFERROR(__xludf.DUMMYFUNCTION("""COMPUTED_VALUE"""),"Dubai&gt;Jumeirah Islands&gt;Cluster 7")</f>
        <v>Dubai&gt;Jumeirah Islands&gt;Cluster 7</v>
      </c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</row>
    <row r="5335" spans="1:26" ht="16.5" x14ac:dyDescent="0.35">
      <c r="A5335" s="2" t="str">
        <f ca="1">IFERROR(__xludf.DUMMYFUNCTION("""COMPUTED_VALUE"""),"Dubai")</f>
        <v>Dubai</v>
      </c>
      <c r="B5335" s="2" t="str">
        <f ca="1">IFERROR(__xludf.DUMMYFUNCTION("""COMPUTED_VALUE"""),"Cluster 39")</f>
        <v>Cluster 39</v>
      </c>
      <c r="C5335" s="2" t="str">
        <f ca="1">IFERROR(__xludf.DUMMYFUNCTION("""COMPUTED_VALUE"""),"Neighbourhood")</f>
        <v>Neighbourhood</v>
      </c>
      <c r="D5335" s="2" t="str">
        <f ca="1">IFERROR(__xludf.DUMMYFUNCTION("""COMPUTED_VALUE"""),"Dubai&gt;Jumeirah Islands&gt;Cluster 39")</f>
        <v>Dubai&gt;Jumeirah Islands&gt;Cluster 39</v>
      </c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</row>
    <row r="5336" spans="1:26" ht="16.5" x14ac:dyDescent="0.35">
      <c r="A5336" s="2" t="str">
        <f ca="1">IFERROR(__xludf.DUMMYFUNCTION("""COMPUTED_VALUE"""),"Dubai")</f>
        <v>Dubai</v>
      </c>
      <c r="B5336" s="2" t="str">
        <f ca="1">IFERROR(__xludf.DUMMYFUNCTION("""COMPUTED_VALUE"""),"Garden West Apartments J")</f>
        <v>Garden West Apartments J</v>
      </c>
      <c r="C5336" s="2" t="str">
        <f ca="1">IFERROR(__xludf.DUMMYFUNCTION("""COMPUTED_VALUE"""),"Building")</f>
        <v>Building</v>
      </c>
      <c r="D5336" s="2" t="str">
        <f ca="1">IFERROR(__xludf.DUMMYFUNCTION("""COMPUTED_VALUE"""),"Dubai&gt;Green Community&gt;Garden West Apartments&gt;Garden West Apartments J")</f>
        <v>Dubai&gt;Green Community&gt;Garden West Apartments&gt;Garden West Apartments J</v>
      </c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</row>
    <row r="5337" spans="1:26" ht="16.5" x14ac:dyDescent="0.35">
      <c r="A5337" s="2" t="str">
        <f ca="1">IFERROR(__xludf.DUMMYFUNCTION("""COMPUTED_VALUE"""),"Dubai")</f>
        <v>Dubai</v>
      </c>
      <c r="B5337" s="2" t="str">
        <f ca="1">IFERROR(__xludf.DUMMYFUNCTION("""COMPUTED_VALUE"""),"The Market")</f>
        <v>The Market</v>
      </c>
      <c r="C5337" s="2" t="str">
        <f ca="1">IFERROR(__xludf.DUMMYFUNCTION("""COMPUTED_VALUE"""),"Building")</f>
        <v>Building</v>
      </c>
      <c r="D5337" s="2" t="str">
        <f ca="1">IFERROR(__xludf.DUMMYFUNCTION("""COMPUTED_VALUE"""),"Dubai&gt;Green Community&gt;Green Community East&gt;The Market")</f>
        <v>Dubai&gt;Green Community&gt;Green Community East&gt;The Market</v>
      </c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</row>
    <row r="5338" spans="1:26" ht="16.5" x14ac:dyDescent="0.35">
      <c r="A5338" s="2" t="str">
        <f ca="1">IFERROR(__xludf.DUMMYFUNCTION("""COMPUTED_VALUE"""),"Dubai")</f>
        <v>Dubai</v>
      </c>
      <c r="B5338" s="2" t="str">
        <f ca="1">IFERROR(__xludf.DUMMYFUNCTION("""COMPUTED_VALUE"""),"Arena Apartments")</f>
        <v>Arena Apartments</v>
      </c>
      <c r="C5338" s="2" t="str">
        <f ca="1">IFERROR(__xludf.DUMMYFUNCTION("""COMPUTED_VALUE"""),"Building")</f>
        <v>Building</v>
      </c>
      <c r="D5338" s="2" t="str">
        <f ca="1">IFERROR(__xludf.DUMMYFUNCTION("""COMPUTED_VALUE"""),"Dubai&gt;Dubai Sports City&gt;Arena Apartments")</f>
        <v>Dubai&gt;Dubai Sports City&gt;Arena Apartments</v>
      </c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</row>
    <row r="5339" spans="1:26" ht="16.5" x14ac:dyDescent="0.35">
      <c r="A5339" s="2" t="str">
        <f ca="1">IFERROR(__xludf.DUMMYFUNCTION("""COMPUTED_VALUE"""),"Dubai")</f>
        <v>Dubai</v>
      </c>
      <c r="B5339" s="2" t="str">
        <f ca="1">IFERROR(__xludf.DUMMYFUNCTION("""COMPUTED_VALUE"""),"The Medalist")</f>
        <v>The Medalist</v>
      </c>
      <c r="C5339" s="2" t="str">
        <f ca="1">IFERROR(__xludf.DUMMYFUNCTION("""COMPUTED_VALUE"""),"Building")</f>
        <v>Building</v>
      </c>
      <c r="D5339" s="2" t="str">
        <f ca="1">IFERROR(__xludf.DUMMYFUNCTION("""COMPUTED_VALUE"""),"Dubai&gt;Dubai Sports City&gt;The Medalist")</f>
        <v>Dubai&gt;Dubai Sports City&gt;The Medalist</v>
      </c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</row>
    <row r="5340" spans="1:26" ht="16.5" x14ac:dyDescent="0.35">
      <c r="A5340" s="2" t="str">
        <f ca="1">IFERROR(__xludf.DUMMYFUNCTION("""COMPUTED_VALUE"""),"Dubai")</f>
        <v>Dubai</v>
      </c>
      <c r="B5340" s="2" t="str">
        <f ca="1">IFERROR(__xludf.DUMMYFUNCTION("""COMPUTED_VALUE"""),"Azizi Grand")</f>
        <v>Azizi Grand</v>
      </c>
      <c r="C5340" s="2" t="str">
        <f ca="1">IFERROR(__xludf.DUMMYFUNCTION("""COMPUTED_VALUE"""),"Building")</f>
        <v>Building</v>
      </c>
      <c r="D5340" s="2" t="str">
        <f ca="1">IFERROR(__xludf.DUMMYFUNCTION("""COMPUTED_VALUE"""),"Dubai&gt;Dubai Sports City&gt;Azizi Grand")</f>
        <v>Dubai&gt;Dubai Sports City&gt;Azizi Grand</v>
      </c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</row>
    <row r="5341" spans="1:26" ht="16.5" x14ac:dyDescent="0.35">
      <c r="A5341" s="2" t="str">
        <f ca="1">IFERROR(__xludf.DUMMYFUNCTION("""COMPUTED_VALUE"""),"Dubai")</f>
        <v>Dubai</v>
      </c>
      <c r="B5341" s="2" t="str">
        <f ca="1">IFERROR(__xludf.DUMMYFUNCTION("""COMPUTED_VALUE"""),"Samana Golf Views")</f>
        <v>Samana Golf Views</v>
      </c>
      <c r="C5341" s="2" t="str">
        <f ca="1">IFERROR(__xludf.DUMMYFUNCTION("""COMPUTED_VALUE"""),"Building")</f>
        <v>Building</v>
      </c>
      <c r="D5341" s="2" t="str">
        <f ca="1">IFERROR(__xludf.DUMMYFUNCTION("""COMPUTED_VALUE"""),"Dubai&gt;Dubai Sports City&gt;Samana Golf Views")</f>
        <v>Dubai&gt;Dubai Sports City&gt;Samana Golf Views</v>
      </c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</row>
    <row r="5342" spans="1:26" ht="16.5" x14ac:dyDescent="0.35">
      <c r="A5342" s="2" t="str">
        <f ca="1">IFERROR(__xludf.DUMMYFUNCTION("""COMPUTED_VALUE"""),"Dubai")</f>
        <v>Dubai</v>
      </c>
      <c r="B5342" s="2" t="str">
        <f ca="1">IFERROR(__xludf.DUMMYFUNCTION("""COMPUTED_VALUE"""),"Dubai Investment Building")</f>
        <v>Dubai Investment Building</v>
      </c>
      <c r="C5342" s="2" t="str">
        <f ca="1">IFERROR(__xludf.DUMMYFUNCTION("""COMPUTED_VALUE"""),"Building")</f>
        <v>Building</v>
      </c>
      <c r="D5342" s="2" t="str">
        <f ca="1">IFERROR(__xludf.DUMMYFUNCTION("""COMPUTED_VALUE"""),"Dubai&gt;Al Nahda (Dubai)&gt;Al Nahda 1&gt;Dubai Investment Building")</f>
        <v>Dubai&gt;Al Nahda (Dubai)&gt;Al Nahda 1&gt;Dubai Investment Building</v>
      </c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</row>
    <row r="5343" spans="1:26" ht="16.5" x14ac:dyDescent="0.35">
      <c r="A5343" s="2" t="str">
        <f ca="1">IFERROR(__xludf.DUMMYFUNCTION("""COMPUTED_VALUE"""),"Dubai")</f>
        <v>Dubai</v>
      </c>
      <c r="B5343" s="2" t="str">
        <f ca="1">IFERROR(__xludf.DUMMYFUNCTION("""COMPUTED_VALUE"""),"Bin Juma 3")</f>
        <v>Bin Juma 3</v>
      </c>
      <c r="C5343" s="2" t="str">
        <f ca="1">IFERROR(__xludf.DUMMYFUNCTION("""COMPUTED_VALUE"""),"Building")</f>
        <v>Building</v>
      </c>
      <c r="D5343" s="2" t="str">
        <f ca="1">IFERROR(__xludf.DUMMYFUNCTION("""COMPUTED_VALUE"""),"Dubai&gt;Al Nahda (Dubai)&gt;Al Nahda 1&gt;Bin Juma&gt;Bin Juma 3")</f>
        <v>Dubai&gt;Al Nahda (Dubai)&gt;Al Nahda 1&gt;Bin Juma&gt;Bin Juma 3</v>
      </c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</row>
    <row r="5344" spans="1:26" ht="16.5" x14ac:dyDescent="0.35">
      <c r="A5344" s="2" t="str">
        <f ca="1">IFERROR(__xludf.DUMMYFUNCTION("""COMPUTED_VALUE"""),"Dubai")</f>
        <v>Dubai</v>
      </c>
      <c r="B5344" s="2" t="str">
        <f ca="1">IFERROR(__xludf.DUMMYFUNCTION("""COMPUTED_VALUE"""),"Sunrise Building")</f>
        <v>Sunrise Building</v>
      </c>
      <c r="C5344" s="2" t="str">
        <f ca="1">IFERROR(__xludf.DUMMYFUNCTION("""COMPUTED_VALUE"""),"Building")</f>
        <v>Building</v>
      </c>
      <c r="D5344" s="2" t="str">
        <f ca="1">IFERROR(__xludf.DUMMYFUNCTION("""COMPUTED_VALUE"""),"Dubai&gt;Al Nahda (Dubai)&gt;Al Nahda 2&gt;Sunrise Building")</f>
        <v>Dubai&gt;Al Nahda (Dubai)&gt;Al Nahda 2&gt;Sunrise Building</v>
      </c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</row>
    <row r="5345" spans="1:26" ht="16.5" x14ac:dyDescent="0.35">
      <c r="A5345" s="2" t="str">
        <f ca="1">IFERROR(__xludf.DUMMYFUNCTION("""COMPUTED_VALUE"""),"Dubai")</f>
        <v>Dubai</v>
      </c>
      <c r="B5345" s="2" t="str">
        <f ca="1">IFERROR(__xludf.DUMMYFUNCTION("""COMPUTED_VALUE"""),"Ali Nasser Lootah Building")</f>
        <v>Ali Nasser Lootah Building</v>
      </c>
      <c r="C5345" s="2" t="str">
        <f ca="1">IFERROR(__xludf.DUMMYFUNCTION("""COMPUTED_VALUE"""),"Building")</f>
        <v>Building</v>
      </c>
      <c r="D5345" s="2" t="str">
        <f ca="1">IFERROR(__xludf.DUMMYFUNCTION("""COMPUTED_VALUE"""),"Dubai&gt;Al Nahda (Dubai)&gt;Al Nahda 2&gt;Ali Nasser Lootah Building")</f>
        <v>Dubai&gt;Al Nahda (Dubai)&gt;Al Nahda 2&gt;Ali Nasser Lootah Building</v>
      </c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</row>
    <row r="5346" spans="1:26" ht="16.5" x14ac:dyDescent="0.35">
      <c r="A5346" s="2" t="str">
        <f ca="1">IFERROR(__xludf.DUMMYFUNCTION("""COMPUTED_VALUE"""),"Dubai")</f>
        <v>Dubai</v>
      </c>
      <c r="B5346" s="2" t="str">
        <f ca="1">IFERROR(__xludf.DUMMYFUNCTION("""COMPUTED_VALUE"""),"Hassani Tower 11")</f>
        <v>Hassani Tower 11</v>
      </c>
      <c r="C5346" s="2" t="str">
        <f ca="1">IFERROR(__xludf.DUMMYFUNCTION("""COMPUTED_VALUE"""),"Building")</f>
        <v>Building</v>
      </c>
      <c r="D5346" s="2" t="str">
        <f ca="1">IFERROR(__xludf.DUMMYFUNCTION("""COMPUTED_VALUE"""),"Dubai&gt;Al Nahda (Dubai)&gt;Al Nahda 2&gt;Hassani Tower 11")</f>
        <v>Dubai&gt;Al Nahda (Dubai)&gt;Al Nahda 2&gt;Hassani Tower 11</v>
      </c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</row>
    <row r="5347" spans="1:26" ht="16.5" x14ac:dyDescent="0.35">
      <c r="A5347" s="2" t="str">
        <f ca="1">IFERROR(__xludf.DUMMYFUNCTION("""COMPUTED_VALUE"""),"Dubai")</f>
        <v>Dubai</v>
      </c>
      <c r="B5347" s="2" t="str">
        <f ca="1">IFERROR(__xludf.DUMMYFUNCTION("""COMPUTED_VALUE"""),"Ghala 2 Building")</f>
        <v>Ghala 2 Building</v>
      </c>
      <c r="C5347" s="2" t="str">
        <f ca="1">IFERROR(__xludf.DUMMYFUNCTION("""COMPUTED_VALUE"""),"Building")</f>
        <v>Building</v>
      </c>
      <c r="D5347" s="2" t="str">
        <f ca="1">IFERROR(__xludf.DUMMYFUNCTION("""COMPUTED_VALUE"""),"Dubai&gt;Al Nahda (Dubai)&gt;Al Nahda 2&gt;Ghala 2 Building")</f>
        <v>Dubai&gt;Al Nahda (Dubai)&gt;Al Nahda 2&gt;Ghala 2 Building</v>
      </c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</row>
    <row r="5348" spans="1:26" ht="16.5" x14ac:dyDescent="0.35">
      <c r="A5348" s="2" t="str">
        <f ca="1">IFERROR(__xludf.DUMMYFUNCTION("""COMPUTED_VALUE"""),"Dubai")</f>
        <v>Dubai</v>
      </c>
      <c r="B5348" s="2" t="str">
        <f ca="1">IFERROR(__xludf.DUMMYFUNCTION("""COMPUTED_VALUE"""),"District 6")</f>
        <v>District 6</v>
      </c>
      <c r="C5348" s="2" t="str">
        <f ca="1">IFERROR(__xludf.DUMMYFUNCTION("""COMPUTED_VALUE"""),"Neighbourhood")</f>
        <v>Neighbourhood</v>
      </c>
      <c r="D5348" s="2" t="str">
        <f ca="1">IFERROR(__xludf.DUMMYFUNCTION("""COMPUTED_VALUE"""),"Dubai&gt;Jumeirah Park&gt;District 6")</f>
        <v>Dubai&gt;Jumeirah Park&gt;District 6</v>
      </c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</row>
    <row r="5349" spans="1:26" ht="16.5" x14ac:dyDescent="0.35">
      <c r="A5349" s="2" t="str">
        <f ca="1">IFERROR(__xludf.DUMMYFUNCTION("""COMPUTED_VALUE"""),"Dubai")</f>
        <v>Dubai</v>
      </c>
      <c r="B5349" s="2" t="str">
        <f ca="1">IFERROR(__xludf.DUMMYFUNCTION("""COMPUTED_VALUE"""),"Lagoon Views 1 Tower A")</f>
        <v>Lagoon Views 1 Tower A</v>
      </c>
      <c r="C5349" s="2" t="str">
        <f ca="1">IFERROR(__xludf.DUMMYFUNCTION("""COMPUTED_VALUE"""),"Building")</f>
        <v>Building</v>
      </c>
      <c r="D5349" s="2" t="str">
        <f ca="1">IFERROR(__xludf.DUMMYFUNCTION("""COMPUTED_VALUE"""),"Dubai&gt;DAMAC Lagoons&gt;Lagoon Views&gt;Lagoon Views 1 Tower A")</f>
        <v>Dubai&gt;DAMAC Lagoons&gt;Lagoon Views&gt;Lagoon Views 1 Tower A</v>
      </c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</row>
    <row r="5350" spans="1:26" ht="16.5" x14ac:dyDescent="0.35">
      <c r="A5350" s="2" t="str">
        <f ca="1">IFERROR(__xludf.DUMMYFUNCTION("""COMPUTED_VALUE"""),"Dubai")</f>
        <v>Dubai</v>
      </c>
      <c r="B5350" s="2" t="str">
        <f ca="1">IFERROR(__xludf.DUMMYFUNCTION("""COMPUTED_VALUE"""),"Liwan Gate 4")</f>
        <v>Liwan Gate 4</v>
      </c>
      <c r="C5350" s="2" t="str">
        <f ca="1">IFERROR(__xludf.DUMMYFUNCTION("""COMPUTED_VALUE"""),"Building")</f>
        <v>Building</v>
      </c>
      <c r="D5350" s="2" t="str">
        <f ca="1">IFERROR(__xludf.DUMMYFUNCTION("""COMPUTED_VALUE"""),"Dubai&gt;Liwan 2&gt;Liwan Gate&gt;Liwan Gate 4")</f>
        <v>Dubai&gt;Liwan 2&gt;Liwan Gate&gt;Liwan Gate 4</v>
      </c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</row>
    <row r="5351" spans="1:26" ht="16.5" x14ac:dyDescent="0.35">
      <c r="A5351" s="2" t="str">
        <f ca="1">IFERROR(__xludf.DUMMYFUNCTION("""COMPUTED_VALUE"""),"Dubai")</f>
        <v>Dubai</v>
      </c>
      <c r="B5351" s="2" t="str">
        <f ca="1">IFERROR(__xludf.DUMMYFUNCTION("""COMPUTED_VALUE"""),"Halim 2 Building")</f>
        <v>Halim 2 Building</v>
      </c>
      <c r="C5351" s="2" t="str">
        <f ca="1">IFERROR(__xludf.DUMMYFUNCTION("""COMPUTED_VALUE"""),"Building")</f>
        <v>Building</v>
      </c>
      <c r="D5351" s="2" t="str">
        <f ca="1">IFERROR(__xludf.DUMMYFUNCTION("""COMPUTED_VALUE"""),"Dubai&gt;Liwan 2&gt;Halim 2 Building")</f>
        <v>Dubai&gt;Liwan 2&gt;Halim 2 Building</v>
      </c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</row>
    <row r="5352" spans="1:26" ht="16.5" x14ac:dyDescent="0.35">
      <c r="A5352" s="2" t="str">
        <f ca="1">IFERROR(__xludf.DUMMYFUNCTION("""COMPUTED_VALUE"""),"Dubai")</f>
        <v>Dubai</v>
      </c>
      <c r="B5352" s="2" t="str">
        <f ca="1">IFERROR(__xludf.DUMMYFUNCTION("""COMPUTED_VALUE"""),"Arenco Building Block 2")</f>
        <v>Arenco Building Block 2</v>
      </c>
      <c r="C5352" s="2" t="str">
        <f ca="1">IFERROR(__xludf.DUMMYFUNCTION("""COMPUTED_VALUE"""),"Building")</f>
        <v>Building</v>
      </c>
      <c r="D5352" s="2" t="str">
        <f ca="1">IFERROR(__xludf.DUMMYFUNCTION("""COMPUTED_VALUE"""),"Dubai&gt;Dubai Investment Park (DIP)&gt;Dubai Investment Park 1&gt;Arenco Offices&gt;Arenco Building Block 2")</f>
        <v>Dubai&gt;Dubai Investment Park (DIP)&gt;Dubai Investment Park 1&gt;Arenco Offices&gt;Arenco Building Block 2</v>
      </c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</row>
    <row r="5353" spans="1:26" ht="16.5" x14ac:dyDescent="0.35">
      <c r="A5353" s="2" t="str">
        <f ca="1">IFERROR(__xludf.DUMMYFUNCTION("""COMPUTED_VALUE"""),"Dubai")</f>
        <v>Dubai</v>
      </c>
      <c r="B5353" s="2" t="str">
        <f ca="1">IFERROR(__xludf.DUMMYFUNCTION("""COMPUTED_VALUE"""),"Allied enterprises")</f>
        <v>Allied enterprises</v>
      </c>
      <c r="C5353" s="2" t="str">
        <f ca="1">IFERROR(__xludf.DUMMYFUNCTION("""COMPUTED_VALUE"""),"Building")</f>
        <v>Building</v>
      </c>
      <c r="D5353" s="2" t="str">
        <f ca="1">IFERROR(__xludf.DUMMYFUNCTION("""COMPUTED_VALUE"""),"Dubai&gt;Dubai Investment Park (DIP)&gt;Dubai Investment Park 1&gt;Allied enterprises")</f>
        <v>Dubai&gt;Dubai Investment Park (DIP)&gt;Dubai Investment Park 1&gt;Allied enterprises</v>
      </c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</row>
    <row r="5354" spans="1:26" ht="16.5" x14ac:dyDescent="0.35">
      <c r="A5354" s="2" t="str">
        <f ca="1">IFERROR(__xludf.DUMMYFUNCTION("""COMPUTED_VALUE"""),"Dubai")</f>
        <v>Dubai</v>
      </c>
      <c r="B5354" s="2" t="str">
        <f ca="1">IFERROR(__xludf.DUMMYFUNCTION("""COMPUTED_VALUE"""),"Junior 1 Labour Camp")</f>
        <v>Junior 1 Labour Camp</v>
      </c>
      <c r="C5354" s="2" t="str">
        <f ca="1">IFERROR(__xludf.DUMMYFUNCTION("""COMPUTED_VALUE"""),"Building")</f>
        <v>Building</v>
      </c>
      <c r="D5354" s="2" t="str">
        <f ca="1">IFERROR(__xludf.DUMMYFUNCTION("""COMPUTED_VALUE"""),"Dubai&gt;Dubai Investment Park (DIP)&gt;Dubai Investment Park 1&gt;Junior Labour Camp&gt;Junior 1 Labour Camp")</f>
        <v>Dubai&gt;Dubai Investment Park (DIP)&gt;Dubai Investment Park 1&gt;Junior Labour Camp&gt;Junior 1 Labour Camp</v>
      </c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</row>
    <row r="5355" spans="1:26" ht="16.5" x14ac:dyDescent="0.35">
      <c r="A5355" s="2" t="str">
        <f ca="1">IFERROR(__xludf.DUMMYFUNCTION("""COMPUTED_VALUE"""),"Dubai")</f>
        <v>Dubai</v>
      </c>
      <c r="B5355" s="2" t="str">
        <f ca="1">IFERROR(__xludf.DUMMYFUNCTION("""COMPUTED_VALUE"""),"Sahar Residence")</f>
        <v>Sahar Residence</v>
      </c>
      <c r="C5355" s="2" t="str">
        <f ca="1">IFERROR(__xludf.DUMMYFUNCTION("""COMPUTED_VALUE"""),"Building")</f>
        <v>Building</v>
      </c>
      <c r="D5355" s="2" t="str">
        <f ca="1">IFERROR(__xludf.DUMMYFUNCTION("""COMPUTED_VALUE"""),"Dubai&gt;Dubai Investment Park (DIP)&gt;The Village&gt;Sahar Residence")</f>
        <v>Dubai&gt;Dubai Investment Park (DIP)&gt;The Village&gt;Sahar Residence</v>
      </c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</row>
    <row r="5356" spans="1:26" ht="16.5" x14ac:dyDescent="0.35">
      <c r="A5356" s="2" t="str">
        <f ca="1">IFERROR(__xludf.DUMMYFUNCTION("""COMPUTED_VALUE"""),"Dubai")</f>
        <v>Dubai</v>
      </c>
      <c r="B5356" s="2" t="str">
        <f ca="1">IFERROR(__xludf.DUMMYFUNCTION("""COMPUTED_VALUE"""),"B12")</f>
        <v>B12</v>
      </c>
      <c r="C5356" s="2" t="str">
        <f ca="1">IFERROR(__xludf.DUMMYFUNCTION("""COMPUTED_VALUE"""),"Building")</f>
        <v>Building</v>
      </c>
      <c r="D5356" s="2" t="str">
        <f ca="1">IFERROR(__xludf.DUMMYFUNCTION("""COMPUTED_VALUE"""),"Dubai&gt;Dubai Investment Park (DIP)&gt;Dubai Investment Park 2&gt;Dunes Village&gt;B12")</f>
        <v>Dubai&gt;Dubai Investment Park (DIP)&gt;Dubai Investment Park 2&gt;Dunes Village&gt;B12</v>
      </c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</row>
    <row r="5357" spans="1:26" ht="16.5" x14ac:dyDescent="0.35">
      <c r="A5357" s="2" t="str">
        <f ca="1">IFERROR(__xludf.DUMMYFUNCTION("""COMPUTED_VALUE"""),"Dubai")</f>
        <v>Dubai</v>
      </c>
      <c r="B5357" s="2" t="str">
        <f ca="1">IFERROR(__xludf.DUMMYFUNCTION("""COMPUTED_VALUE"""),"The Place")</f>
        <v>The Place</v>
      </c>
      <c r="C5357" s="2" t="str">
        <f ca="1">IFERROR(__xludf.DUMMYFUNCTION("""COMPUTED_VALUE"""),"Building")</f>
        <v>Building</v>
      </c>
      <c r="D5357" s="2" t="str">
        <f ca="1">IFERROR(__xludf.DUMMYFUNCTION("""COMPUTED_VALUE"""),"Dubai&gt;Dubai Investment Park (DIP)&gt;The Place")</f>
        <v>Dubai&gt;Dubai Investment Park (DIP)&gt;The Place</v>
      </c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</row>
    <row r="5358" spans="1:26" ht="16.5" x14ac:dyDescent="0.35">
      <c r="A5358" s="2" t="str">
        <f ca="1">IFERROR(__xludf.DUMMYFUNCTION("""COMPUTED_VALUE"""),"Dubai")</f>
        <v>Dubai</v>
      </c>
      <c r="B5358" s="2" t="str">
        <f ca="1">IFERROR(__xludf.DUMMYFUNCTION("""COMPUTED_VALUE"""),"Montura")</f>
        <v>Montura</v>
      </c>
      <c r="C5358" s="2" t="str">
        <f ca="1">IFERROR(__xludf.DUMMYFUNCTION("""COMPUTED_VALUE"""),"Neighbourhood")</f>
        <v>Neighbourhood</v>
      </c>
      <c r="D5358" s="2" t="str">
        <f ca="1">IFERROR(__xludf.DUMMYFUNCTION("""COMPUTED_VALUE"""),"Dubai&gt;Dubai Investment Park (DIP)&gt;Grand Polo Club &amp; Resort&gt;Montura")</f>
        <v>Dubai&gt;Dubai Investment Park (DIP)&gt;Grand Polo Club &amp; Resort&gt;Montura</v>
      </c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</row>
    <row r="5359" spans="1:26" ht="16.5" x14ac:dyDescent="0.35">
      <c r="A5359" s="2" t="str">
        <f ca="1">IFERROR(__xludf.DUMMYFUNCTION("""COMPUTED_VALUE"""),"Dubai")</f>
        <v>Dubai</v>
      </c>
      <c r="B5359" s="2" t="str">
        <f ca="1">IFERROR(__xludf.DUMMYFUNCTION("""COMPUTED_VALUE"""),"Shakespeare Tower")</f>
        <v>Shakespeare Tower</v>
      </c>
      <c r="C5359" s="2" t="str">
        <f ca="1">IFERROR(__xludf.DUMMYFUNCTION("""COMPUTED_VALUE"""),"Building")</f>
        <v>Building</v>
      </c>
      <c r="D5359" s="2" t="str">
        <f ca="1">IFERROR(__xludf.DUMMYFUNCTION("""COMPUTED_VALUE"""),"Dubai&gt;Majan&gt;Shakespeare Tower")</f>
        <v>Dubai&gt;Majan&gt;Shakespeare Tower</v>
      </c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</row>
    <row r="5360" spans="1:26" ht="16.5" x14ac:dyDescent="0.35">
      <c r="A5360" s="2" t="str">
        <f ca="1">IFERROR(__xludf.DUMMYFUNCTION("""COMPUTED_VALUE"""),"Dubai")</f>
        <v>Dubai</v>
      </c>
      <c r="B5360" s="2" t="str">
        <f ca="1">IFERROR(__xludf.DUMMYFUNCTION("""COMPUTED_VALUE"""),"Majan 2 Building")</f>
        <v>Majan 2 Building</v>
      </c>
      <c r="C5360" s="2" t="str">
        <f ca="1">IFERROR(__xludf.DUMMYFUNCTION("""COMPUTED_VALUE"""),"Building")</f>
        <v>Building</v>
      </c>
      <c r="D5360" s="2" t="str">
        <f ca="1">IFERROR(__xludf.DUMMYFUNCTION("""COMPUTED_VALUE"""),"Dubai&gt;Majan&gt;Majan 2 Building")</f>
        <v>Dubai&gt;Majan&gt;Majan 2 Building</v>
      </c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</row>
    <row r="5361" spans="1:26" ht="16.5" x14ac:dyDescent="0.35">
      <c r="A5361" s="2" t="str">
        <f ca="1">IFERROR(__xludf.DUMMYFUNCTION("""COMPUTED_VALUE"""),"Dubai")</f>
        <v>Dubai</v>
      </c>
      <c r="B5361" s="2" t="str">
        <f ca="1">IFERROR(__xludf.DUMMYFUNCTION("""COMPUTED_VALUE"""),"Barari Palace")</f>
        <v>Barari Palace</v>
      </c>
      <c r="C5361" s="2" t="str">
        <f ca="1">IFERROR(__xludf.DUMMYFUNCTION("""COMPUTED_VALUE"""),"Building")</f>
        <v>Building</v>
      </c>
      <c r="D5361" s="2" t="str">
        <f ca="1">IFERROR(__xludf.DUMMYFUNCTION("""COMPUTED_VALUE"""),"Dubai&gt;Majan&gt;Barari Palace")</f>
        <v>Dubai&gt;Majan&gt;Barari Palace</v>
      </c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</row>
    <row r="5362" spans="1:26" ht="16.5" x14ac:dyDescent="0.35">
      <c r="A5362" s="2" t="str">
        <f ca="1">IFERROR(__xludf.DUMMYFUNCTION("""COMPUTED_VALUE"""),"Dubai")</f>
        <v>Dubai</v>
      </c>
      <c r="B5362" s="2" t="str">
        <f ca="1">IFERROR(__xludf.DUMMYFUNCTION("""COMPUTED_VALUE"""),"310 Riverside Crescent")</f>
        <v>310 Riverside Crescent</v>
      </c>
      <c r="C5362" s="2" t="str">
        <f ca="1">IFERROR(__xludf.DUMMYFUNCTION("""COMPUTED_VALUE"""),"Building")</f>
        <v>Building</v>
      </c>
      <c r="D5362" s="2" t="str">
        <f ca="1">IFERROR(__xludf.DUMMYFUNCTION("""COMPUTED_VALUE"""),"Dubai&gt;Sobha Hartland 2&gt;Riverside Crescent&gt;310 Riverside Crescent")</f>
        <v>Dubai&gt;Sobha Hartland 2&gt;Riverside Crescent&gt;310 Riverside Crescent</v>
      </c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</row>
    <row r="5363" spans="1:26" ht="16.5" x14ac:dyDescent="0.35">
      <c r="A5363" s="2" t="str">
        <f ca="1">IFERROR(__xludf.DUMMYFUNCTION("""COMPUTED_VALUE"""),"Dubai")</f>
        <v>Dubai</v>
      </c>
      <c r="B5363" s="2" t="str">
        <f ca="1">IFERROR(__xludf.DUMMYFUNCTION("""COMPUTED_VALUE"""),"Celia Residence")</f>
        <v>Celia Residence</v>
      </c>
      <c r="C5363" s="2" t="str">
        <f ca="1">IFERROR(__xludf.DUMMYFUNCTION("""COMPUTED_VALUE"""),"Building")</f>
        <v>Building</v>
      </c>
      <c r="D5363" s="2" t="str">
        <f ca="1">IFERROR(__xludf.DUMMYFUNCTION("""COMPUTED_VALUE"""),"Dubai&gt;Dubai Studio City&gt;Celia Residence")</f>
        <v>Dubai&gt;Dubai Studio City&gt;Celia Residence</v>
      </c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</row>
    <row r="5364" spans="1:26" ht="16.5" x14ac:dyDescent="0.35">
      <c r="A5364" s="2" t="str">
        <f ca="1">IFERROR(__xludf.DUMMYFUNCTION("""COMPUTED_VALUE"""),"Dubai")</f>
        <v>Dubai</v>
      </c>
      <c r="B5364" s="2" t="str">
        <f ca="1">IFERROR(__xludf.DUMMYFUNCTION("""COMPUTED_VALUE"""),"Arisha Terraces")</f>
        <v>Arisha Terraces</v>
      </c>
      <c r="C5364" s="2" t="str">
        <f ca="1">IFERROR(__xludf.DUMMYFUNCTION("""COMPUTED_VALUE"""),"Building")</f>
        <v>Building</v>
      </c>
      <c r="D5364" s="2" t="str">
        <f ca="1">IFERROR(__xludf.DUMMYFUNCTION("""COMPUTED_VALUE"""),"Dubai&gt;Dubai Studio City&gt;Arisha Terraces")</f>
        <v>Dubai&gt;Dubai Studio City&gt;Arisha Terraces</v>
      </c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</row>
    <row r="5365" spans="1:26" ht="16.5" x14ac:dyDescent="0.35">
      <c r="A5365" s="2" t="str">
        <f ca="1">IFERROR(__xludf.DUMMYFUNCTION("""COMPUTED_VALUE"""),"Dubai")</f>
        <v>Dubai</v>
      </c>
      <c r="B5365" s="2" t="str">
        <f ca="1">IFERROR(__xludf.DUMMYFUNCTION("""COMPUTED_VALUE"""),"Hartland Garden Apartments")</f>
        <v>Hartland Garden Apartments</v>
      </c>
      <c r="C5365" s="2" t="str">
        <f ca="1">IFERROR(__xludf.DUMMYFUNCTION("""COMPUTED_VALUE"""),"Building")</f>
        <v>Building</v>
      </c>
      <c r="D5365" s="2" t="str">
        <f ca="1">IFERROR(__xludf.DUMMYFUNCTION("""COMPUTED_VALUE"""),"Dubai&gt;Sobha Hartland&gt;Hartland Garden Apartments")</f>
        <v>Dubai&gt;Sobha Hartland&gt;Hartland Garden Apartments</v>
      </c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</row>
    <row r="5366" spans="1:26" ht="16.5" x14ac:dyDescent="0.35">
      <c r="A5366" s="2" t="str">
        <f ca="1">IFERROR(__xludf.DUMMYFUNCTION("""COMPUTED_VALUE"""),"Dubai")</f>
        <v>Dubai</v>
      </c>
      <c r="B5366" s="2" t="str">
        <f ca="1">IFERROR(__xludf.DUMMYFUNCTION("""COMPUTED_VALUE"""),"Wilton Terraces 1")</f>
        <v>Wilton Terraces 1</v>
      </c>
      <c r="C5366" s="2" t="str">
        <f ca="1">IFERROR(__xludf.DUMMYFUNCTION("""COMPUTED_VALUE"""),"Building")</f>
        <v>Building</v>
      </c>
      <c r="D5366" s="2" t="str">
        <f ca="1">IFERROR(__xludf.DUMMYFUNCTION("""COMPUTED_VALUE"""),"Dubai&gt;Sobha Hartland&gt;Wilton Terraces 1")</f>
        <v>Dubai&gt;Sobha Hartland&gt;Wilton Terraces 1</v>
      </c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</row>
    <row r="5367" spans="1:26" ht="16.5" x14ac:dyDescent="0.35">
      <c r="A5367" s="2" t="str">
        <f ca="1">IFERROR(__xludf.DUMMYFUNCTION("""COMPUTED_VALUE"""),"Dubai")</f>
        <v>Dubai</v>
      </c>
      <c r="B5367" s="2" t="str">
        <f ca="1">IFERROR(__xludf.DUMMYFUNCTION("""COMPUTED_VALUE"""),"Building 3C")</f>
        <v>Building 3C</v>
      </c>
      <c r="C5367" s="2" t="str">
        <f ca="1">IFERROR(__xludf.DUMMYFUNCTION("""COMPUTED_VALUE"""),"Building")</f>
        <v>Building</v>
      </c>
      <c r="D5367" s="2" t="str">
        <f ca="1">IFERROR(__xludf.DUMMYFUNCTION("""COMPUTED_VALUE"""),"Dubai&gt;Expo City&gt;Expo Village&gt;Residences 3&gt;Building 3C")</f>
        <v>Dubai&gt;Expo City&gt;Expo Village&gt;Residences 3&gt;Building 3C</v>
      </c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</row>
    <row r="5368" spans="1:26" ht="16.5" x14ac:dyDescent="0.35">
      <c r="A5368" s="2" t="str">
        <f ca="1">IFERROR(__xludf.DUMMYFUNCTION("""COMPUTED_VALUE"""),"Dubai")</f>
        <v>Dubai</v>
      </c>
      <c r="B5368" s="2" t="str">
        <f ca="1">IFERROR(__xludf.DUMMYFUNCTION("""COMPUTED_VALUE"""),"Al Waha Residences 02")</f>
        <v>Al Waha Residences 02</v>
      </c>
      <c r="C5368" s="2" t="str">
        <f ca="1">IFERROR(__xludf.DUMMYFUNCTION("""COMPUTED_VALUE"""),"Building")</f>
        <v>Building</v>
      </c>
      <c r="D5368" s="2" t="str">
        <f ca="1">IFERROR(__xludf.DUMMYFUNCTION("""COMPUTED_VALUE"""),"Dubai&gt;Expo City&gt;Al Waha Residences&gt;Al Waha Residences 02")</f>
        <v>Dubai&gt;Expo City&gt;Al Waha Residences&gt;Al Waha Residences 02</v>
      </c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</row>
    <row r="5369" spans="1:26" ht="16.5" x14ac:dyDescent="0.35">
      <c r="A5369" s="2" t="str">
        <f ca="1">IFERROR(__xludf.DUMMYFUNCTION("""COMPUTED_VALUE"""),"Dubai")</f>
        <v>Dubai</v>
      </c>
      <c r="B5369" s="2" t="str">
        <f ca="1">IFERROR(__xludf.DUMMYFUNCTION("""COMPUTED_VALUE"""),"Sage")</f>
        <v>Sage</v>
      </c>
      <c r="C5369" s="2" t="str">
        <f ca="1">IFERROR(__xludf.DUMMYFUNCTION("""COMPUTED_VALUE"""),"Building")</f>
        <v>Building</v>
      </c>
      <c r="D5369" s="2" t="str">
        <f ca="1">IFERROR(__xludf.DUMMYFUNCTION("""COMPUTED_VALUE"""),"Dubai&gt;Haven by Aldar&gt;Verdes by Haven&gt;Sage")</f>
        <v>Dubai&gt;Haven by Aldar&gt;Verdes by Haven&gt;Sage</v>
      </c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</row>
    <row r="5370" spans="1:26" ht="16.5" x14ac:dyDescent="0.35">
      <c r="A5370" s="2" t="str">
        <f ca="1">IFERROR(__xludf.DUMMYFUNCTION("""COMPUTED_VALUE"""),"Dubai")</f>
        <v>Dubai</v>
      </c>
      <c r="B5370" s="2" t="str">
        <f ca="1">IFERROR(__xludf.DUMMYFUNCTION("""COMPUTED_VALUE"""),"The Acres (Phase 1)")</f>
        <v>The Acres (Phase 1)</v>
      </c>
      <c r="C5370" s="2" t="str">
        <f ca="1">IFERROR(__xludf.DUMMYFUNCTION("""COMPUTED_VALUE"""),"Neighbourhood")</f>
        <v>Neighbourhood</v>
      </c>
      <c r="D5370" s="2" t="str">
        <f ca="1">IFERROR(__xludf.DUMMYFUNCTION("""COMPUTED_VALUE"""),"Dubai&gt;The Acres&gt;The Acres (Phase 1)")</f>
        <v>Dubai&gt;The Acres&gt;The Acres (Phase 1)</v>
      </c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</row>
    <row r="5371" spans="1:26" ht="16.5" x14ac:dyDescent="0.35">
      <c r="A5371" s="2" t="str">
        <f ca="1">IFERROR(__xludf.DUMMYFUNCTION("""COMPUTED_VALUE"""),"Dubai")</f>
        <v>Dubai</v>
      </c>
      <c r="B5371" s="2" t="str">
        <f ca="1">IFERROR(__xludf.DUMMYFUNCTION("""COMPUTED_VALUE"""),"Serra Building 9")</f>
        <v>Serra Building 9</v>
      </c>
      <c r="C5371" s="2" t="str">
        <f ca="1">IFERROR(__xludf.DUMMYFUNCTION("""COMPUTED_VALUE"""),"Building")</f>
        <v>Building</v>
      </c>
      <c r="D5371" s="2" t="str">
        <f ca="1">IFERROR(__xludf.DUMMYFUNCTION("""COMPUTED_VALUE"""),"Dubai&gt;Ghaf Woods&gt;Serra&gt;Serra Building 9")</f>
        <v>Dubai&gt;Ghaf Woods&gt;Serra&gt;Serra Building 9</v>
      </c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</row>
    <row r="5372" spans="1:26" ht="16.5" x14ac:dyDescent="0.35">
      <c r="A5372" s="2" t="str">
        <f ca="1">IFERROR(__xludf.DUMMYFUNCTION("""COMPUTED_VALUE"""),"Dubai")</f>
        <v>Dubai</v>
      </c>
      <c r="B5372" s="2" t="str">
        <f ca="1">IFERROR(__xludf.DUMMYFUNCTION("""COMPUTED_VALUE"""),"Maldives 2")</f>
        <v>Maldives 2</v>
      </c>
      <c r="C5372" s="2" t="str">
        <f ca="1">IFERROR(__xludf.DUMMYFUNCTION("""COMPUTED_VALUE"""),"Neighbourhood")</f>
        <v>Neighbourhood</v>
      </c>
      <c r="D5372" s="2" t="str">
        <f ca="1">IFERROR(__xludf.DUMMYFUNCTION("""COMPUTED_VALUE"""),"Dubai&gt;DAMAC Islands&gt;Maldives 2")</f>
        <v>Dubai&gt;DAMAC Islands&gt;Maldives 2</v>
      </c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</row>
    <row r="5373" spans="1:26" ht="16.5" x14ac:dyDescent="0.35">
      <c r="A5373" s="2" t="str">
        <f ca="1">IFERROR(__xludf.DUMMYFUNCTION("""COMPUTED_VALUE"""),"Dubai")</f>
        <v>Dubai</v>
      </c>
      <c r="B5373" s="2" t="str">
        <f ca="1">IFERROR(__xludf.DUMMYFUNCTION("""COMPUTED_VALUE"""),"Rimal 3")</f>
        <v>Rimal 3</v>
      </c>
      <c r="C5373" s="2" t="str">
        <f ca="1">IFERROR(__xludf.DUMMYFUNCTION("""COMPUTED_VALUE"""),"Building")</f>
        <v>Building</v>
      </c>
      <c r="D5373" s="2" t="str">
        <f ca="1">IFERROR(__xludf.DUMMYFUNCTION("""COMPUTED_VALUE"""),"Dubai&gt;Jumeirah Beach Residence (JBR)&gt;Rimal&gt;Rimal 3")</f>
        <v>Dubai&gt;Jumeirah Beach Residence (JBR)&gt;Rimal&gt;Rimal 3</v>
      </c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</row>
    <row r="5374" spans="1:26" ht="16.5" x14ac:dyDescent="0.35">
      <c r="A5374" s="2" t="str">
        <f ca="1">IFERROR(__xludf.DUMMYFUNCTION("""COMPUTED_VALUE"""),"Dubai")</f>
        <v>Dubai</v>
      </c>
      <c r="B5374" s="2" t="str">
        <f ca="1">IFERROR(__xludf.DUMMYFUNCTION("""COMPUTED_VALUE"""),"Al Fattan Business Centre")</f>
        <v>Al Fattan Business Centre</v>
      </c>
      <c r="C5374" s="2" t="str">
        <f ca="1">IFERROR(__xludf.DUMMYFUNCTION("""COMPUTED_VALUE"""),"Building")</f>
        <v>Building</v>
      </c>
      <c r="D5374" s="2" t="str">
        <f ca="1">IFERROR(__xludf.DUMMYFUNCTION("""COMPUTED_VALUE"""),"Dubai&gt;Jumeirah Beach Residence (JBR)&gt;Al Fattan Business Centre")</f>
        <v>Dubai&gt;Jumeirah Beach Residence (JBR)&gt;Al Fattan Business Centre</v>
      </c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</row>
    <row r="5375" spans="1:26" ht="16.5" x14ac:dyDescent="0.35">
      <c r="A5375" s="2" t="str">
        <f ca="1">IFERROR(__xludf.DUMMYFUNCTION("""COMPUTED_VALUE"""),"Dubai")</f>
        <v>Dubai</v>
      </c>
      <c r="B5375" s="2" t="str">
        <f ca="1">IFERROR(__xludf.DUMMYFUNCTION("""COMPUTED_VALUE"""),"Riverton House")</f>
        <v>Riverton House</v>
      </c>
      <c r="C5375" s="2" t="str">
        <f ca="1">IFERROR(__xludf.DUMMYFUNCTION("""COMPUTED_VALUE"""),"Building")</f>
        <v>Building</v>
      </c>
      <c r="D5375" s="2" t="str">
        <f ca="1">IFERROR(__xludf.DUMMYFUNCTION("""COMPUTED_VALUE"""),"Dubai&gt;Meydan Horizon&gt;Riverton House")</f>
        <v>Dubai&gt;Meydan Horizon&gt;Riverton House</v>
      </c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</row>
    <row r="5376" spans="1:26" ht="16.5" x14ac:dyDescent="0.35">
      <c r="A5376" s="2" t="str">
        <f ca="1">IFERROR(__xludf.DUMMYFUNCTION("""COMPUTED_VALUE"""),"Dubai")</f>
        <v>Dubai</v>
      </c>
      <c r="B5376" s="2" t="str">
        <f ca="1">IFERROR(__xludf.DUMMYFUNCTION("""COMPUTED_VALUE"""),"Dar Wasl")</f>
        <v>Dar Wasl</v>
      </c>
      <c r="C5376" s="2" t="str">
        <f ca="1">IFERROR(__xludf.DUMMYFUNCTION("""COMPUTED_VALUE"""),"Neighbourhood")</f>
        <v>Neighbourhood</v>
      </c>
      <c r="D5376" s="2" t="str">
        <f ca="1">IFERROR(__xludf.DUMMYFUNCTION("""COMPUTED_VALUE"""),"Dubai&gt;Al Wasl&gt;Dar Wasl")</f>
        <v>Dubai&gt;Al Wasl&gt;Dar Wasl</v>
      </c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</row>
    <row r="5377" spans="1:26" ht="16.5" x14ac:dyDescent="0.35">
      <c r="A5377" s="2" t="str">
        <f ca="1">IFERROR(__xludf.DUMMYFUNCTION("""COMPUTED_VALUE"""),"Dubai")</f>
        <v>Dubai</v>
      </c>
      <c r="B5377" s="2" t="str">
        <f ca="1">IFERROR(__xludf.DUMMYFUNCTION("""COMPUTED_VALUE"""),"Central Park")</f>
        <v>Central Park</v>
      </c>
      <c r="C5377" s="2" t="str">
        <f ca="1">IFERROR(__xludf.DUMMYFUNCTION("""COMPUTED_VALUE"""),"Neighbourhood")</f>
        <v>Neighbourhood</v>
      </c>
      <c r="D5377" s="2" t="str">
        <f ca="1">IFERROR(__xludf.DUMMYFUNCTION("""COMPUTED_VALUE"""),"Dubai&gt;Al Wasl&gt;City Walk&gt;Central Park")</f>
        <v>Dubai&gt;Al Wasl&gt;City Walk&gt;Central Park</v>
      </c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</row>
    <row r="5378" spans="1:26" ht="16.5" x14ac:dyDescent="0.35">
      <c r="A5378" s="2" t="str">
        <f ca="1">IFERROR(__xludf.DUMMYFUNCTION("""COMPUTED_VALUE"""),"Dubai")</f>
        <v>Dubai</v>
      </c>
      <c r="B5378" s="2" t="str">
        <f ca="1">IFERROR(__xludf.DUMMYFUNCTION("""COMPUTED_VALUE"""),"City Walk Northline 2")</f>
        <v>City Walk Northline 2</v>
      </c>
      <c r="C5378" s="2" t="str">
        <f ca="1">IFERROR(__xludf.DUMMYFUNCTION("""COMPUTED_VALUE"""),"Cluster")</f>
        <v>Cluster</v>
      </c>
      <c r="D5378" s="2" t="str">
        <f ca="1">IFERROR(__xludf.DUMMYFUNCTION("""COMPUTED_VALUE"""),"Dubai&gt;Al Wasl&gt;City Walk&gt;City Walk Northline 2")</f>
        <v>Dubai&gt;Al Wasl&gt;City Walk&gt;City Walk Northline 2</v>
      </c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</row>
    <row r="5379" spans="1:26" ht="16.5" x14ac:dyDescent="0.35">
      <c r="A5379" s="2" t="str">
        <f ca="1">IFERROR(__xludf.DUMMYFUNCTION("""COMPUTED_VALUE"""),"Dubai")</f>
        <v>Dubai</v>
      </c>
      <c r="B5379" s="2" t="str">
        <f ca="1">IFERROR(__xludf.DUMMYFUNCTION("""COMPUTED_VALUE"""),"Canal Front Residences 9")</f>
        <v>Canal Front Residences 9</v>
      </c>
      <c r="C5379" s="2" t="str">
        <f ca="1">IFERROR(__xludf.DUMMYFUNCTION("""COMPUTED_VALUE"""),"Building")</f>
        <v>Building</v>
      </c>
      <c r="D5379" s="2" t="str">
        <f ca="1">IFERROR(__xludf.DUMMYFUNCTION("""COMPUTED_VALUE"""),"Dubai&gt;Al Wasl&gt;Canal Front Residences&gt;Canal Front Residences 9")</f>
        <v>Dubai&gt;Al Wasl&gt;Canal Front Residences&gt;Canal Front Residences 9</v>
      </c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</row>
    <row r="5380" spans="1:26" ht="16.5" x14ac:dyDescent="0.35">
      <c r="A5380" s="2" t="str">
        <f ca="1">IFERROR(__xludf.DUMMYFUNCTION("""COMPUTED_VALUE"""),"Dubai")</f>
        <v>Dubai</v>
      </c>
      <c r="B5380" s="2" t="str">
        <f ca="1">IFERROR(__xludf.DUMMYFUNCTION("""COMPUTED_VALUE"""),"Chubby Cheeks Arjan")</f>
        <v>Chubby Cheeks Arjan</v>
      </c>
      <c r="C5380" s="2" t="str">
        <f ca="1">IFERROR(__xludf.DUMMYFUNCTION("""COMPUTED_VALUE"""),"School")</f>
        <v>School</v>
      </c>
      <c r="D5380" s="2" t="str">
        <f ca="1">IFERROR(__xludf.DUMMYFUNCTION("""COMPUTED_VALUE"""),"Dubai&gt;Arjan&gt;Chubby Cheeks Arjan")</f>
        <v>Dubai&gt;Arjan&gt;Chubby Cheeks Arjan</v>
      </c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</row>
    <row r="5381" spans="1:26" ht="16.5" x14ac:dyDescent="0.35">
      <c r="A5381" s="2" t="str">
        <f ca="1">IFERROR(__xludf.DUMMYFUNCTION("""COMPUTED_VALUE"""),"Dubai")</f>
        <v>Dubai</v>
      </c>
      <c r="B5381" s="2" t="str">
        <f ca="1">IFERROR(__xludf.DUMMYFUNCTION("""COMPUTED_VALUE"""),"Al Sayyah Residence E")</f>
        <v>Al Sayyah Residence E</v>
      </c>
      <c r="C5381" s="2" t="str">
        <f ca="1">IFERROR(__xludf.DUMMYFUNCTION("""COMPUTED_VALUE"""),"Building")</f>
        <v>Building</v>
      </c>
      <c r="D5381" s="2" t="str">
        <f ca="1">IFERROR(__xludf.DUMMYFUNCTION("""COMPUTED_VALUE"""),"Dubai&gt;Arjan&gt;Al Sayyah Residence&gt;Al Sayyah Residence E")</f>
        <v>Dubai&gt;Arjan&gt;Al Sayyah Residence&gt;Al Sayyah Residence E</v>
      </c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</row>
    <row r="5382" spans="1:26" ht="16.5" x14ac:dyDescent="0.35">
      <c r="A5382" s="2" t="str">
        <f ca="1">IFERROR(__xludf.DUMMYFUNCTION("""COMPUTED_VALUE"""),"Dubai")</f>
        <v>Dubai</v>
      </c>
      <c r="B5382" s="2" t="str">
        <f ca="1">IFERROR(__xludf.DUMMYFUNCTION("""COMPUTED_VALUE"""),"Diamond Business Centre 2")</f>
        <v>Diamond Business Centre 2</v>
      </c>
      <c r="C5382" s="2" t="str">
        <f ca="1">IFERROR(__xludf.DUMMYFUNCTION("""COMPUTED_VALUE"""),"Building")</f>
        <v>Building</v>
      </c>
      <c r="D5382" s="2" t="str">
        <f ca="1">IFERROR(__xludf.DUMMYFUNCTION("""COMPUTED_VALUE"""),"Dubai&gt;Arjan&gt;Diamond Business Centre 2")</f>
        <v>Dubai&gt;Arjan&gt;Diamond Business Centre 2</v>
      </c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</row>
    <row r="5383" spans="1:26" ht="16.5" x14ac:dyDescent="0.35">
      <c r="A5383" s="2" t="str">
        <f ca="1">IFERROR(__xludf.DUMMYFUNCTION("""COMPUTED_VALUE"""),"Dubai")</f>
        <v>Dubai</v>
      </c>
      <c r="B5383" s="2" t="str">
        <f ca="1">IFERROR(__xludf.DUMMYFUNCTION("""COMPUTED_VALUE"""),"Gardenia Livings")</f>
        <v>Gardenia Livings</v>
      </c>
      <c r="C5383" s="2" t="str">
        <f ca="1">IFERROR(__xludf.DUMMYFUNCTION("""COMPUTED_VALUE"""),"Building")</f>
        <v>Building</v>
      </c>
      <c r="D5383" s="2" t="str">
        <f ca="1">IFERROR(__xludf.DUMMYFUNCTION("""COMPUTED_VALUE"""),"Dubai&gt;Arjan&gt;Gardenia Livings")</f>
        <v>Dubai&gt;Arjan&gt;Gardenia Livings</v>
      </c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</row>
    <row r="5384" spans="1:26" ht="16.5" x14ac:dyDescent="0.35">
      <c r="A5384" s="2" t="str">
        <f ca="1">IFERROR(__xludf.DUMMYFUNCTION("""COMPUTED_VALUE"""),"Dubai")</f>
        <v>Dubai</v>
      </c>
      <c r="B5384" s="2" t="str">
        <f ca="1">IFERROR(__xludf.DUMMYFUNCTION("""COMPUTED_VALUE"""),"Samana Mykonos Signature")</f>
        <v>Samana Mykonos Signature</v>
      </c>
      <c r="C5384" s="2" t="str">
        <f ca="1">IFERROR(__xludf.DUMMYFUNCTION("""COMPUTED_VALUE"""),"Building")</f>
        <v>Building</v>
      </c>
      <c r="D5384" s="2" t="str">
        <f ca="1">IFERROR(__xludf.DUMMYFUNCTION("""COMPUTED_VALUE"""),"Dubai&gt;Arjan&gt;Samana Mykonos Signature")</f>
        <v>Dubai&gt;Arjan&gt;Samana Mykonos Signature</v>
      </c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</row>
    <row r="5385" spans="1:26" ht="16.5" x14ac:dyDescent="0.35">
      <c r="A5385" s="2" t="str">
        <f ca="1">IFERROR(__xludf.DUMMYFUNCTION("""COMPUTED_VALUE"""),"Dubai")</f>
        <v>Dubai</v>
      </c>
      <c r="B5385" s="2" t="str">
        <f ca="1">IFERROR(__xludf.DUMMYFUNCTION("""COMPUTED_VALUE"""),"NAS 2")</f>
        <v>NAS 2</v>
      </c>
      <c r="C5385" s="2" t="str">
        <f ca="1">IFERROR(__xludf.DUMMYFUNCTION("""COMPUTED_VALUE"""),"Building")</f>
        <v>Building</v>
      </c>
      <c r="D5385" s="2" t="str">
        <f ca="1">IFERROR(__xludf.DUMMYFUNCTION("""COMPUTED_VALUE"""),"Dubai&gt;Arjan&gt;NAS 2")</f>
        <v>Dubai&gt;Arjan&gt;NAS 2</v>
      </c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</row>
    <row r="5386" spans="1:26" ht="16.5" x14ac:dyDescent="0.35">
      <c r="A5386" s="2" t="str">
        <f ca="1">IFERROR(__xludf.DUMMYFUNCTION("""COMPUTED_VALUE"""),"Dubai")</f>
        <v>Dubai</v>
      </c>
      <c r="B5386" s="2" t="str">
        <f ca="1">IFERROR(__xludf.DUMMYFUNCTION("""COMPUTED_VALUE"""),"Garden Arena")</f>
        <v>Garden Arena</v>
      </c>
      <c r="C5386" s="2" t="str">
        <f ca="1">IFERROR(__xludf.DUMMYFUNCTION("""COMPUTED_VALUE"""),"Building")</f>
        <v>Building</v>
      </c>
      <c r="D5386" s="2" t="str">
        <f ca="1">IFERROR(__xludf.DUMMYFUNCTION("""COMPUTED_VALUE"""),"Dubai&gt;Arjan&gt;Garden Arena")</f>
        <v>Dubai&gt;Arjan&gt;Garden Arena</v>
      </c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</row>
    <row r="5387" spans="1:26" ht="16.5" x14ac:dyDescent="0.35">
      <c r="A5387" s="2" t="str">
        <f ca="1">IFERROR(__xludf.DUMMYFUNCTION("""COMPUTED_VALUE"""),"Dubai")</f>
        <v>Dubai</v>
      </c>
      <c r="B5387" s="2" t="str">
        <f ca="1">IFERROR(__xludf.DUMMYFUNCTION("""COMPUTED_VALUE"""),"Al Safa Complex")</f>
        <v>Al Safa Complex</v>
      </c>
      <c r="C5387" s="2" t="str">
        <f ca="1">IFERROR(__xludf.DUMMYFUNCTION("""COMPUTED_VALUE"""),"Neighbourhood")</f>
        <v>Neighbourhood</v>
      </c>
      <c r="D5387" s="2" t="str">
        <f ca="1">IFERROR(__xludf.DUMMYFUNCTION("""COMPUTED_VALUE"""),"Dubai&gt;Al Safa&gt;Al Safa 1&gt;Al Safa Complex")</f>
        <v>Dubai&gt;Al Safa&gt;Al Safa 1&gt;Al Safa Complex</v>
      </c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</row>
    <row r="5388" spans="1:26" ht="16.5" x14ac:dyDescent="0.35">
      <c r="A5388" s="2" t="str">
        <f ca="1">IFERROR(__xludf.DUMMYFUNCTION("""COMPUTED_VALUE"""),"Abu Dhabi")</f>
        <v>Abu Dhabi</v>
      </c>
      <c r="B5388" s="2" t="str">
        <f ca="1">IFERROR(__xludf.DUMMYFUNCTION("""COMPUTED_VALUE"""),"Abu Dhabi")</f>
        <v>Abu Dhabi</v>
      </c>
      <c r="C5388" s="2" t="str">
        <f ca="1">IFERROR(__xludf.DUMMYFUNCTION("""COMPUTED_VALUE"""),"Emirate")</f>
        <v>Emirate</v>
      </c>
      <c r="D5388" s="2" t="str">
        <f ca="1">IFERROR(__xludf.DUMMYFUNCTION("""COMPUTED_VALUE"""),"Abu Dhabi")</f>
        <v>Abu Dhabi</v>
      </c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</row>
    <row r="5389" spans="1:26" ht="16.5" x14ac:dyDescent="0.35">
      <c r="A5389" s="2" t="str">
        <f ca="1">IFERROR(__xludf.DUMMYFUNCTION("""COMPUTED_VALUE"""),"Abu Dhabi")</f>
        <v>Abu Dhabi</v>
      </c>
      <c r="B5389" s="2" t="str">
        <f ca="1">IFERROR(__xludf.DUMMYFUNCTION("""COMPUTED_VALUE"""),"Marina Village")</f>
        <v>Marina Village</v>
      </c>
      <c r="C5389" s="2" t="str">
        <f ca="1">IFERROR(__xludf.DUMMYFUNCTION("""COMPUTED_VALUE"""),"Neighbourhood")</f>
        <v>Neighbourhood</v>
      </c>
      <c r="D5389" s="2" t="str">
        <f ca="1">IFERROR(__xludf.DUMMYFUNCTION("""COMPUTED_VALUE"""),"Abu Dhabi&gt;Marina Village")</f>
        <v>Abu Dhabi&gt;Marina Village</v>
      </c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</row>
    <row r="5390" spans="1:26" ht="16.5" x14ac:dyDescent="0.35">
      <c r="A5390" s="2" t="str">
        <f ca="1">IFERROR(__xludf.DUMMYFUNCTION("""COMPUTED_VALUE"""),"Abu Dhabi")</f>
        <v>Abu Dhabi</v>
      </c>
      <c r="B5390" s="2" t="str">
        <f ca="1">IFERROR(__xludf.DUMMYFUNCTION("""COMPUTED_VALUE"""),"Grand Millennium Al Wahdah Hotel")</f>
        <v>Grand Millennium Al Wahdah Hotel</v>
      </c>
      <c r="C5390" s="2" t="str">
        <f ca="1">IFERROR(__xludf.DUMMYFUNCTION("""COMPUTED_VALUE"""),"Building")</f>
        <v>Building</v>
      </c>
      <c r="D5390" s="2" t="str">
        <f ca="1">IFERROR(__xludf.DUMMYFUNCTION("""COMPUTED_VALUE"""),"Abu Dhabi&gt;Al Wahdah&gt;Grand Millennium Al Wahdah Hotel")</f>
        <v>Abu Dhabi&gt;Al Wahdah&gt;Grand Millennium Al Wahdah Hotel</v>
      </c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</row>
    <row r="5391" spans="1:26" ht="16.5" x14ac:dyDescent="0.35">
      <c r="A5391" s="2" t="str">
        <f ca="1">IFERROR(__xludf.DUMMYFUNCTION("""COMPUTED_VALUE"""),"Abu Dhabi")</f>
        <v>Abu Dhabi</v>
      </c>
      <c r="B5391" s="2" t="str">
        <f ca="1">IFERROR(__xludf.DUMMYFUNCTION("""COMPUTED_VALUE"""),"Bay View")</f>
        <v>Bay View</v>
      </c>
      <c r="C5391" s="2" t="str">
        <f ca="1">IFERROR(__xludf.DUMMYFUNCTION("""COMPUTED_VALUE"""),"Building")</f>
        <v>Building</v>
      </c>
      <c r="D5391" s="2" t="str">
        <f ca="1">IFERROR(__xludf.DUMMYFUNCTION("""COMPUTED_VALUE"""),"Abu Dhabi&gt;Tourist Club Area (TCA)&gt;Bay View")</f>
        <v>Abu Dhabi&gt;Tourist Club Area (TCA)&gt;Bay View</v>
      </c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</row>
    <row r="5392" spans="1:26" ht="16.5" x14ac:dyDescent="0.35">
      <c r="A5392" s="2" t="str">
        <f ca="1">IFERROR(__xludf.DUMMYFUNCTION("""COMPUTED_VALUE"""),"Abu Dhabi")</f>
        <v>Abu Dhabi</v>
      </c>
      <c r="B5392" s="2" t="str">
        <f ca="1">IFERROR(__xludf.DUMMYFUNCTION("""COMPUTED_VALUE"""),"Al Khaili Building")</f>
        <v>Al Khaili Building</v>
      </c>
      <c r="C5392" s="2" t="str">
        <f ca="1">IFERROR(__xludf.DUMMYFUNCTION("""COMPUTED_VALUE"""),"Building")</f>
        <v>Building</v>
      </c>
      <c r="D5392" s="2" t="str">
        <f ca="1">IFERROR(__xludf.DUMMYFUNCTION("""COMPUTED_VALUE"""),"Abu Dhabi&gt;Al Zahiyah&gt;Al Khaili Building")</f>
        <v>Abu Dhabi&gt;Al Zahiyah&gt;Al Khaili Building</v>
      </c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</row>
    <row r="5393" spans="1:26" ht="16.5" x14ac:dyDescent="0.35">
      <c r="A5393" s="2" t="str">
        <f ca="1">IFERROR(__xludf.DUMMYFUNCTION("""COMPUTED_VALUE"""),"Abu Dhabi")</f>
        <v>Abu Dhabi</v>
      </c>
      <c r="B5393" s="2" t="str">
        <f ca="1">IFERROR(__xludf.DUMMYFUNCTION("""COMPUTED_VALUE"""),"Al Jurf")</f>
        <v>Al Jurf</v>
      </c>
      <c r="C5393" s="2" t="str">
        <f ca="1">IFERROR(__xludf.DUMMYFUNCTION("""COMPUTED_VALUE"""),"Neighbourhood")</f>
        <v>Neighbourhood</v>
      </c>
      <c r="D5393" s="2" t="str">
        <f ca="1">IFERROR(__xludf.DUMMYFUNCTION("""COMPUTED_VALUE"""),"Abu Dhabi&gt;Al Jurf")</f>
        <v>Abu Dhabi&gt;Al Jurf</v>
      </c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</row>
    <row r="5394" spans="1:26" ht="16.5" x14ac:dyDescent="0.35">
      <c r="A5394" s="2" t="str">
        <f ca="1">IFERROR(__xludf.DUMMYFUNCTION("""COMPUTED_VALUE"""),"Abu Dhabi")</f>
        <v>Abu Dhabi</v>
      </c>
      <c r="B5394" s="2" t="str">
        <f ca="1">IFERROR(__xludf.DUMMYFUNCTION("""COMPUTED_VALUE"""),"The Views At Saraya")</f>
        <v>The Views At Saraya</v>
      </c>
      <c r="C5394" s="2" t="str">
        <f ca="1">IFERROR(__xludf.DUMMYFUNCTION("""COMPUTED_VALUE"""),"Cluster")</f>
        <v>Cluster</v>
      </c>
      <c r="D5394" s="2" t="str">
        <f ca="1">IFERROR(__xludf.DUMMYFUNCTION("""COMPUTED_VALUE"""),"Abu Dhabi&gt;Corniche Area&gt;The Views At Saraya")</f>
        <v>Abu Dhabi&gt;Corniche Area&gt;The Views At Saraya</v>
      </c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</row>
    <row r="5395" spans="1:26" ht="16.5" x14ac:dyDescent="0.35">
      <c r="A5395" s="2" t="str">
        <f ca="1">IFERROR(__xludf.DUMMYFUNCTION("""COMPUTED_VALUE"""),"Abu Dhabi")</f>
        <v>Abu Dhabi</v>
      </c>
      <c r="B5395" s="2" t="str">
        <f ca="1">IFERROR(__xludf.DUMMYFUNCTION("""COMPUTED_VALUE"""),"GEMS Cambridge International School Abu Dhabi")</f>
        <v>GEMS Cambridge International School Abu Dhabi</v>
      </c>
      <c r="C5395" s="2" t="str">
        <f ca="1">IFERROR(__xludf.DUMMYFUNCTION("""COMPUTED_VALUE"""),"School")</f>
        <v>School</v>
      </c>
      <c r="D5395" s="2" t="str">
        <f ca="1">IFERROR(__xludf.DUMMYFUNCTION("""COMPUTED_VALUE"""),"Abu Dhabi&gt;Baniyas&gt;Baniyas East&gt;GEMS Cambridge International School Abu Dhabi")</f>
        <v>Abu Dhabi&gt;Baniyas&gt;Baniyas East&gt;GEMS Cambridge International School Abu Dhabi</v>
      </c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</row>
    <row r="5396" spans="1:26" ht="16.5" x14ac:dyDescent="0.35">
      <c r="A5396" s="2" t="str">
        <f ca="1">IFERROR(__xludf.DUMMYFUNCTION("""COMPUTED_VALUE"""),"Abu Dhabi")</f>
        <v>Abu Dhabi</v>
      </c>
      <c r="B5396" s="2" t="str">
        <f ca="1">IFERROR(__xludf.DUMMYFUNCTION("""COMPUTED_VALUE"""),"Al Reef Compound")</f>
        <v>Al Reef Compound</v>
      </c>
      <c r="C5396" s="2" t="str">
        <f ca="1">IFERROR(__xludf.DUMMYFUNCTION("""COMPUTED_VALUE"""),"Neighbourhood")</f>
        <v>Neighbourhood</v>
      </c>
      <c r="D5396" s="2" t="str">
        <f ca="1">IFERROR(__xludf.DUMMYFUNCTION("""COMPUTED_VALUE"""),"Abu Dhabi&gt;Diplomatic Area&gt;Al Reef Compound")</f>
        <v>Abu Dhabi&gt;Diplomatic Area&gt;Al Reef Compound</v>
      </c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</row>
    <row r="5397" spans="1:26" ht="16.5" x14ac:dyDescent="0.35">
      <c r="A5397" s="2" t="str">
        <f ca="1">IFERROR(__xludf.DUMMYFUNCTION("""COMPUTED_VALUE"""),"Abu Dhabi")</f>
        <v>Abu Dhabi</v>
      </c>
      <c r="B5397" s="2" t="str">
        <f ca="1">IFERROR(__xludf.DUMMYFUNCTION("""COMPUTED_VALUE"""),"Madinat Zayed")</f>
        <v>Madinat Zayed</v>
      </c>
      <c r="C5397" s="2" t="str">
        <f ca="1">IFERROR(__xludf.DUMMYFUNCTION("""COMPUTED_VALUE"""),"Neighbourhood")</f>
        <v>Neighbourhood</v>
      </c>
      <c r="D5397" s="2" t="str">
        <f ca="1">IFERROR(__xludf.DUMMYFUNCTION("""COMPUTED_VALUE"""),"Abu Dhabi&gt;Madinat Zayed")</f>
        <v>Abu Dhabi&gt;Madinat Zayed</v>
      </c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</row>
    <row r="5398" spans="1:26" ht="16.5" x14ac:dyDescent="0.35">
      <c r="A5398" s="2" t="str">
        <f ca="1">IFERROR(__xludf.DUMMYFUNCTION("""COMPUTED_VALUE"""),"Abu Dhabi")</f>
        <v>Abu Dhabi</v>
      </c>
      <c r="B5398" s="2" t="str">
        <f ca="1">IFERROR(__xludf.DUMMYFUNCTION("""COMPUTED_VALUE"""),"Rihan Heights Tower A")</f>
        <v>Rihan Heights Tower A</v>
      </c>
      <c r="C5398" s="2" t="str">
        <f ca="1">IFERROR(__xludf.DUMMYFUNCTION("""COMPUTED_VALUE"""),"Building")</f>
        <v>Building</v>
      </c>
      <c r="D5398" s="2" t="str">
        <f ca="1">IFERROR(__xludf.DUMMYFUNCTION("""COMPUTED_VALUE"""),"Abu Dhabi&gt;Zayed Sports City&gt;Rihan Heights Towers&gt;Rihan Heights Tower A")</f>
        <v>Abu Dhabi&gt;Zayed Sports City&gt;Rihan Heights Towers&gt;Rihan Heights Tower A</v>
      </c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</row>
    <row r="5399" spans="1:26" ht="16.5" x14ac:dyDescent="0.35">
      <c r="A5399" s="2" t="str">
        <f ca="1">IFERROR(__xludf.DUMMYFUNCTION("""COMPUTED_VALUE"""),"Abu Dhabi")</f>
        <v>Abu Dhabi</v>
      </c>
      <c r="B5399" s="2" t="str">
        <f ca="1">IFERROR(__xludf.DUMMYFUNCTION("""COMPUTED_VALUE"""),"MSH4")</f>
        <v>MSH4</v>
      </c>
      <c r="C5399" s="2" t="str">
        <f ca="1">IFERROR(__xludf.DUMMYFUNCTION("""COMPUTED_VALUE"""),"Neighbourhood")</f>
        <v>Neighbourhood</v>
      </c>
      <c r="D5399" s="2" t="str">
        <f ca="1">IFERROR(__xludf.DUMMYFUNCTION("""COMPUTED_VALUE"""),"Abu Dhabi&gt;Shakhbout City&gt;MSH4")</f>
        <v>Abu Dhabi&gt;Shakhbout City&gt;MSH4</v>
      </c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</row>
    <row r="5400" spans="1:26" ht="16.5" x14ac:dyDescent="0.35">
      <c r="A5400" s="2" t="str">
        <f ca="1">IFERROR(__xludf.DUMMYFUNCTION("""COMPUTED_VALUE"""),"Abu Dhabi")</f>
        <v>Abu Dhabi</v>
      </c>
      <c r="B5400" s="2" t="str">
        <f ca="1">IFERROR(__xludf.DUMMYFUNCTION("""COMPUTED_VALUE"""),"MSH36")</f>
        <v>MSH36</v>
      </c>
      <c r="C5400" s="2" t="str">
        <f ca="1">IFERROR(__xludf.DUMMYFUNCTION("""COMPUTED_VALUE"""),"Neighbourhood")</f>
        <v>Neighbourhood</v>
      </c>
      <c r="D5400" s="2" t="str">
        <f ca="1">IFERROR(__xludf.DUMMYFUNCTION("""COMPUTED_VALUE"""),"Abu Dhabi&gt;Shakhbout City&gt;MSH36")</f>
        <v>Abu Dhabi&gt;Shakhbout City&gt;MSH36</v>
      </c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</row>
    <row r="5401" spans="1:26" ht="16.5" x14ac:dyDescent="0.35">
      <c r="A5401" s="2" t="str">
        <f ca="1">IFERROR(__xludf.DUMMYFUNCTION("""COMPUTED_VALUE"""),"Abu Dhabi")</f>
        <v>Abu Dhabi</v>
      </c>
      <c r="B5401" s="2" t="str">
        <f ca="1">IFERROR(__xludf.DUMMYFUNCTION("""COMPUTED_VALUE"""),"Old Shahama")</f>
        <v>Old Shahama</v>
      </c>
      <c r="C5401" s="2" t="str">
        <f ca="1">IFERROR(__xludf.DUMMYFUNCTION("""COMPUTED_VALUE"""),"Neighbourhood")</f>
        <v>Neighbourhood</v>
      </c>
      <c r="D5401" s="2" t="str">
        <f ca="1">IFERROR(__xludf.DUMMYFUNCTION("""COMPUTED_VALUE"""),"Abu Dhabi&gt;Al Bahia&gt;Old Shahama")</f>
        <v>Abu Dhabi&gt;Al Bahia&gt;Old Shahama</v>
      </c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</row>
    <row r="5402" spans="1:26" ht="16.5" x14ac:dyDescent="0.35">
      <c r="A5402" s="2" t="str">
        <f ca="1">IFERROR(__xludf.DUMMYFUNCTION("""COMPUTED_VALUE"""),"Abu Dhabi")</f>
        <v>Abu Dhabi</v>
      </c>
      <c r="B5402" s="2" t="str">
        <f ca="1">IFERROR(__xludf.DUMMYFUNCTION("""COMPUTED_VALUE"""),"Educare Nursery Al Zahraa")</f>
        <v>Educare Nursery Al Zahraa</v>
      </c>
      <c r="C5402" s="2" t="str">
        <f ca="1">IFERROR(__xludf.DUMMYFUNCTION("""COMPUTED_VALUE"""),"Nursery")</f>
        <v>Nursery</v>
      </c>
      <c r="D5402" s="2" t="str">
        <f ca="1">IFERROR(__xludf.DUMMYFUNCTION("""COMPUTED_VALUE"""),"Abu Dhabi&gt;Al Zahraa&gt;Educare Nursery Al Zahraa")</f>
        <v>Abu Dhabi&gt;Al Zahraa&gt;Educare Nursery Al Zahraa</v>
      </c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</row>
    <row r="5403" spans="1:26" ht="16.5" x14ac:dyDescent="0.35">
      <c r="A5403" s="2" t="str">
        <f ca="1">IFERROR(__xludf.DUMMYFUNCTION("""COMPUTED_VALUE"""),"Abu Dhabi")</f>
        <v>Abu Dhabi</v>
      </c>
      <c r="B5403" s="2" t="str">
        <f ca="1">IFERROR(__xludf.DUMMYFUNCTION("""COMPUTED_VALUE"""),"Marbella")</f>
        <v>Marbella</v>
      </c>
      <c r="C5403" s="2" t="str">
        <f ca="1">IFERROR(__xludf.DUMMYFUNCTION("""COMPUTED_VALUE"""),"Neighbourhood")</f>
        <v>Neighbourhood</v>
      </c>
      <c r="D5403" s="2" t="str">
        <f ca="1">IFERROR(__xludf.DUMMYFUNCTION("""COMPUTED_VALUE"""),"Abu Dhabi&gt;Zayed City&gt;Bloom Living&gt;Marbella")</f>
        <v>Abu Dhabi&gt;Zayed City&gt;Bloom Living&gt;Marbella</v>
      </c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</row>
    <row r="5404" spans="1:26" ht="16.5" x14ac:dyDescent="0.35">
      <c r="A5404" s="2" t="str">
        <f ca="1">IFERROR(__xludf.DUMMYFUNCTION("""COMPUTED_VALUE"""),"Abu Dhabi")</f>
        <v>Abu Dhabi</v>
      </c>
      <c r="B5404" s="2" t="str">
        <f ca="1">IFERROR(__xludf.DUMMYFUNCTION("""COMPUTED_VALUE"""),"Al Khatm")</f>
        <v>Al Khatm</v>
      </c>
      <c r="C5404" s="2" t="str">
        <f ca="1">IFERROR(__xludf.DUMMYFUNCTION("""COMPUTED_VALUE"""),"Neighbourhood")</f>
        <v>Neighbourhood</v>
      </c>
      <c r="D5404" s="2" t="str">
        <f ca="1">IFERROR(__xludf.DUMMYFUNCTION("""COMPUTED_VALUE"""),"Abu Dhabi&gt;Al Khatm")</f>
        <v>Abu Dhabi&gt;Al Khatm</v>
      </c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</row>
    <row r="5405" spans="1:26" ht="16.5" x14ac:dyDescent="0.35">
      <c r="A5405" s="2" t="str">
        <f ca="1">IFERROR(__xludf.DUMMYFUNCTION("""COMPUTED_VALUE"""),"Abu Dhabi")</f>
        <v>Abu Dhabi</v>
      </c>
      <c r="B5405" s="2" t="str">
        <f ca="1">IFERROR(__xludf.DUMMYFUNCTION("""COMPUTED_VALUE"""),"The District")</f>
        <v>The District</v>
      </c>
      <c r="C5405" s="2" t="str">
        <f ca="1">IFERROR(__xludf.DUMMYFUNCTION("""COMPUTED_VALUE"""),"Cluster")</f>
        <v>Cluster</v>
      </c>
      <c r="D5405" s="2" t="str">
        <f ca="1">IFERROR(__xludf.DUMMYFUNCTION("""COMPUTED_VALUE"""),"Abu Dhabi&gt;Al Reem Island&gt;Tamouh&gt;The District")</f>
        <v>Abu Dhabi&gt;Al Reem Island&gt;Tamouh&gt;The District</v>
      </c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</row>
    <row r="5406" spans="1:26" ht="16.5" x14ac:dyDescent="0.35">
      <c r="A5406" s="2" t="str">
        <f ca="1">IFERROR(__xludf.DUMMYFUNCTION("""COMPUTED_VALUE"""),"Abu Dhabi")</f>
        <v>Abu Dhabi</v>
      </c>
      <c r="B5406" s="2" t="str">
        <f ca="1">IFERROR(__xludf.DUMMYFUNCTION("""COMPUTED_VALUE"""),"Najmat Towers")</f>
        <v>Najmat Towers</v>
      </c>
      <c r="C5406" s="2" t="str">
        <f ca="1">IFERROR(__xludf.DUMMYFUNCTION("""COMPUTED_VALUE"""),"Cluster")</f>
        <v>Cluster</v>
      </c>
      <c r="D5406" s="2" t="str">
        <f ca="1">IFERROR(__xludf.DUMMYFUNCTION("""COMPUTED_VALUE"""),"Abu Dhabi&gt;Al Reem Island&gt;Najmat Abu Dhabi&gt;Najmat Towers")</f>
        <v>Abu Dhabi&gt;Al Reem Island&gt;Najmat Abu Dhabi&gt;Najmat Towers</v>
      </c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</row>
    <row r="5407" spans="1:26" ht="16.5" x14ac:dyDescent="0.35">
      <c r="A5407" s="2" t="str">
        <f ca="1">IFERROR(__xludf.DUMMYFUNCTION("""COMPUTED_VALUE"""),"Abu Dhabi")</f>
        <v>Abu Dhabi</v>
      </c>
      <c r="B5407" s="2" t="str">
        <f ca="1">IFERROR(__xludf.DUMMYFUNCTION("""COMPUTED_VALUE"""),"Sea Face Tower")</f>
        <v>Sea Face Tower</v>
      </c>
      <c r="C5407" s="2" t="str">
        <f ca="1">IFERROR(__xludf.DUMMYFUNCTION("""COMPUTED_VALUE"""),"Building")</f>
        <v>Building</v>
      </c>
      <c r="D5407" s="2" t="str">
        <f ca="1">IFERROR(__xludf.DUMMYFUNCTION("""COMPUTED_VALUE"""),"Abu Dhabi&gt;Al Reem Island&gt;Shams Abu Dhabi&gt;Sea Face Tower")</f>
        <v>Abu Dhabi&gt;Al Reem Island&gt;Shams Abu Dhabi&gt;Sea Face Tower</v>
      </c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</row>
    <row r="5408" spans="1:26" ht="16.5" x14ac:dyDescent="0.35">
      <c r="A5408" s="2" t="str">
        <f ca="1">IFERROR(__xludf.DUMMYFUNCTION("""COMPUTED_VALUE"""),"Abu Dhabi")</f>
        <v>Abu Dhabi</v>
      </c>
      <c r="B5408" s="2" t="str">
        <f ca="1">IFERROR(__xludf.DUMMYFUNCTION("""COMPUTED_VALUE"""),"Mangrove Place")</f>
        <v>Mangrove Place</v>
      </c>
      <c r="C5408" s="2" t="str">
        <f ca="1">IFERROR(__xludf.DUMMYFUNCTION("""COMPUTED_VALUE"""),"Building")</f>
        <v>Building</v>
      </c>
      <c r="D5408" s="2" t="str">
        <f ca="1">IFERROR(__xludf.DUMMYFUNCTION("""COMPUTED_VALUE"""),"Abu Dhabi&gt;Al Reem Island&gt;Shams Abu Dhabi&gt;Mangrove Place")</f>
        <v>Abu Dhabi&gt;Al Reem Island&gt;Shams Abu Dhabi&gt;Mangrove Place</v>
      </c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</row>
    <row r="5409" spans="1:26" ht="16.5" x14ac:dyDescent="0.35">
      <c r="A5409" s="2" t="str">
        <f ca="1">IFERROR(__xludf.DUMMYFUNCTION("""COMPUTED_VALUE"""),"Abu Dhabi")</f>
        <v>Abu Dhabi</v>
      </c>
      <c r="B5409" s="2" t="str">
        <f ca="1">IFERROR(__xludf.DUMMYFUNCTION("""COMPUTED_VALUE"""),"Addax Marina Tower")</f>
        <v>Addax Marina Tower</v>
      </c>
      <c r="C5409" s="2" t="str">
        <f ca="1">IFERROR(__xludf.DUMMYFUNCTION("""COMPUTED_VALUE"""),"Building")</f>
        <v>Building</v>
      </c>
      <c r="D5409" s="2" t="str">
        <f ca="1">IFERROR(__xludf.DUMMYFUNCTION("""COMPUTED_VALUE"""),"Abu Dhabi&gt;Al Reem Island&gt;Addax Port&gt;Addax Marina Tower")</f>
        <v>Abu Dhabi&gt;Al Reem Island&gt;Addax Port&gt;Addax Marina Tower</v>
      </c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</row>
    <row r="5410" spans="1:26" ht="16.5" x14ac:dyDescent="0.35">
      <c r="A5410" s="2" t="str">
        <f ca="1">IFERROR(__xludf.DUMMYFUNCTION("""COMPUTED_VALUE"""),"Abu Dhabi")</f>
        <v>Abu Dhabi</v>
      </c>
      <c r="B5410" s="2" t="str">
        <f ca="1">IFERROR(__xludf.DUMMYFUNCTION("""COMPUTED_VALUE"""),"Marina Rise")</f>
        <v>Marina Rise</v>
      </c>
      <c r="C5410" s="2" t="str">
        <f ca="1">IFERROR(__xludf.DUMMYFUNCTION("""COMPUTED_VALUE"""),"Building")</f>
        <v>Building</v>
      </c>
      <c r="D5410" s="2" t="str">
        <f ca="1">IFERROR(__xludf.DUMMYFUNCTION("""COMPUTED_VALUE"""),"Abu Dhabi&gt;Al Reem Island&gt;Marina Rise")</f>
        <v>Abu Dhabi&gt;Al Reem Island&gt;Marina Rise</v>
      </c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</row>
    <row r="5411" spans="1:26" ht="16.5" x14ac:dyDescent="0.35">
      <c r="A5411" s="2" t="str">
        <f ca="1">IFERROR(__xludf.DUMMYFUNCTION("""COMPUTED_VALUE"""),"Abu Dhabi")</f>
        <v>Abu Dhabi</v>
      </c>
      <c r="B5411" s="2" t="str">
        <f ca="1">IFERROR(__xludf.DUMMYFUNCTION("""COMPUTED_VALUE"""),"Reem Village")</f>
        <v>Reem Village</v>
      </c>
      <c r="C5411" s="2" t="str">
        <f ca="1">IFERROR(__xludf.DUMMYFUNCTION("""COMPUTED_VALUE"""),"Neighbourhood")</f>
        <v>Neighbourhood</v>
      </c>
      <c r="D5411" s="2" t="str">
        <f ca="1">IFERROR(__xludf.DUMMYFUNCTION("""COMPUTED_VALUE"""),"Abu Dhabi&gt;Al Reem Island&gt;Reem Village")</f>
        <v>Abu Dhabi&gt;Al Reem Island&gt;Reem Village</v>
      </c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</row>
    <row r="5412" spans="1:26" ht="16.5" x14ac:dyDescent="0.35">
      <c r="A5412" s="2" t="str">
        <f ca="1">IFERROR(__xludf.DUMMYFUNCTION("""COMPUTED_VALUE"""),"Abu Dhabi")</f>
        <v>Abu Dhabi</v>
      </c>
      <c r="B5412" s="2" t="str">
        <f ca="1">IFERROR(__xludf.DUMMYFUNCTION("""COMPUTED_VALUE"""),"Emirates Tower")</f>
        <v>Emirates Tower</v>
      </c>
      <c r="C5412" s="2" t="str">
        <f ca="1">IFERROR(__xludf.DUMMYFUNCTION("""COMPUTED_VALUE"""),"Building")</f>
        <v>Building</v>
      </c>
      <c r="D5412" s="2" t="str">
        <f ca="1">IFERROR(__xludf.DUMMYFUNCTION("""COMPUTED_VALUE"""),"Abu Dhabi&gt;Hamdan Street&gt;Emirates Tower")</f>
        <v>Abu Dhabi&gt;Hamdan Street&gt;Emirates Tower</v>
      </c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</row>
    <row r="5413" spans="1:26" ht="16.5" x14ac:dyDescent="0.35">
      <c r="A5413" s="2" t="str">
        <f ca="1">IFERROR(__xludf.DUMMYFUNCTION("""COMPUTED_VALUE"""),"Abu Dhabi")</f>
        <v>Abu Dhabi</v>
      </c>
      <c r="B5413" s="2" t="str">
        <f ca="1">IFERROR(__xludf.DUMMYFUNCTION("""COMPUTED_VALUE"""),"Crescent Towers")</f>
        <v>Crescent Towers</v>
      </c>
      <c r="C5413" s="2" t="str">
        <f ca="1">IFERROR(__xludf.DUMMYFUNCTION("""COMPUTED_VALUE"""),"Cluster")</f>
        <v>Cluster</v>
      </c>
      <c r="D5413" s="2" t="str">
        <f ca="1">IFERROR(__xludf.DUMMYFUNCTION("""COMPUTED_VALUE"""),"Abu Dhabi&gt;Al Khalidiyah&gt;Crescent Towers")</f>
        <v>Abu Dhabi&gt;Al Khalidiyah&gt;Crescent Towers</v>
      </c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</row>
    <row r="5414" spans="1:26" ht="16.5" x14ac:dyDescent="0.35">
      <c r="A5414" s="2" t="str">
        <f ca="1">IFERROR(__xludf.DUMMYFUNCTION("""COMPUTED_VALUE"""),"Abu Dhabi")</f>
        <v>Abu Dhabi</v>
      </c>
      <c r="B5414" s="2" t="str">
        <f ca="1">IFERROR(__xludf.DUMMYFUNCTION("""COMPUTED_VALUE"""),"Al Shohub Private School")</f>
        <v>Al Shohub Private School</v>
      </c>
      <c r="C5414" s="2" t="str">
        <f ca="1">IFERROR(__xludf.DUMMYFUNCTION("""COMPUTED_VALUE"""),"School")</f>
        <v>School</v>
      </c>
      <c r="D5414" s="2" t="str">
        <f ca="1">IFERROR(__xludf.DUMMYFUNCTION("""COMPUTED_VALUE"""),"Abu Dhabi&gt;Khalifa City&gt;Al Shohub Private School")</f>
        <v>Abu Dhabi&gt;Khalifa City&gt;Al Shohub Private School</v>
      </c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</row>
    <row r="5415" spans="1:26" ht="16.5" x14ac:dyDescent="0.35">
      <c r="A5415" s="2" t="str">
        <f ca="1">IFERROR(__xludf.DUMMYFUNCTION("""COMPUTED_VALUE"""),"Abu Dhabi")</f>
        <v>Abu Dhabi</v>
      </c>
      <c r="B5415" s="2" t="str">
        <f ca="1">IFERROR(__xludf.DUMMYFUNCTION("""COMPUTED_VALUE"""),"Al Dana Compound")</f>
        <v>Al Dana Compound</v>
      </c>
      <c r="C5415" s="2" t="str">
        <f ca="1">IFERROR(__xludf.DUMMYFUNCTION("""COMPUTED_VALUE"""),"Neighbourhood")</f>
        <v>Neighbourhood</v>
      </c>
      <c r="D5415" s="2" t="str">
        <f ca="1">IFERROR(__xludf.DUMMYFUNCTION("""COMPUTED_VALUE"""),"Abu Dhabi&gt;Khalifa City&gt;Al Dana Compound")</f>
        <v>Abu Dhabi&gt;Khalifa City&gt;Al Dana Compound</v>
      </c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</row>
    <row r="5416" spans="1:26" ht="16.5" x14ac:dyDescent="0.35">
      <c r="A5416" s="2" t="str">
        <f ca="1">IFERROR(__xludf.DUMMYFUNCTION("""COMPUTED_VALUE"""),"Abu Dhabi")</f>
        <v>Abu Dhabi</v>
      </c>
      <c r="B5416" s="2" t="str">
        <f ca="1">IFERROR(__xludf.DUMMYFUNCTION("""COMPUTED_VALUE"""),"C 19")</f>
        <v>C 19</v>
      </c>
      <c r="C5416" s="2" t="str">
        <f ca="1">IFERROR(__xludf.DUMMYFUNCTION("""COMPUTED_VALUE"""),"Building")</f>
        <v>Building</v>
      </c>
      <c r="D5416" s="2" t="str">
        <f ca="1">IFERROR(__xludf.DUMMYFUNCTION("""COMPUTED_VALUE"""),"Abu Dhabi&gt;Al Markaziya&gt;C 19")</f>
        <v>Abu Dhabi&gt;Al Markaziya&gt;C 19</v>
      </c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</row>
    <row r="5417" spans="1:26" ht="16.5" x14ac:dyDescent="0.35">
      <c r="A5417" s="2" t="str">
        <f ca="1">IFERROR(__xludf.DUMMYFUNCTION("""COMPUTED_VALUE"""),"Abu Dhabi")</f>
        <v>Abu Dhabi</v>
      </c>
      <c r="B5417" s="2" t="str">
        <f ca="1">IFERROR(__xludf.DUMMYFUNCTION("""COMPUTED_VALUE"""),"Al Buhayra Village")</f>
        <v>Al Buhayra Village</v>
      </c>
      <c r="C5417" s="2"/>
      <c r="D5417" s="2" t="str">
        <f ca="1">IFERROR(__xludf.DUMMYFUNCTION("""COMPUTED_VALUE"""),"Abu Dhabi&gt;Al Ghadeer&gt;Al Buhayra Village")</f>
        <v>Abu Dhabi&gt;Al Ghadeer&gt;Al Buhayra Village</v>
      </c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</row>
    <row r="5418" spans="1:26" ht="16.5" x14ac:dyDescent="0.35">
      <c r="A5418" s="2" t="str">
        <f ca="1">IFERROR(__xludf.DUMMYFUNCTION("""COMPUTED_VALUE"""),"Abu Dhabi")</f>
        <v>Abu Dhabi</v>
      </c>
      <c r="B5418" s="2" t="str">
        <f ca="1">IFERROR(__xludf.DUMMYFUNCTION("""COMPUTED_VALUE"""),"Mamsha Al Saadiyat")</f>
        <v>Mamsha Al Saadiyat</v>
      </c>
      <c r="C5418" s="2" t="str">
        <f ca="1">IFERROR(__xludf.DUMMYFUNCTION("""COMPUTED_VALUE"""),"Neighbourhood")</f>
        <v>Neighbourhood</v>
      </c>
      <c r="D5418" s="2" t="str">
        <f ca="1">IFERROR(__xludf.DUMMYFUNCTION("""COMPUTED_VALUE"""),"Abu Dhabi&gt;Saadiyat Island&gt;Saadiyat Cultural District&gt;Mamsha Al Saadiyat")</f>
        <v>Abu Dhabi&gt;Saadiyat Island&gt;Saadiyat Cultural District&gt;Mamsha Al Saadiyat</v>
      </c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</row>
    <row r="5419" spans="1:26" ht="16.5" x14ac:dyDescent="0.35">
      <c r="A5419" s="2" t="str">
        <f ca="1">IFERROR(__xludf.DUMMYFUNCTION("""COMPUTED_VALUE"""),"Abu Dhabi")</f>
        <v>Abu Dhabi</v>
      </c>
      <c r="B5419" s="2" t="str">
        <f ca="1">IFERROR(__xludf.DUMMYFUNCTION("""COMPUTED_VALUE"""),"Nasayem Complex")</f>
        <v>Nasayem Complex</v>
      </c>
      <c r="C5419" s="2" t="str">
        <f ca="1">IFERROR(__xludf.DUMMYFUNCTION("""COMPUTED_VALUE"""),"Cluster")</f>
        <v>Cluster</v>
      </c>
      <c r="D5419" s="2" t="str">
        <f ca="1">IFERROR(__xludf.DUMMYFUNCTION("""COMPUTED_VALUE"""),"Abu Dhabi&gt;Saadiyat Island&gt;Saadiyat Al Marina&gt;Nasayem Complex")</f>
        <v>Abu Dhabi&gt;Saadiyat Island&gt;Saadiyat Al Marina&gt;Nasayem Complex</v>
      </c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</row>
    <row r="5420" spans="1:26" ht="16.5" x14ac:dyDescent="0.35">
      <c r="A5420" s="2" t="str">
        <f ca="1">IFERROR(__xludf.DUMMYFUNCTION("""COMPUTED_VALUE"""),"Abu Dhabi")</f>
        <v>Abu Dhabi</v>
      </c>
      <c r="B5420" s="2" t="str">
        <f ca="1">IFERROR(__xludf.DUMMYFUNCTION("""COMPUTED_VALUE"""),"St Regis Residences Block 2")</f>
        <v>St Regis Residences Block 2</v>
      </c>
      <c r="C5420" s="2" t="str">
        <f ca="1">IFERROR(__xludf.DUMMYFUNCTION("""COMPUTED_VALUE"""),"Building")</f>
        <v>Building</v>
      </c>
      <c r="D5420" s="2" t="str">
        <f ca="1">IFERROR(__xludf.DUMMYFUNCTION("""COMPUTED_VALUE"""),"Abu Dhabi&gt;Saadiyat Island&gt;Saadiyat Beach&gt;Saadiyat St Regis Residences&gt;St Regis Residences Block 2")</f>
        <v>Abu Dhabi&gt;Saadiyat Island&gt;Saadiyat Beach&gt;Saadiyat St Regis Residences&gt;St Regis Residences Block 2</v>
      </c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</row>
    <row r="5421" spans="1:26" ht="16.5" x14ac:dyDescent="0.35">
      <c r="A5421" s="2" t="str">
        <f ca="1">IFERROR(__xludf.DUMMYFUNCTION("""COMPUTED_VALUE"""),"Abu Dhabi")</f>
        <v>Abu Dhabi</v>
      </c>
      <c r="B5421" s="2" t="str">
        <f ca="1">IFERROR(__xludf.DUMMYFUNCTION("""COMPUTED_VALUE"""),"Canal View Building")</f>
        <v>Canal View Building</v>
      </c>
      <c r="C5421" s="2" t="str">
        <f ca="1">IFERROR(__xludf.DUMMYFUNCTION("""COMPUTED_VALUE"""),"Building")</f>
        <v>Building</v>
      </c>
      <c r="D5421" s="2" t="str">
        <f ca="1">IFERROR(__xludf.DUMMYFUNCTION("""COMPUTED_VALUE"""),"Abu Dhabi&gt;Al Raha Beach&gt;Canal View Building")</f>
        <v>Abu Dhabi&gt;Al Raha Beach&gt;Canal View Building</v>
      </c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</row>
    <row r="5422" spans="1:26" ht="16.5" x14ac:dyDescent="0.35">
      <c r="A5422" s="2" t="str">
        <f ca="1">IFERROR(__xludf.DUMMYFUNCTION("""COMPUTED_VALUE"""),"Abu Dhabi")</f>
        <v>Abu Dhabi</v>
      </c>
      <c r="B5422" s="2" t="str">
        <f ca="1">IFERROR(__xludf.DUMMYFUNCTION("""COMPUTED_VALUE"""),"Al Bandar")</f>
        <v>Al Bandar</v>
      </c>
      <c r="C5422" s="2" t="str">
        <f ca="1">IFERROR(__xludf.DUMMYFUNCTION("""COMPUTED_VALUE"""),"Neighbourhood")</f>
        <v>Neighbourhood</v>
      </c>
      <c r="D5422" s="2" t="str">
        <f ca="1">IFERROR(__xludf.DUMMYFUNCTION("""COMPUTED_VALUE"""),"Abu Dhabi&gt;Al Raha Beach&gt;Al Bandar")</f>
        <v>Abu Dhabi&gt;Al Raha Beach&gt;Al Bandar</v>
      </c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</row>
    <row r="5423" spans="1:26" ht="16.5" x14ac:dyDescent="0.35">
      <c r="A5423" s="2" t="str">
        <f ca="1">IFERROR(__xludf.DUMMYFUNCTION("""COMPUTED_VALUE"""),"Abu Dhabi")</f>
        <v>Abu Dhabi</v>
      </c>
      <c r="B5423" s="2" t="str">
        <f ca="1">IFERROR(__xludf.DUMMYFUNCTION("""COMPUTED_VALUE"""),"C2629 Building")</f>
        <v>C2629 Building</v>
      </c>
      <c r="C5423" s="2" t="str">
        <f ca="1">IFERROR(__xludf.DUMMYFUNCTION("""COMPUTED_VALUE"""),"Building")</f>
        <v>Building</v>
      </c>
      <c r="D5423" s="2" t="str">
        <f ca="1">IFERROR(__xludf.DUMMYFUNCTION("""COMPUTED_VALUE"""),"Abu Dhabi&gt;Al Raha Beach&gt;Al Dana&gt;C2629 Building")</f>
        <v>Abu Dhabi&gt;Al Raha Beach&gt;Al Dana&gt;C2629 Building</v>
      </c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</row>
    <row r="5424" spans="1:26" ht="16.5" x14ac:dyDescent="0.35">
      <c r="A5424" s="2" t="str">
        <f ca="1">IFERROR(__xludf.DUMMYFUNCTION("""COMPUTED_VALUE"""),"Abu Dhabi")</f>
        <v>Abu Dhabi</v>
      </c>
      <c r="B5424" s="2" t="str">
        <f ca="1">IFERROR(__xludf.DUMMYFUNCTION("""COMPUTED_VALUE"""),"P-2612")</f>
        <v>P-2612</v>
      </c>
      <c r="C5424" s="2" t="str">
        <f ca="1">IFERROR(__xludf.DUMMYFUNCTION("""COMPUTED_VALUE"""),"Building")</f>
        <v>Building</v>
      </c>
      <c r="D5424" s="2" t="str">
        <f ca="1">IFERROR(__xludf.DUMMYFUNCTION("""COMPUTED_VALUE"""),"Abu Dhabi&gt;Al Raha Beach&gt;P-2612")</f>
        <v>Abu Dhabi&gt;Al Raha Beach&gt;P-2612</v>
      </c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</row>
    <row r="5425" spans="1:26" ht="16.5" x14ac:dyDescent="0.35">
      <c r="A5425" s="2" t="str">
        <f ca="1">IFERROR(__xludf.DUMMYFUNCTION("""COMPUTED_VALUE"""),"Abu Dhabi")</f>
        <v>Abu Dhabi</v>
      </c>
      <c r="B5425" s="2" t="str">
        <f ca="1">IFERROR(__xludf.DUMMYFUNCTION("""COMPUTED_VALUE"""),"Muroor Road")</f>
        <v>Muroor Road</v>
      </c>
      <c r="C5425" s="2" t="str">
        <f ca="1">IFERROR(__xludf.DUMMYFUNCTION("""COMPUTED_VALUE"""),"Neighbourhood")</f>
        <v>Neighbourhood</v>
      </c>
      <c r="D5425" s="2" t="str">
        <f ca="1">IFERROR(__xludf.DUMMYFUNCTION("""COMPUTED_VALUE"""),"Abu Dhabi&gt;Al Muroor&gt;Muroor Road")</f>
        <v>Abu Dhabi&gt;Al Muroor&gt;Muroor Road</v>
      </c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</row>
    <row r="5426" spans="1:26" ht="16.5" x14ac:dyDescent="0.35">
      <c r="A5426" s="2" t="str">
        <f ca="1">IFERROR(__xludf.DUMMYFUNCTION("""COMPUTED_VALUE"""),"Abu Dhabi")</f>
        <v>Abu Dhabi</v>
      </c>
      <c r="B5426" s="2" t="str">
        <f ca="1">IFERROR(__xludf.DUMMYFUNCTION("""COMPUTED_VALUE"""),"Emirates National Schools MBZ")</f>
        <v>Emirates National Schools MBZ</v>
      </c>
      <c r="C5426" s="2" t="str">
        <f ca="1">IFERROR(__xludf.DUMMYFUNCTION("""COMPUTED_VALUE"""),"School")</f>
        <v>School</v>
      </c>
      <c r="D5426" s="2" t="str">
        <f ca="1">IFERROR(__xludf.DUMMYFUNCTION("""COMPUTED_VALUE"""),"Abu Dhabi&gt;Mohamed Bin Zayed City&gt;Emirates National Schools MBZ")</f>
        <v>Abu Dhabi&gt;Mohamed Bin Zayed City&gt;Emirates National Schools MBZ</v>
      </c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</row>
    <row r="5427" spans="1:26" ht="16.5" x14ac:dyDescent="0.35">
      <c r="A5427" s="2" t="str">
        <f ca="1">IFERROR(__xludf.DUMMYFUNCTION("""COMPUTED_VALUE"""),"Abu Dhabi")</f>
        <v>Abu Dhabi</v>
      </c>
      <c r="B5427" s="2" t="str">
        <f ca="1">IFERROR(__xludf.DUMMYFUNCTION("""COMPUTED_VALUE"""),"Zone 34")</f>
        <v>Zone 34</v>
      </c>
      <c r="C5427" s="2" t="str">
        <f ca="1">IFERROR(__xludf.DUMMYFUNCTION("""COMPUTED_VALUE"""),"Neighbourhood")</f>
        <v>Neighbourhood</v>
      </c>
      <c r="D5427" s="2" t="str">
        <f ca="1">IFERROR(__xludf.DUMMYFUNCTION("""COMPUTED_VALUE"""),"Abu Dhabi&gt;Mohamed Bin Zayed City&gt;Zone 34")</f>
        <v>Abu Dhabi&gt;Mohamed Bin Zayed City&gt;Zone 34</v>
      </c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</row>
    <row r="5428" spans="1:26" ht="16.5" x14ac:dyDescent="0.35">
      <c r="A5428" s="2" t="str">
        <f ca="1">IFERROR(__xludf.DUMMYFUNCTION("""COMPUTED_VALUE"""),"Abu Dhabi")</f>
        <v>Abu Dhabi</v>
      </c>
      <c r="B5428" s="2" t="str">
        <f ca="1">IFERROR(__xludf.DUMMYFUNCTION("""COMPUTED_VALUE"""),"Shabiya 11")</f>
        <v>Shabiya 11</v>
      </c>
      <c r="C5428" s="2" t="str">
        <f ca="1">IFERROR(__xludf.DUMMYFUNCTION("""COMPUTED_VALUE"""),"Neighbourhood")</f>
        <v>Neighbourhood</v>
      </c>
      <c r="D5428" s="2" t="str">
        <f ca="1">IFERROR(__xludf.DUMMYFUNCTION("""COMPUTED_VALUE"""),"Abu Dhabi&gt;Mohamed Bin Zayed City&gt;Mussafah Community&gt;Shabiya 11")</f>
        <v>Abu Dhabi&gt;Mohamed Bin Zayed City&gt;Mussafah Community&gt;Shabiya 11</v>
      </c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</row>
    <row r="5429" spans="1:26" ht="16.5" x14ac:dyDescent="0.35">
      <c r="A5429" s="2" t="str">
        <f ca="1">IFERROR(__xludf.DUMMYFUNCTION("""COMPUTED_VALUE"""),"Abu Dhabi")</f>
        <v>Abu Dhabi</v>
      </c>
      <c r="B5429" s="2" t="str">
        <f ca="1">IFERROR(__xludf.DUMMYFUNCTION("""COMPUTED_VALUE"""),"Building 1")</f>
        <v>Building 1</v>
      </c>
      <c r="C5429" s="2" t="str">
        <f ca="1">IFERROR(__xludf.DUMMYFUNCTION("""COMPUTED_VALUE"""),"Building")</f>
        <v>Building</v>
      </c>
      <c r="D5429" s="2" t="str">
        <f ca="1">IFERROR(__xludf.DUMMYFUNCTION("""COMPUTED_VALUE"""),"Abu Dhabi&gt;Al Reef&gt;Al Reef Downtown&gt;Building 1")</f>
        <v>Abu Dhabi&gt;Al Reef&gt;Al Reef Downtown&gt;Building 1</v>
      </c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</row>
    <row r="5430" spans="1:26" ht="16.5" x14ac:dyDescent="0.35">
      <c r="A5430" s="2" t="str">
        <f ca="1">IFERROR(__xludf.DUMMYFUNCTION("""COMPUTED_VALUE"""),"Abu Dhabi")</f>
        <v>Abu Dhabi</v>
      </c>
      <c r="B5430" s="2" t="str">
        <f ca="1">IFERROR(__xludf.DUMMYFUNCTION("""COMPUTED_VALUE"""),"Zone 6")</f>
        <v>Zone 6</v>
      </c>
      <c r="C5430" s="2" t="str">
        <f ca="1">IFERROR(__xludf.DUMMYFUNCTION("""COMPUTED_VALUE"""),"Neighbourhood")</f>
        <v>Neighbourhood</v>
      </c>
      <c r="D5430" s="2" t="str">
        <f ca="1">IFERROR(__xludf.DUMMYFUNCTION("""COMPUTED_VALUE"""),"Abu Dhabi&gt;Hydra Village&gt;Zone 6")</f>
        <v>Abu Dhabi&gt;Hydra Village&gt;Zone 6</v>
      </c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</row>
    <row r="5431" spans="1:26" ht="16.5" x14ac:dyDescent="0.35">
      <c r="A5431" s="2" t="str">
        <f ca="1">IFERROR(__xludf.DUMMYFUNCTION("""COMPUTED_VALUE"""),"Abu Dhabi")</f>
        <v>Abu Dhabi</v>
      </c>
      <c r="B5431" s="2" t="str">
        <f ca="1">IFERROR(__xludf.DUMMYFUNCTION("""COMPUTED_VALUE"""),"C76 Building")</f>
        <v>C76 Building</v>
      </c>
      <c r="C5431" s="2" t="str">
        <f ca="1">IFERROR(__xludf.DUMMYFUNCTION("""COMPUTED_VALUE"""),"Building")</f>
        <v>Building</v>
      </c>
      <c r="D5431" s="2" t="str">
        <f ca="1">IFERROR(__xludf.DUMMYFUNCTION("""COMPUTED_VALUE"""),"Abu Dhabi&gt;Rawdhat Abu Dhabi&gt;C76 Building")</f>
        <v>Abu Dhabi&gt;Rawdhat Abu Dhabi&gt;C76 Building</v>
      </c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</row>
    <row r="5432" spans="1:26" ht="16.5" x14ac:dyDescent="0.35">
      <c r="A5432" s="2" t="str">
        <f ca="1">IFERROR(__xludf.DUMMYFUNCTION("""COMPUTED_VALUE"""),"Abu Dhabi")</f>
        <v>Abu Dhabi</v>
      </c>
      <c r="B5432" s="2" t="str">
        <f ca="1">IFERROR(__xludf.DUMMYFUNCTION("""COMPUTED_VALUE"""),"Zayed Military City Tower 9")</f>
        <v>Zayed Military City Tower 9</v>
      </c>
      <c r="C5432" s="2" t="str">
        <f ca="1">IFERROR(__xludf.DUMMYFUNCTION("""COMPUTED_VALUE"""),"Building")</f>
        <v>Building</v>
      </c>
      <c r="D5432" s="2" t="str">
        <f ca="1">IFERROR(__xludf.DUMMYFUNCTION("""COMPUTED_VALUE"""),"Abu Dhabi&gt;Zayed Military City&gt;Zayed Military City Tower 9")</f>
        <v>Abu Dhabi&gt;Zayed Military City&gt;Zayed Military City Tower 9</v>
      </c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</row>
    <row r="5433" spans="1:26" ht="16.5" x14ac:dyDescent="0.35">
      <c r="A5433" s="2" t="str">
        <f ca="1">IFERROR(__xludf.DUMMYFUNCTION("""COMPUTED_VALUE"""),"Abu Dhabi")</f>
        <v>Abu Dhabi</v>
      </c>
      <c r="B5433" s="2" t="str">
        <f ca="1">IFERROR(__xludf.DUMMYFUNCTION("""COMPUTED_VALUE"""),"Mayan 1")</f>
        <v>Mayan 1</v>
      </c>
      <c r="C5433" s="2" t="str">
        <f ca="1">IFERROR(__xludf.DUMMYFUNCTION("""COMPUTED_VALUE"""),"Building")</f>
        <v>Building</v>
      </c>
      <c r="D5433" s="2" t="str">
        <f ca="1">IFERROR(__xludf.DUMMYFUNCTION("""COMPUTED_VALUE"""),"Abu Dhabi&gt;Yas Island&gt;Mayan&gt;Mayan 1")</f>
        <v>Abu Dhabi&gt;Yas Island&gt;Mayan&gt;Mayan 1</v>
      </c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</row>
    <row r="5434" spans="1:26" ht="16.5" x14ac:dyDescent="0.35">
      <c r="A5434" s="2" t="str">
        <f ca="1">IFERROR(__xludf.DUMMYFUNCTION("""COMPUTED_VALUE"""),"Abu Dhabi")</f>
        <v>Abu Dhabi</v>
      </c>
      <c r="B5434" s="2" t="str">
        <f ca="1">IFERROR(__xludf.DUMMYFUNCTION("""COMPUTED_VALUE"""),"Sea La Vie")</f>
        <v>Sea La Vie</v>
      </c>
      <c r="C5434" s="2" t="str">
        <f ca="1">IFERROR(__xludf.DUMMYFUNCTION("""COMPUTED_VALUE"""),"Cluster")</f>
        <v>Cluster</v>
      </c>
      <c r="D5434" s="2" t="str">
        <f ca="1">IFERROR(__xludf.DUMMYFUNCTION("""COMPUTED_VALUE"""),"Abu Dhabi&gt;Yas Island&gt;Sea La Vie")</f>
        <v>Abu Dhabi&gt;Yas Island&gt;Sea La Vie</v>
      </c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</row>
    <row r="5435" spans="1:26" ht="16.5" x14ac:dyDescent="0.35">
      <c r="A5435" s="2" t="str">
        <f ca="1">IFERROR(__xludf.DUMMYFUNCTION("""COMPUTED_VALUE"""),"Abu Dhabi")</f>
        <v>Abu Dhabi</v>
      </c>
      <c r="B5435" s="2" t="str">
        <f ca="1">IFERROR(__xludf.DUMMYFUNCTION("""COMPUTED_VALUE"""),"Muwaylih")</f>
        <v>Muwaylih</v>
      </c>
      <c r="C5435" s="2" t="str">
        <f ca="1">IFERROR(__xludf.DUMMYFUNCTION("""COMPUTED_VALUE"""),"Neighbourhood")</f>
        <v>Neighbourhood</v>
      </c>
      <c r="D5435" s="2" t="str">
        <f ca="1">IFERROR(__xludf.DUMMYFUNCTION("""COMPUTED_VALUE"""),"Abu Dhabi&gt;Muwaylih")</f>
        <v>Abu Dhabi&gt;Muwaylih</v>
      </c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</row>
    <row r="5436" spans="1:26" ht="16.5" x14ac:dyDescent="0.35">
      <c r="A5436" s="2" t="str">
        <f ca="1">IFERROR(__xludf.DUMMYFUNCTION("""COMPUTED_VALUE"""),"Abu Dhabi")</f>
        <v>Abu Dhabi</v>
      </c>
      <c r="B5436" s="2" t="str">
        <f ca="1">IFERROR(__xludf.DUMMYFUNCTION("""COMPUTED_VALUE"""),"The Kanoo Group")</f>
        <v>The Kanoo Group</v>
      </c>
      <c r="C5436" s="2" t="str">
        <f ca="1">IFERROR(__xludf.DUMMYFUNCTION("""COMPUTED_VALUE"""),"Building")</f>
        <v>Building</v>
      </c>
      <c r="D5436" s="2" t="str">
        <f ca="1">IFERROR(__xludf.DUMMYFUNCTION("""COMPUTED_VALUE"""),"Abu Dhabi&gt;Abu Dhabi Industrial City&gt;The Kanoo Group")</f>
        <v>Abu Dhabi&gt;Abu Dhabi Industrial City&gt;The Kanoo Group</v>
      </c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</row>
    <row r="5437" spans="1:26" ht="16.5" x14ac:dyDescent="0.35">
      <c r="A5437" s="2" t="str">
        <f ca="1">IFERROR(__xludf.DUMMYFUNCTION("""COMPUTED_VALUE"""),"Ajman")</f>
        <v>Ajman</v>
      </c>
      <c r="B5437" s="2" t="str">
        <f ca="1">IFERROR(__xludf.DUMMYFUNCTION("""COMPUTED_VALUE"""),"Paradise Lakes")</f>
        <v>Paradise Lakes</v>
      </c>
      <c r="C5437" s="2" t="str">
        <f ca="1">IFERROR(__xludf.DUMMYFUNCTION("""COMPUTED_VALUE"""),"Cluster")</f>
        <v>Cluster</v>
      </c>
      <c r="D5437" s="2" t="str">
        <f ca="1">IFERROR(__xludf.DUMMYFUNCTION("""COMPUTED_VALUE"""),"Ajman&gt;Emirates City&gt;Paradise Lakes")</f>
        <v>Ajman&gt;Emirates City&gt;Paradise Lakes</v>
      </c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</row>
    <row r="5438" spans="1:26" ht="16.5" x14ac:dyDescent="0.35">
      <c r="A5438" s="2" t="str">
        <f ca="1">IFERROR(__xludf.DUMMYFUNCTION("""COMPUTED_VALUE"""),"Ajman")</f>
        <v>Ajman</v>
      </c>
      <c r="B5438" s="2" t="str">
        <f ca="1">IFERROR(__xludf.DUMMYFUNCTION("""COMPUTED_VALUE"""),"Rainbow Tower")</f>
        <v>Rainbow Tower</v>
      </c>
      <c r="C5438" s="2" t="str">
        <f ca="1">IFERROR(__xludf.DUMMYFUNCTION("""COMPUTED_VALUE"""),"Building")</f>
        <v>Building</v>
      </c>
      <c r="D5438" s="2" t="str">
        <f ca="1">IFERROR(__xludf.DUMMYFUNCTION("""COMPUTED_VALUE"""),"Ajman&gt;Emirates City&gt;Rainbow Tower")</f>
        <v>Ajman&gt;Emirates City&gt;Rainbow Tower</v>
      </c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</row>
    <row r="5439" spans="1:26" ht="16.5" x14ac:dyDescent="0.35">
      <c r="A5439" s="2" t="str">
        <f ca="1">IFERROR(__xludf.DUMMYFUNCTION("""COMPUTED_VALUE"""),"Ajman")</f>
        <v>Ajman</v>
      </c>
      <c r="B5439" s="2" t="str">
        <f ca="1">IFERROR(__xludf.DUMMYFUNCTION("""COMPUTED_VALUE"""),"Al Jurf")</f>
        <v>Al Jurf</v>
      </c>
      <c r="C5439" s="2" t="str">
        <f ca="1">IFERROR(__xludf.DUMMYFUNCTION("""COMPUTED_VALUE"""),"Neighbourhood")</f>
        <v>Neighbourhood</v>
      </c>
      <c r="D5439" s="2" t="str">
        <f ca="1">IFERROR(__xludf.DUMMYFUNCTION("""COMPUTED_VALUE"""),"Ajman&gt;Al Jurf")</f>
        <v>Ajman&gt;Al Jurf</v>
      </c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</row>
    <row r="5440" spans="1:26" ht="16.5" x14ac:dyDescent="0.35">
      <c r="A5440" s="2" t="str">
        <f ca="1">IFERROR(__xludf.DUMMYFUNCTION("""COMPUTED_VALUE"""),"Ajman")</f>
        <v>Ajman</v>
      </c>
      <c r="B5440" s="2" t="str">
        <f ca="1">IFERROR(__xludf.DUMMYFUNCTION("""COMPUTED_VALUE"""),"Horizon Tower B")</f>
        <v>Horizon Tower B</v>
      </c>
      <c r="C5440" s="2" t="str">
        <f ca="1">IFERROR(__xludf.DUMMYFUNCTION("""COMPUTED_VALUE"""),"Building")</f>
        <v>Building</v>
      </c>
      <c r="D5440" s="2" t="str">
        <f ca="1">IFERROR(__xludf.DUMMYFUNCTION("""COMPUTED_VALUE"""),"Ajman&gt;Ajman Downtown&gt;Horizon Tower&gt;Horizon Tower B")</f>
        <v>Ajman&gt;Ajman Downtown&gt;Horizon Tower&gt;Horizon Tower B</v>
      </c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</row>
    <row r="5441" spans="1:26" ht="16.5" x14ac:dyDescent="0.35">
      <c r="A5441" s="2" t="str">
        <f ca="1">IFERROR(__xludf.DUMMYFUNCTION("""COMPUTED_VALUE"""),"Ajman")</f>
        <v>Ajman</v>
      </c>
      <c r="B5441" s="2" t="str">
        <f ca="1">IFERROR(__xludf.DUMMYFUNCTION("""COMPUTED_VALUE"""),"Oasis Towers")</f>
        <v>Oasis Towers</v>
      </c>
      <c r="C5441" s="2" t="str">
        <f ca="1">IFERROR(__xludf.DUMMYFUNCTION("""COMPUTED_VALUE"""),"Cluster")</f>
        <v>Cluster</v>
      </c>
      <c r="D5441" s="2" t="str">
        <f ca="1">IFERROR(__xludf.DUMMYFUNCTION("""COMPUTED_VALUE"""),"Ajman&gt;Al Rashidiya&gt;Al Rashidiya 1&gt;Oasis Towers")</f>
        <v>Ajman&gt;Al Rashidiya&gt;Al Rashidiya 1&gt;Oasis Towers</v>
      </c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</row>
    <row r="5442" spans="1:26" ht="16.5" x14ac:dyDescent="0.35">
      <c r="A5442" s="2" t="str">
        <f ca="1">IFERROR(__xludf.DUMMYFUNCTION("""COMPUTED_VALUE"""),"Ajman")</f>
        <v>Ajman</v>
      </c>
      <c r="B5442" s="2" t="str">
        <f ca="1">IFERROR(__xludf.DUMMYFUNCTION("""COMPUTED_VALUE"""),"Ajman One Tower 3")</f>
        <v>Ajman One Tower 3</v>
      </c>
      <c r="C5442" s="2"/>
      <c r="D5442" s="2" t="str">
        <f ca="1">IFERROR(__xludf.DUMMYFUNCTION("""COMPUTED_VALUE"""),"Ajman&gt;Al Rashidiya&gt;Al Rashidiya 3&gt;Ajman One Towers&gt;Ajman One Tower 3")</f>
        <v>Ajman&gt;Al Rashidiya&gt;Al Rashidiya 3&gt;Ajman One Towers&gt;Ajman One Tower 3</v>
      </c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</row>
    <row r="5443" spans="1:26" ht="16.5" x14ac:dyDescent="0.35">
      <c r="A5443" s="2" t="str">
        <f ca="1">IFERROR(__xludf.DUMMYFUNCTION("""COMPUTED_VALUE"""),"Ajman")</f>
        <v>Ajman</v>
      </c>
      <c r="B5443" s="2" t="str">
        <f ca="1">IFERROR(__xludf.DUMMYFUNCTION("""COMPUTED_VALUE"""),"Al Mowaihat")</f>
        <v>Al Mowaihat</v>
      </c>
      <c r="C5443" s="2" t="str">
        <f ca="1">IFERROR(__xludf.DUMMYFUNCTION("""COMPUTED_VALUE"""),"Neighbourhood")</f>
        <v>Neighbourhood</v>
      </c>
      <c r="D5443" s="2" t="str">
        <f ca="1">IFERROR(__xludf.DUMMYFUNCTION("""COMPUTED_VALUE"""),"Ajman&gt;Al Mowaihat")</f>
        <v>Ajman&gt;Al Mowaihat</v>
      </c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</row>
    <row r="5444" spans="1:26" ht="16.5" x14ac:dyDescent="0.35">
      <c r="A5444" s="2" t="str">
        <f ca="1">IFERROR(__xludf.DUMMYFUNCTION("""COMPUTED_VALUE"""),"Ajman")</f>
        <v>Ajman</v>
      </c>
      <c r="B5444" s="2" t="str">
        <f ca="1">IFERROR(__xludf.DUMMYFUNCTION("""COMPUTED_VALUE"""),"Al Hamidiyah")</f>
        <v>Al Hamidiyah</v>
      </c>
      <c r="C5444" s="2" t="str">
        <f ca="1">IFERROR(__xludf.DUMMYFUNCTION("""COMPUTED_VALUE"""),"Neighbourhood")</f>
        <v>Neighbourhood</v>
      </c>
      <c r="D5444" s="2" t="str">
        <f ca="1">IFERROR(__xludf.DUMMYFUNCTION("""COMPUTED_VALUE"""),"Ajman&gt;Al Hamidiyah")</f>
        <v>Ajman&gt;Al Hamidiyah</v>
      </c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</row>
    <row r="5445" spans="1:26" ht="16.5" x14ac:dyDescent="0.35">
      <c r="A5445" s="2" t="str">
        <f ca="1">IFERROR(__xludf.DUMMYFUNCTION("""COMPUTED_VALUE"""),"Ajman")</f>
        <v>Ajman</v>
      </c>
      <c r="B5445" s="2" t="str">
        <f ca="1">IFERROR(__xludf.DUMMYFUNCTION("""COMPUTED_VALUE"""),"Al Ameera Village A3")</f>
        <v>Al Ameera Village A3</v>
      </c>
      <c r="C5445" s="2" t="str">
        <f ca="1">IFERROR(__xludf.DUMMYFUNCTION("""COMPUTED_VALUE"""),"Building")</f>
        <v>Building</v>
      </c>
      <c r="D5445" s="2" t="str">
        <f ca="1">IFERROR(__xludf.DUMMYFUNCTION("""COMPUTED_VALUE"""),"Ajman&gt;Al Yasmeen&gt;Al Ameera Village&gt;Al Ameera Village A3")</f>
        <v>Ajman&gt;Al Yasmeen&gt;Al Ameera Village&gt;Al Ameera Village A3</v>
      </c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</row>
    <row r="5446" spans="1:26" ht="16.5" x14ac:dyDescent="0.35">
      <c r="A5446" s="2" t="str">
        <f ca="1">IFERROR(__xludf.DUMMYFUNCTION("""COMPUTED_VALUE"""),"Ajman")</f>
        <v>Ajman</v>
      </c>
      <c r="B5446" s="2" t="str">
        <f ca="1">IFERROR(__xludf.DUMMYFUNCTION("""COMPUTED_VALUE"""),"Al Nakheel Building")</f>
        <v>Al Nakheel Building</v>
      </c>
      <c r="C5446" s="2" t="str">
        <f ca="1">IFERROR(__xludf.DUMMYFUNCTION("""COMPUTED_VALUE"""),"Building")</f>
        <v>Building</v>
      </c>
      <c r="D5446" s="2" t="str">
        <f ca="1">IFERROR(__xludf.DUMMYFUNCTION("""COMPUTED_VALUE"""),"Ajman&gt;Al Nakhil&gt;Al Nakheel Building")</f>
        <v>Ajman&gt;Al Nakhil&gt;Al Nakheel Building</v>
      </c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</row>
    <row r="5447" spans="1:26" ht="16.5" x14ac:dyDescent="0.35">
      <c r="A5447" s="2" t="str">
        <f ca="1">IFERROR(__xludf.DUMMYFUNCTION("""COMPUTED_VALUE"""),"Ajman")</f>
        <v>Ajman</v>
      </c>
      <c r="B5447" s="2" t="str">
        <f ca="1">IFERROR(__xludf.DUMMYFUNCTION("""COMPUTED_VALUE"""),"Al Owan")</f>
        <v>Al Owan</v>
      </c>
      <c r="C5447" s="2" t="str">
        <f ca="1">IFERROR(__xludf.DUMMYFUNCTION("""COMPUTED_VALUE"""),"Neighbourhood")</f>
        <v>Neighbourhood</v>
      </c>
      <c r="D5447" s="2" t="str">
        <f ca="1">IFERROR(__xludf.DUMMYFUNCTION("""COMPUTED_VALUE"""),"Ajman&gt;Al Owan")</f>
        <v>Ajman&gt;Al Owan</v>
      </c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</row>
    <row r="5448" spans="1:26" ht="16.5" x14ac:dyDescent="0.35">
      <c r="A5448" s="2" t="str">
        <f ca="1">IFERROR(__xludf.DUMMYFUNCTION("""COMPUTED_VALUE"""),"Ajman")</f>
        <v>Ajman</v>
      </c>
      <c r="B5448" s="2" t="str">
        <f ca="1">IFERROR(__xludf.DUMMYFUNCTION("""COMPUTED_VALUE"""),"Al Shorouq Complex")</f>
        <v>Al Shorouq Complex</v>
      </c>
      <c r="C5448" s="2"/>
      <c r="D5448" s="2" t="str">
        <f ca="1">IFERROR(__xludf.DUMMYFUNCTION("""COMPUTED_VALUE"""),"Ajman&gt;Al Nuaimiya&gt;Al Nuaimiya 1&gt;Al Shorouq Complex")</f>
        <v>Ajman&gt;Al Nuaimiya&gt;Al Nuaimiya 1&gt;Al Shorouq Complex</v>
      </c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</row>
    <row r="5449" spans="1:26" ht="16.5" x14ac:dyDescent="0.35">
      <c r="A5449" s="2" t="str">
        <f ca="1">IFERROR(__xludf.DUMMYFUNCTION("""COMPUTED_VALUE"""),"Ajman")</f>
        <v>Ajman</v>
      </c>
      <c r="B5449" s="2" t="str">
        <f ca="1">IFERROR(__xludf.DUMMYFUNCTION("""COMPUTED_VALUE"""),"Uni Heights Tower")</f>
        <v>Uni Heights Tower</v>
      </c>
      <c r="C5449" s="2"/>
      <c r="D5449" s="2" t="str">
        <f ca="1">IFERROR(__xludf.DUMMYFUNCTION("""COMPUTED_VALUE"""),"Ajman&gt;Al Nuaimiya&gt;Uni Heights Tower")</f>
        <v>Ajman&gt;Al Nuaimiya&gt;Uni Heights Tower</v>
      </c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</row>
    <row r="5450" spans="1:26" ht="16.5" x14ac:dyDescent="0.35">
      <c r="A5450" s="2" t="str">
        <f ca="1">IFERROR(__xludf.DUMMYFUNCTION("""COMPUTED_VALUE"""),"Sharjah")</f>
        <v>Sharjah</v>
      </c>
      <c r="B5450" s="2" t="str">
        <f ca="1">IFERROR(__xludf.DUMMYFUNCTION("""COMPUTED_VALUE"""),"Sahara Tower 6")</f>
        <v>Sahara Tower 6</v>
      </c>
      <c r="C5450" s="2" t="str">
        <f ca="1">IFERROR(__xludf.DUMMYFUNCTION("""COMPUTED_VALUE"""),"Building")</f>
        <v>Building</v>
      </c>
      <c r="D5450" s="2" t="str">
        <f ca="1">IFERROR(__xludf.DUMMYFUNCTION("""COMPUTED_VALUE"""),"Sharjah&gt;Al Nahda (Sharjah)&gt;Sahara Towers&gt;Sahara Tower 6")</f>
        <v>Sharjah&gt;Al Nahda (Sharjah)&gt;Sahara Towers&gt;Sahara Tower 6</v>
      </c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</row>
    <row r="5451" spans="1:26" ht="16.5" x14ac:dyDescent="0.35">
      <c r="A5451" s="2" t="str">
        <f ca="1">IFERROR(__xludf.DUMMYFUNCTION("""COMPUTED_VALUE"""),"Sharjah")</f>
        <v>Sharjah</v>
      </c>
      <c r="B5451" s="2" t="str">
        <f ca="1">IFERROR(__xludf.DUMMYFUNCTION("""COMPUTED_VALUE"""),"Al Aneeqa Tower")</f>
        <v>Al Aneeqa Tower</v>
      </c>
      <c r="C5451" s="2"/>
      <c r="D5451" s="2" t="str">
        <f ca="1">IFERROR(__xludf.DUMMYFUNCTION("""COMPUTED_VALUE"""),"Sharjah&gt;Al Nahda (Sharjah)&gt;Al Aneeqa Tower")</f>
        <v>Sharjah&gt;Al Nahda (Sharjah)&gt;Al Aneeqa Tower</v>
      </c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</row>
    <row r="5452" spans="1:26" ht="16.5" x14ac:dyDescent="0.35">
      <c r="A5452" s="2" t="str">
        <f ca="1">IFERROR(__xludf.DUMMYFUNCTION("""COMPUTED_VALUE"""),"Sharjah")</f>
        <v>Sharjah</v>
      </c>
      <c r="B5452" s="2" t="str">
        <f ca="1">IFERROR(__xludf.DUMMYFUNCTION("""COMPUTED_VALUE"""),"Al Jaseeri Building")</f>
        <v>Al Jaseeri Building</v>
      </c>
      <c r="C5452" s="2"/>
      <c r="D5452" s="2" t="str">
        <f ca="1">IFERROR(__xludf.DUMMYFUNCTION("""COMPUTED_VALUE"""),"Sharjah&gt;Al Nahda (Sharjah)&gt;Al Jaseeri Building")</f>
        <v>Sharjah&gt;Al Nahda (Sharjah)&gt;Al Jaseeri Building</v>
      </c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</row>
    <row r="5453" spans="1:26" ht="16.5" x14ac:dyDescent="0.35">
      <c r="A5453" s="2" t="str">
        <f ca="1">IFERROR(__xludf.DUMMYFUNCTION("""COMPUTED_VALUE"""),"Sharjah")</f>
        <v>Sharjah</v>
      </c>
      <c r="B5453" s="2" t="str">
        <f ca="1">IFERROR(__xludf.DUMMYFUNCTION("""COMPUTED_VALUE"""),"Loota Building Al Nahda")</f>
        <v>Loota Building Al Nahda</v>
      </c>
      <c r="C5453" s="2" t="str">
        <f ca="1">IFERROR(__xludf.DUMMYFUNCTION("""COMPUTED_VALUE"""),"Building")</f>
        <v>Building</v>
      </c>
      <c r="D5453" s="2" t="str">
        <f ca="1">IFERROR(__xludf.DUMMYFUNCTION("""COMPUTED_VALUE"""),"Sharjah&gt;Al Nahda (Sharjah)&gt;Loota Building Al Nahda")</f>
        <v>Sharjah&gt;Al Nahda (Sharjah)&gt;Loota Building Al Nahda</v>
      </c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</row>
    <row r="5454" spans="1:26" ht="16.5" x14ac:dyDescent="0.35">
      <c r="A5454" s="2" t="str">
        <f ca="1">IFERROR(__xludf.DUMMYFUNCTION("""COMPUTED_VALUE"""),"Sharjah")</f>
        <v>Sharjah</v>
      </c>
      <c r="B5454" s="2" t="str">
        <f ca="1">IFERROR(__xludf.DUMMYFUNCTION("""COMPUTED_VALUE"""),"Samaya Tower 2")</f>
        <v>Samaya Tower 2</v>
      </c>
      <c r="C5454" s="2" t="str">
        <f ca="1">IFERROR(__xludf.DUMMYFUNCTION("""COMPUTED_VALUE"""),"Building")</f>
        <v>Building</v>
      </c>
      <c r="D5454" s="2" t="str">
        <f ca="1">IFERROR(__xludf.DUMMYFUNCTION("""COMPUTED_VALUE"""),"Sharjah&gt;Al Nahda (Sharjah)&gt;Samaya Tower 2")</f>
        <v>Sharjah&gt;Al Nahda (Sharjah)&gt;Samaya Tower 2</v>
      </c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</row>
    <row r="5455" spans="1:26" ht="16.5" x14ac:dyDescent="0.35">
      <c r="A5455" s="2" t="str">
        <f ca="1">IFERROR(__xludf.DUMMYFUNCTION("""COMPUTED_VALUE"""),"Sharjah")</f>
        <v>Sharjah</v>
      </c>
      <c r="B5455" s="2" t="str">
        <f ca="1">IFERROR(__xludf.DUMMYFUNCTION("""COMPUTED_VALUE"""),"Aljada")</f>
        <v>Aljada</v>
      </c>
      <c r="C5455" s="2" t="str">
        <f ca="1">IFERROR(__xludf.DUMMYFUNCTION("""COMPUTED_VALUE"""),"Neighbourhood")</f>
        <v>Neighbourhood</v>
      </c>
      <c r="D5455" s="2" t="str">
        <f ca="1">IFERROR(__xludf.DUMMYFUNCTION("""COMPUTED_VALUE"""),"Sharjah&gt;Aljada")</f>
        <v>Sharjah&gt;Aljada</v>
      </c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</row>
    <row r="5456" spans="1:26" ht="16.5" x14ac:dyDescent="0.35">
      <c r="A5456" s="2" t="str">
        <f ca="1">IFERROR(__xludf.DUMMYFUNCTION("""COMPUTED_VALUE"""),"Sharjah")</f>
        <v>Sharjah</v>
      </c>
      <c r="B5456" s="2" t="str">
        <f ca="1">IFERROR(__xludf.DUMMYFUNCTION("""COMPUTED_VALUE"""),"Sokoon 4")</f>
        <v>Sokoon 4</v>
      </c>
      <c r="C5456" s="2" t="str">
        <f ca="1">IFERROR(__xludf.DUMMYFUNCTION("""COMPUTED_VALUE"""),"Building")</f>
        <v>Building</v>
      </c>
      <c r="D5456" s="2" t="str">
        <f ca="1">IFERROR(__xludf.DUMMYFUNCTION("""COMPUTED_VALUE"""),"Sharjah&gt;Aljada&gt;Naseej District&gt;Sokoon&gt;Sokoon 4")</f>
        <v>Sharjah&gt;Aljada&gt;Naseej District&gt;Sokoon&gt;Sokoon 4</v>
      </c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</row>
    <row r="5457" spans="1:26" ht="16.5" x14ac:dyDescent="0.35">
      <c r="A5457" s="2" t="str">
        <f ca="1">IFERROR(__xludf.DUMMYFUNCTION("""COMPUTED_VALUE"""),"Sharjah")</f>
        <v>Sharjah</v>
      </c>
      <c r="B5457" s="2" t="str">
        <f ca="1">IFERROR(__xludf.DUMMYFUNCTION("""COMPUTED_VALUE"""),"Nasaq 3")</f>
        <v>Nasaq 3</v>
      </c>
      <c r="C5457" s="2" t="str">
        <f ca="1">IFERROR(__xludf.DUMMYFUNCTION("""COMPUTED_VALUE"""),"Building")</f>
        <v>Building</v>
      </c>
      <c r="D5457" s="2" t="str">
        <f ca="1">IFERROR(__xludf.DUMMYFUNCTION("""COMPUTED_VALUE"""),"Sharjah&gt;Aljada&gt;Nasaq&gt;Nasaq 3")</f>
        <v>Sharjah&gt;Aljada&gt;Nasaq&gt;Nasaq 3</v>
      </c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</row>
    <row r="5458" spans="1:26" ht="16.5" x14ac:dyDescent="0.35">
      <c r="A5458" s="2" t="str">
        <f ca="1">IFERROR(__xludf.DUMMYFUNCTION("""COMPUTED_VALUE"""),"Sharjah")</f>
        <v>Sharjah</v>
      </c>
      <c r="B5458" s="2" t="str">
        <f ca="1">IFERROR(__xludf.DUMMYFUNCTION("""COMPUTED_VALUE"""),"Al Tai")</f>
        <v>Al Tai</v>
      </c>
      <c r="C5458" s="2" t="str">
        <f ca="1">IFERROR(__xludf.DUMMYFUNCTION("""COMPUTED_VALUE"""),"Neighbourhood")</f>
        <v>Neighbourhood</v>
      </c>
      <c r="D5458" s="2" t="str">
        <f ca="1">IFERROR(__xludf.DUMMYFUNCTION("""COMPUTED_VALUE"""),"Sharjah&gt;Al Tai")</f>
        <v>Sharjah&gt;Al Tai</v>
      </c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</row>
    <row r="5459" spans="1:26" ht="16.5" x14ac:dyDescent="0.35">
      <c r="A5459" s="2" t="str">
        <f ca="1">IFERROR(__xludf.DUMMYFUNCTION("""COMPUTED_VALUE"""),"Sharjah")</f>
        <v>Sharjah</v>
      </c>
      <c r="B5459" s="2" t="str">
        <f ca="1">IFERROR(__xludf.DUMMYFUNCTION("""COMPUTED_VALUE"""),"Al Anwar Building")</f>
        <v>Al Anwar Building</v>
      </c>
      <c r="C5459" s="2"/>
      <c r="D5459" s="2" t="str">
        <f ca="1">IFERROR(__xludf.DUMMYFUNCTION("""COMPUTED_VALUE"""),"Sharjah&gt;Abu Shagara&gt;Al Anwar Building")</f>
        <v>Sharjah&gt;Abu Shagara&gt;Al Anwar Building</v>
      </c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</row>
    <row r="5460" spans="1:26" ht="16.5" x14ac:dyDescent="0.35">
      <c r="A5460" s="2" t="str">
        <f ca="1">IFERROR(__xludf.DUMMYFUNCTION("""COMPUTED_VALUE"""),"Sharjah")</f>
        <v>Sharjah</v>
      </c>
      <c r="B5460" s="2" t="str">
        <f ca="1">IFERROR(__xludf.DUMMYFUNCTION("""COMPUTED_VALUE"""),"La Plage Tower")</f>
        <v>La Plage Tower</v>
      </c>
      <c r="C5460" s="2" t="str">
        <f ca="1">IFERROR(__xludf.DUMMYFUNCTION("""COMPUTED_VALUE"""),"Building")</f>
        <v>Building</v>
      </c>
      <c r="D5460" s="2" t="str">
        <f ca="1">IFERROR(__xludf.DUMMYFUNCTION("""COMPUTED_VALUE"""),"Sharjah&gt;Al Mamzar&gt;La Plage Tower")</f>
        <v>Sharjah&gt;Al Mamzar&gt;La Plage Tower</v>
      </c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</row>
    <row r="5461" spans="1:26" ht="16.5" x14ac:dyDescent="0.35">
      <c r="A5461" s="2" t="str">
        <f ca="1">IFERROR(__xludf.DUMMYFUNCTION("""COMPUTED_VALUE"""),"Sharjah")</f>
        <v>Sharjah</v>
      </c>
      <c r="B5461" s="2" t="str">
        <f ca="1">IFERROR(__xludf.DUMMYFUNCTION("""COMPUTED_VALUE"""),"Al Ramla")</f>
        <v>Al Ramla</v>
      </c>
      <c r="C5461" s="2" t="str">
        <f ca="1">IFERROR(__xludf.DUMMYFUNCTION("""COMPUTED_VALUE"""),"Neighbourhood")</f>
        <v>Neighbourhood</v>
      </c>
      <c r="D5461" s="2" t="str">
        <f ca="1">IFERROR(__xludf.DUMMYFUNCTION("""COMPUTED_VALUE"""),"Sharjah&gt;Al Ramla")</f>
        <v>Sharjah&gt;Al Ramla</v>
      </c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</row>
    <row r="5462" spans="1:26" ht="16.5" x14ac:dyDescent="0.35">
      <c r="A5462" s="2" t="str">
        <f ca="1">IFERROR(__xludf.DUMMYFUNCTION("""COMPUTED_VALUE"""),"Sharjah")</f>
        <v>Sharjah</v>
      </c>
      <c r="B5462" s="2" t="str">
        <f ca="1">IFERROR(__xludf.DUMMYFUNCTION("""COMPUTED_VALUE"""),"Sarai")</f>
        <v>Sarai</v>
      </c>
      <c r="C5462" s="2" t="str">
        <f ca="1">IFERROR(__xludf.DUMMYFUNCTION("""COMPUTED_VALUE"""),"Neighbourhood")</f>
        <v>Neighbourhood</v>
      </c>
      <c r="D5462" s="2" t="str">
        <f ca="1">IFERROR(__xludf.DUMMYFUNCTION("""COMPUTED_VALUE"""),"Sharjah&gt;Tilal City&gt;Masaar&gt;Sarai")</f>
        <v>Sharjah&gt;Tilal City&gt;Masaar&gt;Sarai</v>
      </c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</row>
    <row r="5463" spans="1:26" ht="16.5" x14ac:dyDescent="0.35">
      <c r="A5463" s="2" t="str">
        <f ca="1">IFERROR(__xludf.DUMMYFUNCTION("""COMPUTED_VALUE"""),"Sharjah")</f>
        <v>Sharjah</v>
      </c>
      <c r="B5463" s="2" t="str">
        <f ca="1">IFERROR(__xludf.DUMMYFUNCTION("""COMPUTED_VALUE"""),"British Orchard Nursery Al Jazzat")</f>
        <v>British Orchard Nursery Al Jazzat</v>
      </c>
      <c r="C5463" s="2" t="str">
        <f ca="1">IFERROR(__xludf.DUMMYFUNCTION("""COMPUTED_VALUE"""),"Nursery")</f>
        <v>Nursery</v>
      </c>
      <c r="D5463" s="2" t="str">
        <f ca="1">IFERROR(__xludf.DUMMYFUNCTION("""COMPUTED_VALUE"""),"Sharjah&gt;Al Jazzat&gt;British Orchard Nursery Al Jazzat")</f>
        <v>Sharjah&gt;Al Jazzat&gt;British Orchard Nursery Al Jazzat</v>
      </c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</row>
    <row r="5464" spans="1:26" ht="16.5" x14ac:dyDescent="0.35">
      <c r="A5464" s="2" t="str">
        <f ca="1">IFERROR(__xludf.DUMMYFUNCTION("""COMPUTED_VALUE"""),"Sharjah")</f>
        <v>Sharjah</v>
      </c>
      <c r="B5464" s="2" t="str">
        <f ca="1">IFERROR(__xludf.DUMMYFUNCTION("""COMPUTED_VALUE"""),"Al Shaer Building")</f>
        <v>Al Shaer Building</v>
      </c>
      <c r="C5464" s="2"/>
      <c r="D5464" s="2" t="str">
        <f ca="1">IFERROR(__xludf.DUMMYFUNCTION("""COMPUTED_VALUE"""),"Sharjah&gt;Al Musalla&gt;Al Shaer Building")</f>
        <v>Sharjah&gt;Al Musalla&gt;Al Shaer Building</v>
      </c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</row>
    <row r="5465" spans="1:26" ht="16.5" x14ac:dyDescent="0.35">
      <c r="A5465" s="2" t="str">
        <f ca="1">IFERROR(__xludf.DUMMYFUNCTION("""COMPUTED_VALUE"""),"Sharjah")</f>
        <v>Sharjah</v>
      </c>
      <c r="B5465" s="2" t="str">
        <f ca="1">IFERROR(__xludf.DUMMYFUNCTION("""COMPUTED_VALUE"""),"Emirates Industrial City")</f>
        <v>Emirates Industrial City</v>
      </c>
      <c r="C5465" s="2" t="str">
        <f ca="1">IFERROR(__xludf.DUMMYFUNCTION("""COMPUTED_VALUE"""),"Neighbourhood")</f>
        <v>Neighbourhood</v>
      </c>
      <c r="D5465" s="2" t="str">
        <f ca="1">IFERROR(__xludf.DUMMYFUNCTION("""COMPUTED_VALUE"""),"Sharjah&gt;Emirates Industrial City")</f>
        <v>Sharjah&gt;Emirates Industrial City</v>
      </c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</row>
    <row r="5466" spans="1:26" ht="16.5" x14ac:dyDescent="0.35">
      <c r="A5466" s="2" t="str">
        <f ca="1">IFERROR(__xludf.DUMMYFUNCTION("""COMPUTED_VALUE"""),"Sharjah")</f>
        <v>Sharjah</v>
      </c>
      <c r="B5466" s="2" t="str">
        <f ca="1">IFERROR(__xludf.DUMMYFUNCTION("""COMPUTED_VALUE"""),"Mansoor Building")</f>
        <v>Mansoor Building</v>
      </c>
      <c r="C5466" s="2"/>
      <c r="D5466" s="2" t="str">
        <f ca="1">IFERROR(__xludf.DUMMYFUNCTION("""COMPUTED_VALUE"""),"Sharjah&gt;Al Mareija&gt;Mansoor Building")</f>
        <v>Sharjah&gt;Al Mareija&gt;Mansoor Building</v>
      </c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</row>
    <row r="5467" spans="1:26" ht="16.5" x14ac:dyDescent="0.35">
      <c r="A5467" s="2" t="str">
        <f ca="1">IFERROR(__xludf.DUMMYFUNCTION("""COMPUTED_VALUE"""),"Sharjah")</f>
        <v>Sharjah</v>
      </c>
      <c r="B5467" s="2" t="str">
        <f ca="1">IFERROR(__xludf.DUMMYFUNCTION("""COMPUTED_VALUE"""),"Blue Pearls")</f>
        <v>Blue Pearls</v>
      </c>
      <c r="C5467" s="2" t="str">
        <f ca="1">IFERROR(__xludf.DUMMYFUNCTION("""COMPUTED_VALUE"""),"Building")</f>
        <v>Building</v>
      </c>
      <c r="D5467" s="2" t="str">
        <f ca="1">IFERROR(__xludf.DUMMYFUNCTION("""COMPUTED_VALUE"""),"Sharjah&gt;Ajmal Makan City - Sharjah Waterfront&gt;Blue Pearls")</f>
        <v>Sharjah&gt;Ajmal Makan City - Sharjah Waterfront&gt;Blue Pearls</v>
      </c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</row>
    <row r="5468" spans="1:26" ht="16.5" x14ac:dyDescent="0.35">
      <c r="A5468" s="2" t="str">
        <f ca="1">IFERROR(__xludf.DUMMYFUNCTION("""COMPUTED_VALUE"""),"Sharjah")</f>
        <v>Sharjah</v>
      </c>
      <c r="B5468" s="2" t="str">
        <f ca="1">IFERROR(__xludf.DUMMYFUNCTION("""COMPUTED_VALUE"""),"Kshisha 5")</f>
        <v>Kshisha 5</v>
      </c>
      <c r="C5468" s="2" t="str">
        <f ca="1">IFERROR(__xludf.DUMMYFUNCTION("""COMPUTED_VALUE"""),"Neighbourhood")</f>
        <v>Neighbourhood</v>
      </c>
      <c r="D5468" s="2" t="str">
        <f ca="1">IFERROR(__xludf.DUMMYFUNCTION("""COMPUTED_VALUE"""),"Sharjah&gt;Al Rahmaniya&gt;Kshisha 5")</f>
        <v>Sharjah&gt;Al Rahmaniya&gt;Kshisha 5</v>
      </c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</row>
    <row r="5469" spans="1:26" ht="16.5" x14ac:dyDescent="0.35">
      <c r="A5469" s="2" t="str">
        <f ca="1">IFERROR(__xludf.DUMMYFUNCTION("""COMPUTED_VALUE"""),"Sharjah")</f>
        <v>Sharjah</v>
      </c>
      <c r="B5469" s="2" t="str">
        <f ca="1">IFERROR(__xludf.DUMMYFUNCTION("""COMPUTED_VALUE"""),"Al Khan")</f>
        <v>Al Khan</v>
      </c>
      <c r="C5469" s="2" t="str">
        <f ca="1">IFERROR(__xludf.DUMMYFUNCTION("""COMPUTED_VALUE"""),"Neighbourhood")</f>
        <v>Neighbourhood</v>
      </c>
      <c r="D5469" s="2" t="str">
        <f ca="1">IFERROR(__xludf.DUMMYFUNCTION("""COMPUTED_VALUE"""),"Sharjah&gt;Al Khan")</f>
        <v>Sharjah&gt;Al Khan</v>
      </c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</row>
    <row r="5470" spans="1:26" ht="16.5" x14ac:dyDescent="0.35">
      <c r="A5470" s="2" t="str">
        <f ca="1">IFERROR(__xludf.DUMMYFUNCTION("""COMPUTED_VALUE"""),"Sharjah")</f>
        <v>Sharjah</v>
      </c>
      <c r="B5470" s="2" t="str">
        <f ca="1">IFERROR(__xludf.DUMMYFUNCTION("""COMPUTED_VALUE"""),"Ritz Tower")</f>
        <v>Ritz Tower</v>
      </c>
      <c r="C5470" s="2"/>
      <c r="D5470" s="2" t="str">
        <f ca="1">IFERROR(__xludf.DUMMYFUNCTION("""COMPUTED_VALUE"""),"Sharjah&gt;Al Khan&gt;Ritz Tower")</f>
        <v>Sharjah&gt;Al Khan&gt;Ritz Tower</v>
      </c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</row>
    <row r="5471" spans="1:26" ht="16.5" x14ac:dyDescent="0.35">
      <c r="A5471" s="2" t="str">
        <f ca="1">IFERROR(__xludf.DUMMYFUNCTION("""COMPUTED_VALUE"""),"Sharjah")</f>
        <v>Sharjah</v>
      </c>
      <c r="B5471" s="2" t="str">
        <f ca="1">IFERROR(__xludf.DUMMYFUNCTION("""COMPUTED_VALUE"""),"Indigo Beach Residence")</f>
        <v>Indigo Beach Residence</v>
      </c>
      <c r="C5471" s="2" t="str">
        <f ca="1">IFERROR(__xludf.DUMMYFUNCTION("""COMPUTED_VALUE"""),"Building")</f>
        <v>Building</v>
      </c>
      <c r="D5471" s="2" t="str">
        <f ca="1">IFERROR(__xludf.DUMMYFUNCTION("""COMPUTED_VALUE"""),"Sharjah&gt;Al Khan&gt;Maryam Island&gt;Indigo Beach Residence")</f>
        <v>Sharjah&gt;Al Khan&gt;Maryam Island&gt;Indigo Beach Residence</v>
      </c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</row>
    <row r="5472" spans="1:26" ht="16.5" x14ac:dyDescent="0.35">
      <c r="A5472" s="2" t="str">
        <f ca="1">IFERROR(__xludf.DUMMYFUNCTION("""COMPUTED_VALUE"""),"Sharjah")</f>
        <v>Sharjah</v>
      </c>
      <c r="B5472" s="2" t="str">
        <f ca="1">IFERROR(__xludf.DUMMYFUNCTION("""COMPUTED_VALUE"""),"Al Wesba")</f>
        <v>Al Wesba</v>
      </c>
      <c r="C5472" s="2"/>
      <c r="D5472" s="2" t="str">
        <f ca="1">IFERROR(__xludf.DUMMYFUNCTION("""COMPUTED_VALUE"""),"Sharjah&gt;Al Khan&gt;Al Wesba")</f>
        <v>Sharjah&gt;Al Khan&gt;Al Wesba</v>
      </c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</row>
    <row r="5473" spans="1:26" ht="16.5" x14ac:dyDescent="0.35">
      <c r="A5473" s="2" t="str">
        <f ca="1">IFERROR(__xludf.DUMMYFUNCTION("""COMPUTED_VALUE"""),"Sharjah")</f>
        <v>Sharjah</v>
      </c>
      <c r="B5473" s="2" t="str">
        <f ca="1">IFERROR(__xludf.DUMMYFUNCTION("""COMPUTED_VALUE"""),"Al Majaz")</f>
        <v>Al Majaz</v>
      </c>
      <c r="C5473" s="2" t="str">
        <f ca="1">IFERROR(__xludf.DUMMYFUNCTION("""COMPUTED_VALUE"""),"Neighbourhood")</f>
        <v>Neighbourhood</v>
      </c>
      <c r="D5473" s="2" t="str">
        <f ca="1">IFERROR(__xludf.DUMMYFUNCTION("""COMPUTED_VALUE"""),"Sharjah&gt;Al Majaz")</f>
        <v>Sharjah&gt;Al Majaz</v>
      </c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</row>
    <row r="5474" spans="1:26" ht="16.5" x14ac:dyDescent="0.35">
      <c r="A5474" s="2" t="str">
        <f ca="1">IFERROR(__xludf.DUMMYFUNCTION("""COMPUTED_VALUE"""),"Sharjah")</f>
        <v>Sharjah</v>
      </c>
      <c r="B5474" s="2" t="str">
        <f ca="1">IFERROR(__xludf.DUMMYFUNCTION("""COMPUTED_VALUE"""),"Al Majaz Pearl Tower")</f>
        <v>Al Majaz Pearl Tower</v>
      </c>
      <c r="C5474" s="2"/>
      <c r="D5474" s="2" t="str">
        <f ca="1">IFERROR(__xludf.DUMMYFUNCTION("""COMPUTED_VALUE"""),"Sharjah&gt;Al Majaz&gt;Al Majaz 2&gt;Al Majaz Pearl Tower")</f>
        <v>Sharjah&gt;Al Majaz&gt;Al Majaz 2&gt;Al Majaz Pearl Tower</v>
      </c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</row>
    <row r="5475" spans="1:26" ht="16.5" x14ac:dyDescent="0.35">
      <c r="A5475" s="2" t="str">
        <f ca="1">IFERROR(__xludf.DUMMYFUNCTION("""COMPUTED_VALUE"""),"Sharjah")</f>
        <v>Sharjah</v>
      </c>
      <c r="B5475" s="2" t="str">
        <f ca="1">IFERROR(__xludf.DUMMYFUNCTION("""COMPUTED_VALUE"""),"Tariq Tower")</f>
        <v>Tariq Tower</v>
      </c>
      <c r="C5475" s="2"/>
      <c r="D5475" s="2" t="str">
        <f ca="1">IFERROR(__xludf.DUMMYFUNCTION("""COMPUTED_VALUE"""),"Sharjah&gt;Al Majaz&gt;Al Majaz 2&gt;Tariq Tower")</f>
        <v>Sharjah&gt;Al Majaz&gt;Al Majaz 2&gt;Tariq Tower</v>
      </c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</row>
    <row r="5476" spans="1:26" ht="16.5" x14ac:dyDescent="0.35">
      <c r="A5476" s="2" t="str">
        <f ca="1">IFERROR(__xludf.DUMMYFUNCTION("""COMPUTED_VALUE"""),"Sharjah")</f>
        <v>Sharjah</v>
      </c>
      <c r="B5476" s="2" t="str">
        <f ca="1">IFERROR(__xludf.DUMMYFUNCTION("""COMPUTED_VALUE"""),"Al Mohanad")</f>
        <v>Al Mohanad</v>
      </c>
      <c r="C5476" s="2" t="str">
        <f ca="1">IFERROR(__xludf.DUMMYFUNCTION("""COMPUTED_VALUE"""),"Building")</f>
        <v>Building</v>
      </c>
      <c r="D5476" s="2" t="str">
        <f ca="1">IFERROR(__xludf.DUMMYFUNCTION("""COMPUTED_VALUE"""),"Sharjah&gt;Al Majaz&gt;Al Majaz 3&gt;Al Mohanad")</f>
        <v>Sharjah&gt;Al Majaz&gt;Al Majaz 3&gt;Al Mohanad</v>
      </c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</row>
    <row r="5477" spans="1:26" ht="16.5" x14ac:dyDescent="0.35">
      <c r="A5477" s="2" t="str">
        <f ca="1">IFERROR(__xludf.DUMMYFUNCTION("""COMPUTED_VALUE"""),"Sharjah")</f>
        <v>Sharjah</v>
      </c>
      <c r="B5477" s="2" t="str">
        <f ca="1">IFERROR(__xludf.DUMMYFUNCTION("""COMPUTED_VALUE"""),"Business Link")</f>
        <v>Business Link</v>
      </c>
      <c r="C5477" s="2"/>
      <c r="D5477" s="2" t="str">
        <f ca="1">IFERROR(__xludf.DUMMYFUNCTION("""COMPUTED_VALUE"""),"Sharjah&gt;Al Majaz&gt;Al Majaz 3&gt;Business Link")</f>
        <v>Sharjah&gt;Al Majaz&gt;Al Majaz 3&gt;Business Link</v>
      </c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</row>
    <row r="5478" spans="1:26" ht="16.5" x14ac:dyDescent="0.35">
      <c r="A5478" s="2" t="str">
        <f ca="1">IFERROR(__xludf.DUMMYFUNCTION("""COMPUTED_VALUE"""),"Sharjah")</f>
        <v>Sharjah</v>
      </c>
      <c r="B5478" s="2" t="str">
        <f ca="1">IFERROR(__xludf.DUMMYFUNCTION("""COMPUTED_VALUE"""),"Al Durrah Tower")</f>
        <v>Al Durrah Tower</v>
      </c>
      <c r="C5478" s="2" t="str">
        <f ca="1">IFERROR(__xludf.DUMMYFUNCTION("""COMPUTED_VALUE"""),"Building")</f>
        <v>Building</v>
      </c>
      <c r="D5478" s="2" t="str">
        <f ca="1">IFERROR(__xludf.DUMMYFUNCTION("""COMPUTED_VALUE"""),"Sharjah&gt;Al Majaz&gt;Al Majaz 3&gt;Al Durrah Tower")</f>
        <v>Sharjah&gt;Al Majaz&gt;Al Majaz 3&gt;Al Durrah Tower</v>
      </c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</row>
    <row r="5479" spans="1:26" ht="16.5" x14ac:dyDescent="0.35">
      <c r="A5479" s="2" t="str">
        <f ca="1">IFERROR(__xludf.DUMMYFUNCTION("""COMPUTED_VALUE"""),"Sharjah")</f>
        <v>Sharjah</v>
      </c>
      <c r="B5479" s="2" t="str">
        <f ca="1">IFERROR(__xludf.DUMMYFUNCTION("""COMPUTED_VALUE"""),"Junior Building")</f>
        <v>Junior Building</v>
      </c>
      <c r="C5479" s="2"/>
      <c r="D5479" s="2" t="str">
        <f ca="1">IFERROR(__xludf.DUMMYFUNCTION("""COMPUTED_VALUE"""),"Sharjah&gt;Al Majaz&gt;Al Majaz 1&gt;Junior Building")</f>
        <v>Sharjah&gt;Al Majaz&gt;Al Majaz 1&gt;Junior Building</v>
      </c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</row>
    <row r="5480" spans="1:26" ht="16.5" x14ac:dyDescent="0.35">
      <c r="A5480" s="2" t="str">
        <f ca="1">IFERROR(__xludf.DUMMYFUNCTION("""COMPUTED_VALUE"""),"Sharjah")</f>
        <v>Sharjah</v>
      </c>
      <c r="B5480" s="2" t="str">
        <f ca="1">IFERROR(__xludf.DUMMYFUNCTION("""COMPUTED_VALUE"""),"Al Menhaz")</f>
        <v>Al Menhaz</v>
      </c>
      <c r="C5480" s="2" t="str">
        <f ca="1">IFERROR(__xludf.DUMMYFUNCTION("""COMPUTED_VALUE"""),"Neighbourhood")</f>
        <v>Neighbourhood</v>
      </c>
      <c r="D5480" s="2" t="str">
        <f ca="1">IFERROR(__xludf.DUMMYFUNCTION("""COMPUTED_VALUE"""),"Sharjah&gt;Al Menhaz")</f>
        <v>Sharjah&gt;Al Menhaz</v>
      </c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</row>
    <row r="5481" spans="1:26" ht="16.5" x14ac:dyDescent="0.35">
      <c r="A5481" s="2" t="str">
        <f ca="1">IFERROR(__xludf.DUMMYFUNCTION("""COMPUTED_VALUE"""),"Sharjah")</f>
        <v>Sharjah</v>
      </c>
      <c r="B5481" s="2" t="str">
        <f ca="1">IFERROR(__xludf.DUMMYFUNCTION("""COMPUTED_VALUE"""),"Tiger 3 Building")</f>
        <v>Tiger 3 Building</v>
      </c>
      <c r="C5481" s="2"/>
      <c r="D5481" s="2" t="str">
        <f ca="1">IFERROR(__xludf.DUMMYFUNCTION("""COMPUTED_VALUE"""),"Sharjah&gt;Al Taawun&gt;Tiger 3 Building")</f>
        <v>Sharjah&gt;Al Taawun&gt;Tiger 3 Building</v>
      </c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</row>
    <row r="5482" spans="1:26" ht="16.5" x14ac:dyDescent="0.35">
      <c r="A5482" s="2" t="str">
        <f ca="1">IFERROR(__xludf.DUMMYFUNCTION("""COMPUTED_VALUE"""),"Sharjah")</f>
        <v>Sharjah</v>
      </c>
      <c r="B5482" s="2" t="str">
        <f ca="1">IFERROR(__xludf.DUMMYFUNCTION("""COMPUTED_VALUE"""),"Al Qasimia Building")</f>
        <v>Al Qasimia Building</v>
      </c>
      <c r="C5482" s="2" t="str">
        <f ca="1">IFERROR(__xludf.DUMMYFUNCTION("""COMPUTED_VALUE"""),"Building")</f>
        <v>Building</v>
      </c>
      <c r="D5482" s="2" t="str">
        <f ca="1">IFERROR(__xludf.DUMMYFUNCTION("""COMPUTED_VALUE"""),"Sharjah&gt;Al Qasimia&gt;Al Qasimia Building")</f>
        <v>Sharjah&gt;Al Qasimia&gt;Al Qasimia Building</v>
      </c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</row>
    <row r="5483" spans="1:26" ht="16.5" x14ac:dyDescent="0.35">
      <c r="A5483" s="2" t="str">
        <f ca="1">IFERROR(__xludf.DUMMYFUNCTION("""COMPUTED_VALUE"""),"Sharjah")</f>
        <v>Sharjah</v>
      </c>
      <c r="B5483" s="2" t="str">
        <f ca="1">IFERROR(__xludf.DUMMYFUNCTION("""COMPUTED_VALUE"""),"Al Israa Building AL Nud")</f>
        <v>Al Israa Building AL Nud</v>
      </c>
      <c r="C5483" s="2"/>
      <c r="D5483" s="2" t="str">
        <f ca="1">IFERROR(__xludf.DUMMYFUNCTION("""COMPUTED_VALUE"""),"Sharjah&gt;Al Qasimia&gt;Al Nad&gt;Al Israa Building AL Nud")</f>
        <v>Sharjah&gt;Al Qasimia&gt;Al Nad&gt;Al Israa Building AL Nud</v>
      </c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</row>
    <row r="5484" spans="1:26" ht="16.5" x14ac:dyDescent="0.35">
      <c r="A5484" s="2" t="str">
        <f ca="1">IFERROR(__xludf.DUMMYFUNCTION("""COMPUTED_VALUE"""),"Sharjah")</f>
        <v>Sharjah</v>
      </c>
      <c r="B5484" s="2" t="str">
        <f ca="1">IFERROR(__xludf.DUMMYFUNCTION("""COMPUTED_VALUE"""),"Invest Bank Building")</f>
        <v>Invest Bank Building</v>
      </c>
      <c r="C5484" s="2"/>
      <c r="D5484" s="2" t="str">
        <f ca="1">IFERROR(__xludf.DUMMYFUNCTION("""COMPUTED_VALUE"""),"Sharjah&gt;Al Qasimia&gt;Al Nad&gt;Invest Bank Building")</f>
        <v>Sharjah&gt;Al Qasimia&gt;Al Nad&gt;Invest Bank Building</v>
      </c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</row>
    <row r="5485" spans="1:26" ht="16.5" x14ac:dyDescent="0.35">
      <c r="A5485" s="2" t="str">
        <f ca="1">IFERROR(__xludf.DUMMYFUNCTION("""COMPUTED_VALUE"""),"Sharjah")</f>
        <v>Sharjah</v>
      </c>
      <c r="B5485" s="2" t="str">
        <f ca="1">IFERROR(__xludf.DUMMYFUNCTION("""COMPUTED_VALUE"""),"Zar 1 Building")</f>
        <v>Zar 1 Building</v>
      </c>
      <c r="C5485" s="2"/>
      <c r="D5485" s="2" t="str">
        <f ca="1">IFERROR(__xludf.DUMMYFUNCTION("""COMPUTED_VALUE"""),"Sharjah&gt;Al Qasimia&gt;Zar 1 Building")</f>
        <v>Sharjah&gt;Al Qasimia&gt;Zar 1 Building</v>
      </c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</row>
    <row r="5486" spans="1:26" ht="16.5" x14ac:dyDescent="0.35">
      <c r="A5486" s="2" t="str">
        <f ca="1">IFERROR(__xludf.DUMMYFUNCTION("""COMPUTED_VALUE"""),"Sharjah")</f>
        <v>Sharjah</v>
      </c>
      <c r="B5486" s="2" t="str">
        <f ca="1">IFERROR(__xludf.DUMMYFUNCTION("""COMPUTED_VALUE"""),"Al Zarka Hotel Apartments")</f>
        <v>Al Zarka Hotel Apartments</v>
      </c>
      <c r="C5486" s="2"/>
      <c r="D5486" s="2" t="str">
        <f ca="1">IFERROR(__xludf.DUMMYFUNCTION("""COMPUTED_VALUE"""),"Sharjah&gt;Al Nabba&gt;Al Zarka Hotel Apartments")</f>
        <v>Sharjah&gt;Al Nabba&gt;Al Zarka Hotel Apartments</v>
      </c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</row>
    <row r="5487" spans="1:26" ht="16.5" x14ac:dyDescent="0.35">
      <c r="A5487" s="2" t="str">
        <f ca="1">IFERROR(__xludf.DUMMYFUNCTION("""COMPUTED_VALUE"""),"Sharjah")</f>
        <v>Sharjah</v>
      </c>
      <c r="B5487" s="2" t="str">
        <f ca="1">IFERROR(__xludf.DUMMYFUNCTION("""COMPUTED_VALUE"""),"Al Mozon 3 Building")</f>
        <v>Al Mozon 3 Building</v>
      </c>
      <c r="C5487" s="2" t="str">
        <f ca="1">IFERROR(__xludf.DUMMYFUNCTION("""COMPUTED_VALUE"""),"Building")</f>
        <v>Building</v>
      </c>
      <c r="D5487" s="2" t="str">
        <f ca="1">IFERROR(__xludf.DUMMYFUNCTION("""COMPUTED_VALUE"""),"Sharjah&gt;Industrial Area&gt;Industrial Area 6&gt;Al Mozon 3 Building")</f>
        <v>Sharjah&gt;Industrial Area&gt;Industrial Area 6&gt;Al Mozon 3 Building</v>
      </c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</row>
    <row r="5488" spans="1:26" ht="16.5" x14ac:dyDescent="0.35">
      <c r="A5488" s="2" t="str">
        <f ca="1">IFERROR(__xludf.DUMMYFUNCTION("""COMPUTED_VALUE"""),"Sharjah")</f>
        <v>Sharjah</v>
      </c>
      <c r="B5488" s="2" t="str">
        <f ca="1">IFERROR(__xludf.DUMMYFUNCTION("""COMPUTED_VALUE"""),"Muwaileh")</f>
        <v>Muwaileh</v>
      </c>
      <c r="C5488" s="2" t="str">
        <f ca="1">IFERROR(__xludf.DUMMYFUNCTION("""COMPUTED_VALUE"""),"Neighbourhood")</f>
        <v>Neighbourhood</v>
      </c>
      <c r="D5488" s="2" t="str">
        <f ca="1">IFERROR(__xludf.DUMMYFUNCTION("""COMPUTED_VALUE"""),"Sharjah&gt;Muwaileh")</f>
        <v>Sharjah&gt;Muwaileh</v>
      </c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</row>
    <row r="5489" spans="1:26" ht="16.5" x14ac:dyDescent="0.35">
      <c r="A5489" s="2" t="str">
        <f ca="1">IFERROR(__xludf.DUMMYFUNCTION("""COMPUTED_VALUE"""),"Sharjah")</f>
        <v>Sharjah</v>
      </c>
      <c r="B5489" s="2" t="str">
        <f ca="1">IFERROR(__xludf.DUMMYFUNCTION("""COMPUTED_VALUE"""),"SN 2")</f>
        <v>SN 2</v>
      </c>
      <c r="C5489" s="2" t="str">
        <f ca="1">IFERROR(__xludf.DUMMYFUNCTION("""COMPUTED_VALUE"""),"Building")</f>
        <v>Building</v>
      </c>
      <c r="D5489" s="2" t="str">
        <f ca="1">IFERROR(__xludf.DUMMYFUNCTION("""COMPUTED_VALUE"""),"Sharjah&gt;Muwaileh&gt;Al Mamsha&gt;Souks Residential&gt;SN 2")</f>
        <v>Sharjah&gt;Muwaileh&gt;Al Mamsha&gt;Souks Residential&gt;SN 2</v>
      </c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</row>
    <row r="5490" spans="1:26" ht="16.5" x14ac:dyDescent="0.35">
      <c r="A5490" s="2" t="str">
        <f ca="1">IFERROR(__xludf.DUMMYFUNCTION("""COMPUTED_VALUE"""),"Sharjah")</f>
        <v>Sharjah</v>
      </c>
      <c r="B5490" s="2" t="str">
        <f ca="1">IFERROR(__xludf.DUMMYFUNCTION("""COMPUTED_VALUE"""),"Zohour 1")</f>
        <v>Zohour 1</v>
      </c>
      <c r="C5490" s="2" t="str">
        <f ca="1">IFERROR(__xludf.DUMMYFUNCTION("""COMPUTED_VALUE"""),"Building")</f>
        <v>Building</v>
      </c>
      <c r="D5490" s="2" t="str">
        <f ca="1">IFERROR(__xludf.DUMMYFUNCTION("""COMPUTED_VALUE"""),"Sharjah&gt;Muwaileh&gt;Al Zahia&gt;UpTown Al Zahia&gt;Zohour&gt;Zohour 1")</f>
        <v>Sharjah&gt;Muwaileh&gt;Al Zahia&gt;UpTown Al Zahia&gt;Zohour&gt;Zohour 1</v>
      </c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</row>
    <row r="5491" spans="1:26" ht="16.5" x14ac:dyDescent="0.35">
      <c r="A5491" s="2" t="str">
        <f ca="1">IFERROR(__xludf.DUMMYFUNCTION("""COMPUTED_VALUE"""),"Sharjah")</f>
        <v>Sharjah</v>
      </c>
      <c r="B5491" s="2" t="str">
        <f ca="1">IFERROR(__xludf.DUMMYFUNCTION("""COMPUTED_VALUE"""),"Istiklal Private School")</f>
        <v>Istiklal Private School</v>
      </c>
      <c r="C5491" s="2" t="str">
        <f ca="1">IFERROR(__xludf.DUMMYFUNCTION("""COMPUTED_VALUE"""),"School")</f>
        <v>School</v>
      </c>
      <c r="D5491" s="2" t="str">
        <f ca="1">IFERROR(__xludf.DUMMYFUNCTION("""COMPUTED_VALUE"""),"Sharjah&gt;Muwaileh Commercial&gt;Istiklal Private School")</f>
        <v>Sharjah&gt;Muwaileh Commercial&gt;Istiklal Private School</v>
      </c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</row>
    <row r="5492" spans="1:26" ht="16.5" x14ac:dyDescent="0.35">
      <c r="A5492" s="2" t="str">
        <f ca="1">IFERROR(__xludf.DUMMYFUNCTION("""COMPUTED_VALUE"""),"Sharjah")</f>
        <v>Sharjah</v>
      </c>
      <c r="B5492" s="2" t="str">
        <f ca="1">IFERROR(__xludf.DUMMYFUNCTION("""COMPUTED_VALUE"""),"Al Kaf 3 Building")</f>
        <v>Al Kaf 3 Building</v>
      </c>
      <c r="C5492" s="2" t="str">
        <f ca="1">IFERROR(__xludf.DUMMYFUNCTION("""COMPUTED_VALUE"""),"Building")</f>
        <v>Building</v>
      </c>
      <c r="D5492" s="2" t="str">
        <f ca="1">IFERROR(__xludf.DUMMYFUNCTION("""COMPUTED_VALUE"""),"Sharjah&gt;Muwaileh Commercial&gt;Al Kaf 3 Building")</f>
        <v>Sharjah&gt;Muwaileh Commercial&gt;Al Kaf 3 Building</v>
      </c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</row>
    <row r="5493" spans="1:26" ht="16.5" x14ac:dyDescent="0.35">
      <c r="A5493" s="2" t="str">
        <f ca="1">IFERROR(__xludf.DUMMYFUNCTION("""COMPUTED_VALUE"""),"Sharjah")</f>
        <v>Sharjah</v>
      </c>
      <c r="B5493" s="2" t="str">
        <f ca="1">IFERROR(__xludf.DUMMYFUNCTION("""COMPUTED_VALUE"""),"Building 2440")</f>
        <v>Building 2440</v>
      </c>
      <c r="C5493" s="2" t="str">
        <f ca="1">IFERROR(__xludf.DUMMYFUNCTION("""COMPUTED_VALUE"""),"Building")</f>
        <v>Building</v>
      </c>
      <c r="D5493" s="2" t="str">
        <f ca="1">IFERROR(__xludf.DUMMYFUNCTION("""COMPUTED_VALUE"""),"Sharjah&gt;Muwaileh Commercial&gt;Building 2440")</f>
        <v>Sharjah&gt;Muwaileh Commercial&gt;Building 2440</v>
      </c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</row>
    <row r="5494" spans="1:26" ht="16.5" x14ac:dyDescent="0.35">
      <c r="A5494" s="2" t="str">
        <f ca="1">IFERROR(__xludf.DUMMYFUNCTION("""COMPUTED_VALUE"""),"Dubai")</f>
        <v>Dubai</v>
      </c>
      <c r="B5494" s="2" t="str">
        <f ca="1">IFERROR(__xludf.DUMMYFUNCTION("""COMPUTED_VALUE"""),"Bay Grove Residences D Building 15")</f>
        <v>Bay Grove Residences D Building 15</v>
      </c>
      <c r="C5494" s="2" t="str">
        <f ca="1">IFERROR(__xludf.DUMMYFUNCTION("""COMPUTED_VALUE"""),"Building")</f>
        <v>Building</v>
      </c>
      <c r="D5494" s="2" t="str">
        <f ca="1">IFERROR(__xludf.DUMMYFUNCTION("""COMPUTED_VALUE"""),"Dubai&gt;Dubai Islands&gt;Bay Grove Residences D&gt;Bay Grove Residences D Building 15")</f>
        <v>Dubai&gt;Dubai Islands&gt;Bay Grove Residences D&gt;Bay Grove Residences D Building 15</v>
      </c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</row>
    <row r="5495" spans="1:26" ht="16.5" x14ac:dyDescent="0.35">
      <c r="A5495" s="2" t="str">
        <f ca="1">IFERROR(__xludf.DUMMYFUNCTION("""COMPUTED_VALUE"""),"Dubai")</f>
        <v>Dubai</v>
      </c>
      <c r="B5495" s="2" t="str">
        <f ca="1">IFERROR(__xludf.DUMMYFUNCTION("""COMPUTED_VALUE"""),"Ellington Sands II Tower B")</f>
        <v>Ellington Sands II Tower B</v>
      </c>
      <c r="C5495" s="2" t="str">
        <f ca="1">IFERROR(__xludf.DUMMYFUNCTION("""COMPUTED_VALUE"""),"Building")</f>
        <v>Building</v>
      </c>
      <c r="D5495" s="2" t="str">
        <f ca="1">IFERROR(__xludf.DUMMYFUNCTION("""COMPUTED_VALUE"""),"Dubai&gt;Dubai Islands&gt;Ellington Sands II&gt;Ellington Sands II Tower B")</f>
        <v>Dubai&gt;Dubai Islands&gt;Ellington Sands II&gt;Ellington Sands II Tower B</v>
      </c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</row>
    <row r="5496" spans="1:26" ht="16.5" x14ac:dyDescent="0.35">
      <c r="A5496" s="2" t="str">
        <f ca="1">IFERROR(__xludf.DUMMYFUNCTION("""COMPUTED_VALUE"""),"Dubai")</f>
        <v>Dubai</v>
      </c>
      <c r="B5496" s="2" t="str">
        <f ca="1">IFERROR(__xludf.DUMMYFUNCTION("""COMPUTED_VALUE"""),"Dubai Lifestyle City")</f>
        <v>Dubai Lifestyle City</v>
      </c>
      <c r="C5496" s="2" t="str">
        <f ca="1">IFERROR(__xludf.DUMMYFUNCTION("""COMPUTED_VALUE"""),"Neighbourhood")</f>
        <v>Neighbourhood</v>
      </c>
      <c r="D5496" s="2" t="str">
        <f ca="1">IFERROR(__xludf.DUMMYFUNCTION("""COMPUTED_VALUE"""),"Dubai&gt;Dubailand&gt;Dubai Lifestyle City")</f>
        <v>Dubai&gt;Dubailand&gt;Dubai Lifestyle City</v>
      </c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</row>
    <row r="5497" spans="1:26" ht="16.5" x14ac:dyDescent="0.35">
      <c r="A5497" s="2" t="str">
        <f ca="1">IFERROR(__xludf.DUMMYFUNCTION("""COMPUTED_VALUE"""),"Dubai")</f>
        <v>Dubai</v>
      </c>
      <c r="B5497" s="2" t="str">
        <f ca="1">IFERROR(__xludf.DUMMYFUNCTION("""COMPUTED_VALUE"""),"La Tilia 2")</f>
        <v>La Tilia 2</v>
      </c>
      <c r="C5497" s="2" t="str">
        <f ca="1">IFERROR(__xludf.DUMMYFUNCTION("""COMPUTED_VALUE"""),"Neighbourhood")</f>
        <v>Neighbourhood</v>
      </c>
      <c r="D5497" s="2" t="str">
        <f ca="1">IFERROR(__xludf.DUMMYFUNCTION("""COMPUTED_VALUE"""),"Dubai&gt;Dubailand&gt;Villanova&gt;La Tilia 2")</f>
        <v>Dubai&gt;Dubailand&gt;Villanova&gt;La Tilia 2</v>
      </c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</row>
    <row r="5498" spans="1:26" ht="16.5" x14ac:dyDescent="0.35">
      <c r="A5498" s="2" t="str">
        <f ca="1">IFERROR(__xludf.DUMMYFUNCTION("""COMPUTED_VALUE"""),"Dubai")</f>
        <v>Dubai</v>
      </c>
      <c r="B5498" s="2" t="str">
        <f ca="1">IFERROR(__xludf.DUMMYFUNCTION("""COMPUTED_VALUE"""),"Al Waha")</f>
        <v>Al Waha</v>
      </c>
      <c r="C5498" s="2" t="str">
        <f ca="1">IFERROR(__xludf.DUMMYFUNCTION("""COMPUTED_VALUE"""),"Neighbourhood")</f>
        <v>Neighbourhood</v>
      </c>
      <c r="D5498" s="2" t="str">
        <f ca="1">IFERROR(__xludf.DUMMYFUNCTION("""COMPUTED_VALUE"""),"Dubai&gt;Dubailand&gt;Al Waha")</f>
        <v>Dubai&gt;Dubailand&gt;Al Waha</v>
      </c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</row>
    <row r="5499" spans="1:26" ht="16.5" x14ac:dyDescent="0.35">
      <c r="A5499" s="2" t="str">
        <f ca="1">IFERROR(__xludf.DUMMYFUNCTION("""COMPUTED_VALUE"""),"Dubai")</f>
        <v>Dubai</v>
      </c>
      <c r="B5499" s="2" t="str">
        <f ca="1">IFERROR(__xludf.DUMMYFUNCTION("""COMPUTED_VALUE"""),"Maya Townhouses")</f>
        <v>Maya Townhouses</v>
      </c>
      <c r="C5499" s="2" t="str">
        <f ca="1">IFERROR(__xludf.DUMMYFUNCTION("""COMPUTED_VALUE"""),"Neighbourhood")</f>
        <v>Neighbourhood</v>
      </c>
      <c r="D5499" s="2" t="str">
        <f ca="1">IFERROR(__xludf.DUMMYFUNCTION("""COMPUTED_VALUE"""),"Dubai&gt;Living Legends&gt;Maya Townhouses")</f>
        <v>Dubai&gt;Living Legends&gt;Maya Townhouses</v>
      </c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</row>
    <row r="5500" spans="1:26" ht="16.5" x14ac:dyDescent="0.35">
      <c r="A5500" s="2" t="str">
        <f ca="1">IFERROR(__xludf.DUMMYFUNCTION("""COMPUTED_VALUE"""),"Dubai")</f>
        <v>Dubai</v>
      </c>
      <c r="B5500" s="2" t="str">
        <f ca="1">IFERROR(__xludf.DUMMYFUNCTION("""COMPUTED_VALUE"""),"Al Maaref Private School")</f>
        <v>Al Maaref Private School</v>
      </c>
      <c r="C5500" s="2" t="str">
        <f ca="1">IFERROR(__xludf.DUMMYFUNCTION("""COMPUTED_VALUE"""),"School")</f>
        <v>School</v>
      </c>
      <c r="D5500" s="2" t="str">
        <f ca="1">IFERROR(__xludf.DUMMYFUNCTION("""COMPUTED_VALUE"""),"Dubai&gt;Al Qusais&gt;Al Qusais Residential Area&gt;Al Qusais 1&gt;Al Maaref Private School")</f>
        <v>Dubai&gt;Al Qusais&gt;Al Qusais Residential Area&gt;Al Qusais 1&gt;Al Maaref Private School</v>
      </c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</row>
    <row r="5501" spans="1:26" ht="16.5" x14ac:dyDescent="0.35">
      <c r="A5501" s="2" t="str">
        <f ca="1">IFERROR(__xludf.DUMMYFUNCTION("""COMPUTED_VALUE"""),"Dubai")</f>
        <v>Dubai</v>
      </c>
      <c r="B5501" s="2" t="str">
        <f ca="1">IFERROR(__xludf.DUMMYFUNCTION("""COMPUTED_VALUE"""),"Rainbow Residence 6")</f>
        <v>Rainbow Residence 6</v>
      </c>
      <c r="C5501" s="2" t="str">
        <f ca="1">IFERROR(__xludf.DUMMYFUNCTION("""COMPUTED_VALUE"""),"Building")</f>
        <v>Building</v>
      </c>
      <c r="D5501" s="2" t="str">
        <f ca="1">IFERROR(__xludf.DUMMYFUNCTION("""COMPUTED_VALUE"""),"Dubai&gt;Al Qusais&gt;Al Qusais Residential Area&gt;Al Qusais 1&gt;Rainbow Residences&gt;Rainbow Residence 6")</f>
        <v>Dubai&gt;Al Qusais&gt;Al Qusais Residential Area&gt;Al Qusais 1&gt;Rainbow Residences&gt;Rainbow Residence 6</v>
      </c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</row>
    <row r="5502" spans="1:26" ht="16.5" x14ac:dyDescent="0.35">
      <c r="A5502" s="2" t="str">
        <f ca="1">IFERROR(__xludf.DUMMYFUNCTION("""COMPUTED_VALUE"""),"Dubai")</f>
        <v>Dubai</v>
      </c>
      <c r="B5502" s="2" t="str">
        <f ca="1">IFERROR(__xludf.DUMMYFUNCTION("""COMPUTED_VALUE"""),"Al Farah Building 232")</f>
        <v>Al Farah Building 232</v>
      </c>
      <c r="C5502" s="2" t="str">
        <f ca="1">IFERROR(__xludf.DUMMYFUNCTION("""COMPUTED_VALUE"""),"Building")</f>
        <v>Building</v>
      </c>
      <c r="D5502" s="2" t="str">
        <f ca="1">IFERROR(__xludf.DUMMYFUNCTION("""COMPUTED_VALUE"""),"Dubai&gt;Al Qusais&gt;Al Qusais Industrial Area&gt;Al Qusais Industrial 5&gt;Al Farah Building 232")</f>
        <v>Dubai&gt;Al Qusais&gt;Al Qusais Industrial Area&gt;Al Qusais Industrial 5&gt;Al Farah Building 232</v>
      </c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</row>
    <row r="5503" spans="1:26" ht="16.5" x14ac:dyDescent="0.35">
      <c r="A5503" s="2" t="str">
        <f ca="1">IFERROR(__xludf.DUMMYFUNCTION("""COMPUTED_VALUE"""),"Dubai")</f>
        <v>Dubai</v>
      </c>
      <c r="B5503" s="2" t="str">
        <f ca="1">IFERROR(__xludf.DUMMYFUNCTION("""COMPUTED_VALUE"""),"Dubai Hills Estate")</f>
        <v>Dubai Hills Estate</v>
      </c>
      <c r="C5503" s="2" t="str">
        <f ca="1">IFERROR(__xludf.DUMMYFUNCTION("""COMPUTED_VALUE"""),"Neighbourhood")</f>
        <v>Neighbourhood</v>
      </c>
      <c r="D5503" s="2" t="str">
        <f ca="1">IFERROR(__xludf.DUMMYFUNCTION("""COMPUTED_VALUE"""),"Dubai&gt;Dubai Hills Estate")</f>
        <v>Dubai&gt;Dubai Hills Estate</v>
      </c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</row>
    <row r="5504" spans="1:26" ht="16.5" x14ac:dyDescent="0.35">
      <c r="A5504" s="2" t="str">
        <f ca="1">IFERROR(__xludf.DUMMYFUNCTION("""COMPUTED_VALUE"""),"Dubai")</f>
        <v>Dubai</v>
      </c>
      <c r="B5504" s="2" t="str">
        <f ca="1">IFERROR(__xludf.DUMMYFUNCTION("""COMPUTED_VALUE"""),"Address Residences Tower B")</f>
        <v>Address Residences Tower B</v>
      </c>
      <c r="C5504" s="2" t="str">
        <f ca="1">IFERROR(__xludf.DUMMYFUNCTION("""COMPUTED_VALUE"""),"Building")</f>
        <v>Building</v>
      </c>
      <c r="D5504" s="2" t="str">
        <f ca="1">IFERROR(__xludf.DUMMYFUNCTION("""COMPUTED_VALUE"""),"Dubai&gt;Dubai Hills Estate&gt;Park Heights&gt;Address Residences&gt;Address Residences Tower B")</f>
        <v>Dubai&gt;Dubai Hills Estate&gt;Park Heights&gt;Address Residences&gt;Address Residences Tower B</v>
      </c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</row>
    <row r="5505" spans="1:26" ht="16.5" x14ac:dyDescent="0.35">
      <c r="A5505" s="2" t="str">
        <f ca="1">IFERROR(__xludf.DUMMYFUNCTION("""COMPUTED_VALUE"""),"Dubai")</f>
        <v>Dubai</v>
      </c>
      <c r="B5505" s="2" t="str">
        <f ca="1">IFERROR(__xludf.DUMMYFUNCTION("""COMPUTED_VALUE"""),"Maple 1")</f>
        <v>Maple 1</v>
      </c>
      <c r="C5505" s="2" t="str">
        <f ca="1">IFERROR(__xludf.DUMMYFUNCTION("""COMPUTED_VALUE"""),"Neighbourhood")</f>
        <v>Neighbourhood</v>
      </c>
      <c r="D5505" s="2" t="str">
        <f ca="1">IFERROR(__xludf.DUMMYFUNCTION("""COMPUTED_VALUE"""),"Dubai&gt;Dubai Hills Estate&gt;Maple&gt;Maple 1")</f>
        <v>Dubai&gt;Dubai Hills Estate&gt;Maple&gt;Maple 1</v>
      </c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</row>
    <row r="5506" spans="1:26" ht="16.5" x14ac:dyDescent="0.35">
      <c r="A5506" s="2" t="str">
        <f ca="1">IFERROR(__xludf.DUMMYFUNCTION("""COMPUTED_VALUE"""),"Dubai")</f>
        <v>Dubai</v>
      </c>
      <c r="B5506" s="2" t="str">
        <f ca="1">IFERROR(__xludf.DUMMYFUNCTION("""COMPUTED_VALUE"""),"399 Hills Park")</f>
        <v>399 Hills Park</v>
      </c>
      <c r="C5506" s="2" t="str">
        <f ca="1">IFERROR(__xludf.DUMMYFUNCTION("""COMPUTED_VALUE"""),"Cluster")</f>
        <v>Cluster</v>
      </c>
      <c r="D5506" s="2" t="str">
        <f ca="1">IFERROR(__xludf.DUMMYFUNCTION("""COMPUTED_VALUE"""),"Dubai&gt;Dubai Hills Estate&gt;399 Hills Park")</f>
        <v>Dubai&gt;Dubai Hills Estate&gt;399 Hills Park</v>
      </c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</row>
    <row r="5507" spans="1:26" ht="16.5" x14ac:dyDescent="0.35">
      <c r="A5507" s="2" t="str">
        <f ca="1">IFERROR(__xludf.DUMMYFUNCTION("""COMPUTED_VALUE"""),"Dubai")</f>
        <v>Dubai</v>
      </c>
      <c r="B5507" s="2" t="str">
        <f ca="1">IFERROR(__xludf.DUMMYFUNCTION("""COMPUTED_VALUE"""),"Soho The Berkeley")</f>
        <v>Soho The Berkeley</v>
      </c>
      <c r="C5507" s="2" t="str">
        <f ca="1">IFERROR(__xludf.DUMMYFUNCTION("""COMPUTED_VALUE"""),"Building")</f>
        <v>Building</v>
      </c>
      <c r="D5507" s="2" t="str">
        <f ca="1">IFERROR(__xludf.DUMMYFUNCTION("""COMPUTED_VALUE"""),"Dubai&gt;Dubai Hills Estate&gt;Soho The Berkeley")</f>
        <v>Dubai&gt;Dubai Hills Estate&gt;Soho The Berkeley</v>
      </c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</row>
    <row r="5508" spans="1:26" ht="16.5" x14ac:dyDescent="0.35">
      <c r="A5508" s="2" t="str">
        <f ca="1">IFERROR(__xludf.DUMMYFUNCTION("""COMPUTED_VALUE"""),"Dubai")</f>
        <v>Dubai</v>
      </c>
      <c r="B5508" s="2" t="str">
        <f ca="1">IFERROR(__xludf.DUMMYFUNCTION("""COMPUTED_VALUE"""),"Dar Al-Khabeesi")</f>
        <v>Dar Al-Khabeesi</v>
      </c>
      <c r="C5508" s="2" t="str">
        <f ca="1">IFERROR(__xludf.DUMMYFUNCTION("""COMPUTED_VALUE"""),"Building")</f>
        <v>Building</v>
      </c>
      <c r="D5508" s="2" t="str">
        <f ca="1">IFERROR(__xludf.DUMMYFUNCTION("""COMPUTED_VALUE"""),"Dubai&gt;Deira&gt;Al Muraqqabat&gt;Dar Al-Khabeesi")</f>
        <v>Dubai&gt;Deira&gt;Al Muraqqabat&gt;Dar Al-Khabeesi</v>
      </c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</row>
    <row r="5509" spans="1:26" ht="16.5" x14ac:dyDescent="0.35">
      <c r="A5509" s="2" t="str">
        <f ca="1">IFERROR(__xludf.DUMMYFUNCTION("""COMPUTED_VALUE"""),"Dubai")</f>
        <v>Dubai</v>
      </c>
      <c r="B5509" s="2" t="str">
        <f ca="1">IFERROR(__xludf.DUMMYFUNCTION("""COMPUTED_VALUE"""),"Al Murqabat 615")</f>
        <v>Al Murqabat 615</v>
      </c>
      <c r="C5509" s="2" t="str">
        <f ca="1">IFERROR(__xludf.DUMMYFUNCTION("""COMPUTED_VALUE"""),"Building")</f>
        <v>Building</v>
      </c>
      <c r="D5509" s="2" t="str">
        <f ca="1">IFERROR(__xludf.DUMMYFUNCTION("""COMPUTED_VALUE"""),"Dubai&gt;Deira&gt;Al Muraqqabat&gt;Al Murqabat 615")</f>
        <v>Dubai&gt;Deira&gt;Al Muraqqabat&gt;Al Murqabat 615</v>
      </c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</row>
    <row r="5510" spans="1:26" ht="16.5" x14ac:dyDescent="0.35">
      <c r="A5510" s="2" t="str">
        <f ca="1">IFERROR(__xludf.DUMMYFUNCTION("""COMPUTED_VALUE"""),"Dubai")</f>
        <v>Dubai</v>
      </c>
      <c r="B5510" s="2" t="str">
        <f ca="1">IFERROR(__xludf.DUMMYFUNCTION("""COMPUTED_VALUE"""),"Edge Creekside Hotel")</f>
        <v>Edge Creekside Hotel</v>
      </c>
      <c r="C5510" s="2" t="str">
        <f ca="1">IFERROR(__xludf.DUMMYFUNCTION("""COMPUTED_VALUE"""),"Building")</f>
        <v>Building</v>
      </c>
      <c r="D5510" s="2" t="str">
        <f ca="1">IFERROR(__xludf.DUMMYFUNCTION("""COMPUTED_VALUE"""),"Dubai&gt;Deira&gt;Riggat Al Buteen&gt;Edge Creekside Hotel")</f>
        <v>Dubai&gt;Deira&gt;Riggat Al Buteen&gt;Edge Creekside Hotel</v>
      </c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</row>
    <row r="5511" spans="1:26" ht="16.5" x14ac:dyDescent="0.35">
      <c r="A5511" s="2" t="str">
        <f ca="1">IFERROR(__xludf.DUMMYFUNCTION("""COMPUTED_VALUE"""),"Dubai")</f>
        <v>Dubai</v>
      </c>
      <c r="B5511" s="2" t="str">
        <f ca="1">IFERROR(__xludf.DUMMYFUNCTION("""COMPUTED_VALUE"""),"Hor Al Anz Family Residence")</f>
        <v>Hor Al Anz Family Residence</v>
      </c>
      <c r="C5511" s="2" t="str">
        <f ca="1">IFERROR(__xludf.DUMMYFUNCTION("""COMPUTED_VALUE"""),"Building")</f>
        <v>Building</v>
      </c>
      <c r="D5511" s="2" t="str">
        <f ca="1">IFERROR(__xludf.DUMMYFUNCTION("""COMPUTED_VALUE"""),"Dubai&gt;Deira&gt;Hor Al Anz&gt;Hor Al Anz Family Residence")</f>
        <v>Dubai&gt;Deira&gt;Hor Al Anz&gt;Hor Al Anz Family Residence</v>
      </c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</row>
    <row r="5512" spans="1:26" ht="16.5" x14ac:dyDescent="0.35">
      <c r="A5512" s="2" t="str">
        <f ca="1">IFERROR(__xludf.DUMMYFUNCTION("""COMPUTED_VALUE"""),"Dubai")</f>
        <v>Dubai</v>
      </c>
      <c r="B5512" s="2" t="str">
        <f ca="1">IFERROR(__xludf.DUMMYFUNCTION("""COMPUTED_VALUE"""),"Maryam Ahmed Mohd Nasser Lootah Building")</f>
        <v>Maryam Ahmed Mohd Nasser Lootah Building</v>
      </c>
      <c r="C5512" s="2" t="str">
        <f ca="1">IFERROR(__xludf.DUMMYFUNCTION("""COMPUTED_VALUE"""),"Building")</f>
        <v>Building</v>
      </c>
      <c r="D5512" s="2" t="str">
        <f ca="1">IFERROR(__xludf.DUMMYFUNCTION("""COMPUTED_VALUE"""),"Dubai&gt;Deira&gt;Hor Al Anz&gt;Hor Al Anz East&gt;Maryam Ahmed Mohd Nasser Lootah Building")</f>
        <v>Dubai&gt;Deira&gt;Hor Al Anz&gt;Hor Al Anz East&gt;Maryam Ahmed Mohd Nasser Lootah Building</v>
      </c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</row>
    <row r="5513" spans="1:26" ht="16.5" x14ac:dyDescent="0.35">
      <c r="A5513" s="2" t="str">
        <f ca="1">IFERROR(__xludf.DUMMYFUNCTION("""COMPUTED_VALUE"""),"Dubai")</f>
        <v>Dubai</v>
      </c>
      <c r="B5513" s="2" t="str">
        <f ca="1">IFERROR(__xludf.DUMMYFUNCTION("""COMPUTED_VALUE"""),"Masaken Al Muteena 04")</f>
        <v>Masaken Al Muteena 04</v>
      </c>
      <c r="C5513" s="2" t="str">
        <f ca="1">IFERROR(__xludf.DUMMYFUNCTION("""COMPUTED_VALUE"""),"Building")</f>
        <v>Building</v>
      </c>
      <c r="D5513" s="2" t="str">
        <f ca="1">IFERROR(__xludf.DUMMYFUNCTION("""COMPUTED_VALUE"""),"Dubai&gt;Deira&gt;Al Muteena&gt;Masaken Al Muteena 04")</f>
        <v>Dubai&gt;Deira&gt;Al Muteena&gt;Masaken Al Muteena 04</v>
      </c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</row>
    <row r="5514" spans="1:26" ht="16.5" x14ac:dyDescent="0.35">
      <c r="A5514" s="2" t="str">
        <f ca="1">IFERROR(__xludf.DUMMYFUNCTION("""COMPUTED_VALUE"""),"Dubai")</f>
        <v>Dubai</v>
      </c>
      <c r="B5514" s="2" t="str">
        <f ca="1">IFERROR(__xludf.DUMMYFUNCTION("""COMPUTED_VALUE"""),"Al Wasel Building")</f>
        <v>Al Wasel Building</v>
      </c>
      <c r="C5514" s="2" t="str">
        <f ca="1">IFERROR(__xludf.DUMMYFUNCTION("""COMPUTED_VALUE"""),"Building")</f>
        <v>Building</v>
      </c>
      <c r="D5514" s="2" t="str">
        <f ca="1">IFERROR(__xludf.DUMMYFUNCTION("""COMPUTED_VALUE"""),"Dubai&gt;Deira&gt;Al Rigga&gt;Al Wasel Building")</f>
        <v>Dubai&gt;Deira&gt;Al Rigga&gt;Al Wasel Building</v>
      </c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</row>
    <row r="5515" spans="1:26" ht="16.5" x14ac:dyDescent="0.35">
      <c r="A5515" s="2" t="str">
        <f ca="1">IFERROR(__xludf.DUMMYFUNCTION("""COMPUTED_VALUE"""),"Dubai")</f>
        <v>Dubai</v>
      </c>
      <c r="B5515" s="2" t="str">
        <f ca="1">IFERROR(__xludf.DUMMYFUNCTION("""COMPUTED_VALUE"""),"Maitha Plaza")</f>
        <v>Maitha Plaza</v>
      </c>
      <c r="C5515" s="2" t="str">
        <f ca="1">IFERROR(__xludf.DUMMYFUNCTION("""COMPUTED_VALUE"""),"Cluster")</f>
        <v>Cluster</v>
      </c>
      <c r="D5515" s="2" t="str">
        <f ca="1">IFERROR(__xludf.DUMMYFUNCTION("""COMPUTED_VALUE"""),"Dubai&gt;Deira&gt;Deira Enrichment Project&gt;Maitha Plaza")</f>
        <v>Dubai&gt;Deira&gt;Deira Enrichment Project&gt;Maitha Plaza</v>
      </c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</row>
    <row r="5516" spans="1:26" ht="16.5" x14ac:dyDescent="0.35">
      <c r="A5516" s="2" t="str">
        <f ca="1">IFERROR(__xludf.DUMMYFUNCTION("""COMPUTED_VALUE"""),"Dubai")</f>
        <v>Dubai</v>
      </c>
      <c r="B5516" s="2" t="str">
        <f ca="1">IFERROR(__xludf.DUMMYFUNCTION("""COMPUTED_VALUE"""),"Sultan Abu Hail 1 Building")</f>
        <v>Sultan Abu Hail 1 Building</v>
      </c>
      <c r="C5516" s="2" t="str">
        <f ca="1">IFERROR(__xludf.DUMMYFUNCTION("""COMPUTED_VALUE"""),"Building")</f>
        <v>Building</v>
      </c>
      <c r="D5516" s="2" t="str">
        <f ca="1">IFERROR(__xludf.DUMMYFUNCTION("""COMPUTED_VALUE"""),"Dubai&gt;Deira&gt;Abu Hail&gt;Sultan Abu Hail 1 Building")</f>
        <v>Dubai&gt;Deira&gt;Abu Hail&gt;Sultan Abu Hail 1 Building</v>
      </c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</row>
    <row r="5517" spans="1:26" ht="16.5" x14ac:dyDescent="0.35">
      <c r="A5517" s="2" t="str">
        <f ca="1">IFERROR(__xludf.DUMMYFUNCTION("""COMPUTED_VALUE"""),"Dubai")</f>
        <v>Dubai</v>
      </c>
      <c r="B5517" s="2" t="str">
        <f ca="1">IFERROR(__xludf.DUMMYFUNCTION("""COMPUTED_VALUE"""),"Faraidooni Building")</f>
        <v>Faraidooni Building</v>
      </c>
      <c r="C5517" s="2" t="str">
        <f ca="1">IFERROR(__xludf.DUMMYFUNCTION("""COMPUTED_VALUE"""),"Building")</f>
        <v>Building</v>
      </c>
      <c r="D5517" s="2" t="str">
        <f ca="1">IFERROR(__xludf.DUMMYFUNCTION("""COMPUTED_VALUE"""),"Dubai&gt;Deira&gt;Naif&gt;Faraidooni Building")</f>
        <v>Dubai&gt;Deira&gt;Naif&gt;Faraidooni Building</v>
      </c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</row>
    <row r="5518" spans="1:26" ht="16.5" x14ac:dyDescent="0.35">
      <c r="A5518" s="2" t="str">
        <f ca="1">IFERROR(__xludf.DUMMYFUNCTION("""COMPUTED_VALUE"""),"Dubai")</f>
        <v>Dubai</v>
      </c>
      <c r="B5518" s="2" t="str">
        <f ca="1">IFERROR(__xludf.DUMMYFUNCTION("""COMPUTED_VALUE"""),"Al Mulla-3 Building")</f>
        <v>Al Mulla-3 Building</v>
      </c>
      <c r="C5518" s="2" t="str">
        <f ca="1">IFERROR(__xludf.DUMMYFUNCTION("""COMPUTED_VALUE"""),"Building")</f>
        <v>Building</v>
      </c>
      <c r="D5518" s="2" t="str">
        <f ca="1">IFERROR(__xludf.DUMMYFUNCTION("""COMPUTED_VALUE"""),"Dubai&gt;Deira&gt;Al Murar&gt;Al Mulla-3 Building")</f>
        <v>Dubai&gt;Deira&gt;Al Murar&gt;Al Mulla-3 Building</v>
      </c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</row>
    <row r="5519" spans="1:26" ht="16.5" x14ac:dyDescent="0.35">
      <c r="A5519" s="2" t="str">
        <f ca="1">IFERROR(__xludf.DUMMYFUNCTION("""COMPUTED_VALUE"""),"Dubai")</f>
        <v>Dubai</v>
      </c>
      <c r="B5519" s="2" t="str">
        <f ca="1">IFERROR(__xludf.DUMMYFUNCTION("""COMPUTED_VALUE"""),"Al Buteen")</f>
        <v>Al Buteen</v>
      </c>
      <c r="C5519" s="2" t="str">
        <f ca="1">IFERROR(__xludf.DUMMYFUNCTION("""COMPUTED_VALUE"""),"Neighbourhood")</f>
        <v>Neighbourhood</v>
      </c>
      <c r="D5519" s="2" t="str">
        <f ca="1">IFERROR(__xludf.DUMMYFUNCTION("""COMPUTED_VALUE"""),"Dubai&gt;Deira&gt;Al Buteen")</f>
        <v>Dubai&gt;Deira&gt;Al Buteen</v>
      </c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</row>
    <row r="5520" spans="1:26" ht="16.5" x14ac:dyDescent="0.35">
      <c r="A5520" s="2" t="str">
        <f ca="1">IFERROR(__xludf.DUMMYFUNCTION("""COMPUTED_VALUE"""),"Dubai")</f>
        <v>Dubai</v>
      </c>
      <c r="B5520" s="2" t="str">
        <f ca="1">IFERROR(__xludf.DUMMYFUNCTION("""COMPUTED_VALUE"""),"Aloft City Center")</f>
        <v>Aloft City Center</v>
      </c>
      <c r="C5520" s="2" t="str">
        <f ca="1">IFERROR(__xludf.DUMMYFUNCTION("""COMPUTED_VALUE"""),"Building")</f>
        <v>Building</v>
      </c>
      <c r="D5520" s="2" t="str">
        <f ca="1">IFERROR(__xludf.DUMMYFUNCTION("""COMPUTED_VALUE"""),"Dubai&gt;Deira&gt;Port Saeed&gt;Aloft City Center")</f>
        <v>Dubai&gt;Deira&gt;Port Saeed&gt;Aloft City Center</v>
      </c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</row>
    <row r="5521" spans="1:26" ht="16.5" x14ac:dyDescent="0.35">
      <c r="A5521" s="2" t="str">
        <f ca="1">IFERROR(__xludf.DUMMYFUNCTION("""COMPUTED_VALUE"""),"Dubai")</f>
        <v>Dubai</v>
      </c>
      <c r="B5521" s="2" t="str">
        <f ca="1">IFERROR(__xludf.DUMMYFUNCTION("""COMPUTED_VALUE"""),"Jewel of the Creek Tower A2")</f>
        <v>Jewel of the Creek Tower A2</v>
      </c>
      <c r="C5521" s="2" t="str">
        <f ca="1">IFERROR(__xludf.DUMMYFUNCTION("""COMPUTED_VALUE"""),"Building")</f>
        <v>Building</v>
      </c>
      <c r="D5521" s="2" t="str">
        <f ca="1">IFERROR(__xludf.DUMMYFUNCTION("""COMPUTED_VALUE"""),"Dubai&gt;Deira&gt;Port Saeed&gt;Jewel of the Creek&gt;Jewel of the Creek Tower A2")</f>
        <v>Dubai&gt;Deira&gt;Port Saeed&gt;Jewel of the Creek&gt;Jewel of the Creek Tower A2</v>
      </c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</row>
    <row r="5522" spans="1:26" ht="16.5" x14ac:dyDescent="0.35">
      <c r="A5522" s="2" t="str">
        <f ca="1">IFERROR(__xludf.DUMMYFUNCTION("""COMPUTED_VALUE"""),"Dubai")</f>
        <v>Dubai</v>
      </c>
      <c r="B5522" s="2" t="str">
        <f ca="1">IFERROR(__xludf.DUMMYFUNCTION("""COMPUTED_VALUE"""),"One B Tower")</f>
        <v>One B Tower</v>
      </c>
      <c r="C5522" s="2" t="str">
        <f ca="1">IFERROR(__xludf.DUMMYFUNCTION("""COMPUTED_VALUE"""),"Building")</f>
        <v>Building</v>
      </c>
      <c r="D5522" s="2" t="str">
        <f ca="1">IFERROR(__xludf.DUMMYFUNCTION("""COMPUTED_VALUE"""),"Dubai&gt;Business Bay&gt;Aykon City&gt;One B Tower")</f>
        <v>Dubai&gt;Business Bay&gt;Aykon City&gt;One B Tower</v>
      </c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</row>
    <row r="5523" spans="1:26" ht="16.5" x14ac:dyDescent="0.35">
      <c r="A5523" s="2" t="str">
        <f ca="1">IFERROR(__xludf.DUMMYFUNCTION("""COMPUTED_VALUE"""),"Dubai")</f>
        <v>Dubai</v>
      </c>
      <c r="B5523" s="2" t="str">
        <f ca="1">IFERROR(__xludf.DUMMYFUNCTION("""COMPUTED_VALUE"""),"Executive Tower L")</f>
        <v>Executive Tower L</v>
      </c>
      <c r="C5523" s="2" t="str">
        <f ca="1">IFERROR(__xludf.DUMMYFUNCTION("""COMPUTED_VALUE"""),"Building")</f>
        <v>Building</v>
      </c>
      <c r="D5523" s="2" t="str">
        <f ca="1">IFERROR(__xludf.DUMMYFUNCTION("""COMPUTED_VALUE"""),"Dubai&gt;Business Bay&gt;Executive Towers&gt;Executive Tower L")</f>
        <v>Dubai&gt;Business Bay&gt;Executive Towers&gt;Executive Tower L</v>
      </c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</row>
    <row r="5524" spans="1:26" ht="16.5" x14ac:dyDescent="0.35">
      <c r="A5524" s="2" t="str">
        <f ca="1">IFERROR(__xludf.DUMMYFUNCTION("""COMPUTED_VALUE"""),"Dubai")</f>
        <v>Dubai</v>
      </c>
      <c r="B5524" s="2" t="str">
        <f ca="1">IFERROR(__xludf.DUMMYFUNCTION("""COMPUTED_VALUE"""),"ENI Coral Tower")</f>
        <v>ENI Coral Tower</v>
      </c>
      <c r="C5524" s="2" t="str">
        <f ca="1">IFERROR(__xludf.DUMMYFUNCTION("""COMPUTED_VALUE"""),"Building")</f>
        <v>Building</v>
      </c>
      <c r="D5524" s="2" t="str">
        <f ca="1">IFERROR(__xludf.DUMMYFUNCTION("""COMPUTED_VALUE"""),"Dubai&gt;Business Bay&gt;ENI Coral Tower")</f>
        <v>Dubai&gt;Business Bay&gt;ENI Coral Tower</v>
      </c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</row>
    <row r="5525" spans="1:26" ht="16.5" x14ac:dyDescent="0.35">
      <c r="A5525" s="2" t="str">
        <f ca="1">IFERROR(__xludf.DUMMYFUNCTION("""COMPUTED_VALUE"""),"Dubai")</f>
        <v>Dubai</v>
      </c>
      <c r="B5525" s="2" t="str">
        <f ca="1">IFERROR(__xludf.DUMMYFUNCTION("""COMPUTED_VALUE"""),"The Cosmopolitan (Damac Maison)")</f>
        <v>The Cosmopolitan (Damac Maison)</v>
      </c>
      <c r="C5525" s="2" t="str">
        <f ca="1">IFERROR(__xludf.DUMMYFUNCTION("""COMPUTED_VALUE"""),"Building")</f>
        <v>Building</v>
      </c>
      <c r="D5525" s="2" t="str">
        <f ca="1">IFERROR(__xludf.DUMMYFUNCTION("""COMPUTED_VALUE"""),"Dubai&gt;Business Bay&gt;The Cosmopolitan (Damac Maison)")</f>
        <v>Dubai&gt;Business Bay&gt;The Cosmopolitan (Damac Maison)</v>
      </c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</row>
    <row r="5526" spans="1:26" ht="16.5" x14ac:dyDescent="0.35">
      <c r="A5526" s="2" t="str">
        <f ca="1">IFERROR(__xludf.DUMMYFUNCTION("""COMPUTED_VALUE"""),"Dubai")</f>
        <v>Dubai</v>
      </c>
      <c r="B5526" s="2" t="str">
        <f ca="1">IFERROR(__xludf.DUMMYFUNCTION("""COMPUTED_VALUE"""),"Millennium Atria")</f>
        <v>Millennium Atria</v>
      </c>
      <c r="C5526" s="2" t="str">
        <f ca="1">IFERROR(__xludf.DUMMYFUNCTION("""COMPUTED_VALUE"""),"Building")</f>
        <v>Building</v>
      </c>
      <c r="D5526" s="2" t="str">
        <f ca="1">IFERROR(__xludf.DUMMYFUNCTION("""COMPUTED_VALUE"""),"Dubai&gt;Business Bay&gt;The Atria&gt;Millennium Atria")</f>
        <v>Dubai&gt;Business Bay&gt;The Atria&gt;Millennium Atria</v>
      </c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</row>
    <row r="5527" spans="1:26" ht="16.5" x14ac:dyDescent="0.35">
      <c r="A5527" s="2" t="str">
        <f ca="1">IFERROR(__xludf.DUMMYFUNCTION("""COMPUTED_VALUE"""),"Dubai")</f>
        <v>Dubai</v>
      </c>
      <c r="B5527" s="2" t="str">
        <f ca="1">IFERROR(__xludf.DUMMYFUNCTION("""COMPUTED_VALUE"""),"Canada Business Centre Tower")</f>
        <v>Canada Business Centre Tower</v>
      </c>
      <c r="C5527" s="2" t="str">
        <f ca="1">IFERROR(__xludf.DUMMYFUNCTION("""COMPUTED_VALUE"""),"Building")</f>
        <v>Building</v>
      </c>
      <c r="D5527" s="2" t="str">
        <f ca="1">IFERROR(__xludf.DUMMYFUNCTION("""COMPUTED_VALUE"""),"Dubai&gt;Business Bay&gt;Canada Business Centre Tower")</f>
        <v>Dubai&gt;Business Bay&gt;Canada Business Centre Tower</v>
      </c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</row>
    <row r="5528" spans="1:26" ht="16.5" x14ac:dyDescent="0.35">
      <c r="A5528" s="2" t="str">
        <f ca="1">IFERROR(__xludf.DUMMYFUNCTION("""COMPUTED_VALUE"""),"Dubai")</f>
        <v>Dubai</v>
      </c>
      <c r="B5528" s="2" t="str">
        <f ca="1">IFERROR(__xludf.DUMMYFUNCTION("""COMPUTED_VALUE"""),"Mama Shelter (Luxury Family Residences II)")</f>
        <v>Mama Shelter (Luxury Family Residences II)</v>
      </c>
      <c r="C5528" s="2" t="str">
        <f ca="1">IFERROR(__xludf.DUMMYFUNCTION("""COMPUTED_VALUE"""),"Building")</f>
        <v>Building</v>
      </c>
      <c r="D5528" s="2" t="str">
        <f ca="1">IFERROR(__xludf.DUMMYFUNCTION("""COMPUTED_VALUE"""),"Dubai&gt;Business Bay&gt;Mama Shelter (Luxury Family Residences II)")</f>
        <v>Dubai&gt;Business Bay&gt;Mama Shelter (Luxury Family Residences II)</v>
      </c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</row>
    <row r="5529" spans="1:26" ht="16.5" x14ac:dyDescent="0.35">
      <c r="A5529" s="2" t="str">
        <f ca="1">IFERROR(__xludf.DUMMYFUNCTION("""COMPUTED_VALUE"""),"Dubai")</f>
        <v>Dubai</v>
      </c>
      <c r="B5529" s="2" t="str">
        <f ca="1">IFERROR(__xludf.DUMMYFUNCTION("""COMPUTED_VALUE"""),"Intercontinental Residence Suites")</f>
        <v>Intercontinental Residence Suites</v>
      </c>
      <c r="C5529" s="2" t="str">
        <f ca="1">IFERROR(__xludf.DUMMYFUNCTION("""COMPUTED_VALUE"""),"Building")</f>
        <v>Building</v>
      </c>
      <c r="D5529" s="2" t="str">
        <f ca="1">IFERROR(__xludf.DUMMYFUNCTION("""COMPUTED_VALUE"""),"Dubai&gt;Business Bay&gt;Intercontinental Residence Suites")</f>
        <v>Dubai&gt;Business Bay&gt;Intercontinental Residence Suites</v>
      </c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</row>
    <row r="5530" spans="1:26" ht="16.5" x14ac:dyDescent="0.35">
      <c r="A5530" s="2" t="str">
        <f ca="1">IFERROR(__xludf.DUMMYFUNCTION("""COMPUTED_VALUE"""),"Dubai")</f>
        <v>Dubai</v>
      </c>
      <c r="B5530" s="2" t="str">
        <f ca="1">IFERROR(__xludf.DUMMYFUNCTION("""COMPUTED_VALUE"""),"Onda by Kasco")</f>
        <v>Onda by Kasco</v>
      </c>
      <c r="C5530" s="2" t="str">
        <f ca="1">IFERROR(__xludf.DUMMYFUNCTION("""COMPUTED_VALUE"""),"Building")</f>
        <v>Building</v>
      </c>
      <c r="D5530" s="2" t="str">
        <f ca="1">IFERROR(__xludf.DUMMYFUNCTION("""COMPUTED_VALUE"""),"Dubai&gt;Business Bay&gt;Onda by Kasco")</f>
        <v>Dubai&gt;Business Bay&gt;Onda by Kasco</v>
      </c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</row>
    <row r="5531" spans="1:26" ht="16.5" x14ac:dyDescent="0.35">
      <c r="A5531" s="2" t="str">
        <f ca="1">IFERROR(__xludf.DUMMYFUNCTION("""COMPUTED_VALUE"""),"Dubai")</f>
        <v>Dubai</v>
      </c>
      <c r="B5531" s="2" t="str">
        <f ca="1">IFERROR(__xludf.DUMMYFUNCTION("""COMPUTED_VALUE"""),"Warsan 3")</f>
        <v>Warsan 3</v>
      </c>
      <c r="C5531" s="2" t="str">
        <f ca="1">IFERROR(__xludf.DUMMYFUNCTION("""COMPUTED_VALUE"""),"Neighbourhood")</f>
        <v>Neighbourhood</v>
      </c>
      <c r="D5531" s="2" t="str">
        <f ca="1">IFERROR(__xludf.DUMMYFUNCTION("""COMPUTED_VALUE"""),"Dubai&gt;Al Warsan&gt;Warsan 3")</f>
        <v>Dubai&gt;Al Warsan&gt;Warsan 3</v>
      </c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</row>
    <row r="5532" spans="1:26" ht="16.5" x14ac:dyDescent="0.35">
      <c r="A5532" s="2" t="str">
        <f ca="1">IFERROR(__xludf.DUMMYFUNCTION("""COMPUTED_VALUE"""),"Dubai")</f>
        <v>Dubai</v>
      </c>
      <c r="B5532" s="2" t="str">
        <f ca="1">IFERROR(__xludf.DUMMYFUNCTION("""COMPUTED_VALUE"""),"District 8Q")</f>
        <v>District 8Q</v>
      </c>
      <c r="C5532" s="2" t="str">
        <f ca="1">IFERROR(__xludf.DUMMYFUNCTION("""COMPUTED_VALUE"""),"Neighbourhood")</f>
        <v>Neighbourhood</v>
      </c>
      <c r="D5532" s="2" t="str">
        <f ca="1">IFERROR(__xludf.DUMMYFUNCTION("""COMPUTED_VALUE"""),"Dubai&gt;Jumeirah Village Triangle (JVT)&gt;JVT District 8&gt;District 8Q")</f>
        <v>Dubai&gt;Jumeirah Village Triangle (JVT)&gt;JVT District 8&gt;District 8Q</v>
      </c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</row>
    <row r="5533" spans="1:26" ht="16.5" x14ac:dyDescent="0.35">
      <c r="A5533" s="2" t="str">
        <f ca="1">IFERROR(__xludf.DUMMYFUNCTION("""COMPUTED_VALUE"""),"Dubai")</f>
        <v>Dubai</v>
      </c>
      <c r="B5533" s="2" t="str">
        <f ca="1">IFERROR(__xludf.DUMMYFUNCTION("""COMPUTED_VALUE"""),"JVT District 2")</f>
        <v>JVT District 2</v>
      </c>
      <c r="C5533" s="2" t="str">
        <f ca="1">IFERROR(__xludf.DUMMYFUNCTION("""COMPUTED_VALUE"""),"Neighbourhood")</f>
        <v>Neighbourhood</v>
      </c>
      <c r="D5533" s="2" t="str">
        <f ca="1">IFERROR(__xludf.DUMMYFUNCTION("""COMPUTED_VALUE"""),"Dubai&gt;Jumeirah Village Triangle (JVT)&gt;JVT District 2")</f>
        <v>Dubai&gt;Jumeirah Village Triangle (JVT)&gt;JVT District 2</v>
      </c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</row>
    <row r="5534" spans="1:26" ht="16.5" x14ac:dyDescent="0.35">
      <c r="A5534" s="2" t="str">
        <f ca="1">IFERROR(__xludf.DUMMYFUNCTION("""COMPUTED_VALUE"""),"Dubai")</f>
        <v>Dubai</v>
      </c>
      <c r="B5534" s="2" t="str">
        <f ca="1">IFERROR(__xludf.DUMMYFUNCTION("""COMPUTED_VALUE"""),"JVT District 7")</f>
        <v>JVT District 7</v>
      </c>
      <c r="C5534" s="2" t="str">
        <f ca="1">IFERROR(__xludf.DUMMYFUNCTION("""COMPUTED_VALUE"""),"Neighbourhood")</f>
        <v>Neighbourhood</v>
      </c>
      <c r="D5534" s="2" t="str">
        <f ca="1">IFERROR(__xludf.DUMMYFUNCTION("""COMPUTED_VALUE"""),"Dubai&gt;Jumeirah Village Triangle (JVT)&gt;JVT District 7")</f>
        <v>Dubai&gt;Jumeirah Village Triangle (JVT)&gt;JVT District 7</v>
      </c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</row>
    <row r="5535" spans="1:26" ht="16.5" x14ac:dyDescent="0.35">
      <c r="A5535" s="2" t="str">
        <f ca="1">IFERROR(__xludf.DUMMYFUNCTION("""COMPUTED_VALUE"""),"Dubai")</f>
        <v>Dubai</v>
      </c>
      <c r="B5535" s="2" t="str">
        <f ca="1">IFERROR(__xludf.DUMMYFUNCTION("""COMPUTED_VALUE"""),"Guzel Towers Block B")</f>
        <v>Guzel Towers Block B</v>
      </c>
      <c r="C5535" s="2" t="str">
        <f ca="1">IFERROR(__xludf.DUMMYFUNCTION("""COMPUTED_VALUE"""),"Building")</f>
        <v>Building</v>
      </c>
      <c r="D5535" s="2" t="str">
        <f ca="1">IFERROR(__xludf.DUMMYFUNCTION("""COMPUTED_VALUE"""),"Dubai&gt;Jumeirah Village Triangle (JVT)&gt;JVT District 1&gt;Guzel Towers&gt;Guzel Towers Block B")</f>
        <v>Dubai&gt;Jumeirah Village Triangle (JVT)&gt;JVT District 1&gt;Guzel Towers&gt;Guzel Towers Block B</v>
      </c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</row>
    <row r="5536" spans="1:26" ht="16.5" x14ac:dyDescent="0.35">
      <c r="A5536" s="2" t="str">
        <f ca="1">IFERROR(__xludf.DUMMYFUNCTION("""COMPUTED_VALUE"""),"Dubai")</f>
        <v>Dubai</v>
      </c>
      <c r="B5536" s="2" t="str">
        <f ca="1">IFERROR(__xludf.DUMMYFUNCTION("""COMPUTED_VALUE"""),"Sky Gate Tower")</f>
        <v>Sky Gate Tower</v>
      </c>
      <c r="C5536" s="2" t="str">
        <f ca="1">IFERROR(__xludf.DUMMYFUNCTION("""COMPUTED_VALUE"""),"Building")</f>
        <v>Building</v>
      </c>
      <c r="D5536" s="2" t="str">
        <f ca="1">IFERROR(__xludf.DUMMYFUNCTION("""COMPUTED_VALUE"""),"Dubai&gt;Jumeirah Village Triangle (JVT)&gt;JVT District 4&gt;Sky Gate Tower")</f>
        <v>Dubai&gt;Jumeirah Village Triangle (JVT)&gt;JVT District 4&gt;Sky Gate Tower</v>
      </c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</row>
    <row r="5537" spans="1:26" ht="16.5" x14ac:dyDescent="0.35">
      <c r="A5537" s="2" t="str">
        <f ca="1">IFERROR(__xludf.DUMMYFUNCTION("""COMPUTED_VALUE"""),"Dubai")</f>
        <v>Dubai</v>
      </c>
      <c r="B5537" s="2" t="str">
        <f ca="1">IFERROR(__xludf.DUMMYFUNCTION("""COMPUTED_VALUE"""),"Al Ramth 43")</f>
        <v>Al Ramth 43</v>
      </c>
      <c r="C5537" s="2" t="str">
        <f ca="1">IFERROR(__xludf.DUMMYFUNCTION("""COMPUTED_VALUE"""),"Building")</f>
        <v>Building</v>
      </c>
      <c r="D5537" s="2" t="str">
        <f ca="1">IFERROR(__xludf.DUMMYFUNCTION("""COMPUTED_VALUE"""),"Dubai&gt;Remraam&gt;Al Ramth&gt;Al Ramth 43")</f>
        <v>Dubai&gt;Remraam&gt;Al Ramth&gt;Al Ramth 43</v>
      </c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</row>
    <row r="5538" spans="1:26" ht="16.5" x14ac:dyDescent="0.35">
      <c r="A5538" s="2" t="str">
        <f ca="1">IFERROR(__xludf.DUMMYFUNCTION("""COMPUTED_VALUE"""),"Dubai")</f>
        <v>Dubai</v>
      </c>
      <c r="B5538" s="2" t="str">
        <f ca="1">IFERROR(__xludf.DUMMYFUNCTION("""COMPUTED_VALUE"""),"Al Ramth 32")</f>
        <v>Al Ramth 32</v>
      </c>
      <c r="C5538" s="2" t="str">
        <f ca="1">IFERROR(__xludf.DUMMYFUNCTION("""COMPUTED_VALUE"""),"Building")</f>
        <v>Building</v>
      </c>
      <c r="D5538" s="2" t="str">
        <f ca="1">IFERROR(__xludf.DUMMYFUNCTION("""COMPUTED_VALUE"""),"Dubai&gt;Remraam&gt;Al Ramth&gt;Al Ramth 32")</f>
        <v>Dubai&gt;Remraam&gt;Al Ramth&gt;Al Ramth 32</v>
      </c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</row>
    <row r="5539" spans="1:26" ht="16.5" x14ac:dyDescent="0.35">
      <c r="A5539" s="2" t="str">
        <f ca="1">IFERROR(__xludf.DUMMYFUNCTION("""COMPUTED_VALUE"""),"Dubai")</f>
        <v>Dubai</v>
      </c>
      <c r="B5539" s="2" t="str">
        <f ca="1">IFERROR(__xludf.DUMMYFUNCTION("""COMPUTED_VALUE"""),"Al Thamam 09")</f>
        <v>Al Thamam 09</v>
      </c>
      <c r="C5539" s="2" t="str">
        <f ca="1">IFERROR(__xludf.DUMMYFUNCTION("""COMPUTED_VALUE"""),"Building")</f>
        <v>Building</v>
      </c>
      <c r="D5539" s="2" t="str">
        <f ca="1">IFERROR(__xludf.DUMMYFUNCTION("""COMPUTED_VALUE"""),"Dubai&gt;Remraam&gt;Al Thamam&gt;Al Thamam 09")</f>
        <v>Dubai&gt;Remraam&gt;Al Thamam&gt;Al Thamam 09</v>
      </c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</row>
    <row r="5540" spans="1:26" ht="16.5" x14ac:dyDescent="0.35">
      <c r="A5540" s="2" t="str">
        <f ca="1">IFERROR(__xludf.DUMMYFUNCTION("""COMPUTED_VALUE"""),"Dubai")</f>
        <v>Dubai</v>
      </c>
      <c r="B5540" s="2" t="str">
        <f ca="1">IFERROR(__xludf.DUMMYFUNCTION("""COMPUTED_VALUE"""),"Dezire Residences")</f>
        <v>Dezire Residences</v>
      </c>
      <c r="C5540" s="2" t="str">
        <f ca="1">IFERROR(__xludf.DUMMYFUNCTION("""COMPUTED_VALUE"""),"Building")</f>
        <v>Building</v>
      </c>
      <c r="D5540" s="2" t="str">
        <f ca="1">IFERROR(__xludf.DUMMYFUNCTION("""COMPUTED_VALUE"""),"Dubai&gt;Jumeirah Village Circle (JVC)&gt;JVC District 17&gt;Dezire Residences")</f>
        <v>Dubai&gt;Jumeirah Village Circle (JVC)&gt;JVC District 17&gt;Dezire Residences</v>
      </c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</row>
    <row r="5541" spans="1:26" ht="16.5" x14ac:dyDescent="0.35">
      <c r="A5541" s="2" t="str">
        <f ca="1">IFERROR(__xludf.DUMMYFUNCTION("""COMPUTED_VALUE"""),"Dubai")</f>
        <v>Dubai</v>
      </c>
      <c r="B5541" s="2" t="str">
        <f ca="1">IFERROR(__xludf.DUMMYFUNCTION("""COMPUTED_VALUE"""),"Pantheon Elysee II")</f>
        <v>Pantheon Elysee II</v>
      </c>
      <c r="C5541" s="2" t="str">
        <f ca="1">IFERROR(__xludf.DUMMYFUNCTION("""COMPUTED_VALUE"""),"Building")</f>
        <v>Building</v>
      </c>
      <c r="D5541" s="2" t="str">
        <f ca="1">IFERROR(__xludf.DUMMYFUNCTION("""COMPUTED_VALUE"""),"Dubai&gt;Jumeirah Village Circle (JVC)&gt;JVC District 12&gt;Pantheon Elysee II")</f>
        <v>Dubai&gt;Jumeirah Village Circle (JVC)&gt;JVC District 12&gt;Pantheon Elysee II</v>
      </c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</row>
    <row r="5542" spans="1:26" ht="16.5" x14ac:dyDescent="0.35">
      <c r="A5542" s="2" t="str">
        <f ca="1">IFERROR(__xludf.DUMMYFUNCTION("""COMPUTED_VALUE"""),"Dubai")</f>
        <v>Dubai</v>
      </c>
      <c r="B5542" s="2" t="str">
        <f ca="1">IFERROR(__xludf.DUMMYFUNCTION("""COMPUTED_VALUE"""),"Gardenia 1")</f>
        <v>Gardenia 1</v>
      </c>
      <c r="C5542" s="2" t="str">
        <f ca="1">IFERROR(__xludf.DUMMYFUNCTION("""COMPUTED_VALUE"""),"Building")</f>
        <v>Building</v>
      </c>
      <c r="D5542" s="2" t="str">
        <f ca="1">IFERROR(__xludf.DUMMYFUNCTION("""COMPUTED_VALUE"""),"Dubai&gt;Jumeirah Village Circle (JVC)&gt;JVC District 12&gt;Emirates Gardens&gt;Gardenia 1")</f>
        <v>Dubai&gt;Jumeirah Village Circle (JVC)&gt;JVC District 12&gt;Emirates Gardens&gt;Gardenia 1</v>
      </c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</row>
    <row r="5543" spans="1:26" ht="16.5" x14ac:dyDescent="0.35">
      <c r="A5543" s="2" t="str">
        <f ca="1">IFERROR(__xludf.DUMMYFUNCTION("""COMPUTED_VALUE"""),"Dubai")</f>
        <v>Dubai</v>
      </c>
      <c r="B5543" s="2" t="str">
        <f ca="1">IFERROR(__xludf.DUMMYFUNCTION("""COMPUTED_VALUE"""),"AB Cavalier")</f>
        <v>AB Cavalier</v>
      </c>
      <c r="C5543" s="2" t="str">
        <f ca="1">IFERROR(__xludf.DUMMYFUNCTION("""COMPUTED_VALUE"""),"Building")</f>
        <v>Building</v>
      </c>
      <c r="D5543" s="2" t="str">
        <f ca="1">IFERROR(__xludf.DUMMYFUNCTION("""COMPUTED_VALUE"""),"Dubai&gt;Jumeirah Village Circle (JVC)&gt;JVC District 12&gt;AB Cavalier")</f>
        <v>Dubai&gt;Jumeirah Village Circle (JVC)&gt;JVC District 12&gt;AB Cavalier</v>
      </c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</row>
    <row r="5544" spans="1:26" ht="16.5" x14ac:dyDescent="0.35">
      <c r="A5544" s="2" t="str">
        <f ca="1">IFERROR(__xludf.DUMMYFUNCTION("""COMPUTED_VALUE"""),"Dubai")</f>
        <v>Dubai</v>
      </c>
      <c r="B5544" s="2" t="str">
        <f ca="1">IFERROR(__xludf.DUMMYFUNCTION("""COMPUTED_VALUE"""),"Nargis Residence")</f>
        <v>Nargis Residence</v>
      </c>
      <c r="C5544" s="2" t="str">
        <f ca="1">IFERROR(__xludf.DUMMYFUNCTION("""COMPUTED_VALUE"""),"Building")</f>
        <v>Building</v>
      </c>
      <c r="D5544" s="2" t="str">
        <f ca="1">IFERROR(__xludf.DUMMYFUNCTION("""COMPUTED_VALUE"""),"Dubai&gt;Jumeirah Village Circle (JVC)&gt;JVC District 13&gt;Nargis Residence")</f>
        <v>Dubai&gt;Jumeirah Village Circle (JVC)&gt;JVC District 13&gt;Nargis Residence</v>
      </c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</row>
    <row r="5545" spans="1:26" ht="16.5" x14ac:dyDescent="0.35">
      <c r="A5545" s="2" t="str">
        <f ca="1">IFERROR(__xludf.DUMMYFUNCTION("""COMPUTED_VALUE"""),"Dubai")</f>
        <v>Dubai</v>
      </c>
      <c r="B5545" s="2" t="str">
        <f ca="1">IFERROR(__xludf.DUMMYFUNCTION("""COMPUTED_VALUE"""),"Westar Vista")</f>
        <v>Westar Vista</v>
      </c>
      <c r="C5545" s="2" t="str">
        <f ca="1">IFERROR(__xludf.DUMMYFUNCTION("""COMPUTED_VALUE"""),"Neighbourhood")</f>
        <v>Neighbourhood</v>
      </c>
      <c r="D5545" s="2" t="str">
        <f ca="1">IFERROR(__xludf.DUMMYFUNCTION("""COMPUTED_VALUE"""),"Dubai&gt;Jumeirah Village Circle (JVC)&gt;JVC District 13&gt;Westar Vista")</f>
        <v>Dubai&gt;Jumeirah Village Circle (JVC)&gt;JVC District 13&gt;Westar Vista</v>
      </c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</row>
    <row r="5546" spans="1:26" ht="16.5" x14ac:dyDescent="0.35">
      <c r="A5546" s="2" t="str">
        <f ca="1">IFERROR(__xludf.DUMMYFUNCTION("""COMPUTED_VALUE"""),"Dubai")</f>
        <v>Dubai</v>
      </c>
      <c r="B5546" s="2" t="str">
        <f ca="1">IFERROR(__xludf.DUMMYFUNCTION("""COMPUTED_VALUE"""),"Maison Elysee 3")</f>
        <v>Maison Elysee 3</v>
      </c>
      <c r="C5546" s="2" t="str">
        <f ca="1">IFERROR(__xludf.DUMMYFUNCTION("""COMPUTED_VALUE"""),"Building")</f>
        <v>Building</v>
      </c>
      <c r="D5546" s="2" t="str">
        <f ca="1">IFERROR(__xludf.DUMMYFUNCTION("""COMPUTED_VALUE"""),"Dubai&gt;Jumeirah Village Circle (JVC)&gt;JVC District 13&gt;Maison Elysee 3")</f>
        <v>Dubai&gt;Jumeirah Village Circle (JVC)&gt;JVC District 13&gt;Maison Elysee 3</v>
      </c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</row>
    <row r="5547" spans="1:26" ht="16.5" x14ac:dyDescent="0.35">
      <c r="A5547" s="2" t="str">
        <f ca="1">IFERROR(__xludf.DUMMYFUNCTION("""COMPUTED_VALUE"""),"Dubai")</f>
        <v>Dubai</v>
      </c>
      <c r="B5547" s="2" t="str">
        <f ca="1">IFERROR(__xludf.DUMMYFUNCTION("""COMPUTED_VALUE"""),"Cello Residences Tower A")</f>
        <v>Cello Residences Tower A</v>
      </c>
      <c r="C5547" s="2" t="str">
        <f ca="1">IFERROR(__xludf.DUMMYFUNCTION("""COMPUTED_VALUE"""),"Building")</f>
        <v>Building</v>
      </c>
      <c r="D5547" s="2" t="str">
        <f ca="1">IFERROR(__xludf.DUMMYFUNCTION("""COMPUTED_VALUE"""),"Dubai&gt;Jumeirah Village Circle (JVC)&gt;JVC District 18&gt;Cello Residences&gt;Cello Residences Tower A")</f>
        <v>Dubai&gt;Jumeirah Village Circle (JVC)&gt;JVC District 18&gt;Cello Residences&gt;Cello Residences Tower A</v>
      </c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</row>
    <row r="5548" spans="1:26" ht="16.5" x14ac:dyDescent="0.35">
      <c r="A5548" s="2" t="str">
        <f ca="1">IFERROR(__xludf.DUMMYFUNCTION("""COMPUTED_VALUE"""),"Dubai")</f>
        <v>Dubai</v>
      </c>
      <c r="B5548" s="2" t="str">
        <f ca="1">IFERROR(__xludf.DUMMYFUNCTION("""COMPUTED_VALUE"""),"Artistic Heights")</f>
        <v>Artistic Heights</v>
      </c>
      <c r="C5548" s="2" t="str">
        <f ca="1">IFERROR(__xludf.DUMMYFUNCTION("""COMPUTED_VALUE"""),"Building")</f>
        <v>Building</v>
      </c>
      <c r="D5548" s="2" t="str">
        <f ca="1">IFERROR(__xludf.DUMMYFUNCTION("""COMPUTED_VALUE"""),"Dubai&gt;Jumeirah Village Circle (JVC)&gt;JVC District 10&gt;Artistic Heights")</f>
        <v>Dubai&gt;Jumeirah Village Circle (JVC)&gt;JVC District 10&gt;Artistic Heights</v>
      </c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</row>
    <row r="5549" spans="1:26" ht="16.5" x14ac:dyDescent="0.35">
      <c r="A5549" s="2" t="str">
        <f ca="1">IFERROR(__xludf.DUMMYFUNCTION("""COMPUTED_VALUE"""),"Dubai")</f>
        <v>Dubai</v>
      </c>
      <c r="B5549" s="2" t="str">
        <f ca="1">IFERROR(__xludf.DUMMYFUNCTION("""COMPUTED_VALUE"""),"Florence 2")</f>
        <v>Florence 2</v>
      </c>
      <c r="C5549" s="2" t="str">
        <f ca="1">IFERROR(__xludf.DUMMYFUNCTION("""COMPUTED_VALUE"""),"Building")</f>
        <v>Building</v>
      </c>
      <c r="D5549" s="2" t="str">
        <f ca="1">IFERROR(__xludf.DUMMYFUNCTION("""COMPUTED_VALUE"""),"Dubai&gt;Jumeirah Village Circle (JVC)&gt;JVC District 10&gt;Tuscan Residence&gt;Florence&gt;Florence 2")</f>
        <v>Dubai&gt;Jumeirah Village Circle (JVC)&gt;JVC District 10&gt;Tuscan Residence&gt;Florence&gt;Florence 2</v>
      </c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</row>
    <row r="5550" spans="1:26" ht="16.5" x14ac:dyDescent="0.35">
      <c r="A5550" s="2" t="str">
        <f ca="1">IFERROR(__xludf.DUMMYFUNCTION("""COMPUTED_VALUE"""),"Dubai")</f>
        <v>Dubai</v>
      </c>
      <c r="B5550" s="2" t="str">
        <f ca="1">IFERROR(__xludf.DUMMYFUNCTION("""COMPUTED_VALUE"""),"Sky Suites by Peace Homes")</f>
        <v>Sky Suites by Peace Homes</v>
      </c>
      <c r="C5550" s="2" t="str">
        <f ca="1">IFERROR(__xludf.DUMMYFUNCTION("""COMPUTED_VALUE"""),"Building")</f>
        <v>Building</v>
      </c>
      <c r="D5550" s="2" t="str">
        <f ca="1">IFERROR(__xludf.DUMMYFUNCTION("""COMPUTED_VALUE"""),"Dubai&gt;Jumeirah Village Circle (JVC)&gt;JVC District 10&gt;Sky Suites by Peace Homes")</f>
        <v>Dubai&gt;Jumeirah Village Circle (JVC)&gt;JVC District 10&gt;Sky Suites by Peace Homes</v>
      </c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</row>
    <row r="5551" spans="1:26" ht="16.5" x14ac:dyDescent="0.35">
      <c r="A5551" s="2" t="str">
        <f ca="1">IFERROR(__xludf.DUMMYFUNCTION("""COMPUTED_VALUE"""),"Dubai")</f>
        <v>Dubai</v>
      </c>
      <c r="B5551" s="2" t="str">
        <f ca="1">IFERROR(__xludf.DUMMYFUNCTION("""COMPUTED_VALUE"""),"Pearl House 4 by Imtiaz")</f>
        <v>Pearl House 4 by Imtiaz</v>
      </c>
      <c r="C5551" s="2" t="str">
        <f ca="1">IFERROR(__xludf.DUMMYFUNCTION("""COMPUTED_VALUE"""),"Building")</f>
        <v>Building</v>
      </c>
      <c r="D5551" s="2" t="str">
        <f ca="1">IFERROR(__xludf.DUMMYFUNCTION("""COMPUTED_VALUE"""),"Dubai&gt;Jumeirah Village Circle (JVC)&gt;JVC District 10&gt;Pearl House 4 by Imtiaz")</f>
        <v>Dubai&gt;Jumeirah Village Circle (JVC)&gt;JVC District 10&gt;Pearl House 4 by Imtiaz</v>
      </c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</row>
    <row r="5552" spans="1:26" ht="16.5" x14ac:dyDescent="0.35">
      <c r="A5552" s="2" t="str">
        <f ca="1">IFERROR(__xludf.DUMMYFUNCTION("""COMPUTED_VALUE"""),"Dubai")</f>
        <v>Dubai</v>
      </c>
      <c r="B5552" s="2" t="str">
        <f ca="1">IFERROR(__xludf.DUMMYFUNCTION("""COMPUTED_VALUE"""),"Dusk by Binghatti")</f>
        <v>Dusk by Binghatti</v>
      </c>
      <c r="C5552" s="2" t="str">
        <f ca="1">IFERROR(__xludf.DUMMYFUNCTION("""COMPUTED_VALUE"""),"Building")</f>
        <v>Building</v>
      </c>
      <c r="D5552" s="2" t="str">
        <f ca="1">IFERROR(__xludf.DUMMYFUNCTION("""COMPUTED_VALUE"""),"Dubai&gt;Jumeirah Village Circle (JVC)&gt;JVC District 16&gt;Dusk by Binghatti")</f>
        <v>Dubai&gt;Jumeirah Village Circle (JVC)&gt;JVC District 16&gt;Dusk by Binghatti</v>
      </c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</row>
    <row r="5553" spans="1:26" ht="16.5" x14ac:dyDescent="0.35">
      <c r="A5553" s="2" t="str">
        <f ca="1">IFERROR(__xludf.DUMMYFUNCTION("""COMPUTED_VALUE"""),"Dubai")</f>
        <v>Dubai</v>
      </c>
      <c r="B5553" s="2" t="str">
        <f ca="1">IFERROR(__xludf.DUMMYFUNCTION("""COMPUTED_VALUE"""),"La Perla Blanca")</f>
        <v>La Perla Blanca</v>
      </c>
      <c r="C5553" s="2" t="str">
        <f ca="1">IFERROR(__xludf.DUMMYFUNCTION("""COMPUTED_VALUE"""),"Building")</f>
        <v>Building</v>
      </c>
      <c r="D5553" s="2" t="str">
        <f ca="1">IFERROR(__xludf.DUMMYFUNCTION("""COMPUTED_VALUE"""),"Dubai&gt;Jumeirah Village Circle (JVC)&gt;JVC District 15&gt;La Perla Blanca")</f>
        <v>Dubai&gt;Jumeirah Village Circle (JVC)&gt;JVC District 15&gt;La Perla Blanca</v>
      </c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</row>
    <row r="5554" spans="1:26" ht="16.5" x14ac:dyDescent="0.35">
      <c r="A5554" s="2" t="str">
        <f ca="1">IFERROR(__xludf.DUMMYFUNCTION("""COMPUTED_VALUE"""),"Dubai")</f>
        <v>Dubai</v>
      </c>
      <c r="B5554" s="2" t="str">
        <f ca="1">IFERROR(__xludf.DUMMYFUNCTION("""COMPUTED_VALUE"""),"Hillmont Residences")</f>
        <v>Hillmont Residences</v>
      </c>
      <c r="C5554" s="2" t="str">
        <f ca="1">IFERROR(__xludf.DUMMYFUNCTION("""COMPUTED_VALUE"""),"Building")</f>
        <v>Building</v>
      </c>
      <c r="D5554" s="2" t="str">
        <f ca="1">IFERROR(__xludf.DUMMYFUNCTION("""COMPUTED_VALUE"""),"Dubai&gt;Jumeirah Village Circle (JVC)&gt;JVC District 15&gt;Hillmont Residences")</f>
        <v>Dubai&gt;Jumeirah Village Circle (JVC)&gt;JVC District 15&gt;Hillmont Residences</v>
      </c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</row>
    <row r="5555" spans="1:26" ht="16.5" x14ac:dyDescent="0.35">
      <c r="A5555" s="2" t="str">
        <f ca="1">IFERROR(__xludf.DUMMYFUNCTION("""COMPUTED_VALUE"""),"Dubai")</f>
        <v>Dubai</v>
      </c>
      <c r="B5555" s="2" t="str">
        <f ca="1">IFERROR(__xludf.DUMMYFUNCTION("""COMPUTED_VALUE"""),"Lorena Building")</f>
        <v>Lorena Building</v>
      </c>
      <c r="C5555" s="2" t="str">
        <f ca="1">IFERROR(__xludf.DUMMYFUNCTION("""COMPUTED_VALUE"""),"Building")</f>
        <v>Building</v>
      </c>
      <c r="D5555" s="2" t="str">
        <f ca="1">IFERROR(__xludf.DUMMYFUNCTION("""COMPUTED_VALUE"""),"Dubai&gt;Jumeirah Village Circle (JVC)&gt;JVC District 11&gt;Lorena Building")</f>
        <v>Dubai&gt;Jumeirah Village Circle (JVC)&gt;JVC District 11&gt;Lorena Building</v>
      </c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</row>
    <row r="5556" spans="1:26" ht="16.5" x14ac:dyDescent="0.35">
      <c r="A5556" s="2" t="str">
        <f ca="1">IFERROR(__xludf.DUMMYFUNCTION("""COMPUTED_VALUE"""),"Dubai")</f>
        <v>Dubai</v>
      </c>
      <c r="B5556" s="2" t="str">
        <f ca="1">IFERROR(__xludf.DUMMYFUNCTION("""COMPUTED_VALUE"""),"Oakley Square Residence")</f>
        <v>Oakley Square Residence</v>
      </c>
      <c r="C5556" s="2" t="str">
        <f ca="1">IFERROR(__xludf.DUMMYFUNCTION("""COMPUTED_VALUE"""),"Building")</f>
        <v>Building</v>
      </c>
      <c r="D5556" s="2" t="str">
        <f ca="1">IFERROR(__xludf.DUMMYFUNCTION("""COMPUTED_VALUE"""),"Dubai&gt;Jumeirah Village Circle (JVC)&gt;JVC District 11&gt;Oakley Square Residence")</f>
        <v>Dubai&gt;Jumeirah Village Circle (JVC)&gt;JVC District 11&gt;Oakley Square Residence</v>
      </c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</row>
    <row r="5557" spans="1:26" ht="16.5" x14ac:dyDescent="0.35">
      <c r="A5557" s="2" t="str">
        <f ca="1">IFERROR(__xludf.DUMMYFUNCTION("""COMPUTED_VALUE"""),"Dubai")</f>
        <v>Dubai</v>
      </c>
      <c r="B5557" s="2" t="str">
        <f ca="1">IFERROR(__xludf.DUMMYFUNCTION("""COMPUTED_VALUE"""),"Mass Residence")</f>
        <v>Mass Residence</v>
      </c>
      <c r="C5557" s="2" t="str">
        <f ca="1">IFERROR(__xludf.DUMMYFUNCTION("""COMPUTED_VALUE"""),"Building")</f>
        <v>Building</v>
      </c>
      <c r="D5557" s="2" t="str">
        <f ca="1">IFERROR(__xludf.DUMMYFUNCTION("""COMPUTED_VALUE"""),"Dubai&gt;Jumeirah Village Circle (JVC)&gt;JVC District 11&gt;Mass Residence")</f>
        <v>Dubai&gt;Jumeirah Village Circle (JVC)&gt;JVC District 11&gt;Mass Residence</v>
      </c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</row>
    <row r="5558" spans="1:26" ht="16.5" x14ac:dyDescent="0.35">
      <c r="A5558" s="2" t="str">
        <f ca="1">IFERROR(__xludf.DUMMYFUNCTION("""COMPUTED_VALUE"""),"Dubai")</f>
        <v>Dubai</v>
      </c>
      <c r="B5558" s="2" t="str">
        <f ca="1">IFERROR(__xludf.DUMMYFUNCTION("""COMPUTED_VALUE"""),"Belgravia 1")</f>
        <v>Belgravia 1</v>
      </c>
      <c r="C5558" s="2" t="str">
        <f ca="1">IFERROR(__xludf.DUMMYFUNCTION("""COMPUTED_VALUE"""),"Building")</f>
        <v>Building</v>
      </c>
      <c r="D5558" s="2" t="str">
        <f ca="1">IFERROR(__xludf.DUMMYFUNCTION("""COMPUTED_VALUE"""),"Dubai&gt;Jumeirah Village Circle (JVC)&gt;JVC District 14&gt;Belgravia 1")</f>
        <v>Dubai&gt;Jumeirah Village Circle (JVC)&gt;JVC District 14&gt;Belgravia 1</v>
      </c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</row>
    <row r="5559" spans="1:26" ht="16.5" x14ac:dyDescent="0.35">
      <c r="A5559" s="2" t="str">
        <f ca="1">IFERROR(__xludf.DUMMYFUNCTION("""COMPUTED_VALUE"""),"Dubai")</f>
        <v>Dubai</v>
      </c>
      <c r="B5559" s="2" t="str">
        <f ca="1">IFERROR(__xludf.DUMMYFUNCTION("""COMPUTED_VALUE"""),"Shamal Residences")</f>
        <v>Shamal Residences</v>
      </c>
      <c r="C5559" s="2" t="str">
        <f ca="1">IFERROR(__xludf.DUMMYFUNCTION("""COMPUTED_VALUE"""),"Cluster")</f>
        <v>Cluster</v>
      </c>
      <c r="D5559" s="2" t="str">
        <f ca="1">IFERROR(__xludf.DUMMYFUNCTION("""COMPUTED_VALUE"""),"Dubai&gt;Jumeirah Village Circle (JVC)&gt;JVC District 14&gt;Shamal Residences")</f>
        <v>Dubai&gt;Jumeirah Village Circle (JVC)&gt;JVC District 14&gt;Shamal Residences</v>
      </c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</row>
    <row r="5560" spans="1:26" ht="16.5" x14ac:dyDescent="0.35">
      <c r="A5560" s="2" t="str">
        <f ca="1">IFERROR(__xludf.DUMMYFUNCTION("""COMPUTED_VALUE"""),"Dubai")</f>
        <v>Dubai</v>
      </c>
      <c r="B5560" s="2" t="str">
        <f ca="1">IFERROR(__xludf.DUMMYFUNCTION("""COMPUTED_VALUE"""),"Grand Glow")</f>
        <v>Grand Glow</v>
      </c>
      <c r="C5560" s="2" t="str">
        <f ca="1">IFERROR(__xludf.DUMMYFUNCTION("""COMPUTED_VALUE"""),"Neighbourhood")</f>
        <v>Neighbourhood</v>
      </c>
      <c r="D5560" s="2" t="str">
        <f ca="1">IFERROR(__xludf.DUMMYFUNCTION("""COMPUTED_VALUE"""),"Dubai&gt;Jumeirah Village Circle (JVC)&gt;JVC District 14&gt;Grand Glow")</f>
        <v>Dubai&gt;Jumeirah Village Circle (JVC)&gt;JVC District 14&gt;Grand Glow</v>
      </c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</row>
    <row r="5561" spans="1:26" ht="16.5" x14ac:dyDescent="0.35">
      <c r="A5561" s="2" t="str">
        <f ca="1">IFERROR(__xludf.DUMMYFUNCTION("""COMPUTED_VALUE"""),"Dubai")</f>
        <v>Dubai</v>
      </c>
      <c r="B5561" s="2" t="str">
        <f ca="1">IFERROR(__xludf.DUMMYFUNCTION("""COMPUTED_VALUE"""),"Maya 2")</f>
        <v>Maya 2</v>
      </c>
      <c r="C5561" s="2" t="str">
        <f ca="1">IFERROR(__xludf.DUMMYFUNCTION("""COMPUTED_VALUE"""),"Building")</f>
        <v>Building</v>
      </c>
      <c r="D5561" s="2" t="str">
        <f ca="1">IFERROR(__xludf.DUMMYFUNCTION("""COMPUTED_VALUE"""),"Dubai&gt;Dubai Land Residence Complex&gt;Maya 2")</f>
        <v>Dubai&gt;Dubai Land Residence Complex&gt;Maya 2</v>
      </c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</row>
    <row r="5562" spans="1:26" ht="16.5" x14ac:dyDescent="0.35">
      <c r="A5562" s="2" t="str">
        <f ca="1">IFERROR(__xludf.DUMMYFUNCTION("""COMPUTED_VALUE"""),"Dubai")</f>
        <v>Dubai</v>
      </c>
      <c r="B5562" s="2" t="str">
        <f ca="1">IFERROR(__xludf.DUMMYFUNCTION("""COMPUTED_VALUE"""),"Desert Sun")</f>
        <v>Desert Sun</v>
      </c>
      <c r="C5562" s="2" t="str">
        <f ca="1">IFERROR(__xludf.DUMMYFUNCTION("""COMPUTED_VALUE"""),"Building")</f>
        <v>Building</v>
      </c>
      <c r="D5562" s="2" t="str">
        <f ca="1">IFERROR(__xludf.DUMMYFUNCTION("""COMPUTED_VALUE"""),"Dubai&gt;Dubai Land Residence Complex&gt;Desert Sun")</f>
        <v>Dubai&gt;Dubai Land Residence Complex&gt;Desert Sun</v>
      </c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</row>
    <row r="5563" spans="1:26" ht="16.5" x14ac:dyDescent="0.35">
      <c r="A5563" s="2" t="str">
        <f ca="1">IFERROR(__xludf.DUMMYFUNCTION("""COMPUTED_VALUE"""),"Dubai")</f>
        <v>Dubai</v>
      </c>
      <c r="B5563" s="2" t="str">
        <f ca="1">IFERROR(__xludf.DUMMYFUNCTION("""COMPUTED_VALUE"""),"AARK Residences")</f>
        <v>AARK Residences</v>
      </c>
      <c r="C5563" s="2" t="str">
        <f ca="1">IFERROR(__xludf.DUMMYFUNCTION("""COMPUTED_VALUE"""),"Building")</f>
        <v>Building</v>
      </c>
      <c r="D5563" s="2" t="str">
        <f ca="1">IFERROR(__xludf.DUMMYFUNCTION("""COMPUTED_VALUE"""),"Dubai&gt;Dubai Land Residence Complex&gt;AARK Residences")</f>
        <v>Dubai&gt;Dubai Land Residence Complex&gt;AARK Residences</v>
      </c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</row>
    <row r="5564" spans="1:26" ht="16.5" x14ac:dyDescent="0.35">
      <c r="A5564" s="2" t="str">
        <f ca="1">IFERROR(__xludf.DUMMYFUNCTION("""COMPUTED_VALUE"""),"Dubai")</f>
        <v>Dubai</v>
      </c>
      <c r="B5564" s="2" t="str">
        <f ca="1">IFERROR(__xludf.DUMMYFUNCTION("""COMPUTED_VALUE"""),"Cove Edition Residence 3 by Imtiaz")</f>
        <v>Cove Edition Residence 3 by Imtiaz</v>
      </c>
      <c r="C5564" s="2" t="str">
        <f ca="1">IFERROR(__xludf.DUMMYFUNCTION("""COMPUTED_VALUE"""),"Building")</f>
        <v>Building</v>
      </c>
      <c r="D5564" s="2" t="str">
        <f ca="1">IFERROR(__xludf.DUMMYFUNCTION("""COMPUTED_VALUE"""),"Dubai&gt;Dubai Land Residence Complex&gt;Cove Edition Residence 3 by Imtiaz")</f>
        <v>Dubai&gt;Dubai Land Residence Complex&gt;Cove Edition Residence 3 by Imtiaz</v>
      </c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</row>
    <row r="5565" spans="1:26" ht="16.5" x14ac:dyDescent="0.35">
      <c r="A5565" s="2" t="str">
        <f ca="1">IFERROR(__xludf.DUMMYFUNCTION("""COMPUTED_VALUE"""),"Dubai")</f>
        <v>Dubai</v>
      </c>
      <c r="B5565" s="2" t="str">
        <f ca="1">IFERROR(__xludf.DUMMYFUNCTION("""COMPUTED_VALUE"""),"Weybridge Gardens 4")</f>
        <v>Weybridge Gardens 4</v>
      </c>
      <c r="C5565" s="2" t="str">
        <f ca="1">IFERROR(__xludf.DUMMYFUNCTION("""COMPUTED_VALUE"""),"Building")</f>
        <v>Building</v>
      </c>
      <c r="D5565" s="2" t="str">
        <f ca="1">IFERROR(__xludf.DUMMYFUNCTION("""COMPUTED_VALUE"""),"Dubai&gt;Dubai Land Residence Complex&gt;Weybridge Gardens 4")</f>
        <v>Dubai&gt;Dubai Land Residence Complex&gt;Weybridge Gardens 4</v>
      </c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</row>
    <row r="5566" spans="1:26" ht="16.5" x14ac:dyDescent="0.35">
      <c r="A5566" s="2" t="str">
        <f ca="1">IFERROR(__xludf.DUMMYFUNCTION("""COMPUTED_VALUE"""),"Dubai")</f>
        <v>Dubai</v>
      </c>
      <c r="B5566" s="2" t="str">
        <f ca="1">IFERROR(__xludf.DUMMYFUNCTION("""COMPUTED_VALUE"""),"Shorooq Mirdif")</f>
        <v>Shorooq Mirdif</v>
      </c>
      <c r="C5566" s="2" t="str">
        <f ca="1">IFERROR(__xludf.DUMMYFUNCTION("""COMPUTED_VALUE"""),"Neighbourhood")</f>
        <v>Neighbourhood</v>
      </c>
      <c r="D5566" s="2" t="str">
        <f ca="1">IFERROR(__xludf.DUMMYFUNCTION("""COMPUTED_VALUE"""),"Dubai&gt;Mirdif&gt;Shorooq Mirdif")</f>
        <v>Dubai&gt;Mirdif&gt;Shorooq Mirdif</v>
      </c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</row>
    <row r="5567" spans="1:26" ht="16.5" x14ac:dyDescent="0.35">
      <c r="A5567" s="2" t="str">
        <f ca="1">IFERROR(__xludf.DUMMYFUNCTION("""COMPUTED_VALUE"""),"Dubai")</f>
        <v>Dubai</v>
      </c>
      <c r="B5567" s="2" t="str">
        <f ca="1">IFERROR(__xludf.DUMMYFUNCTION("""COMPUTED_VALUE"""),"Al Refaee Residence")</f>
        <v>Al Refaee Residence</v>
      </c>
      <c r="C5567" s="2" t="str">
        <f ca="1">IFERROR(__xludf.DUMMYFUNCTION("""COMPUTED_VALUE"""),"Building")</f>
        <v>Building</v>
      </c>
      <c r="D5567" s="2" t="str">
        <f ca="1">IFERROR(__xludf.DUMMYFUNCTION("""COMPUTED_VALUE"""),"Dubai&gt;Mirdif&gt;Al Refaee Residence")</f>
        <v>Dubai&gt;Mirdif&gt;Al Refaee Residence</v>
      </c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</row>
    <row r="5568" spans="1:26" ht="16.5" x14ac:dyDescent="0.35">
      <c r="A5568" s="2" t="str">
        <f ca="1">IFERROR(__xludf.DUMMYFUNCTION("""COMPUTED_VALUE"""),"Dubai")</f>
        <v>Dubai</v>
      </c>
      <c r="B5568" s="2" t="str">
        <f ca="1">IFERROR(__xludf.DUMMYFUNCTION("""COMPUTED_VALUE"""),"Maeen 5")</f>
        <v>Maeen 5</v>
      </c>
      <c r="C5568" s="2" t="str">
        <f ca="1">IFERROR(__xludf.DUMMYFUNCTION("""COMPUTED_VALUE"""),"Neighbourhood")</f>
        <v>Neighbourhood</v>
      </c>
      <c r="D5568" s="2" t="str">
        <f ca="1">IFERROR(__xludf.DUMMYFUNCTION("""COMPUTED_VALUE"""),"Dubai&gt;The Lakes&gt;Maeen&gt;Maeen 5")</f>
        <v>Dubai&gt;The Lakes&gt;Maeen&gt;Maeen 5</v>
      </c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</row>
    <row r="5569" spans="1:26" ht="16.5" x14ac:dyDescent="0.35">
      <c r="A5569" s="2" t="str">
        <f ca="1">IFERROR(__xludf.DUMMYFUNCTION("""COMPUTED_VALUE"""),"Dubai")</f>
        <v>Dubai</v>
      </c>
      <c r="B5569" s="2" t="str">
        <f ca="1">IFERROR(__xludf.DUMMYFUNCTION("""COMPUTED_VALUE"""),"Al Muhairbi Building")</f>
        <v>Al Muhairbi Building</v>
      </c>
      <c r="C5569" s="2" t="str">
        <f ca="1">IFERROR(__xludf.DUMMYFUNCTION("""COMPUTED_VALUE"""),"Building")</f>
        <v>Building</v>
      </c>
      <c r="D5569" s="2" t="str">
        <f ca="1">IFERROR(__xludf.DUMMYFUNCTION("""COMPUTED_VALUE"""),"Dubai&gt;Al Garhoud&gt;Al Muhairbi Building")</f>
        <v>Dubai&gt;Al Garhoud&gt;Al Muhairbi Building</v>
      </c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</row>
    <row r="5570" spans="1:26" ht="16.5" x14ac:dyDescent="0.35">
      <c r="A5570" s="2" t="str">
        <f ca="1">IFERROR(__xludf.DUMMYFUNCTION("""COMPUTED_VALUE"""),"Dubai")</f>
        <v>Dubai</v>
      </c>
      <c r="B5570" s="2" t="str">
        <f ca="1">IFERROR(__xludf.DUMMYFUNCTION("""COMPUTED_VALUE"""),"Al Gaizi Plaza")</f>
        <v>Al Gaizi Plaza</v>
      </c>
      <c r="C5570" s="2" t="str">
        <f ca="1">IFERROR(__xludf.DUMMYFUNCTION("""COMPUTED_VALUE"""),"Building")</f>
        <v>Building</v>
      </c>
      <c r="D5570" s="2" t="str">
        <f ca="1">IFERROR(__xludf.DUMMYFUNCTION("""COMPUTED_VALUE"""),"Dubai&gt;Al Garhoud&gt;Al Gaizi Plaza")</f>
        <v>Dubai&gt;Al Garhoud&gt;Al Gaizi Plaza</v>
      </c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</row>
    <row r="5571" spans="1:26" ht="16.5" x14ac:dyDescent="0.35">
      <c r="A5571" s="2" t="str">
        <f ca="1">IFERROR(__xludf.DUMMYFUNCTION("""COMPUTED_VALUE"""),"Dubai")</f>
        <v>Dubai</v>
      </c>
      <c r="B5571" s="2" t="str">
        <f ca="1">IFERROR(__xludf.DUMMYFUNCTION("""COMPUTED_VALUE"""),"Villa Mouza")</f>
        <v>Villa Mouza</v>
      </c>
      <c r="C5571" s="2" t="str">
        <f ca="1">IFERROR(__xludf.DUMMYFUNCTION("""COMPUTED_VALUE"""),"Neighbourhood")</f>
        <v>Neighbourhood</v>
      </c>
      <c r="D5571" s="2" t="str">
        <f ca="1">IFERROR(__xludf.DUMMYFUNCTION("""COMPUTED_VALUE"""),"Dubai&gt;Al Garhoud&gt;Villa Mouza")</f>
        <v>Dubai&gt;Al Garhoud&gt;Villa Mouza</v>
      </c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</row>
    <row r="5572" spans="1:26" ht="16.5" x14ac:dyDescent="0.35">
      <c r="A5572" s="2" t="str">
        <f ca="1">IFERROR(__xludf.DUMMYFUNCTION("""COMPUTED_VALUE"""),"Dubai")</f>
        <v>Dubai</v>
      </c>
      <c r="B5572" s="2" t="str">
        <f ca="1">IFERROR(__xludf.DUMMYFUNCTION("""COMPUTED_VALUE"""),"Cluster 30")</f>
        <v>Cluster 30</v>
      </c>
      <c r="C5572" s="2" t="str">
        <f ca="1">IFERROR(__xludf.DUMMYFUNCTION("""COMPUTED_VALUE"""),"Neighbourhood")</f>
        <v>Neighbourhood</v>
      </c>
      <c r="D5572" s="2" t="str">
        <f ca="1">IFERROR(__xludf.DUMMYFUNCTION("""COMPUTED_VALUE"""),"Dubai&gt;Jumeirah Islands&gt;Cluster 30")</f>
        <v>Dubai&gt;Jumeirah Islands&gt;Cluster 30</v>
      </c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</row>
    <row r="5573" spans="1:26" ht="16.5" x14ac:dyDescent="0.35">
      <c r="A5573" s="2" t="str">
        <f ca="1">IFERROR(__xludf.DUMMYFUNCTION("""COMPUTED_VALUE"""),"Dubai")</f>
        <v>Dubai</v>
      </c>
      <c r="B5573" s="2" t="str">
        <f ca="1">IFERROR(__xludf.DUMMYFUNCTION("""COMPUTED_VALUE"""),"Garden West Apartments A")</f>
        <v>Garden West Apartments A</v>
      </c>
      <c r="C5573" s="2" t="str">
        <f ca="1">IFERROR(__xludf.DUMMYFUNCTION("""COMPUTED_VALUE"""),"Building")</f>
        <v>Building</v>
      </c>
      <c r="D5573" s="2" t="str">
        <f ca="1">IFERROR(__xludf.DUMMYFUNCTION("""COMPUTED_VALUE"""),"Dubai&gt;Green Community&gt;Garden West Apartments&gt;Garden West Apartments A")</f>
        <v>Dubai&gt;Green Community&gt;Garden West Apartments&gt;Garden West Apartments A</v>
      </c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</row>
    <row r="5574" spans="1:26" ht="16.5" x14ac:dyDescent="0.35">
      <c r="A5574" s="2" t="str">
        <f ca="1">IFERROR(__xludf.DUMMYFUNCTION("""COMPUTED_VALUE"""),"Dubai")</f>
        <v>Dubai</v>
      </c>
      <c r="B5574" s="2" t="str">
        <f ca="1">IFERROR(__xludf.DUMMYFUNCTION("""COMPUTED_VALUE"""),"Terrace Apartments")</f>
        <v>Terrace Apartments</v>
      </c>
      <c r="C5574" s="2" t="str">
        <f ca="1">IFERROR(__xludf.DUMMYFUNCTION("""COMPUTED_VALUE"""),"Cluster")</f>
        <v>Cluster</v>
      </c>
      <c r="D5574" s="2" t="str">
        <f ca="1">IFERROR(__xludf.DUMMYFUNCTION("""COMPUTED_VALUE"""),"Dubai&gt;Green Community&gt;Green Community East&gt;Terrace Apartments")</f>
        <v>Dubai&gt;Green Community&gt;Green Community East&gt;Terrace Apartments</v>
      </c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</row>
    <row r="5575" spans="1:26" ht="16.5" x14ac:dyDescent="0.35">
      <c r="A5575" s="2" t="str">
        <f ca="1">IFERROR(__xludf.DUMMYFUNCTION("""COMPUTED_VALUE"""),"Dubai")</f>
        <v>Dubai</v>
      </c>
      <c r="B5575" s="2" t="str">
        <f ca="1">IFERROR(__xludf.DUMMYFUNCTION("""COMPUTED_VALUE"""),"Dubai Sports City")</f>
        <v>Dubai Sports City</v>
      </c>
      <c r="C5575" s="2" t="str">
        <f ca="1">IFERROR(__xludf.DUMMYFUNCTION("""COMPUTED_VALUE"""),"Neighbourhood")</f>
        <v>Neighbourhood</v>
      </c>
      <c r="D5575" s="2" t="str">
        <f ca="1">IFERROR(__xludf.DUMMYFUNCTION("""COMPUTED_VALUE"""),"Dubai&gt;Dubai Sports City")</f>
        <v>Dubai&gt;Dubai Sports City</v>
      </c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</row>
    <row r="5576" spans="1:26" ht="16.5" x14ac:dyDescent="0.35">
      <c r="A5576" s="2" t="str">
        <f ca="1">IFERROR(__xludf.DUMMYFUNCTION("""COMPUTED_VALUE"""),"Dubai")</f>
        <v>Dubai</v>
      </c>
      <c r="B5576" s="2" t="str">
        <f ca="1">IFERROR(__xludf.DUMMYFUNCTION("""COMPUTED_VALUE"""),"Eagle Heights")</f>
        <v>Eagle Heights</v>
      </c>
      <c r="C5576" s="2" t="str">
        <f ca="1">IFERROR(__xludf.DUMMYFUNCTION("""COMPUTED_VALUE"""),"Building")</f>
        <v>Building</v>
      </c>
      <c r="D5576" s="2" t="str">
        <f ca="1">IFERROR(__xludf.DUMMYFUNCTION("""COMPUTED_VALUE"""),"Dubai&gt;Dubai Sports City&gt;Eagle Heights")</f>
        <v>Dubai&gt;Dubai Sports City&gt;Eagle Heights</v>
      </c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</row>
    <row r="5577" spans="1:26" ht="16.5" x14ac:dyDescent="0.35">
      <c r="A5577" s="2" t="str">
        <f ca="1">IFERROR(__xludf.DUMMYFUNCTION("""COMPUTED_VALUE"""),"Dubai")</f>
        <v>Dubai</v>
      </c>
      <c r="B5577" s="2" t="str">
        <f ca="1">IFERROR(__xludf.DUMMYFUNCTION("""COMPUTED_VALUE"""),"Hera Tower")</f>
        <v>Hera Tower</v>
      </c>
      <c r="C5577" s="2" t="str">
        <f ca="1">IFERROR(__xludf.DUMMYFUNCTION("""COMPUTED_VALUE"""),"Building")</f>
        <v>Building</v>
      </c>
      <c r="D5577" s="2" t="str">
        <f ca="1">IFERROR(__xludf.DUMMYFUNCTION("""COMPUTED_VALUE"""),"Dubai&gt;Dubai Sports City&gt;Hera Tower")</f>
        <v>Dubai&gt;Dubai Sports City&gt;Hera Tower</v>
      </c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</row>
    <row r="5578" spans="1:26" ht="16.5" x14ac:dyDescent="0.35">
      <c r="A5578" s="2" t="str">
        <f ca="1">IFERROR(__xludf.DUMMYFUNCTION("""COMPUTED_VALUE"""),"Dubai")</f>
        <v>Dubai</v>
      </c>
      <c r="B5578" s="2" t="str">
        <f ca="1">IFERROR(__xludf.DUMMYFUNCTION("""COMPUTED_VALUE"""),"Idea Early Learning Center")</f>
        <v>Idea Early Learning Center</v>
      </c>
      <c r="C5578" s="2" t="str">
        <f ca="1">IFERROR(__xludf.DUMMYFUNCTION("""COMPUTED_VALUE"""),"Nursery")</f>
        <v>Nursery</v>
      </c>
      <c r="D5578" s="2" t="str">
        <f ca="1">IFERROR(__xludf.DUMMYFUNCTION("""COMPUTED_VALUE"""),"Dubai&gt;Dubai Sports City&gt;Gallery Villas&gt;Idea Early Learning Center")</f>
        <v>Dubai&gt;Dubai Sports City&gt;Gallery Villas&gt;Idea Early Learning Center</v>
      </c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</row>
    <row r="5579" spans="1:26" ht="16.5" x14ac:dyDescent="0.35">
      <c r="A5579" s="2" t="str">
        <f ca="1">IFERROR(__xludf.DUMMYFUNCTION("""COMPUTED_VALUE"""),"Dubai")</f>
        <v>Dubai</v>
      </c>
      <c r="B5579" s="2" t="str">
        <f ca="1">IFERROR(__xludf.DUMMYFUNCTION("""COMPUTED_VALUE"""),"Champions Tower 4")</f>
        <v>Champions Tower 4</v>
      </c>
      <c r="C5579" s="2" t="str">
        <f ca="1">IFERROR(__xludf.DUMMYFUNCTION("""COMPUTED_VALUE"""),"Building")</f>
        <v>Building</v>
      </c>
      <c r="D5579" s="2" t="str">
        <f ca="1">IFERROR(__xludf.DUMMYFUNCTION("""COMPUTED_VALUE"""),"Dubai&gt;Dubai Sports City&gt;Champions Tower&gt;Champions Tower 4")</f>
        <v>Dubai&gt;Dubai Sports City&gt;Champions Tower&gt;Champions Tower 4</v>
      </c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</row>
    <row r="5580" spans="1:26" ht="16.5" x14ac:dyDescent="0.35">
      <c r="A5580" s="2" t="str">
        <f ca="1">IFERROR(__xludf.DUMMYFUNCTION("""COMPUTED_VALUE"""),"Dubai")</f>
        <v>Dubai</v>
      </c>
      <c r="B5580" s="2" t="str">
        <f ca="1">IFERROR(__xludf.DUMMYFUNCTION("""COMPUTED_VALUE"""),"Lavender Hotel and Hotel Apartments")</f>
        <v>Lavender Hotel and Hotel Apartments</v>
      </c>
      <c r="C5580" s="2" t="str">
        <f ca="1">IFERROR(__xludf.DUMMYFUNCTION("""COMPUTED_VALUE"""),"Building")</f>
        <v>Building</v>
      </c>
      <c r="D5580" s="2" t="str">
        <f ca="1">IFERROR(__xludf.DUMMYFUNCTION("""COMPUTED_VALUE"""),"Dubai&gt;Al Nahda (Dubai)&gt;Al Nahda 1&gt;Lavender Hotel and Hotel Apartments")</f>
        <v>Dubai&gt;Al Nahda (Dubai)&gt;Al Nahda 1&gt;Lavender Hotel and Hotel Apartments</v>
      </c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</row>
    <row r="5581" spans="1:26" ht="16.5" x14ac:dyDescent="0.35">
      <c r="A5581" s="2" t="str">
        <f ca="1">IFERROR(__xludf.DUMMYFUNCTION("""COMPUTED_VALUE"""),"Dubai")</f>
        <v>Dubai</v>
      </c>
      <c r="B5581" s="2" t="str">
        <f ca="1">IFERROR(__xludf.DUMMYFUNCTION("""COMPUTED_VALUE"""),"Pristine Rainbow Nursery")</f>
        <v>Pristine Rainbow Nursery</v>
      </c>
      <c r="C5581" s="2" t="str">
        <f ca="1">IFERROR(__xludf.DUMMYFUNCTION("""COMPUTED_VALUE"""),"Nursery")</f>
        <v>Nursery</v>
      </c>
      <c r="D5581" s="2" t="str">
        <f ca="1">IFERROR(__xludf.DUMMYFUNCTION("""COMPUTED_VALUE"""),"Dubai&gt;Al Nahda (Dubai)&gt;Al Nahda 2&gt;Pristine Rainbow Nursery")</f>
        <v>Dubai&gt;Al Nahda (Dubai)&gt;Al Nahda 2&gt;Pristine Rainbow Nursery</v>
      </c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</row>
    <row r="5582" spans="1:26" ht="16.5" x14ac:dyDescent="0.35">
      <c r="A5582" s="2" t="str">
        <f ca="1">IFERROR(__xludf.DUMMYFUNCTION("""COMPUTED_VALUE"""),"Dubai")</f>
        <v>Dubai</v>
      </c>
      <c r="B5582" s="2" t="str">
        <f ca="1">IFERROR(__xludf.DUMMYFUNCTION("""COMPUTED_VALUE"""),"Bait Al Nahda")</f>
        <v>Bait Al Nahda</v>
      </c>
      <c r="C5582" s="2" t="str">
        <f ca="1">IFERROR(__xludf.DUMMYFUNCTION("""COMPUTED_VALUE"""),"Building")</f>
        <v>Building</v>
      </c>
      <c r="D5582" s="2" t="str">
        <f ca="1">IFERROR(__xludf.DUMMYFUNCTION("""COMPUTED_VALUE"""),"Dubai&gt;Al Nahda (Dubai)&gt;Al Nahda 2&gt;Bait Al Nahda")</f>
        <v>Dubai&gt;Al Nahda (Dubai)&gt;Al Nahda 2&gt;Bait Al Nahda</v>
      </c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</row>
    <row r="5583" spans="1:26" ht="16.5" x14ac:dyDescent="0.35">
      <c r="A5583" s="2" t="str">
        <f ca="1">IFERROR(__xludf.DUMMYFUNCTION("""COMPUTED_VALUE"""),"Dubai")</f>
        <v>Dubai</v>
      </c>
      <c r="B5583" s="2" t="str">
        <f ca="1">IFERROR(__xludf.DUMMYFUNCTION("""COMPUTED_VALUE"""),"Zero Zero Building")</f>
        <v>Zero Zero Building</v>
      </c>
      <c r="C5583" s="2" t="str">
        <f ca="1">IFERROR(__xludf.DUMMYFUNCTION("""COMPUTED_VALUE"""),"Building")</f>
        <v>Building</v>
      </c>
      <c r="D5583" s="2" t="str">
        <f ca="1">IFERROR(__xludf.DUMMYFUNCTION("""COMPUTED_VALUE"""),"Dubai&gt;Al Nahda (Dubai)&gt;Al Nahda 2&gt;Zero Zero Building")</f>
        <v>Dubai&gt;Al Nahda (Dubai)&gt;Al Nahda 2&gt;Zero Zero Building</v>
      </c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</row>
    <row r="5584" spans="1:26" ht="16.5" x14ac:dyDescent="0.35">
      <c r="A5584" s="2" t="str">
        <f ca="1">IFERROR(__xludf.DUMMYFUNCTION("""COMPUTED_VALUE"""),"Dubai")</f>
        <v>Dubai</v>
      </c>
      <c r="B5584" s="2" t="str">
        <f ca="1">IFERROR(__xludf.DUMMYFUNCTION("""COMPUTED_VALUE"""),"Al Malik Building")</f>
        <v>Al Malik Building</v>
      </c>
      <c r="C5584" s="2" t="str">
        <f ca="1">IFERROR(__xludf.DUMMYFUNCTION("""COMPUTED_VALUE"""),"Building")</f>
        <v>Building</v>
      </c>
      <c r="D5584" s="2" t="str">
        <f ca="1">IFERROR(__xludf.DUMMYFUNCTION("""COMPUTED_VALUE"""),"Dubai&gt;Al Nahda (Dubai)&gt;Al Nahda 2&gt;Al Malik Building")</f>
        <v>Dubai&gt;Al Nahda (Dubai)&gt;Al Nahda 2&gt;Al Malik Building</v>
      </c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</row>
    <row r="5585" spans="1:26" ht="16.5" x14ac:dyDescent="0.35">
      <c r="A5585" s="2" t="str">
        <f ca="1">IFERROR(__xludf.DUMMYFUNCTION("""COMPUTED_VALUE"""),"Dubai")</f>
        <v>Dubai</v>
      </c>
      <c r="B5585" s="2" t="str">
        <f ca="1">IFERROR(__xludf.DUMMYFUNCTION("""COMPUTED_VALUE"""),"Al Wasl Sports Club Building")</f>
        <v>Al Wasl Sports Club Building</v>
      </c>
      <c r="C5585" s="2" t="str">
        <f ca="1">IFERROR(__xludf.DUMMYFUNCTION("""COMPUTED_VALUE"""),"Building")</f>
        <v>Building</v>
      </c>
      <c r="D5585" s="2" t="str">
        <f ca="1">IFERROR(__xludf.DUMMYFUNCTION("""COMPUTED_VALUE"""),"Dubai&gt;Al Nahda (Dubai)&gt;Al Nahda 2&gt;Al Wasl Sports Club Building")</f>
        <v>Dubai&gt;Al Nahda (Dubai)&gt;Al Nahda 2&gt;Al Wasl Sports Club Building</v>
      </c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</row>
    <row r="5586" spans="1:26" ht="16.5" x14ac:dyDescent="0.35">
      <c r="A5586" s="2" t="str">
        <f ca="1">IFERROR(__xludf.DUMMYFUNCTION("""COMPUTED_VALUE"""),"Dubai")</f>
        <v>Dubai</v>
      </c>
      <c r="B5586" s="2" t="str">
        <f ca="1">IFERROR(__xludf.DUMMYFUNCTION("""COMPUTED_VALUE"""),"Malta")</f>
        <v>Malta</v>
      </c>
      <c r="C5586" s="2" t="str">
        <f ca="1">IFERROR(__xludf.DUMMYFUNCTION("""COMPUTED_VALUE"""),"Neighbourhood")</f>
        <v>Neighbourhood</v>
      </c>
      <c r="D5586" s="2" t="str">
        <f ca="1">IFERROR(__xludf.DUMMYFUNCTION("""COMPUTED_VALUE"""),"Dubai&gt;DAMAC Lagoons&gt;Malta")</f>
        <v>Dubai&gt;DAMAC Lagoons&gt;Malta</v>
      </c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</row>
    <row r="5587" spans="1:26" ht="16.5" x14ac:dyDescent="0.35">
      <c r="A5587" s="2" t="str">
        <f ca="1">IFERROR(__xludf.DUMMYFUNCTION("""COMPUTED_VALUE"""),"Dubai")</f>
        <v>Dubai</v>
      </c>
      <c r="B5587" s="2" t="str">
        <f ca="1">IFERROR(__xludf.DUMMYFUNCTION("""COMPUTED_VALUE"""),"M Square Building")</f>
        <v>M Square Building</v>
      </c>
      <c r="C5587" s="2" t="str">
        <f ca="1">IFERROR(__xludf.DUMMYFUNCTION("""COMPUTED_VALUE"""),"Building")</f>
        <v>Building</v>
      </c>
      <c r="D5587" s="2" t="str">
        <f ca="1">IFERROR(__xludf.DUMMYFUNCTION("""COMPUTED_VALUE"""),"Dubai&gt;Liwan 2&gt;M Square Building")</f>
        <v>Dubai&gt;Liwan 2&gt;M Square Building</v>
      </c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</row>
    <row r="5588" spans="1:26" ht="16.5" x14ac:dyDescent="0.35">
      <c r="A5588" s="2" t="str">
        <f ca="1">IFERROR(__xludf.DUMMYFUNCTION("""COMPUTED_VALUE"""),"Dubai")</f>
        <v>Dubai</v>
      </c>
      <c r="B5588" s="2" t="str">
        <f ca="1">IFERROR(__xludf.DUMMYFUNCTION("""COMPUTED_VALUE"""),"Alfa Residences")</f>
        <v>Alfa Residences</v>
      </c>
      <c r="C5588" s="2" t="str">
        <f ca="1">IFERROR(__xludf.DUMMYFUNCTION("""COMPUTED_VALUE"""),"Building")</f>
        <v>Building</v>
      </c>
      <c r="D5588" s="2" t="str">
        <f ca="1">IFERROR(__xludf.DUMMYFUNCTION("""COMPUTED_VALUE"""),"Dubai&gt;Liwan 2&gt;Alfa Residences")</f>
        <v>Dubai&gt;Liwan 2&gt;Alfa Residences</v>
      </c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</row>
    <row r="5589" spans="1:26" ht="16.5" x14ac:dyDescent="0.35">
      <c r="A5589" s="2" t="str">
        <f ca="1">IFERROR(__xludf.DUMMYFUNCTION("""COMPUTED_VALUE"""),"Dubai")</f>
        <v>Dubai</v>
      </c>
      <c r="B5589" s="2" t="str">
        <f ca="1">IFERROR(__xludf.DUMMYFUNCTION("""COMPUTED_VALUE"""),"Greenfield International School")</f>
        <v>Greenfield International School</v>
      </c>
      <c r="C5589" s="2" t="str">
        <f ca="1">IFERROR(__xludf.DUMMYFUNCTION("""COMPUTED_VALUE"""),"School")</f>
        <v>School</v>
      </c>
      <c r="D5589" s="2" t="str">
        <f ca="1">IFERROR(__xludf.DUMMYFUNCTION("""COMPUTED_VALUE"""),"Dubai&gt;Dubai Investment Park (DIP)&gt;Greenfield International School")</f>
        <v>Dubai&gt;Dubai Investment Park (DIP)&gt;Greenfield International School</v>
      </c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</row>
    <row r="5590" spans="1:26" ht="16.5" x14ac:dyDescent="0.35">
      <c r="A5590" s="2" t="str">
        <f ca="1">IFERROR(__xludf.DUMMYFUNCTION("""COMPUTED_VALUE"""),"Dubai")</f>
        <v>Dubai</v>
      </c>
      <c r="B5590" s="2" t="str">
        <f ca="1">IFERROR(__xludf.DUMMYFUNCTION("""COMPUTED_VALUE"""),"Lulu Hypermarket DIP")</f>
        <v>Lulu Hypermarket DIP</v>
      </c>
      <c r="C5590" s="2" t="str">
        <f ca="1">IFERROR(__xludf.DUMMYFUNCTION("""COMPUTED_VALUE"""),"Building")</f>
        <v>Building</v>
      </c>
      <c r="D5590" s="2" t="str">
        <f ca="1">IFERROR(__xludf.DUMMYFUNCTION("""COMPUTED_VALUE"""),"Dubai&gt;Dubai Investment Park (DIP)&gt;Dubai Investment Park 1&gt;Lulu Hypermarket DIP")</f>
        <v>Dubai&gt;Dubai Investment Park (DIP)&gt;Dubai Investment Park 1&gt;Lulu Hypermarket DIP</v>
      </c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</row>
    <row r="5591" spans="1:26" ht="16.5" x14ac:dyDescent="0.35">
      <c r="A5591" s="2" t="str">
        <f ca="1">IFERROR(__xludf.DUMMYFUNCTION("""COMPUTED_VALUE"""),"Dubai")</f>
        <v>Dubai</v>
      </c>
      <c r="B5591" s="2" t="str">
        <f ca="1">IFERROR(__xludf.DUMMYFUNCTION("""COMPUTED_VALUE"""),"Palmon FZE C")</f>
        <v>Palmon FZE C</v>
      </c>
      <c r="C5591" s="2" t="str">
        <f ca="1">IFERROR(__xludf.DUMMYFUNCTION("""COMPUTED_VALUE"""),"Building")</f>
        <v>Building</v>
      </c>
      <c r="D5591" s="2" t="str">
        <f ca="1">IFERROR(__xludf.DUMMYFUNCTION("""COMPUTED_VALUE"""),"Dubai&gt;Dubai Investment Park (DIP)&gt;Dubai Investment Park 1&gt;Palmon Group FZCO Accommodation&gt;Palmon FZE C")</f>
        <v>Dubai&gt;Dubai Investment Park (DIP)&gt;Dubai Investment Park 1&gt;Palmon Group FZCO Accommodation&gt;Palmon FZE C</v>
      </c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</row>
    <row r="5592" spans="1:26" ht="16.5" x14ac:dyDescent="0.35">
      <c r="A5592" s="2" t="str">
        <f ca="1">IFERROR(__xludf.DUMMYFUNCTION("""COMPUTED_VALUE"""),"Dubai")</f>
        <v>Dubai</v>
      </c>
      <c r="B5592" s="2" t="str">
        <f ca="1">IFERROR(__xludf.DUMMYFUNCTION("""COMPUTED_VALUE"""),"Al Sondos Apartments Block A")</f>
        <v>Al Sondos Apartments Block A</v>
      </c>
      <c r="C5592" s="2" t="str">
        <f ca="1">IFERROR(__xludf.DUMMYFUNCTION("""COMPUTED_VALUE"""),"Building")</f>
        <v>Building</v>
      </c>
      <c r="D5592" s="2" t="str">
        <f ca="1">IFERROR(__xludf.DUMMYFUNCTION("""COMPUTED_VALUE"""),"Dubai&gt;Dubai Investment Park (DIP)&gt;Al Sondos Apartments&gt;Al Sondos Apartments Block A")</f>
        <v>Dubai&gt;Dubai Investment Park (DIP)&gt;Al Sondos Apartments&gt;Al Sondos Apartments Block A</v>
      </c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</row>
    <row r="5593" spans="1:26" ht="16.5" x14ac:dyDescent="0.35">
      <c r="A5593" s="2" t="str">
        <f ca="1">IFERROR(__xludf.DUMMYFUNCTION("""COMPUTED_VALUE"""),"Dubai")</f>
        <v>Dubai</v>
      </c>
      <c r="B5593" s="2" t="str">
        <f ca="1">IFERROR(__xludf.DUMMYFUNCTION("""COMPUTED_VALUE"""),"B3")</f>
        <v>B3</v>
      </c>
      <c r="C5593" s="2" t="str">
        <f ca="1">IFERROR(__xludf.DUMMYFUNCTION("""COMPUTED_VALUE"""),"Building")</f>
        <v>Building</v>
      </c>
      <c r="D5593" s="2" t="str">
        <f ca="1">IFERROR(__xludf.DUMMYFUNCTION("""COMPUTED_VALUE"""),"Dubai&gt;Dubai Investment Park (DIP)&gt;Dubai Investment Park 2&gt;Dunes Village&gt;B3")</f>
        <v>Dubai&gt;Dubai Investment Park (DIP)&gt;Dubai Investment Park 2&gt;Dunes Village&gt;B3</v>
      </c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</row>
    <row r="5594" spans="1:26" ht="16.5" x14ac:dyDescent="0.35">
      <c r="A5594" s="2" t="str">
        <f ca="1">IFERROR(__xludf.DUMMYFUNCTION("""COMPUTED_VALUE"""),"Dubai")</f>
        <v>Dubai</v>
      </c>
      <c r="B5594" s="2" t="str">
        <f ca="1">IFERROR(__xludf.DUMMYFUNCTION("""COMPUTED_VALUE"""),"Verdana 2")</f>
        <v>Verdana 2</v>
      </c>
      <c r="C5594" s="2" t="str">
        <f ca="1">IFERROR(__xludf.DUMMYFUNCTION("""COMPUTED_VALUE"""),"Neighbourhood")</f>
        <v>Neighbourhood</v>
      </c>
      <c r="D5594" s="2" t="str">
        <f ca="1">IFERROR(__xludf.DUMMYFUNCTION("""COMPUTED_VALUE"""),"Dubai&gt;Dubai Investment Park (DIP)&gt;Verdana 2")</f>
        <v>Dubai&gt;Dubai Investment Park (DIP)&gt;Verdana 2</v>
      </c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</row>
    <row r="5595" spans="1:26" ht="16.5" x14ac:dyDescent="0.35">
      <c r="A5595" s="2" t="str">
        <f ca="1">IFERROR(__xludf.DUMMYFUNCTION("""COMPUTED_VALUE"""),"Dubai")</f>
        <v>Dubai</v>
      </c>
      <c r="B5595" s="2" t="str">
        <f ca="1">IFERROR(__xludf.DUMMYFUNCTION("""COMPUTED_VALUE"""),"Royal 2")</f>
        <v>Royal 2</v>
      </c>
      <c r="C5595" s="2" t="str">
        <f ca="1">IFERROR(__xludf.DUMMYFUNCTION("""COMPUTED_VALUE"""),"Building")</f>
        <v>Building</v>
      </c>
      <c r="D5595" s="2" t="str">
        <f ca="1">IFERROR(__xludf.DUMMYFUNCTION("""COMPUTED_VALUE"""),"Dubai&gt;Dubai Investment Park (DIP)&gt;DAMAC Riverside&gt;Riverside Views&gt;Royal 2")</f>
        <v>Dubai&gt;Dubai Investment Park (DIP)&gt;DAMAC Riverside&gt;Riverside Views&gt;Royal 2</v>
      </c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</row>
    <row r="5596" spans="1:26" ht="16.5" x14ac:dyDescent="0.35">
      <c r="A5596" s="2" t="str">
        <f ca="1">IFERROR(__xludf.DUMMYFUNCTION("""COMPUTED_VALUE"""),"Dubai")</f>
        <v>Dubai</v>
      </c>
      <c r="B5596" s="2" t="str">
        <f ca="1">IFERROR(__xludf.DUMMYFUNCTION("""COMPUTED_VALUE"""),"Croesus")</f>
        <v>Croesus</v>
      </c>
      <c r="C5596" s="2" t="str">
        <f ca="1">IFERROR(__xludf.DUMMYFUNCTION("""COMPUTED_VALUE"""),"Building")</f>
        <v>Building</v>
      </c>
      <c r="D5596" s="2" t="str">
        <f ca="1">IFERROR(__xludf.DUMMYFUNCTION("""COMPUTED_VALUE"""),"Dubai&gt;Majan&gt;Croesus")</f>
        <v>Dubai&gt;Majan&gt;Croesus</v>
      </c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</row>
    <row r="5597" spans="1:26" ht="16.5" x14ac:dyDescent="0.35">
      <c r="A5597" s="2" t="str">
        <f ca="1">IFERROR(__xludf.DUMMYFUNCTION("""COMPUTED_VALUE"""),"Dubai")</f>
        <v>Dubai</v>
      </c>
      <c r="B5597" s="2" t="str">
        <f ca="1">IFERROR(__xludf.DUMMYFUNCTION("""COMPUTED_VALUE"""),"Rashid Buset Building 1")</f>
        <v>Rashid Buset Building 1</v>
      </c>
      <c r="C5597" s="2" t="str">
        <f ca="1">IFERROR(__xludf.DUMMYFUNCTION("""COMPUTED_VALUE"""),"Building")</f>
        <v>Building</v>
      </c>
      <c r="D5597" s="2" t="str">
        <f ca="1">IFERROR(__xludf.DUMMYFUNCTION("""COMPUTED_VALUE"""),"Dubai&gt;Majan&gt;Rashid Buset Building 1")</f>
        <v>Dubai&gt;Majan&gt;Rashid Buset Building 1</v>
      </c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</row>
    <row r="5598" spans="1:26" ht="16.5" x14ac:dyDescent="0.35">
      <c r="A5598" s="2" t="str">
        <f ca="1">IFERROR(__xludf.DUMMYFUNCTION("""COMPUTED_VALUE"""),"Dubai")</f>
        <v>Dubai</v>
      </c>
      <c r="B5598" s="2" t="str">
        <f ca="1">IFERROR(__xludf.DUMMYFUNCTION("""COMPUTED_VALUE"""),"Divine Al Barari")</f>
        <v>Divine Al Barari</v>
      </c>
      <c r="C5598" s="2" t="str">
        <f ca="1">IFERROR(__xludf.DUMMYFUNCTION("""COMPUTED_VALUE"""),"Building")</f>
        <v>Building</v>
      </c>
      <c r="D5598" s="2" t="str">
        <f ca="1">IFERROR(__xludf.DUMMYFUNCTION("""COMPUTED_VALUE"""),"Dubai&gt;Majan&gt;Divine Al Barari")</f>
        <v>Dubai&gt;Majan&gt;Divine Al Barari</v>
      </c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</row>
    <row r="5599" spans="1:26" ht="16.5" x14ac:dyDescent="0.35">
      <c r="A5599" s="2" t="str">
        <f ca="1">IFERROR(__xludf.DUMMYFUNCTION("""COMPUTED_VALUE"""),"Dubai")</f>
        <v>Dubai</v>
      </c>
      <c r="B5599" s="2" t="str">
        <f ca="1">IFERROR(__xludf.DUMMYFUNCTION("""COMPUTED_VALUE"""),"Al Lisaili Camel Market")</f>
        <v>Al Lisaili Camel Market</v>
      </c>
      <c r="C5599" s="2" t="str">
        <f ca="1">IFERROR(__xludf.DUMMYFUNCTION("""COMPUTED_VALUE"""),"Neighbourhood")</f>
        <v>Neighbourhood</v>
      </c>
      <c r="D5599" s="2" t="str">
        <f ca="1">IFERROR(__xludf.DUMMYFUNCTION("""COMPUTED_VALUE"""),"Dubai&gt;Margham&gt;Al Lisaili Camel Market")</f>
        <v>Dubai&gt;Margham&gt;Al Lisaili Camel Market</v>
      </c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</row>
    <row r="5600" spans="1:26" ht="16.5" x14ac:dyDescent="0.35">
      <c r="A5600" s="2" t="str">
        <f ca="1">IFERROR(__xludf.DUMMYFUNCTION("""COMPUTED_VALUE"""),"Dubai")</f>
        <v>Dubai</v>
      </c>
      <c r="B5600" s="2" t="str">
        <f ca="1">IFERROR(__xludf.DUMMYFUNCTION("""COMPUTED_VALUE"""),"Olivara Residences 4")</f>
        <v>Olivara Residences 4</v>
      </c>
      <c r="C5600" s="2" t="str">
        <f ca="1">IFERROR(__xludf.DUMMYFUNCTION("""COMPUTED_VALUE"""),"Building")</f>
        <v>Building</v>
      </c>
      <c r="D5600" s="2" t="str">
        <f ca="1">IFERROR(__xludf.DUMMYFUNCTION("""COMPUTED_VALUE"""),"Dubai&gt;Dubai Studio City&gt;Olivara Residences&gt;Olivara Residences 4")</f>
        <v>Dubai&gt;Dubai Studio City&gt;Olivara Residences&gt;Olivara Residences 4</v>
      </c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</row>
    <row r="5601" spans="1:26" ht="16.5" x14ac:dyDescent="0.35">
      <c r="A5601" s="2" t="str">
        <f ca="1">IFERROR(__xludf.DUMMYFUNCTION("""COMPUTED_VALUE"""),"Dubai")</f>
        <v>Dubai</v>
      </c>
      <c r="B5601" s="2" t="str">
        <f ca="1">IFERROR(__xludf.DUMMYFUNCTION("""COMPUTED_VALUE"""),"BS-17")</f>
        <v>BS-17</v>
      </c>
      <c r="C5601" s="2" t="str">
        <f ca="1">IFERROR(__xludf.DUMMYFUNCTION("""COMPUTED_VALUE"""),"Building")</f>
        <v>Building</v>
      </c>
      <c r="D5601" s="2" t="str">
        <f ca="1">IFERROR(__xludf.DUMMYFUNCTION("""COMPUTED_VALUE"""),"Dubai&gt;Dubai Studio City&gt;Boutique Studios&gt;BS-17")</f>
        <v>Dubai&gt;Dubai Studio City&gt;Boutique Studios&gt;BS-17</v>
      </c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</row>
    <row r="5602" spans="1:26" ht="16.5" x14ac:dyDescent="0.35">
      <c r="A5602" s="2" t="str">
        <f ca="1">IFERROR(__xludf.DUMMYFUNCTION("""COMPUTED_VALUE"""),"Dubai")</f>
        <v>Dubai</v>
      </c>
      <c r="B5602" s="2" t="str">
        <f ca="1">IFERROR(__xludf.DUMMYFUNCTION("""COMPUTED_VALUE"""),"The Terraces South")</f>
        <v>The Terraces South</v>
      </c>
      <c r="C5602" s="2" t="str">
        <f ca="1">IFERROR(__xludf.DUMMYFUNCTION("""COMPUTED_VALUE"""),"Building")</f>
        <v>Building</v>
      </c>
      <c r="D5602" s="2" t="str">
        <f ca="1">IFERROR(__xludf.DUMMYFUNCTION("""COMPUTED_VALUE"""),"Dubai&gt;Sobha Hartland&gt;The Terraces&gt;The Terraces South")</f>
        <v>Dubai&gt;Sobha Hartland&gt;The Terraces&gt;The Terraces South</v>
      </c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</row>
    <row r="5603" spans="1:26" ht="16.5" x14ac:dyDescent="0.35">
      <c r="A5603" s="2" t="str">
        <f ca="1">IFERROR(__xludf.DUMMYFUNCTION("""COMPUTED_VALUE"""),"Dubai")</f>
        <v>Dubai</v>
      </c>
      <c r="B5603" s="2" t="str">
        <f ca="1">IFERROR(__xludf.DUMMYFUNCTION("""COMPUTED_VALUE"""),"Sobha One Tower A")</f>
        <v>Sobha One Tower A</v>
      </c>
      <c r="C5603" s="2" t="str">
        <f ca="1">IFERROR(__xludf.DUMMYFUNCTION("""COMPUTED_VALUE"""),"Building")</f>
        <v>Building</v>
      </c>
      <c r="D5603" s="2" t="str">
        <f ca="1">IFERROR(__xludf.DUMMYFUNCTION("""COMPUTED_VALUE"""),"Dubai&gt;Sobha Hartland&gt;Sobha One&gt;Sobha One Tower A")</f>
        <v>Dubai&gt;Sobha Hartland&gt;Sobha One&gt;Sobha One Tower A</v>
      </c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</row>
    <row r="5604" spans="1:26" ht="16.5" x14ac:dyDescent="0.35">
      <c r="A5604" s="2" t="str">
        <f ca="1">IFERROR(__xludf.DUMMYFUNCTION("""COMPUTED_VALUE"""),"Dubai")</f>
        <v>Dubai</v>
      </c>
      <c r="B5604" s="2" t="str">
        <f ca="1">IFERROR(__xludf.DUMMYFUNCTION("""COMPUTED_VALUE"""),"Building 1A")</f>
        <v>Building 1A</v>
      </c>
      <c r="C5604" s="2" t="str">
        <f ca="1">IFERROR(__xludf.DUMMYFUNCTION("""COMPUTED_VALUE"""),"Building")</f>
        <v>Building</v>
      </c>
      <c r="D5604" s="2" t="str">
        <f ca="1">IFERROR(__xludf.DUMMYFUNCTION("""COMPUTED_VALUE"""),"Dubai&gt;Expo City&gt;Expo Village&gt;Residences 1&gt;Building 1A")</f>
        <v>Dubai&gt;Expo City&gt;Expo Village&gt;Residences 1&gt;Building 1A</v>
      </c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</row>
    <row r="5605" spans="1:26" ht="16.5" x14ac:dyDescent="0.35">
      <c r="A5605" s="2" t="str">
        <f ca="1">IFERROR(__xludf.DUMMYFUNCTION("""COMPUTED_VALUE"""),"Dubai")</f>
        <v>Dubai</v>
      </c>
      <c r="B5605" s="2" t="str">
        <f ca="1">IFERROR(__xludf.DUMMYFUNCTION("""COMPUTED_VALUE"""),"Sky Residences")</f>
        <v>Sky Residences</v>
      </c>
      <c r="C5605" s="2" t="str">
        <f ca="1">IFERROR(__xludf.DUMMYFUNCTION("""COMPUTED_VALUE"""),"Building")</f>
        <v>Building</v>
      </c>
      <c r="D5605" s="2" t="str">
        <f ca="1">IFERROR(__xludf.DUMMYFUNCTION("""COMPUTED_VALUE"""),"Dubai&gt;Expo City&gt;Sky Residences")</f>
        <v>Dubai&gt;Expo City&gt;Sky Residences</v>
      </c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</row>
    <row r="5606" spans="1:26" ht="16.5" x14ac:dyDescent="0.35">
      <c r="A5606" s="2" t="str">
        <f ca="1">IFERROR(__xludf.DUMMYFUNCTION("""COMPUTED_VALUE"""),"Dubai")</f>
        <v>Dubai</v>
      </c>
      <c r="B5606" s="2" t="str">
        <f ca="1">IFERROR(__xludf.DUMMYFUNCTION("""COMPUTED_VALUE"""),"Kuwait Island")</f>
        <v>Kuwait Island</v>
      </c>
      <c r="C5606" s="2" t="str">
        <f ca="1">IFERROR(__xludf.DUMMYFUNCTION("""COMPUTED_VALUE"""),"Neighbourhood")</f>
        <v>Neighbourhood</v>
      </c>
      <c r="D5606" s="2" t="str">
        <f ca="1">IFERROR(__xludf.DUMMYFUNCTION("""COMPUTED_VALUE"""),"Dubai&gt;The World Islands&gt;Kuwait Island")</f>
        <v>Dubai&gt;The World Islands&gt;Kuwait Island</v>
      </c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</row>
    <row r="5607" spans="1:26" ht="16.5" x14ac:dyDescent="0.35">
      <c r="A5607" s="2" t="str">
        <f ca="1">IFERROR(__xludf.DUMMYFUNCTION("""COMPUTED_VALUE"""),"Dubai")</f>
        <v>Dubai</v>
      </c>
      <c r="B5607" s="2" t="str">
        <f ca="1">IFERROR(__xludf.DUMMYFUNCTION("""COMPUTED_VALUE"""),"Le Hemaira")</f>
        <v>Le Hemaira</v>
      </c>
      <c r="C5607" s="2" t="str">
        <f ca="1">IFERROR(__xludf.DUMMYFUNCTION("""COMPUTED_VALUE"""),"Neighbourhood")</f>
        <v>Neighbourhood</v>
      </c>
      <c r="D5607" s="2" t="str">
        <f ca="1">IFERROR(__xludf.DUMMYFUNCTION("""COMPUTED_VALUE"""),"Dubai&gt;Le Hemaira")</f>
        <v>Dubai&gt;Le Hemaira</v>
      </c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</row>
    <row r="5608" spans="1:26" ht="16.5" x14ac:dyDescent="0.35">
      <c r="A5608" s="2" t="str">
        <f ca="1">IFERROR(__xludf.DUMMYFUNCTION("""COMPUTED_VALUE"""),"Dubai")</f>
        <v>Dubai</v>
      </c>
      <c r="B5608" s="2" t="str">
        <f ca="1">IFERROR(__xludf.DUMMYFUNCTION("""COMPUTED_VALUE"""),"Serra")</f>
        <v>Serra</v>
      </c>
      <c r="C5608" s="2" t="str">
        <f ca="1">IFERROR(__xludf.DUMMYFUNCTION("""COMPUTED_VALUE"""),"Cluster")</f>
        <v>Cluster</v>
      </c>
      <c r="D5608" s="2" t="str">
        <f ca="1">IFERROR(__xludf.DUMMYFUNCTION("""COMPUTED_VALUE"""),"Dubai&gt;Ghaf Woods&gt;Serra")</f>
        <v>Dubai&gt;Ghaf Woods&gt;Serra</v>
      </c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</row>
    <row r="5609" spans="1:26" ht="16.5" x14ac:dyDescent="0.35">
      <c r="A5609" s="2" t="str">
        <f ca="1">IFERROR(__xludf.DUMMYFUNCTION("""COMPUTED_VALUE"""),"Dubai")</f>
        <v>Dubai</v>
      </c>
      <c r="B5609" s="2" t="str">
        <f ca="1">IFERROR(__xludf.DUMMYFUNCTION("""COMPUTED_VALUE"""),"Maravelle Residences Building 2")</f>
        <v>Maravelle Residences Building 2</v>
      </c>
      <c r="C5609" s="2" t="str">
        <f ca="1">IFERROR(__xludf.DUMMYFUNCTION("""COMPUTED_VALUE"""),"Building")</f>
        <v>Building</v>
      </c>
      <c r="D5609" s="2" t="str">
        <f ca="1">IFERROR(__xludf.DUMMYFUNCTION("""COMPUTED_VALUE"""),"Dubai&gt;Ghaf Woods&gt;Maravelle Residences&gt;Maravelle Residences Building 2")</f>
        <v>Dubai&gt;Ghaf Woods&gt;Maravelle Residences&gt;Maravelle Residences Building 2</v>
      </c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</row>
    <row r="5610" spans="1:26" ht="16.5" x14ac:dyDescent="0.35">
      <c r="A5610" s="2" t="str">
        <f ca="1">IFERROR(__xludf.DUMMYFUNCTION("""COMPUTED_VALUE"""),"Dubai")</f>
        <v>Dubai</v>
      </c>
      <c r="B5610" s="2" t="str">
        <f ca="1">IFERROR(__xludf.DUMMYFUNCTION("""COMPUTED_VALUE"""),"Ramada Plaza Jumeirah Beach")</f>
        <v>Ramada Plaza Jumeirah Beach</v>
      </c>
      <c r="C5610" s="2" t="str">
        <f ca="1">IFERROR(__xludf.DUMMYFUNCTION("""COMPUTED_VALUE"""),"Building")</f>
        <v>Building</v>
      </c>
      <c r="D5610" s="2" t="str">
        <f ca="1">IFERROR(__xludf.DUMMYFUNCTION("""COMPUTED_VALUE"""),"Dubai&gt;Jumeirah Beach Residence (JBR)&gt;Ramada Plaza Jumeirah Beach")</f>
        <v>Dubai&gt;Jumeirah Beach Residence (JBR)&gt;Ramada Plaza Jumeirah Beach</v>
      </c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</row>
    <row r="5611" spans="1:26" ht="16.5" x14ac:dyDescent="0.35">
      <c r="A5611" s="2" t="str">
        <f ca="1">IFERROR(__xludf.DUMMYFUNCTION("""COMPUTED_VALUE"""),"Dubai")</f>
        <v>Dubai</v>
      </c>
      <c r="B5611" s="2" t="str">
        <f ca="1">IFERROR(__xludf.DUMMYFUNCTION("""COMPUTED_VALUE"""),"Sadaf 6")</f>
        <v>Sadaf 6</v>
      </c>
      <c r="C5611" s="2" t="str">
        <f ca="1">IFERROR(__xludf.DUMMYFUNCTION("""COMPUTED_VALUE"""),"Building")</f>
        <v>Building</v>
      </c>
      <c r="D5611" s="2" t="str">
        <f ca="1">IFERROR(__xludf.DUMMYFUNCTION("""COMPUTED_VALUE"""),"Dubai&gt;Jumeirah Beach Residence (JBR)&gt;Sadaf&gt;Sadaf 6")</f>
        <v>Dubai&gt;Jumeirah Beach Residence (JBR)&gt;Sadaf&gt;Sadaf 6</v>
      </c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</row>
    <row r="5612" spans="1:26" ht="16.5" x14ac:dyDescent="0.35">
      <c r="A5612" s="2" t="str">
        <f ca="1">IFERROR(__xludf.DUMMYFUNCTION("""COMPUTED_VALUE"""),"Dubai")</f>
        <v>Dubai</v>
      </c>
      <c r="B5612" s="2" t="str">
        <f ca="1">IFERROR(__xludf.DUMMYFUNCTION("""COMPUTED_VALUE"""),"API Horizon Pointe")</f>
        <v>API Horizon Pointe</v>
      </c>
      <c r="C5612" s="2" t="str">
        <f ca="1">IFERROR(__xludf.DUMMYFUNCTION("""COMPUTED_VALUE"""),"Building")</f>
        <v>Building</v>
      </c>
      <c r="D5612" s="2" t="str">
        <f ca="1">IFERROR(__xludf.DUMMYFUNCTION("""COMPUTED_VALUE"""),"Dubai&gt;Meydan Horizon&gt;API Horizon Pointe")</f>
        <v>Dubai&gt;Meydan Horizon&gt;API Horizon Pointe</v>
      </c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</row>
    <row r="5613" spans="1:26" ht="16.5" x14ac:dyDescent="0.35">
      <c r="A5613" s="2" t="str">
        <f ca="1">IFERROR(__xludf.DUMMYFUNCTION("""COMPUTED_VALUE"""),"Dubai")</f>
        <v>Dubai</v>
      </c>
      <c r="B5613" s="2" t="str">
        <f ca="1">IFERROR(__xludf.DUMMYFUNCTION("""COMPUTED_VALUE"""),"Al Wasl")</f>
        <v>Al Wasl</v>
      </c>
      <c r="C5613" s="2" t="str">
        <f ca="1">IFERROR(__xludf.DUMMYFUNCTION("""COMPUTED_VALUE"""),"Neighbourhood")</f>
        <v>Neighbourhood</v>
      </c>
      <c r="D5613" s="2" t="str">
        <f ca="1">IFERROR(__xludf.DUMMYFUNCTION("""COMPUTED_VALUE"""),"Dubai&gt;Al Wasl")</f>
        <v>Dubai&gt;Al Wasl</v>
      </c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</row>
    <row r="5614" spans="1:26" ht="16.5" x14ac:dyDescent="0.35">
      <c r="A5614" s="2" t="str">
        <f ca="1">IFERROR(__xludf.DUMMYFUNCTION("""COMPUTED_VALUE"""),"Dubai")</f>
        <v>Dubai</v>
      </c>
      <c r="B5614" s="2" t="str">
        <f ca="1">IFERROR(__xludf.DUMMYFUNCTION("""COMPUTED_VALUE"""),"Building 1")</f>
        <v>Building 1</v>
      </c>
      <c r="C5614" s="2" t="str">
        <f ca="1">IFERROR(__xludf.DUMMYFUNCTION("""COMPUTED_VALUE"""),"Building")</f>
        <v>Building</v>
      </c>
      <c r="D5614" s="2" t="str">
        <f ca="1">IFERROR(__xludf.DUMMYFUNCTION("""COMPUTED_VALUE"""),"Dubai&gt;Al Wasl&gt;City Walk&gt;Building 1")</f>
        <v>Dubai&gt;Al Wasl&gt;City Walk&gt;Building 1</v>
      </c>
      <c r="E5614" s="2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</row>
    <row r="5615" spans="1:26" ht="16.5" x14ac:dyDescent="0.35">
      <c r="A5615" s="2" t="str">
        <f ca="1">IFERROR(__xludf.DUMMYFUNCTION("""COMPUTED_VALUE"""),"Dubai")</f>
        <v>Dubai</v>
      </c>
      <c r="B5615" s="2" t="str">
        <f ca="1">IFERROR(__xludf.DUMMYFUNCTION("""COMPUTED_VALUE"""),"Building 23B")</f>
        <v>Building 23B</v>
      </c>
      <c r="C5615" s="2" t="str">
        <f ca="1">IFERROR(__xludf.DUMMYFUNCTION("""COMPUTED_VALUE"""),"Building")</f>
        <v>Building</v>
      </c>
      <c r="D5615" s="2" t="str">
        <f ca="1">IFERROR(__xludf.DUMMYFUNCTION("""COMPUTED_VALUE"""),"Dubai&gt;Al Wasl&gt;City Walk&gt;Building 23B")</f>
        <v>Dubai&gt;Al Wasl&gt;City Walk&gt;Building 23B</v>
      </c>
      <c r="E5615" s="2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</row>
    <row r="5616" spans="1:26" ht="16.5" x14ac:dyDescent="0.35">
      <c r="A5616" s="2" t="str">
        <f ca="1">IFERROR(__xludf.DUMMYFUNCTION("""COMPUTED_VALUE"""),"Dubai")</f>
        <v>Dubai</v>
      </c>
      <c r="B5616" s="2" t="str">
        <f ca="1">IFERROR(__xludf.DUMMYFUNCTION("""COMPUTED_VALUE"""),"Canal Front Residences")</f>
        <v>Canal Front Residences</v>
      </c>
      <c r="C5616" s="2" t="str">
        <f ca="1">IFERROR(__xludf.DUMMYFUNCTION("""COMPUTED_VALUE"""),"Cluster")</f>
        <v>Cluster</v>
      </c>
      <c r="D5616" s="2" t="str">
        <f ca="1">IFERROR(__xludf.DUMMYFUNCTION("""COMPUTED_VALUE"""),"Dubai&gt;Al Wasl&gt;Canal Front Residences")</f>
        <v>Dubai&gt;Al Wasl&gt;Canal Front Residences</v>
      </c>
      <c r="E5616" s="2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</row>
    <row r="5617" spans="1:26" ht="16.5" x14ac:dyDescent="0.35">
      <c r="A5617" s="2" t="str">
        <f ca="1">IFERROR(__xludf.DUMMYFUNCTION("""COMPUTED_VALUE"""),"Dubai")</f>
        <v>Dubai</v>
      </c>
      <c r="B5617" s="2" t="str">
        <f ca="1">IFERROR(__xludf.DUMMYFUNCTION("""COMPUTED_VALUE"""),"Eden House The Park Building G")</f>
        <v>Eden House The Park Building G</v>
      </c>
      <c r="C5617" s="2" t="str">
        <f ca="1">IFERROR(__xludf.DUMMYFUNCTION("""COMPUTED_VALUE"""),"Building")</f>
        <v>Building</v>
      </c>
      <c r="D5617" s="2" t="str">
        <f ca="1">IFERROR(__xludf.DUMMYFUNCTION("""COMPUTED_VALUE"""),"Dubai&gt;Al Wasl&gt;Eden House The Park&gt;Eden House The Park Building G")</f>
        <v>Dubai&gt;Al Wasl&gt;Eden House The Park&gt;Eden House The Park Building G</v>
      </c>
      <c r="E5617" s="2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</row>
    <row r="5618" spans="1:26" ht="16.5" x14ac:dyDescent="0.35">
      <c r="A5618" s="2" t="str">
        <f ca="1">IFERROR(__xludf.DUMMYFUNCTION("""COMPUTED_VALUE"""),"Dubai")</f>
        <v>Dubai</v>
      </c>
      <c r="B5618" s="2" t="str">
        <f ca="1">IFERROR(__xludf.DUMMYFUNCTION("""COMPUTED_VALUE"""),"Rose Palace")</f>
        <v>Rose Palace</v>
      </c>
      <c r="C5618" s="2" t="str">
        <f ca="1">IFERROR(__xludf.DUMMYFUNCTION("""COMPUTED_VALUE"""),"Building")</f>
        <v>Building</v>
      </c>
      <c r="D5618" s="2" t="str">
        <f ca="1">IFERROR(__xludf.DUMMYFUNCTION("""COMPUTED_VALUE"""),"Dubai&gt;Arjan&gt;Rose Palace")</f>
        <v>Dubai&gt;Arjan&gt;Rose Palace</v>
      </c>
      <c r="E5618" s="2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</row>
    <row r="5619" spans="1:26" ht="16.5" x14ac:dyDescent="0.35">
      <c r="A5619" s="2" t="str">
        <f ca="1">IFERROR(__xludf.DUMMYFUNCTION("""COMPUTED_VALUE"""),"Dubai")</f>
        <v>Dubai</v>
      </c>
      <c r="B5619" s="2" t="str">
        <f ca="1">IFERROR(__xludf.DUMMYFUNCTION("""COMPUTED_VALUE"""),"Green Diamond 1")</f>
        <v>Green Diamond 1</v>
      </c>
      <c r="C5619" s="2" t="str">
        <f ca="1">IFERROR(__xludf.DUMMYFUNCTION("""COMPUTED_VALUE"""),"Cluster")</f>
        <v>Cluster</v>
      </c>
      <c r="D5619" s="2" t="str">
        <f ca="1">IFERROR(__xludf.DUMMYFUNCTION("""COMPUTED_VALUE"""),"Dubai&gt;Arjan&gt;Green Diamond 1")</f>
        <v>Dubai&gt;Arjan&gt;Green Diamond 1</v>
      </c>
      <c r="E5619" s="2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</row>
    <row r="5620" spans="1:26" ht="16.5" x14ac:dyDescent="0.35">
      <c r="A5620" s="2" t="str">
        <f ca="1">IFERROR(__xludf.DUMMYFUNCTION("""COMPUTED_VALUE"""),"Dubai")</f>
        <v>Dubai</v>
      </c>
      <c r="B5620" s="2" t="str">
        <f ca="1">IFERROR(__xludf.DUMMYFUNCTION("""COMPUTED_VALUE"""),"Samana Park Views")</f>
        <v>Samana Park Views</v>
      </c>
      <c r="C5620" s="2" t="str">
        <f ca="1">IFERROR(__xludf.DUMMYFUNCTION("""COMPUTED_VALUE"""),"Building")</f>
        <v>Building</v>
      </c>
      <c r="D5620" s="2" t="str">
        <f ca="1">IFERROR(__xludf.DUMMYFUNCTION("""COMPUTED_VALUE"""),"Dubai&gt;Arjan&gt;Samana Park Views")</f>
        <v>Dubai&gt;Arjan&gt;Samana Park Views</v>
      </c>
      <c r="E5620" s="2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</row>
    <row r="5621" spans="1:26" ht="16.5" x14ac:dyDescent="0.35">
      <c r="A5621" s="2" t="str">
        <f ca="1">IFERROR(__xludf.DUMMYFUNCTION("""COMPUTED_VALUE"""),"Dubai")</f>
        <v>Dubai</v>
      </c>
      <c r="B5621" s="2" t="str">
        <f ca="1">IFERROR(__xludf.DUMMYFUNCTION("""COMPUTED_VALUE"""),"Art Gardens Block B")</f>
        <v>Art Gardens Block B</v>
      </c>
      <c r="C5621" s="2" t="str">
        <f ca="1">IFERROR(__xludf.DUMMYFUNCTION("""COMPUTED_VALUE"""),"Building")</f>
        <v>Building</v>
      </c>
      <c r="D5621" s="2" t="str">
        <f ca="1">IFERROR(__xludf.DUMMYFUNCTION("""COMPUTED_VALUE"""),"Dubai&gt;Arjan&gt;Art Garden&gt;Art Gardens Block B")</f>
        <v>Dubai&gt;Arjan&gt;Art Garden&gt;Art Gardens Block B</v>
      </c>
      <c r="E5621" s="2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</row>
    <row r="5622" spans="1:26" ht="16.5" x14ac:dyDescent="0.35">
      <c r="A5622" s="2" t="str">
        <f ca="1">IFERROR(__xludf.DUMMYFUNCTION("""COMPUTED_VALUE"""),"Dubai")</f>
        <v>Dubai</v>
      </c>
      <c r="B5622" s="2" t="str">
        <f ca="1">IFERROR(__xludf.DUMMYFUNCTION("""COMPUTED_VALUE"""),"48 Parkside")</f>
        <v>48 Parkside</v>
      </c>
      <c r="C5622" s="2" t="str">
        <f ca="1">IFERROR(__xludf.DUMMYFUNCTION("""COMPUTED_VALUE"""),"Building")</f>
        <v>Building</v>
      </c>
      <c r="D5622" s="2" t="str">
        <f ca="1">IFERROR(__xludf.DUMMYFUNCTION("""COMPUTED_VALUE"""),"Dubai&gt;Arjan&gt;48 Parkside")</f>
        <v>Dubai&gt;Arjan&gt;48 Parkside</v>
      </c>
      <c r="E5622" s="2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</row>
    <row r="5623" spans="1:26" ht="16.5" x14ac:dyDescent="0.35">
      <c r="A5623" s="2" t="str">
        <f ca="1">IFERROR(__xludf.DUMMYFUNCTION("""COMPUTED_VALUE"""),"Dubai")</f>
        <v>Dubai</v>
      </c>
      <c r="B5623" s="2" t="str">
        <f ca="1">IFERROR(__xludf.DUMMYFUNCTION("""COMPUTED_VALUE"""),"Parkside Boulevard by Tabeer")</f>
        <v>Parkside Boulevard by Tabeer</v>
      </c>
      <c r="C5623" s="2" t="str">
        <f ca="1">IFERROR(__xludf.DUMMYFUNCTION("""COMPUTED_VALUE"""),"Building")</f>
        <v>Building</v>
      </c>
      <c r="D5623" s="2" t="str">
        <f ca="1">IFERROR(__xludf.DUMMYFUNCTION("""COMPUTED_VALUE"""),"Dubai&gt;Arjan&gt;Parkside Boulevard by Tabeer")</f>
        <v>Dubai&gt;Arjan&gt;Parkside Boulevard by Tabeer</v>
      </c>
      <c r="E5623" s="2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</row>
    <row r="5624" spans="1:26" ht="16.5" x14ac:dyDescent="0.35">
      <c r="A5624" s="2" t="str">
        <f ca="1">IFERROR(__xludf.DUMMYFUNCTION("""COMPUTED_VALUE"""),"Dubai")</f>
        <v>Dubai</v>
      </c>
      <c r="B5624" s="2" t="str">
        <f ca="1">IFERROR(__xludf.DUMMYFUNCTION("""COMPUTED_VALUE"""),"Safa British School")</f>
        <v>Safa British School</v>
      </c>
      <c r="C5624" s="2" t="str">
        <f ca="1">IFERROR(__xludf.DUMMYFUNCTION("""COMPUTED_VALUE"""),"School")</f>
        <v>School</v>
      </c>
      <c r="D5624" s="2" t="str">
        <f ca="1">IFERROR(__xludf.DUMMYFUNCTION("""COMPUTED_VALUE"""),"Dubai&gt;Al Safa&gt;Al Safa 1&gt;Safa British School")</f>
        <v>Dubai&gt;Al Safa&gt;Al Safa 1&gt;Safa British School</v>
      </c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</row>
    <row r="5625" spans="1:26" ht="16.5" x14ac:dyDescent="0.35">
      <c r="A5625" s="2" t="str">
        <f ca="1">IFERROR(__xludf.DUMMYFUNCTION("""COMPUTED_VALUE"""),"Dubai")</f>
        <v>Dubai</v>
      </c>
      <c r="B5625" s="2" t="str">
        <f ca="1">IFERROR(__xludf.DUMMYFUNCTION("""COMPUTED_VALUE"""),"6 Falak Building")</f>
        <v>6 Falak Building</v>
      </c>
      <c r="C5625" s="2" t="str">
        <f ca="1">IFERROR(__xludf.DUMMYFUNCTION("""COMPUTED_VALUE"""),"Building")</f>
        <v>Building</v>
      </c>
      <c r="D5625" s="2" t="str">
        <f ca="1">IFERROR(__xludf.DUMMYFUNCTION("""COMPUTED_VALUE"""),"Dubai&gt;Dubai Media City&gt;6 Falak Building")</f>
        <v>Dubai&gt;Dubai Media City&gt;6 Falak Building</v>
      </c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</row>
    <row r="5626" spans="1:26" ht="16.5" x14ac:dyDescent="0.35">
      <c r="A5626" s="2" t="str">
        <f ca="1">IFERROR(__xludf.DUMMYFUNCTION("""COMPUTED_VALUE"""),"Abu Dhabi")</f>
        <v>Abu Dhabi</v>
      </c>
      <c r="B5626" s="2" t="str">
        <f ca="1">IFERROR(__xludf.DUMMYFUNCTION("""COMPUTED_VALUE"""),"Sesame Street Private Nursery")</f>
        <v>Sesame Street Private Nursery</v>
      </c>
      <c r="C5626" s="2" t="str">
        <f ca="1">IFERROR(__xludf.DUMMYFUNCTION("""COMPUTED_VALUE"""),"Nursery")</f>
        <v>Nursery</v>
      </c>
      <c r="D5626" s="2" t="str">
        <f ca="1">IFERROR(__xludf.DUMMYFUNCTION("""COMPUTED_VALUE"""),"Abu Dhabi&gt;Al Nahyan&gt;Sesame Street Private Nursery")</f>
        <v>Abu Dhabi&gt;Al Nahyan&gt;Sesame Street Private Nursery</v>
      </c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</row>
    <row r="5627" spans="1:26" ht="16.5" x14ac:dyDescent="0.35">
      <c r="A5627" s="2" t="str">
        <f ca="1">IFERROR(__xludf.DUMMYFUNCTION("""COMPUTED_VALUE"""),"Abu Dhabi")</f>
        <v>Abu Dhabi</v>
      </c>
      <c r="B5627" s="2" t="str">
        <f ca="1">IFERROR(__xludf.DUMMYFUNCTION("""COMPUTED_VALUE"""),"Bloom Marina")</f>
        <v>Bloom Marina</v>
      </c>
      <c r="C5627" s="2" t="str">
        <f ca="1">IFERROR(__xludf.DUMMYFUNCTION("""COMPUTED_VALUE"""),"Building")</f>
        <v>Building</v>
      </c>
      <c r="D5627" s="2" t="str">
        <f ca="1">IFERROR(__xludf.DUMMYFUNCTION("""COMPUTED_VALUE"""),"Abu Dhabi&gt;Al Bateen&gt;Bloom Marina")</f>
        <v>Abu Dhabi&gt;Al Bateen&gt;Bloom Marina</v>
      </c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</row>
    <row r="5628" spans="1:26" ht="16.5" x14ac:dyDescent="0.35">
      <c r="A5628" s="2" t="str">
        <f ca="1">IFERROR(__xludf.DUMMYFUNCTION("""COMPUTED_VALUE"""),"Abu Dhabi")</f>
        <v>Abu Dhabi</v>
      </c>
      <c r="B5628" s="2" t="str">
        <f ca="1">IFERROR(__xludf.DUMMYFUNCTION("""COMPUTED_VALUE"""),"Tourist Club Area (TCA)")</f>
        <v>Tourist Club Area (TCA)</v>
      </c>
      <c r="C5628" s="2" t="str">
        <f ca="1">IFERROR(__xludf.DUMMYFUNCTION("""COMPUTED_VALUE"""),"Neighbourhood")</f>
        <v>Neighbourhood</v>
      </c>
      <c r="D5628" s="2" t="str">
        <f ca="1">IFERROR(__xludf.DUMMYFUNCTION("""COMPUTED_VALUE"""),"Abu Dhabi&gt;Tourist Club Area (TCA)")</f>
        <v>Abu Dhabi&gt;Tourist Club Area (TCA)</v>
      </c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</row>
    <row r="5629" spans="1:26" ht="16.5" x14ac:dyDescent="0.35">
      <c r="A5629" s="2" t="str">
        <f ca="1">IFERROR(__xludf.DUMMYFUNCTION("""COMPUTED_VALUE"""),"Abu Dhabi")</f>
        <v>Abu Dhabi</v>
      </c>
      <c r="B5629" s="2" t="str">
        <f ca="1">IFERROR(__xludf.DUMMYFUNCTION("""COMPUTED_VALUE"""),"Al Zahiyah")</f>
        <v>Al Zahiyah</v>
      </c>
      <c r="C5629" s="2" t="str">
        <f ca="1">IFERROR(__xludf.DUMMYFUNCTION("""COMPUTED_VALUE"""),"Neighbourhood")</f>
        <v>Neighbourhood</v>
      </c>
      <c r="D5629" s="2" t="str">
        <f ca="1">IFERROR(__xludf.DUMMYFUNCTION("""COMPUTED_VALUE"""),"Abu Dhabi&gt;Al Zahiyah")</f>
        <v>Abu Dhabi&gt;Al Zahiyah</v>
      </c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</row>
    <row r="5630" spans="1:26" ht="16.5" x14ac:dyDescent="0.35">
      <c r="A5630" s="2" t="str">
        <f ca="1">IFERROR(__xludf.DUMMYFUNCTION("""COMPUTED_VALUE"""),"Abu Dhabi")</f>
        <v>Abu Dhabi</v>
      </c>
      <c r="B5630" s="2" t="str">
        <f ca="1">IFERROR(__xludf.DUMMYFUNCTION("""COMPUTED_VALUE"""),"Delma Street")</f>
        <v>Delma Street</v>
      </c>
      <c r="C5630" s="2" t="str">
        <f ca="1">IFERROR(__xludf.DUMMYFUNCTION("""COMPUTED_VALUE"""),"Neighbourhood")</f>
        <v>Neighbourhood</v>
      </c>
      <c r="D5630" s="2" t="str">
        <f ca="1">IFERROR(__xludf.DUMMYFUNCTION("""COMPUTED_VALUE"""),"Abu Dhabi&gt;Al Mushrif&gt;Delma Street")</f>
        <v>Abu Dhabi&gt;Al Mushrif&gt;Delma Street</v>
      </c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</row>
    <row r="5631" spans="1:26" ht="16.5" x14ac:dyDescent="0.35">
      <c r="A5631" s="2" t="str">
        <f ca="1">IFERROR(__xludf.DUMMYFUNCTION("""COMPUTED_VALUE"""),"Abu Dhabi")</f>
        <v>Abu Dhabi</v>
      </c>
      <c r="B5631" s="2" t="str">
        <f ca="1">IFERROR(__xludf.DUMMYFUNCTION("""COMPUTED_VALUE"""),"Mangrove One")</f>
        <v>Mangrove One</v>
      </c>
      <c r="C5631" s="2" t="str">
        <f ca="1">IFERROR(__xludf.DUMMYFUNCTION("""COMPUTED_VALUE"""),"Neighbourhood")</f>
        <v>Neighbourhood</v>
      </c>
      <c r="D5631" s="2" t="str">
        <f ca="1">IFERROR(__xludf.DUMMYFUNCTION("""COMPUTED_VALUE"""),"Abu Dhabi&gt;Al Muntazah&gt;Mangrove One")</f>
        <v>Abu Dhabi&gt;Al Muntazah&gt;Mangrove One</v>
      </c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</row>
    <row r="5632" spans="1:26" ht="16.5" x14ac:dyDescent="0.35">
      <c r="A5632" s="2" t="str">
        <f ca="1">IFERROR(__xludf.DUMMYFUNCTION("""COMPUTED_VALUE"""),"Abu Dhabi")</f>
        <v>Abu Dhabi</v>
      </c>
      <c r="B5632" s="2" t="str">
        <f ca="1">IFERROR(__xludf.DUMMYFUNCTION("""COMPUTED_VALUE"""),"United Private School, Baniyas")</f>
        <v>United Private School, Baniyas</v>
      </c>
      <c r="C5632" s="2" t="str">
        <f ca="1">IFERROR(__xludf.DUMMYFUNCTION("""COMPUTED_VALUE"""),"School")</f>
        <v>School</v>
      </c>
      <c r="D5632" s="2" t="str">
        <f ca="1">IFERROR(__xludf.DUMMYFUNCTION("""COMPUTED_VALUE"""),"Abu Dhabi&gt;Baniyas&gt;United Private School, Baniyas")</f>
        <v>Abu Dhabi&gt;Baniyas&gt;United Private School, Baniyas</v>
      </c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</row>
    <row r="5633" spans="1:26" ht="16.5" x14ac:dyDescent="0.35">
      <c r="A5633" s="2" t="str">
        <f ca="1">IFERROR(__xludf.DUMMYFUNCTION("""COMPUTED_VALUE"""),"Abu Dhabi")</f>
        <v>Abu Dhabi</v>
      </c>
      <c r="B5633" s="2" t="str">
        <f ca="1">IFERROR(__xludf.DUMMYFUNCTION("""COMPUTED_VALUE"""),"Plaza 2")</f>
        <v>Plaza 2</v>
      </c>
      <c r="C5633" s="2" t="str">
        <f ca="1">IFERROR(__xludf.DUMMYFUNCTION("""COMPUTED_VALUE"""),"Building")</f>
        <v>Building</v>
      </c>
      <c r="D5633" s="2" t="str">
        <f ca="1">IFERROR(__xludf.DUMMYFUNCTION("""COMPUTED_VALUE"""),"Abu Dhabi&gt;Masdar City&gt;Plaza 2")</f>
        <v>Abu Dhabi&gt;Masdar City&gt;Plaza 2</v>
      </c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</row>
    <row r="5634" spans="1:26" ht="16.5" x14ac:dyDescent="0.35">
      <c r="A5634" s="2" t="str">
        <f ca="1">IFERROR(__xludf.DUMMYFUNCTION("""COMPUTED_VALUE"""),"Abu Dhabi")</f>
        <v>Abu Dhabi</v>
      </c>
      <c r="B5634" s="2" t="str">
        <f ca="1">IFERROR(__xludf.DUMMYFUNCTION("""COMPUTED_VALUE"""),"Al Baraha Tower")</f>
        <v>Al Baraha Tower</v>
      </c>
      <c r="C5634" s="2" t="str">
        <f ca="1">IFERROR(__xludf.DUMMYFUNCTION("""COMPUTED_VALUE"""),"Building")</f>
        <v>Building</v>
      </c>
      <c r="D5634" s="2" t="str">
        <f ca="1">IFERROR(__xludf.DUMMYFUNCTION("""COMPUTED_VALUE"""),"Abu Dhabi&gt;Al Danah&gt;Al Baraha Tower")</f>
        <v>Abu Dhabi&gt;Al Danah&gt;Al Baraha Tower</v>
      </c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</row>
    <row r="5635" spans="1:26" ht="16.5" x14ac:dyDescent="0.35">
      <c r="A5635" s="2" t="str">
        <f ca="1">IFERROR(__xludf.DUMMYFUNCTION("""COMPUTED_VALUE"""),"Abu Dhabi")</f>
        <v>Abu Dhabi</v>
      </c>
      <c r="B5635" s="2" t="str">
        <f ca="1">IFERROR(__xludf.DUMMYFUNCTION("""COMPUTED_VALUE"""),"W Residences")</f>
        <v>W Residences</v>
      </c>
      <c r="C5635" s="2" t="str">
        <f ca="1">IFERROR(__xludf.DUMMYFUNCTION("""COMPUTED_VALUE"""),"Building")</f>
        <v>Building</v>
      </c>
      <c r="D5635" s="2" t="str">
        <f ca="1">IFERROR(__xludf.DUMMYFUNCTION("""COMPUTED_VALUE"""),"Abu Dhabi&gt;Al Maryah Island&gt;W Residences")</f>
        <v>Abu Dhabi&gt;Al Maryah Island&gt;W Residences</v>
      </c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</row>
    <row r="5636" spans="1:26" ht="16.5" x14ac:dyDescent="0.35">
      <c r="A5636" s="2" t="str">
        <f ca="1">IFERROR(__xludf.DUMMYFUNCTION("""COMPUTED_VALUE"""),"Abu Dhabi")</f>
        <v>Abu Dhabi</v>
      </c>
      <c r="B5636" s="2" t="str">
        <f ca="1">IFERROR(__xludf.DUMMYFUNCTION("""COMPUTED_VALUE"""),"Virginia International Private School")</f>
        <v>Virginia International Private School</v>
      </c>
      <c r="C5636" s="2" t="str">
        <f ca="1">IFERROR(__xludf.DUMMYFUNCTION("""COMPUTED_VALUE"""),"School")</f>
        <v>School</v>
      </c>
      <c r="D5636" s="2" t="str">
        <f ca="1">IFERROR(__xludf.DUMMYFUNCTION("""COMPUTED_VALUE"""),"Abu Dhabi&gt;Shakhbout City&gt;Virginia International Private School")</f>
        <v>Abu Dhabi&gt;Shakhbout City&gt;Virginia International Private School</v>
      </c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</row>
    <row r="5637" spans="1:26" ht="16.5" x14ac:dyDescent="0.35">
      <c r="A5637" s="2" t="str">
        <f ca="1">IFERROR(__xludf.DUMMYFUNCTION("""COMPUTED_VALUE"""),"Abu Dhabi")</f>
        <v>Abu Dhabi</v>
      </c>
      <c r="B5637" s="2" t="str">
        <f ca="1">IFERROR(__xludf.DUMMYFUNCTION("""COMPUTED_VALUE"""),"MSH27")</f>
        <v>MSH27</v>
      </c>
      <c r="C5637" s="2" t="str">
        <f ca="1">IFERROR(__xludf.DUMMYFUNCTION("""COMPUTED_VALUE"""),"Neighbourhood")</f>
        <v>Neighbourhood</v>
      </c>
      <c r="D5637" s="2" t="str">
        <f ca="1">IFERROR(__xludf.DUMMYFUNCTION("""COMPUTED_VALUE"""),"Abu Dhabi&gt;Shakhbout City&gt;MSH27")</f>
        <v>Abu Dhabi&gt;Shakhbout City&gt;MSH27</v>
      </c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</row>
    <row r="5638" spans="1:26" ht="16.5" x14ac:dyDescent="0.35">
      <c r="A5638" s="2" t="str">
        <f ca="1">IFERROR(__xludf.DUMMYFUNCTION("""COMPUTED_VALUE"""),"Abu Dhabi")</f>
        <v>Abu Dhabi</v>
      </c>
      <c r="B5638" s="2" t="str">
        <f ca="1">IFERROR(__xludf.DUMMYFUNCTION("""COMPUTED_VALUE"""),"Souk Al Jubail Building 6")</f>
        <v>Souk Al Jubail Building 6</v>
      </c>
      <c r="C5638" s="2" t="str">
        <f ca="1">IFERROR(__xludf.DUMMYFUNCTION("""COMPUTED_VALUE"""),"Building")</f>
        <v>Building</v>
      </c>
      <c r="D5638" s="2" t="str">
        <f ca="1">IFERROR(__xludf.DUMMYFUNCTION("""COMPUTED_VALUE"""),"Abu Dhabi&gt;Al Jubail Island&gt;Souk Al Jubail&gt;Souk Al Jubail Building 6")</f>
        <v>Abu Dhabi&gt;Al Jubail Island&gt;Souk Al Jubail&gt;Souk Al Jubail Building 6</v>
      </c>
      <c r="E5638" s="2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</row>
    <row r="5639" spans="1:26" ht="16.5" x14ac:dyDescent="0.35">
      <c r="A5639" s="2" t="str">
        <f ca="1">IFERROR(__xludf.DUMMYFUNCTION("""COMPUTED_VALUE"""),"Abu Dhabi")</f>
        <v>Abu Dhabi</v>
      </c>
      <c r="B5639" s="2" t="str">
        <f ca="1">IFERROR(__xludf.DUMMYFUNCTION("""COMPUTED_VALUE"""),"Ajyal International School Al Falah, Abu Dhabi")</f>
        <v>Ajyal International School Al Falah, Abu Dhabi</v>
      </c>
      <c r="C5639" s="2" t="str">
        <f ca="1">IFERROR(__xludf.DUMMYFUNCTION("""COMPUTED_VALUE"""),"School")</f>
        <v>School</v>
      </c>
      <c r="D5639" s="2" t="str">
        <f ca="1">IFERROR(__xludf.DUMMYFUNCTION("""COMPUTED_VALUE"""),"Abu Dhabi&gt;Al Falah City&gt;New Al Falah&gt;Ajyal International School Al Falah, Abu Dhabi")</f>
        <v>Abu Dhabi&gt;Al Falah City&gt;New Al Falah&gt;Ajyal International School Al Falah, Abu Dhabi</v>
      </c>
      <c r="E5639" s="2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</row>
    <row r="5640" spans="1:26" ht="16.5" x14ac:dyDescent="0.35">
      <c r="A5640" s="2" t="str">
        <f ca="1">IFERROR(__xludf.DUMMYFUNCTION("""COMPUTED_VALUE"""),"Abu Dhabi")</f>
        <v>Abu Dhabi</v>
      </c>
      <c r="B5640" s="2" t="str">
        <f ca="1">IFERROR(__xludf.DUMMYFUNCTION("""COMPUTED_VALUE"""),"Bloom Living")</f>
        <v>Bloom Living</v>
      </c>
      <c r="C5640" s="2" t="str">
        <f ca="1">IFERROR(__xludf.DUMMYFUNCTION("""COMPUTED_VALUE"""),"Neighbourhood")</f>
        <v>Neighbourhood</v>
      </c>
      <c r="D5640" s="2" t="str">
        <f ca="1">IFERROR(__xludf.DUMMYFUNCTION("""COMPUTED_VALUE"""),"Abu Dhabi&gt;Zayed City&gt;Bloom Living")</f>
        <v>Abu Dhabi&gt;Zayed City&gt;Bloom Living</v>
      </c>
      <c r="E5640" s="2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</row>
    <row r="5641" spans="1:26" ht="16.5" x14ac:dyDescent="0.35">
      <c r="A5641" s="2" t="str">
        <f ca="1">IFERROR(__xludf.DUMMYFUNCTION("""COMPUTED_VALUE"""),"Abu Dhabi")</f>
        <v>Abu Dhabi</v>
      </c>
      <c r="B5641" s="2" t="str">
        <f ca="1">IFERROR(__xludf.DUMMYFUNCTION("""COMPUTED_VALUE"""),"Electra Street")</f>
        <v>Electra Street</v>
      </c>
      <c r="C5641" s="2" t="str">
        <f ca="1">IFERROR(__xludf.DUMMYFUNCTION("""COMPUTED_VALUE"""),"Neighbourhood")</f>
        <v>Neighbourhood</v>
      </c>
      <c r="D5641" s="2" t="str">
        <f ca="1">IFERROR(__xludf.DUMMYFUNCTION("""COMPUTED_VALUE"""),"Abu Dhabi&gt;Electra Street")</f>
        <v>Abu Dhabi&gt;Electra Street</v>
      </c>
      <c r="E5641" s="2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</row>
    <row r="5642" spans="1:26" ht="16.5" x14ac:dyDescent="0.35">
      <c r="A5642" s="2" t="str">
        <f ca="1">IFERROR(__xludf.DUMMYFUNCTION("""COMPUTED_VALUE"""),"Abu Dhabi")</f>
        <v>Abu Dhabi</v>
      </c>
      <c r="B5642" s="2" t="str">
        <f ca="1">IFERROR(__xludf.DUMMYFUNCTION("""COMPUTED_VALUE"""),"The Beach House Tower 11")</f>
        <v>The Beach House Tower 11</v>
      </c>
      <c r="C5642" s="2" t="str">
        <f ca="1">IFERROR(__xludf.DUMMYFUNCTION("""COMPUTED_VALUE"""),"Building")</f>
        <v>Building</v>
      </c>
      <c r="D5642" s="2" t="str">
        <f ca="1">IFERROR(__xludf.DUMMYFUNCTION("""COMPUTED_VALUE"""),"Abu Dhabi&gt;Fahid Island&gt;The Beach House&gt;The Beach House Tower 11")</f>
        <v>Abu Dhabi&gt;Fahid Island&gt;The Beach House&gt;The Beach House Tower 11</v>
      </c>
      <c r="E5642" s="2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</row>
    <row r="5643" spans="1:26" ht="16.5" x14ac:dyDescent="0.35">
      <c r="A5643" s="2" t="str">
        <f ca="1">IFERROR(__xludf.DUMMYFUNCTION("""COMPUTED_VALUE"""),"Dubai")</f>
        <v>Dubai</v>
      </c>
      <c r="B5643" s="2" t="str">
        <f ca="1">IFERROR(__xludf.DUMMYFUNCTION("""COMPUTED_VALUE"""),"Bay Grove Residences D Building 14")</f>
        <v>Bay Grove Residences D Building 14</v>
      </c>
      <c r="C5643" s="2" t="str">
        <f ca="1">IFERROR(__xludf.DUMMYFUNCTION("""COMPUTED_VALUE"""),"Building")</f>
        <v>Building</v>
      </c>
      <c r="D5643" s="2" t="str">
        <f ca="1">IFERROR(__xludf.DUMMYFUNCTION("""COMPUTED_VALUE"""),"Dubai&gt;Dubai Islands&gt;Bay Grove Residences D&gt;Bay Grove Residences D Building 14")</f>
        <v>Dubai&gt;Dubai Islands&gt;Bay Grove Residences D&gt;Bay Grove Residences D Building 14</v>
      </c>
      <c r="E5643" s="2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</row>
    <row r="5644" spans="1:26" ht="16.5" x14ac:dyDescent="0.35">
      <c r="A5644" s="2" t="str">
        <f ca="1">IFERROR(__xludf.DUMMYFUNCTION("""COMPUTED_VALUE"""),"Dubai")</f>
        <v>Dubai</v>
      </c>
      <c r="B5644" s="2" t="str">
        <f ca="1">IFERROR(__xludf.DUMMYFUNCTION("""COMPUTED_VALUE"""),"Ellington Sands II Tower A")</f>
        <v>Ellington Sands II Tower A</v>
      </c>
      <c r="C5644" s="2" t="str">
        <f ca="1">IFERROR(__xludf.DUMMYFUNCTION("""COMPUTED_VALUE"""),"Building")</f>
        <v>Building</v>
      </c>
      <c r="D5644" s="2" t="str">
        <f ca="1">IFERROR(__xludf.DUMMYFUNCTION("""COMPUTED_VALUE"""),"Dubai&gt;Dubai Islands&gt;Ellington Sands II&gt;Ellington Sands II Tower A")</f>
        <v>Dubai&gt;Dubai Islands&gt;Ellington Sands II&gt;Ellington Sands II Tower A</v>
      </c>
      <c r="E5644" s="2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</row>
    <row r="5645" spans="1:26" ht="16.5" x14ac:dyDescent="0.35">
      <c r="A5645" s="2" t="str">
        <f ca="1">IFERROR(__xludf.DUMMYFUNCTION("""COMPUTED_VALUE"""),"Dubai")</f>
        <v>Dubai</v>
      </c>
      <c r="B5645" s="2" t="str">
        <f ca="1">IFERROR(__xludf.DUMMYFUNCTION("""COMPUTED_VALUE"""),"Dubai Outlet City")</f>
        <v>Dubai Outlet City</v>
      </c>
      <c r="C5645" s="2" t="str">
        <f ca="1">IFERROR(__xludf.DUMMYFUNCTION("""COMPUTED_VALUE"""),"Neighbourhood")</f>
        <v>Neighbourhood</v>
      </c>
      <c r="D5645" s="2" t="str">
        <f ca="1">IFERROR(__xludf.DUMMYFUNCTION("""COMPUTED_VALUE"""),"Dubai&gt;Dubailand&gt;Dubai Outlet City")</f>
        <v>Dubai&gt;Dubailand&gt;Dubai Outlet City</v>
      </c>
      <c r="E5645" s="2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</row>
    <row r="5646" spans="1:26" ht="16.5" x14ac:dyDescent="0.35">
      <c r="A5646" s="2" t="str">
        <f ca="1">IFERROR(__xludf.DUMMYFUNCTION("""COMPUTED_VALUE"""),"Dubai")</f>
        <v>Dubai</v>
      </c>
      <c r="B5646" s="2" t="str">
        <f ca="1">IFERROR(__xludf.DUMMYFUNCTION("""COMPUTED_VALUE"""),"La Tilia")</f>
        <v>La Tilia</v>
      </c>
      <c r="C5646" s="2" t="str">
        <f ca="1">IFERROR(__xludf.DUMMYFUNCTION("""COMPUTED_VALUE"""),"Neighbourhood")</f>
        <v>Neighbourhood</v>
      </c>
      <c r="D5646" s="2" t="str">
        <f ca="1">IFERROR(__xludf.DUMMYFUNCTION("""COMPUTED_VALUE"""),"Dubai&gt;Dubailand&gt;Villanova&gt;La Tilia")</f>
        <v>Dubai&gt;Dubailand&gt;Villanova&gt;La Tilia</v>
      </c>
      <c r="E5646" s="2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</row>
    <row r="5647" spans="1:26" ht="16.5" x14ac:dyDescent="0.35">
      <c r="A5647" s="2" t="str">
        <f ca="1">IFERROR(__xludf.DUMMYFUNCTION("""COMPUTED_VALUE"""),"Dubai")</f>
        <v>Dubai</v>
      </c>
      <c r="B5647" s="2" t="str">
        <f ca="1">IFERROR(__xludf.DUMMYFUNCTION("""COMPUTED_VALUE"""),"Nura")</f>
        <v>Nura</v>
      </c>
      <c r="C5647" s="2" t="str">
        <f ca="1">IFERROR(__xludf.DUMMYFUNCTION("""COMPUTED_VALUE"""),"Neighbourhood")</f>
        <v>Neighbourhood</v>
      </c>
      <c r="D5647" s="2" t="str">
        <f ca="1">IFERROR(__xludf.DUMMYFUNCTION("""COMPUTED_VALUE"""),"Dubai&gt;Dubailand&gt;The Wilds&gt;Nura")</f>
        <v>Dubai&gt;Dubailand&gt;The Wilds&gt;Nura</v>
      </c>
      <c r="E5647" s="2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</row>
    <row r="5648" spans="1:26" ht="16.5" x14ac:dyDescent="0.35">
      <c r="A5648" s="2" t="str">
        <f ca="1">IFERROR(__xludf.DUMMYFUNCTION("""COMPUTED_VALUE"""),"Dubai")</f>
        <v>Dubai</v>
      </c>
      <c r="B5648" s="2" t="str">
        <f ca="1">IFERROR(__xludf.DUMMYFUNCTION("""COMPUTED_VALUE"""),"Ali Baba Tower")</f>
        <v>Ali Baba Tower</v>
      </c>
      <c r="C5648" s="2" t="str">
        <f ca="1">IFERROR(__xludf.DUMMYFUNCTION("""COMPUTED_VALUE"""),"Building")</f>
        <v>Building</v>
      </c>
      <c r="D5648" s="2" t="str">
        <f ca="1">IFERROR(__xludf.DUMMYFUNCTION("""COMPUTED_VALUE"""),"Dubai&gt;Living Legends&gt;Ali Baba Tower")</f>
        <v>Dubai&gt;Living Legends&gt;Ali Baba Tower</v>
      </c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</row>
    <row r="5649" spans="1:26" ht="16.5" x14ac:dyDescent="0.35">
      <c r="A5649" s="2" t="str">
        <f ca="1">IFERROR(__xludf.DUMMYFUNCTION("""COMPUTED_VALUE"""),"Dubai")</f>
        <v>Dubai</v>
      </c>
      <c r="B5649" s="2" t="str">
        <f ca="1">IFERROR(__xludf.DUMMYFUNCTION("""COMPUTED_VALUE"""),"Al Adab Iranian Private School for Girls")</f>
        <v>Al Adab Iranian Private School for Girls</v>
      </c>
      <c r="C5649" s="2" t="str">
        <f ca="1">IFERROR(__xludf.DUMMYFUNCTION("""COMPUTED_VALUE"""),"School")</f>
        <v>School</v>
      </c>
      <c r="D5649" s="2" t="str">
        <f ca="1">IFERROR(__xludf.DUMMYFUNCTION("""COMPUTED_VALUE"""),"Dubai&gt;Al Qusais&gt;Al Qusais Residential Area&gt;Al Qusais 1&gt;Al Adab Iranian Private School for Girls")</f>
        <v>Dubai&gt;Al Qusais&gt;Al Qusais Residential Area&gt;Al Qusais 1&gt;Al Adab Iranian Private School for Girls</v>
      </c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</row>
    <row r="5650" spans="1:26" ht="16.5" x14ac:dyDescent="0.35">
      <c r="A5650" s="2" t="str">
        <f ca="1">IFERROR(__xludf.DUMMYFUNCTION("""COMPUTED_VALUE"""),"Dubai")</f>
        <v>Dubai</v>
      </c>
      <c r="B5650" s="2" t="str">
        <f ca="1">IFERROR(__xludf.DUMMYFUNCTION("""COMPUTED_VALUE"""),"Rainbow Residence 5")</f>
        <v>Rainbow Residence 5</v>
      </c>
      <c r="C5650" s="2" t="str">
        <f ca="1">IFERROR(__xludf.DUMMYFUNCTION("""COMPUTED_VALUE"""),"Building")</f>
        <v>Building</v>
      </c>
      <c r="D5650" s="2" t="str">
        <f ca="1">IFERROR(__xludf.DUMMYFUNCTION("""COMPUTED_VALUE"""),"Dubai&gt;Al Qusais&gt;Al Qusais Residential Area&gt;Al Qusais 1&gt;Rainbow Residences&gt;Rainbow Residence 5")</f>
        <v>Dubai&gt;Al Qusais&gt;Al Qusais Residential Area&gt;Al Qusais 1&gt;Rainbow Residences&gt;Rainbow Residence 5</v>
      </c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</row>
    <row r="5651" spans="1:26" ht="16.5" x14ac:dyDescent="0.35">
      <c r="A5651" s="2" t="str">
        <f ca="1">IFERROR(__xludf.DUMMYFUNCTION("""COMPUTED_VALUE"""),"Dubai")</f>
        <v>Dubai</v>
      </c>
      <c r="B5651" s="2" t="str">
        <f ca="1">IFERROR(__xludf.DUMMYFUNCTION("""COMPUTED_VALUE"""),"Maha Residence")</f>
        <v>Maha Residence</v>
      </c>
      <c r="C5651" s="2" t="str">
        <f ca="1">IFERROR(__xludf.DUMMYFUNCTION("""COMPUTED_VALUE"""),"Building")</f>
        <v>Building</v>
      </c>
      <c r="D5651" s="2" t="str">
        <f ca="1">IFERROR(__xludf.DUMMYFUNCTION("""COMPUTED_VALUE"""),"Dubai&gt;Al Qusais&gt;Al Qusais Industrial Area&gt;Al Qusais Industrial 5&gt;Maha Residence")</f>
        <v>Dubai&gt;Al Qusais&gt;Al Qusais Industrial Area&gt;Al Qusais Industrial 5&gt;Maha Residence</v>
      </c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</row>
    <row r="5652" spans="1:26" ht="16.5" x14ac:dyDescent="0.35">
      <c r="A5652" s="2" t="str">
        <f ca="1">IFERROR(__xludf.DUMMYFUNCTION("""COMPUTED_VALUE"""),"Dubai")</f>
        <v>Dubai</v>
      </c>
      <c r="B5652" s="2" t="str">
        <f ca="1">IFERROR(__xludf.DUMMYFUNCTION("""COMPUTED_VALUE"""),"Bukadra")</f>
        <v>Bukadra</v>
      </c>
      <c r="C5652" s="2" t="str">
        <f ca="1">IFERROR(__xludf.DUMMYFUNCTION("""COMPUTED_VALUE"""),"Neighbourhood")</f>
        <v>Neighbourhood</v>
      </c>
      <c r="D5652" s="2" t="str">
        <f ca="1">IFERROR(__xludf.DUMMYFUNCTION("""COMPUTED_VALUE"""),"Dubai&gt;Bukadra")</f>
        <v>Dubai&gt;Bukadra</v>
      </c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</row>
    <row r="5653" spans="1:26" ht="16.5" x14ac:dyDescent="0.35">
      <c r="A5653" s="2" t="str">
        <f ca="1">IFERROR(__xludf.DUMMYFUNCTION("""COMPUTED_VALUE"""),"Dubai")</f>
        <v>Dubai</v>
      </c>
      <c r="B5653" s="2" t="str">
        <f ca="1">IFERROR(__xludf.DUMMYFUNCTION("""COMPUTED_VALUE"""),"Address Residences Tower A")</f>
        <v>Address Residences Tower A</v>
      </c>
      <c r="C5653" s="2" t="str">
        <f ca="1">IFERROR(__xludf.DUMMYFUNCTION("""COMPUTED_VALUE"""),"Building")</f>
        <v>Building</v>
      </c>
      <c r="D5653" s="2" t="str">
        <f ca="1">IFERROR(__xludf.DUMMYFUNCTION("""COMPUTED_VALUE"""),"Dubai&gt;Dubai Hills Estate&gt;Park Heights&gt;Address Residences&gt;Address Residences Tower A")</f>
        <v>Dubai&gt;Dubai Hills Estate&gt;Park Heights&gt;Address Residences&gt;Address Residences Tower A</v>
      </c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</row>
    <row r="5654" spans="1:26" ht="16.5" x14ac:dyDescent="0.35">
      <c r="A5654" s="2" t="str">
        <f ca="1">IFERROR(__xludf.DUMMYFUNCTION("""COMPUTED_VALUE"""),"Dubai")</f>
        <v>Dubai</v>
      </c>
      <c r="B5654" s="2" t="str">
        <f ca="1">IFERROR(__xludf.DUMMYFUNCTION("""COMPUTED_VALUE"""),"Maple 3")</f>
        <v>Maple 3</v>
      </c>
      <c r="C5654" s="2" t="str">
        <f ca="1">IFERROR(__xludf.DUMMYFUNCTION("""COMPUTED_VALUE"""),"Neighbourhood")</f>
        <v>Neighbourhood</v>
      </c>
      <c r="D5654" s="2" t="str">
        <f ca="1">IFERROR(__xludf.DUMMYFUNCTION("""COMPUTED_VALUE"""),"Dubai&gt;Dubai Hills Estate&gt;Maple&gt;Maple 3")</f>
        <v>Dubai&gt;Dubai Hills Estate&gt;Maple&gt;Maple 3</v>
      </c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</row>
    <row r="5655" spans="1:26" ht="16.5" x14ac:dyDescent="0.35">
      <c r="A5655" s="2" t="str">
        <f ca="1">IFERROR(__xludf.DUMMYFUNCTION("""COMPUTED_VALUE"""),"Dubai")</f>
        <v>Dubai</v>
      </c>
      <c r="B5655" s="2" t="str">
        <f ca="1">IFERROR(__xludf.DUMMYFUNCTION("""COMPUTED_VALUE"""),"Tower B")</f>
        <v>Tower B</v>
      </c>
      <c r="C5655" s="2" t="str">
        <f ca="1">IFERROR(__xludf.DUMMYFUNCTION("""COMPUTED_VALUE"""),"Building")</f>
        <v>Building</v>
      </c>
      <c r="D5655" s="2" t="str">
        <f ca="1">IFERROR(__xludf.DUMMYFUNCTION("""COMPUTED_VALUE"""),"Dubai&gt;Dubai Hills Estate&gt;Elvira&gt;Tower B")</f>
        <v>Dubai&gt;Dubai Hills Estate&gt;Elvira&gt;Tower B</v>
      </c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</row>
    <row r="5656" spans="1:26" ht="16.5" x14ac:dyDescent="0.35">
      <c r="A5656" s="2" t="str">
        <f ca="1">IFERROR(__xludf.DUMMYFUNCTION("""COMPUTED_VALUE"""),"Dubai")</f>
        <v>Dubai</v>
      </c>
      <c r="B5656" s="2" t="str">
        <f ca="1">IFERROR(__xludf.DUMMYFUNCTION("""COMPUTED_VALUE"""),"Vida Residences Dubai Hills Estate")</f>
        <v>Vida Residences Dubai Hills Estate</v>
      </c>
      <c r="C5656" s="2" t="str">
        <f ca="1">IFERROR(__xludf.DUMMYFUNCTION("""COMPUTED_VALUE"""),"Building")</f>
        <v>Building</v>
      </c>
      <c r="D5656" s="2" t="str">
        <f ca="1">IFERROR(__xludf.DUMMYFUNCTION("""COMPUTED_VALUE"""),"Dubai&gt;Dubai Hills Estate&gt;Vida Residences Dubai Hills Estate")</f>
        <v>Dubai&gt;Dubai Hills Estate&gt;Vida Residences Dubai Hills Estate</v>
      </c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</row>
    <row r="5657" spans="1:26" ht="16.5" x14ac:dyDescent="0.35">
      <c r="A5657" s="2" t="str">
        <f ca="1">IFERROR(__xludf.DUMMYFUNCTION("""COMPUTED_VALUE"""),"Dubai")</f>
        <v>Dubai</v>
      </c>
      <c r="B5657" s="2" t="str">
        <f ca="1">IFERROR(__xludf.DUMMYFUNCTION("""COMPUTED_VALUE"""),"Bin Haider Building 2")</f>
        <v>Bin Haider Building 2</v>
      </c>
      <c r="C5657" s="2" t="str">
        <f ca="1">IFERROR(__xludf.DUMMYFUNCTION("""COMPUTED_VALUE"""),"Building")</f>
        <v>Building</v>
      </c>
      <c r="D5657" s="2" t="str">
        <f ca="1">IFERROR(__xludf.DUMMYFUNCTION("""COMPUTED_VALUE"""),"Dubai&gt;Deira&gt;Al Muraqqabat&gt;Bin Haider Building 2")</f>
        <v>Dubai&gt;Deira&gt;Al Muraqqabat&gt;Bin Haider Building 2</v>
      </c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</row>
    <row r="5658" spans="1:26" ht="16.5" x14ac:dyDescent="0.35">
      <c r="A5658" s="2" t="str">
        <f ca="1">IFERROR(__xludf.DUMMYFUNCTION("""COMPUTED_VALUE"""),"Dubai")</f>
        <v>Dubai</v>
      </c>
      <c r="B5658" s="2" t="str">
        <f ca="1">IFERROR(__xludf.DUMMYFUNCTION("""COMPUTED_VALUE"""),"Sultan Ahmad Nasser Lootah Building")</f>
        <v>Sultan Ahmad Nasser Lootah Building</v>
      </c>
      <c r="C5658" s="2" t="str">
        <f ca="1">IFERROR(__xludf.DUMMYFUNCTION("""COMPUTED_VALUE"""),"Building")</f>
        <v>Building</v>
      </c>
      <c r="D5658" s="2" t="str">
        <f ca="1">IFERROR(__xludf.DUMMYFUNCTION("""COMPUTED_VALUE"""),"Dubai&gt;Deira&gt;Al Muraqqabat&gt;Sultan Ahmad Nasser Lootah Building")</f>
        <v>Dubai&gt;Deira&gt;Al Muraqqabat&gt;Sultan Ahmad Nasser Lootah Building</v>
      </c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</row>
    <row r="5659" spans="1:26" ht="16.5" x14ac:dyDescent="0.35">
      <c r="A5659" s="2" t="str">
        <f ca="1">IFERROR(__xludf.DUMMYFUNCTION("""COMPUTED_VALUE"""),"Dubai")</f>
        <v>Dubai</v>
      </c>
      <c r="B5659" s="2" t="str">
        <f ca="1">IFERROR(__xludf.DUMMYFUNCTION("""COMPUTED_VALUE"""),"Pearl Park Deluxe Hotel Apartments")</f>
        <v>Pearl Park Deluxe Hotel Apartments</v>
      </c>
      <c r="C5659" s="2" t="str">
        <f ca="1">IFERROR(__xludf.DUMMYFUNCTION("""COMPUTED_VALUE"""),"Building")</f>
        <v>Building</v>
      </c>
      <c r="D5659" s="2" t="str">
        <f ca="1">IFERROR(__xludf.DUMMYFUNCTION("""COMPUTED_VALUE"""),"Dubai&gt;Deira&gt;Riggat Al Buteen&gt;Pearl Park Deluxe Hotel Apartments")</f>
        <v>Dubai&gt;Deira&gt;Riggat Al Buteen&gt;Pearl Park Deluxe Hotel Apartments</v>
      </c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</row>
    <row r="5660" spans="1:26" ht="16.5" x14ac:dyDescent="0.35">
      <c r="A5660" s="2" t="str">
        <f ca="1">IFERROR(__xludf.DUMMYFUNCTION("""COMPUTED_VALUE"""),"Dubai")</f>
        <v>Dubai</v>
      </c>
      <c r="B5660" s="2" t="str">
        <f ca="1">IFERROR(__xludf.DUMMYFUNCTION("""COMPUTED_VALUE"""),"Hor Al Anz Plaza")</f>
        <v>Hor Al Anz Plaza</v>
      </c>
      <c r="C5660" s="2" t="str">
        <f ca="1">IFERROR(__xludf.DUMMYFUNCTION("""COMPUTED_VALUE"""),"Building")</f>
        <v>Building</v>
      </c>
      <c r="D5660" s="2" t="str">
        <f ca="1">IFERROR(__xludf.DUMMYFUNCTION("""COMPUTED_VALUE"""),"Dubai&gt;Deira&gt;Hor Al Anz&gt;Hor Al Anz Plaza")</f>
        <v>Dubai&gt;Deira&gt;Hor Al Anz&gt;Hor Al Anz Plaza</v>
      </c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</row>
    <row r="5661" spans="1:26" ht="16.5" x14ac:dyDescent="0.35">
      <c r="A5661" s="2" t="str">
        <f ca="1">IFERROR(__xludf.DUMMYFUNCTION("""COMPUTED_VALUE"""),"Dubai")</f>
        <v>Dubai</v>
      </c>
      <c r="B5661" s="2" t="str">
        <f ca="1">IFERROR(__xludf.DUMMYFUNCTION("""COMPUTED_VALUE"""),"P386 Building")</f>
        <v>P386 Building</v>
      </c>
      <c r="C5661" s="2" t="str">
        <f ca="1">IFERROR(__xludf.DUMMYFUNCTION("""COMPUTED_VALUE"""),"Building")</f>
        <v>Building</v>
      </c>
      <c r="D5661" s="2" t="str">
        <f ca="1">IFERROR(__xludf.DUMMYFUNCTION("""COMPUTED_VALUE"""),"Dubai&gt;Deira&gt;Hor Al Anz&gt;Hor Al Anz East&gt;P386 Building")</f>
        <v>Dubai&gt;Deira&gt;Hor Al Anz&gt;Hor Al Anz East&gt;P386 Building</v>
      </c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</row>
    <row r="5662" spans="1:26" ht="16.5" x14ac:dyDescent="0.35">
      <c r="A5662" s="2" t="str">
        <f ca="1">IFERROR(__xludf.DUMMYFUNCTION("""COMPUTED_VALUE"""),"Dubai")</f>
        <v>Dubai</v>
      </c>
      <c r="B5662" s="2" t="str">
        <f ca="1">IFERROR(__xludf.DUMMYFUNCTION("""COMPUTED_VALUE"""),"Masaken Al Muteena 03")</f>
        <v>Masaken Al Muteena 03</v>
      </c>
      <c r="C5662" s="2" t="str">
        <f ca="1">IFERROR(__xludf.DUMMYFUNCTION("""COMPUTED_VALUE"""),"Building")</f>
        <v>Building</v>
      </c>
      <c r="D5662" s="2" t="str">
        <f ca="1">IFERROR(__xludf.DUMMYFUNCTION("""COMPUTED_VALUE"""),"Dubai&gt;Deira&gt;Al Muteena&gt;Masaken Al Muteena 03")</f>
        <v>Dubai&gt;Deira&gt;Al Muteena&gt;Masaken Al Muteena 03</v>
      </c>
      <c r="E5662" s="2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</row>
    <row r="5663" spans="1:26" ht="16.5" x14ac:dyDescent="0.35">
      <c r="A5663" s="2" t="str">
        <f ca="1">IFERROR(__xludf.DUMMYFUNCTION("""COMPUTED_VALUE"""),"Dubai")</f>
        <v>Dubai</v>
      </c>
      <c r="B5663" s="2" t="str">
        <f ca="1">IFERROR(__xludf.DUMMYFUNCTION("""COMPUTED_VALUE"""),"Sheikha Mariam Building")</f>
        <v>Sheikha Mariam Building</v>
      </c>
      <c r="C5663" s="2" t="str">
        <f ca="1">IFERROR(__xludf.DUMMYFUNCTION("""COMPUTED_VALUE"""),"Building")</f>
        <v>Building</v>
      </c>
      <c r="D5663" s="2" t="str">
        <f ca="1">IFERROR(__xludf.DUMMYFUNCTION("""COMPUTED_VALUE"""),"Dubai&gt;Deira&gt;Al Rigga&gt;Sheikha Mariam Building")</f>
        <v>Dubai&gt;Deira&gt;Al Rigga&gt;Sheikha Mariam Building</v>
      </c>
      <c r="E5663" s="2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</row>
    <row r="5664" spans="1:26" ht="16.5" x14ac:dyDescent="0.35">
      <c r="A5664" s="2" t="str">
        <f ca="1">IFERROR(__xludf.DUMMYFUNCTION("""COMPUTED_VALUE"""),"Dubai")</f>
        <v>Dubai</v>
      </c>
      <c r="B5664" s="2" t="str">
        <f ca="1">IFERROR(__xludf.DUMMYFUNCTION("""COMPUTED_VALUE"""),"Wadima Plaza 2")</f>
        <v>Wadima Plaza 2</v>
      </c>
      <c r="C5664" s="2" t="str">
        <f ca="1">IFERROR(__xludf.DUMMYFUNCTION("""COMPUTED_VALUE"""),"Building")</f>
        <v>Building</v>
      </c>
      <c r="D5664" s="2" t="str">
        <f ca="1">IFERROR(__xludf.DUMMYFUNCTION("""COMPUTED_VALUE"""),"Dubai&gt;Deira&gt;Deira Enrichment Project&gt;Wadima Plaza&gt;Wadima Plaza 2")</f>
        <v>Dubai&gt;Deira&gt;Deira Enrichment Project&gt;Wadima Plaza&gt;Wadima Plaza 2</v>
      </c>
      <c r="E5664" s="2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</row>
    <row r="5665" spans="1:26" ht="16.5" x14ac:dyDescent="0.35">
      <c r="A5665" s="2" t="str">
        <f ca="1">IFERROR(__xludf.DUMMYFUNCTION("""COMPUTED_VALUE"""),"Dubai")</f>
        <v>Dubai</v>
      </c>
      <c r="B5665" s="2" t="str">
        <f ca="1">IFERROR(__xludf.DUMMYFUNCTION("""COMPUTED_VALUE"""),"Spectrum Nursery Dubai")</f>
        <v>Spectrum Nursery Dubai</v>
      </c>
      <c r="C5665" s="2" t="str">
        <f ca="1">IFERROR(__xludf.DUMMYFUNCTION("""COMPUTED_VALUE"""),"Nursery")</f>
        <v>Nursery</v>
      </c>
      <c r="D5665" s="2" t="str">
        <f ca="1">IFERROR(__xludf.DUMMYFUNCTION("""COMPUTED_VALUE"""),"Dubai&gt;Deira&gt;Abu Hail&gt;Spectrum Nursery Dubai")</f>
        <v>Dubai&gt;Deira&gt;Abu Hail&gt;Spectrum Nursery Dubai</v>
      </c>
      <c r="E5665" s="2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</row>
    <row r="5666" spans="1:26" ht="16.5" x14ac:dyDescent="0.35">
      <c r="A5666" s="2" t="str">
        <f ca="1">IFERROR(__xludf.DUMMYFUNCTION("""COMPUTED_VALUE"""),"Dubai")</f>
        <v>Dubai</v>
      </c>
      <c r="B5666" s="2" t="str">
        <f ca="1">IFERROR(__xludf.DUMMYFUNCTION("""COMPUTED_VALUE"""),"Maryam Al Owais Building")</f>
        <v>Maryam Al Owais Building</v>
      </c>
      <c r="C5666" s="2" t="str">
        <f ca="1">IFERROR(__xludf.DUMMYFUNCTION("""COMPUTED_VALUE"""),"Building")</f>
        <v>Building</v>
      </c>
      <c r="D5666" s="2" t="str">
        <f ca="1">IFERROR(__xludf.DUMMYFUNCTION("""COMPUTED_VALUE"""),"Dubai&gt;Deira&gt;Naif&gt;Maryam Al Owais Building")</f>
        <v>Dubai&gt;Deira&gt;Naif&gt;Maryam Al Owais Building</v>
      </c>
      <c r="E5666" s="2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</row>
    <row r="5667" spans="1:26" ht="16.5" x14ac:dyDescent="0.35">
      <c r="A5667" s="2" t="str">
        <f ca="1">IFERROR(__xludf.DUMMYFUNCTION("""COMPUTED_VALUE"""),"Dubai")</f>
        <v>Dubai</v>
      </c>
      <c r="B5667" s="2" t="str">
        <f ca="1">IFERROR(__xludf.DUMMYFUNCTION("""COMPUTED_VALUE"""),"Al Reem Building")</f>
        <v>Al Reem Building</v>
      </c>
      <c r="C5667" s="2" t="str">
        <f ca="1">IFERROR(__xludf.DUMMYFUNCTION("""COMPUTED_VALUE"""),"Building")</f>
        <v>Building</v>
      </c>
      <c r="D5667" s="2" t="str">
        <f ca="1">IFERROR(__xludf.DUMMYFUNCTION("""COMPUTED_VALUE"""),"Dubai&gt;Deira&gt;Al Murar&gt;Al Reem Building")</f>
        <v>Dubai&gt;Deira&gt;Al Murar&gt;Al Reem Building</v>
      </c>
      <c r="E5667" s="2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</row>
    <row r="5668" spans="1:26" ht="16.5" x14ac:dyDescent="0.35">
      <c r="A5668" s="2" t="str">
        <f ca="1">IFERROR(__xludf.DUMMYFUNCTION("""COMPUTED_VALUE"""),"Dubai")</f>
        <v>Dubai</v>
      </c>
      <c r="B5668" s="2" t="str">
        <f ca="1">IFERROR(__xludf.DUMMYFUNCTION("""COMPUTED_VALUE"""),"Hyatt Regency Dubai")</f>
        <v>Hyatt Regency Dubai</v>
      </c>
      <c r="C5668" s="2" t="str">
        <f ca="1">IFERROR(__xludf.DUMMYFUNCTION("""COMPUTED_VALUE"""),"Building")</f>
        <v>Building</v>
      </c>
      <c r="D5668" s="2" t="str">
        <f ca="1">IFERROR(__xludf.DUMMYFUNCTION("""COMPUTED_VALUE"""),"Dubai&gt;Deira&gt;Corniche Deira&gt;Hyatt Regency Dubai")</f>
        <v>Dubai&gt;Deira&gt;Corniche Deira&gt;Hyatt Regency Dubai</v>
      </c>
      <c r="E5668" s="2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</row>
    <row r="5669" spans="1:26" ht="16.5" x14ac:dyDescent="0.35">
      <c r="A5669" s="2" t="str">
        <f ca="1">IFERROR(__xludf.DUMMYFUNCTION("""COMPUTED_VALUE"""),"Dubai")</f>
        <v>Dubai</v>
      </c>
      <c r="B5669" s="2" t="str">
        <f ca="1">IFERROR(__xludf.DUMMYFUNCTION("""COMPUTED_VALUE"""),"Business Point")</f>
        <v>Business Point</v>
      </c>
      <c r="C5669" s="2" t="str">
        <f ca="1">IFERROR(__xludf.DUMMYFUNCTION("""COMPUTED_VALUE"""),"Building")</f>
        <v>Building</v>
      </c>
      <c r="D5669" s="2" t="str">
        <f ca="1">IFERROR(__xludf.DUMMYFUNCTION("""COMPUTED_VALUE"""),"Dubai&gt;Deira&gt;Port Saeed&gt;Business Point")</f>
        <v>Dubai&gt;Deira&gt;Port Saeed&gt;Business Point</v>
      </c>
      <c r="E5669" s="2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</row>
    <row r="5670" spans="1:26" ht="16.5" x14ac:dyDescent="0.35">
      <c r="A5670" s="2" t="str">
        <f ca="1">IFERROR(__xludf.DUMMYFUNCTION("""COMPUTED_VALUE"""),"Dubai")</f>
        <v>Dubai</v>
      </c>
      <c r="B5670" s="2" t="str">
        <f ca="1">IFERROR(__xludf.DUMMYFUNCTION("""COMPUTED_VALUE"""),"Hilton Dubai Creek Residences")</f>
        <v>Hilton Dubai Creek Residences</v>
      </c>
      <c r="C5670" s="2" t="str">
        <f ca="1">IFERROR(__xludf.DUMMYFUNCTION("""COMPUTED_VALUE"""),"Building")</f>
        <v>Building</v>
      </c>
      <c r="D5670" s="2" t="str">
        <f ca="1">IFERROR(__xludf.DUMMYFUNCTION("""COMPUTED_VALUE"""),"Dubai&gt;Deira&gt;Port Saeed&gt;Jewel of the Creek&gt;Hilton Dubai Creek Residences")</f>
        <v>Dubai&gt;Deira&gt;Port Saeed&gt;Jewel of the Creek&gt;Hilton Dubai Creek Residences</v>
      </c>
      <c r="E5670" s="2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</row>
    <row r="5671" spans="1:26" ht="16.5" x14ac:dyDescent="0.35">
      <c r="A5671" s="2" t="str">
        <f ca="1">IFERROR(__xludf.DUMMYFUNCTION("""COMPUTED_VALUE"""),"Dubai")</f>
        <v>Dubai</v>
      </c>
      <c r="B5671" s="2" t="str">
        <f ca="1">IFERROR(__xludf.DUMMYFUNCTION("""COMPUTED_VALUE"""),"Aykon City Tower C")</f>
        <v>Aykon City Tower C</v>
      </c>
      <c r="C5671" s="2" t="str">
        <f ca="1">IFERROR(__xludf.DUMMYFUNCTION("""COMPUTED_VALUE"""),"Building")</f>
        <v>Building</v>
      </c>
      <c r="D5671" s="2" t="str">
        <f ca="1">IFERROR(__xludf.DUMMYFUNCTION("""COMPUTED_VALUE"""),"Dubai&gt;Business Bay&gt;Aykon City&gt;Aykon City Tower C")</f>
        <v>Dubai&gt;Business Bay&gt;Aykon City&gt;Aykon City Tower C</v>
      </c>
      <c r="E5671" s="2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</row>
    <row r="5672" spans="1:26" ht="16.5" x14ac:dyDescent="0.35">
      <c r="A5672" s="2" t="str">
        <f ca="1">IFERROR(__xludf.DUMMYFUNCTION("""COMPUTED_VALUE"""),"Dubai")</f>
        <v>Dubai</v>
      </c>
      <c r="B5672" s="2" t="str">
        <f ca="1">IFERROR(__xludf.DUMMYFUNCTION("""COMPUTED_VALUE"""),"Plaza Boutique")</f>
        <v>Plaza Boutique</v>
      </c>
      <c r="C5672" s="2" t="str">
        <f ca="1">IFERROR(__xludf.DUMMYFUNCTION("""COMPUTED_VALUE"""),"Building")</f>
        <v>Building</v>
      </c>
      <c r="D5672" s="2" t="str">
        <f ca="1">IFERROR(__xludf.DUMMYFUNCTION("""COMPUTED_VALUE"""),"Dubai&gt;Business Bay&gt;Executive Towers&gt;Plaza Boutique")</f>
        <v>Dubai&gt;Business Bay&gt;Executive Towers&gt;Plaza Boutique</v>
      </c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</row>
    <row r="5673" spans="1:26" ht="16.5" x14ac:dyDescent="0.35">
      <c r="A5673" s="2" t="str">
        <f ca="1">IFERROR(__xludf.DUMMYFUNCTION("""COMPUTED_VALUE"""),"Dubai")</f>
        <v>Dubai</v>
      </c>
      <c r="B5673" s="2" t="str">
        <f ca="1">IFERROR(__xludf.DUMMYFUNCTION("""COMPUTED_VALUE"""),"DAMAC Maison Majestine")</f>
        <v>DAMAC Maison Majestine</v>
      </c>
      <c r="C5673" s="2" t="str">
        <f ca="1">IFERROR(__xludf.DUMMYFUNCTION("""COMPUTED_VALUE"""),"Building")</f>
        <v>Building</v>
      </c>
      <c r="D5673" s="2" t="str">
        <f ca="1">IFERROR(__xludf.DUMMYFUNCTION("""COMPUTED_VALUE"""),"Dubai&gt;Business Bay&gt;DAMAC Maison Majestine")</f>
        <v>Dubai&gt;Business Bay&gt;DAMAC Maison Majestine</v>
      </c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</row>
    <row r="5674" spans="1:26" ht="16.5" x14ac:dyDescent="0.35">
      <c r="A5674" s="2" t="str">
        <f ca="1">IFERROR(__xludf.DUMMYFUNCTION("""COMPUTED_VALUE"""),"Dubai")</f>
        <v>Dubai</v>
      </c>
      <c r="B5674" s="2" t="str">
        <f ca="1">IFERROR(__xludf.DUMMYFUNCTION("""COMPUTED_VALUE"""),"SOL Avenue")</f>
        <v>SOL Avenue</v>
      </c>
      <c r="C5674" s="2" t="str">
        <f ca="1">IFERROR(__xludf.DUMMYFUNCTION("""COMPUTED_VALUE"""),"Building")</f>
        <v>Building</v>
      </c>
      <c r="D5674" s="2" t="str">
        <f ca="1">IFERROR(__xludf.DUMMYFUNCTION("""COMPUTED_VALUE"""),"Dubai&gt;Business Bay&gt;SOL Avenue")</f>
        <v>Dubai&gt;Business Bay&gt;SOL Avenue</v>
      </c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</row>
    <row r="5675" spans="1:26" ht="16.5" x14ac:dyDescent="0.35">
      <c r="A5675" s="2" t="str">
        <f ca="1">IFERROR(__xludf.DUMMYFUNCTION("""COMPUTED_VALUE"""),"Dubai")</f>
        <v>Dubai</v>
      </c>
      <c r="B5675" s="2" t="str">
        <f ca="1">IFERROR(__xludf.DUMMYFUNCTION("""COMPUTED_VALUE"""),"The Atria")</f>
        <v>The Atria</v>
      </c>
      <c r="C5675" s="2" t="str">
        <f ca="1">IFERROR(__xludf.DUMMYFUNCTION("""COMPUTED_VALUE"""),"Cluster")</f>
        <v>Cluster</v>
      </c>
      <c r="D5675" s="2" t="str">
        <f ca="1">IFERROR(__xludf.DUMMYFUNCTION("""COMPUTED_VALUE"""),"Dubai&gt;Business Bay&gt;The Atria")</f>
        <v>Dubai&gt;Business Bay&gt;The Atria</v>
      </c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</row>
    <row r="5676" spans="1:26" ht="16.5" x14ac:dyDescent="0.35">
      <c r="A5676" s="2" t="str">
        <f ca="1">IFERROR(__xludf.DUMMYFUNCTION("""COMPUTED_VALUE"""),"Dubai")</f>
        <v>Dubai</v>
      </c>
      <c r="B5676" s="2" t="str">
        <f ca="1">IFERROR(__xludf.DUMMYFUNCTION("""COMPUTED_VALUE"""),"Tiara West Tower")</f>
        <v>Tiara West Tower</v>
      </c>
      <c r="C5676" s="2" t="str">
        <f ca="1">IFERROR(__xludf.DUMMYFUNCTION("""COMPUTED_VALUE"""),"Building")</f>
        <v>Building</v>
      </c>
      <c r="D5676" s="2" t="str">
        <f ca="1">IFERROR(__xludf.DUMMYFUNCTION("""COMPUTED_VALUE"""),"Dubai&gt;Business Bay&gt;Tiara United Towers&gt;Tiara West Tower")</f>
        <v>Dubai&gt;Business Bay&gt;Tiara United Towers&gt;Tiara West Tower</v>
      </c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</row>
    <row r="5677" spans="1:26" ht="16.5" x14ac:dyDescent="0.35">
      <c r="A5677" s="2" t="str">
        <f ca="1">IFERROR(__xludf.DUMMYFUNCTION("""COMPUTED_VALUE"""),"Dubai")</f>
        <v>Dubai</v>
      </c>
      <c r="B5677" s="2" t="str">
        <f ca="1">IFERROR(__xludf.DUMMYFUNCTION("""COMPUTED_VALUE"""),"Chic Tower")</f>
        <v>Chic Tower</v>
      </c>
      <c r="C5677" s="2" t="str">
        <f ca="1">IFERROR(__xludf.DUMMYFUNCTION("""COMPUTED_VALUE"""),"Building")</f>
        <v>Building</v>
      </c>
      <c r="D5677" s="2" t="str">
        <f ca="1">IFERROR(__xludf.DUMMYFUNCTION("""COMPUTED_VALUE"""),"Dubai&gt;Business Bay&gt;Chic Tower")</f>
        <v>Dubai&gt;Business Bay&gt;Chic Tower</v>
      </c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</row>
    <row r="5678" spans="1:26" ht="16.5" x14ac:dyDescent="0.35">
      <c r="A5678" s="2" t="str">
        <f ca="1">IFERROR(__xludf.DUMMYFUNCTION("""COMPUTED_VALUE"""),"Dubai")</f>
        <v>Dubai</v>
      </c>
      <c r="B5678" s="2" t="str">
        <f ca="1">IFERROR(__xludf.DUMMYFUNCTION("""COMPUTED_VALUE"""),"Trillionaire Residences by Binghatti")</f>
        <v>Trillionaire Residences by Binghatti</v>
      </c>
      <c r="C5678" s="2" t="str">
        <f ca="1">IFERROR(__xludf.DUMMYFUNCTION("""COMPUTED_VALUE"""),"Building")</f>
        <v>Building</v>
      </c>
      <c r="D5678" s="2" t="str">
        <f ca="1">IFERROR(__xludf.DUMMYFUNCTION("""COMPUTED_VALUE"""),"Dubai&gt;Business Bay&gt;Trillionaire Residences by Binghatti")</f>
        <v>Dubai&gt;Business Bay&gt;Trillionaire Residences by Binghatti</v>
      </c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</row>
    <row r="5679" spans="1:26" ht="16.5" x14ac:dyDescent="0.35">
      <c r="A5679" s="2" t="str">
        <f ca="1">IFERROR(__xludf.DUMMYFUNCTION("""COMPUTED_VALUE"""),"Dubai")</f>
        <v>Dubai</v>
      </c>
      <c r="B5679" s="2" t="str">
        <f ca="1">IFERROR(__xludf.DUMMYFUNCTION("""COMPUTED_VALUE"""),"Urban Life Residences")</f>
        <v>Urban Life Residences</v>
      </c>
      <c r="C5679" s="2" t="str">
        <f ca="1">IFERROR(__xludf.DUMMYFUNCTION("""COMPUTED_VALUE"""),"Building")</f>
        <v>Building</v>
      </c>
      <c r="D5679" s="2" t="str">
        <f ca="1">IFERROR(__xludf.DUMMYFUNCTION("""COMPUTED_VALUE"""),"Dubai&gt;Business Bay&gt;Urban Life Residences")</f>
        <v>Dubai&gt;Business Bay&gt;Urban Life Residences</v>
      </c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</row>
    <row r="5680" spans="1:26" ht="16.5" x14ac:dyDescent="0.35">
      <c r="A5680" s="2" t="str">
        <f ca="1">IFERROR(__xludf.DUMMYFUNCTION("""COMPUTED_VALUE"""),"Dubai")</f>
        <v>Dubai</v>
      </c>
      <c r="B5680" s="2" t="str">
        <f ca="1">IFERROR(__xludf.DUMMYFUNCTION("""COMPUTED_VALUE"""),"Al Warsan")</f>
        <v>Al Warsan</v>
      </c>
      <c r="C5680" s="2" t="str">
        <f ca="1">IFERROR(__xludf.DUMMYFUNCTION("""COMPUTED_VALUE"""),"Neighbourhood")</f>
        <v>Neighbourhood</v>
      </c>
      <c r="D5680" s="2" t="str">
        <f ca="1">IFERROR(__xludf.DUMMYFUNCTION("""COMPUTED_VALUE"""),"Dubai&gt;Al Warsan")</f>
        <v>Dubai&gt;Al Warsan</v>
      </c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</row>
    <row r="5681" spans="1:26" ht="16.5" x14ac:dyDescent="0.35">
      <c r="A5681" s="2" t="str">
        <f ca="1">IFERROR(__xludf.DUMMYFUNCTION("""COMPUTED_VALUE"""),"Dubai")</f>
        <v>Dubai</v>
      </c>
      <c r="B5681" s="2" t="str">
        <f ca="1">IFERROR(__xludf.DUMMYFUNCTION("""COMPUTED_VALUE"""),"District 8V")</f>
        <v>District 8V</v>
      </c>
      <c r="C5681" s="2" t="str">
        <f ca="1">IFERROR(__xludf.DUMMYFUNCTION("""COMPUTED_VALUE"""),"Neighbourhood")</f>
        <v>Neighbourhood</v>
      </c>
      <c r="D5681" s="2" t="str">
        <f ca="1">IFERROR(__xludf.DUMMYFUNCTION("""COMPUTED_VALUE"""),"Dubai&gt;Jumeirah Village Triangle (JVT)&gt;JVT District 8&gt;District 8V")</f>
        <v>Dubai&gt;Jumeirah Village Triangle (JVT)&gt;JVT District 8&gt;District 8V</v>
      </c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</row>
    <row r="5682" spans="1:26" ht="16.5" x14ac:dyDescent="0.35">
      <c r="A5682" s="2" t="str">
        <f ca="1">IFERROR(__xludf.DUMMYFUNCTION("""COMPUTED_VALUE"""),"Dubai")</f>
        <v>Dubai</v>
      </c>
      <c r="B5682" s="2" t="str">
        <f ca="1">IFERROR(__xludf.DUMMYFUNCTION("""COMPUTED_VALUE"""),"District 9A")</f>
        <v>District 9A</v>
      </c>
      <c r="C5682" s="2" t="str">
        <f ca="1">IFERROR(__xludf.DUMMYFUNCTION("""COMPUTED_VALUE"""),"Neighbourhood")</f>
        <v>Neighbourhood</v>
      </c>
      <c r="D5682" s="2" t="str">
        <f ca="1">IFERROR(__xludf.DUMMYFUNCTION("""COMPUTED_VALUE"""),"Dubai&gt;Jumeirah Village Triangle (JVT)&gt;JVT District 9&gt;District 9A")</f>
        <v>Dubai&gt;Jumeirah Village Triangle (JVT)&gt;JVT District 9&gt;District 9A</v>
      </c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</row>
    <row r="5683" spans="1:26" ht="16.5" x14ac:dyDescent="0.35">
      <c r="A5683" s="2" t="str">
        <f ca="1">IFERROR(__xludf.DUMMYFUNCTION("""COMPUTED_VALUE"""),"Dubai")</f>
        <v>Dubai</v>
      </c>
      <c r="B5683" s="2" t="str">
        <f ca="1">IFERROR(__xludf.DUMMYFUNCTION("""COMPUTED_VALUE"""),"Al Burooj Residences 2")</f>
        <v>Al Burooj Residences 2</v>
      </c>
      <c r="C5683" s="2" t="str">
        <f ca="1">IFERROR(__xludf.DUMMYFUNCTION("""COMPUTED_VALUE"""),"Neighbourhood")</f>
        <v>Neighbourhood</v>
      </c>
      <c r="D5683" s="2" t="str">
        <f ca="1">IFERROR(__xludf.DUMMYFUNCTION("""COMPUTED_VALUE"""),"Dubai&gt;Jumeirah Village Triangle (JVT)&gt;JVT District 6&gt;Al Burooj Residences 2")</f>
        <v>Dubai&gt;Jumeirah Village Triangle (JVT)&gt;JVT District 6&gt;Al Burooj Residences 2</v>
      </c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</row>
    <row r="5684" spans="1:26" ht="16.5" x14ac:dyDescent="0.35">
      <c r="A5684" s="2" t="str">
        <f ca="1">IFERROR(__xludf.DUMMYFUNCTION("""COMPUTED_VALUE"""),"Dubai")</f>
        <v>Dubai</v>
      </c>
      <c r="B5684" s="2" t="str">
        <f ca="1">IFERROR(__xludf.DUMMYFUNCTION("""COMPUTED_VALUE"""),"Guzel Towers Block A")</f>
        <v>Guzel Towers Block A</v>
      </c>
      <c r="C5684" s="2" t="str">
        <f ca="1">IFERROR(__xludf.DUMMYFUNCTION("""COMPUTED_VALUE"""),"Building")</f>
        <v>Building</v>
      </c>
      <c r="D5684" s="2" t="str">
        <f ca="1">IFERROR(__xludf.DUMMYFUNCTION("""COMPUTED_VALUE"""),"Dubai&gt;Jumeirah Village Triangle (JVT)&gt;JVT District 1&gt;Guzel Towers&gt;Guzel Towers Block A")</f>
        <v>Dubai&gt;Jumeirah Village Triangle (JVT)&gt;JVT District 1&gt;Guzel Towers&gt;Guzel Towers Block A</v>
      </c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</row>
    <row r="5685" spans="1:26" ht="16.5" x14ac:dyDescent="0.35">
      <c r="A5685" s="2" t="str">
        <f ca="1">IFERROR(__xludf.DUMMYFUNCTION("""COMPUTED_VALUE"""),"Dubai")</f>
        <v>Dubai</v>
      </c>
      <c r="B5685" s="2" t="str">
        <f ca="1">IFERROR(__xludf.DUMMYFUNCTION("""COMPUTED_VALUE"""),"Voxa Residences")</f>
        <v>Voxa Residences</v>
      </c>
      <c r="C5685" s="2" t="str">
        <f ca="1">IFERROR(__xludf.DUMMYFUNCTION("""COMPUTED_VALUE"""),"Building")</f>
        <v>Building</v>
      </c>
      <c r="D5685" s="2" t="str">
        <f ca="1">IFERROR(__xludf.DUMMYFUNCTION("""COMPUTED_VALUE"""),"Dubai&gt;Jumeirah Village Triangle (JVT)&gt;JVT District 4&gt;Voxa Residences")</f>
        <v>Dubai&gt;Jumeirah Village Triangle (JVT)&gt;JVT District 4&gt;Voxa Residences</v>
      </c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</row>
    <row r="5686" spans="1:26" ht="16.5" x14ac:dyDescent="0.35">
      <c r="A5686" s="2" t="str">
        <f ca="1">IFERROR(__xludf.DUMMYFUNCTION("""COMPUTED_VALUE"""),"Dubai")</f>
        <v>Dubai</v>
      </c>
      <c r="B5686" s="2" t="str">
        <f ca="1">IFERROR(__xludf.DUMMYFUNCTION("""COMPUTED_VALUE"""),"Al Ramth 01")</f>
        <v>Al Ramth 01</v>
      </c>
      <c r="C5686" s="2" t="str">
        <f ca="1">IFERROR(__xludf.DUMMYFUNCTION("""COMPUTED_VALUE"""),"Building")</f>
        <v>Building</v>
      </c>
      <c r="D5686" s="2" t="str">
        <f ca="1">IFERROR(__xludf.DUMMYFUNCTION("""COMPUTED_VALUE"""),"Dubai&gt;Remraam&gt;Al Ramth&gt;Al Ramth 01")</f>
        <v>Dubai&gt;Remraam&gt;Al Ramth&gt;Al Ramth 01</v>
      </c>
      <c r="E5686" s="2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</row>
    <row r="5687" spans="1:26" ht="16.5" x14ac:dyDescent="0.35">
      <c r="A5687" s="2" t="str">
        <f ca="1">IFERROR(__xludf.DUMMYFUNCTION("""COMPUTED_VALUE"""),"Dubai")</f>
        <v>Dubai</v>
      </c>
      <c r="B5687" s="2" t="str">
        <f ca="1">IFERROR(__xludf.DUMMYFUNCTION("""COMPUTED_VALUE"""),"Al Ramth 02")</f>
        <v>Al Ramth 02</v>
      </c>
      <c r="C5687" s="2" t="str">
        <f ca="1">IFERROR(__xludf.DUMMYFUNCTION("""COMPUTED_VALUE"""),"Building")</f>
        <v>Building</v>
      </c>
      <c r="D5687" s="2" t="str">
        <f ca="1">IFERROR(__xludf.DUMMYFUNCTION("""COMPUTED_VALUE"""),"Dubai&gt;Remraam&gt;Al Ramth&gt;Al Ramth 02")</f>
        <v>Dubai&gt;Remraam&gt;Al Ramth&gt;Al Ramth 02</v>
      </c>
      <c r="E5687" s="2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</row>
    <row r="5688" spans="1:26" ht="16.5" x14ac:dyDescent="0.35">
      <c r="A5688" s="2" t="str">
        <f ca="1">IFERROR(__xludf.DUMMYFUNCTION("""COMPUTED_VALUE"""),"Dubai")</f>
        <v>Dubai</v>
      </c>
      <c r="B5688" s="2" t="str">
        <f ca="1">IFERROR(__xludf.DUMMYFUNCTION("""COMPUTED_VALUE"""),"Al Thamam 01")</f>
        <v>Al Thamam 01</v>
      </c>
      <c r="C5688" s="2" t="str">
        <f ca="1">IFERROR(__xludf.DUMMYFUNCTION("""COMPUTED_VALUE"""),"Building")</f>
        <v>Building</v>
      </c>
      <c r="D5688" s="2" t="str">
        <f ca="1">IFERROR(__xludf.DUMMYFUNCTION("""COMPUTED_VALUE"""),"Dubai&gt;Remraam&gt;Al Thamam&gt;Al Thamam 01")</f>
        <v>Dubai&gt;Remraam&gt;Al Thamam&gt;Al Thamam 01</v>
      </c>
      <c r="E5688" s="2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</row>
    <row r="5689" spans="1:26" ht="16.5" x14ac:dyDescent="0.35">
      <c r="A5689" s="2" t="str">
        <f ca="1">IFERROR(__xludf.DUMMYFUNCTION("""COMPUTED_VALUE"""),"Dubai")</f>
        <v>Dubai</v>
      </c>
      <c r="B5689" s="2" t="str">
        <f ca="1">IFERROR(__xludf.DUMMYFUNCTION("""COMPUTED_VALUE"""),"Milano by Giovanni Boutique Suites")</f>
        <v>Milano by Giovanni Boutique Suites</v>
      </c>
      <c r="C5689" s="2" t="str">
        <f ca="1">IFERROR(__xludf.DUMMYFUNCTION("""COMPUTED_VALUE"""),"Building")</f>
        <v>Building</v>
      </c>
      <c r="D5689" s="2" t="str">
        <f ca="1">IFERROR(__xludf.DUMMYFUNCTION("""COMPUTED_VALUE"""),"Dubai&gt;Jumeirah Village Circle (JVC)&gt;JVC District 17&gt;Milano by Giovanni Boutique Suites")</f>
        <v>Dubai&gt;Jumeirah Village Circle (JVC)&gt;JVC District 17&gt;Milano by Giovanni Boutique Suites</v>
      </c>
      <c r="E5689" s="2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</row>
    <row r="5690" spans="1:26" ht="16.5" x14ac:dyDescent="0.35">
      <c r="A5690" s="2" t="str">
        <f ca="1">IFERROR(__xludf.DUMMYFUNCTION("""COMPUTED_VALUE"""),"Dubai")</f>
        <v>Dubai</v>
      </c>
      <c r="B5690" s="2" t="str">
        <f ca="1">IFERROR(__xludf.DUMMYFUNCTION("""COMPUTED_VALUE"""),"Saleh Bin Lahej 401")</f>
        <v>Saleh Bin Lahej 401</v>
      </c>
      <c r="C5690" s="2" t="str">
        <f ca="1">IFERROR(__xludf.DUMMYFUNCTION("""COMPUTED_VALUE"""),"Building")</f>
        <v>Building</v>
      </c>
      <c r="D5690" s="2" t="str">
        <f ca="1">IFERROR(__xludf.DUMMYFUNCTION("""COMPUTED_VALUE"""),"Dubai&gt;Jumeirah Village Circle (JVC)&gt;JVC District 12&gt;Saleh Bin Lahej 401")</f>
        <v>Dubai&gt;Jumeirah Village Circle (JVC)&gt;JVC District 12&gt;Saleh Bin Lahej 401</v>
      </c>
      <c r="E5690" s="2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</row>
    <row r="5691" spans="1:26" ht="16.5" x14ac:dyDescent="0.35">
      <c r="A5691" s="2" t="str">
        <f ca="1">IFERROR(__xludf.DUMMYFUNCTION("""COMPUTED_VALUE"""),"Dubai")</f>
        <v>Dubai</v>
      </c>
      <c r="B5691" s="2" t="str">
        <f ca="1">IFERROR(__xludf.DUMMYFUNCTION("""COMPUTED_VALUE"""),"Lavender 1")</f>
        <v>Lavender 1</v>
      </c>
      <c r="C5691" s="2" t="str">
        <f ca="1">IFERROR(__xludf.DUMMYFUNCTION("""COMPUTED_VALUE"""),"Building")</f>
        <v>Building</v>
      </c>
      <c r="D5691" s="2" t="str">
        <f ca="1">IFERROR(__xludf.DUMMYFUNCTION("""COMPUTED_VALUE"""),"Dubai&gt;Jumeirah Village Circle (JVC)&gt;JVC District 12&gt;Emirates Gardens&gt;Lavender 1")</f>
        <v>Dubai&gt;Jumeirah Village Circle (JVC)&gt;JVC District 12&gt;Emirates Gardens&gt;Lavender 1</v>
      </c>
      <c r="E5691" s="2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</row>
    <row r="5692" spans="1:26" ht="16.5" x14ac:dyDescent="0.35">
      <c r="A5692" s="2" t="str">
        <f ca="1">IFERROR(__xludf.DUMMYFUNCTION("""COMPUTED_VALUE"""),"Dubai")</f>
        <v>Dubai</v>
      </c>
      <c r="B5692" s="2" t="str">
        <f ca="1">IFERROR(__xludf.DUMMYFUNCTION("""COMPUTED_VALUE"""),"Maison Elysee 2")</f>
        <v>Maison Elysee 2</v>
      </c>
      <c r="C5692" s="2" t="str">
        <f ca="1">IFERROR(__xludf.DUMMYFUNCTION("""COMPUTED_VALUE"""),"Building")</f>
        <v>Building</v>
      </c>
      <c r="D5692" s="2" t="str">
        <f ca="1">IFERROR(__xludf.DUMMYFUNCTION("""COMPUTED_VALUE"""),"Dubai&gt;Jumeirah Village Circle (JVC)&gt;JVC District 12&gt;Maison Elysee&gt;Maison Elysee 2")</f>
        <v>Dubai&gt;Jumeirah Village Circle (JVC)&gt;JVC District 12&gt;Maison Elysee&gt;Maison Elysee 2</v>
      </c>
      <c r="E5692" s="2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</row>
    <row r="5693" spans="1:26" ht="16.5" x14ac:dyDescent="0.35">
      <c r="A5693" s="2" t="str">
        <f ca="1">IFERROR(__xludf.DUMMYFUNCTION("""COMPUTED_VALUE"""),"Dubai")</f>
        <v>Dubai</v>
      </c>
      <c r="B5693" s="2" t="str">
        <f ca="1">IFERROR(__xludf.DUMMYFUNCTION("""COMPUTED_VALUE"""),"Pantheon Elysee I")</f>
        <v>Pantheon Elysee I</v>
      </c>
      <c r="C5693" s="2" t="str">
        <f ca="1">IFERROR(__xludf.DUMMYFUNCTION("""COMPUTED_VALUE"""),"Building")</f>
        <v>Building</v>
      </c>
      <c r="D5693" s="2" t="str">
        <f ca="1">IFERROR(__xludf.DUMMYFUNCTION("""COMPUTED_VALUE"""),"Dubai&gt;Jumeirah Village Circle (JVC)&gt;JVC District 13&gt;Pantheon Elysee I")</f>
        <v>Dubai&gt;Jumeirah Village Circle (JVC)&gt;JVC District 13&gt;Pantheon Elysee I</v>
      </c>
      <c r="E5693" s="2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</row>
    <row r="5694" spans="1:26" ht="16.5" x14ac:dyDescent="0.35">
      <c r="A5694" s="2" t="str">
        <f ca="1">IFERROR(__xludf.DUMMYFUNCTION("""COMPUTED_VALUE"""),"Dubai")</f>
        <v>Dubai</v>
      </c>
      <c r="B5694" s="2" t="str">
        <f ca="1">IFERROR(__xludf.DUMMYFUNCTION("""COMPUTED_VALUE"""),"Orchidea Residence")</f>
        <v>Orchidea Residence</v>
      </c>
      <c r="C5694" s="2" t="str">
        <f ca="1">IFERROR(__xludf.DUMMYFUNCTION("""COMPUTED_VALUE"""),"Building")</f>
        <v>Building</v>
      </c>
      <c r="D5694" s="2" t="str">
        <f ca="1">IFERROR(__xludf.DUMMYFUNCTION("""COMPUTED_VALUE"""),"Dubai&gt;Jumeirah Village Circle (JVC)&gt;JVC District 13&gt;Orchidea Residence")</f>
        <v>Dubai&gt;Jumeirah Village Circle (JVC)&gt;JVC District 13&gt;Orchidea Residence</v>
      </c>
      <c r="E5694" s="2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</row>
    <row r="5695" spans="1:26" ht="16.5" x14ac:dyDescent="0.35">
      <c r="A5695" s="2" t="str">
        <f ca="1">IFERROR(__xludf.DUMMYFUNCTION("""COMPUTED_VALUE"""),"Dubai")</f>
        <v>Dubai</v>
      </c>
      <c r="B5695" s="2" t="str">
        <f ca="1">IFERROR(__xludf.DUMMYFUNCTION("""COMPUTED_VALUE"""),"The Autograph I Series")</f>
        <v>The Autograph I Series</v>
      </c>
      <c r="C5695" s="2" t="str">
        <f ca="1">IFERROR(__xludf.DUMMYFUNCTION("""COMPUTED_VALUE"""),"Building")</f>
        <v>Building</v>
      </c>
      <c r="D5695" s="2" t="str">
        <f ca="1">IFERROR(__xludf.DUMMYFUNCTION("""COMPUTED_VALUE"""),"Dubai&gt;Jumeirah Village Circle (JVC)&gt;JVC District 13&gt;The Autograph I Series")</f>
        <v>Dubai&gt;Jumeirah Village Circle (JVC)&gt;JVC District 13&gt;The Autograph I Series</v>
      </c>
      <c r="E5695" s="2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</row>
    <row r="5696" spans="1:26" ht="16.5" x14ac:dyDescent="0.35">
      <c r="A5696" s="2" t="str">
        <f ca="1">IFERROR(__xludf.DUMMYFUNCTION("""COMPUTED_VALUE"""),"Dubai")</f>
        <v>Dubai</v>
      </c>
      <c r="B5696" s="2" t="str">
        <f ca="1">IFERROR(__xludf.DUMMYFUNCTION("""COMPUTED_VALUE"""),"Cello Residences")</f>
        <v>Cello Residences</v>
      </c>
      <c r="C5696" s="2" t="str">
        <f ca="1">IFERROR(__xludf.DUMMYFUNCTION("""COMPUTED_VALUE"""),"Cluster")</f>
        <v>Cluster</v>
      </c>
      <c r="D5696" s="2" t="str">
        <f ca="1">IFERROR(__xludf.DUMMYFUNCTION("""COMPUTED_VALUE"""),"Dubai&gt;Jumeirah Village Circle (JVC)&gt;JVC District 18&gt;Cello Residences")</f>
        <v>Dubai&gt;Jumeirah Village Circle (JVC)&gt;JVC District 18&gt;Cello Residences</v>
      </c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</row>
    <row r="5697" spans="1:26" ht="16.5" x14ac:dyDescent="0.35">
      <c r="A5697" s="2" t="str">
        <f ca="1">IFERROR(__xludf.DUMMYFUNCTION("""COMPUTED_VALUE"""),"Dubai")</f>
        <v>Dubai</v>
      </c>
      <c r="B5697" s="2" t="str">
        <f ca="1">IFERROR(__xludf.DUMMYFUNCTION("""COMPUTED_VALUE"""),"Laya Residences")</f>
        <v>Laya Residences</v>
      </c>
      <c r="C5697" s="2" t="str">
        <f ca="1">IFERROR(__xludf.DUMMYFUNCTION("""COMPUTED_VALUE"""),"Building")</f>
        <v>Building</v>
      </c>
      <c r="D5697" s="2" t="str">
        <f ca="1">IFERROR(__xludf.DUMMYFUNCTION("""COMPUTED_VALUE"""),"Dubai&gt;Jumeirah Village Circle (JVC)&gt;JVC District 10&gt;Laya Residences")</f>
        <v>Dubai&gt;Jumeirah Village Circle (JVC)&gt;JVC District 10&gt;Laya Residences</v>
      </c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</row>
    <row r="5698" spans="1:26" ht="16.5" x14ac:dyDescent="0.35">
      <c r="A5698" s="2" t="str">
        <f ca="1">IFERROR(__xludf.DUMMYFUNCTION("""COMPUTED_VALUE"""),"Dubai")</f>
        <v>Dubai</v>
      </c>
      <c r="B5698" s="2" t="str">
        <f ca="1">IFERROR(__xludf.DUMMYFUNCTION("""COMPUTED_VALUE"""),"Florence 1")</f>
        <v>Florence 1</v>
      </c>
      <c r="C5698" s="2" t="str">
        <f ca="1">IFERROR(__xludf.DUMMYFUNCTION("""COMPUTED_VALUE"""),"Building")</f>
        <v>Building</v>
      </c>
      <c r="D5698" s="2" t="str">
        <f ca="1">IFERROR(__xludf.DUMMYFUNCTION("""COMPUTED_VALUE"""),"Dubai&gt;Jumeirah Village Circle (JVC)&gt;JVC District 10&gt;Tuscan Residence&gt;Florence&gt;Florence 1")</f>
        <v>Dubai&gt;Jumeirah Village Circle (JVC)&gt;JVC District 10&gt;Tuscan Residence&gt;Florence&gt;Florence 1</v>
      </c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</row>
    <row r="5699" spans="1:26" ht="16.5" x14ac:dyDescent="0.35">
      <c r="A5699" s="2" t="str">
        <f ca="1">IFERROR(__xludf.DUMMYFUNCTION("""COMPUTED_VALUE"""),"Dubai")</f>
        <v>Dubai</v>
      </c>
      <c r="B5699" s="2" t="str">
        <f ca="1">IFERROR(__xludf.DUMMYFUNCTION("""COMPUTED_VALUE"""),"Elitz 2 by Danube Tower 2")</f>
        <v>Elitz 2 by Danube Tower 2</v>
      </c>
      <c r="C5699" s="2" t="str">
        <f ca="1">IFERROR(__xludf.DUMMYFUNCTION("""COMPUTED_VALUE"""),"Building")</f>
        <v>Building</v>
      </c>
      <c r="D5699" s="2" t="str">
        <f ca="1">IFERROR(__xludf.DUMMYFUNCTION("""COMPUTED_VALUE"""),"Dubai&gt;Jumeirah Village Circle (JVC)&gt;JVC District 10&gt;Elitz 2 by Danube&gt;Elitz 2 by Danube Tower 2")</f>
        <v>Dubai&gt;Jumeirah Village Circle (JVC)&gt;JVC District 10&gt;Elitz 2 by Danube&gt;Elitz 2 by Danube Tower 2</v>
      </c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</row>
    <row r="5700" spans="1:26" ht="16.5" x14ac:dyDescent="0.35">
      <c r="A5700" s="2" t="str">
        <f ca="1">IFERROR(__xludf.DUMMYFUNCTION("""COMPUTED_VALUE"""),"Dubai")</f>
        <v>Dubai</v>
      </c>
      <c r="B5700" s="2" t="str">
        <f ca="1">IFERROR(__xludf.DUMMYFUNCTION("""COMPUTED_VALUE"""),"Cloud Hub Residences")</f>
        <v>Cloud Hub Residences</v>
      </c>
      <c r="C5700" s="2" t="str">
        <f ca="1">IFERROR(__xludf.DUMMYFUNCTION("""COMPUTED_VALUE"""),"Building")</f>
        <v>Building</v>
      </c>
      <c r="D5700" s="2" t="str">
        <f ca="1">IFERROR(__xludf.DUMMYFUNCTION("""COMPUTED_VALUE"""),"Dubai&gt;Jumeirah Village Circle (JVC)&gt;JVC District 10&gt;Cloud Hub Residences")</f>
        <v>Dubai&gt;Jumeirah Village Circle (JVC)&gt;JVC District 10&gt;Cloud Hub Residences</v>
      </c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</row>
    <row r="5701" spans="1:26" ht="16.5" x14ac:dyDescent="0.35">
      <c r="A5701" s="2" t="str">
        <f ca="1">IFERROR(__xludf.DUMMYFUNCTION("""COMPUTED_VALUE"""),"Dubai")</f>
        <v>Dubai</v>
      </c>
      <c r="B5701" s="2" t="str">
        <f ca="1">IFERROR(__xludf.DUMMYFUNCTION("""COMPUTED_VALUE"""),"District 16M")</f>
        <v>District 16M</v>
      </c>
      <c r="C5701" s="2" t="str">
        <f ca="1">IFERROR(__xludf.DUMMYFUNCTION("""COMPUTED_VALUE"""),"Neighbourhood")</f>
        <v>Neighbourhood</v>
      </c>
      <c r="D5701" s="2" t="str">
        <f ca="1">IFERROR(__xludf.DUMMYFUNCTION("""COMPUTED_VALUE"""),"Dubai&gt;Jumeirah Village Circle (JVC)&gt;JVC District 16&gt;District 16M")</f>
        <v>Dubai&gt;Jumeirah Village Circle (JVC)&gt;JVC District 16&gt;District 16M</v>
      </c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</row>
    <row r="5702" spans="1:26" ht="16.5" x14ac:dyDescent="0.35">
      <c r="A5702" s="2" t="str">
        <f ca="1">IFERROR(__xludf.DUMMYFUNCTION("""COMPUTED_VALUE"""),"Dubai")</f>
        <v>Dubai</v>
      </c>
      <c r="B5702" s="2" t="str">
        <f ca="1">IFERROR(__xludf.DUMMYFUNCTION("""COMPUTED_VALUE"""),"Iris Park")</f>
        <v>Iris Park</v>
      </c>
      <c r="C5702" s="2" t="str">
        <f ca="1">IFERROR(__xludf.DUMMYFUNCTION("""COMPUTED_VALUE"""),"Neighbourhood")</f>
        <v>Neighbourhood</v>
      </c>
      <c r="D5702" s="2" t="str">
        <f ca="1">IFERROR(__xludf.DUMMYFUNCTION("""COMPUTED_VALUE"""),"Dubai&gt;Jumeirah Village Circle (JVC)&gt;JVC District 15&gt;Iris Park")</f>
        <v>Dubai&gt;Jumeirah Village Circle (JVC)&gt;JVC District 15&gt;Iris Park</v>
      </c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</row>
    <row r="5703" spans="1:26" ht="16.5" x14ac:dyDescent="0.35">
      <c r="A5703" s="2" t="str">
        <f ca="1">IFERROR(__xludf.DUMMYFUNCTION("""COMPUTED_VALUE"""),"Dubai")</f>
        <v>Dubai</v>
      </c>
      <c r="B5703" s="2" t="str">
        <f ca="1">IFERROR(__xludf.DUMMYFUNCTION("""COMPUTED_VALUE"""),"The Haven Garden")</f>
        <v>The Haven Garden</v>
      </c>
      <c r="C5703" s="2" t="str">
        <f ca="1">IFERROR(__xludf.DUMMYFUNCTION("""COMPUTED_VALUE"""),"Building")</f>
        <v>Building</v>
      </c>
      <c r="D5703" s="2" t="str">
        <f ca="1">IFERROR(__xludf.DUMMYFUNCTION("""COMPUTED_VALUE"""),"Dubai&gt;Jumeirah Village Circle (JVC)&gt;JVC District 15&gt;The Haven Garden")</f>
        <v>Dubai&gt;Jumeirah Village Circle (JVC)&gt;JVC District 15&gt;The Haven Garden</v>
      </c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</row>
    <row r="5704" spans="1:26" ht="16.5" x14ac:dyDescent="0.35">
      <c r="A5704" s="2" t="str">
        <f ca="1">IFERROR(__xludf.DUMMYFUNCTION("""COMPUTED_VALUE"""),"Dubai")</f>
        <v>Dubai</v>
      </c>
      <c r="B5704" s="2" t="str">
        <f ca="1">IFERROR(__xludf.DUMMYFUNCTION("""COMPUTED_VALUE"""),"G24 Tower")</f>
        <v>G24 Tower</v>
      </c>
      <c r="C5704" s="2" t="str">
        <f ca="1">IFERROR(__xludf.DUMMYFUNCTION("""COMPUTED_VALUE"""),"Building")</f>
        <v>Building</v>
      </c>
      <c r="D5704" s="2" t="str">
        <f ca="1">IFERROR(__xludf.DUMMYFUNCTION("""COMPUTED_VALUE"""),"Dubai&gt;Jumeirah Village Circle (JVC)&gt;JVC District 11&gt;G24 Tower")</f>
        <v>Dubai&gt;Jumeirah Village Circle (JVC)&gt;JVC District 11&gt;G24 Tower</v>
      </c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</row>
    <row r="5705" spans="1:26" ht="16.5" x14ac:dyDescent="0.35">
      <c r="A5705" s="2" t="str">
        <f ca="1">IFERROR(__xludf.DUMMYFUNCTION("""COMPUTED_VALUE"""),"Dubai")</f>
        <v>Dubai</v>
      </c>
      <c r="B5705" s="2" t="str">
        <f ca="1">IFERROR(__xludf.DUMMYFUNCTION("""COMPUTED_VALUE"""),"Oxford Terraces")</f>
        <v>Oxford Terraces</v>
      </c>
      <c r="C5705" s="2" t="str">
        <f ca="1">IFERROR(__xludf.DUMMYFUNCTION("""COMPUTED_VALUE"""),"Building")</f>
        <v>Building</v>
      </c>
      <c r="D5705" s="2" t="str">
        <f ca="1">IFERROR(__xludf.DUMMYFUNCTION("""COMPUTED_VALUE"""),"Dubai&gt;Jumeirah Village Circle (JVC)&gt;JVC District 11&gt;Oxford Terraces")</f>
        <v>Dubai&gt;Jumeirah Village Circle (JVC)&gt;JVC District 11&gt;Oxford Terraces</v>
      </c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</row>
    <row r="5706" spans="1:26" ht="16.5" x14ac:dyDescent="0.35">
      <c r="A5706" s="2" t="str">
        <f ca="1">IFERROR(__xludf.DUMMYFUNCTION("""COMPUTED_VALUE"""),"Dubai")</f>
        <v>Dubai</v>
      </c>
      <c r="B5706" s="2" t="str">
        <f ca="1">IFERROR(__xludf.DUMMYFUNCTION("""COMPUTED_VALUE"""),"Sereno Residences")</f>
        <v>Sereno Residences</v>
      </c>
      <c r="C5706" s="2" t="str">
        <f ca="1">IFERROR(__xludf.DUMMYFUNCTION("""COMPUTED_VALUE"""),"Building")</f>
        <v>Building</v>
      </c>
      <c r="D5706" s="2" t="str">
        <f ca="1">IFERROR(__xludf.DUMMYFUNCTION("""COMPUTED_VALUE"""),"Dubai&gt;Jumeirah Village Circle (JVC)&gt;JVC District 11&gt;Sereno Residences")</f>
        <v>Dubai&gt;Jumeirah Village Circle (JVC)&gt;JVC District 11&gt;Sereno Residences</v>
      </c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</row>
    <row r="5707" spans="1:26" ht="16.5" x14ac:dyDescent="0.35">
      <c r="A5707" s="2" t="str">
        <f ca="1">IFERROR(__xludf.DUMMYFUNCTION("""COMPUTED_VALUE"""),"Dubai")</f>
        <v>Dubai</v>
      </c>
      <c r="B5707" s="2" t="str">
        <f ca="1">IFERROR(__xludf.DUMMYFUNCTION("""COMPUTED_VALUE"""),"JVC District 14")</f>
        <v>JVC District 14</v>
      </c>
      <c r="C5707" s="2" t="str">
        <f ca="1">IFERROR(__xludf.DUMMYFUNCTION("""COMPUTED_VALUE"""),"Neighbourhood")</f>
        <v>Neighbourhood</v>
      </c>
      <c r="D5707" s="2" t="str">
        <f ca="1">IFERROR(__xludf.DUMMYFUNCTION("""COMPUTED_VALUE"""),"Dubai&gt;Jumeirah Village Circle (JVC)&gt;JVC District 14")</f>
        <v>Dubai&gt;Jumeirah Village Circle (JVC)&gt;JVC District 14</v>
      </c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</row>
    <row r="5708" spans="1:26" ht="16.5" x14ac:dyDescent="0.35">
      <c r="A5708" s="2" t="str">
        <f ca="1">IFERROR(__xludf.DUMMYFUNCTION("""COMPUTED_VALUE"""),"Dubai")</f>
        <v>Dubai</v>
      </c>
      <c r="B5708" s="2" t="str">
        <f ca="1">IFERROR(__xludf.DUMMYFUNCTION("""COMPUTED_VALUE"""),"Indigo Ville 6")</f>
        <v>Indigo Ville 6</v>
      </c>
      <c r="C5708" s="2" t="str">
        <f ca="1">IFERROR(__xludf.DUMMYFUNCTION("""COMPUTED_VALUE"""),"Neighbourhood")</f>
        <v>Neighbourhood</v>
      </c>
      <c r="D5708" s="2" t="str">
        <f ca="1">IFERROR(__xludf.DUMMYFUNCTION("""COMPUTED_VALUE"""),"Dubai&gt;Jumeirah Village Circle (JVC)&gt;JVC District 14&gt;Indigo Ville 6")</f>
        <v>Dubai&gt;Jumeirah Village Circle (JVC)&gt;JVC District 14&gt;Indigo Ville 6</v>
      </c>
      <c r="E5708" s="2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</row>
    <row r="5709" spans="1:26" ht="16.5" x14ac:dyDescent="0.35">
      <c r="A5709" s="2" t="str">
        <f ca="1">IFERROR(__xludf.DUMMYFUNCTION("""COMPUTED_VALUE"""),"Dubai")</f>
        <v>Dubai</v>
      </c>
      <c r="B5709" s="2" t="str">
        <f ca="1">IFERROR(__xludf.DUMMYFUNCTION("""COMPUTED_VALUE"""),"Helvetia Residences")</f>
        <v>Helvetia Residences</v>
      </c>
      <c r="C5709" s="2" t="str">
        <f ca="1">IFERROR(__xludf.DUMMYFUNCTION("""COMPUTED_VALUE"""),"Building")</f>
        <v>Building</v>
      </c>
      <c r="D5709" s="2" t="str">
        <f ca="1">IFERROR(__xludf.DUMMYFUNCTION("""COMPUTED_VALUE"""),"Dubai&gt;Jumeirah Village Circle (JVC)&gt;JVC District 14&gt;Helvetia Residences")</f>
        <v>Dubai&gt;Jumeirah Village Circle (JVC)&gt;JVC District 14&gt;Helvetia Residences</v>
      </c>
      <c r="E5709" s="2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</row>
    <row r="5710" spans="1:26" ht="16.5" x14ac:dyDescent="0.35">
      <c r="A5710" s="2" t="str">
        <f ca="1">IFERROR(__xludf.DUMMYFUNCTION("""COMPUTED_VALUE"""),"Dubai")</f>
        <v>Dubai</v>
      </c>
      <c r="B5710" s="2" t="str">
        <f ca="1">IFERROR(__xludf.DUMMYFUNCTION("""COMPUTED_VALUE"""),"Al Zarooni Building")</f>
        <v>Al Zarooni Building</v>
      </c>
      <c r="C5710" s="2" t="str">
        <f ca="1">IFERROR(__xludf.DUMMYFUNCTION("""COMPUTED_VALUE"""),"Building")</f>
        <v>Building</v>
      </c>
      <c r="D5710" s="2" t="str">
        <f ca="1">IFERROR(__xludf.DUMMYFUNCTION("""COMPUTED_VALUE"""),"Dubai&gt;Dubai Land Residence Complex&gt;Al Zarooni Building")</f>
        <v>Dubai&gt;Dubai Land Residence Complex&gt;Al Zarooni Building</v>
      </c>
      <c r="E5710" s="2"/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</row>
    <row r="5711" spans="1:26" ht="16.5" x14ac:dyDescent="0.35">
      <c r="A5711" s="2" t="str">
        <f ca="1">IFERROR(__xludf.DUMMYFUNCTION("""COMPUTED_VALUE"""),"Dubai")</f>
        <v>Dubai</v>
      </c>
      <c r="B5711" s="2" t="str">
        <f ca="1">IFERROR(__xludf.DUMMYFUNCTION("""COMPUTED_VALUE"""),"Nilona Residence")</f>
        <v>Nilona Residence</v>
      </c>
      <c r="C5711" s="2" t="str">
        <f ca="1">IFERROR(__xludf.DUMMYFUNCTION("""COMPUTED_VALUE"""),"Building")</f>
        <v>Building</v>
      </c>
      <c r="D5711" s="2" t="str">
        <f ca="1">IFERROR(__xludf.DUMMYFUNCTION("""COMPUTED_VALUE"""),"Dubai&gt;Dubai Land Residence Complex&gt;Nilona Residence")</f>
        <v>Dubai&gt;Dubai Land Residence Complex&gt;Nilona Residence</v>
      </c>
      <c r="E5711" s="2"/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</row>
    <row r="5712" spans="1:26" ht="16.5" x14ac:dyDescent="0.35">
      <c r="A5712" s="2" t="str">
        <f ca="1">IFERROR(__xludf.DUMMYFUNCTION("""COMPUTED_VALUE"""),"Dubai")</f>
        <v>Dubai</v>
      </c>
      <c r="B5712" s="2" t="str">
        <f ca="1">IFERROR(__xludf.DUMMYFUNCTION("""COMPUTED_VALUE"""),"Safeer Tower 2")</f>
        <v>Safeer Tower 2</v>
      </c>
      <c r="C5712" s="2" t="str">
        <f ca="1">IFERROR(__xludf.DUMMYFUNCTION("""COMPUTED_VALUE"""),"Building")</f>
        <v>Building</v>
      </c>
      <c r="D5712" s="2" t="str">
        <f ca="1">IFERROR(__xludf.DUMMYFUNCTION("""COMPUTED_VALUE"""),"Dubai&gt;Dubai Land Residence Complex&gt;Safeer Tower 2")</f>
        <v>Dubai&gt;Dubai Land Residence Complex&gt;Safeer Tower 2</v>
      </c>
      <c r="E5712" s="2"/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</row>
    <row r="5713" spans="1:26" ht="16.5" x14ac:dyDescent="0.35">
      <c r="A5713" s="2" t="str">
        <f ca="1">IFERROR(__xludf.DUMMYFUNCTION("""COMPUTED_VALUE"""),"Abu Dhabi")</f>
        <v>Abu Dhabi</v>
      </c>
      <c r="B5713" s="2" t="str">
        <f ca="1">IFERROR(__xludf.DUMMYFUNCTION("""COMPUTED_VALUE"""),"Al Muhaimat Tower")</f>
        <v>Al Muhaimat Tower</v>
      </c>
      <c r="C5713" s="2" t="str">
        <f ca="1">IFERROR(__xludf.DUMMYFUNCTION("""COMPUTED_VALUE"""),"Building")</f>
        <v>Building</v>
      </c>
      <c r="D5713" s="2" t="str">
        <f ca="1">IFERROR(__xludf.DUMMYFUNCTION("""COMPUTED_VALUE"""),"Abu Dhabi&gt;Al Reem Island&gt;Najmat Abu Dhabi&gt;Al Muhaimat Tower")</f>
        <v>Abu Dhabi&gt;Al Reem Island&gt;Najmat Abu Dhabi&gt;Al Muhaimat Tower</v>
      </c>
      <c r="E5713" s="2"/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</row>
    <row r="5714" spans="1:26" ht="16.5" x14ac:dyDescent="0.35">
      <c r="A5714" s="2" t="str">
        <f ca="1">IFERROR(__xludf.DUMMYFUNCTION("""COMPUTED_VALUE"""),"Abu Dhabi")</f>
        <v>Abu Dhabi</v>
      </c>
      <c r="B5714" s="2" t="str">
        <f ca="1">IFERROR(__xludf.DUMMYFUNCTION("""COMPUTED_VALUE"""),"Burooj Views")</f>
        <v>Burooj Views</v>
      </c>
      <c r="C5714" s="2" t="str">
        <f ca="1">IFERROR(__xludf.DUMMYFUNCTION("""COMPUTED_VALUE"""),"Building")</f>
        <v>Building</v>
      </c>
      <c r="D5714" s="2" t="str">
        <f ca="1">IFERROR(__xludf.DUMMYFUNCTION("""COMPUTED_VALUE"""),"Abu Dhabi&gt;Al Reem Island&gt;Marina Square&gt;Burooj Views")</f>
        <v>Abu Dhabi&gt;Al Reem Island&gt;Marina Square&gt;Burooj Views</v>
      </c>
      <c r="E5714" s="2"/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</row>
    <row r="5715" spans="1:26" ht="16.5" x14ac:dyDescent="0.35">
      <c r="A5715" s="2" t="str">
        <f ca="1">IFERROR(__xludf.DUMMYFUNCTION("""COMPUTED_VALUE"""),"Abu Dhabi")</f>
        <v>Abu Dhabi</v>
      </c>
      <c r="B5715" s="2" t="str">
        <f ca="1">IFERROR(__xludf.DUMMYFUNCTION("""COMPUTED_VALUE"""),"The Gate Tower")</f>
        <v>The Gate Tower</v>
      </c>
      <c r="C5715" s="2" t="str">
        <f ca="1">IFERROR(__xludf.DUMMYFUNCTION("""COMPUTED_VALUE"""),"Cluster")</f>
        <v>Cluster</v>
      </c>
      <c r="D5715" s="2" t="str">
        <f ca="1">IFERROR(__xludf.DUMMYFUNCTION("""COMPUTED_VALUE"""),"Abu Dhabi&gt;Al Reem Island&gt;Shams Abu Dhabi&gt;Shams Gate District&gt;The Gate Tower")</f>
        <v>Abu Dhabi&gt;Al Reem Island&gt;Shams Abu Dhabi&gt;Shams Gate District&gt;The Gate Tower</v>
      </c>
      <c r="E5715" s="2"/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</row>
    <row r="5716" spans="1:26" ht="16.5" x14ac:dyDescent="0.35">
      <c r="A5716" s="2" t="str">
        <f ca="1">IFERROR(__xludf.DUMMYFUNCTION("""COMPUTED_VALUE"""),"Abu Dhabi")</f>
        <v>Abu Dhabi</v>
      </c>
      <c r="B5716" s="2" t="str">
        <f ca="1">IFERROR(__xludf.DUMMYFUNCTION("""COMPUTED_VALUE"""),"Rivage")</f>
        <v>Rivage</v>
      </c>
      <c r="C5716" s="2" t="str">
        <f ca="1">IFERROR(__xludf.DUMMYFUNCTION("""COMPUTED_VALUE"""),"Building")</f>
        <v>Building</v>
      </c>
      <c r="D5716" s="2" t="str">
        <f ca="1">IFERROR(__xludf.DUMMYFUNCTION("""COMPUTED_VALUE"""),"Abu Dhabi&gt;Al Reem Island&gt;Shams Abu Dhabi&gt;Rivage")</f>
        <v>Abu Dhabi&gt;Al Reem Island&gt;Shams Abu Dhabi&gt;Rivage</v>
      </c>
      <c r="E5716" s="2"/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</row>
    <row r="5717" spans="1:26" ht="16.5" x14ac:dyDescent="0.35">
      <c r="A5717" s="2" t="str">
        <f ca="1">IFERROR(__xludf.DUMMYFUNCTION("""COMPUTED_VALUE"""),"Abu Dhabi")</f>
        <v>Abu Dhabi</v>
      </c>
      <c r="B5717" s="2" t="str">
        <f ca="1">IFERROR(__xludf.DUMMYFUNCTION("""COMPUTED_VALUE"""),"Radiant Atrium Towers")</f>
        <v>Radiant Atrium Towers</v>
      </c>
      <c r="C5717" s="2" t="str">
        <f ca="1">IFERROR(__xludf.DUMMYFUNCTION("""COMPUTED_VALUE"""),"Building")</f>
        <v>Building</v>
      </c>
      <c r="D5717" s="2" t="str">
        <f ca="1">IFERROR(__xludf.DUMMYFUNCTION("""COMPUTED_VALUE"""),"Abu Dhabi&gt;Al Reem Island&gt;City of Lights&gt;Radiant Atrium Towers")</f>
        <v>Abu Dhabi&gt;Al Reem Island&gt;City of Lights&gt;Radiant Atrium Towers</v>
      </c>
      <c r="E5717" s="2"/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</row>
    <row r="5718" spans="1:26" ht="16.5" x14ac:dyDescent="0.35">
      <c r="A5718" s="2" t="str">
        <f ca="1">IFERROR(__xludf.DUMMYFUNCTION("""COMPUTED_VALUE"""),"Abu Dhabi")</f>
        <v>Abu Dhabi</v>
      </c>
      <c r="B5718" s="2" t="str">
        <f ca="1">IFERROR(__xludf.DUMMYFUNCTION("""COMPUTED_VALUE"""),"Amara")</f>
        <v>Amara</v>
      </c>
      <c r="C5718" s="2" t="str">
        <f ca="1">IFERROR(__xludf.DUMMYFUNCTION("""COMPUTED_VALUE"""),"Building")</f>
        <v>Building</v>
      </c>
      <c r="D5718" s="2" t="str">
        <f ca="1">IFERROR(__xludf.DUMMYFUNCTION("""COMPUTED_VALUE"""),"Abu Dhabi&gt;Al Reem Island&gt;Reem Hills&gt;Amara")</f>
        <v>Abu Dhabi&gt;Al Reem Island&gt;Reem Hills&gt;Amara</v>
      </c>
      <c r="E5718" s="2"/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</row>
    <row r="5719" spans="1:26" ht="16.5" x14ac:dyDescent="0.35">
      <c r="A5719" s="2" t="str">
        <f ca="1">IFERROR(__xludf.DUMMYFUNCTION("""COMPUTED_VALUE"""),"Abu Dhabi")</f>
        <v>Abu Dhabi</v>
      </c>
      <c r="B5719" s="2" t="str">
        <f ca="1">IFERROR(__xludf.DUMMYFUNCTION("""COMPUTED_VALUE"""),"Al Ghaith Tower")</f>
        <v>Al Ghaith Tower</v>
      </c>
      <c r="C5719" s="2" t="str">
        <f ca="1">IFERROR(__xludf.DUMMYFUNCTION("""COMPUTED_VALUE"""),"Building")</f>
        <v>Building</v>
      </c>
      <c r="D5719" s="2" t="str">
        <f ca="1">IFERROR(__xludf.DUMMYFUNCTION("""COMPUTED_VALUE"""),"Abu Dhabi&gt;Hamdan Street&gt;Al Ghaith Tower")</f>
        <v>Abu Dhabi&gt;Hamdan Street&gt;Al Ghaith Tower</v>
      </c>
      <c r="E5719" s="2"/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</row>
    <row r="5720" spans="1:26" ht="16.5" x14ac:dyDescent="0.35">
      <c r="A5720" s="2" t="str">
        <f ca="1">IFERROR(__xludf.DUMMYFUNCTION("""COMPUTED_VALUE"""),"Abu Dhabi")</f>
        <v>Abu Dhabi</v>
      </c>
      <c r="B5720" s="2" t="str">
        <f ca="1">IFERROR(__xludf.DUMMYFUNCTION("""COMPUTED_VALUE"""),"Otaiba Tower")</f>
        <v>Otaiba Tower</v>
      </c>
      <c r="C5720" s="2" t="str">
        <f ca="1">IFERROR(__xludf.DUMMYFUNCTION("""COMPUTED_VALUE"""),"Building")</f>
        <v>Building</v>
      </c>
      <c r="D5720" s="2" t="str">
        <f ca="1">IFERROR(__xludf.DUMMYFUNCTION("""COMPUTED_VALUE"""),"Abu Dhabi&gt;Al Khalidiyah&gt;Zayed The First Street&gt;Otaiba Tower")</f>
        <v>Abu Dhabi&gt;Al Khalidiyah&gt;Zayed The First Street&gt;Otaiba Tower</v>
      </c>
      <c r="E5720" s="2"/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</row>
    <row r="5721" spans="1:26" ht="16.5" x14ac:dyDescent="0.35">
      <c r="A5721" s="2" t="str">
        <f ca="1">IFERROR(__xludf.DUMMYFUNCTION("""COMPUTED_VALUE"""),"Abu Dhabi")</f>
        <v>Abu Dhabi</v>
      </c>
      <c r="B5721" s="2" t="str">
        <f ca="1">IFERROR(__xludf.DUMMYFUNCTION("""COMPUTED_VALUE"""),"Jernain Towers A &amp; B")</f>
        <v>Jernain Towers A &amp; B</v>
      </c>
      <c r="C5721" s="2"/>
      <c r="D5721" s="2" t="str">
        <f ca="1">IFERROR(__xludf.DUMMYFUNCTION("""COMPUTED_VALUE"""),"Abu Dhabi&gt;Al Khalidiyah&gt;Jernain Towers A &amp; B")</f>
        <v>Abu Dhabi&gt;Al Khalidiyah&gt;Jernain Towers A &amp; B</v>
      </c>
      <c r="E5721" s="2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</row>
    <row r="5722" spans="1:26" ht="16.5" x14ac:dyDescent="0.35">
      <c r="A5722" s="2" t="str">
        <f ca="1">IFERROR(__xludf.DUMMYFUNCTION("""COMPUTED_VALUE"""),"Abu Dhabi")</f>
        <v>Abu Dhabi</v>
      </c>
      <c r="B5722" s="2" t="str">
        <f ca="1">IFERROR(__xludf.DUMMYFUNCTION("""COMPUTED_VALUE"""),"Golf Gardens")</f>
        <v>Golf Gardens</v>
      </c>
      <c r="C5722" s="2" t="str">
        <f ca="1">IFERROR(__xludf.DUMMYFUNCTION("""COMPUTED_VALUE"""),"Neighbourhood")</f>
        <v>Neighbourhood</v>
      </c>
      <c r="D5722" s="2" t="str">
        <f ca="1">IFERROR(__xludf.DUMMYFUNCTION("""COMPUTED_VALUE"""),"Abu Dhabi&gt;Khalifa City&gt;Golf Gardens")</f>
        <v>Abu Dhabi&gt;Khalifa City&gt;Golf Gardens</v>
      </c>
      <c r="E5722" s="2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</row>
    <row r="5723" spans="1:26" ht="16.5" x14ac:dyDescent="0.35">
      <c r="A5723" s="2" t="str">
        <f ca="1">IFERROR(__xludf.DUMMYFUNCTION("""COMPUTED_VALUE"""),"Abu Dhabi")</f>
        <v>Abu Dhabi</v>
      </c>
      <c r="B5723" s="2" t="str">
        <f ca="1">IFERROR(__xludf.DUMMYFUNCTION("""COMPUTED_VALUE"""),"Al Forsan Village")</f>
        <v>Al Forsan Village</v>
      </c>
      <c r="C5723" s="2" t="str">
        <f ca="1">IFERROR(__xludf.DUMMYFUNCTION("""COMPUTED_VALUE"""),"Neighbourhood")</f>
        <v>Neighbourhood</v>
      </c>
      <c r="D5723" s="2" t="str">
        <f ca="1">IFERROR(__xludf.DUMMYFUNCTION("""COMPUTED_VALUE"""),"Abu Dhabi&gt;Khalifa City&gt;Al Forsan Village")</f>
        <v>Abu Dhabi&gt;Khalifa City&gt;Al Forsan Village</v>
      </c>
      <c r="E5723" s="2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</row>
    <row r="5724" spans="1:26" ht="16.5" x14ac:dyDescent="0.35">
      <c r="A5724" s="2" t="str">
        <f ca="1">IFERROR(__xludf.DUMMYFUNCTION("""COMPUTED_VALUE"""),"Abu Dhabi")</f>
        <v>Abu Dhabi</v>
      </c>
      <c r="B5724" s="2" t="str">
        <f ca="1">IFERROR(__xludf.DUMMYFUNCTION("""COMPUTED_VALUE"""),"Al Jahili Tower")</f>
        <v>Al Jahili Tower</v>
      </c>
      <c r="C5724" s="2" t="str">
        <f ca="1">IFERROR(__xludf.DUMMYFUNCTION("""COMPUTED_VALUE"""),"Building")</f>
        <v>Building</v>
      </c>
      <c r="D5724" s="2" t="str">
        <f ca="1">IFERROR(__xludf.DUMMYFUNCTION("""COMPUTED_VALUE"""),"Abu Dhabi&gt;Al Markaziya&gt;Al Jahili Tower")</f>
        <v>Abu Dhabi&gt;Al Markaziya&gt;Al Jahili Tower</v>
      </c>
      <c r="E5724" s="2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</row>
    <row r="5725" spans="1:26" ht="16.5" x14ac:dyDescent="0.35">
      <c r="A5725" s="2" t="str">
        <f ca="1">IFERROR(__xludf.DUMMYFUNCTION("""COMPUTED_VALUE"""),"Abu Dhabi")</f>
        <v>Abu Dhabi</v>
      </c>
      <c r="B5725" s="2" t="str">
        <f ca="1">IFERROR(__xludf.DUMMYFUNCTION("""COMPUTED_VALUE"""),"Lycee Francais Theodore Monod Saadiyat Island")</f>
        <v>Lycee Francais Theodore Monod Saadiyat Island</v>
      </c>
      <c r="C5725" s="2" t="str">
        <f ca="1">IFERROR(__xludf.DUMMYFUNCTION("""COMPUTED_VALUE"""),"School")</f>
        <v>School</v>
      </c>
      <c r="D5725" s="2" t="str">
        <f ca="1">IFERROR(__xludf.DUMMYFUNCTION("""COMPUTED_VALUE"""),"Abu Dhabi&gt;Saadiyat Island&gt;Lycee Francais Theodore Monod Saadiyat Island")</f>
        <v>Abu Dhabi&gt;Saadiyat Island&gt;Lycee Francais Theodore Monod Saadiyat Island</v>
      </c>
      <c r="E5725" s="2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</row>
    <row r="5726" spans="1:26" ht="16.5" x14ac:dyDescent="0.35">
      <c r="A5726" s="2" t="str">
        <f ca="1">IFERROR(__xludf.DUMMYFUNCTION("""COMPUTED_VALUE"""),"Abu Dhabi")</f>
        <v>Abu Dhabi</v>
      </c>
      <c r="B5726" s="2" t="str">
        <f ca="1">IFERROR(__xludf.DUMMYFUNCTION("""COMPUTED_VALUE"""),"Mamsha Gardens Building 6")</f>
        <v>Mamsha Gardens Building 6</v>
      </c>
      <c r="C5726" s="2" t="str">
        <f ca="1">IFERROR(__xludf.DUMMYFUNCTION("""COMPUTED_VALUE"""),"Building")</f>
        <v>Building</v>
      </c>
      <c r="D5726" s="2" t="str">
        <f ca="1">IFERROR(__xludf.DUMMYFUNCTION("""COMPUTED_VALUE"""),"Abu Dhabi&gt;Saadiyat Island&gt;Saadiyat Cultural District&gt;Mamsha Gardens&gt;Mamsha Gardens Building 6")</f>
        <v>Abu Dhabi&gt;Saadiyat Island&gt;Saadiyat Cultural District&gt;Mamsha Gardens&gt;Mamsha Gardens Building 6</v>
      </c>
      <c r="E5726" s="2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</row>
    <row r="5727" spans="1:26" ht="16.5" x14ac:dyDescent="0.35">
      <c r="A5727" s="2" t="str">
        <f ca="1">IFERROR(__xludf.DUMMYFUNCTION("""COMPUTED_VALUE"""),"Abu Dhabi")</f>
        <v>Abu Dhabi</v>
      </c>
      <c r="B5727" s="2" t="str">
        <f ca="1">IFERROR(__xludf.DUMMYFUNCTION("""COMPUTED_VALUE"""),"Garden Building")</f>
        <v>Garden Building</v>
      </c>
      <c r="C5727" s="2" t="str">
        <f ca="1">IFERROR(__xludf.DUMMYFUNCTION("""COMPUTED_VALUE"""),"Building")</f>
        <v>Building</v>
      </c>
      <c r="D5727" s="2" t="str">
        <f ca="1">IFERROR(__xludf.DUMMYFUNCTION("""COMPUTED_VALUE"""),"Abu Dhabi&gt;Saadiyat Island&gt;Saadiyat Beach&gt;The Pearl Residences&gt;Garden Building")</f>
        <v>Abu Dhabi&gt;Saadiyat Island&gt;Saadiyat Beach&gt;The Pearl Residences&gt;Garden Building</v>
      </c>
      <c r="E5727" s="2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</row>
    <row r="5728" spans="1:26" ht="16.5" x14ac:dyDescent="0.35">
      <c r="A5728" s="2" t="str">
        <f ca="1">IFERROR(__xludf.DUMMYFUNCTION("""COMPUTED_VALUE"""),"Abu Dhabi")</f>
        <v>Abu Dhabi</v>
      </c>
      <c r="B5728" s="2" t="str">
        <f ca="1">IFERROR(__xludf.DUMMYFUNCTION("""COMPUTED_VALUE"""),"Vida Residences")</f>
        <v>Vida Residences</v>
      </c>
      <c r="C5728" s="2" t="str">
        <f ca="1">IFERROR(__xludf.DUMMYFUNCTION("""COMPUTED_VALUE"""),"Building")</f>
        <v>Building</v>
      </c>
      <c r="D5728" s="2" t="str">
        <f ca="1">IFERROR(__xludf.DUMMYFUNCTION("""COMPUTED_VALUE"""),"Abu Dhabi&gt;Saadiyat Island&gt;Vida Residences")</f>
        <v>Abu Dhabi&gt;Saadiyat Island&gt;Vida Residences</v>
      </c>
      <c r="E5728" s="2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</row>
    <row r="5729" spans="1:26" ht="16.5" x14ac:dyDescent="0.35">
      <c r="A5729" s="2" t="str">
        <f ca="1">IFERROR(__xludf.DUMMYFUNCTION("""COMPUTED_VALUE"""),"Abu Dhabi")</f>
        <v>Abu Dhabi</v>
      </c>
      <c r="B5729" s="2" t="str">
        <f ca="1">IFERROR(__xludf.DUMMYFUNCTION("""COMPUTED_VALUE"""),"Mira Residence 3")</f>
        <v>Mira Residence 3</v>
      </c>
      <c r="C5729" s="2" t="str">
        <f ca="1">IFERROR(__xludf.DUMMYFUNCTION("""COMPUTED_VALUE"""),"Building")</f>
        <v>Building</v>
      </c>
      <c r="D5729" s="2" t="str">
        <f ca="1">IFERROR(__xludf.DUMMYFUNCTION("""COMPUTED_VALUE"""),"Abu Dhabi&gt;Al Raha Beach&gt;Mira Residence&gt;Mira Residence 3")</f>
        <v>Abu Dhabi&gt;Al Raha Beach&gt;Mira Residence&gt;Mira Residence 3</v>
      </c>
      <c r="E5729" s="2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</row>
    <row r="5730" spans="1:26" ht="16.5" x14ac:dyDescent="0.35">
      <c r="A5730" s="2" t="str">
        <f ca="1">IFERROR(__xludf.DUMMYFUNCTION("""COMPUTED_VALUE"""),"Abu Dhabi")</f>
        <v>Abu Dhabi</v>
      </c>
      <c r="B5730" s="2" t="str">
        <f ca="1">IFERROR(__xludf.DUMMYFUNCTION("""COMPUTED_VALUE"""),"Al Raha Lofts")</f>
        <v>Al Raha Lofts</v>
      </c>
      <c r="C5730" s="2" t="str">
        <f ca="1">IFERROR(__xludf.DUMMYFUNCTION("""COMPUTED_VALUE"""),"Cluster")</f>
        <v>Cluster</v>
      </c>
      <c r="D5730" s="2" t="str">
        <f ca="1">IFERROR(__xludf.DUMMYFUNCTION("""COMPUTED_VALUE"""),"Abu Dhabi&gt;Al Raha Beach&gt;Al Raha Lofts")</f>
        <v>Abu Dhabi&gt;Al Raha Beach&gt;Al Raha Lofts</v>
      </c>
      <c r="E5730" s="2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</row>
    <row r="5731" spans="1:26" ht="16.5" x14ac:dyDescent="0.35">
      <c r="A5731" s="2" t="str">
        <f ca="1">IFERROR(__xludf.DUMMYFUNCTION("""COMPUTED_VALUE"""),"Abu Dhabi")</f>
        <v>Abu Dhabi</v>
      </c>
      <c r="B5731" s="2" t="str">
        <f ca="1">IFERROR(__xludf.DUMMYFUNCTION("""COMPUTED_VALUE"""),"Al Beed Terrace")</f>
        <v>Al Beed Terrace</v>
      </c>
      <c r="C5731" s="2" t="str">
        <f ca="1">IFERROR(__xludf.DUMMYFUNCTION("""COMPUTED_VALUE"""),"Building")</f>
        <v>Building</v>
      </c>
      <c r="D5731" s="2" t="str">
        <f ca="1">IFERROR(__xludf.DUMMYFUNCTION("""COMPUTED_VALUE"""),"Abu Dhabi&gt;Al Raha Beach&gt;Al Beed Terrace")</f>
        <v>Abu Dhabi&gt;Al Raha Beach&gt;Al Beed Terrace</v>
      </c>
      <c r="E5731" s="2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</row>
    <row r="5732" spans="1:26" ht="16.5" x14ac:dyDescent="0.35">
      <c r="A5732" s="2" t="str">
        <f ca="1">IFERROR(__xludf.DUMMYFUNCTION("""COMPUTED_VALUE"""),"Abu Dhabi")</f>
        <v>Abu Dhabi</v>
      </c>
      <c r="B5732" s="2" t="str">
        <f ca="1">IFERROR(__xludf.DUMMYFUNCTION("""COMPUTED_VALUE"""),"The View")</f>
        <v>The View</v>
      </c>
      <c r="C5732" s="2" t="str">
        <f ca="1">IFERROR(__xludf.DUMMYFUNCTION("""COMPUTED_VALUE"""),"Building")</f>
        <v>Building</v>
      </c>
      <c r="D5732" s="2" t="str">
        <f ca="1">IFERROR(__xludf.DUMMYFUNCTION("""COMPUTED_VALUE"""),"Abu Dhabi&gt;Danet Abu Dhabi&gt;The View")</f>
        <v>Abu Dhabi&gt;Danet Abu Dhabi&gt;The View</v>
      </c>
      <c r="E5732" s="2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</row>
    <row r="5733" spans="1:26" ht="16.5" x14ac:dyDescent="0.35">
      <c r="A5733" s="2" t="str">
        <f ca="1">IFERROR(__xludf.DUMMYFUNCTION("""COMPUTED_VALUE"""),"Abu Dhabi")</f>
        <v>Abu Dhabi</v>
      </c>
      <c r="B5733" s="2" t="str">
        <f ca="1">IFERROR(__xludf.DUMMYFUNCTION("""COMPUTED_VALUE"""),"Baniyas International Private School, Abu Dhabi")</f>
        <v>Baniyas International Private School, Abu Dhabi</v>
      </c>
      <c r="C5733" s="2" t="str">
        <f ca="1">IFERROR(__xludf.DUMMYFUNCTION("""COMPUTED_VALUE"""),"School")</f>
        <v>School</v>
      </c>
      <c r="D5733" s="2" t="str">
        <f ca="1">IFERROR(__xludf.DUMMYFUNCTION("""COMPUTED_VALUE"""),"Abu Dhabi&gt;Mohamed Bin Zayed City&gt;Baniyas International Private School, Abu Dhabi")</f>
        <v>Abu Dhabi&gt;Mohamed Bin Zayed City&gt;Baniyas International Private School, Abu Dhabi</v>
      </c>
      <c r="E5733" s="2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</row>
    <row r="5734" spans="1:26" ht="16.5" x14ac:dyDescent="0.35">
      <c r="A5734" s="2" t="str">
        <f ca="1">IFERROR(__xludf.DUMMYFUNCTION("""COMPUTED_VALUE"""),"Abu Dhabi")</f>
        <v>Abu Dhabi</v>
      </c>
      <c r="B5734" s="2" t="str">
        <f ca="1">IFERROR(__xludf.DUMMYFUNCTION("""COMPUTED_VALUE"""),"SHB Building")</f>
        <v>SHB Building</v>
      </c>
      <c r="C5734" s="2" t="str">
        <f ca="1">IFERROR(__xludf.DUMMYFUNCTION("""COMPUTED_VALUE"""),"Building")</f>
        <v>Building</v>
      </c>
      <c r="D5734" s="2" t="str">
        <f ca="1">IFERROR(__xludf.DUMMYFUNCTION("""COMPUTED_VALUE"""),"Abu Dhabi&gt;Mohamed Bin Zayed City&gt;SHB Building")</f>
        <v>Abu Dhabi&gt;Mohamed Bin Zayed City&gt;SHB Building</v>
      </c>
      <c r="E5734" s="2"/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</row>
    <row r="5735" spans="1:26" ht="16.5" x14ac:dyDescent="0.35">
      <c r="A5735" s="2" t="str">
        <f ca="1">IFERROR(__xludf.DUMMYFUNCTION("""COMPUTED_VALUE"""),"Abu Dhabi")</f>
        <v>Abu Dhabi</v>
      </c>
      <c r="B5735" s="2" t="str">
        <f ca="1">IFERROR(__xludf.DUMMYFUNCTION("""COMPUTED_VALUE"""),"British Orchard Nursery MBZ")</f>
        <v>British Orchard Nursery MBZ</v>
      </c>
      <c r="C5735" s="2" t="str">
        <f ca="1">IFERROR(__xludf.DUMMYFUNCTION("""COMPUTED_VALUE"""),"Nursery")</f>
        <v>Nursery</v>
      </c>
      <c r="D5735" s="2" t="str">
        <f ca="1">IFERROR(__xludf.DUMMYFUNCTION("""COMPUTED_VALUE"""),"Abu Dhabi&gt;Mohamed Bin Zayed City&gt;Zone 5&gt;British Orchard Nursery MBZ")</f>
        <v>Abu Dhabi&gt;Mohamed Bin Zayed City&gt;Zone 5&gt;British Orchard Nursery MBZ</v>
      </c>
      <c r="E5735" s="2"/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</row>
    <row r="5736" spans="1:26" ht="16.5" x14ac:dyDescent="0.35">
      <c r="A5736" s="2" t="str">
        <f ca="1">IFERROR(__xludf.DUMMYFUNCTION("""COMPUTED_VALUE"""),"Abu Dhabi")</f>
        <v>Abu Dhabi</v>
      </c>
      <c r="B5736" s="2" t="str">
        <f ca="1">IFERROR(__xludf.DUMMYFUNCTION("""COMPUTED_VALUE"""),"Building 8")</f>
        <v>Building 8</v>
      </c>
      <c r="C5736" s="2" t="str">
        <f ca="1">IFERROR(__xludf.DUMMYFUNCTION("""COMPUTED_VALUE"""),"Building")</f>
        <v>Building</v>
      </c>
      <c r="D5736" s="2" t="str">
        <f ca="1">IFERROR(__xludf.DUMMYFUNCTION("""COMPUTED_VALUE"""),"Abu Dhabi&gt;Al Reef&gt;Al Reef Downtown&gt;Building 8")</f>
        <v>Abu Dhabi&gt;Al Reef&gt;Al Reef Downtown&gt;Building 8</v>
      </c>
      <c r="E5736" s="2"/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</row>
    <row r="5737" spans="1:26" ht="16.5" x14ac:dyDescent="0.35">
      <c r="A5737" s="2" t="str">
        <f ca="1">IFERROR(__xludf.DUMMYFUNCTION("""COMPUTED_VALUE"""),"Abu Dhabi")</f>
        <v>Abu Dhabi</v>
      </c>
      <c r="B5737" s="2" t="str">
        <f ca="1">IFERROR(__xludf.DUMMYFUNCTION("""COMPUTED_VALUE"""),"Contemporary Style")</f>
        <v>Contemporary Style</v>
      </c>
      <c r="C5737" s="2" t="str">
        <f ca="1">IFERROR(__xludf.DUMMYFUNCTION("""COMPUTED_VALUE"""),"Neighbourhood")</f>
        <v>Neighbourhood</v>
      </c>
      <c r="D5737" s="2" t="str">
        <f ca="1">IFERROR(__xludf.DUMMYFUNCTION("""COMPUTED_VALUE"""),"Abu Dhabi&gt;Al Reef&gt;Al Reef Villas&gt;Contemporary Style")</f>
        <v>Abu Dhabi&gt;Al Reef&gt;Al Reef Villas&gt;Contemporary Style</v>
      </c>
      <c r="E5737" s="2"/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</row>
    <row r="5738" spans="1:26" ht="16.5" x14ac:dyDescent="0.35">
      <c r="A5738" s="2" t="str">
        <f ca="1">IFERROR(__xludf.DUMMYFUNCTION("""COMPUTED_VALUE"""),"Abu Dhabi")</f>
        <v>Abu Dhabi</v>
      </c>
      <c r="B5738" s="2" t="str">
        <f ca="1">IFERROR(__xludf.DUMMYFUNCTION("""COMPUTED_VALUE"""),"Emerald Tower")</f>
        <v>Emerald Tower</v>
      </c>
      <c r="C5738" s="2" t="str">
        <f ca="1">IFERROR(__xludf.DUMMYFUNCTION("""COMPUTED_VALUE"""),"Building")</f>
        <v>Building</v>
      </c>
      <c r="D5738" s="2" t="str">
        <f ca="1">IFERROR(__xludf.DUMMYFUNCTION("""COMPUTED_VALUE"""),"Abu Dhabi&gt;Sheikh Khalifa Bin Zayed Street&gt;Emerald Tower")</f>
        <v>Abu Dhabi&gt;Sheikh Khalifa Bin Zayed Street&gt;Emerald Tower</v>
      </c>
      <c r="E5738" s="2"/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</row>
    <row r="5739" spans="1:26" ht="16.5" x14ac:dyDescent="0.35">
      <c r="A5739" s="2" t="str">
        <f ca="1">IFERROR(__xludf.DUMMYFUNCTION("""COMPUTED_VALUE"""),"Abu Dhabi")</f>
        <v>Abu Dhabi</v>
      </c>
      <c r="B5739" s="2" t="str">
        <f ca="1">IFERROR(__xludf.DUMMYFUNCTION("""COMPUTED_VALUE"""),"Zayed Military City")</f>
        <v>Zayed Military City</v>
      </c>
      <c r="C5739" s="2" t="str">
        <f ca="1">IFERROR(__xludf.DUMMYFUNCTION("""COMPUTED_VALUE"""),"Neighbourhood")</f>
        <v>Neighbourhood</v>
      </c>
      <c r="D5739" s="2" t="str">
        <f ca="1">IFERROR(__xludf.DUMMYFUNCTION("""COMPUTED_VALUE"""),"Abu Dhabi&gt;Zayed Military City")</f>
        <v>Abu Dhabi&gt;Zayed Military City</v>
      </c>
      <c r="E5739" s="2"/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</row>
    <row r="5740" spans="1:26" ht="16.5" x14ac:dyDescent="0.35">
      <c r="A5740" s="2" t="str">
        <f ca="1">IFERROR(__xludf.DUMMYFUNCTION("""COMPUTED_VALUE"""),"Abu Dhabi")</f>
        <v>Abu Dhabi</v>
      </c>
      <c r="B5740" s="2" t="str">
        <f ca="1">IFERROR(__xludf.DUMMYFUNCTION("""COMPUTED_VALUE"""),"Noya")</f>
        <v>Noya</v>
      </c>
      <c r="C5740" s="2" t="str">
        <f ca="1">IFERROR(__xludf.DUMMYFUNCTION("""COMPUTED_VALUE"""),"Neighbourhood")</f>
        <v>Neighbourhood</v>
      </c>
      <c r="D5740" s="2" t="str">
        <f ca="1">IFERROR(__xludf.DUMMYFUNCTION("""COMPUTED_VALUE"""),"Abu Dhabi&gt;Yas Island&gt;Noya")</f>
        <v>Abu Dhabi&gt;Yas Island&gt;Noya</v>
      </c>
      <c r="E5740" s="2"/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</row>
    <row r="5741" spans="1:26" ht="16.5" x14ac:dyDescent="0.35">
      <c r="A5741" s="2" t="str">
        <f ca="1">IFERROR(__xludf.DUMMYFUNCTION("""COMPUTED_VALUE"""),"Abu Dhabi")</f>
        <v>Abu Dhabi</v>
      </c>
      <c r="B5741" s="2" t="str">
        <f ca="1">IFERROR(__xludf.DUMMYFUNCTION("""COMPUTED_VALUE"""),"Residences D")</f>
        <v>Residences D</v>
      </c>
      <c r="C5741" s="2" t="str">
        <f ca="1">IFERROR(__xludf.DUMMYFUNCTION("""COMPUTED_VALUE"""),"Building")</f>
        <v>Building</v>
      </c>
      <c r="D5741" s="2" t="str">
        <f ca="1">IFERROR(__xludf.DUMMYFUNCTION("""COMPUTED_VALUE"""),"Abu Dhabi&gt;Yas Island&gt;Yas Golf Collection&gt;Residences D")</f>
        <v>Abu Dhabi&gt;Yas Island&gt;Yas Golf Collection&gt;Residences D</v>
      </c>
      <c r="E5741" s="2"/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</row>
    <row r="5742" spans="1:26" ht="16.5" x14ac:dyDescent="0.35">
      <c r="A5742" s="2" t="str">
        <f ca="1">IFERROR(__xludf.DUMMYFUNCTION("""COMPUTED_VALUE"""),"Abu Dhabi")</f>
        <v>Abu Dhabi</v>
      </c>
      <c r="B5742" s="2" t="str">
        <f ca="1">IFERROR(__xludf.DUMMYFUNCTION("""COMPUTED_VALUE"""),"Al Naseem Community")</f>
        <v>Al Naseem Community</v>
      </c>
      <c r="C5742" s="2" t="str">
        <f ca="1">IFERROR(__xludf.DUMMYFUNCTION("""COMPUTED_VALUE"""),"Neighbourhood")</f>
        <v>Neighbourhood</v>
      </c>
      <c r="D5742" s="2" t="str">
        <f ca="1">IFERROR(__xludf.DUMMYFUNCTION("""COMPUTED_VALUE"""),"Abu Dhabi&gt;Al Hudayriat Island&gt;Al Naseem Community")</f>
        <v>Abu Dhabi&gt;Al Hudayriat Island&gt;Al Naseem Community</v>
      </c>
      <c r="E5742" s="2"/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</row>
    <row r="5743" spans="1:26" ht="16.5" x14ac:dyDescent="0.35">
      <c r="A5743" s="2" t="str">
        <f ca="1">IFERROR(__xludf.DUMMYFUNCTION("""COMPUTED_VALUE"""),"Abu Dhabi")</f>
        <v>Abu Dhabi</v>
      </c>
      <c r="B5743" s="2" t="str">
        <f ca="1">IFERROR(__xludf.DUMMYFUNCTION("""COMPUTED_VALUE"""),"SH10")</f>
        <v>SH10</v>
      </c>
      <c r="C5743" s="2" t="str">
        <f ca="1">IFERROR(__xludf.DUMMYFUNCTION("""COMPUTED_VALUE"""),"Neighbourhood")</f>
        <v>Neighbourhood</v>
      </c>
      <c r="D5743" s="2" t="str">
        <f ca="1">IFERROR(__xludf.DUMMYFUNCTION("""COMPUTED_VALUE"""),"Abu Dhabi&gt;Al Shamkha&gt;SH10")</f>
        <v>Abu Dhabi&gt;Al Shamkha&gt;SH10</v>
      </c>
      <c r="E5743" s="2"/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</row>
    <row r="5744" spans="1:26" ht="16.5" x14ac:dyDescent="0.35">
      <c r="A5744" s="2" t="str">
        <f ca="1">IFERROR(__xludf.DUMMYFUNCTION("""COMPUTED_VALUE"""),"Ajman")</f>
        <v>Ajman</v>
      </c>
      <c r="B5744" s="2" t="str">
        <f ca="1">IFERROR(__xludf.DUMMYFUNCTION("""COMPUTED_VALUE"""),"City American School Ajman")</f>
        <v>City American School Ajman</v>
      </c>
      <c r="C5744" s="2" t="str">
        <f ca="1">IFERROR(__xludf.DUMMYFUNCTION("""COMPUTED_VALUE"""),"School")</f>
        <v>School</v>
      </c>
      <c r="D5744" s="2" t="str">
        <f ca="1">IFERROR(__xludf.DUMMYFUNCTION("""COMPUTED_VALUE"""),"Ajman&gt;Al Tallah 2&gt;City American School Ajman")</f>
        <v>Ajman&gt;Al Tallah 2&gt;City American School Ajman</v>
      </c>
      <c r="E5744" s="2"/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</row>
    <row r="5745" spans="1:26" ht="16.5" x14ac:dyDescent="0.35">
      <c r="A5745" s="2" t="str">
        <f ca="1">IFERROR(__xludf.DUMMYFUNCTION("""COMPUTED_VALUE"""),"Ajman")</f>
        <v>Ajman</v>
      </c>
      <c r="B5745" s="2" t="str">
        <f ca="1">IFERROR(__xludf.DUMMYFUNCTION("""COMPUTED_VALUE"""),"Majestic Towers")</f>
        <v>Majestic Towers</v>
      </c>
      <c r="C5745" s="2" t="str">
        <f ca="1">IFERROR(__xludf.DUMMYFUNCTION("""COMPUTED_VALUE"""),"Cluster")</f>
        <v>Cluster</v>
      </c>
      <c r="D5745" s="2" t="str">
        <f ca="1">IFERROR(__xludf.DUMMYFUNCTION("""COMPUTED_VALUE"""),"Ajman&gt;Emirates City&gt;Majestic Towers")</f>
        <v>Ajman&gt;Emirates City&gt;Majestic Towers</v>
      </c>
      <c r="E5745" s="2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</row>
    <row r="5746" spans="1:26" ht="16.5" x14ac:dyDescent="0.35">
      <c r="A5746" s="2" t="str">
        <f ca="1">IFERROR(__xludf.DUMMYFUNCTION("""COMPUTED_VALUE"""),"Ajman")</f>
        <v>Ajman</v>
      </c>
      <c r="B5746" s="2" t="str">
        <f ca="1">IFERROR(__xludf.DUMMYFUNCTION("""COMPUTED_VALUE"""),"Unique Tower")</f>
        <v>Unique Tower</v>
      </c>
      <c r="C5746" s="2" t="str">
        <f ca="1">IFERROR(__xludf.DUMMYFUNCTION("""COMPUTED_VALUE"""),"Building")</f>
        <v>Building</v>
      </c>
      <c r="D5746" s="2" t="str">
        <f ca="1">IFERROR(__xludf.DUMMYFUNCTION("""COMPUTED_VALUE"""),"Ajman&gt;Emirates City&gt;Unique Tower")</f>
        <v>Ajman&gt;Emirates City&gt;Unique Tower</v>
      </c>
      <c r="E5746" s="2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</row>
    <row r="5747" spans="1:26" ht="16.5" x14ac:dyDescent="0.35">
      <c r="A5747" s="2" t="str">
        <f ca="1">IFERROR(__xludf.DUMMYFUNCTION("""COMPUTED_VALUE"""),"Ajman")</f>
        <v>Ajman</v>
      </c>
      <c r="B5747" s="2" t="str">
        <f ca="1">IFERROR(__xludf.DUMMYFUNCTION("""COMPUTED_VALUE"""),"Anwar Al Furat Building")</f>
        <v>Anwar Al Furat Building</v>
      </c>
      <c r="C5747" s="2" t="str">
        <f ca="1">IFERROR(__xludf.DUMMYFUNCTION("""COMPUTED_VALUE"""),"Building")</f>
        <v>Building</v>
      </c>
      <c r="D5747" s="2" t="str">
        <f ca="1">IFERROR(__xludf.DUMMYFUNCTION("""COMPUTED_VALUE"""),"Ajman&gt;Al Jurf&gt;Al Jurf Industrial Area&gt;Al Jurf Industrial 3&gt;Anwar Al Furat Building")</f>
        <v>Ajman&gt;Al Jurf&gt;Al Jurf Industrial Area&gt;Al Jurf Industrial 3&gt;Anwar Al Furat Building</v>
      </c>
      <c r="E5747" s="2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</row>
    <row r="5748" spans="1:26" ht="16.5" x14ac:dyDescent="0.35">
      <c r="A5748" s="2" t="str">
        <f ca="1">IFERROR(__xludf.DUMMYFUNCTION("""COMPUTED_VALUE"""),"Ajman")</f>
        <v>Ajman</v>
      </c>
      <c r="B5748" s="2" t="str">
        <f ca="1">IFERROR(__xludf.DUMMYFUNCTION("""COMPUTED_VALUE"""),"Al Rumaila")</f>
        <v>Al Rumaila</v>
      </c>
      <c r="C5748" s="2" t="str">
        <f ca="1">IFERROR(__xludf.DUMMYFUNCTION("""COMPUTED_VALUE"""),"Neighbourhood")</f>
        <v>Neighbourhood</v>
      </c>
      <c r="D5748" s="2" t="str">
        <f ca="1">IFERROR(__xludf.DUMMYFUNCTION("""COMPUTED_VALUE"""),"Ajman&gt;Al Rumaila")</f>
        <v>Ajman&gt;Al Rumaila</v>
      </c>
      <c r="E5748" s="2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</row>
    <row r="5749" spans="1:26" ht="16.5" x14ac:dyDescent="0.35">
      <c r="A5749" s="2" t="str">
        <f ca="1">IFERROR(__xludf.DUMMYFUNCTION("""COMPUTED_VALUE"""),"Ajman")</f>
        <v>Ajman</v>
      </c>
      <c r="B5749" s="2" t="str">
        <f ca="1">IFERROR(__xludf.DUMMYFUNCTION("""COMPUTED_VALUE"""),"Al Nada Building")</f>
        <v>Al Nada Building</v>
      </c>
      <c r="C5749" s="2"/>
      <c r="D5749" s="2" t="str">
        <f ca="1">IFERROR(__xludf.DUMMYFUNCTION("""COMPUTED_VALUE"""),"Ajman&gt;Al Rashidiya&gt;Al Rashidiya 2&gt;Al Nada Building")</f>
        <v>Ajman&gt;Al Rashidiya&gt;Al Rashidiya 2&gt;Al Nada Building</v>
      </c>
      <c r="E5749" s="2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</row>
    <row r="5750" spans="1:26" ht="16.5" x14ac:dyDescent="0.35">
      <c r="A5750" s="2" t="str">
        <f ca="1">IFERROR(__xludf.DUMMYFUNCTION("""COMPUTED_VALUE"""),"Ajman")</f>
        <v>Ajman</v>
      </c>
      <c r="B5750" s="2" t="str">
        <f ca="1">IFERROR(__xludf.DUMMYFUNCTION("""COMPUTED_VALUE"""),"Abdullateef Building")</f>
        <v>Abdullateef Building</v>
      </c>
      <c r="C5750" s="2" t="str">
        <f ca="1">IFERROR(__xludf.DUMMYFUNCTION("""COMPUTED_VALUE"""),"Building")</f>
        <v>Building</v>
      </c>
      <c r="D5750" s="2" t="str">
        <f ca="1">IFERROR(__xludf.DUMMYFUNCTION("""COMPUTED_VALUE"""),"Ajman&gt;Al Rawda&gt;Al Rawda 3&gt;Abdullateef Building")</f>
        <v>Ajman&gt;Al Rawda&gt;Al Rawda 3&gt;Abdullateef Building</v>
      </c>
      <c r="E5750" s="2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</row>
    <row r="5751" spans="1:26" ht="16.5" x14ac:dyDescent="0.35">
      <c r="A5751" s="2" t="str">
        <f ca="1">IFERROR(__xludf.DUMMYFUNCTION("""COMPUTED_VALUE"""),"Ajman")</f>
        <v>Ajman</v>
      </c>
      <c r="B5751" s="2" t="str">
        <f ca="1">IFERROR(__xludf.DUMMYFUNCTION("""COMPUTED_VALUE"""),"Rital and Rinad Tower")</f>
        <v>Rital and Rinad Tower</v>
      </c>
      <c r="C5751" s="2" t="str">
        <f ca="1">IFERROR(__xludf.DUMMYFUNCTION("""COMPUTED_VALUE"""),"Building")</f>
        <v>Building</v>
      </c>
      <c r="D5751" s="2" t="str">
        <f ca="1">IFERROR(__xludf.DUMMYFUNCTION("""COMPUTED_VALUE"""),"Ajman&gt;Sheikh Khalifa Bin Zayed Street&gt;Rital and Rinad Tower")</f>
        <v>Ajman&gt;Sheikh Khalifa Bin Zayed Street&gt;Rital and Rinad Tower</v>
      </c>
      <c r="E5751" s="2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</row>
    <row r="5752" spans="1:26" ht="16.5" x14ac:dyDescent="0.35">
      <c r="A5752" s="2" t="str">
        <f ca="1">IFERROR(__xludf.DUMMYFUNCTION("""COMPUTED_VALUE"""),"Ajman")</f>
        <v>Ajman</v>
      </c>
      <c r="B5752" s="2" t="str">
        <f ca="1">IFERROR(__xludf.DUMMYFUNCTION("""COMPUTED_VALUE"""),"Monarch Tower")</f>
        <v>Monarch Tower</v>
      </c>
      <c r="C5752" s="2" t="str">
        <f ca="1">IFERROR(__xludf.DUMMYFUNCTION("""COMPUTED_VALUE"""),"Building")</f>
        <v>Building</v>
      </c>
      <c r="D5752" s="2" t="str">
        <f ca="1">IFERROR(__xludf.DUMMYFUNCTION("""COMPUTED_VALUE"""),"Ajman&gt;Marmooka City&gt;The Crest&gt;Monarch Tower")</f>
        <v>Ajman&gt;Marmooka City&gt;The Crest&gt;Monarch Tower</v>
      </c>
      <c r="E5752" s="2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</row>
    <row r="5753" spans="1:26" ht="16.5" x14ac:dyDescent="0.35">
      <c r="A5753" s="2" t="str">
        <f ca="1">IFERROR(__xludf.DUMMYFUNCTION("""COMPUTED_VALUE"""),"Ajman")</f>
        <v>Ajman</v>
      </c>
      <c r="B5753" s="2" t="str">
        <f ca="1">IFERROR(__xludf.DUMMYFUNCTION("""COMPUTED_VALUE"""),"The Strip")</f>
        <v>The Strip</v>
      </c>
      <c r="C5753" s="2" t="str">
        <f ca="1">IFERROR(__xludf.DUMMYFUNCTION("""COMPUTED_VALUE"""),"Neighbourhood")</f>
        <v>Neighbourhood</v>
      </c>
      <c r="D5753" s="2" t="str">
        <f ca="1">IFERROR(__xludf.DUMMYFUNCTION("""COMPUTED_VALUE"""),"Ajman&gt;Al Zorah&gt;District 9&gt;The Strip")</f>
        <v>Ajman&gt;Al Zorah&gt;District 9&gt;The Strip</v>
      </c>
      <c r="E5753" s="2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</row>
    <row r="5754" spans="1:26" ht="16.5" x14ac:dyDescent="0.35">
      <c r="A5754" s="2" t="str">
        <f ca="1">IFERROR(__xludf.DUMMYFUNCTION("""COMPUTED_VALUE"""),"Ajman")</f>
        <v>Ajman</v>
      </c>
      <c r="B5754" s="2" t="str">
        <f ca="1">IFERROR(__xludf.DUMMYFUNCTION("""COMPUTED_VALUE"""),"Calthorpe Tower")</f>
        <v>Calthorpe Tower</v>
      </c>
      <c r="C5754" s="2" t="str">
        <f ca="1">IFERROR(__xludf.DUMMYFUNCTION("""COMPUTED_VALUE"""),"Building")</f>
        <v>Building</v>
      </c>
      <c r="D5754" s="2" t="str">
        <f ca="1">IFERROR(__xludf.DUMMYFUNCTION("""COMPUTED_VALUE"""),"Ajman&gt;Al Humaid City&gt;Calthorpe Tower")</f>
        <v>Ajman&gt;Al Humaid City&gt;Calthorpe Tower</v>
      </c>
      <c r="E5754" s="2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</row>
    <row r="5755" spans="1:26" ht="16.5" x14ac:dyDescent="0.35">
      <c r="A5755" s="2" t="str">
        <f ca="1">IFERROR(__xludf.DUMMYFUNCTION("""COMPUTED_VALUE"""),"Ajman")</f>
        <v>Ajman</v>
      </c>
      <c r="B5755" s="2" t="str">
        <f ca="1">IFERROR(__xludf.DUMMYFUNCTION("""COMPUTED_VALUE"""),"Almond Towers")</f>
        <v>Almond Towers</v>
      </c>
      <c r="C5755" s="2" t="str">
        <f ca="1">IFERROR(__xludf.DUMMYFUNCTION("""COMPUTED_VALUE"""),"Building")</f>
        <v>Building</v>
      </c>
      <c r="D5755" s="2" t="str">
        <f ca="1">IFERROR(__xludf.DUMMYFUNCTION("""COMPUTED_VALUE"""),"Ajman&gt;Garden City&gt;Almond Towers")</f>
        <v>Ajman&gt;Garden City&gt;Almond Towers</v>
      </c>
      <c r="E5755" s="2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</row>
    <row r="5756" spans="1:26" ht="16.5" x14ac:dyDescent="0.35">
      <c r="A5756" s="2" t="str">
        <f ca="1">IFERROR(__xludf.DUMMYFUNCTION("""COMPUTED_VALUE"""),"Ajman")</f>
        <v>Ajman</v>
      </c>
      <c r="B5756" s="2" t="str">
        <f ca="1">IFERROR(__xludf.DUMMYFUNCTION("""COMPUTED_VALUE"""),"Al Shawi 1")</f>
        <v>Al Shawi 1</v>
      </c>
      <c r="C5756" s="2"/>
      <c r="D5756" s="2" t="str">
        <f ca="1">IFERROR(__xludf.DUMMYFUNCTION("""COMPUTED_VALUE"""),"Ajman&gt;Al Nuaimiya&gt;Al Nuaimiya 2&gt;Al Shawi 1")</f>
        <v>Ajman&gt;Al Nuaimiya&gt;Al Nuaimiya 2&gt;Al Shawi 1</v>
      </c>
      <c r="E5756" s="2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</row>
    <row r="5757" spans="1:26" ht="16.5" x14ac:dyDescent="0.35">
      <c r="A5757" s="2" t="str">
        <f ca="1">IFERROR(__xludf.DUMMYFUNCTION("""COMPUTED_VALUE"""),"Sharjah")</f>
        <v>Sharjah</v>
      </c>
      <c r="B5757" s="2" t="str">
        <f ca="1">IFERROR(__xludf.DUMMYFUNCTION("""COMPUTED_VALUE"""),"Sahara Healthcare City")</f>
        <v>Sahara Healthcare City</v>
      </c>
      <c r="C5757" s="2" t="str">
        <f ca="1">IFERROR(__xludf.DUMMYFUNCTION("""COMPUTED_VALUE"""),"Building")</f>
        <v>Building</v>
      </c>
      <c r="D5757" s="2" t="str">
        <f ca="1">IFERROR(__xludf.DUMMYFUNCTION("""COMPUTED_VALUE"""),"Sharjah&gt;Al Nahda (Sharjah)&gt;Sahara Healthcare City")</f>
        <v>Sharjah&gt;Al Nahda (Sharjah)&gt;Sahara Healthcare City</v>
      </c>
      <c r="E5757" s="2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</row>
    <row r="5758" spans="1:26" ht="16.5" x14ac:dyDescent="0.35">
      <c r="A5758" s="2" t="str">
        <f ca="1">IFERROR(__xludf.DUMMYFUNCTION("""COMPUTED_VALUE"""),"Sharjah")</f>
        <v>Sharjah</v>
      </c>
      <c r="B5758" s="2" t="str">
        <f ca="1">IFERROR(__xludf.DUMMYFUNCTION("""COMPUTED_VALUE"""),"Al Fajer Tower")</f>
        <v>Al Fajer Tower</v>
      </c>
      <c r="C5758" s="2" t="str">
        <f ca="1">IFERROR(__xludf.DUMMYFUNCTION("""COMPUTED_VALUE"""),"Building")</f>
        <v>Building</v>
      </c>
      <c r="D5758" s="2" t="str">
        <f ca="1">IFERROR(__xludf.DUMMYFUNCTION("""COMPUTED_VALUE"""),"Sharjah&gt;Al Nahda (Sharjah)&gt;Al Fajer Tower")</f>
        <v>Sharjah&gt;Al Nahda (Sharjah)&gt;Al Fajer Tower</v>
      </c>
      <c r="E5758" s="2"/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</row>
    <row r="5759" spans="1:26" ht="16.5" x14ac:dyDescent="0.35">
      <c r="A5759" s="2" t="str">
        <f ca="1">IFERROR(__xludf.DUMMYFUNCTION("""COMPUTED_VALUE"""),"Sharjah")</f>
        <v>Sharjah</v>
      </c>
      <c r="B5759" s="2" t="str">
        <f ca="1">IFERROR(__xludf.DUMMYFUNCTION("""COMPUTED_VALUE"""),"Al Reef Tower 1")</f>
        <v>Al Reef Tower 1</v>
      </c>
      <c r="C5759" s="2" t="str">
        <f ca="1">IFERROR(__xludf.DUMMYFUNCTION("""COMPUTED_VALUE"""),"Building")</f>
        <v>Building</v>
      </c>
      <c r="D5759" s="2" t="str">
        <f ca="1">IFERROR(__xludf.DUMMYFUNCTION("""COMPUTED_VALUE"""),"Sharjah&gt;Al Nahda (Sharjah)&gt;Al Reef Tower 1")</f>
        <v>Sharjah&gt;Al Nahda (Sharjah)&gt;Al Reef Tower 1</v>
      </c>
      <c r="E5759" s="2"/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</row>
    <row r="5760" spans="1:26" ht="16.5" x14ac:dyDescent="0.35">
      <c r="A5760" s="2" t="str">
        <f ca="1">IFERROR(__xludf.DUMMYFUNCTION("""COMPUTED_VALUE"""),"Sharjah")</f>
        <v>Sharjah</v>
      </c>
      <c r="B5760" s="2" t="str">
        <f ca="1">IFERROR(__xludf.DUMMYFUNCTION("""COMPUTED_VALUE"""),"Emirates Tower")</f>
        <v>Emirates Tower</v>
      </c>
      <c r="C5760" s="2" t="str">
        <f ca="1">IFERROR(__xludf.DUMMYFUNCTION("""COMPUTED_VALUE"""),"Building")</f>
        <v>Building</v>
      </c>
      <c r="D5760" s="2" t="str">
        <f ca="1">IFERROR(__xludf.DUMMYFUNCTION("""COMPUTED_VALUE"""),"Sharjah&gt;Al Nahda (Sharjah)&gt;Emirates Tower")</f>
        <v>Sharjah&gt;Al Nahda (Sharjah)&gt;Emirates Tower</v>
      </c>
      <c r="E5760" s="2"/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</row>
    <row r="5761" spans="1:26" ht="16.5" x14ac:dyDescent="0.35">
      <c r="A5761" s="2" t="str">
        <f ca="1">IFERROR(__xludf.DUMMYFUNCTION("""COMPUTED_VALUE"""),"Sharjah")</f>
        <v>Sharjah</v>
      </c>
      <c r="B5761" s="2" t="str">
        <f ca="1">IFERROR(__xludf.DUMMYFUNCTION("""COMPUTED_VALUE"""),"Al Nahda 1 Building")</f>
        <v>Al Nahda 1 Building</v>
      </c>
      <c r="C5761" s="2" t="str">
        <f ca="1">IFERROR(__xludf.DUMMYFUNCTION("""COMPUTED_VALUE"""),"Building")</f>
        <v>Building</v>
      </c>
      <c r="D5761" s="2" t="str">
        <f ca="1">IFERROR(__xludf.DUMMYFUNCTION("""COMPUTED_VALUE"""),"Sharjah&gt;Al Nahda (Sharjah)&gt;Al Nahda 1 Building")</f>
        <v>Sharjah&gt;Al Nahda (Sharjah)&gt;Al Nahda 1 Building</v>
      </c>
      <c r="E5761" s="2"/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</row>
    <row r="5762" spans="1:26" ht="16.5" x14ac:dyDescent="0.35">
      <c r="A5762" s="2" t="str">
        <f ca="1">IFERROR(__xludf.DUMMYFUNCTION("""COMPUTED_VALUE"""),"Sharjah")</f>
        <v>Sharjah</v>
      </c>
      <c r="B5762" s="2" t="str">
        <f ca="1">IFERROR(__xludf.DUMMYFUNCTION("""COMPUTED_VALUE"""),"Khor Fakkan")</f>
        <v>Khor Fakkan</v>
      </c>
      <c r="C5762" s="2" t="str">
        <f ca="1">IFERROR(__xludf.DUMMYFUNCTION("""COMPUTED_VALUE"""),"Neighbourhood")</f>
        <v>Neighbourhood</v>
      </c>
      <c r="D5762" s="2" t="str">
        <f ca="1">IFERROR(__xludf.DUMMYFUNCTION("""COMPUTED_VALUE"""),"Sharjah&gt;Khor Fakkan")</f>
        <v>Sharjah&gt;Khor Fakkan</v>
      </c>
      <c r="E5762" s="2"/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</row>
    <row r="5763" spans="1:26" ht="16.5" x14ac:dyDescent="0.35">
      <c r="A5763" s="2" t="str">
        <f ca="1">IFERROR(__xludf.DUMMYFUNCTION("""COMPUTED_VALUE"""),"Sharjah")</f>
        <v>Sharjah</v>
      </c>
      <c r="B5763" s="2" t="str">
        <f ca="1">IFERROR(__xludf.DUMMYFUNCTION("""COMPUTED_VALUE"""),"Rehan Apartments")</f>
        <v>Rehan Apartments</v>
      </c>
      <c r="C5763" s="2" t="str">
        <f ca="1">IFERROR(__xludf.DUMMYFUNCTION("""COMPUTED_VALUE"""),"Building")</f>
        <v>Building</v>
      </c>
      <c r="D5763" s="2" t="str">
        <f ca="1">IFERROR(__xludf.DUMMYFUNCTION("""COMPUTED_VALUE"""),"Sharjah&gt;Aljada&gt;Rehan Apartments")</f>
        <v>Sharjah&gt;Aljada&gt;Rehan Apartments</v>
      </c>
      <c r="E5763" s="2"/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</row>
    <row r="5764" spans="1:26" ht="16.5" x14ac:dyDescent="0.35">
      <c r="A5764" s="2" t="str">
        <f ca="1">IFERROR(__xludf.DUMMYFUNCTION("""COMPUTED_VALUE"""),"Sharjah")</f>
        <v>Sharjah</v>
      </c>
      <c r="B5764" s="2" t="str">
        <f ca="1">IFERROR(__xludf.DUMMYFUNCTION("""COMPUTED_VALUE"""),"Areej 7")</f>
        <v>Areej 7</v>
      </c>
      <c r="C5764" s="2" t="str">
        <f ca="1">IFERROR(__xludf.DUMMYFUNCTION("""COMPUTED_VALUE"""),"Building")</f>
        <v>Building</v>
      </c>
      <c r="D5764" s="2" t="str">
        <f ca="1">IFERROR(__xludf.DUMMYFUNCTION("""COMPUTED_VALUE"""),"Sharjah&gt;Aljada&gt;Areej Apartments&gt;Areej 7")</f>
        <v>Sharjah&gt;Aljada&gt;Areej Apartments&gt;Areej 7</v>
      </c>
      <c r="E5764" s="2"/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</row>
    <row r="5765" spans="1:26" ht="16.5" x14ac:dyDescent="0.35">
      <c r="A5765" s="2" t="str">
        <f ca="1">IFERROR(__xludf.DUMMYFUNCTION("""COMPUTED_VALUE"""),"Sharjah")</f>
        <v>Sharjah</v>
      </c>
      <c r="B5765" s="2" t="str">
        <f ca="1">IFERROR(__xludf.DUMMYFUNCTION("""COMPUTED_VALUE"""),"Safa 2")</f>
        <v>Safa 2</v>
      </c>
      <c r="C5765" s="2" t="str">
        <f ca="1">IFERROR(__xludf.DUMMYFUNCTION("""COMPUTED_VALUE"""),"Building")</f>
        <v>Building</v>
      </c>
      <c r="D5765" s="2" t="str">
        <f ca="1">IFERROR(__xludf.DUMMYFUNCTION("""COMPUTED_VALUE"""),"Sharjah&gt;Aljada&gt;Safa&gt;Safa 2")</f>
        <v>Sharjah&gt;Aljada&gt;Safa&gt;Safa 2</v>
      </c>
      <c r="E5765" s="2"/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</row>
    <row r="5766" spans="1:26" ht="16.5" x14ac:dyDescent="0.35">
      <c r="A5766" s="2" t="str">
        <f ca="1">IFERROR(__xludf.DUMMYFUNCTION("""COMPUTED_VALUE"""),"Sharjah")</f>
        <v>Sharjah</v>
      </c>
      <c r="B5766" s="2" t="str">
        <f ca="1">IFERROR(__xludf.DUMMYFUNCTION("""COMPUTED_VALUE"""),"MB Abu Shagara Building")</f>
        <v>MB Abu Shagara Building</v>
      </c>
      <c r="C5766" s="2"/>
      <c r="D5766" s="2" t="str">
        <f ca="1">IFERROR(__xludf.DUMMYFUNCTION("""COMPUTED_VALUE"""),"Sharjah&gt;Abu Shagara&gt;MB Abu Shagara Building")</f>
        <v>Sharjah&gt;Abu Shagara&gt;MB Abu Shagara Building</v>
      </c>
      <c r="E5766" s="2"/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</row>
    <row r="5767" spans="1:26" ht="16.5" x14ac:dyDescent="0.35">
      <c r="A5767" s="2" t="str">
        <f ca="1">IFERROR(__xludf.DUMMYFUNCTION("""COMPUTED_VALUE"""),"Sharjah")</f>
        <v>Sharjah</v>
      </c>
      <c r="B5767" s="2" t="str">
        <f ca="1">IFERROR(__xludf.DUMMYFUNCTION("""COMPUTED_VALUE"""),"Bin Ojan Tower 6")</f>
        <v>Bin Ojan Tower 6</v>
      </c>
      <c r="C5767" s="2" t="str">
        <f ca="1">IFERROR(__xludf.DUMMYFUNCTION("""COMPUTED_VALUE"""),"Building")</f>
        <v>Building</v>
      </c>
      <c r="D5767" s="2" t="str">
        <f ca="1">IFERROR(__xludf.DUMMYFUNCTION("""COMPUTED_VALUE"""),"Sharjah&gt;Abu Shagara&gt;Bin Ojan Tower 6")</f>
        <v>Sharjah&gt;Abu Shagara&gt;Bin Ojan Tower 6</v>
      </c>
      <c r="E5767" s="2"/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</row>
    <row r="5768" spans="1:26" ht="16.5" x14ac:dyDescent="0.35">
      <c r="A5768" s="2" t="str">
        <f ca="1">IFERROR(__xludf.DUMMYFUNCTION("""COMPUTED_VALUE"""),"Sharjah")</f>
        <v>Sharjah</v>
      </c>
      <c r="B5768" s="2" t="str">
        <f ca="1">IFERROR(__xludf.DUMMYFUNCTION("""COMPUTED_VALUE"""),"S1 Tower")</f>
        <v>S1 Tower</v>
      </c>
      <c r="C5768" s="2" t="str">
        <f ca="1">IFERROR(__xludf.DUMMYFUNCTION("""COMPUTED_VALUE"""),"Building")</f>
        <v>Building</v>
      </c>
      <c r="D5768" s="2" t="str">
        <f ca="1">IFERROR(__xludf.DUMMYFUNCTION("""COMPUTED_VALUE"""),"Sharjah&gt;Al Mamzar&gt;S1 Tower")</f>
        <v>Sharjah&gt;Al Mamzar&gt;S1 Tower</v>
      </c>
      <c r="E5768" s="2"/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</row>
    <row r="5769" spans="1:26" ht="16.5" x14ac:dyDescent="0.35">
      <c r="A5769" s="2" t="str">
        <f ca="1">IFERROR(__xludf.DUMMYFUNCTION("""COMPUTED_VALUE"""),"Sharjah")</f>
        <v>Sharjah</v>
      </c>
      <c r="B5769" s="2" t="str">
        <f ca="1">IFERROR(__xludf.DUMMYFUNCTION("""COMPUTED_VALUE"""),"Al Falaj")</f>
        <v>Al Falaj</v>
      </c>
      <c r="C5769" s="2" t="str">
        <f ca="1">IFERROR(__xludf.DUMMYFUNCTION("""COMPUTED_VALUE"""),"Neighbourhood")</f>
        <v>Neighbourhood</v>
      </c>
      <c r="D5769" s="2" t="str">
        <f ca="1">IFERROR(__xludf.DUMMYFUNCTION("""COMPUTED_VALUE"""),"Sharjah&gt;Al Falaj")</f>
        <v>Sharjah&gt;Al Falaj</v>
      </c>
      <c r="E5769" s="2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</row>
    <row r="5770" spans="1:26" ht="16.5" x14ac:dyDescent="0.35">
      <c r="A5770" s="2" t="str">
        <f ca="1">IFERROR(__xludf.DUMMYFUNCTION("""COMPUTED_VALUE"""),"Sharjah")</f>
        <v>Sharjah</v>
      </c>
      <c r="B5770" s="2" t="str">
        <f ca="1">IFERROR(__xludf.DUMMYFUNCTION("""COMPUTED_VALUE"""),"Taryam American Private School")</f>
        <v>Taryam American Private School</v>
      </c>
      <c r="C5770" s="2" t="str">
        <f ca="1">IFERROR(__xludf.DUMMYFUNCTION("""COMPUTED_VALUE"""),"School")</f>
        <v>School</v>
      </c>
      <c r="D5770" s="2" t="str">
        <f ca="1">IFERROR(__xludf.DUMMYFUNCTION("""COMPUTED_VALUE"""),"Sharjah&gt;Al Azra&gt;Taryam American Private School")</f>
        <v>Sharjah&gt;Al Azra&gt;Taryam American Private School</v>
      </c>
      <c r="E5770" s="2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</row>
    <row r="5771" spans="1:26" ht="16.5" x14ac:dyDescent="0.35">
      <c r="A5771" s="2" t="str">
        <f ca="1">IFERROR(__xludf.DUMMYFUNCTION("""COMPUTED_VALUE"""),"Sharjah")</f>
        <v>Sharjah</v>
      </c>
      <c r="B5771" s="2" t="str">
        <f ca="1">IFERROR(__xludf.DUMMYFUNCTION("""COMPUTED_VALUE"""),"Megamall Tower")</f>
        <v>Megamall Tower</v>
      </c>
      <c r="C5771" s="2"/>
      <c r="D5771" s="2" t="str">
        <f ca="1">IFERROR(__xludf.DUMMYFUNCTION("""COMPUTED_VALUE"""),"Sharjah&gt;Bu Daniq&gt;Megamall Tower")</f>
        <v>Sharjah&gt;Bu Daniq&gt;Megamall Tower</v>
      </c>
      <c r="E5771" s="2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</row>
    <row r="5772" spans="1:26" ht="16.5" x14ac:dyDescent="0.35">
      <c r="A5772" s="2" t="str">
        <f ca="1">IFERROR(__xludf.DUMMYFUNCTION("""COMPUTED_VALUE"""),"Sharjah")</f>
        <v>Sharjah</v>
      </c>
      <c r="B5772" s="2" t="str">
        <f ca="1">IFERROR(__xludf.DUMMYFUNCTION("""COMPUTED_VALUE"""),"Al Rugaiba 7")</f>
        <v>Al Rugaiba 7</v>
      </c>
      <c r="C5772" s="2" t="str">
        <f ca="1">IFERROR(__xludf.DUMMYFUNCTION("""COMPUTED_VALUE"""),"Neighbourhood")</f>
        <v>Neighbourhood</v>
      </c>
      <c r="D5772" s="2" t="str">
        <f ca="1">IFERROR(__xludf.DUMMYFUNCTION("""COMPUTED_VALUE"""),"Sharjah&gt;Al Suyoh&gt;Al Rugaiba 7")</f>
        <v>Sharjah&gt;Al Suyoh&gt;Al Rugaiba 7</v>
      </c>
      <c r="E5772" s="2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</row>
    <row r="5773" spans="1:26" ht="16.5" x14ac:dyDescent="0.35">
      <c r="A5773" s="2" t="str">
        <f ca="1">IFERROR(__xludf.DUMMYFUNCTION("""COMPUTED_VALUE"""),"Sharjah")</f>
        <v>Sharjah</v>
      </c>
      <c r="B5773" s="2" t="str">
        <f ca="1">IFERROR(__xludf.DUMMYFUNCTION("""COMPUTED_VALUE"""),"Al Saud Building")</f>
        <v>Al Saud Building</v>
      </c>
      <c r="C5773" s="2"/>
      <c r="D5773" s="2" t="str">
        <f ca="1">IFERROR(__xludf.DUMMYFUNCTION("""COMPUTED_VALUE"""),"Sharjah&gt;Al Mareija&gt;Al Saud Building")</f>
        <v>Sharjah&gt;Al Mareija&gt;Al Saud Building</v>
      </c>
      <c r="E5773" s="2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</row>
    <row r="5774" spans="1:26" ht="16.5" x14ac:dyDescent="0.35">
      <c r="A5774" s="2" t="str">
        <f ca="1">IFERROR(__xludf.DUMMYFUNCTION("""COMPUTED_VALUE"""),"Sharjah")</f>
        <v>Sharjah</v>
      </c>
      <c r="B5774" s="2" t="str">
        <f ca="1">IFERROR(__xludf.DUMMYFUNCTION("""COMPUTED_VALUE"""),"New Qasimia Building")</f>
        <v>New Qasimia Building</v>
      </c>
      <c r="C5774" s="2"/>
      <c r="D5774" s="2" t="str">
        <f ca="1">IFERROR(__xludf.DUMMYFUNCTION("""COMPUTED_VALUE"""),"Sharjah&gt;Al Gharb&gt;New Qasimia Building")</f>
        <v>Sharjah&gt;Al Gharb&gt;New Qasimia Building</v>
      </c>
      <c r="E5774" s="2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</row>
    <row r="5775" spans="1:26" ht="16.5" x14ac:dyDescent="0.35">
      <c r="A5775" s="2" t="str">
        <f ca="1">IFERROR(__xludf.DUMMYFUNCTION("""COMPUTED_VALUE"""),"Sharjah")</f>
        <v>Sharjah</v>
      </c>
      <c r="B5775" s="2" t="str">
        <f ca="1">IFERROR(__xludf.DUMMYFUNCTION("""COMPUTED_VALUE"""),"Shaghrafa 2")</f>
        <v>Shaghrafa 2</v>
      </c>
      <c r="C5775" s="2" t="str">
        <f ca="1">IFERROR(__xludf.DUMMYFUNCTION("""COMPUTED_VALUE"""),"Neighbourhood")</f>
        <v>Neighbourhood</v>
      </c>
      <c r="D5775" s="2" t="str">
        <f ca="1">IFERROR(__xludf.DUMMYFUNCTION("""COMPUTED_VALUE"""),"Sharjah&gt;Al Rahmaniya&gt;Shaghrafa 2")</f>
        <v>Sharjah&gt;Al Rahmaniya&gt;Shaghrafa 2</v>
      </c>
      <c r="E5775" s="2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</row>
    <row r="5776" spans="1:26" ht="16.5" x14ac:dyDescent="0.35">
      <c r="A5776" s="2" t="str">
        <f ca="1">IFERROR(__xludf.DUMMYFUNCTION("""COMPUTED_VALUE"""),"Sharjah")</f>
        <v>Sharjah</v>
      </c>
      <c r="B5776" s="2" t="str">
        <f ca="1">IFERROR(__xludf.DUMMYFUNCTION("""COMPUTED_VALUE"""),"American School of Creative Science Al Layyah")</f>
        <v>American School of Creative Science Al Layyah</v>
      </c>
      <c r="C5776" s="2" t="str">
        <f ca="1">IFERROR(__xludf.DUMMYFUNCTION("""COMPUTED_VALUE"""),"School")</f>
        <v>School</v>
      </c>
      <c r="D5776" s="2" t="str">
        <f ca="1">IFERROR(__xludf.DUMMYFUNCTION("""COMPUTED_VALUE"""),"Sharjah&gt;Al Layyeh Suburb&gt;American School of Creative Science Al Layyah")</f>
        <v>Sharjah&gt;Al Layyeh Suburb&gt;American School of Creative Science Al Layyah</v>
      </c>
      <c r="E5776" s="2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</row>
    <row r="5777" spans="1:26" ht="16.5" x14ac:dyDescent="0.35">
      <c r="A5777" s="2" t="str">
        <f ca="1">IFERROR(__xludf.DUMMYFUNCTION("""COMPUTED_VALUE"""),"Sharjah")</f>
        <v>Sharjah</v>
      </c>
      <c r="B5777" s="2" t="str">
        <f ca="1">IFERROR(__xludf.DUMMYFUNCTION("""COMPUTED_VALUE"""),"Beach Tower 2")</f>
        <v>Beach Tower 2</v>
      </c>
      <c r="C5777" s="2" t="str">
        <f ca="1">IFERROR(__xludf.DUMMYFUNCTION("""COMPUTED_VALUE"""),"Building")</f>
        <v>Building</v>
      </c>
      <c r="D5777" s="2" t="str">
        <f ca="1">IFERROR(__xludf.DUMMYFUNCTION("""COMPUTED_VALUE"""),"Sharjah&gt;Al Khan&gt;Beach Towers&gt;Beach Tower 2")</f>
        <v>Sharjah&gt;Al Khan&gt;Beach Towers&gt;Beach Tower 2</v>
      </c>
      <c r="E5777" s="2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</row>
    <row r="5778" spans="1:26" ht="16.5" x14ac:dyDescent="0.35">
      <c r="A5778" s="2" t="str">
        <f ca="1">IFERROR(__xludf.DUMMYFUNCTION("""COMPUTED_VALUE"""),"Sharjah")</f>
        <v>Sharjah</v>
      </c>
      <c r="B5778" s="2" t="str">
        <f ca="1">IFERROR(__xludf.DUMMYFUNCTION("""COMPUTED_VALUE"""),"Azure Beach Residence by Eagle Hills")</f>
        <v>Azure Beach Residence by Eagle Hills</v>
      </c>
      <c r="C5778" s="2" t="str">
        <f ca="1">IFERROR(__xludf.DUMMYFUNCTION("""COMPUTED_VALUE"""),"Building")</f>
        <v>Building</v>
      </c>
      <c r="D5778" s="2" t="str">
        <f ca="1">IFERROR(__xludf.DUMMYFUNCTION("""COMPUTED_VALUE"""),"Sharjah&gt;Al Khan&gt;Maryam Island&gt;Azure Beach Residence by Eagle Hills")</f>
        <v>Sharjah&gt;Al Khan&gt;Maryam Island&gt;Azure Beach Residence by Eagle Hills</v>
      </c>
      <c r="E5778" s="2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</row>
    <row r="5779" spans="1:26" ht="16.5" x14ac:dyDescent="0.35">
      <c r="A5779" s="2" t="str">
        <f ca="1">IFERROR(__xludf.DUMMYFUNCTION("""COMPUTED_VALUE"""),"Sharjah")</f>
        <v>Sharjah</v>
      </c>
      <c r="B5779" s="2" t="str">
        <f ca="1">IFERROR(__xludf.DUMMYFUNCTION("""COMPUTED_VALUE"""),"Al Hooty Tower")</f>
        <v>Al Hooty Tower</v>
      </c>
      <c r="C5779" s="2"/>
      <c r="D5779" s="2" t="str">
        <f ca="1">IFERROR(__xludf.DUMMYFUNCTION("""COMPUTED_VALUE"""),"Sharjah&gt;Al Khan&gt;Al Hooty Tower")</f>
        <v>Sharjah&gt;Al Khan&gt;Al Hooty Tower</v>
      </c>
      <c r="E5779" s="2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</row>
    <row r="5780" spans="1:26" ht="16.5" x14ac:dyDescent="0.35">
      <c r="A5780" s="2" t="str">
        <f ca="1">IFERROR(__xludf.DUMMYFUNCTION("""COMPUTED_VALUE"""),"Sharjah")</f>
        <v>Sharjah</v>
      </c>
      <c r="B5780" s="2" t="str">
        <f ca="1">IFERROR(__xludf.DUMMYFUNCTION("""COMPUTED_VALUE"""),"Al Taawun Avenue")</f>
        <v>Al Taawun Avenue</v>
      </c>
      <c r="C5780" s="2" t="str">
        <f ca="1">IFERROR(__xludf.DUMMYFUNCTION("""COMPUTED_VALUE"""),"Building")</f>
        <v>Building</v>
      </c>
      <c r="D5780" s="2" t="str">
        <f ca="1">IFERROR(__xludf.DUMMYFUNCTION("""COMPUTED_VALUE"""),"Sharjah&gt;Al Khan&gt;Al Taawun Avenue")</f>
        <v>Sharjah&gt;Al Khan&gt;Al Taawun Avenue</v>
      </c>
      <c r="E5780" s="2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</row>
    <row r="5781" spans="1:26" ht="16.5" x14ac:dyDescent="0.35">
      <c r="A5781" s="2" t="str">
        <f ca="1">IFERROR(__xludf.DUMMYFUNCTION("""COMPUTED_VALUE"""),"Sharjah")</f>
        <v>Sharjah</v>
      </c>
      <c r="B5781" s="2" t="str">
        <f ca="1">IFERROR(__xludf.DUMMYFUNCTION("""COMPUTED_VALUE"""),"Abdul Aziz Mohammed Al Majid Towers")</f>
        <v>Abdul Aziz Mohammed Al Majid Towers</v>
      </c>
      <c r="C5781" s="2"/>
      <c r="D5781" s="2" t="str">
        <f ca="1">IFERROR(__xludf.DUMMYFUNCTION("""COMPUTED_VALUE"""),"Sharjah&gt;Al Majaz&gt;Al Majaz 2&gt;Abdul Aziz Mohammed Al Majid Towers")</f>
        <v>Sharjah&gt;Al Majaz&gt;Al Majaz 2&gt;Abdul Aziz Mohammed Al Majid Towers</v>
      </c>
      <c r="E5781" s="2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</row>
    <row r="5782" spans="1:26" ht="16.5" x14ac:dyDescent="0.35">
      <c r="A5782" s="2" t="str">
        <f ca="1">IFERROR(__xludf.DUMMYFUNCTION("""COMPUTED_VALUE"""),"Sharjah")</f>
        <v>Sharjah</v>
      </c>
      <c r="B5782" s="2" t="str">
        <f ca="1">IFERROR(__xludf.DUMMYFUNCTION("""COMPUTED_VALUE"""),"Khaja Tower")</f>
        <v>Khaja Tower</v>
      </c>
      <c r="C5782" s="2"/>
      <c r="D5782" s="2" t="str">
        <f ca="1">IFERROR(__xludf.DUMMYFUNCTION("""COMPUTED_VALUE"""),"Sharjah&gt;Al Majaz&gt;Al Majaz 2&gt;Khaja Tower")</f>
        <v>Sharjah&gt;Al Majaz&gt;Al Majaz 2&gt;Khaja Tower</v>
      </c>
      <c r="E5782" s="2"/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</row>
    <row r="5783" spans="1:26" ht="16.5" x14ac:dyDescent="0.35">
      <c r="A5783" s="2" t="str">
        <f ca="1">IFERROR(__xludf.DUMMYFUNCTION("""COMPUTED_VALUE"""),"Sharjah")</f>
        <v>Sharjah</v>
      </c>
      <c r="B5783" s="2" t="str">
        <f ca="1">IFERROR(__xludf.DUMMYFUNCTION("""COMPUTED_VALUE"""),"Canal Star Tower")</f>
        <v>Canal Star Tower</v>
      </c>
      <c r="C5783" s="2" t="str">
        <f ca="1">IFERROR(__xludf.DUMMYFUNCTION("""COMPUTED_VALUE"""),"Building")</f>
        <v>Building</v>
      </c>
      <c r="D5783" s="2" t="str">
        <f ca="1">IFERROR(__xludf.DUMMYFUNCTION("""COMPUTED_VALUE"""),"Sharjah&gt;Al Majaz&gt;Al Majaz 3&gt;Canal Star Tower")</f>
        <v>Sharjah&gt;Al Majaz&gt;Al Majaz 3&gt;Canal Star Tower</v>
      </c>
      <c r="E5783" s="2"/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</row>
    <row r="5784" spans="1:26" ht="16.5" x14ac:dyDescent="0.35">
      <c r="A5784" s="2" t="str">
        <f ca="1">IFERROR(__xludf.DUMMYFUNCTION("""COMPUTED_VALUE"""),"Sharjah")</f>
        <v>Sharjah</v>
      </c>
      <c r="B5784" s="2" t="str">
        <f ca="1">IFERROR(__xludf.DUMMYFUNCTION("""COMPUTED_VALUE"""),"Al Qasid Supermarket Building")</f>
        <v>Al Qasid Supermarket Building</v>
      </c>
      <c r="C5784" s="2"/>
      <c r="D5784" s="2" t="str">
        <f ca="1">IFERROR(__xludf.DUMMYFUNCTION("""COMPUTED_VALUE"""),"Sharjah&gt;Al Majaz&gt;Al Majaz 3&gt;Al Qasid Supermarket Building")</f>
        <v>Sharjah&gt;Al Majaz&gt;Al Majaz 3&gt;Al Qasid Supermarket Building</v>
      </c>
      <c r="E5784" s="2"/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</row>
    <row r="5785" spans="1:26" ht="16.5" x14ac:dyDescent="0.35">
      <c r="A5785" s="2" t="str">
        <f ca="1">IFERROR(__xludf.DUMMYFUNCTION("""COMPUTED_VALUE"""),"Sharjah")</f>
        <v>Sharjah</v>
      </c>
      <c r="B5785" s="2" t="str">
        <f ca="1">IFERROR(__xludf.DUMMYFUNCTION("""COMPUTED_VALUE"""),"Sarah Al Emarat Tower")</f>
        <v>Sarah Al Emarat Tower</v>
      </c>
      <c r="C5785" s="2"/>
      <c r="D5785" s="2" t="str">
        <f ca="1">IFERROR(__xludf.DUMMYFUNCTION("""COMPUTED_VALUE"""),"Sharjah&gt;Al Majaz&gt;Al Majaz 3&gt;Sarah Al Emarat Tower")</f>
        <v>Sharjah&gt;Al Majaz&gt;Al Majaz 3&gt;Sarah Al Emarat Tower</v>
      </c>
      <c r="E5785" s="2"/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</row>
    <row r="5786" spans="1:26" ht="16.5" x14ac:dyDescent="0.35">
      <c r="A5786" s="2" t="str">
        <f ca="1">IFERROR(__xludf.DUMMYFUNCTION("""COMPUTED_VALUE"""),"Sharjah")</f>
        <v>Sharjah</v>
      </c>
      <c r="B5786" s="2" t="str">
        <f ca="1">IFERROR(__xludf.DUMMYFUNCTION("""COMPUTED_VALUE"""),"Alfa Tower")</f>
        <v>Alfa Tower</v>
      </c>
      <c r="C5786" s="2"/>
      <c r="D5786" s="2" t="str">
        <f ca="1">IFERROR(__xludf.DUMMYFUNCTION("""COMPUTED_VALUE"""),"Sharjah&gt;Al Majaz&gt;Al Majaz 1&gt;Alfa Tower")</f>
        <v>Sharjah&gt;Al Majaz&gt;Al Majaz 1&gt;Alfa Tower</v>
      </c>
      <c r="E5786" s="2"/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</row>
    <row r="5787" spans="1:26" ht="16.5" x14ac:dyDescent="0.35">
      <c r="A5787" s="2" t="str">
        <f ca="1">IFERROR(__xludf.DUMMYFUNCTION("""COMPUTED_VALUE"""),"Sharjah")</f>
        <v>Sharjah</v>
      </c>
      <c r="B5787" s="2" t="str">
        <f ca="1">IFERROR(__xludf.DUMMYFUNCTION("""COMPUTED_VALUE"""),"Coral")</f>
        <v>Coral</v>
      </c>
      <c r="C5787" s="2" t="str">
        <f ca="1">IFERROR(__xludf.DUMMYFUNCTION("""COMPUTED_VALUE"""),"Neighbourhood")</f>
        <v>Neighbourhood</v>
      </c>
      <c r="D5787" s="2" t="str">
        <f ca="1">IFERROR(__xludf.DUMMYFUNCTION("""COMPUTED_VALUE"""),"Sharjah&gt;Al Sehma&gt;Masaar 2&gt;Coral")</f>
        <v>Sharjah&gt;Al Sehma&gt;Masaar 2&gt;Coral</v>
      </c>
      <c r="E5787" s="2"/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</row>
    <row r="5788" spans="1:26" ht="16.5" x14ac:dyDescent="0.35">
      <c r="A5788" s="2" t="str">
        <f ca="1">IFERROR(__xludf.DUMMYFUNCTION("""COMPUTED_VALUE"""),"Sharjah")</f>
        <v>Sharjah</v>
      </c>
      <c r="B5788" s="2" t="str">
        <f ca="1">IFERROR(__xludf.DUMMYFUNCTION("""COMPUTED_VALUE"""),"Al Rasheed 4 Building")</f>
        <v>Al Rasheed 4 Building</v>
      </c>
      <c r="C5788" s="2" t="str">
        <f ca="1">IFERROR(__xludf.DUMMYFUNCTION("""COMPUTED_VALUE"""),"Building")</f>
        <v>Building</v>
      </c>
      <c r="D5788" s="2" t="str">
        <f ca="1">IFERROR(__xludf.DUMMYFUNCTION("""COMPUTED_VALUE"""),"Sharjah&gt;Al Taawun&gt;Al Rasheed 4 Building")</f>
        <v>Sharjah&gt;Al Taawun&gt;Al Rasheed 4 Building</v>
      </c>
      <c r="E5788" s="2"/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</row>
    <row r="5789" spans="1:26" ht="16.5" x14ac:dyDescent="0.35">
      <c r="A5789" s="2" t="str">
        <f ca="1">IFERROR(__xludf.DUMMYFUNCTION("""COMPUTED_VALUE"""),"Sharjah")</f>
        <v>Sharjah</v>
      </c>
      <c r="B5789" s="2" t="str">
        <f ca="1">IFERROR(__xludf.DUMMYFUNCTION("""COMPUTED_VALUE"""),"Al Nayli 5 Building")</f>
        <v>Al Nayli 5 Building</v>
      </c>
      <c r="C5789" s="2" t="str">
        <f ca="1">IFERROR(__xludf.DUMMYFUNCTION("""COMPUTED_VALUE"""),"Building")</f>
        <v>Building</v>
      </c>
      <c r="D5789" s="2" t="str">
        <f ca="1">IFERROR(__xludf.DUMMYFUNCTION("""COMPUTED_VALUE"""),"Sharjah&gt;Al Taawun&gt;Al Nayli 5 Building")</f>
        <v>Sharjah&gt;Al Taawun&gt;Al Nayli 5 Building</v>
      </c>
      <c r="E5789" s="2"/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</row>
    <row r="5790" spans="1:26" ht="16.5" x14ac:dyDescent="0.35">
      <c r="A5790" s="2" t="str">
        <f ca="1">IFERROR(__xludf.DUMMYFUNCTION("""COMPUTED_VALUE"""),"Sharjah")</f>
        <v>Sharjah</v>
      </c>
      <c r="B5790" s="2" t="str">
        <f ca="1">IFERROR(__xludf.DUMMYFUNCTION("""COMPUTED_VALUE"""),"Abdulla Sharan Building")</f>
        <v>Abdulla Sharan Building</v>
      </c>
      <c r="C5790" s="2" t="str">
        <f ca="1">IFERROR(__xludf.DUMMYFUNCTION("""COMPUTED_VALUE"""),"Building")</f>
        <v>Building</v>
      </c>
      <c r="D5790" s="2" t="str">
        <f ca="1">IFERROR(__xludf.DUMMYFUNCTION("""COMPUTED_VALUE"""),"Sharjah&gt;Al Qasimia&gt;Al Nad&gt;Abdulla Sharan Building")</f>
        <v>Sharjah&gt;Al Qasimia&gt;Al Nad&gt;Abdulla Sharan Building</v>
      </c>
      <c r="E5790" s="2"/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</row>
    <row r="5791" spans="1:26" ht="16.5" x14ac:dyDescent="0.35">
      <c r="A5791" s="2" t="str">
        <f ca="1">IFERROR(__xludf.DUMMYFUNCTION("""COMPUTED_VALUE"""),"Dubai")</f>
        <v>Dubai</v>
      </c>
      <c r="B5791" s="2" t="str">
        <f ca="1">IFERROR(__xludf.DUMMYFUNCTION("""COMPUTED_VALUE"""),"Ellington Sands I Tower B")</f>
        <v>Ellington Sands I Tower B</v>
      </c>
      <c r="C5791" s="2" t="str">
        <f ca="1">IFERROR(__xludf.DUMMYFUNCTION("""COMPUTED_VALUE"""),"Building")</f>
        <v>Building</v>
      </c>
      <c r="D5791" s="2" t="str">
        <f ca="1">IFERROR(__xludf.DUMMYFUNCTION("""COMPUTED_VALUE"""),"Dubai&gt;Dubai Islands&gt;Ellington Sands I&gt;Ellington Sands I Tower B")</f>
        <v>Dubai&gt;Dubai Islands&gt;Ellington Sands I&gt;Ellington Sands I Tower B</v>
      </c>
      <c r="E5791" s="2"/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</row>
    <row r="5792" spans="1:26" ht="16.5" x14ac:dyDescent="0.35">
      <c r="A5792" s="2" t="str">
        <f ca="1">IFERROR(__xludf.DUMMYFUNCTION("""COMPUTED_VALUE"""),"Dubai")</f>
        <v>Dubai</v>
      </c>
      <c r="B5792" s="2" t="str">
        <f ca="1">IFERROR(__xludf.DUMMYFUNCTION("""COMPUTED_VALUE"""),"Cherrywoods")</f>
        <v>Cherrywoods</v>
      </c>
      <c r="C5792" s="2" t="str">
        <f ca="1">IFERROR(__xludf.DUMMYFUNCTION("""COMPUTED_VALUE"""),"Neighbourhood")</f>
        <v>Neighbourhood</v>
      </c>
      <c r="D5792" s="2" t="str">
        <f ca="1">IFERROR(__xludf.DUMMYFUNCTION("""COMPUTED_VALUE"""),"Dubai&gt;Dubailand&gt;Cherrywoods")</f>
        <v>Dubai&gt;Dubailand&gt;Cherrywoods</v>
      </c>
      <c r="E5792" s="2"/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</row>
    <row r="5793" spans="1:26" ht="16.5" x14ac:dyDescent="0.35">
      <c r="A5793" s="2" t="str">
        <f ca="1">IFERROR(__xludf.DUMMYFUNCTION("""COMPUTED_VALUE"""),"Dubai")</f>
        <v>Dubai</v>
      </c>
      <c r="B5793" s="2" t="str">
        <f ca="1">IFERROR(__xludf.DUMMYFUNCTION("""COMPUTED_VALUE"""),"La Violeta 1")</f>
        <v>La Violeta 1</v>
      </c>
      <c r="C5793" s="2" t="str">
        <f ca="1">IFERROR(__xludf.DUMMYFUNCTION("""COMPUTED_VALUE"""),"Neighbourhood")</f>
        <v>Neighbourhood</v>
      </c>
      <c r="D5793" s="2" t="str">
        <f ca="1">IFERROR(__xludf.DUMMYFUNCTION("""COMPUTED_VALUE"""),"Dubai&gt;Dubailand&gt;Villanova&gt;La Violeta&gt;La Violeta 1")</f>
        <v>Dubai&gt;Dubailand&gt;Villanova&gt;La Violeta&gt;La Violeta 1</v>
      </c>
      <c r="E5793" s="2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</row>
    <row r="5794" spans="1:26" ht="16.5" x14ac:dyDescent="0.35">
      <c r="A5794" s="2" t="str">
        <f ca="1">IFERROR(__xludf.DUMMYFUNCTION("""COMPUTED_VALUE"""),"Dubai")</f>
        <v>Dubai</v>
      </c>
      <c r="B5794" s="2" t="str">
        <f ca="1">IFERROR(__xludf.DUMMYFUNCTION("""COMPUTED_VALUE"""),"Murjan")</f>
        <v>Murjan</v>
      </c>
      <c r="C5794" s="2" t="str">
        <f ca="1">IFERROR(__xludf.DUMMYFUNCTION("""COMPUTED_VALUE"""),"Neighbourhood")</f>
        <v>Neighbourhood</v>
      </c>
      <c r="D5794" s="2" t="str">
        <f ca="1">IFERROR(__xludf.DUMMYFUNCTION("""COMPUTED_VALUE"""),"Dubai&gt;Dubailand&gt;The Wilds&gt;Murjan")</f>
        <v>Dubai&gt;Dubailand&gt;The Wilds&gt;Murjan</v>
      </c>
      <c r="E5794" s="2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</row>
    <row r="5795" spans="1:26" ht="16.5" x14ac:dyDescent="0.35">
      <c r="A5795" s="2" t="str">
        <f ca="1">IFERROR(__xludf.DUMMYFUNCTION("""COMPUTED_VALUE"""),"Dubai")</f>
        <v>Dubai</v>
      </c>
      <c r="B5795" s="2" t="str">
        <f ca="1">IFERROR(__xludf.DUMMYFUNCTION("""COMPUTED_VALUE"""),"Cleopatra Tower")</f>
        <v>Cleopatra Tower</v>
      </c>
      <c r="C5795" s="2" t="str">
        <f ca="1">IFERROR(__xludf.DUMMYFUNCTION("""COMPUTED_VALUE"""),"Building")</f>
        <v>Building</v>
      </c>
      <c r="D5795" s="2" t="str">
        <f ca="1">IFERROR(__xludf.DUMMYFUNCTION("""COMPUTED_VALUE"""),"Dubai&gt;Living Legends&gt;Cleopatra Tower")</f>
        <v>Dubai&gt;Living Legends&gt;Cleopatra Tower</v>
      </c>
      <c r="E5795" s="2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</row>
    <row r="5796" spans="1:26" ht="16.5" x14ac:dyDescent="0.35">
      <c r="A5796" s="2" t="str">
        <f ca="1">IFERROR(__xludf.DUMMYFUNCTION("""COMPUTED_VALUE"""),"Dubai")</f>
        <v>Dubai</v>
      </c>
      <c r="B5796" s="2" t="str">
        <f ca="1">IFERROR(__xludf.DUMMYFUNCTION("""COMPUTED_VALUE"""),"The Westminster School")</f>
        <v>The Westminster School</v>
      </c>
      <c r="C5796" s="2" t="str">
        <f ca="1">IFERROR(__xludf.DUMMYFUNCTION("""COMPUTED_VALUE"""),"School")</f>
        <v>School</v>
      </c>
      <c r="D5796" s="2" t="str">
        <f ca="1">IFERROR(__xludf.DUMMYFUNCTION("""COMPUTED_VALUE"""),"Dubai&gt;Al Qusais&gt;Al Qusais Residential Area&gt;Al Qusais 1&gt;The Westminster School")</f>
        <v>Dubai&gt;Al Qusais&gt;Al Qusais Residential Area&gt;Al Qusais 1&gt;The Westminster School</v>
      </c>
      <c r="E5796" s="2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</row>
    <row r="5797" spans="1:26" ht="16.5" x14ac:dyDescent="0.35">
      <c r="A5797" s="2" t="str">
        <f ca="1">IFERROR(__xludf.DUMMYFUNCTION("""COMPUTED_VALUE"""),"Dubai")</f>
        <v>Dubai</v>
      </c>
      <c r="B5797" s="2" t="str">
        <f ca="1">IFERROR(__xludf.DUMMYFUNCTION("""COMPUTED_VALUE"""),"Rainbow Residence 3")</f>
        <v>Rainbow Residence 3</v>
      </c>
      <c r="C5797" s="2" t="str">
        <f ca="1">IFERROR(__xludf.DUMMYFUNCTION("""COMPUTED_VALUE"""),"Building")</f>
        <v>Building</v>
      </c>
      <c r="D5797" s="2" t="str">
        <f ca="1">IFERROR(__xludf.DUMMYFUNCTION("""COMPUTED_VALUE"""),"Dubai&gt;Al Qusais&gt;Al Qusais Residential Area&gt;Al Qusais 1&gt;Rainbow Residences&gt;Rainbow Residence 3")</f>
        <v>Dubai&gt;Al Qusais&gt;Al Qusais Residential Area&gt;Al Qusais 1&gt;Rainbow Residences&gt;Rainbow Residence 3</v>
      </c>
      <c r="E5797" s="2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</row>
    <row r="5798" spans="1:26" ht="16.5" x14ac:dyDescent="0.35">
      <c r="A5798" s="2" t="str">
        <f ca="1">IFERROR(__xludf.DUMMYFUNCTION("""COMPUTED_VALUE"""),"Dubai")</f>
        <v>Dubai</v>
      </c>
      <c r="B5798" s="2" t="str">
        <f ca="1">IFERROR(__xludf.DUMMYFUNCTION("""COMPUTED_VALUE"""),"Hassani 18 Building")</f>
        <v>Hassani 18 Building</v>
      </c>
      <c r="C5798" s="2" t="str">
        <f ca="1">IFERROR(__xludf.DUMMYFUNCTION("""COMPUTED_VALUE"""),"Building")</f>
        <v>Building</v>
      </c>
      <c r="D5798" s="2" t="str">
        <f ca="1">IFERROR(__xludf.DUMMYFUNCTION("""COMPUTED_VALUE"""),"Dubai&gt;Al Qusais&gt;Al Qusais Industrial Area&gt;Al Qusais Industrial 5&gt;Hassani 18 Building")</f>
        <v>Dubai&gt;Al Qusais&gt;Al Qusais Industrial Area&gt;Al Qusais Industrial 5&gt;Hassani 18 Building</v>
      </c>
      <c r="E5798" s="2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</row>
    <row r="5799" spans="1:26" ht="16.5" x14ac:dyDescent="0.35">
      <c r="A5799" s="2" t="str">
        <f ca="1">IFERROR(__xludf.DUMMYFUNCTION("""COMPUTED_VALUE"""),"Dubai")</f>
        <v>Dubai</v>
      </c>
      <c r="B5799" s="2" t="str">
        <f ca="1">IFERROR(__xludf.DUMMYFUNCTION("""COMPUTED_VALUE"""),"SMJ 2 Building")</f>
        <v>SMJ 2 Building</v>
      </c>
      <c r="C5799" s="2" t="str">
        <f ca="1">IFERROR(__xludf.DUMMYFUNCTION("""COMPUTED_VALUE"""),"Building")</f>
        <v>Building</v>
      </c>
      <c r="D5799" s="2" t="str">
        <f ca="1">IFERROR(__xludf.DUMMYFUNCTION("""COMPUTED_VALUE"""),"Dubai&gt;Al Qusais&gt;Al Qusais Industrial Area&gt;Al Qusais Industrial 2&gt;SMJ 2 Building")</f>
        <v>Dubai&gt;Al Qusais&gt;Al Qusais Industrial Area&gt;Al Qusais Industrial 2&gt;SMJ 2 Building</v>
      </c>
      <c r="E5799" s="2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</row>
    <row r="5800" spans="1:26" ht="16.5" x14ac:dyDescent="0.35">
      <c r="A5800" s="2" t="str">
        <f ca="1">IFERROR(__xludf.DUMMYFUNCTION("""COMPUTED_VALUE"""),"Dubai")</f>
        <v>Dubai</v>
      </c>
      <c r="B5800" s="2" t="str">
        <f ca="1">IFERROR(__xludf.DUMMYFUNCTION("""COMPUTED_VALUE"""),"Parkland")</f>
        <v>Parkland</v>
      </c>
      <c r="C5800" s="2" t="str">
        <f ca="1">IFERROR(__xludf.DUMMYFUNCTION("""COMPUTED_VALUE"""),"Building")</f>
        <v>Building</v>
      </c>
      <c r="D5800" s="2" t="str">
        <f ca="1">IFERROR(__xludf.DUMMYFUNCTION("""COMPUTED_VALUE"""),"Dubai&gt;Dubai Hills Estate&gt;Park Heights&gt;Parkland")</f>
        <v>Dubai&gt;Dubai Hills Estate&gt;Park Heights&gt;Parkland</v>
      </c>
      <c r="E5800" s="2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</row>
    <row r="5801" spans="1:26" ht="16.5" x14ac:dyDescent="0.35">
      <c r="A5801" s="2" t="str">
        <f ca="1">IFERROR(__xludf.DUMMYFUNCTION("""COMPUTED_VALUE"""),"Dubai")</f>
        <v>Dubai</v>
      </c>
      <c r="B5801" s="2" t="str">
        <f ca="1">IFERROR(__xludf.DUMMYFUNCTION("""COMPUTED_VALUE"""),"The Pinnacle")</f>
        <v>The Pinnacle</v>
      </c>
      <c r="C5801" s="2" t="str">
        <f ca="1">IFERROR(__xludf.DUMMYFUNCTION("""COMPUTED_VALUE"""),"Building")</f>
        <v>Building</v>
      </c>
      <c r="D5801" s="2" t="str">
        <f ca="1">IFERROR(__xludf.DUMMYFUNCTION("""COMPUTED_VALUE"""),"Dubai&gt;Dubai Hills Estate&gt;The Pinnacle")</f>
        <v>Dubai&gt;Dubai Hills Estate&gt;The Pinnacle</v>
      </c>
      <c r="E5801" s="2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</row>
    <row r="5802" spans="1:26" ht="16.5" x14ac:dyDescent="0.35">
      <c r="A5802" s="2" t="str">
        <f ca="1">IFERROR(__xludf.DUMMYFUNCTION("""COMPUTED_VALUE"""),"Dubai")</f>
        <v>Dubai</v>
      </c>
      <c r="B5802" s="2" t="str">
        <f ca="1">IFERROR(__xludf.DUMMYFUNCTION("""COMPUTED_VALUE"""),"Elvira")</f>
        <v>Elvira</v>
      </c>
      <c r="C5802" s="2" t="str">
        <f ca="1">IFERROR(__xludf.DUMMYFUNCTION("""COMPUTED_VALUE"""),"Cluster")</f>
        <v>Cluster</v>
      </c>
      <c r="D5802" s="2" t="str">
        <f ca="1">IFERROR(__xludf.DUMMYFUNCTION("""COMPUTED_VALUE"""),"Dubai&gt;Dubai Hills Estate&gt;Elvira")</f>
        <v>Dubai&gt;Dubai Hills Estate&gt;Elvira</v>
      </c>
      <c r="E5802" s="2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</row>
    <row r="5803" spans="1:26" ht="16.5" x14ac:dyDescent="0.35">
      <c r="A5803" s="2" t="str">
        <f ca="1">IFERROR(__xludf.DUMMYFUNCTION("""COMPUTED_VALUE"""),"Dubai")</f>
        <v>Dubai</v>
      </c>
      <c r="B5803" s="2" t="str">
        <f ca="1">IFERROR(__xludf.DUMMYFUNCTION("""COMPUTED_VALUE"""),"Park Lane Building 5")</f>
        <v>Park Lane Building 5</v>
      </c>
      <c r="C5803" s="2" t="str">
        <f ca="1">IFERROR(__xludf.DUMMYFUNCTION("""COMPUTED_VALUE"""),"Building")</f>
        <v>Building</v>
      </c>
      <c r="D5803" s="2" t="str">
        <f ca="1">IFERROR(__xludf.DUMMYFUNCTION("""COMPUTED_VALUE"""),"Dubai&gt;Dubai Hills Estate&gt;Park Lane&gt;Park Lane Building 5")</f>
        <v>Dubai&gt;Dubai Hills Estate&gt;Park Lane&gt;Park Lane Building 5</v>
      </c>
      <c r="E5803" s="2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</row>
    <row r="5804" spans="1:26" ht="16.5" x14ac:dyDescent="0.35">
      <c r="A5804" s="2" t="str">
        <f ca="1">IFERROR(__xludf.DUMMYFUNCTION("""COMPUTED_VALUE"""),"Dubai")</f>
        <v>Dubai</v>
      </c>
      <c r="B5804" s="2" t="str">
        <f ca="1">IFERROR(__xludf.DUMMYFUNCTION("""COMPUTED_VALUE"""),"Al Muraqqabat Building")</f>
        <v>Al Muraqqabat Building</v>
      </c>
      <c r="C5804" s="2" t="str">
        <f ca="1">IFERROR(__xludf.DUMMYFUNCTION("""COMPUTED_VALUE"""),"Building")</f>
        <v>Building</v>
      </c>
      <c r="D5804" s="2" t="str">
        <f ca="1">IFERROR(__xludf.DUMMYFUNCTION("""COMPUTED_VALUE"""),"Dubai&gt;Deira&gt;Al Muraqqabat&gt;Al Muraqqabat Building")</f>
        <v>Dubai&gt;Deira&gt;Al Muraqqabat&gt;Al Muraqqabat Building</v>
      </c>
      <c r="E5804" s="2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</row>
    <row r="5805" spans="1:26" ht="16.5" x14ac:dyDescent="0.35">
      <c r="A5805" s="2" t="str">
        <f ca="1">IFERROR(__xludf.DUMMYFUNCTION("""COMPUTED_VALUE"""),"Dubai")</f>
        <v>Dubai</v>
      </c>
      <c r="B5805" s="2" t="str">
        <f ca="1">IFERROR(__xludf.DUMMYFUNCTION("""COMPUTED_VALUE"""),"Century 21 Building")</f>
        <v>Century 21 Building</v>
      </c>
      <c r="C5805" s="2" t="str">
        <f ca="1">IFERROR(__xludf.DUMMYFUNCTION("""COMPUTED_VALUE"""),"Building")</f>
        <v>Building</v>
      </c>
      <c r="D5805" s="2" t="str">
        <f ca="1">IFERROR(__xludf.DUMMYFUNCTION("""COMPUTED_VALUE"""),"Dubai&gt;Deira&gt;Al Muraqqabat&gt;Century 21 Building")</f>
        <v>Dubai&gt;Deira&gt;Al Muraqqabat&gt;Century 21 Building</v>
      </c>
      <c r="E5805" s="2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</row>
    <row r="5806" spans="1:26" ht="16.5" x14ac:dyDescent="0.35">
      <c r="A5806" s="2" t="str">
        <f ca="1">IFERROR(__xludf.DUMMYFUNCTION("""COMPUTED_VALUE"""),"Dubai")</f>
        <v>Dubai</v>
      </c>
      <c r="B5806" s="2" t="str">
        <f ca="1">IFERROR(__xludf.DUMMYFUNCTION("""COMPUTED_VALUE"""),"Al Meraikhi Tower 3")</f>
        <v>Al Meraikhi Tower 3</v>
      </c>
      <c r="C5806" s="2" t="str">
        <f ca="1">IFERROR(__xludf.DUMMYFUNCTION("""COMPUTED_VALUE"""),"Building")</f>
        <v>Building</v>
      </c>
      <c r="D5806" s="2" t="str">
        <f ca="1">IFERROR(__xludf.DUMMYFUNCTION("""COMPUTED_VALUE"""),"Dubai&gt;Deira&gt;Riggat Al Buteen&gt;Al Meraikhi Tower 3")</f>
        <v>Dubai&gt;Deira&gt;Riggat Al Buteen&gt;Al Meraikhi Tower 3</v>
      </c>
      <c r="E5806" s="2"/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</row>
    <row r="5807" spans="1:26" ht="16.5" x14ac:dyDescent="0.35">
      <c r="A5807" s="2" t="str">
        <f ca="1">IFERROR(__xludf.DUMMYFUNCTION("""COMPUTED_VALUE"""),"Dubai")</f>
        <v>Dubai</v>
      </c>
      <c r="B5807" s="2" t="str">
        <f ca="1">IFERROR(__xludf.DUMMYFUNCTION("""COMPUTED_VALUE"""),"Pearl Wisdom School, Dubai")</f>
        <v>Pearl Wisdom School, Dubai</v>
      </c>
      <c r="C5807" s="2" t="str">
        <f ca="1">IFERROR(__xludf.DUMMYFUNCTION("""COMPUTED_VALUE"""),"School")</f>
        <v>School</v>
      </c>
      <c r="D5807" s="2" t="str">
        <f ca="1">IFERROR(__xludf.DUMMYFUNCTION("""COMPUTED_VALUE"""),"Dubai&gt;Deira&gt;Hor Al Anz&gt;Pearl Wisdom School, Dubai")</f>
        <v>Dubai&gt;Deira&gt;Hor Al Anz&gt;Pearl Wisdom School, Dubai</v>
      </c>
      <c r="E5807" s="2"/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</row>
    <row r="5808" spans="1:26" ht="16.5" x14ac:dyDescent="0.35">
      <c r="A5808" s="2" t="str">
        <f ca="1">IFERROR(__xludf.DUMMYFUNCTION("""COMPUTED_VALUE"""),"Dubai")</f>
        <v>Dubai</v>
      </c>
      <c r="B5808" s="2" t="str">
        <f ca="1">IFERROR(__xludf.DUMMYFUNCTION("""COMPUTED_VALUE"""),"Silver Building")</f>
        <v>Silver Building</v>
      </c>
      <c r="C5808" s="2" t="str">
        <f ca="1">IFERROR(__xludf.DUMMYFUNCTION("""COMPUTED_VALUE"""),"Building")</f>
        <v>Building</v>
      </c>
      <c r="D5808" s="2" t="str">
        <f ca="1">IFERROR(__xludf.DUMMYFUNCTION("""COMPUTED_VALUE"""),"Dubai&gt;Deira&gt;Hor Al Anz&gt;Hor Al Anz East&gt;Silver Building")</f>
        <v>Dubai&gt;Deira&gt;Hor Al Anz&gt;Hor Al Anz East&gt;Silver Building</v>
      </c>
      <c r="E5808" s="2"/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</row>
    <row r="5809" spans="1:26" ht="16.5" x14ac:dyDescent="0.35">
      <c r="A5809" s="2" t="str">
        <f ca="1">IFERROR(__xludf.DUMMYFUNCTION("""COMPUTED_VALUE"""),"Dubai")</f>
        <v>Dubai</v>
      </c>
      <c r="B5809" s="2" t="str">
        <f ca="1">IFERROR(__xludf.DUMMYFUNCTION("""COMPUTED_VALUE"""),"Bayt Al Muteena 04")</f>
        <v>Bayt Al Muteena 04</v>
      </c>
      <c r="C5809" s="2" t="str">
        <f ca="1">IFERROR(__xludf.DUMMYFUNCTION("""COMPUTED_VALUE"""),"Building")</f>
        <v>Building</v>
      </c>
      <c r="D5809" s="2" t="str">
        <f ca="1">IFERROR(__xludf.DUMMYFUNCTION("""COMPUTED_VALUE"""),"Dubai&gt;Deira&gt;Al Muteena&gt;Bayt Al Muteena 04")</f>
        <v>Dubai&gt;Deira&gt;Al Muteena&gt;Bayt Al Muteena 04</v>
      </c>
      <c r="E5809" s="2"/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</row>
    <row r="5810" spans="1:26" ht="16.5" x14ac:dyDescent="0.35">
      <c r="A5810" s="2" t="str">
        <f ca="1">IFERROR(__xludf.DUMMYFUNCTION("""COMPUTED_VALUE"""),"Dubai")</f>
        <v>Dubai</v>
      </c>
      <c r="B5810" s="2" t="str">
        <f ca="1">IFERROR(__xludf.DUMMYFUNCTION("""COMPUTED_VALUE"""),"China Tower")</f>
        <v>China Tower</v>
      </c>
      <c r="C5810" s="2" t="str">
        <f ca="1">IFERROR(__xludf.DUMMYFUNCTION("""COMPUTED_VALUE"""),"Building")</f>
        <v>Building</v>
      </c>
      <c r="D5810" s="2" t="str">
        <f ca="1">IFERROR(__xludf.DUMMYFUNCTION("""COMPUTED_VALUE"""),"Dubai&gt;Deira&gt;Al Rigga&gt;China Tower")</f>
        <v>Dubai&gt;Deira&gt;Al Rigga&gt;China Tower</v>
      </c>
      <c r="E5810" s="2"/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</row>
    <row r="5811" spans="1:26" ht="16.5" x14ac:dyDescent="0.35">
      <c r="A5811" s="2" t="str">
        <f ca="1">IFERROR(__xludf.DUMMYFUNCTION("""COMPUTED_VALUE"""),"Dubai")</f>
        <v>Dubai</v>
      </c>
      <c r="B5811" s="2" t="str">
        <f ca="1">IFERROR(__xludf.DUMMYFUNCTION("""COMPUTED_VALUE"""),"Wadima Plaza")</f>
        <v>Wadima Plaza</v>
      </c>
      <c r="C5811" s="2" t="str">
        <f ca="1">IFERROR(__xludf.DUMMYFUNCTION("""COMPUTED_VALUE"""),"Cluster")</f>
        <v>Cluster</v>
      </c>
      <c r="D5811" s="2" t="str">
        <f ca="1">IFERROR(__xludf.DUMMYFUNCTION("""COMPUTED_VALUE"""),"Dubai&gt;Deira&gt;Deira Enrichment Project&gt;Wadima Plaza")</f>
        <v>Dubai&gt;Deira&gt;Deira Enrichment Project&gt;Wadima Plaza</v>
      </c>
      <c r="E5811" s="2"/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</row>
    <row r="5812" spans="1:26" ht="16.5" x14ac:dyDescent="0.35">
      <c r="A5812" s="2" t="str">
        <f ca="1">IFERROR(__xludf.DUMMYFUNCTION("""COMPUTED_VALUE"""),"Dubai")</f>
        <v>Dubai</v>
      </c>
      <c r="B5812" s="2" t="str">
        <f ca="1">IFERROR(__xludf.DUMMYFUNCTION("""COMPUTED_VALUE"""),"One Deira Mall")</f>
        <v>One Deira Mall</v>
      </c>
      <c r="C5812" s="2" t="str">
        <f ca="1">IFERROR(__xludf.DUMMYFUNCTION("""COMPUTED_VALUE"""),"Building")</f>
        <v>Building</v>
      </c>
      <c r="D5812" s="2" t="str">
        <f ca="1">IFERROR(__xludf.DUMMYFUNCTION("""COMPUTED_VALUE"""),"Dubai&gt;Deira&gt;Deira Enrichment Project&gt;One Deira Mall")</f>
        <v>Dubai&gt;Deira&gt;Deira Enrichment Project&gt;One Deira Mall</v>
      </c>
      <c r="E5812" s="2"/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</row>
    <row r="5813" spans="1:26" ht="16.5" x14ac:dyDescent="0.35">
      <c r="A5813" s="2" t="str">
        <f ca="1">IFERROR(__xludf.DUMMYFUNCTION("""COMPUTED_VALUE"""),"Dubai")</f>
        <v>Dubai</v>
      </c>
      <c r="B5813" s="2" t="str">
        <f ca="1">IFERROR(__xludf.DUMMYFUNCTION("""COMPUTED_VALUE"""),"Al Nakheel Building")</f>
        <v>Al Nakheel Building</v>
      </c>
      <c r="C5813" s="2" t="str">
        <f ca="1">IFERROR(__xludf.DUMMYFUNCTION("""COMPUTED_VALUE"""),"Building")</f>
        <v>Building</v>
      </c>
      <c r="D5813" s="2" t="str">
        <f ca="1">IFERROR(__xludf.DUMMYFUNCTION("""COMPUTED_VALUE"""),"Dubai&gt;Deira&gt;Naif&gt;Al Nakheel Building")</f>
        <v>Dubai&gt;Deira&gt;Naif&gt;Al Nakheel Building</v>
      </c>
      <c r="E5813" s="2"/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</row>
    <row r="5814" spans="1:26" ht="16.5" x14ac:dyDescent="0.35">
      <c r="A5814" s="2" t="str">
        <f ca="1">IFERROR(__xludf.DUMMYFUNCTION("""COMPUTED_VALUE"""),"Dubai")</f>
        <v>Dubai</v>
      </c>
      <c r="B5814" s="2" t="str">
        <f ca="1">IFERROR(__xludf.DUMMYFUNCTION("""COMPUTED_VALUE"""),"Atiq Al Murar Building")</f>
        <v>Atiq Al Murar Building</v>
      </c>
      <c r="C5814" s="2" t="str">
        <f ca="1">IFERROR(__xludf.DUMMYFUNCTION("""COMPUTED_VALUE"""),"Building")</f>
        <v>Building</v>
      </c>
      <c r="D5814" s="2" t="str">
        <f ca="1">IFERROR(__xludf.DUMMYFUNCTION("""COMPUTED_VALUE"""),"Dubai&gt;Deira&gt;Al Murar&gt;Atiq Al Murar Building")</f>
        <v>Dubai&gt;Deira&gt;Al Murar&gt;Atiq Al Murar Building</v>
      </c>
      <c r="E5814" s="2"/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</row>
    <row r="5815" spans="1:26" ht="16.5" x14ac:dyDescent="0.35">
      <c r="A5815" s="2" t="str">
        <f ca="1">IFERROR(__xludf.DUMMYFUNCTION("""COMPUTED_VALUE"""),"Dubai")</f>
        <v>Dubai</v>
      </c>
      <c r="B5815" s="2" t="str">
        <f ca="1">IFERROR(__xludf.DUMMYFUNCTION("""COMPUTED_VALUE"""),"Falcon Tower")</f>
        <v>Falcon Tower</v>
      </c>
      <c r="C5815" s="2" t="str">
        <f ca="1">IFERROR(__xludf.DUMMYFUNCTION("""COMPUTED_VALUE"""),"Building")</f>
        <v>Building</v>
      </c>
      <c r="D5815" s="2" t="str">
        <f ca="1">IFERROR(__xludf.DUMMYFUNCTION("""COMPUTED_VALUE"""),"Dubai&gt;Deira&gt;Falcon Tower")</f>
        <v>Dubai&gt;Deira&gt;Falcon Tower</v>
      </c>
      <c r="E5815" s="2"/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</row>
    <row r="5816" spans="1:26" ht="16.5" x14ac:dyDescent="0.35">
      <c r="A5816" s="2" t="str">
        <f ca="1">IFERROR(__xludf.DUMMYFUNCTION("""COMPUTED_VALUE"""),"Dubai")</f>
        <v>Dubai</v>
      </c>
      <c r="B5816" s="2" t="str">
        <f ca="1">IFERROR(__xludf.DUMMYFUNCTION("""COMPUTED_VALUE"""),"Al Awar Building")</f>
        <v>Al Awar Building</v>
      </c>
      <c r="C5816" s="2" t="str">
        <f ca="1">IFERROR(__xludf.DUMMYFUNCTION("""COMPUTED_VALUE"""),"Building")</f>
        <v>Building</v>
      </c>
      <c r="D5816" s="2" t="str">
        <f ca="1">IFERROR(__xludf.DUMMYFUNCTION("""COMPUTED_VALUE"""),"Dubai&gt;Deira&gt;Port Saeed&gt;Al Awar Building")</f>
        <v>Dubai&gt;Deira&gt;Port Saeed&gt;Al Awar Building</v>
      </c>
      <c r="E5816" s="2"/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</row>
    <row r="5817" spans="1:26" ht="16.5" x14ac:dyDescent="0.35">
      <c r="A5817" s="2" t="str">
        <f ca="1">IFERROR(__xludf.DUMMYFUNCTION("""COMPUTED_VALUE"""),"Dubai")</f>
        <v>Dubai</v>
      </c>
      <c r="B5817" s="2" t="str">
        <f ca="1">IFERROR(__xludf.DUMMYFUNCTION("""COMPUTED_VALUE"""),"Al Arif Shipping Building")</f>
        <v>Al Arif Shipping Building</v>
      </c>
      <c r="C5817" s="2" t="str">
        <f ca="1">IFERROR(__xludf.DUMMYFUNCTION("""COMPUTED_VALUE"""),"Building")</f>
        <v>Building</v>
      </c>
      <c r="D5817" s="2" t="str">
        <f ca="1">IFERROR(__xludf.DUMMYFUNCTION("""COMPUTED_VALUE"""),"Dubai&gt;Deira&gt;Port Saeed&gt;Al Arif Shipping Building")</f>
        <v>Dubai&gt;Deira&gt;Port Saeed&gt;Al Arif Shipping Building</v>
      </c>
      <c r="E5817" s="2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</row>
    <row r="5818" spans="1:26" ht="16.5" x14ac:dyDescent="0.35">
      <c r="A5818" s="2" t="str">
        <f ca="1">IFERROR(__xludf.DUMMYFUNCTION("""COMPUTED_VALUE"""),"Dubai")</f>
        <v>Dubai</v>
      </c>
      <c r="B5818" s="2" t="str">
        <f ca="1">IFERROR(__xludf.DUMMYFUNCTION("""COMPUTED_VALUE"""),"Aykon City Tower A")</f>
        <v>Aykon City Tower A</v>
      </c>
      <c r="C5818" s="2" t="str">
        <f ca="1">IFERROR(__xludf.DUMMYFUNCTION("""COMPUTED_VALUE"""),"Building")</f>
        <v>Building</v>
      </c>
      <c r="D5818" s="2" t="str">
        <f ca="1">IFERROR(__xludf.DUMMYFUNCTION("""COMPUTED_VALUE"""),"Dubai&gt;Business Bay&gt;Aykon City&gt;Aykon City Tower A")</f>
        <v>Dubai&gt;Business Bay&gt;Aykon City&gt;Aykon City Tower A</v>
      </c>
      <c r="E5818" s="2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</row>
    <row r="5819" spans="1:26" ht="16.5" x14ac:dyDescent="0.35">
      <c r="A5819" s="2" t="str">
        <f ca="1">IFERROR(__xludf.DUMMYFUNCTION("""COMPUTED_VALUE"""),"Dubai")</f>
        <v>Dubai</v>
      </c>
      <c r="B5819" s="2" t="str">
        <f ca="1">IFERROR(__xludf.DUMMYFUNCTION("""COMPUTED_VALUE"""),"Executive Tower E")</f>
        <v>Executive Tower E</v>
      </c>
      <c r="C5819" s="2" t="str">
        <f ca="1">IFERROR(__xludf.DUMMYFUNCTION("""COMPUTED_VALUE"""),"Building")</f>
        <v>Building</v>
      </c>
      <c r="D5819" s="2" t="str">
        <f ca="1">IFERROR(__xludf.DUMMYFUNCTION("""COMPUTED_VALUE"""),"Dubai&gt;Business Bay&gt;Executive Towers&gt;Executive Tower E")</f>
        <v>Dubai&gt;Business Bay&gt;Executive Towers&gt;Executive Tower E</v>
      </c>
      <c r="E5819" s="2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</row>
    <row r="5820" spans="1:26" ht="16.5" x14ac:dyDescent="0.35">
      <c r="A5820" s="2" t="str">
        <f ca="1">IFERROR(__xludf.DUMMYFUNCTION("""COMPUTED_VALUE"""),"Dubai")</f>
        <v>Dubai</v>
      </c>
      <c r="B5820" s="2" t="str">
        <f ca="1">IFERROR(__xludf.DUMMYFUNCTION("""COMPUTED_VALUE"""),"Bay Square 12")</f>
        <v>Bay Square 12</v>
      </c>
      <c r="C5820" s="2" t="str">
        <f ca="1">IFERROR(__xludf.DUMMYFUNCTION("""COMPUTED_VALUE"""),"Building")</f>
        <v>Building</v>
      </c>
      <c r="D5820" s="2" t="str">
        <f ca="1">IFERROR(__xludf.DUMMYFUNCTION("""COMPUTED_VALUE"""),"Dubai&gt;Business Bay&gt;Bay Square&gt;Bay Square 12")</f>
        <v>Dubai&gt;Business Bay&gt;Bay Square&gt;Bay Square 12</v>
      </c>
      <c r="E5820" s="2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</row>
    <row r="5821" spans="1:26" ht="16.5" x14ac:dyDescent="0.35">
      <c r="A5821" s="2" t="str">
        <f ca="1">IFERROR(__xludf.DUMMYFUNCTION("""COMPUTED_VALUE"""),"Dubai")</f>
        <v>Dubai</v>
      </c>
      <c r="B5821" s="2" t="str">
        <f ca="1">IFERROR(__xludf.DUMMYFUNCTION("""COMPUTED_VALUE"""),"Park Central")</f>
        <v>Park Central</v>
      </c>
      <c r="C5821" s="2" t="str">
        <f ca="1">IFERROR(__xludf.DUMMYFUNCTION("""COMPUTED_VALUE"""),"Building")</f>
        <v>Building</v>
      </c>
      <c r="D5821" s="2" t="str">
        <f ca="1">IFERROR(__xludf.DUMMYFUNCTION("""COMPUTED_VALUE"""),"Dubai&gt;Business Bay&gt;Park Central")</f>
        <v>Dubai&gt;Business Bay&gt;Park Central</v>
      </c>
      <c r="E5821" s="2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</row>
    <row r="5822" spans="1:26" ht="16.5" x14ac:dyDescent="0.35">
      <c r="A5822" s="2" t="str">
        <f ca="1">IFERROR(__xludf.DUMMYFUNCTION("""COMPUTED_VALUE"""),"Dubai")</f>
        <v>Dubai</v>
      </c>
      <c r="B5822" s="2" t="str">
        <f ca="1">IFERROR(__xludf.DUMMYFUNCTION("""COMPUTED_VALUE"""),"Reva Residences")</f>
        <v>Reva Residences</v>
      </c>
      <c r="C5822" s="2" t="str">
        <f ca="1">IFERROR(__xludf.DUMMYFUNCTION("""COMPUTED_VALUE"""),"Building")</f>
        <v>Building</v>
      </c>
      <c r="D5822" s="2" t="str">
        <f ca="1">IFERROR(__xludf.DUMMYFUNCTION("""COMPUTED_VALUE"""),"Dubai&gt;Business Bay&gt;Reva Residences")</f>
        <v>Dubai&gt;Business Bay&gt;Reva Residences</v>
      </c>
      <c r="E5822" s="2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</row>
    <row r="5823" spans="1:26" ht="16.5" x14ac:dyDescent="0.35">
      <c r="A5823" s="2" t="str">
        <f ca="1">IFERROR(__xludf.DUMMYFUNCTION("""COMPUTED_VALUE"""),"Dubai")</f>
        <v>Dubai</v>
      </c>
      <c r="B5823" s="2" t="str">
        <f ca="1">IFERROR(__xludf.DUMMYFUNCTION("""COMPUTED_VALUE"""),"Tiara United Towers")</f>
        <v>Tiara United Towers</v>
      </c>
      <c r="C5823" s="2" t="str">
        <f ca="1">IFERROR(__xludf.DUMMYFUNCTION("""COMPUTED_VALUE"""),"Cluster")</f>
        <v>Cluster</v>
      </c>
      <c r="D5823" s="2" t="str">
        <f ca="1">IFERROR(__xludf.DUMMYFUNCTION("""COMPUTED_VALUE"""),"Dubai&gt;Business Bay&gt;Tiara United Towers")</f>
        <v>Dubai&gt;Business Bay&gt;Tiara United Towers</v>
      </c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</row>
    <row r="5824" spans="1:26" ht="16.5" x14ac:dyDescent="0.35">
      <c r="A5824" s="2" t="str">
        <f ca="1">IFERROR(__xludf.DUMMYFUNCTION("""COMPUTED_VALUE"""),"Dubai")</f>
        <v>Dubai</v>
      </c>
      <c r="B5824" s="2" t="str">
        <f ca="1">IFERROR(__xludf.DUMMYFUNCTION("""COMPUTED_VALUE"""),"Mayfair Tower")</f>
        <v>Mayfair Tower</v>
      </c>
      <c r="C5824" s="2" t="str">
        <f ca="1">IFERROR(__xludf.DUMMYFUNCTION("""COMPUTED_VALUE"""),"Building")</f>
        <v>Building</v>
      </c>
      <c r="D5824" s="2" t="str">
        <f ca="1">IFERROR(__xludf.DUMMYFUNCTION("""COMPUTED_VALUE"""),"Dubai&gt;Business Bay&gt;Mayfair Tower")</f>
        <v>Dubai&gt;Business Bay&gt;Mayfair Tower</v>
      </c>
      <c r="E5824" s="2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</row>
    <row r="5825" spans="1:26" ht="16.5" x14ac:dyDescent="0.35">
      <c r="A5825" s="2" t="str">
        <f ca="1">IFERROR(__xludf.DUMMYFUNCTION("""COMPUTED_VALUE"""),"Dubai")</f>
        <v>Dubai</v>
      </c>
      <c r="B5825" s="2" t="str">
        <f ca="1">IFERROR(__xludf.DUMMYFUNCTION("""COMPUTED_VALUE"""),"Waterfall Tower")</f>
        <v>Waterfall Tower</v>
      </c>
      <c r="C5825" s="2" t="str">
        <f ca="1">IFERROR(__xludf.DUMMYFUNCTION("""COMPUTED_VALUE"""),"Building")</f>
        <v>Building</v>
      </c>
      <c r="D5825" s="2" t="str">
        <f ca="1">IFERROR(__xludf.DUMMYFUNCTION("""COMPUTED_VALUE"""),"Dubai&gt;Business Bay&gt;Waterfall Tower")</f>
        <v>Dubai&gt;Business Bay&gt;Waterfall Tower</v>
      </c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</row>
    <row r="5826" spans="1:26" ht="16.5" x14ac:dyDescent="0.35">
      <c r="A5826" s="2" t="str">
        <f ca="1">IFERROR(__xludf.DUMMYFUNCTION("""COMPUTED_VALUE"""),"Dubai")</f>
        <v>Dubai</v>
      </c>
      <c r="B5826" s="2" t="str">
        <f ca="1">IFERROR(__xludf.DUMMYFUNCTION("""COMPUTED_VALUE"""),"Bayz 102 by Danube")</f>
        <v>Bayz 102 by Danube</v>
      </c>
      <c r="C5826" s="2" t="str">
        <f ca="1">IFERROR(__xludf.DUMMYFUNCTION("""COMPUTED_VALUE"""),"Building")</f>
        <v>Building</v>
      </c>
      <c r="D5826" s="2" t="str">
        <f ca="1">IFERROR(__xludf.DUMMYFUNCTION("""COMPUTED_VALUE"""),"Dubai&gt;Business Bay&gt;Bayz 102 by Danube")</f>
        <v>Dubai&gt;Business Bay&gt;Bayz 102 by Danube</v>
      </c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</row>
    <row r="5827" spans="1:26" ht="16.5" x14ac:dyDescent="0.35">
      <c r="A5827" s="2" t="str">
        <f ca="1">IFERROR(__xludf.DUMMYFUNCTION("""COMPUTED_VALUE"""),"Dubai")</f>
        <v>Dubai</v>
      </c>
      <c r="B5827" s="2" t="str">
        <f ca="1">IFERROR(__xludf.DUMMYFUNCTION("""COMPUTED_VALUE"""),"Grosvenor Business Bay Tower")</f>
        <v>Grosvenor Business Bay Tower</v>
      </c>
      <c r="C5827" s="2" t="str">
        <f ca="1">IFERROR(__xludf.DUMMYFUNCTION("""COMPUTED_VALUE"""),"Building")</f>
        <v>Building</v>
      </c>
      <c r="D5827" s="2" t="str">
        <f ca="1">IFERROR(__xludf.DUMMYFUNCTION("""COMPUTED_VALUE"""),"Dubai&gt;Business Bay&gt;Grosvenor Business Bay Tower")</f>
        <v>Dubai&gt;Business Bay&gt;Grosvenor Business Bay Tower</v>
      </c>
      <c r="E5827" s="2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</row>
    <row r="5828" spans="1:26" ht="16.5" x14ac:dyDescent="0.35">
      <c r="A5828" s="2" t="str">
        <f ca="1">IFERROR(__xludf.DUMMYFUNCTION("""COMPUTED_VALUE"""),"Dubai")</f>
        <v>Dubai</v>
      </c>
      <c r="B5828" s="2" t="str">
        <f ca="1">IFERROR(__xludf.DUMMYFUNCTION("""COMPUTED_VALUE"""),"District 8K")</f>
        <v>District 8K</v>
      </c>
      <c r="C5828" s="2" t="str">
        <f ca="1">IFERROR(__xludf.DUMMYFUNCTION("""COMPUTED_VALUE"""),"Neighbourhood")</f>
        <v>Neighbourhood</v>
      </c>
      <c r="D5828" s="2" t="str">
        <f ca="1">IFERROR(__xludf.DUMMYFUNCTION("""COMPUTED_VALUE"""),"Dubai&gt;Jumeirah Village Triangle (JVT)&gt;JVT District 8&gt;District 8K")</f>
        <v>Dubai&gt;Jumeirah Village Triangle (JVT)&gt;JVT District 8&gt;District 8K</v>
      </c>
      <c r="E5828" s="2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</row>
    <row r="5829" spans="1:26" ht="16.5" x14ac:dyDescent="0.35">
      <c r="A5829" s="2" t="str">
        <f ca="1">IFERROR(__xludf.DUMMYFUNCTION("""COMPUTED_VALUE"""),"Dubai")</f>
        <v>Dubai</v>
      </c>
      <c r="B5829" s="2" t="str">
        <f ca="1">IFERROR(__xludf.DUMMYFUNCTION("""COMPUTED_VALUE"""),"District 9N")</f>
        <v>District 9N</v>
      </c>
      <c r="C5829" s="2" t="str">
        <f ca="1">IFERROR(__xludf.DUMMYFUNCTION("""COMPUTED_VALUE"""),"Neighbourhood")</f>
        <v>Neighbourhood</v>
      </c>
      <c r="D5829" s="2" t="str">
        <f ca="1">IFERROR(__xludf.DUMMYFUNCTION("""COMPUTED_VALUE"""),"Dubai&gt;Jumeirah Village Triangle (JVT)&gt;JVT District 9&gt;District 9N")</f>
        <v>Dubai&gt;Jumeirah Village Triangle (JVT)&gt;JVT District 9&gt;District 9N</v>
      </c>
      <c r="E5829" s="2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</row>
    <row r="5830" spans="1:26" ht="16.5" x14ac:dyDescent="0.35">
      <c r="A5830" s="2" t="str">
        <f ca="1">IFERROR(__xludf.DUMMYFUNCTION("""COMPUTED_VALUE"""),"Dubai")</f>
        <v>Dubai</v>
      </c>
      <c r="B5830" s="2" t="str">
        <f ca="1">IFERROR(__xludf.DUMMYFUNCTION("""COMPUTED_VALUE"""),"Pomona Residence")</f>
        <v>Pomona Residence</v>
      </c>
      <c r="C5830" s="2" t="str">
        <f ca="1">IFERROR(__xludf.DUMMYFUNCTION("""COMPUTED_VALUE"""),"Neighbourhood")</f>
        <v>Neighbourhood</v>
      </c>
      <c r="D5830" s="2" t="str">
        <f ca="1">IFERROR(__xludf.DUMMYFUNCTION("""COMPUTED_VALUE"""),"Dubai&gt;Jumeirah Village Triangle (JVT)&gt;JVT District 6&gt;Pomona Residence")</f>
        <v>Dubai&gt;Jumeirah Village Triangle (JVT)&gt;JVT District 6&gt;Pomona Residence</v>
      </c>
      <c r="E5830" s="2"/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</row>
    <row r="5831" spans="1:26" ht="16.5" x14ac:dyDescent="0.35">
      <c r="A5831" s="2" t="str">
        <f ca="1">IFERROR(__xludf.DUMMYFUNCTION("""COMPUTED_VALUE"""),"Dubai")</f>
        <v>Dubai</v>
      </c>
      <c r="B5831" s="2" t="str">
        <f ca="1">IFERROR(__xludf.DUMMYFUNCTION("""COMPUTED_VALUE"""),"Treppan Tower")</f>
        <v>Treppan Tower</v>
      </c>
      <c r="C5831" s="2" t="str">
        <f ca="1">IFERROR(__xludf.DUMMYFUNCTION("""COMPUTED_VALUE"""),"Building")</f>
        <v>Building</v>
      </c>
      <c r="D5831" s="2" t="str">
        <f ca="1">IFERROR(__xludf.DUMMYFUNCTION("""COMPUTED_VALUE"""),"Dubai&gt;Jumeirah Village Triangle (JVT)&gt;JVT District 1&gt;Treppan Tower")</f>
        <v>Dubai&gt;Jumeirah Village Triangle (JVT)&gt;JVT District 1&gt;Treppan Tower</v>
      </c>
      <c r="E5831" s="2"/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</row>
    <row r="5832" spans="1:26" ht="16.5" x14ac:dyDescent="0.35">
      <c r="A5832" s="2" t="str">
        <f ca="1">IFERROR(__xludf.DUMMYFUNCTION("""COMPUTED_VALUE"""),"Dubai")</f>
        <v>Dubai</v>
      </c>
      <c r="B5832" s="2" t="str">
        <f ca="1">IFERROR(__xludf.DUMMYFUNCTION("""COMPUTED_VALUE"""),"Leven Residences")</f>
        <v>Leven Residences</v>
      </c>
      <c r="C5832" s="2" t="str">
        <f ca="1">IFERROR(__xludf.DUMMYFUNCTION("""COMPUTED_VALUE"""),"Building")</f>
        <v>Building</v>
      </c>
      <c r="D5832" s="2" t="str">
        <f ca="1">IFERROR(__xludf.DUMMYFUNCTION("""COMPUTED_VALUE"""),"Dubai&gt;Jumeirah Village Triangle (JVT)&gt;JVT District 4&gt;Leven Residences")</f>
        <v>Dubai&gt;Jumeirah Village Triangle (JVT)&gt;JVT District 4&gt;Leven Residences</v>
      </c>
      <c r="E5832" s="2"/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</row>
    <row r="5833" spans="1:26" ht="16.5" x14ac:dyDescent="0.35">
      <c r="A5833" s="2" t="str">
        <f ca="1">IFERROR(__xludf.DUMMYFUNCTION("""COMPUTED_VALUE"""),"Dubai")</f>
        <v>Dubai</v>
      </c>
      <c r="B5833" s="2" t="str">
        <f ca="1">IFERROR(__xludf.DUMMYFUNCTION("""COMPUTED_VALUE"""),"South View School")</f>
        <v>South View School</v>
      </c>
      <c r="C5833" s="2" t="str">
        <f ca="1">IFERROR(__xludf.DUMMYFUNCTION("""COMPUTED_VALUE"""),"School")</f>
        <v>School</v>
      </c>
      <c r="D5833" s="2" t="str">
        <f ca="1">IFERROR(__xludf.DUMMYFUNCTION("""COMPUTED_VALUE"""),"Dubai&gt;Remraam&gt;South View School")</f>
        <v>Dubai&gt;Remraam&gt;South View School</v>
      </c>
      <c r="E5833" s="2"/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</row>
    <row r="5834" spans="1:26" ht="16.5" x14ac:dyDescent="0.35">
      <c r="A5834" s="2" t="str">
        <f ca="1">IFERROR(__xludf.DUMMYFUNCTION("""COMPUTED_VALUE"""),"Dubai")</f>
        <v>Dubai</v>
      </c>
      <c r="B5834" s="2" t="str">
        <f ca="1">IFERROR(__xludf.DUMMYFUNCTION("""COMPUTED_VALUE"""),"Al Ramth 53")</f>
        <v>Al Ramth 53</v>
      </c>
      <c r="C5834" s="2" t="str">
        <f ca="1">IFERROR(__xludf.DUMMYFUNCTION("""COMPUTED_VALUE"""),"Building")</f>
        <v>Building</v>
      </c>
      <c r="D5834" s="2" t="str">
        <f ca="1">IFERROR(__xludf.DUMMYFUNCTION("""COMPUTED_VALUE"""),"Dubai&gt;Remraam&gt;Al Ramth&gt;Al Ramth 53")</f>
        <v>Dubai&gt;Remraam&gt;Al Ramth&gt;Al Ramth 53</v>
      </c>
      <c r="E5834" s="2"/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</row>
    <row r="5835" spans="1:26" ht="16.5" x14ac:dyDescent="0.35">
      <c r="A5835" s="2" t="str">
        <f ca="1">IFERROR(__xludf.DUMMYFUNCTION("""COMPUTED_VALUE"""),"Dubai")</f>
        <v>Dubai</v>
      </c>
      <c r="B5835" s="2" t="str">
        <f ca="1">IFERROR(__xludf.DUMMYFUNCTION("""COMPUTED_VALUE"""),"Al Thamam 53")</f>
        <v>Al Thamam 53</v>
      </c>
      <c r="C5835" s="2" t="str">
        <f ca="1">IFERROR(__xludf.DUMMYFUNCTION("""COMPUTED_VALUE"""),"Building")</f>
        <v>Building</v>
      </c>
      <c r="D5835" s="2" t="str">
        <f ca="1">IFERROR(__xludf.DUMMYFUNCTION("""COMPUTED_VALUE"""),"Dubai&gt;Remraam&gt;Al Thamam&gt;Al Thamam 53")</f>
        <v>Dubai&gt;Remraam&gt;Al Thamam&gt;Al Thamam 53</v>
      </c>
      <c r="E5835" s="2"/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</row>
    <row r="5836" spans="1:26" ht="16.5" x14ac:dyDescent="0.35">
      <c r="A5836" s="2" t="str">
        <f ca="1">IFERROR(__xludf.DUMMYFUNCTION("""COMPUTED_VALUE"""),"Dubai")</f>
        <v>Dubai</v>
      </c>
      <c r="B5836" s="2" t="str">
        <f ca="1">IFERROR(__xludf.DUMMYFUNCTION("""COMPUTED_VALUE"""),"Dune Residency")</f>
        <v>Dune Residency</v>
      </c>
      <c r="C5836" s="2" t="str">
        <f ca="1">IFERROR(__xludf.DUMMYFUNCTION("""COMPUTED_VALUE"""),"Building")</f>
        <v>Building</v>
      </c>
      <c r="D5836" s="2" t="str">
        <f ca="1">IFERROR(__xludf.DUMMYFUNCTION("""COMPUTED_VALUE"""),"Dubai&gt;Jumeirah Village Circle (JVC)&gt;JVC District 17&gt;Dune Residency")</f>
        <v>Dubai&gt;Jumeirah Village Circle (JVC)&gt;JVC District 17&gt;Dune Residency</v>
      </c>
      <c r="E5836" s="2"/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</row>
    <row r="5837" spans="1:26" ht="16.5" x14ac:dyDescent="0.35">
      <c r="A5837" s="2" t="str">
        <f ca="1">IFERROR(__xludf.DUMMYFUNCTION("""COMPUTED_VALUE"""),"Dubai")</f>
        <v>Dubai</v>
      </c>
      <c r="B5837" s="2" t="str">
        <f ca="1">IFERROR(__xludf.DUMMYFUNCTION("""COMPUTED_VALUE"""),"Westar Crest")</f>
        <v>Westar Crest</v>
      </c>
      <c r="C5837" s="2" t="str">
        <f ca="1">IFERROR(__xludf.DUMMYFUNCTION("""COMPUTED_VALUE"""),"Neighbourhood")</f>
        <v>Neighbourhood</v>
      </c>
      <c r="D5837" s="2" t="str">
        <f ca="1">IFERROR(__xludf.DUMMYFUNCTION("""COMPUTED_VALUE"""),"Dubai&gt;Jumeirah Village Circle (JVC)&gt;JVC District 12&gt;Westar Crest")</f>
        <v>Dubai&gt;Jumeirah Village Circle (JVC)&gt;JVC District 12&gt;Westar Crest</v>
      </c>
      <c r="E5837" s="2"/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</row>
    <row r="5838" spans="1:26" ht="16.5" x14ac:dyDescent="0.35">
      <c r="A5838" s="2" t="str">
        <f ca="1">IFERROR(__xludf.DUMMYFUNCTION("""COMPUTED_VALUE"""),"Dubai")</f>
        <v>Dubai</v>
      </c>
      <c r="B5838" s="2" t="str">
        <f ca="1">IFERROR(__xludf.DUMMYFUNCTION("""COMPUTED_VALUE"""),"Rose 2")</f>
        <v>Rose 2</v>
      </c>
      <c r="C5838" s="2" t="str">
        <f ca="1">IFERROR(__xludf.DUMMYFUNCTION("""COMPUTED_VALUE"""),"Building")</f>
        <v>Building</v>
      </c>
      <c r="D5838" s="2" t="str">
        <f ca="1">IFERROR(__xludf.DUMMYFUNCTION("""COMPUTED_VALUE"""),"Dubai&gt;Jumeirah Village Circle (JVC)&gt;JVC District 12&gt;Emirates Gardens&gt;Rose 2")</f>
        <v>Dubai&gt;Jumeirah Village Circle (JVC)&gt;JVC District 12&gt;Emirates Gardens&gt;Rose 2</v>
      </c>
      <c r="E5838" s="2"/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</row>
    <row r="5839" spans="1:26" ht="16.5" x14ac:dyDescent="0.35">
      <c r="A5839" s="2" t="str">
        <f ca="1">IFERROR(__xludf.DUMMYFUNCTION("""COMPUTED_VALUE"""),"Dubai")</f>
        <v>Dubai</v>
      </c>
      <c r="B5839" s="2" t="str">
        <f ca="1">IFERROR(__xludf.DUMMYFUNCTION("""COMPUTED_VALUE"""),"Maison Elysee")</f>
        <v>Maison Elysee</v>
      </c>
      <c r="C5839" s="2" t="str">
        <f ca="1">IFERROR(__xludf.DUMMYFUNCTION("""COMPUTED_VALUE"""),"Cluster")</f>
        <v>Cluster</v>
      </c>
      <c r="D5839" s="2" t="str">
        <f ca="1">IFERROR(__xludf.DUMMYFUNCTION("""COMPUTED_VALUE"""),"Dubai&gt;Jumeirah Village Circle (JVC)&gt;JVC District 12&gt;Maison Elysee")</f>
        <v>Dubai&gt;Jumeirah Village Circle (JVC)&gt;JVC District 12&gt;Maison Elysee</v>
      </c>
      <c r="E5839" s="2"/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</row>
    <row r="5840" spans="1:26" ht="16.5" x14ac:dyDescent="0.35">
      <c r="A5840" s="2" t="str">
        <f ca="1">IFERROR(__xludf.DUMMYFUNCTION("""COMPUTED_VALUE"""),"Dubai")</f>
        <v>Dubai</v>
      </c>
      <c r="B5840" s="2" t="str">
        <f ca="1">IFERROR(__xludf.DUMMYFUNCTION("""COMPUTED_VALUE"""),"Botanica")</f>
        <v>Botanica</v>
      </c>
      <c r="C5840" s="2" t="str">
        <f ca="1">IFERROR(__xludf.DUMMYFUNCTION("""COMPUTED_VALUE"""),"Building")</f>
        <v>Building</v>
      </c>
      <c r="D5840" s="2" t="str">
        <f ca="1">IFERROR(__xludf.DUMMYFUNCTION("""COMPUTED_VALUE"""),"Dubai&gt;Jumeirah Village Circle (JVC)&gt;JVC District 13&gt;Botanica")</f>
        <v>Dubai&gt;Jumeirah Village Circle (JVC)&gt;JVC District 13&gt;Botanica</v>
      </c>
      <c r="E5840" s="2"/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</row>
    <row r="5841" spans="1:26" ht="16.5" x14ac:dyDescent="0.35">
      <c r="A5841" s="2" t="str">
        <f ca="1">IFERROR(__xludf.DUMMYFUNCTION("""COMPUTED_VALUE"""),"Dubai")</f>
        <v>Dubai</v>
      </c>
      <c r="B5841" s="2" t="str">
        <f ca="1">IFERROR(__xludf.DUMMYFUNCTION("""COMPUTED_VALUE"""),"Marwa Homes 2")</f>
        <v>Marwa Homes 2</v>
      </c>
      <c r="C5841" s="2" t="str">
        <f ca="1">IFERROR(__xludf.DUMMYFUNCTION("""COMPUTED_VALUE"""),"Building")</f>
        <v>Building</v>
      </c>
      <c r="D5841" s="2" t="str">
        <f ca="1">IFERROR(__xludf.DUMMYFUNCTION("""COMPUTED_VALUE"""),"Dubai&gt;Jumeirah Village Circle (JVC)&gt;JVC District 13&gt;Marwa Homes 2")</f>
        <v>Dubai&gt;Jumeirah Village Circle (JVC)&gt;JVC District 13&gt;Marwa Homes 2</v>
      </c>
      <c r="E5841" s="2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</row>
    <row r="5842" spans="1:26" ht="16.5" x14ac:dyDescent="0.35">
      <c r="A5842" s="2" t="str">
        <f ca="1">IFERROR(__xludf.DUMMYFUNCTION("""COMPUTED_VALUE"""),"Dubai")</f>
        <v>Dubai</v>
      </c>
      <c r="B5842" s="2" t="str">
        <f ca="1">IFERROR(__xludf.DUMMYFUNCTION("""COMPUTED_VALUE"""),"Midora Residences")</f>
        <v>Midora Residences</v>
      </c>
      <c r="C5842" s="2" t="str">
        <f ca="1">IFERROR(__xludf.DUMMYFUNCTION("""COMPUTED_VALUE"""),"Building")</f>
        <v>Building</v>
      </c>
      <c r="D5842" s="2" t="str">
        <f ca="1">IFERROR(__xludf.DUMMYFUNCTION("""COMPUTED_VALUE"""),"Dubai&gt;Jumeirah Village Circle (JVC)&gt;JVC District 13&gt;Midora Residences")</f>
        <v>Dubai&gt;Jumeirah Village Circle (JVC)&gt;JVC District 13&gt;Midora Residences</v>
      </c>
      <c r="E5842" s="2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</row>
    <row r="5843" spans="1:26" ht="16.5" x14ac:dyDescent="0.35">
      <c r="A5843" s="2" t="str">
        <f ca="1">IFERROR(__xludf.DUMMYFUNCTION("""COMPUTED_VALUE"""),"Dubai")</f>
        <v>Dubai</v>
      </c>
      <c r="B5843" s="2" t="str">
        <f ca="1">IFERROR(__xludf.DUMMYFUNCTION("""COMPUTED_VALUE"""),"Westwood Grande 2 by Imtiaz")</f>
        <v>Westwood Grande 2 by Imtiaz</v>
      </c>
      <c r="C5843" s="2" t="str">
        <f ca="1">IFERROR(__xludf.DUMMYFUNCTION("""COMPUTED_VALUE"""),"Building")</f>
        <v>Building</v>
      </c>
      <c r="D5843" s="2" t="str">
        <f ca="1">IFERROR(__xludf.DUMMYFUNCTION("""COMPUTED_VALUE"""),"Dubai&gt;Jumeirah Village Circle (JVC)&gt;JVC District 18&gt;Westwood Grande 2 by Imtiaz")</f>
        <v>Dubai&gt;Jumeirah Village Circle (JVC)&gt;JVC District 18&gt;Westwood Grande 2 by Imtiaz</v>
      </c>
      <c r="E5843" s="2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</row>
    <row r="5844" spans="1:26" ht="16.5" x14ac:dyDescent="0.35">
      <c r="A5844" s="2" t="str">
        <f ca="1">IFERROR(__xludf.DUMMYFUNCTION("""COMPUTED_VALUE"""),"Dubai")</f>
        <v>Dubai</v>
      </c>
      <c r="B5844" s="2" t="str">
        <f ca="1">IFERROR(__xludf.DUMMYFUNCTION("""COMPUTED_VALUE"""),"Tasmeer Residence")</f>
        <v>Tasmeer Residence</v>
      </c>
      <c r="C5844" s="2" t="str">
        <f ca="1">IFERROR(__xludf.DUMMYFUNCTION("""COMPUTED_VALUE"""),"Building")</f>
        <v>Building</v>
      </c>
      <c r="D5844" s="2" t="str">
        <f ca="1">IFERROR(__xludf.DUMMYFUNCTION("""COMPUTED_VALUE"""),"Dubai&gt;Jumeirah Village Circle (JVC)&gt;JVC District 10&gt;Tasmeer Residence")</f>
        <v>Dubai&gt;Jumeirah Village Circle (JVC)&gt;JVC District 10&gt;Tasmeer Residence</v>
      </c>
      <c r="E5844" s="2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</row>
    <row r="5845" spans="1:26" ht="16.5" x14ac:dyDescent="0.35">
      <c r="A5845" s="2" t="str">
        <f ca="1">IFERROR(__xludf.DUMMYFUNCTION("""COMPUTED_VALUE"""),"Dubai")</f>
        <v>Dubai</v>
      </c>
      <c r="B5845" s="2" t="str">
        <f ca="1">IFERROR(__xludf.DUMMYFUNCTION("""COMPUTED_VALUE"""),"Siena 1")</f>
        <v>Siena 1</v>
      </c>
      <c r="C5845" s="2" t="str">
        <f ca="1">IFERROR(__xludf.DUMMYFUNCTION("""COMPUTED_VALUE"""),"Building")</f>
        <v>Building</v>
      </c>
      <c r="D5845" s="2" t="str">
        <f ca="1">IFERROR(__xludf.DUMMYFUNCTION("""COMPUTED_VALUE"""),"Dubai&gt;Jumeirah Village Circle (JVC)&gt;JVC District 10&gt;Tuscan Residence&gt;Siena&gt;Siena 1")</f>
        <v>Dubai&gt;Jumeirah Village Circle (JVC)&gt;JVC District 10&gt;Tuscan Residence&gt;Siena&gt;Siena 1</v>
      </c>
      <c r="E5845" s="2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</row>
    <row r="5846" spans="1:26" ht="16.5" x14ac:dyDescent="0.35">
      <c r="A5846" s="2" t="str">
        <f ca="1">IFERROR(__xludf.DUMMYFUNCTION("""COMPUTED_VALUE"""),"Dubai")</f>
        <v>Dubai</v>
      </c>
      <c r="B5846" s="2" t="str">
        <f ca="1">IFERROR(__xludf.DUMMYFUNCTION("""COMPUTED_VALUE"""),"Elitz 2 by Danube")</f>
        <v>Elitz 2 by Danube</v>
      </c>
      <c r="C5846" s="2" t="str">
        <f ca="1">IFERROR(__xludf.DUMMYFUNCTION("""COMPUTED_VALUE"""),"Cluster")</f>
        <v>Cluster</v>
      </c>
      <c r="D5846" s="2" t="str">
        <f ca="1">IFERROR(__xludf.DUMMYFUNCTION("""COMPUTED_VALUE"""),"Dubai&gt;Jumeirah Village Circle (JVC)&gt;JVC District 10&gt;Elitz 2 by Danube")</f>
        <v>Dubai&gt;Jumeirah Village Circle (JVC)&gt;JVC District 10&gt;Elitz 2 by Danube</v>
      </c>
      <c r="E5846" s="2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</row>
    <row r="5847" spans="1:26" ht="16.5" x14ac:dyDescent="0.35">
      <c r="A5847" s="2" t="str">
        <f ca="1">IFERROR(__xludf.DUMMYFUNCTION("""COMPUTED_VALUE"""),"Dubai")</f>
        <v>Dubai</v>
      </c>
      <c r="B5847" s="2" t="str">
        <f ca="1">IFERROR(__xludf.DUMMYFUNCTION("""COMPUTED_VALUE"""),"Alta V1ew")</f>
        <v>Alta V1ew</v>
      </c>
      <c r="C5847" s="2" t="str">
        <f ca="1">IFERROR(__xludf.DUMMYFUNCTION("""COMPUTED_VALUE"""),"Building")</f>
        <v>Building</v>
      </c>
      <c r="D5847" s="2" t="str">
        <f ca="1">IFERROR(__xludf.DUMMYFUNCTION("""COMPUTED_VALUE"""),"Dubai&gt;Jumeirah Village Circle (JVC)&gt;JVC District 10&gt;Alta V1ew")</f>
        <v>Dubai&gt;Jumeirah Village Circle (JVC)&gt;JVC District 10&gt;Alta V1ew</v>
      </c>
      <c r="E5847" s="2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</row>
    <row r="5848" spans="1:26" ht="16.5" x14ac:dyDescent="0.35">
      <c r="A5848" s="2" t="str">
        <f ca="1">IFERROR(__xludf.DUMMYFUNCTION("""COMPUTED_VALUE"""),"Dubai")</f>
        <v>Dubai</v>
      </c>
      <c r="B5848" s="2" t="str">
        <f ca="1">IFERROR(__xludf.DUMMYFUNCTION("""COMPUTED_VALUE"""),"Aveline Residences")</f>
        <v>Aveline Residences</v>
      </c>
      <c r="C5848" s="2" t="str">
        <f ca="1">IFERROR(__xludf.DUMMYFUNCTION("""COMPUTED_VALUE"""),"Building")</f>
        <v>Building</v>
      </c>
      <c r="D5848" s="2" t="str">
        <f ca="1">IFERROR(__xludf.DUMMYFUNCTION("""COMPUTED_VALUE"""),"Dubai&gt;Jumeirah Village Circle (JVC)&gt;JVC District 16&gt;Aveline Residences")</f>
        <v>Dubai&gt;Jumeirah Village Circle (JVC)&gt;JVC District 16&gt;Aveline Residences</v>
      </c>
      <c r="E5848" s="2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</row>
    <row r="5849" spans="1:26" ht="16.5" x14ac:dyDescent="0.35">
      <c r="A5849" s="2" t="str">
        <f ca="1">IFERROR(__xludf.DUMMYFUNCTION("""COMPUTED_VALUE"""),"Dubai")</f>
        <v>Dubai</v>
      </c>
      <c r="B5849" s="2" t="str">
        <f ca="1">IFERROR(__xludf.DUMMYFUNCTION("""COMPUTED_VALUE"""),"Sydney Villas")</f>
        <v>Sydney Villas</v>
      </c>
      <c r="C5849" s="2" t="str">
        <f ca="1">IFERROR(__xludf.DUMMYFUNCTION("""COMPUTED_VALUE"""),"Neighbourhood")</f>
        <v>Neighbourhood</v>
      </c>
      <c r="D5849" s="2" t="str">
        <f ca="1">IFERROR(__xludf.DUMMYFUNCTION("""COMPUTED_VALUE"""),"Dubai&gt;Jumeirah Village Circle (JVC)&gt;JVC District 15&gt;Sydney Villas")</f>
        <v>Dubai&gt;Jumeirah Village Circle (JVC)&gt;JVC District 15&gt;Sydney Villas</v>
      </c>
      <c r="E5849" s="2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</row>
    <row r="5850" spans="1:26" ht="16.5" x14ac:dyDescent="0.35">
      <c r="A5850" s="2" t="str">
        <f ca="1">IFERROR(__xludf.DUMMYFUNCTION("""COMPUTED_VALUE"""),"Dubai")</f>
        <v>Dubai</v>
      </c>
      <c r="B5850" s="2" t="str">
        <f ca="1">IFERROR(__xludf.DUMMYFUNCTION("""COMPUTED_VALUE"""),"One Park Central")</f>
        <v>One Park Central</v>
      </c>
      <c r="C5850" s="2" t="str">
        <f ca="1">IFERROR(__xludf.DUMMYFUNCTION("""COMPUTED_VALUE"""),"Building")</f>
        <v>Building</v>
      </c>
      <c r="D5850" s="2" t="str">
        <f ca="1">IFERROR(__xludf.DUMMYFUNCTION("""COMPUTED_VALUE"""),"Dubai&gt;Jumeirah Village Circle (JVC)&gt;JVC District 15&gt;One Park Central")</f>
        <v>Dubai&gt;Jumeirah Village Circle (JVC)&gt;JVC District 15&gt;One Park Central</v>
      </c>
      <c r="E5850" s="2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</row>
    <row r="5851" spans="1:26" ht="16.5" x14ac:dyDescent="0.35">
      <c r="A5851" s="2" t="str">
        <f ca="1">IFERROR(__xludf.DUMMYFUNCTION("""COMPUTED_VALUE"""),"Dubai")</f>
        <v>Dubai</v>
      </c>
      <c r="B5851" s="2" t="str">
        <f ca="1">IFERROR(__xludf.DUMMYFUNCTION("""COMPUTED_VALUE"""),"Rose 10")</f>
        <v>Rose 10</v>
      </c>
      <c r="C5851" s="2" t="str">
        <f ca="1">IFERROR(__xludf.DUMMYFUNCTION("""COMPUTED_VALUE"""),"Building")</f>
        <v>Building</v>
      </c>
      <c r="D5851" s="2" t="str">
        <f ca="1">IFERROR(__xludf.DUMMYFUNCTION("""COMPUTED_VALUE"""),"Dubai&gt;Jumeirah Village Circle (JVC)&gt;JVC District 11&gt;Rose 10")</f>
        <v>Dubai&gt;Jumeirah Village Circle (JVC)&gt;JVC District 11&gt;Rose 10</v>
      </c>
      <c r="E5851" s="2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</row>
    <row r="5852" spans="1:26" ht="16.5" x14ac:dyDescent="0.35">
      <c r="A5852" s="2" t="str">
        <f ca="1">IFERROR(__xludf.DUMMYFUNCTION("""COMPUTED_VALUE"""),"Dubai")</f>
        <v>Dubai</v>
      </c>
      <c r="B5852" s="2" t="str">
        <f ca="1">IFERROR(__xludf.DUMMYFUNCTION("""COMPUTED_VALUE"""),"Westar Villas")</f>
        <v>Westar Villas</v>
      </c>
      <c r="C5852" s="2" t="str">
        <f ca="1">IFERROR(__xludf.DUMMYFUNCTION("""COMPUTED_VALUE"""),"Neighbourhood")</f>
        <v>Neighbourhood</v>
      </c>
      <c r="D5852" s="2" t="str">
        <f ca="1">IFERROR(__xludf.DUMMYFUNCTION("""COMPUTED_VALUE"""),"Dubai&gt;Jumeirah Village Circle (JVC)&gt;JVC District 11&gt;Westar Villas")</f>
        <v>Dubai&gt;Jumeirah Village Circle (JVC)&gt;JVC District 11&gt;Westar Villas</v>
      </c>
      <c r="E5852" s="2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</row>
    <row r="5853" spans="1:26" ht="16.5" x14ac:dyDescent="0.35">
      <c r="A5853" s="2" t="str">
        <f ca="1">IFERROR(__xludf.DUMMYFUNCTION("""COMPUTED_VALUE"""),"Dubai")</f>
        <v>Dubai</v>
      </c>
      <c r="B5853" s="2" t="str">
        <f ca="1">IFERROR(__xludf.DUMMYFUNCTION("""COMPUTED_VALUE"""),"H Three By Aurora")</f>
        <v>H Three By Aurora</v>
      </c>
      <c r="C5853" s="2" t="str">
        <f ca="1">IFERROR(__xludf.DUMMYFUNCTION("""COMPUTED_VALUE"""),"Building")</f>
        <v>Building</v>
      </c>
      <c r="D5853" s="2" t="str">
        <f ca="1">IFERROR(__xludf.DUMMYFUNCTION("""COMPUTED_VALUE"""),"Dubai&gt;Jumeirah Village Circle (JVC)&gt;JVC District 11&gt;H Three By Aurora")</f>
        <v>Dubai&gt;Jumeirah Village Circle (JVC)&gt;JVC District 11&gt;H Three By Aurora</v>
      </c>
      <c r="E5853" s="2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</row>
    <row r="5854" spans="1:26" ht="16.5" x14ac:dyDescent="0.35">
      <c r="A5854" s="2" t="str">
        <f ca="1">IFERROR(__xludf.DUMMYFUNCTION("""COMPUTED_VALUE"""),"Dubai")</f>
        <v>Dubai</v>
      </c>
      <c r="B5854" s="2" t="str">
        <f ca="1">IFERROR(__xludf.DUMMYFUNCTION("""COMPUTED_VALUE"""),"The Weave")</f>
        <v>The Weave</v>
      </c>
      <c r="C5854" s="2" t="str">
        <f ca="1">IFERROR(__xludf.DUMMYFUNCTION("""COMPUTED_VALUE"""),"Building")</f>
        <v>Building</v>
      </c>
      <c r="D5854" s="2" t="str">
        <f ca="1">IFERROR(__xludf.DUMMYFUNCTION("""COMPUTED_VALUE"""),"Dubai&gt;Jumeirah Village Circle (JVC)&gt;JVC District 11&gt;The Weave")</f>
        <v>Dubai&gt;Jumeirah Village Circle (JVC)&gt;JVC District 11&gt;The Weave</v>
      </c>
      <c r="E5854" s="2"/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</row>
    <row r="5855" spans="1:26" ht="16.5" x14ac:dyDescent="0.35">
      <c r="A5855" s="2" t="str">
        <f ca="1">IFERROR(__xludf.DUMMYFUNCTION("""COMPUTED_VALUE"""),"Dubai")</f>
        <v>Dubai</v>
      </c>
      <c r="B5855" s="2" t="str">
        <f ca="1">IFERROR(__xludf.DUMMYFUNCTION("""COMPUTED_VALUE"""),"Hyati Residence")</f>
        <v>Hyati Residence</v>
      </c>
      <c r="C5855" s="2" t="str">
        <f ca="1">IFERROR(__xludf.DUMMYFUNCTION("""COMPUTED_VALUE"""),"Building")</f>
        <v>Building</v>
      </c>
      <c r="D5855" s="2" t="str">
        <f ca="1">IFERROR(__xludf.DUMMYFUNCTION("""COMPUTED_VALUE"""),"Dubai&gt;Jumeirah Village Circle (JVC)&gt;JVC District 14&gt;Hyati Residence")</f>
        <v>Dubai&gt;Jumeirah Village Circle (JVC)&gt;JVC District 14&gt;Hyati Residence</v>
      </c>
      <c r="E5855" s="2"/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</row>
    <row r="5856" spans="1:26" ht="16.5" x14ac:dyDescent="0.35">
      <c r="A5856" s="2" t="str">
        <f ca="1">IFERROR(__xludf.DUMMYFUNCTION("""COMPUTED_VALUE"""),"Dubai")</f>
        <v>Dubai</v>
      </c>
      <c r="B5856" s="2" t="str">
        <f ca="1">IFERROR(__xludf.DUMMYFUNCTION("""COMPUTED_VALUE"""),"Atwaar Villas")</f>
        <v>Atwaar Villas</v>
      </c>
      <c r="C5856" s="2" t="str">
        <f ca="1">IFERROR(__xludf.DUMMYFUNCTION("""COMPUTED_VALUE"""),"Neighbourhood")</f>
        <v>Neighbourhood</v>
      </c>
      <c r="D5856" s="2" t="str">
        <f ca="1">IFERROR(__xludf.DUMMYFUNCTION("""COMPUTED_VALUE"""),"Dubai&gt;Jumeirah Village Circle (JVC)&gt;JVC District 14&gt;Atwaar Villas")</f>
        <v>Dubai&gt;Jumeirah Village Circle (JVC)&gt;JVC District 14&gt;Atwaar Villas</v>
      </c>
      <c r="E5856" s="2"/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</row>
    <row r="5857" spans="1:26" ht="16.5" x14ac:dyDescent="0.35">
      <c r="A5857" s="2" t="str">
        <f ca="1">IFERROR(__xludf.DUMMYFUNCTION("""COMPUTED_VALUE"""),"Dubai")</f>
        <v>Dubai</v>
      </c>
      <c r="B5857" s="2" t="str">
        <f ca="1">IFERROR(__xludf.DUMMYFUNCTION("""COMPUTED_VALUE"""),"Safeer Residence 3")</f>
        <v>Safeer Residence 3</v>
      </c>
      <c r="C5857" s="2" t="str">
        <f ca="1">IFERROR(__xludf.DUMMYFUNCTION("""COMPUTED_VALUE"""),"Building")</f>
        <v>Building</v>
      </c>
      <c r="D5857" s="2" t="str">
        <f ca="1">IFERROR(__xludf.DUMMYFUNCTION("""COMPUTED_VALUE"""),"Dubai&gt;Dubai Land Residence Complex&gt;Safeer Residence 3")</f>
        <v>Dubai&gt;Dubai Land Residence Complex&gt;Safeer Residence 3</v>
      </c>
      <c r="E5857" s="2"/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</row>
    <row r="5858" spans="1:26" ht="16.5" x14ac:dyDescent="0.35">
      <c r="A5858" s="2" t="str">
        <f ca="1">IFERROR(__xludf.DUMMYFUNCTION("""COMPUTED_VALUE"""),"Dubai")</f>
        <v>Dubai</v>
      </c>
      <c r="B5858" s="2" t="str">
        <f ca="1">IFERROR(__xludf.DUMMYFUNCTION("""COMPUTED_VALUE"""),"Ajmal Sarah Tower")</f>
        <v>Ajmal Sarah Tower</v>
      </c>
      <c r="C5858" s="2" t="str">
        <f ca="1">IFERROR(__xludf.DUMMYFUNCTION("""COMPUTED_VALUE"""),"Building")</f>
        <v>Building</v>
      </c>
      <c r="D5858" s="2" t="str">
        <f ca="1">IFERROR(__xludf.DUMMYFUNCTION("""COMPUTED_VALUE"""),"Dubai&gt;Dubai Land Residence Complex&gt;Ajmal Sarah Tower")</f>
        <v>Dubai&gt;Dubai Land Residence Complex&gt;Ajmal Sarah Tower</v>
      </c>
      <c r="E5858" s="2"/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</row>
    <row r="5859" spans="1:26" ht="16.5" x14ac:dyDescent="0.35">
      <c r="A5859" s="2" t="str">
        <f ca="1">IFERROR(__xludf.DUMMYFUNCTION("""COMPUTED_VALUE"""),"Dubai")</f>
        <v>Dubai</v>
      </c>
      <c r="B5859" s="2" t="str">
        <f ca="1">IFERROR(__xludf.DUMMYFUNCTION("""COMPUTED_VALUE"""),"Excel Residence")</f>
        <v>Excel Residence</v>
      </c>
      <c r="C5859" s="2" t="str">
        <f ca="1">IFERROR(__xludf.DUMMYFUNCTION("""COMPUTED_VALUE"""),"Building")</f>
        <v>Building</v>
      </c>
      <c r="D5859" s="2" t="str">
        <f ca="1">IFERROR(__xludf.DUMMYFUNCTION("""COMPUTED_VALUE"""),"Dubai&gt;Dubai Land Residence Complex&gt;Excel Residence")</f>
        <v>Dubai&gt;Dubai Land Residence Complex&gt;Excel Residence</v>
      </c>
      <c r="E5859" s="2"/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</row>
    <row r="5860" spans="1:26" ht="16.5" x14ac:dyDescent="0.35">
      <c r="A5860" s="2" t="str">
        <f ca="1">IFERROR(__xludf.DUMMYFUNCTION("""COMPUTED_VALUE"""),"Dubai")</f>
        <v>Dubai</v>
      </c>
      <c r="B5860" s="2" t="str">
        <f ca="1">IFERROR(__xludf.DUMMYFUNCTION("""COMPUTED_VALUE"""),"Samana Boulevard Heights")</f>
        <v>Samana Boulevard Heights</v>
      </c>
      <c r="C5860" s="2" t="str">
        <f ca="1">IFERROR(__xludf.DUMMYFUNCTION("""COMPUTED_VALUE"""),"Building")</f>
        <v>Building</v>
      </c>
      <c r="D5860" s="2" t="str">
        <f ca="1">IFERROR(__xludf.DUMMYFUNCTION("""COMPUTED_VALUE"""),"Dubai&gt;Dubai Land Residence Complex&gt;Samana Boulevard Heights")</f>
        <v>Dubai&gt;Dubai Land Residence Complex&gt;Samana Boulevard Heights</v>
      </c>
      <c r="E5860" s="2"/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</row>
    <row r="5861" spans="1:26" ht="16.5" x14ac:dyDescent="0.35">
      <c r="A5861" s="2" t="str">
        <f ca="1">IFERROR(__xludf.DUMMYFUNCTION("""COMPUTED_VALUE"""),"Dubai")</f>
        <v>Dubai</v>
      </c>
      <c r="B5861" s="2" t="str">
        <f ca="1">IFERROR(__xludf.DUMMYFUNCTION("""COMPUTED_VALUE"""),"Solanki One")</f>
        <v>Solanki One</v>
      </c>
      <c r="C5861" s="2" t="str">
        <f ca="1">IFERROR(__xludf.DUMMYFUNCTION("""COMPUTED_VALUE"""),"Building")</f>
        <v>Building</v>
      </c>
      <c r="D5861" s="2" t="str">
        <f ca="1">IFERROR(__xludf.DUMMYFUNCTION("""COMPUTED_VALUE"""),"Dubai&gt;Dubai Land Residence Complex&gt;Solanki One")</f>
        <v>Dubai&gt;Dubai Land Residence Complex&gt;Solanki One</v>
      </c>
      <c r="E5861" s="2"/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</row>
    <row r="5862" spans="1:26" ht="16.5" x14ac:dyDescent="0.35">
      <c r="A5862" s="2" t="str">
        <f ca="1">IFERROR(__xludf.DUMMYFUNCTION("""COMPUTED_VALUE"""),"Dubai")</f>
        <v>Dubai</v>
      </c>
      <c r="B5862" s="2" t="str">
        <f ca="1">IFERROR(__xludf.DUMMYFUNCTION("""COMPUTED_VALUE"""),"Makeen 9 Villa Compound")</f>
        <v>Makeen 9 Villa Compound</v>
      </c>
      <c r="C5862" s="2" t="str">
        <f ca="1">IFERROR(__xludf.DUMMYFUNCTION("""COMPUTED_VALUE"""),"Neighbourhood")</f>
        <v>Neighbourhood</v>
      </c>
      <c r="D5862" s="2" t="str">
        <f ca="1">IFERROR(__xludf.DUMMYFUNCTION("""COMPUTED_VALUE"""),"Dubai&gt;Mirdif&gt;Makeen 9 Villa Compound")</f>
        <v>Dubai&gt;Mirdif&gt;Makeen 9 Villa Compound</v>
      </c>
      <c r="E5862" s="2"/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</row>
    <row r="5863" spans="1:26" ht="16.5" x14ac:dyDescent="0.35">
      <c r="A5863" s="2" t="str">
        <f ca="1">IFERROR(__xludf.DUMMYFUNCTION("""COMPUTED_VALUE"""),"Dubai")</f>
        <v>Dubai</v>
      </c>
      <c r="B5863" s="2" t="str">
        <f ca="1">IFERROR(__xludf.DUMMYFUNCTION("""COMPUTED_VALUE"""),"Bin Hindi Building")</f>
        <v>Bin Hindi Building</v>
      </c>
      <c r="C5863" s="2" t="str">
        <f ca="1">IFERROR(__xludf.DUMMYFUNCTION("""COMPUTED_VALUE"""),"Building")</f>
        <v>Building</v>
      </c>
      <c r="D5863" s="2" t="str">
        <f ca="1">IFERROR(__xludf.DUMMYFUNCTION("""COMPUTED_VALUE"""),"Dubai&gt;Mirdif&gt;Bin Hindi Building")</f>
        <v>Dubai&gt;Mirdif&gt;Bin Hindi Building</v>
      </c>
      <c r="E5863" s="2"/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</row>
    <row r="5864" spans="1:26" ht="16.5" x14ac:dyDescent="0.35">
      <c r="A5864" s="2" t="str">
        <f ca="1">IFERROR(__xludf.DUMMYFUNCTION("""COMPUTED_VALUE"""),"Dubai")</f>
        <v>Dubai</v>
      </c>
      <c r="B5864" s="2" t="str">
        <f ca="1">IFERROR(__xludf.DUMMYFUNCTION("""COMPUTED_VALUE"""),"Maeen")</f>
        <v>Maeen</v>
      </c>
      <c r="C5864" s="2" t="str">
        <f ca="1">IFERROR(__xludf.DUMMYFUNCTION("""COMPUTED_VALUE"""),"Neighbourhood")</f>
        <v>Neighbourhood</v>
      </c>
      <c r="D5864" s="2" t="str">
        <f ca="1">IFERROR(__xludf.DUMMYFUNCTION("""COMPUTED_VALUE"""),"Dubai&gt;The Lakes&gt;Maeen")</f>
        <v>Dubai&gt;The Lakes&gt;Maeen</v>
      </c>
      <c r="E5864" s="2"/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</row>
    <row r="5865" spans="1:26" ht="16.5" x14ac:dyDescent="0.35">
      <c r="A5865" s="2" t="str">
        <f ca="1">IFERROR(__xludf.DUMMYFUNCTION("""COMPUTED_VALUE"""),"Sharjah")</f>
        <v>Sharjah</v>
      </c>
      <c r="B5865" s="2" t="str">
        <f ca="1">IFERROR(__xludf.DUMMYFUNCTION("""COMPUTED_VALUE"""),"Doctor Saleem Building")</f>
        <v>Doctor Saleem Building</v>
      </c>
      <c r="C5865" s="2"/>
      <c r="D5865" s="2" t="str">
        <f ca="1">IFERROR(__xludf.DUMMYFUNCTION("""COMPUTED_VALUE"""),"Sharjah&gt;Al Qasimia&gt;Al Nad&gt;Doctor Saleem Building")</f>
        <v>Sharjah&gt;Al Qasimia&gt;Al Nad&gt;Doctor Saleem Building</v>
      </c>
      <c r="E5865" s="2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</row>
    <row r="5866" spans="1:26" ht="16.5" x14ac:dyDescent="0.35">
      <c r="A5866" s="2" t="str">
        <f ca="1">IFERROR(__xludf.DUMMYFUNCTION("""COMPUTED_VALUE"""),"Sharjah")</f>
        <v>Sharjah</v>
      </c>
      <c r="B5866" s="2" t="str">
        <f ca="1">IFERROR(__xludf.DUMMYFUNCTION("""COMPUTED_VALUE"""),"C.G.Mall")</f>
        <v>C.G.Mall</v>
      </c>
      <c r="C5866" s="2"/>
      <c r="D5866" s="2" t="str">
        <f ca="1">IFERROR(__xludf.DUMMYFUNCTION("""COMPUTED_VALUE"""),"Sharjah&gt;Al Qasimia&gt;C.G.Mall")</f>
        <v>Sharjah&gt;Al Qasimia&gt;C.G.Mall</v>
      </c>
      <c r="E5866" s="2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</row>
    <row r="5867" spans="1:26" ht="16.5" x14ac:dyDescent="0.35">
      <c r="A5867" s="2" t="str">
        <f ca="1">IFERROR(__xludf.DUMMYFUNCTION("""COMPUTED_VALUE"""),"Sharjah")</f>
        <v>Sharjah</v>
      </c>
      <c r="B5867" s="2" t="str">
        <f ca="1">IFERROR(__xludf.DUMMYFUNCTION("""COMPUTED_VALUE"""),"Al Israa Building Al Nabba")</f>
        <v>Al Israa Building Al Nabba</v>
      </c>
      <c r="C5867" s="2"/>
      <c r="D5867" s="2" t="str">
        <f ca="1">IFERROR(__xludf.DUMMYFUNCTION("""COMPUTED_VALUE"""),"Sharjah&gt;Al Nabba&gt;Al Israa Building Al Nabba")</f>
        <v>Sharjah&gt;Al Nabba&gt;Al Israa Building Al Nabba</v>
      </c>
      <c r="E5867" s="2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</row>
    <row r="5868" spans="1:26" ht="16.5" x14ac:dyDescent="0.35">
      <c r="A5868" s="2" t="str">
        <f ca="1">IFERROR(__xludf.DUMMYFUNCTION("""COMPUTED_VALUE"""),"Sharjah")</f>
        <v>Sharjah</v>
      </c>
      <c r="B5868" s="2" t="str">
        <f ca="1">IFERROR(__xludf.DUMMYFUNCTION("""COMPUTED_VALUE"""),"Industrial Area")</f>
        <v>Industrial Area</v>
      </c>
      <c r="C5868" s="2" t="str">
        <f ca="1">IFERROR(__xludf.DUMMYFUNCTION("""COMPUTED_VALUE"""),"Neighbourhood")</f>
        <v>Neighbourhood</v>
      </c>
      <c r="D5868" s="2" t="str">
        <f ca="1">IFERROR(__xludf.DUMMYFUNCTION("""COMPUTED_VALUE"""),"Sharjah&gt;Industrial Area")</f>
        <v>Sharjah&gt;Industrial Area</v>
      </c>
      <c r="E5868" s="2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</row>
    <row r="5869" spans="1:26" ht="16.5" x14ac:dyDescent="0.35">
      <c r="A5869" s="2" t="str">
        <f ca="1">IFERROR(__xludf.DUMMYFUNCTION("""COMPUTED_VALUE"""),"Sharjah")</f>
        <v>Sharjah</v>
      </c>
      <c r="B5869" s="2" t="str">
        <f ca="1">IFERROR(__xludf.DUMMYFUNCTION("""COMPUTED_VALUE"""),"Industrial Area 4")</f>
        <v>Industrial Area 4</v>
      </c>
      <c r="C5869" s="2" t="str">
        <f ca="1">IFERROR(__xludf.DUMMYFUNCTION("""COMPUTED_VALUE"""),"Neighbourhood")</f>
        <v>Neighbourhood</v>
      </c>
      <c r="D5869" s="2" t="str">
        <f ca="1">IFERROR(__xludf.DUMMYFUNCTION("""COMPUTED_VALUE"""),"Sharjah&gt;Industrial Area&gt;Industrial Area 4")</f>
        <v>Sharjah&gt;Industrial Area&gt;Industrial Area 4</v>
      </c>
      <c r="E5869" s="2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</row>
    <row r="5870" spans="1:26" ht="16.5" x14ac:dyDescent="0.35">
      <c r="A5870" s="2" t="str">
        <f ca="1">IFERROR(__xludf.DUMMYFUNCTION("""COMPUTED_VALUE"""),"Sharjah")</f>
        <v>Sharjah</v>
      </c>
      <c r="B5870" s="2" t="str">
        <f ca="1">IFERROR(__xludf.DUMMYFUNCTION("""COMPUTED_VALUE"""),"RB 1")</f>
        <v>RB 1</v>
      </c>
      <c r="C5870" s="2" t="str">
        <f ca="1">IFERROR(__xludf.DUMMYFUNCTION("""COMPUTED_VALUE"""),"Building")</f>
        <v>Building</v>
      </c>
      <c r="D5870" s="2" t="str">
        <f ca="1">IFERROR(__xludf.DUMMYFUNCTION("""COMPUTED_VALUE"""),"Sharjah&gt;Muwaileh&gt;Al Mamsha&gt;Souks Residential&gt;RB 1")</f>
        <v>Sharjah&gt;Muwaileh&gt;Al Mamsha&gt;Souks Residential&gt;RB 1</v>
      </c>
      <c r="E5870" s="2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</row>
    <row r="5871" spans="1:26" ht="16.5" x14ac:dyDescent="0.35">
      <c r="A5871" s="2" t="str">
        <f ca="1">IFERROR(__xludf.DUMMYFUNCTION("""COMPUTED_VALUE"""),"Sharjah")</f>
        <v>Sharjah</v>
      </c>
      <c r="B5871" s="2" t="str">
        <f ca="1">IFERROR(__xludf.DUMMYFUNCTION("""COMPUTED_VALUE"""),"Al Zahia")</f>
        <v>Al Zahia</v>
      </c>
      <c r="C5871" s="2" t="str">
        <f ca="1">IFERROR(__xludf.DUMMYFUNCTION("""COMPUTED_VALUE"""),"Neighbourhood")</f>
        <v>Neighbourhood</v>
      </c>
      <c r="D5871" s="2" t="str">
        <f ca="1">IFERROR(__xludf.DUMMYFUNCTION("""COMPUTED_VALUE"""),"Sharjah&gt;Muwaileh&gt;Al Zahia")</f>
        <v>Sharjah&gt;Muwaileh&gt;Al Zahia</v>
      </c>
      <c r="E5871" s="2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</row>
    <row r="5872" spans="1:26" ht="16.5" x14ac:dyDescent="0.35">
      <c r="A5872" s="2" t="str">
        <f ca="1">IFERROR(__xludf.DUMMYFUNCTION("""COMPUTED_VALUE"""),"Sharjah")</f>
        <v>Sharjah</v>
      </c>
      <c r="B5872" s="2" t="str">
        <f ca="1">IFERROR(__xludf.DUMMYFUNCTION("""COMPUTED_VALUE"""),"Rosary Private School Sharjah")</f>
        <v>Rosary Private School Sharjah</v>
      </c>
      <c r="C5872" s="2" t="str">
        <f ca="1">IFERROR(__xludf.DUMMYFUNCTION("""COMPUTED_VALUE"""),"School")</f>
        <v>School</v>
      </c>
      <c r="D5872" s="2" t="str">
        <f ca="1">IFERROR(__xludf.DUMMYFUNCTION("""COMPUTED_VALUE"""),"Sharjah&gt;Muwaileh Commercial&gt;Rosary Private School Sharjah")</f>
        <v>Sharjah&gt;Muwaileh Commercial&gt;Rosary Private School Sharjah</v>
      </c>
      <c r="E5872" s="2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</row>
    <row r="5873" spans="1:26" ht="16.5" x14ac:dyDescent="0.35">
      <c r="A5873" s="2" t="str">
        <f ca="1">IFERROR(__xludf.DUMMYFUNCTION("""COMPUTED_VALUE"""),"Sharjah")</f>
        <v>Sharjah</v>
      </c>
      <c r="B5873" s="2" t="str">
        <f ca="1">IFERROR(__xludf.DUMMYFUNCTION("""COMPUTED_VALUE"""),"GGICO Building Muwailih")</f>
        <v>GGICO Building Muwailih</v>
      </c>
      <c r="C5873" s="2"/>
      <c r="D5873" s="2" t="str">
        <f ca="1">IFERROR(__xludf.DUMMYFUNCTION("""COMPUTED_VALUE"""),"Sharjah&gt;Muwaileh Commercial&gt;GGICO Building Muwailih")</f>
        <v>Sharjah&gt;Muwaileh Commercial&gt;GGICO Building Muwailih</v>
      </c>
      <c r="E5873" s="2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</row>
    <row r="5874" spans="1:26" ht="16.5" x14ac:dyDescent="0.35">
      <c r="A5874" s="2" t="str">
        <f ca="1">IFERROR(__xludf.DUMMYFUNCTION("""COMPUTED_VALUE"""),"Sharjah")</f>
        <v>Sharjah</v>
      </c>
      <c r="B5874" s="2" t="str">
        <f ca="1">IFERROR(__xludf.DUMMYFUNCTION("""COMPUTED_VALUE"""),"Building 2417")</f>
        <v>Building 2417</v>
      </c>
      <c r="C5874" s="2" t="str">
        <f ca="1">IFERROR(__xludf.DUMMYFUNCTION("""COMPUTED_VALUE"""),"Building")</f>
        <v>Building</v>
      </c>
      <c r="D5874" s="2" t="str">
        <f ca="1">IFERROR(__xludf.DUMMYFUNCTION("""COMPUTED_VALUE"""),"Sharjah&gt;Muwaileh Commercial&gt;Building 2417")</f>
        <v>Sharjah&gt;Muwaileh Commercial&gt;Building 2417</v>
      </c>
      <c r="E5874" s="2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</row>
    <row r="5875" spans="1:26" ht="16.5" x14ac:dyDescent="0.35">
      <c r="A5875" s="2" t="str">
        <f ca="1">IFERROR(__xludf.DUMMYFUNCTION("""COMPUTED_VALUE"""),"Al Ain")</f>
        <v>Al Ain</v>
      </c>
      <c r="B5875" s="2" t="str">
        <f ca="1">IFERROR(__xludf.DUMMYFUNCTION("""COMPUTED_VALUE"""),"Al Hiyar")</f>
        <v>Al Hiyar</v>
      </c>
      <c r="C5875" s="2" t="str">
        <f ca="1">IFERROR(__xludf.DUMMYFUNCTION("""COMPUTED_VALUE"""),"Neighbourhood")</f>
        <v>Neighbourhood</v>
      </c>
      <c r="D5875" s="2" t="str">
        <f ca="1">IFERROR(__xludf.DUMMYFUNCTION("""COMPUTED_VALUE"""),"Al Ain&gt;Al Hiyar")</f>
        <v>Al Ain&gt;Al Hiyar</v>
      </c>
      <c r="E5875" s="2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</row>
    <row r="5876" spans="1:26" ht="16.5" x14ac:dyDescent="0.35">
      <c r="A5876" s="2" t="str">
        <f ca="1">IFERROR(__xludf.DUMMYFUNCTION("""COMPUTED_VALUE"""),"Al Ain")</f>
        <v>Al Ain</v>
      </c>
      <c r="B5876" s="2" t="str">
        <f ca="1">IFERROR(__xludf.DUMMYFUNCTION("""COMPUTED_VALUE"""),"Al Kuwaitat")</f>
        <v>Al Kuwaitat</v>
      </c>
      <c r="C5876" s="2" t="str">
        <f ca="1">IFERROR(__xludf.DUMMYFUNCTION("""COMPUTED_VALUE"""),"Neighbourhood")</f>
        <v>Neighbourhood</v>
      </c>
      <c r="D5876" s="2" t="str">
        <f ca="1">IFERROR(__xludf.DUMMYFUNCTION("""COMPUTED_VALUE"""),"Al Ain&gt;Central District&gt;Al Kuwaitat")</f>
        <v>Al Ain&gt;Central District&gt;Al Kuwaitat</v>
      </c>
      <c r="E5876" s="2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</row>
    <row r="5877" spans="1:26" ht="16.5" x14ac:dyDescent="0.35">
      <c r="A5877" s="2" t="str">
        <f ca="1">IFERROR(__xludf.DUMMYFUNCTION("""COMPUTED_VALUE"""),"Al Ain")</f>
        <v>Al Ain</v>
      </c>
      <c r="B5877" s="2" t="str">
        <f ca="1">IFERROR(__xludf.DUMMYFUNCTION("""COMPUTED_VALUE"""),"Baraem Al Ain Private School Baniyas")</f>
        <v>Baraem Al Ain Private School Baniyas</v>
      </c>
      <c r="C5877" s="2" t="str">
        <f ca="1">IFERROR(__xludf.DUMMYFUNCTION("""COMPUTED_VALUE"""),"School")</f>
        <v>School</v>
      </c>
      <c r="D5877" s="2" t="str">
        <f ca="1">IFERROR(__xludf.DUMMYFUNCTION("""COMPUTED_VALUE"""),"Al Ain&gt;Al Muwaiji&gt;Baraem Al Ain Private School Baniyas")</f>
        <v>Al Ain&gt;Al Muwaiji&gt;Baraem Al Ain Private School Baniyas</v>
      </c>
      <c r="E5877" s="2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</row>
    <row r="5878" spans="1:26" ht="16.5" x14ac:dyDescent="0.35">
      <c r="A5878" s="2" t="str">
        <f ca="1">IFERROR(__xludf.DUMMYFUNCTION("""COMPUTED_VALUE"""),"Al Ain")</f>
        <v>Al Ain</v>
      </c>
      <c r="B5878" s="2" t="str">
        <f ca="1">IFERROR(__xludf.DUMMYFUNCTION("""COMPUTED_VALUE"""),"Shareat Hili")</f>
        <v>Shareat Hili</v>
      </c>
      <c r="C5878" s="2" t="str">
        <f ca="1">IFERROR(__xludf.DUMMYFUNCTION("""COMPUTED_VALUE"""),"Neighbourhood")</f>
        <v>Neighbourhood</v>
      </c>
      <c r="D5878" s="2" t="str">
        <f ca="1">IFERROR(__xludf.DUMMYFUNCTION("""COMPUTED_VALUE"""),"Al Ain&gt;Hili&gt;Shareat Hili")</f>
        <v>Al Ain&gt;Hili&gt;Shareat Hili</v>
      </c>
      <c r="E5878" s="2"/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</row>
    <row r="5879" spans="1:26" ht="16.5" x14ac:dyDescent="0.35">
      <c r="A5879" s="2" t="str">
        <f ca="1">IFERROR(__xludf.DUMMYFUNCTION("""COMPUTED_VALUE"""),"Al Ain")</f>
        <v>Al Ain</v>
      </c>
      <c r="B5879" s="2" t="str">
        <f ca="1">IFERROR(__xludf.DUMMYFUNCTION("""COMPUTED_VALUE"""),"Hai Al Mutawaa")</f>
        <v>Hai Al Mutawaa</v>
      </c>
      <c r="C5879" s="2" t="str">
        <f ca="1">IFERROR(__xludf.DUMMYFUNCTION("""COMPUTED_VALUE"""),"Neighbourhood")</f>
        <v>Neighbourhood</v>
      </c>
      <c r="D5879" s="2" t="str">
        <f ca="1">IFERROR(__xludf.DUMMYFUNCTION("""COMPUTED_VALUE"""),"Al Ain&gt;Al Mutaw'ah&gt;Hai Al Mutawaa")</f>
        <v>Al Ain&gt;Al Mutaw'ah&gt;Hai Al Mutawaa</v>
      </c>
      <c r="E5879" s="2"/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</row>
    <row r="5880" spans="1:26" ht="16.5" x14ac:dyDescent="0.35">
      <c r="A5880" s="2" t="str">
        <f ca="1">IFERROR(__xludf.DUMMYFUNCTION("""COMPUTED_VALUE"""),"Al Ain")</f>
        <v>Al Ain</v>
      </c>
      <c r="B5880" s="2" t="str">
        <f ca="1">IFERROR(__xludf.DUMMYFUNCTION("""COMPUTED_VALUE"""),"Al Maqam")</f>
        <v>Al Maqam</v>
      </c>
      <c r="C5880" s="2" t="str">
        <f ca="1">IFERROR(__xludf.DUMMYFUNCTION("""COMPUTED_VALUE"""),"Neighbourhood")</f>
        <v>Neighbourhood</v>
      </c>
      <c r="D5880" s="2" t="str">
        <f ca="1">IFERROR(__xludf.DUMMYFUNCTION("""COMPUTED_VALUE"""),"Al Ain&gt;Al Maqam")</f>
        <v>Al Ain&gt;Al Maqam</v>
      </c>
      <c r="E5880" s="2"/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</row>
    <row r="5881" spans="1:26" ht="16.5" x14ac:dyDescent="0.35">
      <c r="A5881" s="2" t="str">
        <f ca="1">IFERROR(__xludf.DUMMYFUNCTION("""COMPUTED_VALUE"""),"Al Ain")</f>
        <v>Al Ain</v>
      </c>
      <c r="B5881" s="2" t="str">
        <f ca="1">IFERROR(__xludf.DUMMYFUNCTION("""COMPUTED_VALUE"""),"Al Mashall")</f>
        <v>Al Mashall</v>
      </c>
      <c r="C5881" s="2" t="str">
        <f ca="1">IFERROR(__xludf.DUMMYFUNCTION("""COMPUTED_VALUE"""),"Neighbourhood")</f>
        <v>Neighbourhood</v>
      </c>
      <c r="D5881" s="2" t="str">
        <f ca="1">IFERROR(__xludf.DUMMYFUNCTION("""COMPUTED_VALUE"""),"Al Ain&gt;Al Sarouj&gt;Al Mashall")</f>
        <v>Al Ain&gt;Al Sarouj&gt;Al Mashall</v>
      </c>
      <c r="E5881" s="2"/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</row>
    <row r="5882" spans="1:26" ht="16.5" x14ac:dyDescent="0.35">
      <c r="A5882" s="2" t="str">
        <f ca="1">IFERROR(__xludf.DUMMYFUNCTION("""COMPUTED_VALUE"""),"Ras Al Khaimah")</f>
        <v>Ras Al Khaimah</v>
      </c>
      <c r="B5882" s="2" t="str">
        <f ca="1">IFERROR(__xludf.DUMMYFUNCTION("""COMPUTED_VALUE"""),"Cape Hayat Tower 2")</f>
        <v>Cape Hayat Tower 2</v>
      </c>
      <c r="C5882" s="2" t="str">
        <f ca="1">IFERROR(__xludf.DUMMYFUNCTION("""COMPUTED_VALUE"""),"Building")</f>
        <v>Building</v>
      </c>
      <c r="D5882" s="2" t="str">
        <f ca="1">IFERROR(__xludf.DUMMYFUNCTION("""COMPUTED_VALUE"""),"Ras Al Khaimah&gt;Mina Al Arab&gt;Hayat Island&gt;Cape Hayat&gt;Cape Hayat Tower 2")</f>
        <v>Ras Al Khaimah&gt;Mina Al Arab&gt;Hayat Island&gt;Cape Hayat&gt;Cape Hayat Tower 2</v>
      </c>
      <c r="E5882" s="2"/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</row>
    <row r="5883" spans="1:26" ht="16.5" x14ac:dyDescent="0.35">
      <c r="A5883" s="2" t="str">
        <f ca="1">IFERROR(__xludf.DUMMYFUNCTION("""COMPUTED_VALUE"""),"Ras Al Khaimah")</f>
        <v>Ras Al Khaimah</v>
      </c>
      <c r="B5883" s="2" t="str">
        <f ca="1">IFERROR(__xludf.DUMMYFUNCTION("""COMPUTED_VALUE"""),"Kahraman Building")</f>
        <v>Kahraman Building</v>
      </c>
      <c r="C5883" s="2" t="str">
        <f ca="1">IFERROR(__xludf.DUMMYFUNCTION("""COMPUTED_VALUE"""),"Building")</f>
        <v>Building</v>
      </c>
      <c r="D5883" s="2" t="str">
        <f ca="1">IFERROR(__xludf.DUMMYFUNCTION("""COMPUTED_VALUE"""),"Ras Al Khaimah&gt;Al Marjan Island&gt;Bab Al Bahr Residences&gt;Kahraman Building")</f>
        <v>Ras Al Khaimah&gt;Al Marjan Island&gt;Bab Al Bahr Residences&gt;Kahraman Building</v>
      </c>
      <c r="E5883" s="2"/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</row>
    <row r="5884" spans="1:26" ht="16.5" x14ac:dyDescent="0.35">
      <c r="A5884" s="2" t="str">
        <f ca="1">IFERROR(__xludf.DUMMYFUNCTION("""COMPUTED_VALUE"""),"Ras Al Khaimah")</f>
        <v>Ras Al Khaimah</v>
      </c>
      <c r="B5884" s="2" t="str">
        <f ca="1">IFERROR(__xludf.DUMMYFUNCTION("""COMPUTED_VALUE"""),"La Mer by Elie Saab Isle 1")</f>
        <v>La Mer by Elie Saab Isle 1</v>
      </c>
      <c r="C5884" s="2" t="str">
        <f ca="1">IFERROR(__xludf.DUMMYFUNCTION("""COMPUTED_VALUE"""),"Building")</f>
        <v>Building</v>
      </c>
      <c r="D5884" s="2" t="str">
        <f ca="1">IFERROR(__xludf.DUMMYFUNCTION("""COMPUTED_VALUE"""),"Ras Al Khaimah&gt;Al Marjan Island&gt;La Mer by Elie Saab&gt;La Mer by Elie Saab Isle 1")</f>
        <v>Ras Al Khaimah&gt;Al Marjan Island&gt;La Mer by Elie Saab&gt;La Mer by Elie Saab Isle 1</v>
      </c>
      <c r="E5884" s="2"/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</row>
    <row r="5885" spans="1:26" ht="16.5" x14ac:dyDescent="0.35">
      <c r="A5885" s="2" t="str">
        <f ca="1">IFERROR(__xludf.DUMMYFUNCTION("""COMPUTED_VALUE"""),"Ras Al Khaimah")</f>
        <v>Ras Al Khaimah</v>
      </c>
      <c r="B5885" s="2" t="str">
        <f ca="1">IFERROR(__xludf.DUMMYFUNCTION("""COMPUTED_VALUE"""),"Nasim Al Bahr Residences")</f>
        <v>Nasim Al Bahr Residences</v>
      </c>
      <c r="C5885" s="2" t="str">
        <f ca="1">IFERROR(__xludf.DUMMYFUNCTION("""COMPUTED_VALUE"""),"Building")</f>
        <v>Building</v>
      </c>
      <c r="D5885" s="2" t="str">
        <f ca="1">IFERROR(__xludf.DUMMYFUNCTION("""COMPUTED_VALUE"""),"Ras Al Khaimah&gt;Al Marjan Island&gt;Nasim Al Bahr Residences")</f>
        <v>Ras Al Khaimah&gt;Al Marjan Island&gt;Nasim Al Bahr Residences</v>
      </c>
      <c r="E5885" s="2"/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</row>
    <row r="5886" spans="1:26" ht="16.5" x14ac:dyDescent="0.35">
      <c r="A5886" s="2" t="str">
        <f ca="1">IFERROR(__xludf.DUMMYFUNCTION("""COMPUTED_VALUE"""),"Ras Al Khaimah")</f>
        <v>Ras Al Khaimah</v>
      </c>
      <c r="B5886" s="2" t="str">
        <f ca="1">IFERROR(__xludf.DUMMYFUNCTION("""COMPUTED_VALUE"""),"Al Hamra Waterfront")</f>
        <v>Al Hamra Waterfront</v>
      </c>
      <c r="C5886" s="2" t="str">
        <f ca="1">IFERROR(__xludf.DUMMYFUNCTION("""COMPUTED_VALUE"""),"Neighbourhood")</f>
        <v>Neighbourhood</v>
      </c>
      <c r="D5886" s="2" t="str">
        <f ca="1">IFERROR(__xludf.DUMMYFUNCTION("""COMPUTED_VALUE"""),"Ras Al Khaimah&gt;Al Hamra Village&gt;Al Hamra Waterfront")</f>
        <v>Ras Al Khaimah&gt;Al Hamra Village&gt;Al Hamra Waterfront</v>
      </c>
      <c r="E5886" s="2"/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</row>
    <row r="5887" spans="1:26" ht="16.5" x14ac:dyDescent="0.35">
      <c r="A5887" s="2" t="str">
        <f ca="1">IFERROR(__xludf.DUMMYFUNCTION("""COMPUTED_VALUE"""),"Ras Al Khaimah")</f>
        <v>Ras Al Khaimah</v>
      </c>
      <c r="B5887" s="2" t="str">
        <f ca="1">IFERROR(__xludf.DUMMYFUNCTION("""COMPUTED_VALUE"""),"Al Dhait South")</f>
        <v>Al Dhait South</v>
      </c>
      <c r="C5887" s="2" t="str">
        <f ca="1">IFERROR(__xludf.DUMMYFUNCTION("""COMPUTED_VALUE"""),"Neighbourhood")</f>
        <v>Neighbourhood</v>
      </c>
      <c r="D5887" s="2" t="str">
        <f ca="1">IFERROR(__xludf.DUMMYFUNCTION("""COMPUTED_VALUE"""),"Ras Al Khaimah&gt;Al Dhait&gt;Al Dhait South")</f>
        <v>Ras Al Khaimah&gt;Al Dhait&gt;Al Dhait South</v>
      </c>
      <c r="E5887" s="2"/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</row>
    <row r="5888" spans="1:26" ht="16.5" x14ac:dyDescent="0.35">
      <c r="A5888" s="2" t="str">
        <f ca="1">IFERROR(__xludf.DUMMYFUNCTION("""COMPUTED_VALUE"""),"Ras Al Khaimah")</f>
        <v>Ras Al Khaimah</v>
      </c>
      <c r="B5888" s="2" t="str">
        <f ca="1">IFERROR(__xludf.DUMMYFUNCTION("""COMPUTED_VALUE"""),"Al Kharran")</f>
        <v>Al Kharran</v>
      </c>
      <c r="C5888" s="2" t="str">
        <f ca="1">IFERROR(__xludf.DUMMYFUNCTION("""COMPUTED_VALUE"""),"Neighbourhood")</f>
        <v>Neighbourhood</v>
      </c>
      <c r="D5888" s="2" t="str">
        <f ca="1">IFERROR(__xludf.DUMMYFUNCTION("""COMPUTED_VALUE"""),"Ras Al Khaimah&gt;Al Kharran")</f>
        <v>Ras Al Khaimah&gt;Al Kharran</v>
      </c>
      <c r="E5888" s="2"/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</row>
    <row r="5889" spans="1:26" ht="16.5" x14ac:dyDescent="0.35">
      <c r="A5889" s="2" t="str">
        <f ca="1">IFERROR(__xludf.DUMMYFUNCTION("""COMPUTED_VALUE"""),"Ras Al Khaimah")</f>
        <v>Ras Al Khaimah</v>
      </c>
      <c r="B5889" s="2" t="str">
        <f ca="1">IFERROR(__xludf.DUMMYFUNCTION("""COMPUTED_VALUE"""),"Al Wasl Building")</f>
        <v>Al Wasl Building</v>
      </c>
      <c r="C5889" s="2" t="str">
        <f ca="1">IFERROR(__xludf.DUMMYFUNCTION("""COMPUTED_VALUE"""),"Building")</f>
        <v>Building</v>
      </c>
      <c r="D5889" s="2" t="str">
        <f ca="1">IFERROR(__xludf.DUMMYFUNCTION("""COMPUTED_VALUE"""),"Ras Al Khaimah&gt;Al Turfa&gt;Al Wasl Building")</f>
        <v>Ras Al Khaimah&gt;Al Turfa&gt;Al Wasl Building</v>
      </c>
      <c r="E5889" s="2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</row>
    <row r="5890" spans="1:26" ht="16.5" x14ac:dyDescent="0.35">
      <c r="A5890" s="2" t="str">
        <f ca="1">IFERROR(__xludf.DUMMYFUNCTION("""COMPUTED_VALUE"""),"Ras Al Khaimah")</f>
        <v>Ras Al Khaimah</v>
      </c>
      <c r="B5890" s="2" t="str">
        <f ca="1">IFERROR(__xludf.DUMMYFUNCTION("""COMPUTED_VALUE"""),"Al Haramal")</f>
        <v>Al Haramal</v>
      </c>
      <c r="C5890" s="2" t="str">
        <f ca="1">IFERROR(__xludf.DUMMYFUNCTION("""COMPUTED_VALUE"""),"Neighbourhood")</f>
        <v>Neighbourhood</v>
      </c>
      <c r="D5890" s="2" t="str">
        <f ca="1">IFERROR(__xludf.DUMMYFUNCTION("""COMPUTED_VALUE"""),"Ras Al Khaimah&gt;Al Haramal")</f>
        <v>Ras Al Khaimah&gt;Al Haramal</v>
      </c>
      <c r="E5890" s="2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</row>
    <row r="5891" spans="1:26" ht="16.5" x14ac:dyDescent="0.35">
      <c r="A5891" s="2" t="str">
        <f ca="1">IFERROR(__xludf.DUMMYFUNCTION("""COMPUTED_VALUE"""),"Umm Al Quwain")</f>
        <v>Umm Al Quwain</v>
      </c>
      <c r="B5891" s="2" t="str">
        <f ca="1">IFERROR(__xludf.DUMMYFUNCTION("""COMPUTED_VALUE"""),"The Elite American Private School, UAQ")</f>
        <v>The Elite American Private School, UAQ</v>
      </c>
      <c r="C5891" s="2" t="str">
        <f ca="1">IFERROR(__xludf.DUMMYFUNCTION("""COMPUTED_VALUE"""),"School")</f>
        <v>School</v>
      </c>
      <c r="D5891" s="2" t="str">
        <f ca="1">IFERROR(__xludf.DUMMYFUNCTION("""COMPUTED_VALUE"""),"Umm Al Quwain&gt;Al Salamah&gt;The Elite American Private School, UAQ")</f>
        <v>Umm Al Quwain&gt;Al Salamah&gt;The Elite American Private School, UAQ</v>
      </c>
      <c r="E5891" s="2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</row>
    <row r="5892" spans="1:26" ht="16.5" x14ac:dyDescent="0.35">
      <c r="A5892" s="2" t="str">
        <f ca="1">IFERROR(__xludf.DUMMYFUNCTION("""COMPUTED_VALUE"""),"Umm Al Quwain")</f>
        <v>Umm Al Quwain</v>
      </c>
      <c r="B5892" s="2" t="str">
        <f ca="1">IFERROR(__xludf.DUMMYFUNCTION("""COMPUTED_VALUE"""),"AMRA Residences")</f>
        <v>AMRA Residences</v>
      </c>
      <c r="C5892" s="2" t="str">
        <f ca="1">IFERROR(__xludf.DUMMYFUNCTION("""COMPUTED_VALUE"""),"Building")</f>
        <v>Building</v>
      </c>
      <c r="D5892" s="2" t="str">
        <f ca="1">IFERROR(__xludf.DUMMYFUNCTION("""COMPUTED_VALUE"""),"Umm Al Quwain&gt;Al Raudah&gt;AMRA Residences")</f>
        <v>Umm Al Quwain&gt;Al Raudah&gt;AMRA Residences</v>
      </c>
      <c r="E5892" s="2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</row>
    <row r="5893" spans="1:26" ht="16.5" x14ac:dyDescent="0.35">
      <c r="A5893" s="2" t="str">
        <f ca="1">IFERROR(__xludf.DUMMYFUNCTION("""COMPUTED_VALUE"""),"Umm Al Quwain")</f>
        <v>Umm Al Quwain</v>
      </c>
      <c r="B5893" s="2" t="str">
        <f ca="1">IFERROR(__xludf.DUMMYFUNCTION("""COMPUTED_VALUE"""),"Florine Beach Residences Tower D")</f>
        <v>Florine Beach Residences Tower D</v>
      </c>
      <c r="C5893" s="2" t="str">
        <f ca="1">IFERROR(__xludf.DUMMYFUNCTION("""COMPUTED_VALUE"""),"Building")</f>
        <v>Building</v>
      </c>
      <c r="D5893" s="2" t="str">
        <f ca="1">IFERROR(__xludf.DUMMYFUNCTION("""COMPUTED_VALUE"""),"Umm Al Quwain&gt;Al Seanneeah&gt;Sobha Siniya Island&gt;Florine Beach Residences&gt;Florine Beach Residences Tower D")</f>
        <v>Umm Al Quwain&gt;Al Seanneeah&gt;Sobha Siniya Island&gt;Florine Beach Residences&gt;Florine Beach Residences Tower D</v>
      </c>
      <c r="E5893" s="2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</row>
    <row r="5894" spans="1:26" ht="16.5" x14ac:dyDescent="0.35">
      <c r="A5894" s="2" t="str">
        <f ca="1">IFERROR(__xludf.DUMMYFUNCTION("""COMPUTED_VALUE"""),"Umm Al Quwain")</f>
        <v>Umm Al Quwain</v>
      </c>
      <c r="B5894" s="2" t="str">
        <f ca="1">IFERROR(__xludf.DUMMYFUNCTION("""COMPUTED_VALUE"""),"Pearlside Marina Residences Tower A")</f>
        <v>Pearlside Marina Residences Tower A</v>
      </c>
      <c r="C5894" s="2" t="str">
        <f ca="1">IFERROR(__xludf.DUMMYFUNCTION("""COMPUTED_VALUE"""),"Building")</f>
        <v>Building</v>
      </c>
      <c r="D5894" s="2" t="str">
        <f ca="1">IFERROR(__xludf.DUMMYFUNCTION("""COMPUTED_VALUE"""),"Umm Al Quwain&gt;Al Seanneeah&gt;Sobha Siniya Island&gt;Pearlside Marina Residences&gt;Pearlside Marina Residences Tower A")</f>
        <v>Umm Al Quwain&gt;Al Seanneeah&gt;Sobha Siniya Island&gt;Pearlside Marina Residences&gt;Pearlside Marina Residences Tower A</v>
      </c>
      <c r="E5894" s="2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</row>
    <row r="5895" spans="1:26" ht="16.5" x14ac:dyDescent="0.35">
      <c r="A5895" s="2" t="str">
        <f ca="1">IFERROR(__xludf.DUMMYFUNCTION("""COMPUTED_VALUE"""),"Fujairah")</f>
        <v>Fujairah</v>
      </c>
      <c r="B5895" s="2" t="str">
        <f ca="1">IFERROR(__xludf.DUMMYFUNCTION("""COMPUTED_VALUE"""),"Address Fujairah Beach Resort")</f>
        <v>Address Fujairah Beach Resort</v>
      </c>
      <c r="C5895" s="2" t="str">
        <f ca="1">IFERROR(__xludf.DUMMYFUNCTION("""COMPUTED_VALUE"""),"Cluster")</f>
        <v>Cluster</v>
      </c>
      <c r="D5895" s="2" t="str">
        <f ca="1">IFERROR(__xludf.DUMMYFUNCTION("""COMPUTED_VALUE"""),"Fujairah&gt;Address Fujairah Beach Resort")</f>
        <v>Fujairah&gt;Address Fujairah Beach Resort</v>
      </c>
      <c r="E5895" s="2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</row>
    <row r="5896" spans="1:26" ht="16.5" x14ac:dyDescent="0.35">
      <c r="A5896" s="2" t="str">
        <f ca="1">IFERROR(__xludf.DUMMYFUNCTION("""COMPUTED_VALUE"""),"Fujairah")</f>
        <v>Fujairah</v>
      </c>
      <c r="B5896" s="2" t="str">
        <f ca="1">IFERROR(__xludf.DUMMYFUNCTION("""COMPUTED_VALUE"""),"Diyar International Private School Fujairah")</f>
        <v>Diyar International Private School Fujairah</v>
      </c>
      <c r="C5896" s="2" t="str">
        <f ca="1">IFERROR(__xludf.DUMMYFUNCTION("""COMPUTED_VALUE"""),"School")</f>
        <v>School</v>
      </c>
      <c r="D5896" s="2" t="str">
        <f ca="1">IFERROR(__xludf.DUMMYFUNCTION("""COMPUTED_VALUE"""),"Fujairah&gt;Sakamkam&gt;Diyar International Private School Fujairah")</f>
        <v>Fujairah&gt;Sakamkam&gt;Diyar International Private School Fujairah</v>
      </c>
      <c r="E5896" s="2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</row>
    <row r="5897" spans="1:26" ht="16.5" x14ac:dyDescent="0.35">
      <c r="A5897" s="2" t="str">
        <f ca="1">IFERROR(__xludf.DUMMYFUNCTION("""COMPUTED_VALUE"""),"Dubai")</f>
        <v>Dubai</v>
      </c>
      <c r="B5897" s="2" t="str">
        <f ca="1">IFERROR(__xludf.DUMMYFUNCTION("""COMPUTED_VALUE"""),"Makeen Building")</f>
        <v>Makeen Building</v>
      </c>
      <c r="C5897" s="2" t="str">
        <f ca="1">IFERROR(__xludf.DUMMYFUNCTION("""COMPUTED_VALUE"""),"Building")</f>
        <v>Building</v>
      </c>
      <c r="D5897" s="2" t="str">
        <f ca="1">IFERROR(__xludf.DUMMYFUNCTION("""COMPUTED_VALUE"""),"Dubai&gt;Al Garhoud&gt;Airport Road Area&gt;Makeen Building")</f>
        <v>Dubai&gt;Al Garhoud&gt;Airport Road Area&gt;Makeen Building</v>
      </c>
      <c r="E5897" s="2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</row>
    <row r="5898" spans="1:26" ht="16.5" x14ac:dyDescent="0.35">
      <c r="A5898" s="2" t="str">
        <f ca="1">IFERROR(__xludf.DUMMYFUNCTION("""COMPUTED_VALUE"""),"Dubai")</f>
        <v>Dubai</v>
      </c>
      <c r="B5898" s="2" t="str">
        <f ca="1">IFERROR(__xludf.DUMMYFUNCTION("""COMPUTED_VALUE"""),"Dar Al Garhoud")</f>
        <v>Dar Al Garhoud</v>
      </c>
      <c r="C5898" s="2" t="str">
        <f ca="1">IFERROR(__xludf.DUMMYFUNCTION("""COMPUTED_VALUE"""),"Building")</f>
        <v>Building</v>
      </c>
      <c r="D5898" s="2" t="str">
        <f ca="1">IFERROR(__xludf.DUMMYFUNCTION("""COMPUTED_VALUE"""),"Dubai&gt;Al Garhoud&gt;Dar Al Garhoud")</f>
        <v>Dubai&gt;Al Garhoud&gt;Dar Al Garhoud</v>
      </c>
      <c r="E5898" s="2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</row>
    <row r="5899" spans="1:26" ht="16.5" x14ac:dyDescent="0.35">
      <c r="A5899" s="2" t="str">
        <f ca="1">IFERROR(__xludf.DUMMYFUNCTION("""COMPUTED_VALUE"""),"Dubai")</f>
        <v>Dubai</v>
      </c>
      <c r="B5899" s="2" t="str">
        <f ca="1">IFERROR(__xludf.DUMMYFUNCTION("""COMPUTED_VALUE"""),"Waqf Land of Awqaf &amp; Minors - Al Garhoud")</f>
        <v>Waqf Land of Awqaf &amp; Minors - Al Garhoud</v>
      </c>
      <c r="C5899" s="2" t="str">
        <f ca="1">IFERROR(__xludf.DUMMYFUNCTION("""COMPUTED_VALUE"""),"Building")</f>
        <v>Building</v>
      </c>
      <c r="D5899" s="2" t="str">
        <f ca="1">IFERROR(__xludf.DUMMYFUNCTION("""COMPUTED_VALUE"""),"Dubai&gt;Al Garhoud&gt;Waqf Land of Awqaf &amp; Minors - Al Garhoud")</f>
        <v>Dubai&gt;Al Garhoud&gt;Waqf Land of Awqaf &amp; Minors - Al Garhoud</v>
      </c>
      <c r="E5899" s="2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</row>
    <row r="5900" spans="1:26" ht="16.5" x14ac:dyDescent="0.35">
      <c r="A5900" s="2" t="str">
        <f ca="1">IFERROR(__xludf.DUMMYFUNCTION("""COMPUTED_VALUE"""),"Dubai")</f>
        <v>Dubai</v>
      </c>
      <c r="B5900" s="2" t="str">
        <f ca="1">IFERROR(__xludf.DUMMYFUNCTION("""COMPUTED_VALUE"""),"Cluster 27")</f>
        <v>Cluster 27</v>
      </c>
      <c r="C5900" s="2" t="str">
        <f ca="1">IFERROR(__xludf.DUMMYFUNCTION("""COMPUTED_VALUE"""),"Neighbourhood")</f>
        <v>Neighbourhood</v>
      </c>
      <c r="D5900" s="2" t="str">
        <f ca="1">IFERROR(__xludf.DUMMYFUNCTION("""COMPUTED_VALUE"""),"Dubai&gt;Jumeirah Islands&gt;Cluster 27")</f>
        <v>Dubai&gt;Jumeirah Islands&gt;Cluster 27</v>
      </c>
      <c r="E5900" s="2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</row>
    <row r="5901" spans="1:26" ht="16.5" x14ac:dyDescent="0.35">
      <c r="A5901" s="2" t="str">
        <f ca="1">IFERROR(__xludf.DUMMYFUNCTION("""COMPUTED_VALUE"""),"Dubai")</f>
        <v>Dubai</v>
      </c>
      <c r="B5901" s="2" t="str">
        <f ca="1">IFERROR(__xludf.DUMMYFUNCTION("""COMPUTED_VALUE"""),"Green Community")</f>
        <v>Green Community</v>
      </c>
      <c r="C5901" s="2" t="str">
        <f ca="1">IFERROR(__xludf.DUMMYFUNCTION("""COMPUTED_VALUE"""),"Neighbourhood")</f>
        <v>Neighbourhood</v>
      </c>
      <c r="D5901" s="2" t="str">
        <f ca="1">IFERROR(__xludf.DUMMYFUNCTION("""COMPUTED_VALUE"""),"Dubai&gt;Green Community")</f>
        <v>Dubai&gt;Green Community</v>
      </c>
      <c r="E5901" s="2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</row>
    <row r="5902" spans="1:26" ht="16.5" x14ac:dyDescent="0.35">
      <c r="A5902" s="2" t="str">
        <f ca="1">IFERROR(__xludf.DUMMYFUNCTION("""COMPUTED_VALUE"""),"Dubai")</f>
        <v>Dubai</v>
      </c>
      <c r="B5902" s="2" t="str">
        <f ca="1">IFERROR(__xludf.DUMMYFUNCTION("""COMPUTED_VALUE"""),"Green Community East")</f>
        <v>Green Community East</v>
      </c>
      <c r="C5902" s="2" t="str">
        <f ca="1">IFERROR(__xludf.DUMMYFUNCTION("""COMPUTED_VALUE"""),"Neighbourhood")</f>
        <v>Neighbourhood</v>
      </c>
      <c r="D5902" s="2" t="str">
        <f ca="1">IFERROR(__xludf.DUMMYFUNCTION("""COMPUTED_VALUE"""),"Dubai&gt;Green Community&gt;Green Community East")</f>
        <v>Dubai&gt;Green Community&gt;Green Community East</v>
      </c>
      <c r="E5902" s="2"/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</row>
    <row r="5903" spans="1:26" ht="16.5" x14ac:dyDescent="0.35">
      <c r="A5903" s="2" t="str">
        <f ca="1">IFERROR(__xludf.DUMMYFUNCTION("""COMPUTED_VALUE"""),"Dubai")</f>
        <v>Dubai</v>
      </c>
      <c r="B5903" s="2" t="str">
        <f ca="1">IFERROR(__xludf.DUMMYFUNCTION("""COMPUTED_VALUE"""),"Northwest Apartments 8")</f>
        <v>Northwest Apartments 8</v>
      </c>
      <c r="C5903" s="2" t="str">
        <f ca="1">IFERROR(__xludf.DUMMYFUNCTION("""COMPUTED_VALUE"""),"Building")</f>
        <v>Building</v>
      </c>
      <c r="D5903" s="2" t="str">
        <f ca="1">IFERROR(__xludf.DUMMYFUNCTION("""COMPUTED_VALUE"""),"Dubai&gt;Green Community&gt;Green Community West&gt;Northwest Garden Apartments&gt;Northwest Apartments 8")</f>
        <v>Dubai&gt;Green Community&gt;Green Community West&gt;Northwest Garden Apartments&gt;Northwest Apartments 8</v>
      </c>
      <c r="E5903" s="2"/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</row>
    <row r="5904" spans="1:26" ht="16.5" x14ac:dyDescent="0.35">
      <c r="A5904" s="2" t="str">
        <f ca="1">IFERROR(__xludf.DUMMYFUNCTION("""COMPUTED_VALUE"""),"Dubai")</f>
        <v>Dubai</v>
      </c>
      <c r="B5904" s="2" t="str">
        <f ca="1">IFERROR(__xludf.DUMMYFUNCTION("""COMPUTED_VALUE"""),"Spirit Tower")</f>
        <v>Spirit Tower</v>
      </c>
      <c r="C5904" s="2" t="str">
        <f ca="1">IFERROR(__xludf.DUMMYFUNCTION("""COMPUTED_VALUE"""),"Building")</f>
        <v>Building</v>
      </c>
      <c r="D5904" s="2" t="str">
        <f ca="1">IFERROR(__xludf.DUMMYFUNCTION("""COMPUTED_VALUE"""),"Dubai&gt;Dubai Sports City&gt;Spirit Tower")</f>
        <v>Dubai&gt;Dubai Sports City&gt;Spirit Tower</v>
      </c>
      <c r="E5904" s="2"/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</row>
    <row r="5905" spans="1:26" ht="16.5" x14ac:dyDescent="0.35">
      <c r="A5905" s="2" t="str">
        <f ca="1">IFERROR(__xludf.DUMMYFUNCTION("""COMPUTED_VALUE"""),"Dubai")</f>
        <v>Dubai</v>
      </c>
      <c r="B5905" s="2" t="str">
        <f ca="1">IFERROR(__xludf.DUMMYFUNCTION("""COMPUTED_VALUE"""),"German Sports Tower")</f>
        <v>German Sports Tower</v>
      </c>
      <c r="C5905" s="2" t="str">
        <f ca="1">IFERROR(__xludf.DUMMYFUNCTION("""COMPUTED_VALUE"""),"Cluster")</f>
        <v>Cluster</v>
      </c>
      <c r="D5905" s="2" t="str">
        <f ca="1">IFERROR(__xludf.DUMMYFUNCTION("""COMPUTED_VALUE"""),"Dubai&gt;Dubai Sports City&gt;German Sports Tower")</f>
        <v>Dubai&gt;Dubai Sports City&gt;German Sports Tower</v>
      </c>
      <c r="E5905" s="2"/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</row>
    <row r="5906" spans="1:26" ht="16.5" x14ac:dyDescent="0.35">
      <c r="A5906" s="2" t="str">
        <f ca="1">IFERROR(__xludf.DUMMYFUNCTION("""COMPUTED_VALUE"""),"Dubai")</f>
        <v>Dubai</v>
      </c>
      <c r="B5906" s="2" t="str">
        <f ca="1">IFERROR(__xludf.DUMMYFUNCTION("""COMPUTED_VALUE"""),"Arena Mall")</f>
        <v>Arena Mall</v>
      </c>
      <c r="C5906" s="2" t="str">
        <f ca="1">IFERROR(__xludf.DUMMYFUNCTION("""COMPUTED_VALUE"""),"Building")</f>
        <v>Building</v>
      </c>
      <c r="D5906" s="2" t="str">
        <f ca="1">IFERROR(__xludf.DUMMYFUNCTION("""COMPUTED_VALUE"""),"Dubai&gt;Dubai Sports City&gt;Arena Mall")</f>
        <v>Dubai&gt;Dubai Sports City&gt;Arena Mall</v>
      </c>
      <c r="E5906" s="2"/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</row>
    <row r="5907" spans="1:26" ht="16.5" x14ac:dyDescent="0.35">
      <c r="A5907" s="2" t="str">
        <f ca="1">IFERROR(__xludf.DUMMYFUNCTION("""COMPUTED_VALUE"""),"Dubai")</f>
        <v>Dubai</v>
      </c>
      <c r="B5907" s="2" t="str">
        <f ca="1">IFERROR(__xludf.DUMMYFUNCTION("""COMPUTED_VALUE"""),"Hadley Heights 2")</f>
        <v>Hadley Heights 2</v>
      </c>
      <c r="C5907" s="2" t="str">
        <f ca="1">IFERROR(__xludf.DUMMYFUNCTION("""COMPUTED_VALUE"""),"Building")</f>
        <v>Building</v>
      </c>
      <c r="D5907" s="2" t="str">
        <f ca="1">IFERROR(__xludf.DUMMYFUNCTION("""COMPUTED_VALUE"""),"Dubai&gt;Dubai Sports City&gt;Hadley Heights 2")</f>
        <v>Dubai&gt;Dubai Sports City&gt;Hadley Heights 2</v>
      </c>
      <c r="E5907" s="2"/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</row>
    <row r="5908" spans="1:26" ht="16.5" x14ac:dyDescent="0.35">
      <c r="A5908" s="2" t="str">
        <f ca="1">IFERROR(__xludf.DUMMYFUNCTION("""COMPUTED_VALUE"""),"Dubai")</f>
        <v>Dubai</v>
      </c>
      <c r="B5908" s="2" t="str">
        <f ca="1">IFERROR(__xludf.DUMMYFUNCTION("""COMPUTED_VALUE"""),"Al Ketbi Building")</f>
        <v>Al Ketbi Building</v>
      </c>
      <c r="C5908" s="2" t="str">
        <f ca="1">IFERROR(__xludf.DUMMYFUNCTION("""COMPUTED_VALUE"""),"Building")</f>
        <v>Building</v>
      </c>
      <c r="D5908" s="2" t="str">
        <f ca="1">IFERROR(__xludf.DUMMYFUNCTION("""COMPUTED_VALUE"""),"Dubai&gt;Al Nahda (Dubai)&gt;Al Nahda 1&gt;Al Ketbi Building")</f>
        <v>Dubai&gt;Al Nahda (Dubai)&gt;Al Nahda 1&gt;Al Ketbi Building</v>
      </c>
      <c r="E5908" s="2"/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</row>
    <row r="5909" spans="1:26" ht="16.5" x14ac:dyDescent="0.35">
      <c r="A5909" s="2" t="str">
        <f ca="1">IFERROR(__xludf.DUMMYFUNCTION("""COMPUTED_VALUE"""),"Dubai")</f>
        <v>Dubai</v>
      </c>
      <c r="B5909" s="2" t="str">
        <f ca="1">IFERROR(__xludf.DUMMYFUNCTION("""COMPUTED_VALUE"""),"Pristine Private School")</f>
        <v>Pristine Private School</v>
      </c>
      <c r="C5909" s="2" t="str">
        <f ca="1">IFERROR(__xludf.DUMMYFUNCTION("""COMPUTED_VALUE"""),"School")</f>
        <v>School</v>
      </c>
      <c r="D5909" s="2" t="str">
        <f ca="1">IFERROR(__xludf.DUMMYFUNCTION("""COMPUTED_VALUE"""),"Dubai&gt;Al Nahda (Dubai)&gt;Al Nahda 2&gt;Pristine Private School")</f>
        <v>Dubai&gt;Al Nahda (Dubai)&gt;Al Nahda 2&gt;Pristine Private School</v>
      </c>
      <c r="E5909" s="2"/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</row>
    <row r="5910" spans="1:26" ht="16.5" x14ac:dyDescent="0.35">
      <c r="A5910" s="2" t="str">
        <f ca="1">IFERROR(__xludf.DUMMYFUNCTION("""COMPUTED_VALUE"""),"Dubai")</f>
        <v>Dubai</v>
      </c>
      <c r="B5910" s="2" t="str">
        <f ca="1">IFERROR(__xludf.DUMMYFUNCTION("""COMPUTED_VALUE"""),"Lootah Apartment 2")</f>
        <v>Lootah Apartment 2</v>
      </c>
      <c r="C5910" s="2" t="str">
        <f ca="1">IFERROR(__xludf.DUMMYFUNCTION("""COMPUTED_VALUE"""),"Building")</f>
        <v>Building</v>
      </c>
      <c r="D5910" s="2" t="str">
        <f ca="1">IFERROR(__xludf.DUMMYFUNCTION("""COMPUTED_VALUE"""),"Dubai&gt;Al Nahda (Dubai)&gt;Al Nahda 2&gt;Lootah Apartment 2")</f>
        <v>Dubai&gt;Al Nahda (Dubai)&gt;Al Nahda 2&gt;Lootah Apartment 2</v>
      </c>
      <c r="E5910" s="2"/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</row>
    <row r="5911" spans="1:26" ht="16.5" x14ac:dyDescent="0.35">
      <c r="A5911" s="2" t="str">
        <f ca="1">IFERROR(__xludf.DUMMYFUNCTION("""COMPUTED_VALUE"""),"Dubai")</f>
        <v>Dubai</v>
      </c>
      <c r="B5911" s="2" t="str">
        <f ca="1">IFERROR(__xludf.DUMMYFUNCTION("""COMPUTED_VALUE"""),"Saif Residence")</f>
        <v>Saif Residence</v>
      </c>
      <c r="C5911" s="2" t="str">
        <f ca="1">IFERROR(__xludf.DUMMYFUNCTION("""COMPUTED_VALUE"""),"Building")</f>
        <v>Building</v>
      </c>
      <c r="D5911" s="2" t="str">
        <f ca="1">IFERROR(__xludf.DUMMYFUNCTION("""COMPUTED_VALUE"""),"Dubai&gt;Al Nahda (Dubai)&gt;Al Nahda 2&gt;Saif Residence")</f>
        <v>Dubai&gt;Al Nahda (Dubai)&gt;Al Nahda 2&gt;Saif Residence</v>
      </c>
      <c r="E5911" s="2"/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</row>
    <row r="5912" spans="1:26" ht="16.5" x14ac:dyDescent="0.35">
      <c r="A5912" s="2" t="str">
        <f ca="1">IFERROR(__xludf.DUMMYFUNCTION("""COMPUTED_VALUE"""),"Dubai")</f>
        <v>Dubai</v>
      </c>
      <c r="B5912" s="2" t="str">
        <f ca="1">IFERROR(__xludf.DUMMYFUNCTION("""COMPUTED_VALUE"""),"Hamdan Khalifa Building")</f>
        <v>Hamdan Khalifa Building</v>
      </c>
      <c r="C5912" s="2" t="str">
        <f ca="1">IFERROR(__xludf.DUMMYFUNCTION("""COMPUTED_VALUE"""),"Building")</f>
        <v>Building</v>
      </c>
      <c r="D5912" s="2" t="str">
        <f ca="1">IFERROR(__xludf.DUMMYFUNCTION("""COMPUTED_VALUE"""),"Dubai&gt;Al Nahda (Dubai)&gt;Al Nahda 2&gt;Hamdan Khalifa Building")</f>
        <v>Dubai&gt;Al Nahda (Dubai)&gt;Al Nahda 2&gt;Hamdan Khalifa Building</v>
      </c>
      <c r="E5912" s="2"/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</row>
    <row r="5913" spans="1:26" ht="16.5" x14ac:dyDescent="0.35">
      <c r="A5913" s="2" t="str">
        <f ca="1">IFERROR(__xludf.DUMMYFUNCTION("""COMPUTED_VALUE"""),"Dubai")</f>
        <v>Dubai</v>
      </c>
      <c r="B5913" s="2" t="str">
        <f ca="1">IFERROR(__xludf.DUMMYFUNCTION("""COMPUTED_VALUE"""),"Bin Ghadayer Building")</f>
        <v>Bin Ghadayer Building</v>
      </c>
      <c r="C5913" s="2" t="str">
        <f ca="1">IFERROR(__xludf.DUMMYFUNCTION("""COMPUTED_VALUE"""),"Building")</f>
        <v>Building</v>
      </c>
      <c r="D5913" s="2" t="str">
        <f ca="1">IFERROR(__xludf.DUMMYFUNCTION("""COMPUTED_VALUE"""),"Dubai&gt;Al Nahda (Dubai)&gt;Al Nahda 2&gt;Bin Ghadayer Building")</f>
        <v>Dubai&gt;Al Nahda (Dubai)&gt;Al Nahda 2&gt;Bin Ghadayer Building</v>
      </c>
      <c r="E5913" s="2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</row>
    <row r="5914" spans="1:26" ht="16.5" x14ac:dyDescent="0.35">
      <c r="A5914" s="2" t="str">
        <f ca="1">IFERROR(__xludf.DUMMYFUNCTION("""COMPUTED_VALUE"""),"Dubai")</f>
        <v>Dubai</v>
      </c>
      <c r="B5914" s="2" t="str">
        <f ca="1">IFERROR(__xludf.DUMMYFUNCTION("""COMPUTED_VALUE"""),"Costa Brava")</f>
        <v>Costa Brava</v>
      </c>
      <c r="C5914" s="2" t="str">
        <f ca="1">IFERROR(__xludf.DUMMYFUNCTION("""COMPUTED_VALUE"""),"Neighbourhood")</f>
        <v>Neighbourhood</v>
      </c>
      <c r="D5914" s="2" t="str">
        <f ca="1">IFERROR(__xludf.DUMMYFUNCTION("""COMPUTED_VALUE"""),"Dubai&gt;DAMAC Lagoons&gt;Costa Brava")</f>
        <v>Dubai&gt;DAMAC Lagoons&gt;Costa Brava</v>
      </c>
      <c r="E5914" s="2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</row>
    <row r="5915" spans="1:26" ht="16.5" x14ac:dyDescent="0.35">
      <c r="A5915" s="2" t="str">
        <f ca="1">IFERROR(__xludf.DUMMYFUNCTION("""COMPUTED_VALUE"""),"Dubai")</f>
        <v>Dubai</v>
      </c>
      <c r="B5915" s="2" t="str">
        <f ca="1">IFERROR(__xludf.DUMMYFUNCTION("""COMPUTED_VALUE"""),"Lagoon Views 14")</f>
        <v>Lagoon Views 14</v>
      </c>
      <c r="C5915" s="2" t="str">
        <f ca="1">IFERROR(__xludf.DUMMYFUNCTION("""COMPUTED_VALUE"""),"Building")</f>
        <v>Building</v>
      </c>
      <c r="D5915" s="2" t="str">
        <f ca="1">IFERROR(__xludf.DUMMYFUNCTION("""COMPUTED_VALUE"""),"Dubai&gt;DAMAC Lagoons&gt;Lagoon Views&gt;Lagoon Views 14")</f>
        <v>Dubai&gt;DAMAC Lagoons&gt;Lagoon Views&gt;Lagoon Views 14</v>
      </c>
      <c r="E5915" s="2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</row>
    <row r="5916" spans="1:26" ht="16.5" x14ac:dyDescent="0.35">
      <c r="A5916" s="2" t="str">
        <f ca="1">IFERROR(__xludf.DUMMYFUNCTION("""COMPUTED_VALUE"""),"Dubai")</f>
        <v>Dubai</v>
      </c>
      <c r="B5916" s="2" t="str">
        <f ca="1">IFERROR(__xludf.DUMMYFUNCTION("""COMPUTED_VALUE"""),"W One Residence")</f>
        <v>W One Residence</v>
      </c>
      <c r="C5916" s="2" t="str">
        <f ca="1">IFERROR(__xludf.DUMMYFUNCTION("""COMPUTED_VALUE"""),"Building")</f>
        <v>Building</v>
      </c>
      <c r="D5916" s="2" t="str">
        <f ca="1">IFERROR(__xludf.DUMMYFUNCTION("""COMPUTED_VALUE"""),"Dubai&gt;Liwan 2&gt;W One Residence")</f>
        <v>Dubai&gt;Liwan 2&gt;W One Residence</v>
      </c>
      <c r="E5916" s="2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</row>
    <row r="5917" spans="1:26" ht="16.5" x14ac:dyDescent="0.35">
      <c r="A5917" s="2" t="str">
        <f ca="1">IFERROR(__xludf.DUMMYFUNCTION("""COMPUTED_VALUE"""),"Dubai")</f>
        <v>Dubai</v>
      </c>
      <c r="B5917" s="2" t="str">
        <f ca="1">IFERROR(__xludf.DUMMYFUNCTION("""COMPUTED_VALUE"""),"Dubai Investment Park (DIP)")</f>
        <v>Dubai Investment Park (DIP)</v>
      </c>
      <c r="C5917" s="2" t="str">
        <f ca="1">IFERROR(__xludf.DUMMYFUNCTION("""COMPUTED_VALUE"""),"Neighbourhood")</f>
        <v>Neighbourhood</v>
      </c>
      <c r="D5917" s="2" t="str">
        <f ca="1">IFERROR(__xludf.DUMMYFUNCTION("""COMPUTED_VALUE"""),"Dubai&gt;Dubai Investment Park (DIP)")</f>
        <v>Dubai&gt;Dubai Investment Park (DIP)</v>
      </c>
      <c r="E5917" s="2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</row>
    <row r="5918" spans="1:26" ht="16.5" x14ac:dyDescent="0.35">
      <c r="A5918" s="2" t="str">
        <f ca="1">IFERROR(__xludf.DUMMYFUNCTION("""COMPUTED_VALUE"""),"Dubai")</f>
        <v>Dubai</v>
      </c>
      <c r="B5918" s="2" t="str">
        <f ca="1">IFERROR(__xludf.DUMMYFUNCTION("""COMPUTED_VALUE"""),"City Compass Living")</f>
        <v>City Compass Living</v>
      </c>
      <c r="C5918" s="2" t="str">
        <f ca="1">IFERROR(__xludf.DUMMYFUNCTION("""COMPUTED_VALUE"""),"Building")</f>
        <v>Building</v>
      </c>
      <c r="D5918" s="2" t="str">
        <f ca="1">IFERROR(__xludf.DUMMYFUNCTION("""COMPUTED_VALUE"""),"Dubai&gt;Dubai Investment Park (DIP)&gt;Dubai Investment Park 1&gt;City Compass Living")</f>
        <v>Dubai&gt;Dubai Investment Park (DIP)&gt;Dubai Investment Park 1&gt;City Compass Living</v>
      </c>
      <c r="E5918" s="2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</row>
    <row r="5919" spans="1:26" ht="16.5" x14ac:dyDescent="0.35">
      <c r="A5919" s="2" t="str">
        <f ca="1">IFERROR(__xludf.DUMMYFUNCTION("""COMPUTED_VALUE"""),"Dubai")</f>
        <v>Dubai</v>
      </c>
      <c r="B5919" s="2" t="str">
        <f ca="1">IFERROR(__xludf.DUMMYFUNCTION("""COMPUTED_VALUE"""),"Palmon Group FZCO Accommodation")</f>
        <v>Palmon Group FZCO Accommodation</v>
      </c>
      <c r="C5919" s="2" t="str">
        <f ca="1">IFERROR(__xludf.DUMMYFUNCTION("""COMPUTED_VALUE"""),"Cluster")</f>
        <v>Cluster</v>
      </c>
      <c r="D5919" s="2" t="str">
        <f ca="1">IFERROR(__xludf.DUMMYFUNCTION("""COMPUTED_VALUE"""),"Dubai&gt;Dubai Investment Park (DIP)&gt;Dubai Investment Park 1&gt;Palmon Group FZCO Accommodation")</f>
        <v>Dubai&gt;Dubai Investment Park (DIP)&gt;Dubai Investment Park 1&gt;Palmon Group FZCO Accommodation</v>
      </c>
      <c r="E5919" s="2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</row>
    <row r="5920" spans="1:26" ht="16.5" x14ac:dyDescent="0.35">
      <c r="A5920" s="2" t="str">
        <f ca="1">IFERROR(__xludf.DUMMYFUNCTION("""COMPUTED_VALUE"""),"Dubai")</f>
        <v>Dubai</v>
      </c>
      <c r="B5920" s="2" t="str">
        <f ca="1">IFERROR(__xludf.DUMMYFUNCTION("""COMPUTED_VALUE"""),"RDK 1207 Building")</f>
        <v>RDK 1207 Building</v>
      </c>
      <c r="C5920" s="2" t="str">
        <f ca="1">IFERROR(__xludf.DUMMYFUNCTION("""COMPUTED_VALUE"""),"Building")</f>
        <v>Building</v>
      </c>
      <c r="D5920" s="2" t="str">
        <f ca="1">IFERROR(__xludf.DUMMYFUNCTION("""COMPUTED_VALUE"""),"Dubai&gt;Dubai Investment Park (DIP)&gt;RDK 1207 Building")</f>
        <v>Dubai&gt;Dubai Investment Park (DIP)&gt;RDK 1207 Building</v>
      </c>
      <c r="E5920" s="2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</row>
    <row r="5921" spans="1:26" ht="16.5" x14ac:dyDescent="0.35">
      <c r="A5921" s="2" t="str">
        <f ca="1">IFERROR(__xludf.DUMMYFUNCTION("""COMPUTED_VALUE"""),"Dubai")</f>
        <v>Dubai</v>
      </c>
      <c r="B5921" s="2" t="str">
        <f ca="1">IFERROR(__xludf.DUMMYFUNCTION("""COMPUTED_VALUE"""),"Dunes Village")</f>
        <v>Dunes Village</v>
      </c>
      <c r="C5921" s="2" t="str">
        <f ca="1">IFERROR(__xludf.DUMMYFUNCTION("""COMPUTED_VALUE"""),"Neighbourhood")</f>
        <v>Neighbourhood</v>
      </c>
      <c r="D5921" s="2" t="str">
        <f ca="1">IFERROR(__xludf.DUMMYFUNCTION("""COMPUTED_VALUE"""),"Dubai&gt;Dubai Investment Park (DIP)&gt;Dubai Investment Park 2&gt;Dunes Village")</f>
        <v>Dubai&gt;Dubai Investment Park (DIP)&gt;Dubai Investment Park 2&gt;Dunes Village</v>
      </c>
      <c r="E5921" s="2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</row>
    <row r="5922" spans="1:26" ht="16.5" x14ac:dyDescent="0.35">
      <c r="A5922" s="2" t="str">
        <f ca="1">IFERROR(__xludf.DUMMYFUNCTION("""COMPUTED_VALUE"""),"Dubai")</f>
        <v>Dubai</v>
      </c>
      <c r="B5922" s="2" t="str">
        <f ca="1">IFERROR(__xludf.DUMMYFUNCTION("""COMPUTED_VALUE"""),"OSR Mall")</f>
        <v>OSR Mall</v>
      </c>
      <c r="C5922" s="2" t="str">
        <f ca="1">IFERROR(__xludf.DUMMYFUNCTION("""COMPUTED_VALUE"""),"Building")</f>
        <v>Building</v>
      </c>
      <c r="D5922" s="2" t="str">
        <f ca="1">IFERROR(__xludf.DUMMYFUNCTION("""COMPUTED_VALUE"""),"Dubai&gt;Dubai Investment Park (DIP)&gt;OSR Mall")</f>
        <v>Dubai&gt;Dubai Investment Park (DIP)&gt;OSR Mall</v>
      </c>
      <c r="E5922" s="2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</row>
    <row r="5923" spans="1:26" ht="16.5" x14ac:dyDescent="0.35">
      <c r="A5923" s="2" t="str">
        <f ca="1">IFERROR(__xludf.DUMMYFUNCTION("""COMPUTED_VALUE"""),"Dubai")</f>
        <v>Dubai</v>
      </c>
      <c r="B5923" s="2" t="str">
        <f ca="1">IFERROR(__xludf.DUMMYFUNCTION("""COMPUTED_VALUE"""),"Indigo 1")</f>
        <v>Indigo 1</v>
      </c>
      <c r="C5923" s="2" t="str">
        <f ca="1">IFERROR(__xludf.DUMMYFUNCTION("""COMPUTED_VALUE"""),"Building")</f>
        <v>Building</v>
      </c>
      <c r="D5923" s="2" t="str">
        <f ca="1">IFERROR(__xludf.DUMMYFUNCTION("""COMPUTED_VALUE"""),"Dubai&gt;Dubai Investment Park (DIP)&gt;DAMAC Riverside&gt;Riverside Views&gt;Indigo 1")</f>
        <v>Dubai&gt;Dubai Investment Park (DIP)&gt;DAMAC Riverside&gt;Riverside Views&gt;Indigo 1</v>
      </c>
      <c r="E5923" s="2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</row>
    <row r="5924" spans="1:26" ht="16.5" x14ac:dyDescent="0.35">
      <c r="A5924" s="2" t="str">
        <f ca="1">IFERROR(__xludf.DUMMYFUNCTION("""COMPUTED_VALUE"""),"Dubai")</f>
        <v>Dubai</v>
      </c>
      <c r="B5924" s="2" t="str">
        <f ca="1">IFERROR(__xludf.DUMMYFUNCTION("""COMPUTED_VALUE"""),"Madison Residences")</f>
        <v>Madison Residences</v>
      </c>
      <c r="C5924" s="2" t="str">
        <f ca="1">IFERROR(__xludf.DUMMYFUNCTION("""COMPUTED_VALUE"""),"Building")</f>
        <v>Building</v>
      </c>
      <c r="D5924" s="2" t="str">
        <f ca="1">IFERROR(__xludf.DUMMYFUNCTION("""COMPUTED_VALUE"""),"Dubai&gt;Majan&gt;Madison Residences")</f>
        <v>Dubai&gt;Majan&gt;Madison Residences</v>
      </c>
      <c r="E5924" s="2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</row>
    <row r="5925" spans="1:26" ht="16.5" x14ac:dyDescent="0.35">
      <c r="A5925" s="2" t="str">
        <f ca="1">IFERROR(__xludf.DUMMYFUNCTION("""COMPUTED_VALUE"""),"Dubai")</f>
        <v>Dubai</v>
      </c>
      <c r="B5925" s="2" t="str">
        <f ca="1">IFERROR(__xludf.DUMMYFUNCTION("""COMPUTED_VALUE"""),"BMTC Building")</f>
        <v>BMTC Building</v>
      </c>
      <c r="C5925" s="2" t="str">
        <f ca="1">IFERROR(__xludf.DUMMYFUNCTION("""COMPUTED_VALUE"""),"Building")</f>
        <v>Building</v>
      </c>
      <c r="D5925" s="2" t="str">
        <f ca="1">IFERROR(__xludf.DUMMYFUNCTION("""COMPUTED_VALUE"""),"Dubai&gt;Majan&gt;BMTC Building")</f>
        <v>Dubai&gt;Majan&gt;BMTC Building</v>
      </c>
      <c r="E5925" s="2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</row>
    <row r="5926" spans="1:26" ht="16.5" x14ac:dyDescent="0.35">
      <c r="A5926" s="2" t="str">
        <f ca="1">IFERROR(__xludf.DUMMYFUNCTION("""COMPUTED_VALUE"""),"Dubai")</f>
        <v>Dubai</v>
      </c>
      <c r="B5926" s="2" t="str">
        <f ca="1">IFERROR(__xludf.DUMMYFUNCTION("""COMPUTED_VALUE"""),"Samana Barari Avenue")</f>
        <v>Samana Barari Avenue</v>
      </c>
      <c r="C5926" s="2" t="str">
        <f ca="1">IFERROR(__xludf.DUMMYFUNCTION("""COMPUTED_VALUE"""),"Building")</f>
        <v>Building</v>
      </c>
      <c r="D5926" s="2" t="str">
        <f ca="1">IFERROR(__xludf.DUMMYFUNCTION("""COMPUTED_VALUE"""),"Dubai&gt;Majan&gt;Samana Barari Avenue")</f>
        <v>Dubai&gt;Majan&gt;Samana Barari Avenue</v>
      </c>
      <c r="E5926" s="2"/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</row>
    <row r="5927" spans="1:26" ht="16.5" x14ac:dyDescent="0.35">
      <c r="A5927" s="2" t="str">
        <f ca="1">IFERROR(__xludf.DUMMYFUNCTION("""COMPUTED_VALUE"""),"Dubai")</f>
        <v>Dubai</v>
      </c>
      <c r="B5927" s="2" t="str">
        <f ca="1">IFERROR(__xludf.DUMMYFUNCTION("""COMPUTED_VALUE"""),"Al Thanyah 4")</f>
        <v>Al Thanyah 4</v>
      </c>
      <c r="C5927" s="2" t="str">
        <f ca="1">IFERROR(__xludf.DUMMYFUNCTION("""COMPUTED_VALUE"""),"Neighbourhood")</f>
        <v>Neighbourhood</v>
      </c>
      <c r="D5927" s="2" t="str">
        <f ca="1">IFERROR(__xludf.DUMMYFUNCTION("""COMPUTED_VALUE"""),"Dubai&gt;Al Thanyah 4")</f>
        <v>Dubai&gt;Al Thanyah 4</v>
      </c>
      <c r="E5927" s="2"/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</row>
    <row r="5928" spans="1:26" ht="16.5" x14ac:dyDescent="0.35">
      <c r="A5928" s="2" t="str">
        <f ca="1">IFERROR(__xludf.DUMMYFUNCTION("""COMPUTED_VALUE"""),"Dubai")</f>
        <v>Dubai</v>
      </c>
      <c r="B5928" s="2" t="str">
        <f ca="1">IFERROR(__xludf.DUMMYFUNCTION("""COMPUTED_VALUE"""),"Olivara Residences 1")</f>
        <v>Olivara Residences 1</v>
      </c>
      <c r="C5928" s="2" t="str">
        <f ca="1">IFERROR(__xludf.DUMMYFUNCTION("""COMPUTED_VALUE"""),"Building")</f>
        <v>Building</v>
      </c>
      <c r="D5928" s="2" t="str">
        <f ca="1">IFERROR(__xludf.DUMMYFUNCTION("""COMPUTED_VALUE"""),"Dubai&gt;Dubai Studio City&gt;Olivara Residences&gt;Olivara Residences 1")</f>
        <v>Dubai&gt;Dubai Studio City&gt;Olivara Residences&gt;Olivara Residences 1</v>
      </c>
      <c r="E5928" s="2"/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</row>
    <row r="5929" spans="1:26" ht="16.5" x14ac:dyDescent="0.35">
      <c r="A5929" s="2" t="str">
        <f ca="1">IFERROR(__xludf.DUMMYFUNCTION("""COMPUTED_VALUE"""),"Dubai")</f>
        <v>Dubai</v>
      </c>
      <c r="B5929" s="2" t="str">
        <f ca="1">IFERROR(__xludf.DUMMYFUNCTION("""COMPUTED_VALUE"""),"BS-14")</f>
        <v>BS-14</v>
      </c>
      <c r="C5929" s="2" t="str">
        <f ca="1">IFERROR(__xludf.DUMMYFUNCTION("""COMPUTED_VALUE"""),"Building")</f>
        <v>Building</v>
      </c>
      <c r="D5929" s="2" t="str">
        <f ca="1">IFERROR(__xludf.DUMMYFUNCTION("""COMPUTED_VALUE"""),"Dubai&gt;Dubai Studio City&gt;Boutique Studios&gt;BS-14")</f>
        <v>Dubai&gt;Dubai Studio City&gt;Boutique Studios&gt;BS-14</v>
      </c>
      <c r="E5929" s="2"/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</row>
    <row r="5930" spans="1:26" ht="16.5" x14ac:dyDescent="0.35">
      <c r="A5930" s="2" t="str">
        <f ca="1">IFERROR(__xludf.DUMMYFUNCTION("""COMPUTED_VALUE"""),"Dubai")</f>
        <v>Dubai</v>
      </c>
      <c r="B5930" s="2" t="str">
        <f ca="1">IFERROR(__xludf.DUMMYFUNCTION("""COMPUTED_VALUE"""),"Gemini Splendor")</f>
        <v>Gemini Splendor</v>
      </c>
      <c r="C5930" s="2" t="str">
        <f ca="1">IFERROR(__xludf.DUMMYFUNCTION("""COMPUTED_VALUE"""),"Building")</f>
        <v>Building</v>
      </c>
      <c r="D5930" s="2" t="str">
        <f ca="1">IFERROR(__xludf.DUMMYFUNCTION("""COMPUTED_VALUE"""),"Dubai&gt;Sobha Hartland&gt;Gemini Splendor")</f>
        <v>Dubai&gt;Sobha Hartland&gt;Gemini Splendor</v>
      </c>
      <c r="E5930" s="2"/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</row>
    <row r="5931" spans="1:26" ht="16.5" x14ac:dyDescent="0.35">
      <c r="A5931" s="2" t="str">
        <f ca="1">IFERROR(__xludf.DUMMYFUNCTION("""COMPUTED_VALUE"""),"Dubai")</f>
        <v>Dubai</v>
      </c>
      <c r="B5931" s="2" t="str">
        <f ca="1">IFERROR(__xludf.DUMMYFUNCTION("""COMPUTED_VALUE"""),"Crest Grande")</f>
        <v>Crest Grande</v>
      </c>
      <c r="C5931" s="2" t="str">
        <f ca="1">IFERROR(__xludf.DUMMYFUNCTION("""COMPUTED_VALUE"""),"Building")</f>
        <v>Building</v>
      </c>
      <c r="D5931" s="2" t="str">
        <f ca="1">IFERROR(__xludf.DUMMYFUNCTION("""COMPUTED_VALUE"""),"Dubai&gt;Sobha Hartland&gt;Crest Grande")</f>
        <v>Dubai&gt;Sobha Hartland&gt;Crest Grande</v>
      </c>
      <c r="E5931" s="2"/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</row>
    <row r="5932" spans="1:26" ht="16.5" x14ac:dyDescent="0.35">
      <c r="A5932" s="2" t="str">
        <f ca="1">IFERROR(__xludf.DUMMYFUNCTION("""COMPUTED_VALUE"""),"Dubai")</f>
        <v>Dubai</v>
      </c>
      <c r="B5932" s="2" t="str">
        <f ca="1">IFERROR(__xludf.DUMMYFUNCTION("""COMPUTED_VALUE"""),"Rove Expo 2020")</f>
        <v>Rove Expo 2020</v>
      </c>
      <c r="C5932" s="2" t="str">
        <f ca="1">IFERROR(__xludf.DUMMYFUNCTION("""COMPUTED_VALUE"""),"Building")</f>
        <v>Building</v>
      </c>
      <c r="D5932" s="2" t="str">
        <f ca="1">IFERROR(__xludf.DUMMYFUNCTION("""COMPUTED_VALUE"""),"Dubai&gt;Expo City&gt;Rove Expo 2020")</f>
        <v>Dubai&gt;Expo City&gt;Rove Expo 2020</v>
      </c>
      <c r="E5932" s="2"/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</row>
    <row r="5933" spans="1:26" ht="16.5" x14ac:dyDescent="0.35">
      <c r="A5933" s="2" t="str">
        <f ca="1">IFERROR(__xludf.DUMMYFUNCTION("""COMPUTED_VALUE"""),"Dubai")</f>
        <v>Dubai</v>
      </c>
      <c r="B5933" s="2" t="str">
        <f ca="1">IFERROR(__xludf.DUMMYFUNCTION("""COMPUTED_VALUE"""),"Expo Valley Views Building 7")</f>
        <v>Expo Valley Views Building 7</v>
      </c>
      <c r="C5933" s="2" t="str">
        <f ca="1">IFERROR(__xludf.DUMMYFUNCTION("""COMPUTED_VALUE"""),"Building")</f>
        <v>Building</v>
      </c>
      <c r="D5933" s="2" t="str">
        <f ca="1">IFERROR(__xludf.DUMMYFUNCTION("""COMPUTED_VALUE"""),"Dubai&gt;Expo City&gt;Expo Valley&gt;Expo Valley Views&gt;Expo Valley Views Building 7")</f>
        <v>Dubai&gt;Expo City&gt;Expo Valley&gt;Expo Valley Views&gt;Expo Valley Views Building 7</v>
      </c>
      <c r="E5933" s="2"/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</row>
    <row r="5934" spans="1:26" ht="16.5" x14ac:dyDescent="0.35">
      <c r="A5934" s="2" t="str">
        <f ca="1">IFERROR(__xludf.DUMMYFUNCTION("""COMPUTED_VALUE"""),"Dubai")</f>
        <v>Dubai</v>
      </c>
      <c r="B5934" s="2" t="str">
        <f ca="1">IFERROR(__xludf.DUMMYFUNCTION("""COMPUTED_VALUE"""),"Lebanon Island")</f>
        <v>Lebanon Island</v>
      </c>
      <c r="C5934" s="2" t="str">
        <f ca="1">IFERROR(__xludf.DUMMYFUNCTION("""COMPUTED_VALUE"""),"Neighbourhood")</f>
        <v>Neighbourhood</v>
      </c>
      <c r="D5934" s="2" t="str">
        <f ca="1">IFERROR(__xludf.DUMMYFUNCTION("""COMPUTED_VALUE"""),"Dubai&gt;The World Islands&gt;Lebanon Island")</f>
        <v>Dubai&gt;The World Islands&gt;Lebanon Island</v>
      </c>
      <c r="E5934" s="2"/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</row>
    <row r="5935" spans="1:26" ht="16.5" x14ac:dyDescent="0.35">
      <c r="A5935" s="2" t="str">
        <f ca="1">IFERROR(__xludf.DUMMYFUNCTION("""COMPUTED_VALUE"""),"Dubai")</f>
        <v>Dubai</v>
      </c>
      <c r="B5935" s="2" t="str">
        <f ca="1">IFERROR(__xludf.DUMMYFUNCTION("""COMPUTED_VALUE"""),"Umm Eselay")</f>
        <v>Umm Eselay</v>
      </c>
      <c r="C5935" s="2" t="str">
        <f ca="1">IFERROR(__xludf.DUMMYFUNCTION("""COMPUTED_VALUE"""),"Neighbourhood")</f>
        <v>Neighbourhood</v>
      </c>
      <c r="D5935" s="2" t="str">
        <f ca="1">IFERROR(__xludf.DUMMYFUNCTION("""COMPUTED_VALUE"""),"Dubai&gt;Umm Eselay")</f>
        <v>Dubai&gt;Umm Eselay</v>
      </c>
      <c r="E5935" s="2"/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</row>
    <row r="5936" spans="1:26" ht="16.5" x14ac:dyDescent="0.35">
      <c r="A5936" s="2" t="str">
        <f ca="1">IFERROR(__xludf.DUMMYFUNCTION("""COMPUTED_VALUE"""),"Dubai")</f>
        <v>Dubai</v>
      </c>
      <c r="B5936" s="2" t="str">
        <f ca="1">IFERROR(__xludf.DUMMYFUNCTION("""COMPUTED_VALUE"""),"Teal")</f>
        <v>Teal</v>
      </c>
      <c r="C5936" s="2" t="str">
        <f ca="1">IFERROR(__xludf.DUMMYFUNCTION("""COMPUTED_VALUE"""),"Building")</f>
        <v>Building</v>
      </c>
      <c r="D5936" s="2" t="str">
        <f ca="1">IFERROR(__xludf.DUMMYFUNCTION("""COMPUTED_VALUE"""),"Dubai&gt;Athlon by Aldar&gt;Rise by Athlon&gt;Teal")</f>
        <v>Dubai&gt;Athlon by Aldar&gt;Rise by Athlon&gt;Teal</v>
      </c>
      <c r="E5936" s="2"/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</row>
    <row r="5937" spans="1:26" ht="16.5" x14ac:dyDescent="0.35">
      <c r="A5937" s="2" t="str">
        <f ca="1">IFERROR(__xludf.DUMMYFUNCTION("""COMPUTED_VALUE"""),"Dubai")</f>
        <v>Dubai</v>
      </c>
      <c r="B5937" s="2" t="str">
        <f ca="1">IFERROR(__xludf.DUMMYFUNCTION("""COMPUTED_VALUE"""),"Distrikt 4")</f>
        <v>Distrikt 4</v>
      </c>
      <c r="C5937" s="2" t="str">
        <f ca="1">IFERROR(__xludf.DUMMYFUNCTION("""COMPUTED_VALUE"""),"Building")</f>
        <v>Building</v>
      </c>
      <c r="D5937" s="2" t="str">
        <f ca="1">IFERROR(__xludf.DUMMYFUNCTION("""COMPUTED_VALUE"""),"Dubai&gt;Ghaf Woods&gt;Distrikt&gt;Distrikt 4")</f>
        <v>Dubai&gt;Ghaf Woods&gt;Distrikt&gt;Distrikt 4</v>
      </c>
      <c r="E5937" s="2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</row>
    <row r="5938" spans="1:26" ht="16.5" x14ac:dyDescent="0.35">
      <c r="A5938" s="2" t="str">
        <f ca="1">IFERROR(__xludf.DUMMYFUNCTION("""COMPUTED_VALUE"""),"Dubai")</f>
        <v>Dubai</v>
      </c>
      <c r="B5938" s="2" t="str">
        <f ca="1">IFERROR(__xludf.DUMMYFUNCTION("""COMPUTED_VALUE"""),"Shams 1")</f>
        <v>Shams 1</v>
      </c>
      <c r="C5938" s="2" t="str">
        <f ca="1">IFERROR(__xludf.DUMMYFUNCTION("""COMPUTED_VALUE"""),"Building")</f>
        <v>Building</v>
      </c>
      <c r="D5938" s="2" t="str">
        <f ca="1">IFERROR(__xludf.DUMMYFUNCTION("""COMPUTED_VALUE"""),"Dubai&gt;Jumeirah Beach Residence (JBR)&gt;Shams&gt;Shams 1")</f>
        <v>Dubai&gt;Jumeirah Beach Residence (JBR)&gt;Shams&gt;Shams 1</v>
      </c>
      <c r="E5938" s="2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</row>
    <row r="5939" spans="1:26" ht="16.5" x14ac:dyDescent="0.35">
      <c r="A5939" s="2" t="str">
        <f ca="1">IFERROR(__xludf.DUMMYFUNCTION("""COMPUTED_VALUE"""),"Dubai")</f>
        <v>Dubai</v>
      </c>
      <c r="B5939" s="2" t="str">
        <f ca="1">IFERROR(__xludf.DUMMYFUNCTION("""COMPUTED_VALUE"""),"Fun and Play JBR")</f>
        <v>Fun and Play JBR</v>
      </c>
      <c r="C5939" s="2" t="str">
        <f ca="1">IFERROR(__xludf.DUMMYFUNCTION("""COMPUTED_VALUE"""),"Nursery")</f>
        <v>Nursery</v>
      </c>
      <c r="D5939" s="2" t="str">
        <f ca="1">IFERROR(__xludf.DUMMYFUNCTION("""COMPUTED_VALUE"""),"Dubai&gt;Jumeirah Beach Residence (JBR)&gt;Sadaf&gt;Fun and Play JBR")</f>
        <v>Dubai&gt;Jumeirah Beach Residence (JBR)&gt;Sadaf&gt;Fun and Play JBR</v>
      </c>
      <c r="E5939" s="2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</row>
    <row r="5940" spans="1:26" ht="16.5" x14ac:dyDescent="0.35">
      <c r="A5940" s="2" t="str">
        <f ca="1">IFERROR(__xludf.DUMMYFUNCTION("""COMPUTED_VALUE"""),"Dubai")</f>
        <v>Dubai</v>
      </c>
      <c r="B5940" s="2" t="str">
        <f ca="1">IFERROR(__xludf.DUMMYFUNCTION("""COMPUTED_VALUE"""),"Blue Beach Tower")</f>
        <v>Blue Beach Tower</v>
      </c>
      <c r="C5940" s="2" t="str">
        <f ca="1">IFERROR(__xludf.DUMMYFUNCTION("""COMPUTED_VALUE"""),"Building")</f>
        <v>Building</v>
      </c>
      <c r="D5940" s="2" t="str">
        <f ca="1">IFERROR(__xludf.DUMMYFUNCTION("""COMPUTED_VALUE"""),"Dubai&gt;Jumeirah Beach Residence (JBR)&gt;Al Fattan Marine Towers&gt;Blue Beach Tower")</f>
        <v>Dubai&gt;Jumeirah Beach Residence (JBR)&gt;Al Fattan Marine Towers&gt;Blue Beach Tower</v>
      </c>
      <c r="E5940" s="2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</row>
    <row r="5941" spans="1:26" ht="16.5" x14ac:dyDescent="0.35">
      <c r="A5941" s="2" t="str">
        <f ca="1">IFERROR(__xludf.DUMMYFUNCTION("""COMPUTED_VALUE"""),"Dubai")</f>
        <v>Dubai</v>
      </c>
      <c r="B5941" s="2" t="str">
        <f ca="1">IFERROR(__xludf.DUMMYFUNCTION("""COMPUTED_VALUE"""),"Bahamas 2")</f>
        <v>Bahamas 2</v>
      </c>
      <c r="C5941" s="2" t="str">
        <f ca="1">IFERROR(__xludf.DUMMYFUNCTION("""COMPUTED_VALUE"""),"Neighbourhood")</f>
        <v>Neighbourhood</v>
      </c>
      <c r="D5941" s="2" t="str">
        <f ca="1">IFERROR(__xludf.DUMMYFUNCTION("""COMPUTED_VALUE"""),"Dubai&gt;DAMAC Islands 2&gt;Bahamas 2")</f>
        <v>Dubai&gt;DAMAC Islands 2&gt;Bahamas 2</v>
      </c>
      <c r="E5941" s="2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</row>
    <row r="5942" spans="1:26" ht="16.5" x14ac:dyDescent="0.35">
      <c r="A5942" s="2" t="str">
        <f ca="1">IFERROR(__xludf.DUMMYFUNCTION("""COMPUTED_VALUE"""),"Dubai")</f>
        <v>Dubai</v>
      </c>
      <c r="B5942" s="2" t="str">
        <f ca="1">IFERROR(__xludf.DUMMYFUNCTION("""COMPUTED_VALUE"""),"Building 22")</f>
        <v>Building 22</v>
      </c>
      <c r="C5942" s="2" t="str">
        <f ca="1">IFERROR(__xludf.DUMMYFUNCTION("""COMPUTED_VALUE"""),"Building")</f>
        <v>Building</v>
      </c>
      <c r="D5942" s="2" t="str">
        <f ca="1">IFERROR(__xludf.DUMMYFUNCTION("""COMPUTED_VALUE"""),"Dubai&gt;Al Wasl&gt;City Walk&gt;Building 22")</f>
        <v>Dubai&gt;Al Wasl&gt;City Walk&gt;Building 22</v>
      </c>
      <c r="E5942" s="2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</row>
    <row r="5943" spans="1:26" ht="16.5" x14ac:dyDescent="0.35">
      <c r="A5943" s="2" t="str">
        <f ca="1">IFERROR(__xludf.DUMMYFUNCTION("""COMPUTED_VALUE"""),"Dubai")</f>
        <v>Dubai</v>
      </c>
      <c r="B5943" s="2" t="str">
        <f ca="1">IFERROR(__xludf.DUMMYFUNCTION("""COMPUTED_VALUE"""),"Building 11B")</f>
        <v>Building 11B</v>
      </c>
      <c r="C5943" s="2" t="str">
        <f ca="1">IFERROR(__xludf.DUMMYFUNCTION("""COMPUTED_VALUE"""),"Building")</f>
        <v>Building</v>
      </c>
      <c r="D5943" s="2" t="str">
        <f ca="1">IFERROR(__xludf.DUMMYFUNCTION("""COMPUTED_VALUE"""),"Dubai&gt;Al Wasl&gt;City Walk&gt;Building 11B")</f>
        <v>Dubai&gt;Al Wasl&gt;City Walk&gt;Building 11B</v>
      </c>
      <c r="E5943" s="2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</row>
    <row r="5944" spans="1:26" ht="16.5" x14ac:dyDescent="0.35">
      <c r="A5944" s="2" t="str">
        <f ca="1">IFERROR(__xludf.DUMMYFUNCTION("""COMPUTED_VALUE"""),"Dubai")</f>
        <v>Dubai</v>
      </c>
      <c r="B5944" s="2" t="str">
        <f ca="1">IFERROR(__xludf.DUMMYFUNCTION("""COMPUTED_VALUE"""),"City Walk Crestlane 4 Building B")</f>
        <v>City Walk Crestlane 4 Building B</v>
      </c>
      <c r="C5944" s="2" t="str">
        <f ca="1">IFERROR(__xludf.DUMMYFUNCTION("""COMPUTED_VALUE"""),"Building")</f>
        <v>Building</v>
      </c>
      <c r="D5944" s="2" t="str">
        <f ca="1">IFERROR(__xludf.DUMMYFUNCTION("""COMPUTED_VALUE"""),"Dubai&gt;Al Wasl&gt;City Walk&gt;City Walk Crestlane 4&gt;City Walk Crestlane 4 Building B")</f>
        <v>Dubai&gt;Al Wasl&gt;City Walk&gt;City Walk Crestlane 4&gt;City Walk Crestlane 4 Building B</v>
      </c>
      <c r="E5944" s="2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</row>
    <row r="5945" spans="1:26" ht="16.5" x14ac:dyDescent="0.35">
      <c r="A5945" s="2" t="str">
        <f ca="1">IFERROR(__xludf.DUMMYFUNCTION("""COMPUTED_VALUE"""),"Dubai")</f>
        <v>Dubai</v>
      </c>
      <c r="B5945" s="2" t="str">
        <f ca="1">IFERROR(__xludf.DUMMYFUNCTION("""COMPUTED_VALUE"""),"Eden House The Park Building D")</f>
        <v>Eden House The Park Building D</v>
      </c>
      <c r="C5945" s="2" t="str">
        <f ca="1">IFERROR(__xludf.DUMMYFUNCTION("""COMPUTED_VALUE"""),"Building")</f>
        <v>Building</v>
      </c>
      <c r="D5945" s="2" t="str">
        <f ca="1">IFERROR(__xludf.DUMMYFUNCTION("""COMPUTED_VALUE"""),"Dubai&gt;Al Wasl&gt;Eden House The Park&gt;Eden House The Park Building D")</f>
        <v>Dubai&gt;Al Wasl&gt;Eden House The Park&gt;Eden House The Park Building D</v>
      </c>
      <c r="E5945" s="2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</row>
    <row r="5946" spans="1:26" ht="16.5" x14ac:dyDescent="0.35">
      <c r="A5946" s="2" t="str">
        <f ca="1">IFERROR(__xludf.DUMMYFUNCTION("""COMPUTED_VALUE"""),"Dubai")</f>
        <v>Dubai</v>
      </c>
      <c r="B5946" s="2" t="str">
        <f ca="1">IFERROR(__xludf.DUMMYFUNCTION("""COMPUTED_VALUE"""),"Q Gardens Boutique Residences Block B")</f>
        <v>Q Gardens Boutique Residences Block B</v>
      </c>
      <c r="C5946" s="2" t="str">
        <f ca="1">IFERROR(__xludf.DUMMYFUNCTION("""COMPUTED_VALUE"""),"Building")</f>
        <v>Building</v>
      </c>
      <c r="D5946" s="2" t="str">
        <f ca="1">IFERROR(__xludf.DUMMYFUNCTION("""COMPUTED_VALUE"""),"Dubai&gt;Arjan&gt;Q Gardens Boutique Residences&gt;Q Gardens Boutique Residences Block B")</f>
        <v>Dubai&gt;Arjan&gt;Q Gardens Boutique Residences&gt;Q Gardens Boutique Residences Block B</v>
      </c>
      <c r="E5946" s="2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</row>
    <row r="5947" spans="1:26" ht="16.5" x14ac:dyDescent="0.35">
      <c r="A5947" s="2" t="str">
        <f ca="1">IFERROR(__xludf.DUMMYFUNCTION("""COMPUTED_VALUE"""),"Dubai")</f>
        <v>Dubai</v>
      </c>
      <c r="B5947" s="2" t="str">
        <f ca="1">IFERROR(__xludf.DUMMYFUNCTION("""COMPUTED_VALUE"""),"Diamond Business Centre Block A")</f>
        <v>Diamond Business Centre Block A</v>
      </c>
      <c r="C5947" s="2" t="str">
        <f ca="1">IFERROR(__xludf.DUMMYFUNCTION("""COMPUTED_VALUE"""),"Building")</f>
        <v>Building</v>
      </c>
      <c r="D5947" s="2" t="str">
        <f ca="1">IFERROR(__xludf.DUMMYFUNCTION("""COMPUTED_VALUE"""),"Dubai&gt;Arjan&gt;Diamond Business Centre&gt;Diamond Business Centre Block A")</f>
        <v>Dubai&gt;Arjan&gt;Diamond Business Centre&gt;Diamond Business Centre Block A</v>
      </c>
      <c r="E5947" s="2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</row>
    <row r="5948" spans="1:26" ht="16.5" x14ac:dyDescent="0.35">
      <c r="A5948" s="2" t="str">
        <f ca="1">IFERROR(__xludf.DUMMYFUNCTION("""COMPUTED_VALUE"""),"Dubai")</f>
        <v>Dubai</v>
      </c>
      <c r="B5948" s="2" t="str">
        <f ca="1">IFERROR(__xludf.DUMMYFUNCTION("""COMPUTED_VALUE"""),"The Wings C")</f>
        <v>The Wings C</v>
      </c>
      <c r="C5948" s="2" t="str">
        <f ca="1">IFERROR(__xludf.DUMMYFUNCTION("""COMPUTED_VALUE"""),"Building")</f>
        <v>Building</v>
      </c>
      <c r="D5948" s="2" t="str">
        <f ca="1">IFERROR(__xludf.DUMMYFUNCTION("""COMPUTED_VALUE"""),"Dubai&gt;Arjan&gt;The Wings&gt;The Wings C")</f>
        <v>Dubai&gt;Arjan&gt;The Wings&gt;The Wings C</v>
      </c>
      <c r="E5948" s="2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</row>
    <row r="5949" spans="1:26" ht="16.5" x14ac:dyDescent="0.35">
      <c r="A5949" s="2" t="str">
        <f ca="1">IFERROR(__xludf.DUMMYFUNCTION("""COMPUTED_VALUE"""),"Dubai")</f>
        <v>Dubai</v>
      </c>
      <c r="B5949" s="2" t="str">
        <f ca="1">IFERROR(__xludf.DUMMYFUNCTION("""COMPUTED_VALUE"""),"Park Terrace")</f>
        <v>Park Terrace</v>
      </c>
      <c r="C5949" s="2" t="str">
        <f ca="1">IFERROR(__xludf.DUMMYFUNCTION("""COMPUTED_VALUE"""),"Building")</f>
        <v>Building</v>
      </c>
      <c r="D5949" s="2" t="str">
        <f ca="1">IFERROR(__xludf.DUMMYFUNCTION("""COMPUTED_VALUE"""),"Dubai&gt;Arjan&gt;Park Terrace")</f>
        <v>Dubai&gt;Arjan&gt;Park Terrace</v>
      </c>
      <c r="E5949" s="2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</row>
    <row r="5950" spans="1:26" ht="16.5" x14ac:dyDescent="0.35">
      <c r="A5950" s="2" t="str">
        <f ca="1">IFERROR(__xludf.DUMMYFUNCTION("""COMPUTED_VALUE"""),"Dubai")</f>
        <v>Dubai</v>
      </c>
      <c r="B5950" s="2" t="str">
        <f ca="1">IFERROR(__xludf.DUMMYFUNCTION("""COMPUTED_VALUE"""),"Curve by Sentro")</f>
        <v>Curve by Sentro</v>
      </c>
      <c r="C5950" s="2" t="str">
        <f ca="1">IFERROR(__xludf.DUMMYFUNCTION("""COMPUTED_VALUE"""),"Building")</f>
        <v>Building</v>
      </c>
      <c r="D5950" s="2" t="str">
        <f ca="1">IFERROR(__xludf.DUMMYFUNCTION("""COMPUTED_VALUE"""),"Dubai&gt;Arjan&gt;Curve by Sentro")</f>
        <v>Dubai&gt;Arjan&gt;Curve by Sentro</v>
      </c>
      <c r="E5950" s="2"/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</row>
    <row r="5951" spans="1:26" ht="16.5" x14ac:dyDescent="0.35">
      <c r="A5951" s="2" t="str">
        <f ca="1">IFERROR(__xludf.DUMMYFUNCTION("""COMPUTED_VALUE"""),"Dubai")</f>
        <v>Dubai</v>
      </c>
      <c r="B5951" s="2" t="str">
        <f ca="1">IFERROR(__xludf.DUMMYFUNCTION("""COMPUTED_VALUE"""),"Aria Gardens A")</f>
        <v>Aria Gardens A</v>
      </c>
      <c r="C5951" s="2" t="str">
        <f ca="1">IFERROR(__xludf.DUMMYFUNCTION("""COMPUTED_VALUE"""),"Building")</f>
        <v>Building</v>
      </c>
      <c r="D5951" s="2" t="str">
        <f ca="1">IFERROR(__xludf.DUMMYFUNCTION("""COMPUTED_VALUE"""),"Dubai&gt;Arjan&gt;Aria Gardens&gt;Aria Gardens A")</f>
        <v>Dubai&gt;Arjan&gt;Aria Gardens&gt;Aria Gardens A</v>
      </c>
      <c r="E5951" s="2"/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</row>
    <row r="5952" spans="1:26" ht="16.5" x14ac:dyDescent="0.35">
      <c r="A5952" s="2" t="str">
        <f ca="1">IFERROR(__xludf.DUMMYFUNCTION("""COMPUTED_VALUE"""),"Dubai")</f>
        <v>Dubai</v>
      </c>
      <c r="B5952" s="2" t="str">
        <f ca="1">IFERROR(__xludf.DUMMYFUNCTION("""COMPUTED_VALUE"""),"GEMS Jumeirah Primary School")</f>
        <v>GEMS Jumeirah Primary School</v>
      </c>
      <c r="C5952" s="2" t="str">
        <f ca="1">IFERROR(__xludf.DUMMYFUNCTION("""COMPUTED_VALUE"""),"School")</f>
        <v>School</v>
      </c>
      <c r="D5952" s="2" t="str">
        <f ca="1">IFERROR(__xludf.DUMMYFUNCTION("""COMPUTED_VALUE"""),"Dubai&gt;Al Safa&gt;Al Safa 1&gt;GEMS Jumeirah Primary School")</f>
        <v>Dubai&gt;Al Safa&gt;Al Safa 1&gt;GEMS Jumeirah Primary School</v>
      </c>
      <c r="E5952" s="2"/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</row>
    <row r="5953" spans="1:26" ht="16.5" x14ac:dyDescent="0.35">
      <c r="A5953" s="2" t="str">
        <f ca="1">IFERROR(__xludf.DUMMYFUNCTION("""COMPUTED_VALUE"""),"Dubai")</f>
        <v>Dubai</v>
      </c>
      <c r="B5953" s="2" t="str">
        <f ca="1">IFERROR(__xludf.DUMMYFUNCTION("""COMPUTED_VALUE"""),"DMC 6")</f>
        <v>DMC 6</v>
      </c>
      <c r="C5953" s="2" t="str">
        <f ca="1">IFERROR(__xludf.DUMMYFUNCTION("""COMPUTED_VALUE"""),"Building")</f>
        <v>Building</v>
      </c>
      <c r="D5953" s="2" t="str">
        <f ca="1">IFERROR(__xludf.DUMMYFUNCTION("""COMPUTED_VALUE"""),"Dubai&gt;Dubai Media City&gt;DMC 6")</f>
        <v>Dubai&gt;Dubai Media City&gt;DMC 6</v>
      </c>
      <c r="E5953" s="2"/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</row>
    <row r="5954" spans="1:26" ht="16.5" x14ac:dyDescent="0.35">
      <c r="A5954" s="2" t="str">
        <f ca="1">IFERROR(__xludf.DUMMYFUNCTION("""COMPUTED_VALUE"""),"Abu Dhabi")</f>
        <v>Abu Dhabi</v>
      </c>
      <c r="B5954" s="2" t="str">
        <f ca="1">IFERROR(__xludf.DUMMYFUNCTION("""COMPUTED_VALUE"""),"Emirates National School - Al Nahyan")</f>
        <v>Emirates National School - Al Nahyan</v>
      </c>
      <c r="C5954" s="2" t="str">
        <f ca="1">IFERROR(__xludf.DUMMYFUNCTION("""COMPUTED_VALUE"""),"School")</f>
        <v>School</v>
      </c>
      <c r="D5954" s="2" t="str">
        <f ca="1">IFERROR(__xludf.DUMMYFUNCTION("""COMPUTED_VALUE"""),"Abu Dhabi&gt;Al Nahyan&gt;Emirates National School - Al Nahyan")</f>
        <v>Abu Dhabi&gt;Al Nahyan&gt;Emirates National School - Al Nahyan</v>
      </c>
      <c r="E5954" s="2"/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</row>
    <row r="5955" spans="1:26" ht="16.5" x14ac:dyDescent="0.35">
      <c r="A5955" s="2" t="str">
        <f ca="1">IFERROR(__xludf.DUMMYFUNCTION("""COMPUTED_VALUE"""),"Abu Dhabi")</f>
        <v>Abu Dhabi</v>
      </c>
      <c r="B5955" s="2" t="str">
        <f ca="1">IFERROR(__xludf.DUMMYFUNCTION("""COMPUTED_VALUE"""),"Al Marasy")</f>
        <v>Al Marasy</v>
      </c>
      <c r="C5955" s="2" t="str">
        <f ca="1">IFERROR(__xludf.DUMMYFUNCTION("""COMPUTED_VALUE"""),"Building")</f>
        <v>Building</v>
      </c>
      <c r="D5955" s="2" t="str">
        <f ca="1">IFERROR(__xludf.DUMMYFUNCTION("""COMPUTED_VALUE"""),"Abu Dhabi&gt;Al Bateen&gt;Al Marasy")</f>
        <v>Abu Dhabi&gt;Al Bateen&gt;Al Marasy</v>
      </c>
      <c r="E5955" s="2"/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</row>
    <row r="5956" spans="1:26" ht="16.5" x14ac:dyDescent="0.35">
      <c r="A5956" s="2" t="str">
        <f ca="1">IFERROR(__xludf.DUMMYFUNCTION("""COMPUTED_VALUE"""),"Abu Dhabi")</f>
        <v>Abu Dhabi</v>
      </c>
      <c r="B5956" s="2" t="str">
        <f ca="1">IFERROR(__xludf.DUMMYFUNCTION("""COMPUTED_VALUE"""),"Owaida Tower")</f>
        <v>Owaida Tower</v>
      </c>
      <c r="C5956" s="2" t="str">
        <f ca="1">IFERROR(__xludf.DUMMYFUNCTION("""COMPUTED_VALUE"""),"Building")</f>
        <v>Building</v>
      </c>
      <c r="D5956" s="2" t="str">
        <f ca="1">IFERROR(__xludf.DUMMYFUNCTION("""COMPUTED_VALUE"""),"Abu Dhabi&gt;Airport Street&gt;Owaida Tower")</f>
        <v>Abu Dhabi&gt;Airport Street&gt;Owaida Tower</v>
      </c>
      <c r="E5956" s="2"/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</row>
    <row r="5957" spans="1:26" ht="16.5" x14ac:dyDescent="0.35">
      <c r="A5957" s="2" t="str">
        <f ca="1">IFERROR(__xludf.DUMMYFUNCTION("""COMPUTED_VALUE"""),"Abu Dhabi")</f>
        <v>Abu Dhabi</v>
      </c>
      <c r="B5957" s="2" t="str">
        <f ca="1">IFERROR(__xludf.DUMMYFUNCTION("""COMPUTED_VALUE"""),"Khalifa Residential Complex B Building 6")</f>
        <v>Khalifa Residential Complex B Building 6</v>
      </c>
      <c r="C5957" s="2" t="str">
        <f ca="1">IFERROR(__xludf.DUMMYFUNCTION("""COMPUTED_VALUE"""),"Building")</f>
        <v>Building</v>
      </c>
      <c r="D5957" s="2" t="str">
        <f ca="1">IFERROR(__xludf.DUMMYFUNCTION("""COMPUTED_VALUE"""),"Abu Dhabi&gt;Tourist Club Area (TCA)&gt;Khalifa Residential Complex B&gt;Khalifa Residential Complex B Building 6")</f>
        <v>Abu Dhabi&gt;Tourist Club Area (TCA)&gt;Khalifa Residential Complex B&gt;Khalifa Residential Complex B Building 6</v>
      </c>
      <c r="E5957" s="2"/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</row>
    <row r="5958" spans="1:26" ht="16.5" x14ac:dyDescent="0.35">
      <c r="A5958" s="2" t="str">
        <f ca="1">IFERROR(__xludf.DUMMYFUNCTION("""COMPUTED_VALUE"""),"Abu Dhabi")</f>
        <v>Abu Dhabi</v>
      </c>
      <c r="B5958" s="2" t="str">
        <f ca="1">IFERROR(__xludf.DUMMYFUNCTION("""COMPUTED_VALUE"""),"Bright Beginnings Nursery Mushrif")</f>
        <v>Bright Beginnings Nursery Mushrif</v>
      </c>
      <c r="C5958" s="2" t="str">
        <f ca="1">IFERROR(__xludf.DUMMYFUNCTION("""COMPUTED_VALUE"""),"Nursery")</f>
        <v>Nursery</v>
      </c>
      <c r="D5958" s="2" t="str">
        <f ca="1">IFERROR(__xludf.DUMMYFUNCTION("""COMPUTED_VALUE"""),"Abu Dhabi&gt;Al Mushrif&gt;Bright Beginnings Nursery Mushrif")</f>
        <v>Abu Dhabi&gt;Al Mushrif&gt;Bright Beginnings Nursery Mushrif</v>
      </c>
      <c r="E5958" s="2"/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</row>
    <row r="5959" spans="1:26" ht="16.5" x14ac:dyDescent="0.35">
      <c r="A5959" s="2" t="str">
        <f ca="1">IFERROR(__xludf.DUMMYFUNCTION("""COMPUTED_VALUE"""),"Abu Dhabi")</f>
        <v>Abu Dhabi</v>
      </c>
      <c r="B5959" s="2" t="str">
        <f ca="1">IFERROR(__xludf.DUMMYFUNCTION("""COMPUTED_VALUE"""),"Aldhay")</f>
        <v>Aldhay</v>
      </c>
      <c r="C5959" s="2" t="str">
        <f ca="1">IFERROR(__xludf.DUMMYFUNCTION("""COMPUTED_VALUE"""),"Neighbourhood")</f>
        <v>Neighbourhood</v>
      </c>
      <c r="D5959" s="2" t="str">
        <f ca="1">IFERROR(__xludf.DUMMYFUNCTION("""COMPUTED_VALUE"""),"Abu Dhabi&gt;Al Muntazah&gt;Bloom Gardens&gt;Aldhay")</f>
        <v>Abu Dhabi&gt;Al Muntazah&gt;Bloom Gardens&gt;Aldhay</v>
      </c>
      <c r="E5959" s="2"/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</row>
    <row r="5960" spans="1:26" ht="16.5" x14ac:dyDescent="0.35">
      <c r="A5960" s="2" t="str">
        <f ca="1">IFERROR(__xludf.DUMMYFUNCTION("""COMPUTED_VALUE"""),"Abu Dhabi")</f>
        <v>Abu Dhabi</v>
      </c>
      <c r="B5960" s="2" t="str">
        <f ca="1">IFERROR(__xludf.DUMMYFUNCTION("""COMPUTED_VALUE"""),"International Indian School Abu Dhabi")</f>
        <v>International Indian School Abu Dhabi</v>
      </c>
      <c r="C5960" s="2" t="str">
        <f ca="1">IFERROR(__xludf.DUMMYFUNCTION("""COMPUTED_VALUE"""),"School")</f>
        <v>School</v>
      </c>
      <c r="D5960" s="2" t="str">
        <f ca="1">IFERROR(__xludf.DUMMYFUNCTION("""COMPUTED_VALUE"""),"Abu Dhabi&gt;Baniyas&gt;International Indian School Abu Dhabi")</f>
        <v>Abu Dhabi&gt;Baniyas&gt;International Indian School Abu Dhabi</v>
      </c>
      <c r="E5960" s="2"/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</row>
    <row r="5961" spans="1:26" ht="16.5" x14ac:dyDescent="0.35">
      <c r="A5961" s="2" t="str">
        <f ca="1">IFERROR(__xludf.DUMMYFUNCTION("""COMPUTED_VALUE"""),"Abu Dhabi")</f>
        <v>Abu Dhabi</v>
      </c>
      <c r="B5961" s="2" t="str">
        <f ca="1">IFERROR(__xludf.DUMMYFUNCTION("""COMPUTED_VALUE"""),"Cluster D")</f>
        <v>Cluster D</v>
      </c>
      <c r="C5961" s="2" t="str">
        <f ca="1">IFERROR(__xludf.DUMMYFUNCTION("""COMPUTED_VALUE"""),"Building")</f>
        <v>Building</v>
      </c>
      <c r="D5961" s="2" t="str">
        <f ca="1">IFERROR(__xludf.DUMMYFUNCTION("""COMPUTED_VALUE"""),"Abu Dhabi&gt;Masdar City&gt;Royal Park&gt;Cluster D")</f>
        <v>Abu Dhabi&gt;Masdar City&gt;Royal Park&gt;Cluster D</v>
      </c>
      <c r="E5961" s="2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</row>
    <row r="5962" spans="1:26" ht="16.5" x14ac:dyDescent="0.35">
      <c r="A5962" s="2" t="str">
        <f ca="1">IFERROR(__xludf.DUMMYFUNCTION("""COMPUTED_VALUE"""),"Abu Dhabi")</f>
        <v>Abu Dhabi</v>
      </c>
      <c r="B5962" s="2" t="str">
        <f ca="1">IFERROR(__xludf.DUMMYFUNCTION("""COMPUTED_VALUE"""),"Blossom Nursery Al Najda")</f>
        <v>Blossom Nursery Al Najda</v>
      </c>
      <c r="C5962" s="2" t="str">
        <f ca="1">IFERROR(__xludf.DUMMYFUNCTION("""COMPUTED_VALUE"""),"Nursery")</f>
        <v>Nursery</v>
      </c>
      <c r="D5962" s="2" t="str">
        <f ca="1">IFERROR(__xludf.DUMMYFUNCTION("""COMPUTED_VALUE"""),"Abu Dhabi&gt;Al Danah&gt;Blossom Nursery Al Najda")</f>
        <v>Abu Dhabi&gt;Al Danah&gt;Blossom Nursery Al Najda</v>
      </c>
      <c r="E5962" s="2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</row>
    <row r="5963" spans="1:26" ht="16.5" x14ac:dyDescent="0.35">
      <c r="A5963" s="2" t="str">
        <f ca="1">IFERROR(__xludf.DUMMYFUNCTION("""COMPUTED_VALUE"""),"Abu Dhabi")</f>
        <v>Abu Dhabi</v>
      </c>
      <c r="B5963" s="2" t="str">
        <f ca="1">IFERROR(__xludf.DUMMYFUNCTION("""COMPUTED_VALUE"""),"The Exchange Building")</f>
        <v>The Exchange Building</v>
      </c>
      <c r="C5963" s="2" t="str">
        <f ca="1">IFERROR(__xludf.DUMMYFUNCTION("""COMPUTED_VALUE"""),"Building")</f>
        <v>Building</v>
      </c>
      <c r="D5963" s="2" t="str">
        <f ca="1">IFERROR(__xludf.DUMMYFUNCTION("""COMPUTED_VALUE"""),"Abu Dhabi&gt;Al Maryah Island&gt;The Exchange Building")</f>
        <v>Abu Dhabi&gt;Al Maryah Island&gt;The Exchange Building</v>
      </c>
      <c r="E5963" s="2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</row>
    <row r="5964" spans="1:26" ht="16.5" x14ac:dyDescent="0.35">
      <c r="A5964" s="2" t="str">
        <f ca="1">IFERROR(__xludf.DUMMYFUNCTION("""COMPUTED_VALUE"""),"Abu Dhabi")</f>
        <v>Abu Dhabi</v>
      </c>
      <c r="B5964" s="2" t="str">
        <f ca="1">IFERROR(__xludf.DUMMYFUNCTION("""COMPUTED_VALUE"""),"Al Qurm Street")</f>
        <v>Al Qurm Street</v>
      </c>
      <c r="C5964" s="2"/>
      <c r="D5964" s="2" t="str">
        <f ca="1">IFERROR(__xludf.DUMMYFUNCTION("""COMPUTED_VALUE"""),"Abu Dhabi&gt;Al Qurm&gt;Al Qurm Street")</f>
        <v>Abu Dhabi&gt;Al Qurm&gt;Al Qurm Street</v>
      </c>
      <c r="E5964" s="2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</row>
    <row r="5965" spans="1:26" ht="16.5" x14ac:dyDescent="0.35">
      <c r="A5965" s="2" t="str">
        <f ca="1">IFERROR(__xludf.DUMMYFUNCTION("""COMPUTED_VALUE"""),"Abu Dhabi")</f>
        <v>Abu Dhabi</v>
      </c>
      <c r="B5965" s="2" t="str">
        <f ca="1">IFERROR(__xludf.DUMMYFUNCTION("""COMPUTED_VALUE"""),"MSH24")</f>
        <v>MSH24</v>
      </c>
      <c r="C5965" s="2" t="str">
        <f ca="1">IFERROR(__xludf.DUMMYFUNCTION("""COMPUTED_VALUE"""),"Neighbourhood")</f>
        <v>Neighbourhood</v>
      </c>
      <c r="D5965" s="2" t="str">
        <f ca="1">IFERROR(__xludf.DUMMYFUNCTION("""COMPUTED_VALUE"""),"Abu Dhabi&gt;Shakhbout City&gt;MSH24")</f>
        <v>Abu Dhabi&gt;Shakhbout City&gt;MSH24</v>
      </c>
      <c r="E5965" s="2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</row>
    <row r="5966" spans="1:26" ht="16.5" x14ac:dyDescent="0.35">
      <c r="A5966" s="2" t="str">
        <f ca="1">IFERROR(__xludf.DUMMYFUNCTION("""COMPUTED_VALUE"""),"Abu Dhabi")</f>
        <v>Abu Dhabi</v>
      </c>
      <c r="B5966" s="2" t="str">
        <f ca="1">IFERROR(__xludf.DUMMYFUNCTION("""COMPUTED_VALUE"""),"Souk Al Jubail")</f>
        <v>Souk Al Jubail</v>
      </c>
      <c r="C5966" s="2" t="str">
        <f ca="1">IFERROR(__xludf.DUMMYFUNCTION("""COMPUTED_VALUE"""),"Neighbourhood")</f>
        <v>Neighbourhood</v>
      </c>
      <c r="D5966" s="2" t="str">
        <f ca="1">IFERROR(__xludf.DUMMYFUNCTION("""COMPUTED_VALUE"""),"Abu Dhabi&gt;Al Jubail Island&gt;Souk Al Jubail")</f>
        <v>Abu Dhabi&gt;Al Jubail Island&gt;Souk Al Jubail</v>
      </c>
      <c r="E5966" s="2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</row>
    <row r="5967" spans="1:26" ht="16.5" x14ac:dyDescent="0.35">
      <c r="A5967" s="2" t="str">
        <f ca="1">IFERROR(__xludf.DUMMYFUNCTION("""COMPUTED_VALUE"""),"Abu Dhabi")</f>
        <v>Abu Dhabi</v>
      </c>
      <c r="B5967" s="2" t="str">
        <f ca="1">IFERROR(__xludf.DUMMYFUNCTION("""COMPUTED_VALUE"""),"Mohammed Othman")</f>
        <v>Mohammed Othman</v>
      </c>
      <c r="C5967" s="2"/>
      <c r="D5967" s="2" t="str">
        <f ca="1">IFERROR(__xludf.DUMMYFUNCTION("""COMPUTED_VALUE"""),"Abu Dhabi&gt;Defence Street&gt;Mohammed Othman")</f>
        <v>Abu Dhabi&gt;Defence Street&gt;Mohammed Othman</v>
      </c>
      <c r="E5967" s="2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</row>
    <row r="5968" spans="1:26" ht="16.5" x14ac:dyDescent="0.35">
      <c r="A5968" s="2" t="str">
        <f ca="1">IFERROR(__xludf.DUMMYFUNCTION("""COMPUTED_VALUE"""),"Abu Dhabi")</f>
        <v>Abu Dhabi</v>
      </c>
      <c r="B5968" s="2" t="str">
        <f ca="1">IFERROR(__xludf.DUMMYFUNCTION("""COMPUTED_VALUE"""),"The 1971 Residences")</f>
        <v>The 1971 Residences</v>
      </c>
      <c r="C5968" s="2" t="str">
        <f ca="1">IFERROR(__xludf.DUMMYFUNCTION("""COMPUTED_VALUE"""),"Building")</f>
        <v>Building</v>
      </c>
      <c r="D5968" s="2" t="str">
        <f ca="1">IFERROR(__xludf.DUMMYFUNCTION("""COMPUTED_VALUE"""),"Abu Dhabi&gt;Al Hisn&gt;The 1971 Residences")</f>
        <v>Abu Dhabi&gt;Al Hisn&gt;The 1971 Residences</v>
      </c>
      <c r="E5968" s="2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</row>
    <row r="5969" spans="1:26" ht="16.5" x14ac:dyDescent="0.35">
      <c r="A5969" s="2" t="str">
        <f ca="1">IFERROR(__xludf.DUMMYFUNCTION("""COMPUTED_VALUE"""),"Abu Dhabi")</f>
        <v>Abu Dhabi</v>
      </c>
      <c r="B5969" s="2" t="str">
        <f ca="1">IFERROR(__xludf.DUMMYFUNCTION("""COMPUTED_VALUE"""),"Al Wathba")</f>
        <v>Al Wathba</v>
      </c>
      <c r="C5969" s="2" t="str">
        <f ca="1">IFERROR(__xludf.DUMMYFUNCTION("""COMPUTED_VALUE"""),"Neighbourhood")</f>
        <v>Neighbourhood</v>
      </c>
      <c r="D5969" s="2" t="str">
        <f ca="1">IFERROR(__xludf.DUMMYFUNCTION("""COMPUTED_VALUE"""),"Abu Dhabi&gt;Al Wathba")</f>
        <v>Abu Dhabi&gt;Al Wathba</v>
      </c>
      <c r="E5969" s="2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</row>
    <row r="5970" spans="1:26" ht="16.5" x14ac:dyDescent="0.35">
      <c r="A5970" s="2" t="str">
        <f ca="1">IFERROR(__xludf.DUMMYFUNCTION("""COMPUTED_VALUE"""),"Abu Dhabi")</f>
        <v>Abu Dhabi</v>
      </c>
      <c r="B5970" s="2" t="str">
        <f ca="1">IFERROR(__xludf.DUMMYFUNCTION("""COMPUTED_VALUE"""),"The Beach House Tower 8")</f>
        <v>The Beach House Tower 8</v>
      </c>
      <c r="C5970" s="2" t="str">
        <f ca="1">IFERROR(__xludf.DUMMYFUNCTION("""COMPUTED_VALUE"""),"Building")</f>
        <v>Building</v>
      </c>
      <c r="D5970" s="2" t="str">
        <f ca="1">IFERROR(__xludf.DUMMYFUNCTION("""COMPUTED_VALUE"""),"Abu Dhabi&gt;Fahid Island&gt;The Beach House&gt;The Beach House Tower 8")</f>
        <v>Abu Dhabi&gt;Fahid Island&gt;The Beach House&gt;The Beach House Tower 8</v>
      </c>
      <c r="E5970" s="2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</row>
    <row r="5971" spans="1:26" ht="16.5" x14ac:dyDescent="0.35">
      <c r="A5971" s="2" t="str">
        <f ca="1">IFERROR(__xludf.DUMMYFUNCTION("""COMPUTED_VALUE"""),"Abu Dhabi")</f>
        <v>Abu Dhabi</v>
      </c>
      <c r="B5971" s="2" t="str">
        <f ca="1">IFERROR(__xludf.DUMMYFUNCTION("""COMPUTED_VALUE"""),"C21")</f>
        <v>C21</v>
      </c>
      <c r="C5971" s="2" t="str">
        <f ca="1">IFERROR(__xludf.DUMMYFUNCTION("""COMPUTED_VALUE"""),"Building")</f>
        <v>Building</v>
      </c>
      <c r="D5971" s="2" t="str">
        <f ca="1">IFERROR(__xludf.DUMMYFUNCTION("""COMPUTED_VALUE"""),"Abu Dhabi&gt;Al Reem Island&gt;Najmat Abu Dhabi&gt;C21")</f>
        <v>Abu Dhabi&gt;Al Reem Island&gt;Najmat Abu Dhabi&gt;C21</v>
      </c>
      <c r="E5971" s="2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</row>
    <row r="5972" spans="1:26" ht="16.5" x14ac:dyDescent="0.35">
      <c r="A5972" s="2" t="str">
        <f ca="1">IFERROR(__xludf.DUMMYFUNCTION("""COMPUTED_VALUE"""),"Abu Dhabi")</f>
        <v>Abu Dhabi</v>
      </c>
      <c r="B5972" s="2" t="str">
        <f ca="1">IFERROR(__xludf.DUMMYFUNCTION("""COMPUTED_VALUE"""),"Marina Heights I")</f>
        <v>Marina Heights I</v>
      </c>
      <c r="C5972" s="2" t="str">
        <f ca="1">IFERROR(__xludf.DUMMYFUNCTION("""COMPUTED_VALUE"""),"Building")</f>
        <v>Building</v>
      </c>
      <c r="D5972" s="2" t="str">
        <f ca="1">IFERROR(__xludf.DUMMYFUNCTION("""COMPUTED_VALUE"""),"Abu Dhabi&gt;Al Reem Island&gt;Marina Square&gt;Marina Heights&gt;Marina Heights I")</f>
        <v>Abu Dhabi&gt;Al Reem Island&gt;Marina Square&gt;Marina Heights&gt;Marina Heights I</v>
      </c>
      <c r="E5972" s="2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</row>
    <row r="5973" spans="1:26" ht="16.5" x14ac:dyDescent="0.35">
      <c r="A5973" s="2" t="str">
        <f ca="1">IFERROR(__xludf.DUMMYFUNCTION("""COMPUTED_VALUE"""),"Abu Dhabi")</f>
        <v>Abu Dhabi</v>
      </c>
      <c r="B5973" s="2" t="str">
        <f ca="1">IFERROR(__xludf.DUMMYFUNCTION("""COMPUTED_VALUE"""),"Sky Tower")</f>
        <v>Sky Tower</v>
      </c>
      <c r="C5973" s="2" t="str">
        <f ca="1">IFERROR(__xludf.DUMMYFUNCTION("""COMPUTED_VALUE"""),"Building")</f>
        <v>Building</v>
      </c>
      <c r="D5973" s="2" t="str">
        <f ca="1">IFERROR(__xludf.DUMMYFUNCTION("""COMPUTED_VALUE"""),"Abu Dhabi&gt;Al Reem Island&gt;Shams Abu Dhabi&gt;Shams Gate District&gt;Sky Tower")</f>
        <v>Abu Dhabi&gt;Al Reem Island&gt;Shams Abu Dhabi&gt;Shams Gate District&gt;Sky Tower</v>
      </c>
      <c r="E5973" s="2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</row>
    <row r="5974" spans="1:26" ht="16.5" x14ac:dyDescent="0.35">
      <c r="A5974" s="2" t="str">
        <f ca="1">IFERROR(__xludf.DUMMYFUNCTION("""COMPUTED_VALUE"""),"Abu Dhabi")</f>
        <v>Abu Dhabi</v>
      </c>
      <c r="B5974" s="2" t="str">
        <f ca="1">IFERROR(__xludf.DUMMYFUNCTION("""COMPUTED_VALUE"""),"Reem Eight")</f>
        <v>Reem Eight</v>
      </c>
      <c r="C5974" s="2" t="str">
        <f ca="1">IFERROR(__xludf.DUMMYFUNCTION("""COMPUTED_VALUE"""),"Building")</f>
        <v>Building</v>
      </c>
      <c r="D5974" s="2" t="str">
        <f ca="1">IFERROR(__xludf.DUMMYFUNCTION("""COMPUTED_VALUE"""),"Abu Dhabi&gt;Al Reem Island&gt;Shams Abu Dhabi&gt;Reem Eight")</f>
        <v>Abu Dhabi&gt;Al Reem Island&gt;Shams Abu Dhabi&gt;Reem Eight</v>
      </c>
      <c r="E5974" s="2"/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</row>
    <row r="5975" spans="1:26" ht="16.5" x14ac:dyDescent="0.35">
      <c r="A5975" s="2" t="str">
        <f ca="1">IFERROR(__xludf.DUMMYFUNCTION("""COMPUTED_VALUE"""),"Abu Dhabi")</f>
        <v>Abu Dhabi</v>
      </c>
      <c r="B5975" s="2" t="str">
        <f ca="1">IFERROR(__xludf.DUMMYFUNCTION("""COMPUTED_VALUE"""),"Radiant Viewz 2")</f>
        <v>Radiant Viewz 2</v>
      </c>
      <c r="C5975" s="2" t="str">
        <f ca="1">IFERROR(__xludf.DUMMYFUNCTION("""COMPUTED_VALUE"""),"Building")</f>
        <v>Building</v>
      </c>
      <c r="D5975" s="2" t="str">
        <f ca="1">IFERROR(__xludf.DUMMYFUNCTION("""COMPUTED_VALUE"""),"Abu Dhabi&gt;Al Reem Island&gt;City of Lights&gt;Radiant Square&gt;Radiant Viewz 2")</f>
        <v>Abu Dhabi&gt;Al Reem Island&gt;City of Lights&gt;Radiant Square&gt;Radiant Viewz 2</v>
      </c>
      <c r="E5975" s="2"/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</row>
    <row r="5976" spans="1:26" ht="16.5" x14ac:dyDescent="0.35">
      <c r="A5976" s="2" t="str">
        <f ca="1">IFERROR(__xludf.DUMMYFUNCTION("""COMPUTED_VALUE"""),"Abu Dhabi")</f>
        <v>Abu Dhabi</v>
      </c>
      <c r="B5976" s="2" t="str">
        <f ca="1">IFERROR(__xludf.DUMMYFUNCTION("""COMPUTED_VALUE"""),"Maskan")</f>
        <v>Maskan</v>
      </c>
      <c r="C5976" s="2" t="str">
        <f ca="1">IFERROR(__xludf.DUMMYFUNCTION("""COMPUTED_VALUE"""),"Building")</f>
        <v>Building</v>
      </c>
      <c r="D5976" s="2" t="str">
        <f ca="1">IFERROR(__xludf.DUMMYFUNCTION("""COMPUTED_VALUE"""),"Abu Dhabi&gt;Al Reem Island&gt;Reem Hills&gt;Maskan")</f>
        <v>Abu Dhabi&gt;Al Reem Island&gt;Reem Hills&gt;Maskan</v>
      </c>
      <c r="E5976" s="2"/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</row>
    <row r="5977" spans="1:26" ht="16.5" x14ac:dyDescent="0.35">
      <c r="A5977" s="2" t="str">
        <f ca="1">IFERROR(__xludf.DUMMYFUNCTION("""COMPUTED_VALUE"""),"Abu Dhabi")</f>
        <v>Abu Dhabi</v>
      </c>
      <c r="B5977" s="2" t="str">
        <f ca="1">IFERROR(__xludf.DUMMYFUNCTION("""COMPUTED_VALUE"""),"3 Sails Tower")</f>
        <v>3 Sails Tower</v>
      </c>
      <c r="C5977" s="2" t="str">
        <f ca="1">IFERROR(__xludf.DUMMYFUNCTION("""COMPUTED_VALUE"""),"Building")</f>
        <v>Building</v>
      </c>
      <c r="D5977" s="2" t="str">
        <f ca="1">IFERROR(__xludf.DUMMYFUNCTION("""COMPUTED_VALUE"""),"Abu Dhabi&gt;Corniche Road&gt;3 Sails Tower")</f>
        <v>Abu Dhabi&gt;Corniche Road&gt;3 Sails Tower</v>
      </c>
      <c r="E5977" s="2"/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</row>
    <row r="5978" spans="1:26" ht="16.5" x14ac:dyDescent="0.35">
      <c r="A5978" s="2" t="str">
        <f ca="1">IFERROR(__xludf.DUMMYFUNCTION("""COMPUTED_VALUE"""),"Abu Dhabi")</f>
        <v>Abu Dhabi</v>
      </c>
      <c r="B5978" s="2" t="str">
        <f ca="1">IFERROR(__xludf.DUMMYFUNCTION("""COMPUTED_VALUE"""),"Burj Al Khair")</f>
        <v>Burj Al Khair</v>
      </c>
      <c r="C5978" s="2"/>
      <c r="D5978" s="2" t="str">
        <f ca="1">IFERROR(__xludf.DUMMYFUNCTION("""COMPUTED_VALUE"""),"Abu Dhabi&gt;Al Khalidiyah&gt;Burj Al Khair")</f>
        <v>Abu Dhabi&gt;Al Khalidiyah&gt;Burj Al Khair</v>
      </c>
      <c r="E5978" s="2"/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</row>
    <row r="5979" spans="1:26" ht="16.5" x14ac:dyDescent="0.35">
      <c r="A5979" s="2" t="str">
        <f ca="1">IFERROR(__xludf.DUMMYFUNCTION("""COMPUTED_VALUE"""),"Abu Dhabi")</f>
        <v>Abu Dhabi</v>
      </c>
      <c r="B5979" s="2" t="str">
        <f ca="1">IFERROR(__xludf.DUMMYFUNCTION("""COMPUTED_VALUE"""),"Al Ain Tower")</f>
        <v>Al Ain Tower</v>
      </c>
      <c r="C5979" s="2" t="str">
        <f ca="1">IFERROR(__xludf.DUMMYFUNCTION("""COMPUTED_VALUE"""),"Building")</f>
        <v>Building</v>
      </c>
      <c r="D5979" s="2" t="str">
        <f ca="1">IFERROR(__xludf.DUMMYFUNCTION("""COMPUTED_VALUE"""),"Abu Dhabi&gt;Al Khalidiyah&gt;Al Ain Tower")</f>
        <v>Abu Dhabi&gt;Al Khalidiyah&gt;Al Ain Tower</v>
      </c>
      <c r="E5979" s="2"/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</row>
    <row r="5980" spans="1:26" ht="16.5" x14ac:dyDescent="0.35">
      <c r="A5980" s="2" t="str">
        <f ca="1">IFERROR(__xludf.DUMMYFUNCTION("""COMPUTED_VALUE"""),"Abu Dhabi")</f>
        <v>Abu Dhabi</v>
      </c>
      <c r="B5980" s="2" t="str">
        <f ca="1">IFERROR(__xludf.DUMMYFUNCTION("""COMPUTED_VALUE"""),"Al Dahre Compound")</f>
        <v>Al Dahre Compound</v>
      </c>
      <c r="C5980" s="2" t="str">
        <f ca="1">IFERROR(__xludf.DUMMYFUNCTION("""COMPUTED_VALUE"""),"Neighbourhood")</f>
        <v>Neighbourhood</v>
      </c>
      <c r="D5980" s="2" t="str">
        <f ca="1">IFERROR(__xludf.DUMMYFUNCTION("""COMPUTED_VALUE"""),"Abu Dhabi&gt;Khalifa City&gt;Al Dahre Compound")</f>
        <v>Abu Dhabi&gt;Khalifa City&gt;Al Dahre Compound</v>
      </c>
      <c r="E5980" s="2"/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</row>
    <row r="5981" spans="1:26" ht="16.5" x14ac:dyDescent="0.35">
      <c r="A5981" s="2" t="str">
        <f ca="1">IFERROR(__xludf.DUMMYFUNCTION("""COMPUTED_VALUE"""),"Abu Dhabi")</f>
        <v>Abu Dhabi</v>
      </c>
      <c r="B5981" s="2" t="str">
        <f ca="1">IFERROR(__xludf.DUMMYFUNCTION("""COMPUTED_VALUE"""),"SW4")</f>
        <v>SW4</v>
      </c>
      <c r="C5981" s="2" t="str">
        <f ca="1">IFERROR(__xludf.DUMMYFUNCTION("""COMPUTED_VALUE"""),"Neighbourhood")</f>
        <v>Neighbourhood</v>
      </c>
      <c r="D5981" s="2" t="str">
        <f ca="1">IFERROR(__xludf.DUMMYFUNCTION("""COMPUTED_VALUE"""),"Abu Dhabi&gt;Khalifa City&gt;SW4")</f>
        <v>Abu Dhabi&gt;Khalifa City&gt;SW4</v>
      </c>
      <c r="E5981" s="2"/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</row>
    <row r="5982" spans="1:26" ht="16.5" x14ac:dyDescent="0.35">
      <c r="A5982" s="2" t="str">
        <f ca="1">IFERROR(__xludf.DUMMYFUNCTION("""COMPUTED_VALUE"""),"Abu Dhabi")</f>
        <v>Abu Dhabi</v>
      </c>
      <c r="B5982" s="2" t="str">
        <f ca="1">IFERROR(__xludf.DUMMYFUNCTION("""COMPUTED_VALUE"""),"Business Avenue Tower")</f>
        <v>Business Avenue Tower</v>
      </c>
      <c r="C5982" s="2" t="str">
        <f ca="1">IFERROR(__xludf.DUMMYFUNCTION("""COMPUTED_VALUE"""),"Building")</f>
        <v>Building</v>
      </c>
      <c r="D5982" s="2" t="str">
        <f ca="1">IFERROR(__xludf.DUMMYFUNCTION("""COMPUTED_VALUE"""),"Abu Dhabi&gt;Al Markaziya&gt;Business Avenue Tower")</f>
        <v>Abu Dhabi&gt;Al Markaziya&gt;Business Avenue Tower</v>
      </c>
      <c r="E5982" s="2"/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</row>
    <row r="5983" spans="1:26" ht="16.5" x14ac:dyDescent="0.35">
      <c r="A5983" s="2" t="str">
        <f ca="1">IFERROR(__xludf.DUMMYFUNCTION("""COMPUTED_VALUE"""),"Abu Dhabi")</f>
        <v>Abu Dhabi</v>
      </c>
      <c r="B5983" s="2" t="str">
        <f ca="1">IFERROR(__xludf.DUMMYFUNCTION("""COMPUTED_VALUE"""),"Al Tharwaniyah Community")</f>
        <v>Al Tharwaniyah Community</v>
      </c>
      <c r="C5983" s="2" t="str">
        <f ca="1">IFERROR(__xludf.DUMMYFUNCTION("""COMPUTED_VALUE"""),"Neighbourhood")</f>
        <v>Neighbourhood</v>
      </c>
      <c r="D5983" s="2" t="str">
        <f ca="1">IFERROR(__xludf.DUMMYFUNCTION("""COMPUTED_VALUE"""),"Abu Dhabi&gt;Al Raha Gardens&gt;Al Tharwaniyah Community")</f>
        <v>Abu Dhabi&gt;Al Raha Gardens&gt;Al Tharwaniyah Community</v>
      </c>
      <c r="E5983" s="2"/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</row>
    <row r="5984" spans="1:26" ht="16.5" x14ac:dyDescent="0.35">
      <c r="A5984" s="2" t="str">
        <f ca="1">IFERROR(__xludf.DUMMYFUNCTION("""COMPUTED_VALUE"""),"Abu Dhabi")</f>
        <v>Abu Dhabi</v>
      </c>
      <c r="B5984" s="2" t="str">
        <f ca="1">IFERROR(__xludf.DUMMYFUNCTION("""COMPUTED_VALUE"""),"Mamsha Gardens Building 3")</f>
        <v>Mamsha Gardens Building 3</v>
      </c>
      <c r="C5984" s="2" t="str">
        <f ca="1">IFERROR(__xludf.DUMMYFUNCTION("""COMPUTED_VALUE"""),"Building")</f>
        <v>Building</v>
      </c>
      <c r="D5984" s="2" t="str">
        <f ca="1">IFERROR(__xludf.DUMMYFUNCTION("""COMPUTED_VALUE"""),"Abu Dhabi&gt;Saadiyat Island&gt;Saadiyat Cultural District&gt;Mamsha Gardens&gt;Mamsha Gardens Building 3")</f>
        <v>Abu Dhabi&gt;Saadiyat Island&gt;Saadiyat Cultural District&gt;Mamsha Gardens&gt;Mamsha Gardens Building 3</v>
      </c>
      <c r="E5984" s="2"/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</row>
    <row r="5985" spans="1:26" ht="16.5" x14ac:dyDescent="0.35">
      <c r="A5985" s="2" t="str">
        <f ca="1">IFERROR(__xludf.DUMMYFUNCTION("""COMPUTED_VALUE"""),"Abu Dhabi")</f>
        <v>Abu Dhabi</v>
      </c>
      <c r="B5985" s="2" t="str">
        <f ca="1">IFERROR(__xludf.DUMMYFUNCTION("""COMPUTED_VALUE"""),"Saadiyat Beach Villas")</f>
        <v>Saadiyat Beach Villas</v>
      </c>
      <c r="C5985" s="2" t="str">
        <f ca="1">IFERROR(__xludf.DUMMYFUNCTION("""COMPUTED_VALUE"""),"Neighbourhood")</f>
        <v>Neighbourhood</v>
      </c>
      <c r="D5985" s="2" t="str">
        <f ca="1">IFERROR(__xludf.DUMMYFUNCTION("""COMPUTED_VALUE"""),"Abu Dhabi&gt;Saadiyat Island&gt;Saadiyat Beach&gt;Saadiyat Beach Villas")</f>
        <v>Abu Dhabi&gt;Saadiyat Island&gt;Saadiyat Beach&gt;Saadiyat Beach Villas</v>
      </c>
      <c r="E5985" s="2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</row>
    <row r="5986" spans="1:26" ht="16.5" x14ac:dyDescent="0.35">
      <c r="A5986" s="2" t="str">
        <f ca="1">IFERROR(__xludf.DUMMYFUNCTION("""COMPUTED_VALUE"""),"Abu Dhabi")</f>
        <v>Abu Dhabi</v>
      </c>
      <c r="B5986" s="2" t="str">
        <f ca="1">IFERROR(__xludf.DUMMYFUNCTION("""COMPUTED_VALUE"""),"Solea Building D")</f>
        <v>Solea Building D</v>
      </c>
      <c r="C5986" s="2" t="str">
        <f ca="1">IFERROR(__xludf.DUMMYFUNCTION("""COMPUTED_VALUE"""),"Building")</f>
        <v>Building</v>
      </c>
      <c r="D5986" s="2" t="str">
        <f ca="1">IFERROR(__xludf.DUMMYFUNCTION("""COMPUTED_VALUE"""),"Abu Dhabi&gt;Saadiyat Island&gt;Solea&gt;Solea Building D")</f>
        <v>Abu Dhabi&gt;Saadiyat Island&gt;Solea&gt;Solea Building D</v>
      </c>
      <c r="E5986" s="2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</row>
    <row r="5987" spans="1:26" ht="16.5" x14ac:dyDescent="0.35">
      <c r="A5987" s="2" t="str">
        <f ca="1">IFERROR(__xludf.DUMMYFUNCTION("""COMPUTED_VALUE"""),"Abu Dhabi")</f>
        <v>Abu Dhabi</v>
      </c>
      <c r="B5987" s="2" t="str">
        <f ca="1">IFERROR(__xludf.DUMMYFUNCTION("""COMPUTED_VALUE"""),"Mira Residence 4")</f>
        <v>Mira Residence 4</v>
      </c>
      <c r="C5987" s="2" t="str">
        <f ca="1">IFERROR(__xludf.DUMMYFUNCTION("""COMPUTED_VALUE"""),"Building")</f>
        <v>Building</v>
      </c>
      <c r="D5987" s="2" t="str">
        <f ca="1">IFERROR(__xludf.DUMMYFUNCTION("""COMPUTED_VALUE"""),"Abu Dhabi&gt;Al Raha Beach&gt;Mira Residence&gt;Mira Residence 4")</f>
        <v>Abu Dhabi&gt;Al Raha Beach&gt;Mira Residence&gt;Mira Residence 4</v>
      </c>
      <c r="E5987" s="2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</row>
    <row r="5988" spans="1:26" ht="16.5" x14ac:dyDescent="0.35">
      <c r="A5988" s="2" t="str">
        <f ca="1">IFERROR(__xludf.DUMMYFUNCTION("""COMPUTED_VALUE"""),"Abu Dhabi")</f>
        <v>Abu Dhabi</v>
      </c>
      <c r="B5988" s="2" t="str">
        <f ca="1">IFERROR(__xludf.DUMMYFUNCTION("""COMPUTED_VALUE"""),"Al Sana 2")</f>
        <v>Al Sana 2</v>
      </c>
      <c r="C5988" s="2" t="str">
        <f ca="1">IFERROR(__xludf.DUMMYFUNCTION("""COMPUTED_VALUE"""),"Building")</f>
        <v>Building</v>
      </c>
      <c r="D5988" s="2" t="str">
        <f ca="1">IFERROR(__xludf.DUMMYFUNCTION("""COMPUTED_VALUE"""),"Abu Dhabi&gt;Al Raha Beach&gt;Al Muneera&gt;Al Sana&gt;Al Sana 2")</f>
        <v>Abu Dhabi&gt;Al Raha Beach&gt;Al Muneera&gt;Al Sana&gt;Al Sana 2</v>
      </c>
      <c r="E5988" s="2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</row>
    <row r="5989" spans="1:26" ht="16.5" x14ac:dyDescent="0.35">
      <c r="A5989" s="2" t="str">
        <f ca="1">IFERROR(__xludf.DUMMYFUNCTION("""COMPUTED_VALUE"""),"Abu Dhabi")</f>
        <v>Abu Dhabi</v>
      </c>
      <c r="B5989" s="2" t="str">
        <f ca="1">IFERROR(__xludf.DUMMYFUNCTION("""COMPUTED_VALUE"""),"Canal Blossom")</f>
        <v>Canal Blossom</v>
      </c>
      <c r="C5989" s="2" t="str">
        <f ca="1">IFERROR(__xludf.DUMMYFUNCTION("""COMPUTED_VALUE"""),"Building")</f>
        <v>Building</v>
      </c>
      <c r="D5989" s="2" t="str">
        <f ca="1">IFERROR(__xludf.DUMMYFUNCTION("""COMPUTED_VALUE"""),"Abu Dhabi&gt;Al Raha Beach&gt;Canal Blossom")</f>
        <v>Abu Dhabi&gt;Al Raha Beach&gt;Canal Blossom</v>
      </c>
      <c r="E5989" s="2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</row>
    <row r="5990" spans="1:26" ht="16.5" x14ac:dyDescent="0.35">
      <c r="A5990" s="2" t="str">
        <f ca="1">IFERROR(__xludf.DUMMYFUNCTION("""COMPUTED_VALUE"""),"Abu Dhabi")</f>
        <v>Abu Dhabi</v>
      </c>
      <c r="B5990" s="2" t="str">
        <f ca="1">IFERROR(__xludf.DUMMYFUNCTION("""COMPUTED_VALUE"""),"Friends Tower")</f>
        <v>Friends Tower</v>
      </c>
      <c r="C5990" s="2" t="str">
        <f ca="1">IFERROR(__xludf.DUMMYFUNCTION("""COMPUTED_VALUE"""),"Building")</f>
        <v>Building</v>
      </c>
      <c r="D5990" s="2" t="str">
        <f ca="1">IFERROR(__xludf.DUMMYFUNCTION("""COMPUTED_VALUE"""),"Abu Dhabi&gt;Danet Abu Dhabi&gt;Friends Tower")</f>
        <v>Abu Dhabi&gt;Danet Abu Dhabi&gt;Friends Tower</v>
      </c>
      <c r="E5990" s="2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</row>
    <row r="5991" spans="1:26" ht="16.5" x14ac:dyDescent="0.35">
      <c r="A5991" s="2" t="str">
        <f ca="1">IFERROR(__xludf.DUMMYFUNCTION("""COMPUTED_VALUE"""),"Abu Dhabi")</f>
        <v>Abu Dhabi</v>
      </c>
      <c r="B5991" s="2" t="str">
        <f ca="1">IFERROR(__xludf.DUMMYFUNCTION("""COMPUTED_VALUE"""),"Abu Dhabi International Private School, MBZ City")</f>
        <v>Abu Dhabi International Private School, MBZ City</v>
      </c>
      <c r="C5991" s="2" t="str">
        <f ca="1">IFERROR(__xludf.DUMMYFUNCTION("""COMPUTED_VALUE"""),"School")</f>
        <v>School</v>
      </c>
      <c r="D5991" s="2" t="str">
        <f ca="1">IFERROR(__xludf.DUMMYFUNCTION("""COMPUTED_VALUE"""),"Abu Dhabi&gt;Mohamed Bin Zayed City&gt;Abu Dhabi International Private School, MBZ City")</f>
        <v>Abu Dhabi&gt;Mohamed Bin Zayed City&gt;Abu Dhabi International Private School, MBZ City</v>
      </c>
      <c r="E5991" s="2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</row>
    <row r="5992" spans="1:26" ht="16.5" x14ac:dyDescent="0.35">
      <c r="A5992" s="2" t="str">
        <f ca="1">IFERROR(__xludf.DUMMYFUNCTION("""COMPUTED_VALUE"""),"Abu Dhabi")</f>
        <v>Abu Dhabi</v>
      </c>
      <c r="B5992" s="2" t="str">
        <f ca="1">IFERROR(__xludf.DUMMYFUNCTION("""COMPUTED_VALUE"""),"Zone 3")</f>
        <v>Zone 3</v>
      </c>
      <c r="C5992" s="2" t="str">
        <f ca="1">IFERROR(__xludf.DUMMYFUNCTION("""COMPUTED_VALUE"""),"Neighbourhood")</f>
        <v>Neighbourhood</v>
      </c>
      <c r="D5992" s="2" t="str">
        <f ca="1">IFERROR(__xludf.DUMMYFUNCTION("""COMPUTED_VALUE"""),"Abu Dhabi&gt;Mohamed Bin Zayed City&gt;Zone 3")</f>
        <v>Abu Dhabi&gt;Mohamed Bin Zayed City&gt;Zone 3</v>
      </c>
      <c r="E5992" s="2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</row>
    <row r="5993" spans="1:26" ht="16.5" x14ac:dyDescent="0.35">
      <c r="A5993" s="2" t="str">
        <f ca="1">IFERROR(__xludf.DUMMYFUNCTION("""COMPUTED_VALUE"""),"Abu Dhabi")</f>
        <v>Abu Dhabi</v>
      </c>
      <c r="B5993" s="2" t="str">
        <f ca="1">IFERROR(__xludf.DUMMYFUNCTION("""COMPUTED_VALUE"""),"Riverwood Nursery")</f>
        <v>Riverwood Nursery</v>
      </c>
      <c r="C5993" s="2" t="str">
        <f ca="1">IFERROR(__xludf.DUMMYFUNCTION("""COMPUTED_VALUE"""),"Nursery")</f>
        <v>Nursery</v>
      </c>
      <c r="D5993" s="2" t="str">
        <f ca="1">IFERROR(__xludf.DUMMYFUNCTION("""COMPUTED_VALUE"""),"Abu Dhabi&gt;Mohamed Bin Zayed City&gt;Zone 18&gt;Riverwood Nursery")</f>
        <v>Abu Dhabi&gt;Mohamed Bin Zayed City&gt;Zone 18&gt;Riverwood Nursery</v>
      </c>
      <c r="E5993" s="2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</row>
    <row r="5994" spans="1:26" ht="16.5" x14ac:dyDescent="0.35">
      <c r="A5994" s="2" t="str">
        <f ca="1">IFERROR(__xludf.DUMMYFUNCTION("""COMPUTED_VALUE"""),"Abu Dhabi")</f>
        <v>Abu Dhabi</v>
      </c>
      <c r="B5994" s="2" t="str">
        <f ca="1">IFERROR(__xludf.DUMMYFUNCTION("""COMPUTED_VALUE"""),"Building 42")</f>
        <v>Building 42</v>
      </c>
      <c r="C5994" s="2" t="str">
        <f ca="1">IFERROR(__xludf.DUMMYFUNCTION("""COMPUTED_VALUE"""),"Building")</f>
        <v>Building</v>
      </c>
      <c r="D5994" s="2" t="str">
        <f ca="1">IFERROR(__xludf.DUMMYFUNCTION("""COMPUTED_VALUE"""),"Abu Dhabi&gt;Al Reef&gt;Al Reef Downtown&gt;Building 42")</f>
        <v>Abu Dhabi&gt;Al Reef&gt;Al Reef Downtown&gt;Building 42</v>
      </c>
      <c r="E5994" s="2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</row>
    <row r="5995" spans="1:26" ht="16.5" x14ac:dyDescent="0.35">
      <c r="A5995" s="2" t="str">
        <f ca="1">IFERROR(__xludf.DUMMYFUNCTION("""COMPUTED_VALUE"""),"Abu Dhabi")</f>
        <v>Abu Dhabi</v>
      </c>
      <c r="B5995" s="2" t="str">
        <f ca="1">IFERROR(__xludf.DUMMYFUNCTION("""COMPUTED_VALUE"""),"Desert Style")</f>
        <v>Desert Style</v>
      </c>
      <c r="C5995" s="2" t="str">
        <f ca="1">IFERROR(__xludf.DUMMYFUNCTION("""COMPUTED_VALUE"""),"Neighbourhood")</f>
        <v>Neighbourhood</v>
      </c>
      <c r="D5995" s="2" t="str">
        <f ca="1">IFERROR(__xludf.DUMMYFUNCTION("""COMPUTED_VALUE"""),"Abu Dhabi&gt;Al Reef&gt;Al Reef Villas&gt;Desert Style")</f>
        <v>Abu Dhabi&gt;Al Reef&gt;Al Reef Villas&gt;Desert Style</v>
      </c>
      <c r="E5995" s="2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</row>
    <row r="5996" spans="1:26" ht="16.5" x14ac:dyDescent="0.35">
      <c r="A5996" s="2" t="str">
        <f ca="1">IFERROR(__xludf.DUMMYFUNCTION("""COMPUTED_VALUE"""),"Abu Dhabi")</f>
        <v>Abu Dhabi</v>
      </c>
      <c r="B5996" s="2" t="str">
        <f ca="1">IFERROR(__xludf.DUMMYFUNCTION("""COMPUTED_VALUE"""),"Lulu Towers")</f>
        <v>Lulu Towers</v>
      </c>
      <c r="C5996" s="2" t="str">
        <f ca="1">IFERROR(__xludf.DUMMYFUNCTION("""COMPUTED_VALUE"""),"Building")</f>
        <v>Building</v>
      </c>
      <c r="D5996" s="2" t="str">
        <f ca="1">IFERROR(__xludf.DUMMYFUNCTION("""COMPUTED_VALUE"""),"Abu Dhabi&gt;Sheikh Khalifa Bin Zayed Street&gt;Lulu Towers")</f>
        <v>Abu Dhabi&gt;Sheikh Khalifa Bin Zayed Street&gt;Lulu Towers</v>
      </c>
      <c r="E5996" s="2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</row>
    <row r="5997" spans="1:26" ht="16.5" x14ac:dyDescent="0.35">
      <c r="A5997" s="2" t="str">
        <f ca="1">IFERROR(__xludf.DUMMYFUNCTION("""COMPUTED_VALUE"""),"Abu Dhabi")</f>
        <v>Abu Dhabi</v>
      </c>
      <c r="B5997" s="2" t="str">
        <f ca="1">IFERROR(__xludf.DUMMYFUNCTION("""COMPUTED_VALUE"""),"Madinat Al Riyad")</f>
        <v>Madinat Al Riyad</v>
      </c>
      <c r="C5997" s="2" t="str">
        <f ca="1">IFERROR(__xludf.DUMMYFUNCTION("""COMPUTED_VALUE"""),"Neighbourhood")</f>
        <v>Neighbourhood</v>
      </c>
      <c r="D5997" s="2" t="str">
        <f ca="1">IFERROR(__xludf.DUMMYFUNCTION("""COMPUTED_VALUE"""),"Abu Dhabi&gt;Madinat Al Riyad")</f>
        <v>Abu Dhabi&gt;Madinat Al Riyad</v>
      </c>
      <c r="E5997" s="2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</row>
    <row r="5998" spans="1:26" ht="16.5" x14ac:dyDescent="0.35">
      <c r="A5998" s="2" t="str">
        <f ca="1">IFERROR(__xludf.DUMMYFUNCTION("""COMPUTED_VALUE"""),"Abu Dhabi")</f>
        <v>Abu Dhabi</v>
      </c>
      <c r="B5998" s="2" t="str">
        <f ca="1">IFERROR(__xludf.DUMMYFUNCTION("""COMPUTED_VALUE"""),"Opula Residences")</f>
        <v>Opula Residences</v>
      </c>
      <c r="C5998" s="2" t="str">
        <f ca="1">IFERROR(__xludf.DUMMYFUNCTION("""COMPUTED_VALUE"""),"Building")</f>
        <v>Building</v>
      </c>
      <c r="D5998" s="2" t="str">
        <f ca="1">IFERROR(__xludf.DUMMYFUNCTION("""COMPUTED_VALUE"""),"Abu Dhabi&gt;Yas Island&gt;Yas Bay&gt;Opula Residences")</f>
        <v>Abu Dhabi&gt;Yas Island&gt;Yas Bay&gt;Opula Residences</v>
      </c>
      <c r="E5998" s="2"/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</row>
    <row r="5999" spans="1:26" ht="16.5" x14ac:dyDescent="0.35">
      <c r="A5999" s="2" t="str">
        <f ca="1">IFERROR(__xludf.DUMMYFUNCTION("""COMPUTED_VALUE"""),"Abu Dhabi")</f>
        <v>Abu Dhabi</v>
      </c>
      <c r="B5999" s="2" t="str">
        <f ca="1">IFERROR(__xludf.DUMMYFUNCTION("""COMPUTED_VALUE"""),"Views B")</f>
        <v>Views B</v>
      </c>
      <c r="C5999" s="2" t="str">
        <f ca="1">IFERROR(__xludf.DUMMYFUNCTION("""COMPUTED_VALUE"""),"Building")</f>
        <v>Building</v>
      </c>
      <c r="D5999" s="2" t="str">
        <f ca="1">IFERROR(__xludf.DUMMYFUNCTION("""COMPUTED_VALUE"""),"Abu Dhabi&gt;Yas Island&gt;Yas Golf Collection&gt;Views B")</f>
        <v>Abu Dhabi&gt;Yas Island&gt;Yas Golf Collection&gt;Views B</v>
      </c>
      <c r="E5999" s="2"/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</row>
    <row r="6000" spans="1:26" ht="16.5" x14ac:dyDescent="0.35">
      <c r="A6000" s="2" t="str">
        <f ca="1">IFERROR(__xludf.DUMMYFUNCTION("""COMPUTED_VALUE"""),"Abu Dhabi")</f>
        <v>Abu Dhabi</v>
      </c>
      <c r="B6000" s="2" t="str">
        <f ca="1">IFERROR(__xludf.DUMMYFUNCTION("""COMPUTED_VALUE"""),"Al Hudayriat Island")</f>
        <v>Al Hudayriat Island</v>
      </c>
      <c r="C6000" s="2" t="str">
        <f ca="1">IFERROR(__xludf.DUMMYFUNCTION("""COMPUTED_VALUE"""),"Neighbourhood")</f>
        <v>Neighbourhood</v>
      </c>
      <c r="D6000" s="2" t="str">
        <f ca="1">IFERROR(__xludf.DUMMYFUNCTION("""COMPUTED_VALUE"""),"Abu Dhabi&gt;Al Hudayriat Island")</f>
        <v>Abu Dhabi&gt;Al Hudayriat Island</v>
      </c>
      <c r="E6000" s="2"/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</row>
    <row r="6001" spans="1:26" ht="16.5" x14ac:dyDescent="0.35">
      <c r="A6001" s="2" t="str">
        <f ca="1">IFERROR(__xludf.DUMMYFUNCTION("""COMPUTED_VALUE"""),"Abu Dhabi")</f>
        <v>Abu Dhabi</v>
      </c>
      <c r="B6001" s="2" t="str">
        <f ca="1">IFERROR(__xludf.DUMMYFUNCTION("""COMPUTED_VALUE"""),"SH24")</f>
        <v>SH24</v>
      </c>
      <c r="C6001" s="2" t="str">
        <f ca="1">IFERROR(__xludf.DUMMYFUNCTION("""COMPUTED_VALUE"""),"Neighbourhood")</f>
        <v>Neighbourhood</v>
      </c>
      <c r="D6001" s="2" t="str">
        <f ca="1">IFERROR(__xludf.DUMMYFUNCTION("""COMPUTED_VALUE"""),"Abu Dhabi&gt;Al Shamkha&gt;SH24")</f>
        <v>Abu Dhabi&gt;Al Shamkha&gt;SH24</v>
      </c>
      <c r="E6001" s="2"/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</row>
    <row r="6002" spans="1:26" ht="16.5" x14ac:dyDescent="0.35">
      <c r="A6002" s="2" t="str">
        <f ca="1">IFERROR(__xludf.DUMMYFUNCTION("""COMPUTED_VALUE"""),"Ajman")</f>
        <v>Ajman</v>
      </c>
      <c r="B6002" s="2" t="str">
        <f ca="1">IFERROR(__xludf.DUMMYFUNCTION("""COMPUTED_VALUE"""),"Al Tallah 2")</f>
        <v>Al Tallah 2</v>
      </c>
      <c r="C6002" s="2" t="str">
        <f ca="1">IFERROR(__xludf.DUMMYFUNCTION("""COMPUTED_VALUE"""),"Neighbourhood")</f>
        <v>Neighbourhood</v>
      </c>
      <c r="D6002" s="2" t="str">
        <f ca="1">IFERROR(__xludf.DUMMYFUNCTION("""COMPUTED_VALUE"""),"Ajman&gt;Al Tallah 2")</f>
        <v>Ajman&gt;Al Tallah 2</v>
      </c>
      <c r="E6002" s="2"/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</row>
    <row r="6003" spans="1:26" ht="16.5" x14ac:dyDescent="0.35">
      <c r="A6003" s="2" t="str">
        <f ca="1">IFERROR(__xludf.DUMMYFUNCTION("""COMPUTED_VALUE"""),"Ajman")</f>
        <v>Ajman</v>
      </c>
      <c r="B6003" s="2" t="str">
        <f ca="1">IFERROR(__xludf.DUMMYFUNCTION("""COMPUTED_VALUE"""),"Lake Tower")</f>
        <v>Lake Tower</v>
      </c>
      <c r="C6003" s="2" t="str">
        <f ca="1">IFERROR(__xludf.DUMMYFUNCTION("""COMPUTED_VALUE"""),"Building")</f>
        <v>Building</v>
      </c>
      <c r="D6003" s="2" t="str">
        <f ca="1">IFERROR(__xludf.DUMMYFUNCTION("""COMPUTED_VALUE"""),"Ajman&gt;Emirates City&gt;Lake Tower")</f>
        <v>Ajman&gt;Emirates City&gt;Lake Tower</v>
      </c>
      <c r="E6003" s="2"/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</row>
    <row r="6004" spans="1:26" ht="16.5" x14ac:dyDescent="0.35">
      <c r="A6004" s="2" t="str">
        <f ca="1">IFERROR(__xludf.DUMMYFUNCTION("""COMPUTED_VALUE"""),"Ajman")</f>
        <v>Ajman</v>
      </c>
      <c r="B6004" s="2" t="str">
        <f ca="1">IFERROR(__xludf.DUMMYFUNCTION("""COMPUTED_VALUE"""),"Sapphire Lake View")</f>
        <v>Sapphire Lake View</v>
      </c>
      <c r="C6004" s="2"/>
      <c r="D6004" s="2" t="str">
        <f ca="1">IFERROR(__xludf.DUMMYFUNCTION("""COMPUTED_VALUE"""),"Ajman&gt;Emirates City&gt;Sapphire Lake View")</f>
        <v>Ajman&gt;Emirates City&gt;Sapphire Lake View</v>
      </c>
      <c r="E6004" s="2"/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</row>
    <row r="6005" spans="1:26" ht="16.5" x14ac:dyDescent="0.35">
      <c r="A6005" s="2" t="str">
        <f ca="1">IFERROR(__xludf.DUMMYFUNCTION("""COMPUTED_VALUE"""),"Ajman")</f>
        <v>Ajman</v>
      </c>
      <c r="B6005" s="2" t="str">
        <f ca="1">IFERROR(__xludf.DUMMYFUNCTION("""COMPUTED_VALUE"""),"Zain 1 Building")</f>
        <v>Zain 1 Building</v>
      </c>
      <c r="C6005" s="2" t="str">
        <f ca="1">IFERROR(__xludf.DUMMYFUNCTION("""COMPUTED_VALUE"""),"Building")</f>
        <v>Building</v>
      </c>
      <c r="D6005" s="2" t="str">
        <f ca="1">IFERROR(__xludf.DUMMYFUNCTION("""COMPUTED_VALUE"""),"Ajman&gt;Al Jurf&gt;Al Jurf Industrial Area&gt;Al Jurf Industrial 3&gt;Zain 1 Building")</f>
        <v>Ajman&gt;Al Jurf&gt;Al Jurf Industrial Area&gt;Al Jurf Industrial 3&gt;Zain 1 Building</v>
      </c>
      <c r="E6005" s="2"/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</row>
    <row r="6006" spans="1:26" ht="16.5" x14ac:dyDescent="0.35">
      <c r="A6006" s="2" t="str">
        <f ca="1">IFERROR(__xludf.DUMMYFUNCTION("""COMPUTED_VALUE"""),"Ajman")</f>
        <v>Ajman</v>
      </c>
      <c r="B6006" s="2" t="str">
        <f ca="1">IFERROR(__xludf.DUMMYFUNCTION("""COMPUTED_VALUE"""),"VIP Villa")</f>
        <v>VIP Villa</v>
      </c>
      <c r="C6006" s="2"/>
      <c r="D6006" s="2" t="str">
        <f ca="1">IFERROR(__xludf.DUMMYFUNCTION("""COMPUTED_VALUE"""),"Ajman&gt;Ajman Uptown&gt;VIP Villa")</f>
        <v>Ajman&gt;Ajman Uptown&gt;VIP Villa</v>
      </c>
      <c r="E6006" s="2"/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</row>
    <row r="6007" spans="1:26" ht="16.5" x14ac:dyDescent="0.35">
      <c r="A6007" s="2" t="str">
        <f ca="1">IFERROR(__xludf.DUMMYFUNCTION("""COMPUTED_VALUE"""),"Ajman")</f>
        <v>Ajman</v>
      </c>
      <c r="B6007" s="2" t="str">
        <f ca="1">IFERROR(__xludf.DUMMYFUNCTION("""COMPUTED_VALUE"""),"Falcon A7")</f>
        <v>Falcon A7</v>
      </c>
      <c r="C6007" s="2" t="str">
        <f ca="1">IFERROR(__xludf.DUMMYFUNCTION("""COMPUTED_VALUE"""),"Building")</f>
        <v>Building</v>
      </c>
      <c r="D6007" s="2" t="str">
        <f ca="1">IFERROR(__xludf.DUMMYFUNCTION("""COMPUTED_VALUE"""),"Ajman&gt;Al Rashidiya&gt;Al Rashidiya 2&gt;Falcon Towers&gt;Falcon A7")</f>
        <v>Ajman&gt;Al Rashidiya&gt;Al Rashidiya 2&gt;Falcon Towers&gt;Falcon A7</v>
      </c>
      <c r="E6007" s="2"/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</row>
    <row r="6008" spans="1:26" ht="16.5" x14ac:dyDescent="0.35">
      <c r="A6008" s="2" t="str">
        <f ca="1">IFERROR(__xludf.DUMMYFUNCTION("""COMPUTED_VALUE"""),"Ajman")</f>
        <v>Ajman</v>
      </c>
      <c r="B6008" s="2" t="str">
        <f ca="1">IFERROR(__xludf.DUMMYFUNCTION("""COMPUTED_VALUE"""),"Al Sawan")</f>
        <v>Al Sawan</v>
      </c>
      <c r="C6008" s="2" t="str">
        <f ca="1">IFERROR(__xludf.DUMMYFUNCTION("""COMPUTED_VALUE"""),"Neighbourhood")</f>
        <v>Neighbourhood</v>
      </c>
      <c r="D6008" s="2" t="str">
        <f ca="1">IFERROR(__xludf.DUMMYFUNCTION("""COMPUTED_VALUE"""),"Ajman&gt;Al Sawan")</f>
        <v>Ajman&gt;Al Sawan</v>
      </c>
      <c r="E6008" s="2"/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</row>
    <row r="6009" spans="1:26" ht="16.5" x14ac:dyDescent="0.35">
      <c r="A6009" s="2" t="str">
        <f ca="1">IFERROR(__xludf.DUMMYFUNCTION("""COMPUTED_VALUE"""),"Ajman")</f>
        <v>Ajman</v>
      </c>
      <c r="B6009" s="2" t="str">
        <f ca="1">IFERROR(__xludf.DUMMYFUNCTION("""COMPUTED_VALUE"""),"Al Ghoroub Towers")</f>
        <v>Al Ghoroub Towers</v>
      </c>
      <c r="C6009" s="2" t="str">
        <f ca="1">IFERROR(__xludf.DUMMYFUNCTION("""COMPUTED_VALUE"""),"Neighbourhood")</f>
        <v>Neighbourhood</v>
      </c>
      <c r="D6009" s="2" t="str">
        <f ca="1">IFERROR(__xludf.DUMMYFUNCTION("""COMPUTED_VALUE"""),"Ajman&gt;Musherief&gt;Al Ghoroub Towers")</f>
        <v>Ajman&gt;Musherief&gt;Al Ghoroub Towers</v>
      </c>
      <c r="E6009" s="2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</row>
    <row r="6010" spans="1:26" ht="16.5" x14ac:dyDescent="0.35">
      <c r="A6010" s="2" t="str">
        <f ca="1">IFERROR(__xludf.DUMMYFUNCTION("""COMPUTED_VALUE"""),"Ajman")</f>
        <v>Ajman</v>
      </c>
      <c r="B6010" s="2" t="str">
        <f ca="1">IFERROR(__xludf.DUMMYFUNCTION("""COMPUTED_VALUE"""),"Ajman Pearl Continental Towers")</f>
        <v>Ajman Pearl Continental Towers</v>
      </c>
      <c r="C6010" s="2"/>
      <c r="D6010" s="2" t="str">
        <f ca="1">IFERROR(__xludf.DUMMYFUNCTION("""COMPUTED_VALUE"""),"Ajman&gt;Marmooka City&gt;Ajman Pearl Continental Towers")</f>
        <v>Ajman&gt;Marmooka City&gt;Ajman Pearl Continental Towers</v>
      </c>
      <c r="E6010" s="2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</row>
    <row r="6011" spans="1:26" ht="16.5" x14ac:dyDescent="0.35">
      <c r="A6011" s="2" t="str">
        <f ca="1">IFERROR(__xludf.DUMMYFUNCTION("""COMPUTED_VALUE"""),"Ajman")</f>
        <v>Ajman</v>
      </c>
      <c r="B6011" s="2" t="str">
        <f ca="1">IFERROR(__xludf.DUMMYFUNCTION("""COMPUTED_VALUE"""),"Beach Village")</f>
        <v>Beach Village</v>
      </c>
      <c r="C6011" s="2" t="str">
        <f ca="1">IFERROR(__xludf.DUMMYFUNCTION("""COMPUTED_VALUE"""),"Neighbourhood")</f>
        <v>Neighbourhood</v>
      </c>
      <c r="D6011" s="2" t="str">
        <f ca="1">IFERROR(__xludf.DUMMYFUNCTION("""COMPUTED_VALUE"""),"Ajman&gt;Al Zorah&gt;Beach Village")</f>
        <v>Ajman&gt;Al Zorah&gt;Beach Village</v>
      </c>
      <c r="E6011" s="2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</row>
    <row r="6012" spans="1:26" ht="16.5" x14ac:dyDescent="0.35">
      <c r="A6012" s="2" t="str">
        <f ca="1">IFERROR(__xludf.DUMMYFUNCTION("""COMPUTED_VALUE"""),"Ajman")</f>
        <v>Ajman</v>
      </c>
      <c r="B6012" s="2" t="str">
        <f ca="1">IFERROR(__xludf.DUMMYFUNCTION("""COMPUTED_VALUE"""),"Minarat Tower")</f>
        <v>Minarat Tower</v>
      </c>
      <c r="C6012" s="2"/>
      <c r="D6012" s="2" t="str">
        <f ca="1">IFERROR(__xludf.DUMMYFUNCTION("""COMPUTED_VALUE"""),"Ajman&gt;Al Humaid City&gt;Minarat Tower")</f>
        <v>Ajman&gt;Al Humaid City&gt;Minarat Tower</v>
      </c>
      <c r="E6012" s="2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</row>
    <row r="6013" spans="1:26" ht="16.5" x14ac:dyDescent="0.35">
      <c r="A6013" s="2" t="str">
        <f ca="1">IFERROR(__xludf.DUMMYFUNCTION("""COMPUTED_VALUE"""),"Ajman")</f>
        <v>Ajman</v>
      </c>
      <c r="B6013" s="2" t="str">
        <f ca="1">IFERROR(__xludf.DUMMYFUNCTION("""COMPUTED_VALUE"""),"Al Raqaib")</f>
        <v>Al Raqaib</v>
      </c>
      <c r="C6013" s="2" t="str">
        <f ca="1">IFERROR(__xludf.DUMMYFUNCTION("""COMPUTED_VALUE"""),"Neighbourhood")</f>
        <v>Neighbourhood</v>
      </c>
      <c r="D6013" s="2" t="str">
        <f ca="1">IFERROR(__xludf.DUMMYFUNCTION("""COMPUTED_VALUE"""),"Ajman&gt;Al Raqaib")</f>
        <v>Ajman&gt;Al Raqaib</v>
      </c>
      <c r="E6013" s="2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</row>
    <row r="6014" spans="1:26" ht="16.5" x14ac:dyDescent="0.35">
      <c r="A6014" s="2" t="str">
        <f ca="1">IFERROR(__xludf.DUMMYFUNCTION("""COMPUTED_VALUE"""),"Ajman")</f>
        <v>Ajman</v>
      </c>
      <c r="B6014" s="2" t="str">
        <f ca="1">IFERROR(__xludf.DUMMYFUNCTION("""COMPUTED_VALUE"""),"A&amp;F Tower")</f>
        <v>A&amp;F Tower</v>
      </c>
      <c r="C6014" s="2" t="str">
        <f ca="1">IFERROR(__xludf.DUMMYFUNCTION("""COMPUTED_VALUE"""),"Building")</f>
        <v>Building</v>
      </c>
      <c r="D6014" s="2" t="str">
        <f ca="1">IFERROR(__xludf.DUMMYFUNCTION("""COMPUTED_VALUE"""),"Ajman&gt;Al Nuaimiya&gt;Al Nuaimiya 3&gt;A&amp;F Tower")</f>
        <v>Ajman&gt;Al Nuaimiya&gt;Al Nuaimiya 3&gt;A&amp;F Tower</v>
      </c>
      <c r="E6014" s="2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</row>
    <row r="6015" spans="1:26" ht="16.5" x14ac:dyDescent="0.35">
      <c r="A6015" s="2" t="str">
        <f ca="1">IFERROR(__xludf.DUMMYFUNCTION("""COMPUTED_VALUE"""),"Sharjah")</f>
        <v>Sharjah</v>
      </c>
      <c r="B6015" s="2" t="str">
        <f ca="1">IFERROR(__xludf.DUMMYFUNCTION("""COMPUTED_VALUE"""),"Smart Tower 2")</f>
        <v>Smart Tower 2</v>
      </c>
      <c r="C6015" s="2"/>
      <c r="D6015" s="2" t="str">
        <f ca="1">IFERROR(__xludf.DUMMYFUNCTION("""COMPUTED_VALUE"""),"Sharjah&gt;Al Nahda (Sharjah)&gt;Smart Tower 2")</f>
        <v>Sharjah&gt;Al Nahda (Sharjah)&gt;Smart Tower 2</v>
      </c>
      <c r="E6015" s="2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</row>
    <row r="6016" spans="1:26" ht="16.5" x14ac:dyDescent="0.35">
      <c r="A6016" s="2" t="str">
        <f ca="1">IFERROR(__xludf.DUMMYFUNCTION("""COMPUTED_VALUE"""),"Sharjah")</f>
        <v>Sharjah</v>
      </c>
      <c r="B6016" s="2" t="str">
        <f ca="1">IFERROR(__xludf.DUMMYFUNCTION("""COMPUTED_VALUE"""),"Abdulla Shaiba Building")</f>
        <v>Abdulla Shaiba Building</v>
      </c>
      <c r="C6016" s="2" t="str">
        <f ca="1">IFERROR(__xludf.DUMMYFUNCTION("""COMPUTED_VALUE"""),"Building")</f>
        <v>Building</v>
      </c>
      <c r="D6016" s="2" t="str">
        <f ca="1">IFERROR(__xludf.DUMMYFUNCTION("""COMPUTED_VALUE"""),"Sharjah&gt;Al Nahda (Sharjah)&gt;Abdulla Shaiba Building")</f>
        <v>Sharjah&gt;Al Nahda (Sharjah)&gt;Abdulla Shaiba Building</v>
      </c>
      <c r="E6016" s="2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</row>
    <row r="6017" spans="1:26" ht="16.5" x14ac:dyDescent="0.35">
      <c r="A6017" s="2" t="str">
        <f ca="1">IFERROR(__xludf.DUMMYFUNCTION("""COMPUTED_VALUE"""),"Sharjah")</f>
        <v>Sharjah</v>
      </c>
      <c r="B6017" s="2" t="str">
        <f ca="1">IFERROR(__xludf.DUMMYFUNCTION("""COMPUTED_VALUE"""),"Al Nahda Complex Towers")</f>
        <v>Al Nahda Complex Towers</v>
      </c>
      <c r="C6017" s="2" t="str">
        <f ca="1">IFERROR(__xludf.DUMMYFUNCTION("""COMPUTED_VALUE"""),"Building")</f>
        <v>Building</v>
      </c>
      <c r="D6017" s="2" t="str">
        <f ca="1">IFERROR(__xludf.DUMMYFUNCTION("""COMPUTED_VALUE"""),"Sharjah&gt;Al Nahda (Sharjah)&gt;Al Nahda Complex Towers")</f>
        <v>Sharjah&gt;Al Nahda (Sharjah)&gt;Al Nahda Complex Towers</v>
      </c>
      <c r="E6017" s="2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</row>
    <row r="6018" spans="1:26" ht="16.5" x14ac:dyDescent="0.35">
      <c r="A6018" s="2" t="str">
        <f ca="1">IFERROR(__xludf.DUMMYFUNCTION("""COMPUTED_VALUE"""),"Sharjah")</f>
        <v>Sharjah</v>
      </c>
      <c r="B6018" s="2" t="str">
        <f ca="1">IFERROR(__xludf.DUMMYFUNCTION("""COMPUTED_VALUE"""),"Damas Gold")</f>
        <v>Damas Gold</v>
      </c>
      <c r="C6018" s="2"/>
      <c r="D6018" s="2" t="str">
        <f ca="1">IFERROR(__xludf.DUMMYFUNCTION("""COMPUTED_VALUE"""),"Sharjah&gt;Al Nahda (Sharjah)&gt;Damas Gold")</f>
        <v>Sharjah&gt;Al Nahda (Sharjah)&gt;Damas Gold</v>
      </c>
      <c r="E6018" s="2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</row>
    <row r="6019" spans="1:26" ht="16.5" x14ac:dyDescent="0.35">
      <c r="A6019" s="2" t="str">
        <f ca="1">IFERROR(__xludf.DUMMYFUNCTION("""COMPUTED_VALUE"""),"Sharjah")</f>
        <v>Sharjah</v>
      </c>
      <c r="B6019" s="2" t="str">
        <f ca="1">IFERROR(__xludf.DUMMYFUNCTION("""COMPUTED_VALUE"""),"Al Zahra Tower")</f>
        <v>Al Zahra Tower</v>
      </c>
      <c r="C6019" s="2" t="str">
        <f ca="1">IFERROR(__xludf.DUMMYFUNCTION("""COMPUTED_VALUE"""),"Building")</f>
        <v>Building</v>
      </c>
      <c r="D6019" s="2" t="str">
        <f ca="1">IFERROR(__xludf.DUMMYFUNCTION("""COMPUTED_VALUE"""),"Sharjah&gt;Al Nahda (Sharjah)&gt;Al Zahra Tower")</f>
        <v>Sharjah&gt;Al Nahda (Sharjah)&gt;Al Zahra Tower</v>
      </c>
      <c r="E6019" s="2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</row>
    <row r="6020" spans="1:26" ht="16.5" x14ac:dyDescent="0.35">
      <c r="A6020" s="2" t="str">
        <f ca="1">IFERROR(__xludf.DUMMYFUNCTION("""COMPUTED_VALUE"""),"Sharjah")</f>
        <v>Sharjah</v>
      </c>
      <c r="B6020" s="2" t="str">
        <f ca="1">IFERROR(__xludf.DUMMYFUNCTION("""COMPUTED_VALUE"""),"Al Juraina 2")</f>
        <v>Al Juraina 2</v>
      </c>
      <c r="C6020" s="2"/>
      <c r="D6020" s="2" t="str">
        <f ca="1">IFERROR(__xludf.DUMMYFUNCTION("""COMPUTED_VALUE"""),"Sharjah&gt;Al Juraina&gt;Al Juraina 2")</f>
        <v>Sharjah&gt;Al Juraina&gt;Al Juraina 2</v>
      </c>
      <c r="E6020" s="2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</row>
    <row r="6021" spans="1:26" ht="16.5" x14ac:dyDescent="0.35">
      <c r="A6021" s="2" t="str">
        <f ca="1">IFERROR(__xludf.DUMMYFUNCTION("""COMPUTED_VALUE"""),"Sharjah")</f>
        <v>Sharjah</v>
      </c>
      <c r="B6021" s="2" t="str">
        <f ca="1">IFERROR(__xludf.DUMMYFUNCTION("""COMPUTED_VALUE"""),"The Solo 5")</f>
        <v>The Solo 5</v>
      </c>
      <c r="C6021" s="2" t="str">
        <f ca="1">IFERROR(__xludf.DUMMYFUNCTION("""COMPUTED_VALUE"""),"Building")</f>
        <v>Building</v>
      </c>
      <c r="D6021" s="2" t="str">
        <f ca="1">IFERROR(__xludf.DUMMYFUNCTION("""COMPUTED_VALUE"""),"Sharjah&gt;Aljada&gt;East Village&gt;The Solo&gt;The Solo 5")</f>
        <v>Sharjah&gt;Aljada&gt;East Village&gt;The Solo&gt;The Solo 5</v>
      </c>
      <c r="E6021" s="2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</row>
    <row r="6022" spans="1:26" ht="16.5" x14ac:dyDescent="0.35">
      <c r="A6022" s="2" t="str">
        <f ca="1">IFERROR(__xludf.DUMMYFUNCTION("""COMPUTED_VALUE"""),"Sharjah")</f>
        <v>Sharjah</v>
      </c>
      <c r="B6022" s="2" t="str">
        <f ca="1">IFERROR(__xludf.DUMMYFUNCTION("""COMPUTED_VALUE"""),"Areej 4")</f>
        <v>Areej 4</v>
      </c>
      <c r="C6022" s="2" t="str">
        <f ca="1">IFERROR(__xludf.DUMMYFUNCTION("""COMPUTED_VALUE"""),"Building")</f>
        <v>Building</v>
      </c>
      <c r="D6022" s="2" t="str">
        <f ca="1">IFERROR(__xludf.DUMMYFUNCTION("""COMPUTED_VALUE"""),"Sharjah&gt;Aljada&gt;Areej Apartments&gt;Areej 4")</f>
        <v>Sharjah&gt;Aljada&gt;Areej Apartments&gt;Areej 4</v>
      </c>
      <c r="E6022" s="2"/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</row>
    <row r="6023" spans="1:26" ht="16.5" x14ac:dyDescent="0.35">
      <c r="A6023" s="2" t="str">
        <f ca="1">IFERROR(__xludf.DUMMYFUNCTION("""COMPUTED_VALUE"""),"Sharjah")</f>
        <v>Sharjah</v>
      </c>
      <c r="B6023" s="2" t="str">
        <f ca="1">IFERROR(__xludf.DUMMYFUNCTION("""COMPUTED_VALUE"""),"Key")</f>
        <v>Key</v>
      </c>
      <c r="C6023" s="2" t="str">
        <f ca="1">IFERROR(__xludf.DUMMYFUNCTION("""COMPUTED_VALUE"""),"Building")</f>
        <v>Building</v>
      </c>
      <c r="D6023" s="2" t="str">
        <f ca="1">IFERROR(__xludf.DUMMYFUNCTION("""COMPUTED_VALUE"""),"Sharjah&gt;Aljada&gt;Arada Central Business District&gt;Key")</f>
        <v>Sharjah&gt;Aljada&gt;Arada Central Business District&gt;Key</v>
      </c>
      <c r="E6023" s="2"/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</row>
    <row r="6024" spans="1:26" ht="16.5" x14ac:dyDescent="0.35">
      <c r="A6024" s="2" t="str">
        <f ca="1">IFERROR(__xludf.DUMMYFUNCTION("""COMPUTED_VALUE"""),"Sharjah")</f>
        <v>Sharjah</v>
      </c>
      <c r="B6024" s="2" t="str">
        <f ca="1">IFERROR(__xludf.DUMMYFUNCTION("""COMPUTED_VALUE"""),"Rahma 1 Building")</f>
        <v>Rahma 1 Building</v>
      </c>
      <c r="C6024" s="2"/>
      <c r="D6024" s="2" t="str">
        <f ca="1">IFERROR(__xludf.DUMMYFUNCTION("""COMPUTED_VALUE"""),"Sharjah&gt;Abu Shagara&gt;Rahma 1 Building")</f>
        <v>Sharjah&gt;Abu Shagara&gt;Rahma 1 Building</v>
      </c>
      <c r="E6024" s="2"/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</row>
    <row r="6025" spans="1:26" ht="16.5" x14ac:dyDescent="0.35">
      <c r="A6025" s="2" t="str">
        <f ca="1">IFERROR(__xludf.DUMMYFUNCTION("""COMPUTED_VALUE"""),"Sharjah")</f>
        <v>Sharjah</v>
      </c>
      <c r="B6025" s="2" t="str">
        <f ca="1">IFERROR(__xludf.DUMMYFUNCTION("""COMPUTED_VALUE"""),"Al Zahia Building")</f>
        <v>Al Zahia Building</v>
      </c>
      <c r="C6025" s="2" t="str">
        <f ca="1">IFERROR(__xludf.DUMMYFUNCTION("""COMPUTED_VALUE"""),"Building")</f>
        <v>Building</v>
      </c>
      <c r="D6025" s="2" t="str">
        <f ca="1">IFERROR(__xludf.DUMMYFUNCTION("""COMPUTED_VALUE"""),"Sharjah&gt;Abu Shagara&gt;Al Zahia Building")</f>
        <v>Sharjah&gt;Abu Shagara&gt;Al Zahia Building</v>
      </c>
      <c r="E6025" s="2"/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</row>
    <row r="6026" spans="1:26" ht="16.5" x14ac:dyDescent="0.35">
      <c r="A6026" s="2" t="str">
        <f ca="1">IFERROR(__xludf.DUMMYFUNCTION("""COMPUTED_VALUE"""),"Sharjah")</f>
        <v>Sharjah</v>
      </c>
      <c r="B6026" s="2" t="str">
        <f ca="1">IFERROR(__xludf.DUMMYFUNCTION("""COMPUTED_VALUE"""),"Sheikha Maryam Bint Ghanem Tower")</f>
        <v>Sheikha Maryam Bint Ghanem Tower</v>
      </c>
      <c r="C6026" s="2" t="str">
        <f ca="1">IFERROR(__xludf.DUMMYFUNCTION("""COMPUTED_VALUE"""),"Building")</f>
        <v>Building</v>
      </c>
      <c r="D6026" s="2" t="str">
        <f ca="1">IFERROR(__xludf.DUMMYFUNCTION("""COMPUTED_VALUE"""),"Sharjah&gt;Al Mamzar&gt;Sheikha Maryam Bint Ghanem Tower")</f>
        <v>Sharjah&gt;Al Mamzar&gt;Sheikha Maryam Bint Ghanem Tower</v>
      </c>
      <c r="E6026" s="2"/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</row>
    <row r="6027" spans="1:26" ht="16.5" x14ac:dyDescent="0.35">
      <c r="A6027" s="2" t="str">
        <f ca="1">IFERROR(__xludf.DUMMYFUNCTION("""COMPUTED_VALUE"""),"Sharjah")</f>
        <v>Sharjah</v>
      </c>
      <c r="B6027" s="2" t="str">
        <f ca="1">IFERROR(__xludf.DUMMYFUNCTION("""COMPUTED_VALUE"""),"Al Khudira Building")</f>
        <v>Al Khudira Building</v>
      </c>
      <c r="C6027" s="2" t="str">
        <f ca="1">IFERROR(__xludf.DUMMYFUNCTION("""COMPUTED_VALUE"""),"Building")</f>
        <v>Building</v>
      </c>
      <c r="D6027" s="2" t="str">
        <f ca="1">IFERROR(__xludf.DUMMYFUNCTION("""COMPUTED_VALUE"""),"Sharjah&gt;Al Ghuwair&gt;Al Khudira Building")</f>
        <v>Sharjah&gt;Al Ghuwair&gt;Al Khudira Building</v>
      </c>
      <c r="E6027" s="2"/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</row>
    <row r="6028" spans="1:26" ht="16.5" x14ac:dyDescent="0.35">
      <c r="A6028" s="2" t="str">
        <f ca="1">IFERROR(__xludf.DUMMYFUNCTION("""COMPUTED_VALUE"""),"Sharjah")</f>
        <v>Sharjah</v>
      </c>
      <c r="B6028" s="2" t="str">
        <f ca="1">IFERROR(__xludf.DUMMYFUNCTION("""COMPUTED_VALUE"""),"Sama American Private School, Sharjah")</f>
        <v>Sama American Private School, Sharjah</v>
      </c>
      <c r="C6028" s="2" t="str">
        <f ca="1">IFERROR(__xludf.DUMMYFUNCTION("""COMPUTED_VALUE"""),"School")</f>
        <v>School</v>
      </c>
      <c r="D6028" s="2" t="str">
        <f ca="1">IFERROR(__xludf.DUMMYFUNCTION("""COMPUTED_VALUE"""),"Sharjah&gt;Al Azra&gt;Sama American Private School, Sharjah")</f>
        <v>Sharjah&gt;Al Azra&gt;Sama American Private School, Sharjah</v>
      </c>
      <c r="E6028" s="2"/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</row>
    <row r="6029" spans="1:26" ht="16.5" x14ac:dyDescent="0.35">
      <c r="A6029" s="2" t="str">
        <f ca="1">IFERROR(__xludf.DUMMYFUNCTION("""COMPUTED_VALUE"""),"Sharjah")</f>
        <v>Sharjah</v>
      </c>
      <c r="B6029" s="2" t="str">
        <f ca="1">IFERROR(__xludf.DUMMYFUNCTION("""COMPUTED_VALUE"""),"Bu Daniq")</f>
        <v>Bu Daniq</v>
      </c>
      <c r="C6029" s="2" t="str">
        <f ca="1">IFERROR(__xludf.DUMMYFUNCTION("""COMPUTED_VALUE"""),"Neighbourhood")</f>
        <v>Neighbourhood</v>
      </c>
      <c r="D6029" s="2" t="str">
        <f ca="1">IFERROR(__xludf.DUMMYFUNCTION("""COMPUTED_VALUE"""),"Sharjah&gt;Bu Daniq")</f>
        <v>Sharjah&gt;Bu Daniq</v>
      </c>
      <c r="E6029" s="2"/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</row>
    <row r="6030" spans="1:26" ht="16.5" x14ac:dyDescent="0.35">
      <c r="A6030" s="2" t="str">
        <f ca="1">IFERROR(__xludf.DUMMYFUNCTION("""COMPUTED_VALUE"""),"Sharjah")</f>
        <v>Sharjah</v>
      </c>
      <c r="B6030" s="2" t="str">
        <f ca="1">IFERROR(__xludf.DUMMYFUNCTION("""COMPUTED_VALUE"""),"Al Suyoh")</f>
        <v>Al Suyoh</v>
      </c>
      <c r="C6030" s="2" t="str">
        <f ca="1">IFERROR(__xludf.DUMMYFUNCTION("""COMPUTED_VALUE"""),"Neighbourhood")</f>
        <v>Neighbourhood</v>
      </c>
      <c r="D6030" s="2" t="str">
        <f ca="1">IFERROR(__xludf.DUMMYFUNCTION("""COMPUTED_VALUE"""),"Sharjah&gt;Al Suyoh")</f>
        <v>Sharjah&gt;Al Suyoh</v>
      </c>
      <c r="E6030" s="2"/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</row>
    <row r="6031" spans="1:26" ht="16.5" x14ac:dyDescent="0.35">
      <c r="A6031" s="2" t="str">
        <f ca="1">IFERROR(__xludf.DUMMYFUNCTION("""COMPUTED_VALUE"""),"Sharjah")</f>
        <v>Sharjah</v>
      </c>
      <c r="B6031" s="2" t="str">
        <f ca="1">IFERROR(__xludf.DUMMYFUNCTION("""COMPUTED_VALUE"""),"Abou Jameza 2 Building")</f>
        <v>Abou Jameza 2 Building</v>
      </c>
      <c r="C6031" s="2"/>
      <c r="D6031" s="2" t="str">
        <f ca="1">IFERROR(__xludf.DUMMYFUNCTION("""COMPUTED_VALUE"""),"Sharjah&gt;Al Mareija&gt;Abou Jameza 2 Building")</f>
        <v>Sharjah&gt;Al Mareija&gt;Abou Jameza 2 Building</v>
      </c>
      <c r="E6031" s="2"/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</row>
    <row r="6032" spans="1:26" ht="16.5" x14ac:dyDescent="0.35">
      <c r="A6032" s="2" t="str">
        <f ca="1">IFERROR(__xludf.DUMMYFUNCTION("""COMPUTED_VALUE"""),"Sharjah")</f>
        <v>Sharjah</v>
      </c>
      <c r="B6032" s="2" t="str">
        <f ca="1">IFERROR(__xludf.DUMMYFUNCTION("""COMPUTED_VALUE"""),"Hamriyah Free Zone")</f>
        <v>Hamriyah Free Zone</v>
      </c>
      <c r="C6032" s="2"/>
      <c r="D6032" s="2" t="str">
        <f ca="1">IFERROR(__xludf.DUMMYFUNCTION("""COMPUTED_VALUE"""),"Sharjah&gt;Hamriyah Free Zone")</f>
        <v>Sharjah&gt;Hamriyah Free Zone</v>
      </c>
      <c r="E6032" s="2"/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</row>
    <row r="6033" spans="1:26" ht="16.5" x14ac:dyDescent="0.35">
      <c r="A6033" s="2" t="str">
        <f ca="1">IFERROR(__xludf.DUMMYFUNCTION("""COMPUTED_VALUE"""),"Sharjah")</f>
        <v>Sharjah</v>
      </c>
      <c r="B6033" s="2" t="str">
        <f ca="1">IFERROR(__xludf.DUMMYFUNCTION("""COMPUTED_VALUE"""),"Al Rahmaniya")</f>
        <v>Al Rahmaniya</v>
      </c>
      <c r="C6033" s="2" t="str">
        <f ca="1">IFERROR(__xludf.DUMMYFUNCTION("""COMPUTED_VALUE"""),"Neighbourhood")</f>
        <v>Neighbourhood</v>
      </c>
      <c r="D6033" s="2" t="str">
        <f ca="1">IFERROR(__xludf.DUMMYFUNCTION("""COMPUTED_VALUE"""),"Sharjah&gt;Al Rahmaniya")</f>
        <v>Sharjah&gt;Al Rahmaniya</v>
      </c>
      <c r="E6033" s="2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</row>
    <row r="6034" spans="1:26" ht="16.5" x14ac:dyDescent="0.35">
      <c r="A6034" s="2" t="str">
        <f ca="1">IFERROR(__xludf.DUMMYFUNCTION("""COMPUTED_VALUE"""),"Sharjah")</f>
        <v>Sharjah</v>
      </c>
      <c r="B6034" s="2" t="str">
        <f ca="1">IFERROR(__xludf.DUMMYFUNCTION("""COMPUTED_VALUE"""),"Sharjah Garden City")</f>
        <v>Sharjah Garden City</v>
      </c>
      <c r="C6034" s="2" t="str">
        <f ca="1">IFERROR(__xludf.DUMMYFUNCTION("""COMPUTED_VALUE"""),"Neighbourhood")</f>
        <v>Neighbourhood</v>
      </c>
      <c r="D6034" s="2" t="str">
        <f ca="1">IFERROR(__xludf.DUMMYFUNCTION("""COMPUTED_VALUE"""),"Sharjah&gt;Sharjah Garden City")</f>
        <v>Sharjah&gt;Sharjah Garden City</v>
      </c>
      <c r="E6034" s="2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</row>
    <row r="6035" spans="1:26" ht="16.5" x14ac:dyDescent="0.35">
      <c r="A6035" s="2" t="str">
        <f ca="1">IFERROR(__xludf.DUMMYFUNCTION("""COMPUTED_VALUE"""),"Sharjah")</f>
        <v>Sharjah</v>
      </c>
      <c r="B6035" s="2" t="str">
        <f ca="1">IFERROR(__xludf.DUMMYFUNCTION("""COMPUTED_VALUE"""),"AL Shahd Tower")</f>
        <v>AL Shahd Tower</v>
      </c>
      <c r="C6035" s="2" t="str">
        <f ca="1">IFERROR(__xludf.DUMMYFUNCTION("""COMPUTED_VALUE"""),"Building")</f>
        <v>Building</v>
      </c>
      <c r="D6035" s="2" t="str">
        <f ca="1">IFERROR(__xludf.DUMMYFUNCTION("""COMPUTED_VALUE"""),"Sharjah&gt;Al Khan&gt;AL Shahd Tower")</f>
        <v>Sharjah&gt;Al Khan&gt;AL Shahd Tower</v>
      </c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</row>
    <row r="6036" spans="1:26" ht="16.5" x14ac:dyDescent="0.35">
      <c r="A6036" s="2" t="str">
        <f ca="1">IFERROR(__xludf.DUMMYFUNCTION("""COMPUTED_VALUE"""),"Sharjah")</f>
        <v>Sharjah</v>
      </c>
      <c r="B6036" s="2" t="str">
        <f ca="1">IFERROR(__xludf.DUMMYFUNCTION("""COMPUTED_VALUE"""),"Maryam Island")</f>
        <v>Maryam Island</v>
      </c>
      <c r="C6036" s="2" t="str">
        <f ca="1">IFERROR(__xludf.DUMMYFUNCTION("""COMPUTED_VALUE"""),"Neighbourhood")</f>
        <v>Neighbourhood</v>
      </c>
      <c r="D6036" s="2" t="str">
        <f ca="1">IFERROR(__xludf.DUMMYFUNCTION("""COMPUTED_VALUE"""),"Sharjah&gt;Al Khan&gt;Maryam Island")</f>
        <v>Sharjah&gt;Al Khan&gt;Maryam Island</v>
      </c>
      <c r="E6036" s="2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</row>
    <row r="6037" spans="1:26" ht="16.5" x14ac:dyDescent="0.35">
      <c r="A6037" s="2" t="str">
        <f ca="1">IFERROR(__xludf.DUMMYFUNCTION("""COMPUTED_VALUE"""),"Sharjah")</f>
        <v>Sharjah</v>
      </c>
      <c r="B6037" s="2" t="str">
        <f ca="1">IFERROR(__xludf.DUMMYFUNCTION("""COMPUTED_VALUE"""),"Al Kanana Building")</f>
        <v>Al Kanana Building</v>
      </c>
      <c r="C6037" s="2" t="str">
        <f ca="1">IFERROR(__xludf.DUMMYFUNCTION("""COMPUTED_VALUE"""),"Building")</f>
        <v>Building</v>
      </c>
      <c r="D6037" s="2" t="str">
        <f ca="1">IFERROR(__xludf.DUMMYFUNCTION("""COMPUTED_VALUE"""),"Sharjah&gt;Al Khan&gt;Al Kanana Building")</f>
        <v>Sharjah&gt;Al Khan&gt;Al Kanana Building</v>
      </c>
      <c r="E6037" s="2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</row>
    <row r="6038" spans="1:26" ht="16.5" x14ac:dyDescent="0.35">
      <c r="A6038" s="2" t="str">
        <f ca="1">IFERROR(__xludf.DUMMYFUNCTION("""COMPUTED_VALUE"""),"Sharjah")</f>
        <v>Sharjah</v>
      </c>
      <c r="B6038" s="2" t="str">
        <f ca="1">IFERROR(__xludf.DUMMYFUNCTION("""COMPUTED_VALUE"""),"Crown Residence")</f>
        <v>Crown Residence</v>
      </c>
      <c r="C6038" s="2"/>
      <c r="D6038" s="2" t="str">
        <f ca="1">IFERROR(__xludf.DUMMYFUNCTION("""COMPUTED_VALUE"""),"Sharjah&gt;Al Khan&gt;Crown Residence")</f>
        <v>Sharjah&gt;Al Khan&gt;Crown Residence</v>
      </c>
      <c r="E6038" s="2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</row>
    <row r="6039" spans="1:26" ht="16.5" x14ac:dyDescent="0.35">
      <c r="A6039" s="2" t="str">
        <f ca="1">IFERROR(__xludf.DUMMYFUNCTION("""COMPUTED_VALUE"""),"Sharjah")</f>
        <v>Sharjah</v>
      </c>
      <c r="B6039" s="2" t="str">
        <f ca="1">IFERROR(__xludf.DUMMYFUNCTION("""COMPUTED_VALUE"""),"Ali Moosa Tower 1")</f>
        <v>Ali Moosa Tower 1</v>
      </c>
      <c r="C6039" s="2"/>
      <c r="D6039" s="2" t="str">
        <f ca="1">IFERROR(__xludf.DUMMYFUNCTION("""COMPUTED_VALUE"""),"Sharjah&gt;Al Majaz&gt;Al Majaz 2&gt;Ali Moosa Tower 1")</f>
        <v>Sharjah&gt;Al Majaz&gt;Al Majaz 2&gt;Ali Moosa Tower 1</v>
      </c>
      <c r="E6039" s="2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</row>
    <row r="6040" spans="1:26" ht="16.5" x14ac:dyDescent="0.35">
      <c r="A6040" s="2" t="str">
        <f ca="1">IFERROR(__xludf.DUMMYFUNCTION("""COMPUTED_VALUE"""),"Sharjah")</f>
        <v>Sharjah</v>
      </c>
      <c r="B6040" s="2" t="str">
        <f ca="1">IFERROR(__xludf.DUMMYFUNCTION("""COMPUTED_VALUE"""),"Ibrahim Abdula Rehman Building")</f>
        <v>Ibrahim Abdula Rehman Building</v>
      </c>
      <c r="C6040" s="2"/>
      <c r="D6040" s="2" t="str">
        <f ca="1">IFERROR(__xludf.DUMMYFUNCTION("""COMPUTED_VALUE"""),"Sharjah&gt;Al Majaz&gt;Al Majaz 2&gt;Ibrahim Abdula Rehman Building")</f>
        <v>Sharjah&gt;Al Majaz&gt;Al Majaz 2&gt;Ibrahim Abdula Rehman Building</v>
      </c>
      <c r="E6040" s="2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</row>
    <row r="6041" spans="1:26" ht="16.5" x14ac:dyDescent="0.35">
      <c r="A6041" s="2" t="str">
        <f ca="1">IFERROR(__xludf.DUMMYFUNCTION("""COMPUTED_VALUE"""),"Sharjah")</f>
        <v>Sharjah</v>
      </c>
      <c r="B6041" s="2" t="str">
        <f ca="1">IFERROR(__xludf.DUMMYFUNCTION("""COMPUTED_VALUE"""),"Palm Tower 2")</f>
        <v>Palm Tower 2</v>
      </c>
      <c r="C6041" s="2"/>
      <c r="D6041" s="2" t="str">
        <f ca="1">IFERROR(__xludf.DUMMYFUNCTION("""COMPUTED_VALUE"""),"Sharjah&gt;Al Majaz&gt;Al Majaz 3&gt;Palm Tower 2")</f>
        <v>Sharjah&gt;Al Majaz&gt;Al Majaz 3&gt;Palm Tower 2</v>
      </c>
      <c r="E6041" s="2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</row>
    <row r="6042" spans="1:26" ht="16.5" x14ac:dyDescent="0.35">
      <c r="A6042" s="2" t="str">
        <f ca="1">IFERROR(__xludf.DUMMYFUNCTION("""COMPUTED_VALUE"""),"Sharjah")</f>
        <v>Sharjah</v>
      </c>
      <c r="B6042" s="2" t="str">
        <f ca="1">IFERROR(__xludf.DUMMYFUNCTION("""COMPUTED_VALUE"""),"Al Moona Tower")</f>
        <v>Al Moona Tower</v>
      </c>
      <c r="C6042" s="2"/>
      <c r="D6042" s="2" t="str">
        <f ca="1">IFERROR(__xludf.DUMMYFUNCTION("""COMPUTED_VALUE"""),"Sharjah&gt;Al Majaz&gt;Al Majaz 3&gt;Al Moona Tower")</f>
        <v>Sharjah&gt;Al Majaz&gt;Al Majaz 3&gt;Al Moona Tower</v>
      </c>
      <c r="E6042" s="2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</row>
    <row r="6043" spans="1:26" ht="16.5" x14ac:dyDescent="0.35">
      <c r="A6043" s="2" t="str">
        <f ca="1">IFERROR(__xludf.DUMMYFUNCTION("""COMPUTED_VALUE"""),"Sharjah")</f>
        <v>Sharjah</v>
      </c>
      <c r="B6043" s="2" t="str">
        <f ca="1">IFERROR(__xludf.DUMMYFUNCTION("""COMPUTED_VALUE"""),"Safya")</f>
        <v>Safya</v>
      </c>
      <c r="C6043" s="2"/>
      <c r="D6043" s="2" t="str">
        <f ca="1">IFERROR(__xludf.DUMMYFUNCTION("""COMPUTED_VALUE"""),"Sharjah&gt;Al Majaz&gt;Al Majaz 3&gt;Safya")</f>
        <v>Sharjah&gt;Al Majaz&gt;Al Majaz 3&gt;Safya</v>
      </c>
      <c r="E6043" s="2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</row>
    <row r="6044" spans="1:26" ht="16.5" x14ac:dyDescent="0.35">
      <c r="A6044" s="2" t="str">
        <f ca="1">IFERROR(__xludf.DUMMYFUNCTION("""COMPUTED_VALUE"""),"Sharjah")</f>
        <v>Sharjah</v>
      </c>
      <c r="B6044" s="2" t="str">
        <f ca="1">IFERROR(__xludf.DUMMYFUNCTION("""COMPUTED_VALUE"""),"Al Shamsi")</f>
        <v>Al Shamsi</v>
      </c>
      <c r="C6044" s="2"/>
      <c r="D6044" s="2" t="str">
        <f ca="1">IFERROR(__xludf.DUMMYFUNCTION("""COMPUTED_VALUE"""),"Sharjah&gt;Al Majaz&gt;Al Majaz 1&gt;Al Shamsi")</f>
        <v>Sharjah&gt;Al Majaz&gt;Al Majaz 1&gt;Al Shamsi</v>
      </c>
      <c r="E6044" s="2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</row>
    <row r="6045" spans="1:26" ht="16.5" x14ac:dyDescent="0.35">
      <c r="A6045" s="2" t="str">
        <f ca="1">IFERROR(__xludf.DUMMYFUNCTION("""COMPUTED_VALUE"""),"Sharjah")</f>
        <v>Sharjah</v>
      </c>
      <c r="B6045" s="2" t="str">
        <f ca="1">IFERROR(__xludf.DUMMYFUNCTION("""COMPUTED_VALUE"""),"Melia")</f>
        <v>Melia</v>
      </c>
      <c r="C6045" s="2" t="str">
        <f ca="1">IFERROR(__xludf.DUMMYFUNCTION("""COMPUTED_VALUE"""),"Neighbourhood")</f>
        <v>Neighbourhood</v>
      </c>
      <c r="D6045" s="2" t="str">
        <f ca="1">IFERROR(__xludf.DUMMYFUNCTION("""COMPUTED_VALUE"""),"Sharjah&gt;Al Sehma&gt;Masaar 2&gt;Melia")</f>
        <v>Sharjah&gt;Al Sehma&gt;Masaar 2&gt;Melia</v>
      </c>
      <c r="E6045" s="2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</row>
    <row r="6046" spans="1:26" ht="16.5" x14ac:dyDescent="0.35">
      <c r="A6046" s="2" t="str">
        <f ca="1">IFERROR(__xludf.DUMMYFUNCTION("""COMPUTED_VALUE"""),"Sharjah")</f>
        <v>Sharjah</v>
      </c>
      <c r="B6046" s="2" t="str">
        <f ca="1">IFERROR(__xludf.DUMMYFUNCTION("""COMPUTED_VALUE"""),"Tiger 4 Building")</f>
        <v>Tiger 4 Building</v>
      </c>
      <c r="C6046" s="2" t="str">
        <f ca="1">IFERROR(__xludf.DUMMYFUNCTION("""COMPUTED_VALUE"""),"Building")</f>
        <v>Building</v>
      </c>
      <c r="D6046" s="2" t="str">
        <f ca="1">IFERROR(__xludf.DUMMYFUNCTION("""COMPUTED_VALUE"""),"Sharjah&gt;Al Taawun&gt;Tiger 4 Building")</f>
        <v>Sharjah&gt;Al Taawun&gt;Tiger 4 Building</v>
      </c>
      <c r="E6046" s="2"/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</row>
    <row r="6047" spans="1:26" ht="16.5" x14ac:dyDescent="0.35">
      <c r="A6047" s="2" t="str">
        <f ca="1">IFERROR(__xludf.DUMMYFUNCTION("""COMPUTED_VALUE"""),"Sharjah")</f>
        <v>Sharjah</v>
      </c>
      <c r="B6047" s="2" t="str">
        <f ca="1">IFERROR(__xludf.DUMMYFUNCTION("""COMPUTED_VALUE"""),"Zakhir Tower 3")</f>
        <v>Zakhir Tower 3</v>
      </c>
      <c r="C6047" s="2" t="str">
        <f ca="1">IFERROR(__xludf.DUMMYFUNCTION("""COMPUTED_VALUE"""),"Building")</f>
        <v>Building</v>
      </c>
      <c r="D6047" s="2" t="str">
        <f ca="1">IFERROR(__xludf.DUMMYFUNCTION("""COMPUTED_VALUE"""),"Sharjah&gt;Al Taawun&gt;Zakhir Tower 3")</f>
        <v>Sharjah&gt;Al Taawun&gt;Zakhir Tower 3</v>
      </c>
      <c r="E6047" s="2"/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</row>
    <row r="6048" spans="1:26" ht="16.5" x14ac:dyDescent="0.35">
      <c r="A6048" s="2" t="str">
        <f ca="1">IFERROR(__xludf.DUMMYFUNCTION("""COMPUTED_VALUE"""),"Sharjah")</f>
        <v>Sharjah</v>
      </c>
      <c r="B6048" s="2" t="str">
        <f ca="1">IFERROR(__xludf.DUMMYFUNCTION("""COMPUTED_VALUE"""),"Aafiya")</f>
        <v>Aafiya</v>
      </c>
      <c r="C6048" s="2"/>
      <c r="D6048" s="2" t="str">
        <f ca="1">IFERROR(__xludf.DUMMYFUNCTION("""COMPUTED_VALUE"""),"Sharjah&gt;Al Qasimia&gt;Al Nad&gt;Aafiya")</f>
        <v>Sharjah&gt;Al Qasimia&gt;Al Nad&gt;Aafiya</v>
      </c>
      <c r="E6048" s="2"/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</row>
    <row r="6049" spans="1:26" ht="16.5" x14ac:dyDescent="0.35">
      <c r="A6049" s="2" t="str">
        <f ca="1">IFERROR(__xludf.DUMMYFUNCTION("""COMPUTED_VALUE"""),"Sharjah")</f>
        <v>Sharjah</v>
      </c>
      <c r="B6049" s="2" t="str">
        <f ca="1">IFERROR(__xludf.DUMMYFUNCTION("""COMPUTED_VALUE"""),"Damas")</f>
        <v>Damas</v>
      </c>
      <c r="C6049" s="2"/>
      <c r="D6049" s="2" t="str">
        <f ca="1">IFERROR(__xludf.DUMMYFUNCTION("""COMPUTED_VALUE"""),"Sharjah&gt;Al Qasimia&gt;Al Nad&gt;Damas")</f>
        <v>Sharjah&gt;Al Qasimia&gt;Al Nad&gt;Damas</v>
      </c>
      <c r="E6049" s="2"/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</row>
    <row r="6050" spans="1:26" ht="16.5" x14ac:dyDescent="0.35">
      <c r="A6050" s="2" t="str">
        <f ca="1">IFERROR(__xludf.DUMMYFUNCTION("""COMPUTED_VALUE"""),"Sharjah")</f>
        <v>Sharjah</v>
      </c>
      <c r="B6050" s="2" t="str">
        <f ca="1">IFERROR(__xludf.DUMMYFUNCTION("""COMPUTED_VALUE"""),"GGICO Qasimia 13")</f>
        <v>GGICO Qasimia 13</v>
      </c>
      <c r="C6050" s="2"/>
      <c r="D6050" s="2" t="str">
        <f ca="1">IFERROR(__xludf.DUMMYFUNCTION("""COMPUTED_VALUE"""),"Sharjah&gt;Al Qasimia&gt;Al Nad&gt;GGICO Qasimia 13")</f>
        <v>Sharjah&gt;Al Qasimia&gt;Al Nad&gt;GGICO Qasimia 13</v>
      </c>
      <c r="E6050" s="2"/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</row>
    <row r="6051" spans="1:26" ht="16.5" x14ac:dyDescent="0.35">
      <c r="A6051" s="2" t="str">
        <f ca="1">IFERROR(__xludf.DUMMYFUNCTION("""COMPUTED_VALUE"""),"Sharjah")</f>
        <v>Sharjah</v>
      </c>
      <c r="B6051" s="2" t="str">
        <f ca="1">IFERROR(__xludf.DUMMYFUNCTION("""COMPUTED_VALUE"""),"Al Falasi Building")</f>
        <v>Al Falasi Building</v>
      </c>
      <c r="C6051" s="2" t="str">
        <f ca="1">IFERROR(__xludf.DUMMYFUNCTION("""COMPUTED_VALUE"""),"Building")</f>
        <v>Building</v>
      </c>
      <c r="D6051" s="2" t="str">
        <f ca="1">IFERROR(__xludf.DUMMYFUNCTION("""COMPUTED_VALUE"""),"Sharjah&gt;Al Nabba&gt;Al Falasi Building")</f>
        <v>Sharjah&gt;Al Nabba&gt;Al Falasi Building</v>
      </c>
      <c r="E6051" s="2"/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</row>
    <row r="6052" spans="1:26" ht="16.5" x14ac:dyDescent="0.35">
      <c r="A6052" s="2" t="str">
        <f ca="1">IFERROR(__xludf.DUMMYFUNCTION("""COMPUTED_VALUE"""),"Sharjah")</f>
        <v>Sharjah</v>
      </c>
      <c r="B6052" s="2" t="str">
        <f ca="1">IFERROR(__xludf.DUMMYFUNCTION("""COMPUTED_VALUE"""),"Tayab Building")</f>
        <v>Tayab Building</v>
      </c>
      <c r="C6052" s="2"/>
      <c r="D6052" s="2" t="str">
        <f ca="1">IFERROR(__xludf.DUMMYFUNCTION("""COMPUTED_VALUE"""),"Sharjah&gt;Al Nabba&gt;Tayab Building")</f>
        <v>Sharjah&gt;Al Nabba&gt;Tayab Building</v>
      </c>
      <c r="E6052" s="2"/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</row>
    <row r="6053" spans="1:26" ht="16.5" x14ac:dyDescent="0.35">
      <c r="A6053" s="2" t="str">
        <f ca="1">IFERROR(__xludf.DUMMYFUNCTION("""COMPUTED_VALUE"""),"Sharjah")</f>
        <v>Sharjah</v>
      </c>
      <c r="B6053" s="2" t="str">
        <f ca="1">IFERROR(__xludf.DUMMYFUNCTION("""COMPUTED_VALUE"""),"Industrial Area 5")</f>
        <v>Industrial Area 5</v>
      </c>
      <c r="C6053" s="2" t="str">
        <f ca="1">IFERROR(__xludf.DUMMYFUNCTION("""COMPUTED_VALUE"""),"Neighbourhood")</f>
        <v>Neighbourhood</v>
      </c>
      <c r="D6053" s="2" t="str">
        <f ca="1">IFERROR(__xludf.DUMMYFUNCTION("""COMPUTED_VALUE"""),"Sharjah&gt;Industrial Area&gt;Industrial Area 5")</f>
        <v>Sharjah&gt;Industrial Area&gt;Industrial Area 5</v>
      </c>
      <c r="E6053" s="2"/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</row>
    <row r="6054" spans="1:26" ht="16.5" x14ac:dyDescent="0.35">
      <c r="A6054" s="2" t="str">
        <f ca="1">IFERROR(__xludf.DUMMYFUNCTION("""COMPUTED_VALUE"""),"Sharjah")</f>
        <v>Sharjah</v>
      </c>
      <c r="B6054" s="2" t="str">
        <f ca="1">IFERROR(__xludf.DUMMYFUNCTION("""COMPUTED_VALUE"""),"RA 2")</f>
        <v>RA 2</v>
      </c>
      <c r="C6054" s="2" t="str">
        <f ca="1">IFERROR(__xludf.DUMMYFUNCTION("""COMPUTED_VALUE"""),"Building")</f>
        <v>Building</v>
      </c>
      <c r="D6054" s="2" t="str">
        <f ca="1">IFERROR(__xludf.DUMMYFUNCTION("""COMPUTED_VALUE"""),"Sharjah&gt;Muwaileh&gt;Al Mamsha&gt;Souks Residential&gt;RA 2")</f>
        <v>Sharjah&gt;Muwaileh&gt;Al Mamsha&gt;Souks Residential&gt;RA 2</v>
      </c>
      <c r="E6054" s="2"/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</row>
    <row r="6055" spans="1:26" ht="16.5" x14ac:dyDescent="0.35">
      <c r="A6055" s="2" t="str">
        <f ca="1">IFERROR(__xludf.DUMMYFUNCTION("""COMPUTED_VALUE"""),"Sharjah")</f>
        <v>Sharjah</v>
      </c>
      <c r="B6055" s="2" t="str">
        <f ca="1">IFERROR(__xludf.DUMMYFUNCTION("""COMPUTED_VALUE"""),"Sawa 4")</f>
        <v>Sawa 4</v>
      </c>
      <c r="C6055" s="2" t="str">
        <f ca="1">IFERROR(__xludf.DUMMYFUNCTION("""COMPUTED_VALUE"""),"Building")</f>
        <v>Building</v>
      </c>
      <c r="D6055" s="2" t="str">
        <f ca="1">IFERROR(__xludf.DUMMYFUNCTION("""COMPUTED_VALUE"""),"Sharjah&gt;Muwaileh&gt;Al Mamsha&gt;Sawa&gt;Sawa 4")</f>
        <v>Sharjah&gt;Muwaileh&gt;Al Mamsha&gt;Sawa&gt;Sawa 4</v>
      </c>
      <c r="E6055" s="2"/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</row>
    <row r="6056" spans="1:26" ht="16.5" x14ac:dyDescent="0.35">
      <c r="A6056" s="2" t="str">
        <f ca="1">IFERROR(__xludf.DUMMYFUNCTION("""COMPUTED_VALUE"""),"Sharjah")</f>
        <v>Sharjah</v>
      </c>
      <c r="B6056" s="2" t="str">
        <f ca="1">IFERROR(__xludf.DUMMYFUNCTION("""COMPUTED_VALUE"""),"GEMS Westminster School, Sharjah")</f>
        <v>GEMS Westminster School, Sharjah</v>
      </c>
      <c r="C6056" s="2" t="str">
        <f ca="1">IFERROR(__xludf.DUMMYFUNCTION("""COMPUTED_VALUE"""),"School")</f>
        <v>School</v>
      </c>
      <c r="D6056" s="2" t="str">
        <f ca="1">IFERROR(__xludf.DUMMYFUNCTION("""COMPUTED_VALUE"""),"Sharjah&gt;Muwaileh Commercial&gt;GEMS Westminster School, Sharjah")</f>
        <v>Sharjah&gt;Muwaileh Commercial&gt;GEMS Westminster School, Sharjah</v>
      </c>
      <c r="E6056" s="2"/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</row>
    <row r="6057" spans="1:26" ht="16.5" x14ac:dyDescent="0.35">
      <c r="A6057" s="2" t="str">
        <f ca="1">IFERROR(__xludf.DUMMYFUNCTION("""COMPUTED_VALUE"""),"Dubai")</f>
        <v>Dubai</v>
      </c>
      <c r="B6057" s="2" t="str">
        <f ca="1">IFERROR(__xludf.DUMMYFUNCTION("""COMPUTED_VALUE"""),"Address Residences Zabeel Tower 4")</f>
        <v>Address Residences Zabeel Tower 4</v>
      </c>
      <c r="C6057" s="2" t="str">
        <f ca="1">IFERROR(__xludf.DUMMYFUNCTION("""COMPUTED_VALUE"""),"Building")</f>
        <v>Building</v>
      </c>
      <c r="D6057" s="2" t="str">
        <f ca="1">IFERROR(__xludf.DUMMYFUNCTION("""COMPUTED_VALUE"""),"Dubai&gt;Za'abeel&gt;Za'abeel 1&gt;Address Residences Zabeel&gt;Address Residences Zabeel Tower 4")</f>
        <v>Dubai&gt;Za'abeel&gt;Za'abeel 1&gt;Address Residences Zabeel&gt;Address Residences Zabeel Tower 4</v>
      </c>
      <c r="E6057" s="2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</row>
    <row r="6058" spans="1:26" ht="16.5" x14ac:dyDescent="0.35">
      <c r="A6058" s="2" t="str">
        <f ca="1">IFERROR(__xludf.DUMMYFUNCTION("""COMPUTED_VALUE"""),"Dubai")</f>
        <v>Dubai</v>
      </c>
      <c r="B6058" s="2" t="str">
        <f ca="1">IFERROR(__xludf.DUMMYFUNCTION("""COMPUTED_VALUE"""),"Samari Residences")</f>
        <v>Samari Residences</v>
      </c>
      <c r="C6058" s="2" t="str">
        <f ca="1">IFERROR(__xludf.DUMMYFUNCTION("""COMPUTED_VALUE"""),"Cluster")</f>
        <v>Cluster</v>
      </c>
      <c r="D6058" s="2" t="str">
        <f ca="1">IFERROR(__xludf.DUMMYFUNCTION("""COMPUTED_VALUE"""),"Dubai&gt;Ras Al Khor&gt;Ras Al Khor Industrial&gt;Ras Al Khor Industrial 3&gt;Samari Residences")</f>
        <v>Dubai&gt;Ras Al Khor&gt;Ras Al Khor Industrial&gt;Ras Al Khor Industrial 3&gt;Samari Residences</v>
      </c>
      <c r="E6058" s="2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</row>
    <row r="6059" spans="1:26" ht="16.5" x14ac:dyDescent="0.35">
      <c r="A6059" s="2" t="str">
        <f ca="1">IFERROR(__xludf.DUMMYFUNCTION("""COMPUTED_VALUE"""),"Dubai")</f>
        <v>Dubai</v>
      </c>
      <c r="B6059" s="2" t="str">
        <f ca="1">IFERROR(__xludf.DUMMYFUNCTION("""COMPUTED_VALUE"""),"Al Muntazah Complex")</f>
        <v>Al Muntazah Complex</v>
      </c>
      <c r="C6059" s="2" t="str">
        <f ca="1">IFERROR(__xludf.DUMMYFUNCTION("""COMPUTED_VALUE"""),"Neighbourhood")</f>
        <v>Neighbourhood</v>
      </c>
      <c r="D6059" s="2" t="str">
        <f ca="1">IFERROR(__xludf.DUMMYFUNCTION("""COMPUTED_VALUE"""),"Dubai&gt;Jebel Ali&gt;Al Muntazah Complex")</f>
        <v>Dubai&gt;Jebel Ali&gt;Al Muntazah Complex</v>
      </c>
      <c r="E6059" s="2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</row>
    <row r="6060" spans="1:26" ht="16.5" x14ac:dyDescent="0.35">
      <c r="A6060" s="2" t="str">
        <f ca="1">IFERROR(__xludf.DUMMYFUNCTION("""COMPUTED_VALUE"""),"Dubai")</f>
        <v>Dubai</v>
      </c>
      <c r="B6060" s="2" t="str">
        <f ca="1">IFERROR(__xludf.DUMMYFUNCTION("""COMPUTED_VALUE"""),"Jebel Ali Industrial Area 3")</f>
        <v>Jebel Ali Industrial Area 3</v>
      </c>
      <c r="C6060" s="2" t="str">
        <f ca="1">IFERROR(__xludf.DUMMYFUNCTION("""COMPUTED_VALUE"""),"Neighbourhood")</f>
        <v>Neighbourhood</v>
      </c>
      <c r="D6060" s="2" t="str">
        <f ca="1">IFERROR(__xludf.DUMMYFUNCTION("""COMPUTED_VALUE"""),"Dubai&gt;Jebel Ali&gt;Jebel Ali Industrial Area&gt;Jebel Ali Industrial Area 3")</f>
        <v>Dubai&gt;Jebel Ali&gt;Jebel Ali Industrial Area&gt;Jebel Ali Industrial Area 3</v>
      </c>
      <c r="E6060" s="2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</row>
    <row r="6061" spans="1:26" ht="16.5" x14ac:dyDescent="0.35">
      <c r="A6061" s="2" t="str">
        <f ca="1">IFERROR(__xludf.DUMMYFUNCTION("""COMPUTED_VALUE"""),"Dubai")</f>
        <v>Dubai</v>
      </c>
      <c r="B6061" s="2" t="str">
        <f ca="1">IFERROR(__xludf.DUMMYFUNCTION("""COMPUTED_VALUE"""),"Blue Bird Nursery Nad Al Hammar")</f>
        <v>Blue Bird Nursery Nad Al Hammar</v>
      </c>
      <c r="C6061" s="2" t="str">
        <f ca="1">IFERROR(__xludf.DUMMYFUNCTION("""COMPUTED_VALUE"""),"Nursery")</f>
        <v>Nursery</v>
      </c>
      <c r="D6061" s="2" t="str">
        <f ca="1">IFERROR(__xludf.DUMMYFUNCTION("""COMPUTED_VALUE"""),"Dubai&gt;Nad Al Hamar&gt;Blue Bird Nursery Nad Al Hammar")</f>
        <v>Dubai&gt;Nad Al Hamar&gt;Blue Bird Nursery Nad Al Hammar</v>
      </c>
      <c r="E6061" s="2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</row>
    <row r="6062" spans="1:26" ht="16.5" x14ac:dyDescent="0.35">
      <c r="A6062" s="2" t="str">
        <f ca="1">IFERROR(__xludf.DUMMYFUNCTION("""COMPUTED_VALUE"""),"Dubai")</f>
        <v>Dubai</v>
      </c>
      <c r="B6062" s="2" t="str">
        <f ca="1">IFERROR(__xludf.DUMMYFUNCTION("""COMPUTED_VALUE"""),"Nad Al Hamar Mall")</f>
        <v>Nad Al Hamar Mall</v>
      </c>
      <c r="C6062" s="2" t="str">
        <f ca="1">IFERROR(__xludf.DUMMYFUNCTION("""COMPUTED_VALUE"""),"Building")</f>
        <v>Building</v>
      </c>
      <c r="D6062" s="2" t="str">
        <f ca="1">IFERROR(__xludf.DUMMYFUNCTION("""COMPUTED_VALUE"""),"Dubai&gt;Nad Al Hamar&gt;Nad Al Hamar Mall")</f>
        <v>Dubai&gt;Nad Al Hamar&gt;Nad Al Hamar Mall</v>
      </c>
      <c r="E6062" s="2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</row>
    <row r="6063" spans="1:26" ht="16.5" x14ac:dyDescent="0.35">
      <c r="A6063" s="2" t="str">
        <f ca="1">IFERROR(__xludf.DUMMYFUNCTION("""COMPUTED_VALUE"""),"Dubai")</f>
        <v>Dubai</v>
      </c>
      <c r="B6063" s="2" t="str">
        <f ca="1">IFERROR(__xludf.DUMMYFUNCTION("""COMPUTED_VALUE"""),"Zee Zee Tower")</f>
        <v>Zee Zee Tower</v>
      </c>
      <c r="C6063" s="2" t="str">
        <f ca="1">IFERROR(__xludf.DUMMYFUNCTION("""COMPUTED_VALUE"""),"Building")</f>
        <v>Building</v>
      </c>
      <c r="D6063" s="2" t="str">
        <f ca="1">IFERROR(__xludf.DUMMYFUNCTION("""COMPUTED_VALUE"""),"Dubai&gt;Al Barsha&gt;Al Barsha 1&gt;Zee Zee Tower")</f>
        <v>Dubai&gt;Al Barsha&gt;Al Barsha 1&gt;Zee Zee Tower</v>
      </c>
      <c r="E6063" s="2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</row>
    <row r="6064" spans="1:26" ht="16.5" x14ac:dyDescent="0.35">
      <c r="A6064" s="2" t="str">
        <f ca="1">IFERROR(__xludf.DUMMYFUNCTION("""COMPUTED_VALUE"""),"Dubai")</f>
        <v>Dubai</v>
      </c>
      <c r="B6064" s="2" t="str">
        <f ca="1">IFERROR(__xludf.DUMMYFUNCTION("""COMPUTED_VALUE"""),"The Grid")</f>
        <v>The Grid</v>
      </c>
      <c r="C6064" s="2" t="str">
        <f ca="1">IFERROR(__xludf.DUMMYFUNCTION("""COMPUTED_VALUE"""),"Building")</f>
        <v>Building</v>
      </c>
      <c r="D6064" s="2" t="str">
        <f ca="1">IFERROR(__xludf.DUMMYFUNCTION("""COMPUTED_VALUE"""),"Dubai&gt;Al Barsha&gt;Al Barsha 1&gt;The Grid")</f>
        <v>Dubai&gt;Al Barsha&gt;Al Barsha 1&gt;The Grid</v>
      </c>
      <c r="E6064" s="2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</row>
    <row r="6065" spans="1:26" ht="16.5" x14ac:dyDescent="0.35">
      <c r="A6065" s="2" t="str">
        <f ca="1">IFERROR(__xludf.DUMMYFUNCTION("""COMPUTED_VALUE"""),"Dubai")</f>
        <v>Dubai</v>
      </c>
      <c r="B6065" s="2" t="str">
        <f ca="1">IFERROR(__xludf.DUMMYFUNCTION("""COMPUTED_VALUE"""),"Ascana 2")</f>
        <v>Ascana 2</v>
      </c>
      <c r="C6065" s="2" t="str">
        <f ca="1">IFERROR(__xludf.DUMMYFUNCTION("""COMPUTED_VALUE"""),"Building")</f>
        <v>Building</v>
      </c>
      <c r="D6065" s="2" t="str">
        <f ca="1">IFERROR(__xludf.DUMMYFUNCTION("""COMPUTED_VALUE"""),"Dubai&gt;Al Barsha&gt;Al Barsha 1&gt;Ascana 2")</f>
        <v>Dubai&gt;Al Barsha&gt;Al Barsha 1&gt;Ascana 2</v>
      </c>
      <c r="E6065" s="2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</row>
    <row r="6066" spans="1:26" ht="16.5" x14ac:dyDescent="0.35">
      <c r="A6066" s="2" t="str">
        <f ca="1">IFERROR(__xludf.DUMMYFUNCTION("""COMPUTED_VALUE"""),"Dubai")</f>
        <v>Dubai</v>
      </c>
      <c r="B6066" s="2" t="str">
        <f ca="1">IFERROR(__xludf.DUMMYFUNCTION("""COMPUTED_VALUE"""),"Al Wasal Building R441")</f>
        <v>Al Wasal Building R441</v>
      </c>
      <c r="C6066" s="2" t="str">
        <f ca="1">IFERROR(__xludf.DUMMYFUNCTION("""COMPUTED_VALUE"""),"Building")</f>
        <v>Building</v>
      </c>
      <c r="D6066" s="2" t="str">
        <f ca="1">IFERROR(__xludf.DUMMYFUNCTION("""COMPUTED_VALUE"""),"Dubai&gt;Al Barsha&gt;Al Barsha 1&gt;Al Wasal Building R441")</f>
        <v>Dubai&gt;Al Barsha&gt;Al Barsha 1&gt;Al Wasal Building R441</v>
      </c>
      <c r="E6066" s="2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</row>
    <row r="6067" spans="1:26" ht="16.5" x14ac:dyDescent="0.35">
      <c r="A6067" s="2" t="str">
        <f ca="1">IFERROR(__xludf.DUMMYFUNCTION("""COMPUTED_VALUE"""),"Dubai")</f>
        <v>Dubai</v>
      </c>
      <c r="B6067" s="2" t="str">
        <f ca="1">IFERROR(__xludf.DUMMYFUNCTION("""COMPUTED_VALUE"""),"Holiday Inn")</f>
        <v>Holiday Inn</v>
      </c>
      <c r="C6067" s="2" t="str">
        <f ca="1">IFERROR(__xludf.DUMMYFUNCTION("""COMPUTED_VALUE"""),"Building")</f>
        <v>Building</v>
      </c>
      <c r="D6067" s="2" t="str">
        <f ca="1">IFERROR(__xludf.DUMMYFUNCTION("""COMPUTED_VALUE"""),"Dubai&gt;Al Barsha&gt;Al Barsha 1&gt;Holiday Inn")</f>
        <v>Dubai&gt;Al Barsha&gt;Al Barsha 1&gt;Holiday Inn</v>
      </c>
      <c r="E6067" s="2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</row>
    <row r="6068" spans="1:26" ht="16.5" x14ac:dyDescent="0.35">
      <c r="A6068" s="2" t="str">
        <f ca="1">IFERROR(__xludf.DUMMYFUNCTION("""COMPUTED_VALUE"""),"Dubai")</f>
        <v>Dubai</v>
      </c>
      <c r="B6068" s="2" t="str">
        <f ca="1">IFERROR(__xludf.DUMMYFUNCTION("""COMPUTED_VALUE"""),"Time Opal Hotel Apartments")</f>
        <v>Time Opal Hotel Apartments</v>
      </c>
      <c r="C6068" s="2" t="str">
        <f ca="1">IFERROR(__xludf.DUMMYFUNCTION("""COMPUTED_VALUE"""),"Building")</f>
        <v>Building</v>
      </c>
      <c r="D6068" s="2" t="str">
        <f ca="1">IFERROR(__xludf.DUMMYFUNCTION("""COMPUTED_VALUE"""),"Dubai&gt;Al Barsha&gt;Al Barsha 1&gt;Time Opal Hotel Apartments")</f>
        <v>Dubai&gt;Al Barsha&gt;Al Barsha 1&gt;Time Opal Hotel Apartments</v>
      </c>
      <c r="E6068" s="2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</row>
    <row r="6069" spans="1:26" ht="16.5" x14ac:dyDescent="0.35">
      <c r="A6069" s="2" t="str">
        <f ca="1">IFERROR(__xludf.DUMMYFUNCTION("""COMPUTED_VALUE"""),"Dubai")</f>
        <v>Dubai</v>
      </c>
      <c r="B6069" s="2" t="str">
        <f ca="1">IFERROR(__xludf.DUMMYFUNCTION("""COMPUTED_VALUE"""),"Al Telal 5 Building")</f>
        <v>Al Telal 5 Building</v>
      </c>
      <c r="C6069" s="2" t="str">
        <f ca="1">IFERROR(__xludf.DUMMYFUNCTION("""COMPUTED_VALUE"""),"Building")</f>
        <v>Building</v>
      </c>
      <c r="D6069" s="2" t="str">
        <f ca="1">IFERROR(__xludf.DUMMYFUNCTION("""COMPUTED_VALUE"""),"Dubai&gt;Al Barsha&gt;Al Barsha 1&gt;Al Telal 5 Building")</f>
        <v>Dubai&gt;Al Barsha&gt;Al Barsha 1&gt;Al Telal 5 Building</v>
      </c>
      <c r="E6069" s="2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</row>
    <row r="6070" spans="1:26" ht="16.5" x14ac:dyDescent="0.35">
      <c r="A6070" s="2" t="str">
        <f ca="1">IFERROR(__xludf.DUMMYFUNCTION("""COMPUTED_VALUE"""),"Dubai")</f>
        <v>Dubai</v>
      </c>
      <c r="B6070" s="2" t="str">
        <f ca="1">IFERROR(__xludf.DUMMYFUNCTION("""COMPUTED_VALUE"""),"Manazil Al Barsha 01")</f>
        <v>Manazil Al Barsha 01</v>
      </c>
      <c r="C6070" s="2" t="str">
        <f ca="1">IFERROR(__xludf.DUMMYFUNCTION("""COMPUTED_VALUE"""),"Building")</f>
        <v>Building</v>
      </c>
      <c r="D6070" s="2" t="str">
        <f ca="1">IFERROR(__xludf.DUMMYFUNCTION("""COMPUTED_VALUE"""),"Dubai&gt;Al Barsha&gt;Al Barsha 1&gt;Manazil Al Barsha 01")</f>
        <v>Dubai&gt;Al Barsha&gt;Al Barsha 1&gt;Manazil Al Barsha 01</v>
      </c>
      <c r="E6070" s="2"/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</row>
    <row r="6071" spans="1:26" ht="16.5" x14ac:dyDescent="0.35">
      <c r="A6071" s="2" t="str">
        <f ca="1">IFERROR(__xludf.DUMMYFUNCTION("""COMPUTED_VALUE"""),"Dubai")</f>
        <v>Dubai</v>
      </c>
      <c r="B6071" s="2" t="str">
        <f ca="1">IFERROR(__xludf.DUMMYFUNCTION("""COMPUTED_VALUE"""),"Bin Shameh 1")</f>
        <v>Bin Shameh 1</v>
      </c>
      <c r="C6071" s="2" t="str">
        <f ca="1">IFERROR(__xludf.DUMMYFUNCTION("""COMPUTED_VALUE"""),"Building")</f>
        <v>Building</v>
      </c>
      <c r="D6071" s="2" t="str">
        <f ca="1">IFERROR(__xludf.DUMMYFUNCTION("""COMPUTED_VALUE"""),"Dubai&gt;Al Barsha&gt;Al Barsha 1&gt;Bin Shameh 1")</f>
        <v>Dubai&gt;Al Barsha&gt;Al Barsha 1&gt;Bin Shameh 1</v>
      </c>
      <c r="E6071" s="2"/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</row>
    <row r="6072" spans="1:26" ht="16.5" x14ac:dyDescent="0.35">
      <c r="A6072" s="2" t="str">
        <f ca="1">IFERROR(__xludf.DUMMYFUNCTION("""COMPUTED_VALUE"""),"Dubai")</f>
        <v>Dubai</v>
      </c>
      <c r="B6072" s="2" t="str">
        <f ca="1">IFERROR(__xludf.DUMMYFUNCTION("""COMPUTED_VALUE"""),"Al Barsha 2")</f>
        <v>Al Barsha 2</v>
      </c>
      <c r="C6072" s="2" t="str">
        <f ca="1">IFERROR(__xludf.DUMMYFUNCTION("""COMPUTED_VALUE"""),"Neighbourhood")</f>
        <v>Neighbourhood</v>
      </c>
      <c r="D6072" s="2" t="str">
        <f ca="1">IFERROR(__xludf.DUMMYFUNCTION("""COMPUTED_VALUE"""),"Dubai&gt;Al Barsha&gt;Al Barsha 2")</f>
        <v>Dubai&gt;Al Barsha&gt;Al Barsha 2</v>
      </c>
      <c r="E6072" s="2"/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</row>
    <row r="6073" spans="1:26" ht="16.5" x14ac:dyDescent="0.35">
      <c r="A6073" s="2" t="str">
        <f ca="1">IFERROR(__xludf.DUMMYFUNCTION("""COMPUTED_VALUE"""),"Dubai")</f>
        <v>Dubai</v>
      </c>
      <c r="B6073" s="2" t="str">
        <f ca="1">IFERROR(__xludf.DUMMYFUNCTION("""COMPUTED_VALUE"""),"Kempinski The Boulevard (The Address The Blvd)")</f>
        <v>Kempinski The Boulevard (The Address The Blvd)</v>
      </c>
      <c r="C6073" s="2" t="str">
        <f ca="1">IFERROR(__xludf.DUMMYFUNCTION("""COMPUTED_VALUE"""),"Building")</f>
        <v>Building</v>
      </c>
      <c r="D6073" s="2" t="str">
        <f ca="1">IFERROR(__xludf.DUMMYFUNCTION("""COMPUTED_VALUE"""),"Dubai&gt;Downtown Dubai&gt;Kempinski The Boulevard (The Address The Blvd)")</f>
        <v>Dubai&gt;Downtown Dubai&gt;Kempinski The Boulevard (The Address The Blvd)</v>
      </c>
      <c r="E6073" s="2"/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</row>
    <row r="6074" spans="1:26" ht="16.5" x14ac:dyDescent="0.35">
      <c r="A6074" s="2" t="str">
        <f ca="1">IFERROR(__xludf.DUMMYFUNCTION("""COMPUTED_VALUE"""),"Dubai")</f>
        <v>Dubai</v>
      </c>
      <c r="B6074" s="2" t="str">
        <f ca="1">IFERROR(__xludf.DUMMYFUNCTION("""COMPUTED_VALUE"""),"Toddler Town Downtown Dubai")</f>
        <v>Toddler Town Downtown Dubai</v>
      </c>
      <c r="C6074" s="2" t="str">
        <f ca="1">IFERROR(__xludf.DUMMYFUNCTION("""COMPUTED_VALUE"""),"Nursery")</f>
        <v>Nursery</v>
      </c>
      <c r="D6074" s="2" t="str">
        <f ca="1">IFERROR(__xludf.DUMMYFUNCTION("""COMPUTED_VALUE"""),"Dubai&gt;Downtown Dubai&gt;The Residences&gt;Toddler Town Downtown Dubai")</f>
        <v>Dubai&gt;Downtown Dubai&gt;The Residences&gt;Toddler Town Downtown Dubai</v>
      </c>
      <c r="E6074" s="2"/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</row>
    <row r="6075" spans="1:26" ht="16.5" x14ac:dyDescent="0.35">
      <c r="A6075" s="2" t="str">
        <f ca="1">IFERROR(__xludf.DUMMYFUNCTION("""COMPUTED_VALUE"""),"Dubai")</f>
        <v>Dubai</v>
      </c>
      <c r="B6075" s="2" t="str">
        <f ca="1">IFERROR(__xludf.DUMMYFUNCTION("""COMPUTED_VALUE"""),"29 Boulevard")</f>
        <v>29 Boulevard</v>
      </c>
      <c r="C6075" s="2" t="str">
        <f ca="1">IFERROR(__xludf.DUMMYFUNCTION("""COMPUTED_VALUE"""),"Cluster")</f>
        <v>Cluster</v>
      </c>
      <c r="D6075" s="2" t="str">
        <f ca="1">IFERROR(__xludf.DUMMYFUNCTION("""COMPUTED_VALUE"""),"Dubai&gt;Downtown Dubai&gt;29 Boulevard")</f>
        <v>Dubai&gt;Downtown Dubai&gt;29 Boulevard</v>
      </c>
      <c r="E6075" s="2"/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</row>
    <row r="6076" spans="1:26" ht="16.5" x14ac:dyDescent="0.35">
      <c r="A6076" s="2" t="str">
        <f ca="1">IFERROR(__xludf.DUMMYFUNCTION("""COMPUTED_VALUE"""),"Dubai")</f>
        <v>Dubai</v>
      </c>
      <c r="B6076" s="2" t="str">
        <f ca="1">IFERROR(__xludf.DUMMYFUNCTION("""COMPUTED_VALUE"""),"South Ridge 3")</f>
        <v>South Ridge 3</v>
      </c>
      <c r="C6076" s="2" t="str">
        <f ca="1">IFERROR(__xludf.DUMMYFUNCTION("""COMPUTED_VALUE"""),"Building")</f>
        <v>Building</v>
      </c>
      <c r="D6076" s="2" t="str">
        <f ca="1">IFERROR(__xludf.DUMMYFUNCTION("""COMPUTED_VALUE"""),"Dubai&gt;Downtown Dubai&gt;South Ridge&gt;South Ridge 3")</f>
        <v>Dubai&gt;Downtown Dubai&gt;South Ridge&gt;South Ridge 3</v>
      </c>
      <c r="E6076" s="2"/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</row>
    <row r="6077" spans="1:26" ht="16.5" x14ac:dyDescent="0.35">
      <c r="A6077" s="2" t="str">
        <f ca="1">IFERROR(__xludf.DUMMYFUNCTION("""COMPUTED_VALUE"""),"Dubai")</f>
        <v>Dubai</v>
      </c>
      <c r="B6077" s="2" t="str">
        <f ca="1">IFERROR(__xludf.DUMMYFUNCTION("""COMPUTED_VALUE"""),"Yansoon 9")</f>
        <v>Yansoon 9</v>
      </c>
      <c r="C6077" s="2" t="str">
        <f ca="1">IFERROR(__xludf.DUMMYFUNCTION("""COMPUTED_VALUE"""),"Building")</f>
        <v>Building</v>
      </c>
      <c r="D6077" s="2" t="str">
        <f ca="1">IFERROR(__xludf.DUMMYFUNCTION("""COMPUTED_VALUE"""),"Dubai&gt;Downtown Dubai&gt;Old Town&gt;Yansoon&gt;Yansoon 9")</f>
        <v>Dubai&gt;Downtown Dubai&gt;Old Town&gt;Yansoon&gt;Yansoon 9</v>
      </c>
      <c r="E6077" s="2"/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</row>
    <row r="6078" spans="1:26" ht="16.5" x14ac:dyDescent="0.35">
      <c r="A6078" s="2" t="str">
        <f ca="1">IFERROR(__xludf.DUMMYFUNCTION("""COMPUTED_VALUE"""),"Dubai")</f>
        <v>Dubai</v>
      </c>
      <c r="B6078" s="2" t="str">
        <f ca="1">IFERROR(__xludf.DUMMYFUNCTION("""COMPUTED_VALUE"""),"The Residence Burj Khalifa")</f>
        <v>The Residence Burj Khalifa</v>
      </c>
      <c r="C6078" s="2" t="str">
        <f ca="1">IFERROR(__xludf.DUMMYFUNCTION("""COMPUTED_VALUE"""),"Building")</f>
        <v>Building</v>
      </c>
      <c r="D6078" s="2" t="str">
        <f ca="1">IFERROR(__xludf.DUMMYFUNCTION("""COMPUTED_VALUE"""),"Dubai&gt;Downtown Dubai&gt;The Residence Burj Khalifa")</f>
        <v>Dubai&gt;Downtown Dubai&gt;The Residence Burj Khalifa</v>
      </c>
      <c r="E6078" s="2"/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</row>
    <row r="6079" spans="1:26" ht="16.5" x14ac:dyDescent="0.35">
      <c r="A6079" s="2" t="str">
        <f ca="1">IFERROR(__xludf.DUMMYFUNCTION("""COMPUTED_VALUE"""),"Dubai")</f>
        <v>Dubai</v>
      </c>
      <c r="B6079" s="2" t="str">
        <f ca="1">IFERROR(__xludf.DUMMYFUNCTION("""COMPUTED_VALUE"""),"Forte 2")</f>
        <v>Forte 2</v>
      </c>
      <c r="C6079" s="2" t="str">
        <f ca="1">IFERROR(__xludf.DUMMYFUNCTION("""COMPUTED_VALUE"""),"Building")</f>
        <v>Building</v>
      </c>
      <c r="D6079" s="2" t="str">
        <f ca="1">IFERROR(__xludf.DUMMYFUNCTION("""COMPUTED_VALUE"""),"Dubai&gt;Downtown Dubai&gt;Forte&gt;Forte 2")</f>
        <v>Dubai&gt;Downtown Dubai&gt;Forte&gt;Forte 2</v>
      </c>
      <c r="E6079" s="2"/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</row>
    <row r="6080" spans="1:26" ht="16.5" x14ac:dyDescent="0.35">
      <c r="A6080" s="2" t="str">
        <f ca="1">IFERROR(__xludf.DUMMYFUNCTION("""COMPUTED_VALUE"""),"Dubai")</f>
        <v>Dubai</v>
      </c>
      <c r="B6080" s="2" t="str">
        <f ca="1">IFERROR(__xludf.DUMMYFUNCTION("""COMPUTED_VALUE"""),"Mazaya 1")</f>
        <v>Mazaya 1</v>
      </c>
      <c r="C6080" s="2" t="str">
        <f ca="1">IFERROR(__xludf.DUMMYFUNCTION("""COMPUTED_VALUE"""),"Building")</f>
        <v>Building</v>
      </c>
      <c r="D6080" s="2" t="str">
        <f ca="1">IFERROR(__xludf.DUMMYFUNCTION("""COMPUTED_VALUE"""),"Dubai&gt;Liwan&gt;Queue Point&gt;Mazaya 1")</f>
        <v>Dubai&gt;Liwan&gt;Queue Point&gt;Mazaya 1</v>
      </c>
      <c r="E6080" s="2"/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</row>
    <row r="6081" spans="1:26" ht="16.5" x14ac:dyDescent="0.35">
      <c r="A6081" s="2" t="str">
        <f ca="1">IFERROR(__xludf.DUMMYFUNCTION("""COMPUTED_VALUE"""),"Dubai")</f>
        <v>Dubai</v>
      </c>
      <c r="B6081" s="2" t="str">
        <f ca="1">IFERROR(__xludf.DUMMYFUNCTION("""COMPUTED_VALUE"""),"180 Degrees Villas")</f>
        <v>180 Degrees Villas</v>
      </c>
      <c r="C6081" s="2" t="str">
        <f ca="1">IFERROR(__xludf.DUMMYFUNCTION("""COMPUTED_VALUE"""),"Neighbourhood")</f>
        <v>Neighbourhood</v>
      </c>
      <c r="D6081" s="2" t="str">
        <f ca="1">IFERROR(__xludf.DUMMYFUNCTION("""COMPUTED_VALUE"""),"Dubai&gt;Liwan&gt;180 Degrees Villas")</f>
        <v>Dubai&gt;Liwan&gt;180 Degrees Villas</v>
      </c>
      <c r="E6081" s="2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</row>
    <row r="6082" spans="1:26" ht="16.5" x14ac:dyDescent="0.35">
      <c r="A6082" s="2" t="str">
        <f ca="1">IFERROR(__xludf.DUMMYFUNCTION("""COMPUTED_VALUE"""),"Dubai")</f>
        <v>Dubai</v>
      </c>
      <c r="B6082" s="2" t="str">
        <f ca="1">IFERROR(__xludf.DUMMYFUNCTION("""COMPUTED_VALUE"""),"Amina Khamis Building")</f>
        <v>Amina Khamis Building</v>
      </c>
      <c r="C6082" s="2" t="str">
        <f ca="1">IFERROR(__xludf.DUMMYFUNCTION("""COMPUTED_VALUE"""),"Building")</f>
        <v>Building</v>
      </c>
      <c r="D6082" s="2" t="str">
        <f ca="1">IFERROR(__xludf.DUMMYFUNCTION("""COMPUTED_VALUE"""),"Dubai&gt;Al Jafiliya&gt;Amina Khamis Building")</f>
        <v>Dubai&gt;Al Jafiliya&gt;Amina Khamis Building</v>
      </c>
      <c r="E6082" s="2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</row>
    <row r="6083" spans="1:26" ht="16.5" x14ac:dyDescent="0.35">
      <c r="A6083" s="2" t="str">
        <f ca="1">IFERROR(__xludf.DUMMYFUNCTION("""COMPUTED_VALUE"""),"Dubai")</f>
        <v>Dubai</v>
      </c>
      <c r="B6083" s="2" t="str">
        <f ca="1">IFERROR(__xludf.DUMMYFUNCTION("""COMPUTED_VALUE"""),"The Gate Village 7")</f>
        <v>The Gate Village 7</v>
      </c>
      <c r="C6083" s="2" t="str">
        <f ca="1">IFERROR(__xludf.DUMMYFUNCTION("""COMPUTED_VALUE"""),"Building")</f>
        <v>Building</v>
      </c>
      <c r="D6083" s="2" t="str">
        <f ca="1">IFERROR(__xludf.DUMMYFUNCTION("""COMPUTED_VALUE"""),"Dubai&gt;DIFC&gt;The Gate Village&gt;The Gate Village 7")</f>
        <v>Dubai&gt;DIFC&gt;The Gate Village&gt;The Gate Village 7</v>
      </c>
      <c r="E6083" s="2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</row>
    <row r="6084" spans="1:26" ht="16.5" x14ac:dyDescent="0.35">
      <c r="A6084" s="2" t="str">
        <f ca="1">IFERROR(__xludf.DUMMYFUNCTION("""COMPUTED_VALUE"""),"Dubai")</f>
        <v>Dubai</v>
      </c>
      <c r="B6084" s="2" t="str">
        <f ca="1">IFERROR(__xludf.DUMMYFUNCTION("""COMPUTED_VALUE"""),"Nasser Lootah Building")</f>
        <v>Nasser Lootah Building</v>
      </c>
      <c r="C6084" s="2" t="str">
        <f ca="1">IFERROR(__xludf.DUMMYFUNCTION("""COMPUTED_VALUE"""),"Building")</f>
        <v>Building</v>
      </c>
      <c r="D6084" s="2" t="str">
        <f ca="1">IFERROR(__xludf.DUMMYFUNCTION("""COMPUTED_VALUE"""),"Dubai&gt;Al Twar&gt;Al Twar 1&gt;Nasser Lootah Building")</f>
        <v>Dubai&gt;Al Twar&gt;Al Twar 1&gt;Nasser Lootah Building</v>
      </c>
      <c r="E6084" s="2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</row>
    <row r="6085" spans="1:26" ht="16.5" x14ac:dyDescent="0.35">
      <c r="A6085" s="2" t="str">
        <f ca="1">IFERROR(__xludf.DUMMYFUNCTION("""COMPUTED_VALUE"""),"Dubai")</f>
        <v>Dubai</v>
      </c>
      <c r="B6085" s="2" t="str">
        <f ca="1">IFERROR(__xludf.DUMMYFUNCTION("""COMPUTED_VALUE"""),"Zam Zam Building")</f>
        <v>Zam Zam Building</v>
      </c>
      <c r="C6085" s="2" t="str">
        <f ca="1">IFERROR(__xludf.DUMMYFUNCTION("""COMPUTED_VALUE"""),"Building")</f>
        <v>Building</v>
      </c>
      <c r="D6085" s="2" t="str">
        <f ca="1">IFERROR(__xludf.DUMMYFUNCTION("""COMPUTED_VALUE"""),"Dubai&gt;Al Warqaa&gt;Al Warqaa 1&gt;Zam Zam Building")</f>
        <v>Dubai&gt;Al Warqaa&gt;Al Warqaa 1&gt;Zam Zam Building</v>
      </c>
      <c r="E6085" s="2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</row>
    <row r="6086" spans="1:26" ht="16.5" x14ac:dyDescent="0.35">
      <c r="A6086" s="2" t="str">
        <f ca="1">IFERROR(__xludf.DUMMYFUNCTION("""COMPUTED_VALUE"""),"Dubai")</f>
        <v>Dubai</v>
      </c>
      <c r="B6086" s="2" t="str">
        <f ca="1">IFERROR(__xludf.DUMMYFUNCTION("""COMPUTED_VALUE"""),"Al Mashroom 2")</f>
        <v>Al Mashroom 2</v>
      </c>
      <c r="C6086" s="2" t="str">
        <f ca="1">IFERROR(__xludf.DUMMYFUNCTION("""COMPUTED_VALUE"""),"Building")</f>
        <v>Building</v>
      </c>
      <c r="D6086" s="2" t="str">
        <f ca="1">IFERROR(__xludf.DUMMYFUNCTION("""COMPUTED_VALUE"""),"Dubai&gt;Al Warqaa&gt;Al Warqaa 1&gt;Al Mashroom 2")</f>
        <v>Dubai&gt;Al Warqaa&gt;Al Warqaa 1&gt;Al Mashroom 2</v>
      </c>
      <c r="E6086" s="2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</row>
    <row r="6087" spans="1:26" ht="16.5" x14ac:dyDescent="0.35">
      <c r="A6087" s="2" t="str">
        <f ca="1">IFERROR(__xludf.DUMMYFUNCTION("""COMPUTED_VALUE"""),"Dubai")</f>
        <v>Dubai</v>
      </c>
      <c r="B6087" s="2" t="str">
        <f ca="1">IFERROR(__xludf.DUMMYFUNCTION("""COMPUTED_VALUE"""),"Saeed Hamad Saeed Melhoof 7 Building")</f>
        <v>Saeed Hamad Saeed Melhoof 7 Building</v>
      </c>
      <c r="C6087" s="2" t="str">
        <f ca="1">IFERROR(__xludf.DUMMYFUNCTION("""COMPUTED_VALUE"""),"Building")</f>
        <v>Building</v>
      </c>
      <c r="D6087" s="2" t="str">
        <f ca="1">IFERROR(__xludf.DUMMYFUNCTION("""COMPUTED_VALUE"""),"Dubai&gt;Al Warqaa&gt;Al Warqaa 1&gt;Saeed Hamad Saeed Melhoof 7 Building")</f>
        <v>Dubai&gt;Al Warqaa&gt;Al Warqaa 1&gt;Saeed Hamad Saeed Melhoof 7 Building</v>
      </c>
      <c r="E6087" s="2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</row>
    <row r="6088" spans="1:26" ht="16.5" x14ac:dyDescent="0.35">
      <c r="A6088" s="2" t="str">
        <f ca="1">IFERROR(__xludf.DUMMYFUNCTION("""COMPUTED_VALUE"""),"Dubai")</f>
        <v>Dubai</v>
      </c>
      <c r="B6088" s="2" t="str">
        <f ca="1">IFERROR(__xludf.DUMMYFUNCTION("""COMPUTED_VALUE"""),"Bin Shabib Building")</f>
        <v>Bin Shabib Building</v>
      </c>
      <c r="C6088" s="2" t="str">
        <f ca="1">IFERROR(__xludf.DUMMYFUNCTION("""COMPUTED_VALUE"""),"Building")</f>
        <v>Building</v>
      </c>
      <c r="D6088" s="2" t="str">
        <f ca="1">IFERROR(__xludf.DUMMYFUNCTION("""COMPUTED_VALUE"""),"Dubai&gt;Al Warqaa&gt;Al Warqaa 1&gt;Bin Shabib Building")</f>
        <v>Dubai&gt;Al Warqaa&gt;Al Warqaa 1&gt;Bin Shabib Building</v>
      </c>
      <c r="E6088" s="2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</row>
    <row r="6089" spans="1:26" ht="16.5" x14ac:dyDescent="0.35">
      <c r="A6089" s="2" t="str">
        <f ca="1">IFERROR(__xludf.DUMMYFUNCTION("""COMPUTED_VALUE"""),"Dubai")</f>
        <v>Dubai</v>
      </c>
      <c r="B6089" s="2" t="str">
        <f ca="1">IFERROR(__xludf.DUMMYFUNCTION("""COMPUTED_VALUE"""),"Lake View Tower")</f>
        <v>Lake View Tower</v>
      </c>
      <c r="C6089" s="2" t="str">
        <f ca="1">IFERROR(__xludf.DUMMYFUNCTION("""COMPUTED_VALUE"""),"Building")</f>
        <v>Building</v>
      </c>
      <c r="D6089" s="2" t="str">
        <f ca="1">IFERROR(__xludf.DUMMYFUNCTION("""COMPUTED_VALUE"""),"Dubai&gt;Jumeirah Lake Towers (JLT)&gt;JLT Cluster B&gt;Lake View Tower")</f>
        <v>Dubai&gt;Jumeirah Lake Towers (JLT)&gt;JLT Cluster B&gt;Lake View Tower</v>
      </c>
      <c r="E6089" s="2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</row>
    <row r="6090" spans="1:26" ht="16.5" x14ac:dyDescent="0.35">
      <c r="A6090" s="2" t="str">
        <f ca="1">IFERROR(__xludf.DUMMYFUNCTION("""COMPUTED_VALUE"""),"Dubai")</f>
        <v>Dubai</v>
      </c>
      <c r="B6090" s="2" t="str">
        <f ca="1">IFERROR(__xludf.DUMMYFUNCTION("""COMPUTED_VALUE"""),"JLT Cluster J")</f>
        <v>JLT Cluster J</v>
      </c>
      <c r="C6090" s="2" t="str">
        <f ca="1">IFERROR(__xludf.DUMMYFUNCTION("""COMPUTED_VALUE"""),"Cluster")</f>
        <v>Cluster</v>
      </c>
      <c r="D6090" s="2" t="str">
        <f ca="1">IFERROR(__xludf.DUMMYFUNCTION("""COMPUTED_VALUE"""),"Dubai&gt;Jumeirah Lake Towers (JLT)&gt;JLT Cluster J")</f>
        <v>Dubai&gt;Jumeirah Lake Towers (JLT)&gt;JLT Cluster J</v>
      </c>
      <c r="E6090" s="2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</row>
    <row r="6091" spans="1:26" ht="16.5" x14ac:dyDescent="0.35">
      <c r="A6091" s="2" t="str">
        <f ca="1">IFERROR(__xludf.DUMMYFUNCTION("""COMPUTED_VALUE"""),"Dubai")</f>
        <v>Dubai</v>
      </c>
      <c r="B6091" s="2" t="str">
        <f ca="1">IFERROR(__xludf.DUMMYFUNCTION("""COMPUTED_VALUE"""),"New Dubai Gate 1")</f>
        <v>New Dubai Gate 1</v>
      </c>
      <c r="C6091" s="2" t="str">
        <f ca="1">IFERROR(__xludf.DUMMYFUNCTION("""COMPUTED_VALUE"""),"Building")</f>
        <v>Building</v>
      </c>
      <c r="D6091" s="2" t="str">
        <f ca="1">IFERROR(__xludf.DUMMYFUNCTION("""COMPUTED_VALUE"""),"Dubai&gt;Jumeirah Lake Towers (JLT)&gt;JLT Cluster Q&gt;New Dubai Gate 1")</f>
        <v>Dubai&gt;Jumeirah Lake Towers (JLT)&gt;JLT Cluster Q&gt;New Dubai Gate 1</v>
      </c>
      <c r="E6091" s="2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</row>
    <row r="6092" spans="1:26" ht="16.5" x14ac:dyDescent="0.35">
      <c r="A6092" s="2" t="str">
        <f ca="1">IFERROR(__xludf.DUMMYFUNCTION("""COMPUTED_VALUE"""),"Dubai")</f>
        <v>Dubai</v>
      </c>
      <c r="B6092" s="2" t="str">
        <f ca="1">IFERROR(__xludf.DUMMYFUNCTION("""COMPUTED_VALUE"""),"JLT Cluster Y")</f>
        <v>JLT Cluster Y</v>
      </c>
      <c r="C6092" s="2" t="str">
        <f ca="1">IFERROR(__xludf.DUMMYFUNCTION("""COMPUTED_VALUE"""),"Cluster")</f>
        <v>Cluster</v>
      </c>
      <c r="D6092" s="2" t="str">
        <f ca="1">IFERROR(__xludf.DUMMYFUNCTION("""COMPUTED_VALUE"""),"Dubai&gt;Jumeirah Lake Towers (JLT)&gt;JLT Cluster Y")</f>
        <v>Dubai&gt;Jumeirah Lake Towers (JLT)&gt;JLT Cluster Y</v>
      </c>
      <c r="E6092" s="2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</row>
    <row r="6093" spans="1:26" ht="16.5" x14ac:dyDescent="0.35">
      <c r="A6093" s="2" t="str">
        <f ca="1">IFERROR(__xludf.DUMMYFUNCTION("""COMPUTED_VALUE"""),"Dubai")</f>
        <v>Dubai</v>
      </c>
      <c r="B6093" s="2" t="str">
        <f ca="1">IFERROR(__xludf.DUMMYFUNCTION("""COMPUTED_VALUE"""),"Blossom Nursery Mudon")</f>
        <v>Blossom Nursery Mudon</v>
      </c>
      <c r="C6093" s="2" t="str">
        <f ca="1">IFERROR(__xludf.DUMMYFUNCTION("""COMPUTED_VALUE"""),"Nursery")</f>
        <v>Nursery</v>
      </c>
      <c r="D6093" s="2" t="str">
        <f ca="1">IFERROR(__xludf.DUMMYFUNCTION("""COMPUTED_VALUE"""),"Dubai&gt;Mudon&gt;Blossom Nursery Mudon")</f>
        <v>Dubai&gt;Mudon&gt;Blossom Nursery Mudon</v>
      </c>
      <c r="E6093" s="2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</row>
    <row r="6094" spans="1:26" ht="16.5" x14ac:dyDescent="0.35">
      <c r="A6094" s="2" t="str">
        <f ca="1">IFERROR(__xludf.DUMMYFUNCTION("""COMPUTED_VALUE"""),"Dubai")</f>
        <v>Dubai</v>
      </c>
      <c r="B6094" s="2" t="str">
        <f ca="1">IFERROR(__xludf.DUMMYFUNCTION("""COMPUTED_VALUE"""),"The Village Community (Ranches souk)")</f>
        <v>The Village Community (Ranches souk)</v>
      </c>
      <c r="C6094" s="2" t="str">
        <f ca="1">IFERROR(__xludf.DUMMYFUNCTION("""COMPUTED_VALUE"""),"Building")</f>
        <v>Building</v>
      </c>
      <c r="D6094" s="2" t="str">
        <f ca="1">IFERROR(__xludf.DUMMYFUNCTION("""COMPUTED_VALUE"""),"Dubai&gt;Arabian Ranches 2&gt;The Village Community (Ranches souk)")</f>
        <v>Dubai&gt;Arabian Ranches 2&gt;The Village Community (Ranches souk)</v>
      </c>
      <c r="E6094" s="2"/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</row>
    <row r="6095" spans="1:26" ht="16.5" x14ac:dyDescent="0.35">
      <c r="A6095" s="2" t="str">
        <f ca="1">IFERROR(__xludf.DUMMYFUNCTION("""COMPUTED_VALUE"""),"Dubai")</f>
        <v>Dubai</v>
      </c>
      <c r="B6095" s="2" t="str">
        <f ca="1">IFERROR(__xludf.DUMMYFUNCTION("""COMPUTED_VALUE"""),"Dhana 3")</f>
        <v>Dhana 3</v>
      </c>
      <c r="C6095" s="2" t="str">
        <f ca="1">IFERROR(__xludf.DUMMYFUNCTION("""COMPUTED_VALUE"""),"Building")</f>
        <v>Building</v>
      </c>
      <c r="D6095" s="2" t="str">
        <f ca="1">IFERROR(__xludf.DUMMYFUNCTION("""COMPUTED_VALUE"""),"Dubai&gt;Al Satwa&gt;Jumeirah Garden City&gt;Dhana 3")</f>
        <v>Dubai&gt;Al Satwa&gt;Jumeirah Garden City&gt;Dhana 3</v>
      </c>
      <c r="E6095" s="2"/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</row>
    <row r="6096" spans="1:26" ht="16.5" x14ac:dyDescent="0.35">
      <c r="A6096" s="2" t="str">
        <f ca="1">IFERROR(__xludf.DUMMYFUNCTION("""COMPUTED_VALUE"""),"Dubai")</f>
        <v>Dubai</v>
      </c>
      <c r="B6096" s="2" t="str">
        <f ca="1">IFERROR(__xludf.DUMMYFUNCTION("""COMPUTED_VALUE"""),"Al Awadhi Res 2")</f>
        <v>Al Awadhi Res 2</v>
      </c>
      <c r="C6096" s="2" t="str">
        <f ca="1">IFERROR(__xludf.DUMMYFUNCTION("""COMPUTED_VALUE"""),"Building")</f>
        <v>Building</v>
      </c>
      <c r="D6096" s="2" t="str">
        <f ca="1">IFERROR(__xludf.DUMMYFUNCTION("""COMPUTED_VALUE"""),"Dubai&gt;Al Satwa&gt;Jumeirah Garden City&gt;Al Awadhi Res 2")</f>
        <v>Dubai&gt;Al Satwa&gt;Jumeirah Garden City&gt;Al Awadhi Res 2</v>
      </c>
      <c r="E6096" s="2"/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</row>
    <row r="6097" spans="1:26" ht="16.5" x14ac:dyDescent="0.35">
      <c r="A6097" s="2" t="str">
        <f ca="1">IFERROR(__xludf.DUMMYFUNCTION("""COMPUTED_VALUE"""),"Dubai")</f>
        <v>Dubai</v>
      </c>
      <c r="B6097" s="2" t="str">
        <f ca="1">IFERROR(__xludf.DUMMYFUNCTION("""COMPUTED_VALUE"""),"Stamn Yuni")</f>
        <v>Stamn Yuni</v>
      </c>
      <c r="C6097" s="2" t="str">
        <f ca="1">IFERROR(__xludf.DUMMYFUNCTION("""COMPUTED_VALUE"""),"Building")</f>
        <v>Building</v>
      </c>
      <c r="D6097" s="2" t="str">
        <f ca="1">IFERROR(__xludf.DUMMYFUNCTION("""COMPUTED_VALUE"""),"Dubai&gt;Al Satwa&gt;Jumeirah Garden City&gt;Stamn Yuni")</f>
        <v>Dubai&gt;Al Satwa&gt;Jumeirah Garden City&gt;Stamn Yuni</v>
      </c>
      <c r="E6097" s="2"/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</row>
    <row r="6098" spans="1:26" ht="16.5" x14ac:dyDescent="0.35">
      <c r="A6098" s="2" t="str">
        <f ca="1">IFERROR(__xludf.DUMMYFUNCTION("""COMPUTED_VALUE"""),"Dubai")</f>
        <v>Dubai</v>
      </c>
      <c r="B6098" s="2" t="str">
        <f ca="1">IFERROR(__xludf.DUMMYFUNCTION("""COMPUTED_VALUE"""),"Sonder Downtown Towers")</f>
        <v>Sonder Downtown Towers</v>
      </c>
      <c r="C6098" s="2" t="str">
        <f ca="1">IFERROR(__xludf.DUMMYFUNCTION("""COMPUTED_VALUE"""),"Cluster")</f>
        <v>Cluster</v>
      </c>
      <c r="D6098" s="2" t="str">
        <f ca="1">IFERROR(__xludf.DUMMYFUNCTION("""COMPUTED_VALUE"""),"Dubai&gt;Al Satwa&gt;Sonder Downtown Towers")</f>
        <v>Dubai&gt;Al Satwa&gt;Sonder Downtown Towers</v>
      </c>
      <c r="E6098" s="2"/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</row>
    <row r="6099" spans="1:26" ht="16.5" x14ac:dyDescent="0.35">
      <c r="A6099" s="2" t="str">
        <f ca="1">IFERROR(__xludf.DUMMYFUNCTION("""COMPUTED_VALUE"""),"Dubai")</f>
        <v>Dubai</v>
      </c>
      <c r="B6099" s="2" t="str">
        <f ca="1">IFERROR(__xludf.DUMMYFUNCTION("""COMPUTED_VALUE"""),"Jebel Ali Village Nursery Discovery Gardens")</f>
        <v>Jebel Ali Village Nursery Discovery Gardens</v>
      </c>
      <c r="C6099" s="2" t="str">
        <f ca="1">IFERROR(__xludf.DUMMYFUNCTION("""COMPUTED_VALUE"""),"Nursery")</f>
        <v>Nursery</v>
      </c>
      <c r="D6099" s="2" t="str">
        <f ca="1">IFERROR(__xludf.DUMMYFUNCTION("""COMPUTED_VALUE"""),"Dubai&gt;Discovery Gardens&gt;Contemporary&gt;Jebel Ali Village Nursery Discovery Gardens")</f>
        <v>Dubai&gt;Discovery Gardens&gt;Contemporary&gt;Jebel Ali Village Nursery Discovery Gardens</v>
      </c>
      <c r="E6099" s="2"/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</row>
    <row r="6100" spans="1:26" ht="16.5" x14ac:dyDescent="0.35">
      <c r="A6100" s="2" t="str">
        <f ca="1">IFERROR(__xludf.DUMMYFUNCTION("""COMPUTED_VALUE"""),"Dubai")</f>
        <v>Dubai</v>
      </c>
      <c r="B6100" s="2" t="str">
        <f ca="1">IFERROR(__xludf.DUMMYFUNCTION("""COMPUTED_VALUE"""),"Mesoamerican")</f>
        <v>Mesoamerican</v>
      </c>
      <c r="C6100" s="2" t="str">
        <f ca="1">IFERROR(__xludf.DUMMYFUNCTION("""COMPUTED_VALUE"""),"Neighbourhood")</f>
        <v>Neighbourhood</v>
      </c>
      <c r="D6100" s="2" t="str">
        <f ca="1">IFERROR(__xludf.DUMMYFUNCTION("""COMPUTED_VALUE"""),"Dubai&gt;Discovery Gardens&gt;Mesoamerican")</f>
        <v>Dubai&gt;Discovery Gardens&gt;Mesoamerican</v>
      </c>
      <c r="E6100" s="2"/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</row>
    <row r="6101" spans="1:26" ht="16.5" x14ac:dyDescent="0.35">
      <c r="A6101" s="2" t="str">
        <f ca="1">IFERROR(__xludf.DUMMYFUNCTION("""COMPUTED_VALUE"""),"Dubai")</f>
        <v>Dubai</v>
      </c>
      <c r="B6101" s="2" t="str">
        <f ca="1">IFERROR(__xludf.DUMMYFUNCTION("""COMPUTED_VALUE"""),"Building 198")</f>
        <v>Building 198</v>
      </c>
      <c r="C6101" s="2" t="str">
        <f ca="1">IFERROR(__xludf.DUMMYFUNCTION("""COMPUTED_VALUE"""),"Building")</f>
        <v>Building</v>
      </c>
      <c r="D6101" s="2" t="str">
        <f ca="1">IFERROR(__xludf.DUMMYFUNCTION("""COMPUTED_VALUE"""),"Dubai&gt;Discovery Gardens&gt;Mogul&gt;Building 198")</f>
        <v>Dubai&gt;Discovery Gardens&gt;Mogul&gt;Building 198</v>
      </c>
      <c r="E6101" s="2"/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</row>
    <row r="6102" spans="1:26" ht="16.5" x14ac:dyDescent="0.35">
      <c r="A6102" s="2" t="str">
        <f ca="1">IFERROR(__xludf.DUMMYFUNCTION("""COMPUTED_VALUE"""),"Dubai")</f>
        <v>Dubai</v>
      </c>
      <c r="B6102" s="2" t="str">
        <f ca="1">IFERROR(__xludf.DUMMYFUNCTION("""COMPUTED_VALUE"""),"Building 233")</f>
        <v>Building 233</v>
      </c>
      <c r="C6102" s="2" t="str">
        <f ca="1">IFERROR(__xludf.DUMMYFUNCTION("""COMPUTED_VALUE"""),"Building")</f>
        <v>Building</v>
      </c>
      <c r="D6102" s="2" t="str">
        <f ca="1">IFERROR(__xludf.DUMMYFUNCTION("""COMPUTED_VALUE"""),"Dubai&gt;Discovery Gardens&gt;Mogul&gt;Building 233")</f>
        <v>Dubai&gt;Discovery Gardens&gt;Mogul&gt;Building 233</v>
      </c>
      <c r="E6102" s="2"/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</row>
    <row r="6103" spans="1:26" ht="16.5" x14ac:dyDescent="0.35">
      <c r="A6103" s="2" t="str">
        <f ca="1">IFERROR(__xludf.DUMMYFUNCTION("""COMPUTED_VALUE"""),"Dubai")</f>
        <v>Dubai</v>
      </c>
      <c r="B6103" s="2" t="str">
        <f ca="1">IFERROR(__xludf.DUMMYFUNCTION("""COMPUTED_VALUE"""),"Building 26")</f>
        <v>Building 26</v>
      </c>
      <c r="C6103" s="2" t="str">
        <f ca="1">IFERROR(__xludf.DUMMYFUNCTION("""COMPUTED_VALUE"""),"Building")</f>
        <v>Building</v>
      </c>
      <c r="D6103" s="2" t="str">
        <f ca="1">IFERROR(__xludf.DUMMYFUNCTION("""COMPUTED_VALUE"""),"Dubai&gt;Discovery Gardens&gt;Zen Cluster&gt;Building 26")</f>
        <v>Dubai&gt;Discovery Gardens&gt;Zen Cluster&gt;Building 26</v>
      </c>
      <c r="E6103" s="2"/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</row>
    <row r="6104" spans="1:26" ht="16.5" x14ac:dyDescent="0.35">
      <c r="A6104" s="2" t="str">
        <f ca="1">IFERROR(__xludf.DUMMYFUNCTION("""COMPUTED_VALUE"""),"Dubai")</f>
        <v>Dubai</v>
      </c>
      <c r="B6104" s="2" t="str">
        <f ca="1">IFERROR(__xludf.DUMMYFUNCTION("""COMPUTED_VALUE"""),"Building 74")</f>
        <v>Building 74</v>
      </c>
      <c r="C6104" s="2" t="str">
        <f ca="1">IFERROR(__xludf.DUMMYFUNCTION("""COMPUTED_VALUE"""),"Building")</f>
        <v>Building</v>
      </c>
      <c r="D6104" s="2" t="str">
        <f ca="1">IFERROR(__xludf.DUMMYFUNCTION("""COMPUTED_VALUE"""),"Dubai&gt;Discovery Gardens&gt;Mediterranean&gt;Building 74")</f>
        <v>Dubai&gt;Discovery Gardens&gt;Mediterranean&gt;Building 74</v>
      </c>
      <c r="E6104" s="2"/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</row>
    <row r="6105" spans="1:26" ht="16.5" x14ac:dyDescent="0.35">
      <c r="A6105" s="2" t="str">
        <f ca="1">IFERROR(__xludf.DUMMYFUNCTION("""COMPUTED_VALUE"""),"Dubai")</f>
        <v>Dubai</v>
      </c>
      <c r="B6105" s="2" t="str">
        <f ca="1">IFERROR(__xludf.DUMMYFUNCTION("""COMPUTED_VALUE"""),"Building 76")</f>
        <v>Building 76</v>
      </c>
      <c r="C6105" s="2" t="str">
        <f ca="1">IFERROR(__xludf.DUMMYFUNCTION("""COMPUTED_VALUE"""),"Building")</f>
        <v>Building</v>
      </c>
      <c r="D6105" s="2" t="str">
        <f ca="1">IFERROR(__xludf.DUMMYFUNCTION("""COMPUTED_VALUE"""),"Dubai&gt;Discovery Gardens&gt;Mediterranean&gt;Building 76")</f>
        <v>Dubai&gt;Discovery Gardens&gt;Mediterranean&gt;Building 76</v>
      </c>
      <c r="E6105" s="2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</row>
    <row r="6106" spans="1:26" ht="16.5" x14ac:dyDescent="0.35">
      <c r="A6106" s="2" t="str">
        <f ca="1">IFERROR(__xludf.DUMMYFUNCTION("""COMPUTED_VALUE"""),"Dubai")</f>
        <v>Dubai</v>
      </c>
      <c r="B6106" s="2" t="str">
        <f ca="1">IFERROR(__xludf.DUMMYFUNCTION("""COMPUTED_VALUE"""),"Palm Jumeirah")</f>
        <v>Palm Jumeirah</v>
      </c>
      <c r="C6106" s="2" t="str">
        <f ca="1">IFERROR(__xludf.DUMMYFUNCTION("""COMPUTED_VALUE"""),"Neighbourhood")</f>
        <v>Neighbourhood</v>
      </c>
      <c r="D6106" s="2" t="str">
        <f ca="1">IFERROR(__xludf.DUMMYFUNCTION("""COMPUTED_VALUE"""),"Dubai&gt;Palm Jumeirah")</f>
        <v>Dubai&gt;Palm Jumeirah</v>
      </c>
      <c r="E6106" s="2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</row>
    <row r="6107" spans="1:26" ht="16.5" x14ac:dyDescent="0.35">
      <c r="A6107" s="2" t="str">
        <f ca="1">IFERROR(__xludf.DUMMYFUNCTION("""COMPUTED_VALUE"""),"Dubai")</f>
        <v>Dubai</v>
      </c>
      <c r="B6107" s="2" t="str">
        <f ca="1">IFERROR(__xludf.DUMMYFUNCTION("""COMPUTED_VALUE"""),"Al Dabas")</f>
        <v>Al Dabas</v>
      </c>
      <c r="C6107" s="2" t="str">
        <f ca="1">IFERROR(__xludf.DUMMYFUNCTION("""COMPUTED_VALUE"""),"Building")</f>
        <v>Building</v>
      </c>
      <c r="D6107" s="2" t="str">
        <f ca="1">IFERROR(__xludf.DUMMYFUNCTION("""COMPUTED_VALUE"""),"Dubai&gt;Palm Jumeirah&gt;Shoreline Apartments&gt;Al Dabas")</f>
        <v>Dubai&gt;Palm Jumeirah&gt;Shoreline Apartments&gt;Al Dabas</v>
      </c>
      <c r="E6107" s="2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</row>
    <row r="6108" spans="1:26" ht="16.5" x14ac:dyDescent="0.35">
      <c r="A6108" s="2" t="str">
        <f ca="1">IFERROR(__xludf.DUMMYFUNCTION("""COMPUTED_VALUE"""),"Dubai")</f>
        <v>Dubai</v>
      </c>
      <c r="B6108" s="2" t="str">
        <f ca="1">IFERROR(__xludf.DUMMYFUNCTION("""COMPUTED_VALUE"""),"Signature Villas Frond B")</f>
        <v>Signature Villas Frond B</v>
      </c>
      <c r="C6108" s="2" t="str">
        <f ca="1">IFERROR(__xludf.DUMMYFUNCTION("""COMPUTED_VALUE"""),"Neighbourhood")</f>
        <v>Neighbourhood</v>
      </c>
      <c r="D6108" s="2" t="str">
        <f ca="1">IFERROR(__xludf.DUMMYFUNCTION("""COMPUTED_VALUE"""),"Dubai&gt;Palm Jumeirah&gt;Signature Villas Palm Jumeirah&gt;Signature Villas Frond B")</f>
        <v>Dubai&gt;Palm Jumeirah&gt;Signature Villas Palm Jumeirah&gt;Signature Villas Frond B</v>
      </c>
      <c r="E6108" s="2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</row>
    <row r="6109" spans="1:26" ht="16.5" x14ac:dyDescent="0.35">
      <c r="A6109" s="2" t="str">
        <f ca="1">IFERROR(__xludf.DUMMYFUNCTION("""COMPUTED_VALUE"""),"Dubai")</f>
        <v>Dubai</v>
      </c>
      <c r="B6109" s="2" t="str">
        <f ca="1">IFERROR(__xludf.DUMMYFUNCTION("""COMPUTED_VALUE"""),"Marina Residences 2")</f>
        <v>Marina Residences 2</v>
      </c>
      <c r="C6109" s="2" t="str">
        <f ca="1">IFERROR(__xludf.DUMMYFUNCTION("""COMPUTED_VALUE"""),"Building")</f>
        <v>Building</v>
      </c>
      <c r="D6109" s="2" t="str">
        <f ca="1">IFERROR(__xludf.DUMMYFUNCTION("""COMPUTED_VALUE"""),"Dubai&gt;Palm Jumeirah&gt;Marina Residences&gt;Marina Residences 2")</f>
        <v>Dubai&gt;Palm Jumeirah&gt;Marina Residences&gt;Marina Residences 2</v>
      </c>
      <c r="E6109" s="2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</row>
    <row r="6110" spans="1:26" ht="16.5" x14ac:dyDescent="0.35">
      <c r="A6110" s="2" t="str">
        <f ca="1">IFERROR(__xludf.DUMMYFUNCTION("""COMPUTED_VALUE"""),"Dubai")</f>
        <v>Dubai</v>
      </c>
      <c r="B6110" s="2" t="str">
        <f ca="1">IFERROR(__xludf.DUMMYFUNCTION("""COMPUTED_VALUE"""),"Maison Margiela Residences")</f>
        <v>Maison Margiela Residences</v>
      </c>
      <c r="C6110" s="2" t="str">
        <f ca="1">IFERROR(__xludf.DUMMYFUNCTION("""COMPUTED_VALUE"""),"Building")</f>
        <v>Building</v>
      </c>
      <c r="D6110" s="2" t="str">
        <f ca="1">IFERROR(__xludf.DUMMYFUNCTION("""COMPUTED_VALUE"""),"Dubai&gt;Palm Jumeirah&gt;The Crescent&gt;Maison Margiela Residences")</f>
        <v>Dubai&gt;Palm Jumeirah&gt;The Crescent&gt;Maison Margiela Residences</v>
      </c>
      <c r="E6110" s="2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</row>
    <row r="6111" spans="1:26" ht="16.5" x14ac:dyDescent="0.35">
      <c r="A6111" s="2" t="str">
        <f ca="1">IFERROR(__xludf.DUMMYFUNCTION("""COMPUTED_VALUE"""),"Dubai")</f>
        <v>Dubai</v>
      </c>
      <c r="B6111" s="2" t="str">
        <f ca="1">IFERROR(__xludf.DUMMYFUNCTION("""COMPUTED_VALUE"""),"Canal Cove Frond P")</f>
        <v>Canal Cove Frond P</v>
      </c>
      <c r="C6111" s="2" t="str">
        <f ca="1">IFERROR(__xludf.DUMMYFUNCTION("""COMPUTED_VALUE"""),"Neighbourhood")</f>
        <v>Neighbourhood</v>
      </c>
      <c r="D6111" s="2" t="str">
        <f ca="1">IFERROR(__xludf.DUMMYFUNCTION("""COMPUTED_VALUE"""),"Dubai&gt;Palm Jumeirah&gt;Canal Cove&gt;Canal Cove Frond P")</f>
        <v>Dubai&gt;Palm Jumeirah&gt;Canal Cove&gt;Canal Cove Frond P</v>
      </c>
      <c r="E6111" s="2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</row>
    <row r="6112" spans="1:26" ht="16.5" x14ac:dyDescent="0.35">
      <c r="A6112" s="2" t="str">
        <f ca="1">IFERROR(__xludf.DUMMYFUNCTION("""COMPUTED_VALUE"""),"Dubai")</f>
        <v>Dubai</v>
      </c>
      <c r="B6112" s="2" t="str">
        <f ca="1">IFERROR(__xludf.DUMMYFUNCTION("""COMPUTED_VALUE"""),"Armani Beach Residences")</f>
        <v>Armani Beach Residences</v>
      </c>
      <c r="C6112" s="2" t="str">
        <f ca="1">IFERROR(__xludf.DUMMYFUNCTION("""COMPUTED_VALUE"""),"Building")</f>
        <v>Building</v>
      </c>
      <c r="D6112" s="2" t="str">
        <f ca="1">IFERROR(__xludf.DUMMYFUNCTION("""COMPUTED_VALUE"""),"Dubai&gt;Palm Jumeirah&gt;Armani Beach Residences")</f>
        <v>Dubai&gt;Palm Jumeirah&gt;Armani Beach Residences</v>
      </c>
      <c r="E6112" s="2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</row>
    <row r="6113" spans="1:26" ht="16.5" x14ac:dyDescent="0.35">
      <c r="A6113" s="2" t="str">
        <f ca="1">IFERROR(__xludf.DUMMYFUNCTION("""COMPUTED_VALUE"""),"Dubai")</f>
        <v>Dubai</v>
      </c>
      <c r="B6113" s="2" t="str">
        <f ca="1">IFERROR(__xludf.DUMMYFUNCTION("""COMPUTED_VALUE"""),"Lilac Residence")</f>
        <v>Lilac Residence</v>
      </c>
      <c r="C6113" s="2" t="str">
        <f ca="1">IFERROR(__xludf.DUMMYFUNCTION("""COMPUTED_VALUE"""),"Building")</f>
        <v>Building</v>
      </c>
      <c r="D6113" s="2" t="str">
        <f ca="1">IFERROR(__xludf.DUMMYFUNCTION("""COMPUTED_VALUE"""),"Dubai&gt;Al Jaddaf&gt;Lilac Residence")</f>
        <v>Dubai&gt;Al Jaddaf&gt;Lilac Residence</v>
      </c>
      <c r="E6113" s="2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</row>
    <row r="6114" spans="1:26" ht="16.5" x14ac:dyDescent="0.35">
      <c r="A6114" s="2" t="str">
        <f ca="1">IFERROR(__xludf.DUMMYFUNCTION("""COMPUTED_VALUE"""),"Dubai")</f>
        <v>Dubai</v>
      </c>
      <c r="B6114" s="2" t="str">
        <f ca="1">IFERROR(__xludf.DUMMYFUNCTION("""COMPUTED_VALUE"""),"Binghatti Pinnacle")</f>
        <v>Binghatti Pinnacle</v>
      </c>
      <c r="C6114" s="2" t="str">
        <f ca="1">IFERROR(__xludf.DUMMYFUNCTION("""COMPUTED_VALUE"""),"Building")</f>
        <v>Building</v>
      </c>
      <c r="D6114" s="2" t="str">
        <f ca="1">IFERROR(__xludf.DUMMYFUNCTION("""COMPUTED_VALUE"""),"Dubai&gt;Al Jaddaf&gt;Dubai Healthcare City Phase 2&gt;Binghatti Pinnacle")</f>
        <v>Dubai&gt;Al Jaddaf&gt;Dubai Healthcare City Phase 2&gt;Binghatti Pinnacle</v>
      </c>
      <c r="E6114" s="2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</row>
    <row r="6115" spans="1:26" ht="16.5" x14ac:dyDescent="0.35">
      <c r="A6115" s="2" t="str">
        <f ca="1">IFERROR(__xludf.DUMMYFUNCTION("""COMPUTED_VALUE"""),"Dubai")</f>
        <v>Dubai</v>
      </c>
      <c r="B6115" s="2" t="str">
        <f ca="1">IFERROR(__xludf.DUMMYFUNCTION("""COMPUTED_VALUE"""),"Al Shafar Palladium")</f>
        <v>Al Shafar Palladium</v>
      </c>
      <c r="C6115" s="2" t="str">
        <f ca="1">IFERROR(__xludf.DUMMYFUNCTION("""COMPUTED_VALUE"""),"Building")</f>
        <v>Building</v>
      </c>
      <c r="D6115" s="2" t="str">
        <f ca="1">IFERROR(__xludf.DUMMYFUNCTION("""COMPUTED_VALUE"""),"Dubai&gt;Al Jaddaf&gt;Al Shafar Palladium")</f>
        <v>Dubai&gt;Al Jaddaf&gt;Al Shafar Palladium</v>
      </c>
      <c r="E6115" s="2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</row>
    <row r="6116" spans="1:26" ht="16.5" x14ac:dyDescent="0.35">
      <c r="A6116" s="2" t="str">
        <f ca="1">IFERROR(__xludf.DUMMYFUNCTION("""COMPUTED_VALUE"""),"Dubai")</f>
        <v>Dubai</v>
      </c>
      <c r="B6116" s="2" t="str">
        <f ca="1">IFERROR(__xludf.DUMMYFUNCTION("""COMPUTED_VALUE"""),"The One")</f>
        <v>The One</v>
      </c>
      <c r="C6116" s="2" t="str">
        <f ca="1">IFERROR(__xludf.DUMMYFUNCTION("""COMPUTED_VALUE"""),"Building")</f>
        <v>Building</v>
      </c>
      <c r="D6116" s="2" t="str">
        <f ca="1">IFERROR(__xludf.DUMMYFUNCTION("""COMPUTED_VALUE"""),"Dubai&gt;Al Jaddaf&gt;The One")</f>
        <v>Dubai&gt;Al Jaddaf&gt;The One</v>
      </c>
      <c r="E6116" s="2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</row>
    <row r="6117" spans="1:26" ht="16.5" x14ac:dyDescent="0.35">
      <c r="A6117" s="2" t="str">
        <f ca="1">IFERROR(__xludf.DUMMYFUNCTION("""COMPUTED_VALUE"""),"Dubai")</f>
        <v>Dubai</v>
      </c>
      <c r="B6117" s="2" t="str">
        <f ca="1">IFERROR(__xludf.DUMMYFUNCTION("""COMPUTED_VALUE"""),"Frond B")</f>
        <v>Frond B</v>
      </c>
      <c r="C6117" s="2" t="str">
        <f ca="1">IFERROR(__xludf.DUMMYFUNCTION("""COMPUTED_VALUE"""),"Neighbourhood")</f>
        <v>Neighbourhood</v>
      </c>
      <c r="D6117" s="2" t="str">
        <f ca="1">IFERROR(__xludf.DUMMYFUNCTION("""COMPUTED_VALUE"""),"Dubai&gt;Palm Jebel Ali&gt;Frond B")</f>
        <v>Dubai&gt;Palm Jebel Ali&gt;Frond B</v>
      </c>
      <c r="E6117" s="2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</row>
    <row r="6118" spans="1:26" ht="16.5" x14ac:dyDescent="0.35">
      <c r="A6118" s="2" t="str">
        <f ca="1">IFERROR(__xludf.DUMMYFUNCTION("""COMPUTED_VALUE"""),"Dubai")</f>
        <v>Dubai</v>
      </c>
      <c r="B6118" s="2" t="str">
        <f ca="1">IFERROR(__xludf.DUMMYFUNCTION("""COMPUTED_VALUE"""),"Skyhills Residences")</f>
        <v>Skyhills Residences</v>
      </c>
      <c r="C6118" s="2" t="str">
        <f ca="1">IFERROR(__xludf.DUMMYFUNCTION("""COMPUTED_VALUE"""),"Cluster")</f>
        <v>Cluster</v>
      </c>
      <c r="D6118" s="2" t="str">
        <f ca="1">IFERROR(__xludf.DUMMYFUNCTION("""COMPUTED_VALUE"""),"Dubai&gt;Dubai Science Park&gt;Skyhills Residences")</f>
        <v>Dubai&gt;Dubai Science Park&gt;Skyhills Residences</v>
      </c>
      <c r="E6118" s="2"/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</row>
    <row r="6119" spans="1:26" ht="16.5" x14ac:dyDescent="0.35">
      <c r="A6119" s="2" t="str">
        <f ca="1">IFERROR(__xludf.DUMMYFUNCTION("""COMPUTED_VALUE"""),"Dubai")</f>
        <v>Dubai</v>
      </c>
      <c r="B6119" s="2" t="str">
        <f ca="1">IFERROR(__xludf.DUMMYFUNCTION("""COMPUTED_VALUE"""),"The Springs 15")</f>
        <v>The Springs 15</v>
      </c>
      <c r="C6119" s="2" t="str">
        <f ca="1">IFERROR(__xludf.DUMMYFUNCTION("""COMPUTED_VALUE"""),"Neighbourhood")</f>
        <v>Neighbourhood</v>
      </c>
      <c r="D6119" s="2" t="str">
        <f ca="1">IFERROR(__xludf.DUMMYFUNCTION("""COMPUTED_VALUE"""),"Dubai&gt;The Springs&gt;The Springs 15")</f>
        <v>Dubai&gt;The Springs&gt;The Springs 15</v>
      </c>
      <c r="E6119" s="2"/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</row>
    <row r="6120" spans="1:26" ht="16.5" x14ac:dyDescent="0.35">
      <c r="A6120" s="2" t="str">
        <f ca="1">IFERROR(__xludf.DUMMYFUNCTION("""COMPUTED_VALUE"""),"Dubai")</f>
        <v>Dubai</v>
      </c>
      <c r="B6120" s="2" t="str">
        <f ca="1">IFERROR(__xludf.DUMMYFUNCTION("""COMPUTED_VALUE"""),"Gardenia Townhomes II")</f>
        <v>Gardenia Townhomes II</v>
      </c>
      <c r="C6120" s="2" t="str">
        <f ca="1">IFERROR(__xludf.DUMMYFUNCTION("""COMPUTED_VALUE"""),"Neighbourhood")</f>
        <v>Neighbourhood</v>
      </c>
      <c r="D6120" s="2" t="str">
        <f ca="1">IFERROR(__xludf.DUMMYFUNCTION("""COMPUTED_VALUE"""),"Dubai&gt;Wasl Gate&gt;Gardenia Townhomes II")</f>
        <v>Dubai&gt;Wasl Gate&gt;Gardenia Townhomes II</v>
      </c>
      <c r="E6120" s="2"/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</row>
    <row r="6121" spans="1:26" ht="16.5" x14ac:dyDescent="0.35">
      <c r="A6121" s="2" t="str">
        <f ca="1">IFERROR(__xludf.DUMMYFUNCTION("""COMPUTED_VALUE"""),"Dubai")</f>
        <v>Dubai</v>
      </c>
      <c r="B6121" s="2" t="str">
        <f ca="1">IFERROR(__xludf.DUMMYFUNCTION("""COMPUTED_VALUE"""),"Nad Al Sheba Gardens 4")</f>
        <v>Nad Al Sheba Gardens 4</v>
      </c>
      <c r="C6121" s="2" t="str">
        <f ca="1">IFERROR(__xludf.DUMMYFUNCTION("""COMPUTED_VALUE"""),"Neighbourhood")</f>
        <v>Neighbourhood</v>
      </c>
      <c r="D6121" s="2" t="str">
        <f ca="1">IFERROR(__xludf.DUMMYFUNCTION("""COMPUTED_VALUE"""),"Dubai&gt;Nad Al Sheba&gt;Nad Al Sheba 1&gt;Nad Al Sheba Gardens&gt;Nad Al Sheba Gardens 4")</f>
        <v>Dubai&gt;Nad Al Sheba&gt;Nad Al Sheba 1&gt;Nad Al Sheba Gardens&gt;Nad Al Sheba Gardens 4</v>
      </c>
      <c r="E6121" s="2"/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</row>
    <row r="6122" spans="1:26" ht="16.5" x14ac:dyDescent="0.35">
      <c r="A6122" s="2" t="str">
        <f ca="1">IFERROR(__xludf.DUMMYFUNCTION("""COMPUTED_VALUE"""),"Dubai")</f>
        <v>Dubai</v>
      </c>
      <c r="B6122" s="2" t="str">
        <f ca="1">IFERROR(__xludf.DUMMYFUNCTION("""COMPUTED_VALUE"""),"Office Park Block C")</f>
        <v>Office Park Block C</v>
      </c>
      <c r="C6122" s="2" t="str">
        <f ca="1">IFERROR(__xludf.DUMMYFUNCTION("""COMPUTED_VALUE"""),"Building")</f>
        <v>Building</v>
      </c>
      <c r="D6122" s="2" t="str">
        <f ca="1">IFERROR(__xludf.DUMMYFUNCTION("""COMPUTED_VALUE"""),"Dubai&gt;Dubai Internet City&gt;Office Park&gt;Office Park Block C")</f>
        <v>Dubai&gt;Dubai Internet City&gt;Office Park&gt;Office Park Block C</v>
      </c>
      <c r="E6122" s="2"/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</row>
    <row r="6123" spans="1:26" ht="16.5" x14ac:dyDescent="0.35">
      <c r="A6123" s="2" t="str">
        <f ca="1">IFERROR(__xludf.DUMMYFUNCTION("""COMPUTED_VALUE"""),"Dubai")</f>
        <v>Dubai</v>
      </c>
      <c r="B6123" s="2" t="str">
        <f ca="1">IFERROR(__xludf.DUMMYFUNCTION("""COMPUTED_VALUE"""),"DIC 9 (Canon Building)")</f>
        <v>DIC 9 (Canon Building)</v>
      </c>
      <c r="C6123" s="2" t="str">
        <f ca="1">IFERROR(__xludf.DUMMYFUNCTION("""COMPUTED_VALUE"""),"Building")</f>
        <v>Building</v>
      </c>
      <c r="D6123" s="2" t="str">
        <f ca="1">IFERROR(__xludf.DUMMYFUNCTION("""COMPUTED_VALUE"""),"Dubai&gt;Dubai Internet City&gt;DIC&gt;DIC 9 (Canon Building)")</f>
        <v>Dubai&gt;Dubai Internet City&gt;DIC&gt;DIC 9 (Canon Building)</v>
      </c>
      <c r="E6123" s="2"/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</row>
    <row r="6124" spans="1:26" ht="16.5" x14ac:dyDescent="0.35">
      <c r="A6124" s="2" t="str">
        <f ca="1">IFERROR(__xludf.DUMMYFUNCTION("""COMPUTED_VALUE"""),"Dubai")</f>
        <v>Dubai</v>
      </c>
      <c r="B6124" s="2" t="str">
        <f ca="1">IFERROR(__xludf.DUMMYFUNCTION("""COMPUTED_VALUE"""),"Khalifa Building")</f>
        <v>Khalifa Building</v>
      </c>
      <c r="C6124" s="2" t="str">
        <f ca="1">IFERROR(__xludf.DUMMYFUNCTION("""COMPUTED_VALUE"""),"Building")</f>
        <v>Building</v>
      </c>
      <c r="D6124" s="2" t="str">
        <f ca="1">IFERROR(__xludf.DUMMYFUNCTION("""COMPUTED_VALUE"""),"Dubai&gt;Al Lisaili&gt;Khalifa Building")</f>
        <v>Dubai&gt;Al Lisaili&gt;Khalifa Building</v>
      </c>
      <c r="E6124" s="2"/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</row>
    <row r="6125" spans="1:26" ht="16.5" x14ac:dyDescent="0.35">
      <c r="A6125" s="2" t="str">
        <f ca="1">IFERROR(__xludf.DUMMYFUNCTION("""COMPUTED_VALUE"""),"Dubai")</f>
        <v>Dubai</v>
      </c>
      <c r="B6125" s="2" t="str">
        <f ca="1">IFERROR(__xludf.DUMMYFUNCTION("""COMPUTED_VALUE"""),"Marina Views Tower 1")</f>
        <v>Marina Views Tower 1</v>
      </c>
      <c r="C6125" s="2" t="str">
        <f ca="1">IFERROR(__xludf.DUMMYFUNCTION("""COMPUTED_VALUE"""),"Building")</f>
        <v>Building</v>
      </c>
      <c r="D6125" s="2" t="str">
        <f ca="1">IFERROR(__xludf.DUMMYFUNCTION("""COMPUTED_VALUE"""),"Dubai&gt;Mina Rashid&gt;Marina Views&gt;Marina Views Tower 1")</f>
        <v>Dubai&gt;Mina Rashid&gt;Marina Views&gt;Marina Views Tower 1</v>
      </c>
      <c r="E6125" s="2"/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</row>
    <row r="6126" spans="1:26" ht="16.5" x14ac:dyDescent="0.35">
      <c r="A6126" s="2" t="str">
        <f ca="1">IFERROR(__xludf.DUMMYFUNCTION("""COMPUTED_VALUE"""),"Dubai")</f>
        <v>Dubai</v>
      </c>
      <c r="B6126" s="2" t="str">
        <f ca="1">IFERROR(__xludf.DUMMYFUNCTION("""COMPUTED_VALUE"""),"Sector J")</f>
        <v>Sector J</v>
      </c>
      <c r="C6126" s="2" t="str">
        <f ca="1">IFERROR(__xludf.DUMMYFUNCTION("""COMPUTED_VALUE"""),"Neighbourhood")</f>
        <v>Neighbourhood</v>
      </c>
      <c r="D6126" s="2" t="str">
        <f ca="1">IFERROR(__xludf.DUMMYFUNCTION("""COMPUTED_VALUE"""),"Dubai&gt;Emirates Hills&gt;Sector J")</f>
        <v>Dubai&gt;Emirates Hills&gt;Sector J</v>
      </c>
      <c r="E6126" s="2"/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</row>
    <row r="6127" spans="1:26" ht="16.5" x14ac:dyDescent="0.35">
      <c r="A6127" s="2" t="str">
        <f ca="1">IFERROR(__xludf.DUMMYFUNCTION("""COMPUTED_VALUE"""),"Dubai")</f>
        <v>Dubai</v>
      </c>
      <c r="B6127" s="2" t="str">
        <f ca="1">IFERROR(__xludf.DUMMYFUNCTION("""COMPUTED_VALUE"""),"Farm Grove 2")</f>
        <v>Farm Grove 2</v>
      </c>
      <c r="C6127" s="2" t="str">
        <f ca="1">IFERROR(__xludf.DUMMYFUNCTION("""COMPUTED_VALUE"""),"Neighbourhood")</f>
        <v>Neighbourhood</v>
      </c>
      <c r="D6127" s="2" t="str">
        <f ca="1">IFERROR(__xludf.DUMMYFUNCTION("""COMPUTED_VALUE"""),"Dubai&gt;The Valley by Emaar&gt;Farm Grove 2")</f>
        <v>Dubai&gt;The Valley by Emaar&gt;Farm Grove 2</v>
      </c>
      <c r="E6127" s="2"/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</row>
    <row r="6128" spans="1:26" ht="16.5" x14ac:dyDescent="0.35">
      <c r="A6128" s="2" t="str">
        <f ca="1">IFERROR(__xludf.DUMMYFUNCTION("""COMPUTED_VALUE"""),"Dubai")</f>
        <v>Dubai</v>
      </c>
      <c r="B6128" s="2" t="str">
        <f ca="1">IFERROR(__xludf.DUMMYFUNCTION("""COMPUTED_VALUE"""),"Alma 2")</f>
        <v>Alma 2</v>
      </c>
      <c r="C6128" s="2" t="str">
        <f ca="1">IFERROR(__xludf.DUMMYFUNCTION("""COMPUTED_VALUE"""),"Neighbourhood")</f>
        <v>Neighbourhood</v>
      </c>
      <c r="D6128" s="2" t="str">
        <f ca="1">IFERROR(__xludf.DUMMYFUNCTION("""COMPUTED_VALUE"""),"Dubai&gt;Arabian Ranches&gt;Alma&gt;Alma 2")</f>
        <v>Dubai&gt;Arabian Ranches&gt;Alma&gt;Alma 2</v>
      </c>
      <c r="E6128" s="2"/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</row>
    <row r="6129" spans="1:26" ht="16.5" x14ac:dyDescent="0.35">
      <c r="A6129" s="2" t="str">
        <f ca="1">IFERROR(__xludf.DUMMYFUNCTION("""COMPUTED_VALUE"""),"Dubai")</f>
        <v>Dubai</v>
      </c>
      <c r="B6129" s="2" t="str">
        <f ca="1">IFERROR(__xludf.DUMMYFUNCTION("""COMPUTED_VALUE"""),"The Gardens Building 58")</f>
        <v>The Gardens Building 58</v>
      </c>
      <c r="C6129" s="2" t="str">
        <f ca="1">IFERROR(__xludf.DUMMYFUNCTION("""COMPUTED_VALUE"""),"Building")</f>
        <v>Building</v>
      </c>
      <c r="D6129" s="2" t="str">
        <f ca="1">IFERROR(__xludf.DUMMYFUNCTION("""COMPUTED_VALUE"""),"Dubai&gt;The Gardens&gt;The Gardens Building 58")</f>
        <v>Dubai&gt;The Gardens&gt;The Gardens Building 58</v>
      </c>
      <c r="E6129" s="2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</row>
    <row r="6130" spans="1:26" ht="16.5" x14ac:dyDescent="0.35">
      <c r="A6130" s="2" t="str">
        <f ca="1">IFERROR(__xludf.DUMMYFUNCTION("""COMPUTED_VALUE"""),"Dubai")</f>
        <v>Dubai</v>
      </c>
      <c r="B6130" s="2" t="str">
        <f ca="1">IFERROR(__xludf.DUMMYFUNCTION("""COMPUTED_VALUE"""),"The Gardens Building 108")</f>
        <v>The Gardens Building 108</v>
      </c>
      <c r="C6130" s="2" t="str">
        <f ca="1">IFERROR(__xludf.DUMMYFUNCTION("""COMPUTED_VALUE"""),"Building")</f>
        <v>Building</v>
      </c>
      <c r="D6130" s="2" t="str">
        <f ca="1">IFERROR(__xludf.DUMMYFUNCTION("""COMPUTED_VALUE"""),"Dubai&gt;The Gardens&gt;The Gardens Building 108")</f>
        <v>Dubai&gt;The Gardens&gt;The Gardens Building 108</v>
      </c>
      <c r="E6130" s="2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</row>
    <row r="6131" spans="1:26" ht="16.5" x14ac:dyDescent="0.35">
      <c r="A6131" s="2" t="str">
        <f ca="1">IFERROR(__xludf.DUMMYFUNCTION("""COMPUTED_VALUE"""),"Dubai")</f>
        <v>Dubai</v>
      </c>
      <c r="B6131" s="2" t="str">
        <f ca="1">IFERROR(__xludf.DUMMYFUNCTION("""COMPUTED_VALUE"""),"The Gardens Building 117")</f>
        <v>The Gardens Building 117</v>
      </c>
      <c r="C6131" s="2" t="str">
        <f ca="1">IFERROR(__xludf.DUMMYFUNCTION("""COMPUTED_VALUE"""),"Building")</f>
        <v>Building</v>
      </c>
      <c r="D6131" s="2" t="str">
        <f ca="1">IFERROR(__xludf.DUMMYFUNCTION("""COMPUTED_VALUE"""),"Dubai&gt;The Gardens&gt;The Gardens Building 117")</f>
        <v>Dubai&gt;The Gardens&gt;The Gardens Building 117</v>
      </c>
      <c r="E6131" s="2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</row>
    <row r="6132" spans="1:26" ht="16.5" x14ac:dyDescent="0.35">
      <c r="A6132" s="2" t="str">
        <f ca="1">IFERROR(__xludf.DUMMYFUNCTION("""COMPUTED_VALUE"""),"Dubai")</f>
        <v>Dubai</v>
      </c>
      <c r="B6132" s="2" t="str">
        <f ca="1">IFERROR(__xludf.DUMMYFUNCTION("""COMPUTED_VALUE"""),"The Gardens Building 38")</f>
        <v>The Gardens Building 38</v>
      </c>
      <c r="C6132" s="2" t="str">
        <f ca="1">IFERROR(__xludf.DUMMYFUNCTION("""COMPUTED_VALUE"""),"Building")</f>
        <v>Building</v>
      </c>
      <c r="D6132" s="2" t="str">
        <f ca="1">IFERROR(__xludf.DUMMYFUNCTION("""COMPUTED_VALUE"""),"Dubai&gt;The Gardens&gt;The Gardens Building 38")</f>
        <v>Dubai&gt;The Gardens&gt;The Gardens Building 38</v>
      </c>
      <c r="E6132" s="2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</row>
    <row r="6133" spans="1:26" ht="16.5" x14ac:dyDescent="0.35">
      <c r="A6133" s="2" t="str">
        <f ca="1">IFERROR(__xludf.DUMMYFUNCTION("""COMPUTED_VALUE"""),"Dubai")</f>
        <v>Dubai</v>
      </c>
      <c r="B6133" s="2" t="str">
        <f ca="1">IFERROR(__xludf.DUMMYFUNCTION("""COMPUTED_VALUE"""),"Abraj Al Mamzar Block A")</f>
        <v>Abraj Al Mamzar Block A</v>
      </c>
      <c r="C6133" s="2" t="str">
        <f ca="1">IFERROR(__xludf.DUMMYFUNCTION("""COMPUTED_VALUE"""),"Building")</f>
        <v>Building</v>
      </c>
      <c r="D6133" s="2" t="str">
        <f ca="1">IFERROR(__xludf.DUMMYFUNCTION("""COMPUTED_VALUE"""),"Dubai&gt;Al Mamzar&gt;Abraj Al Mamzar&gt;Abraj Al Mamzar Block A")</f>
        <v>Dubai&gt;Al Mamzar&gt;Abraj Al Mamzar&gt;Abraj Al Mamzar Block A</v>
      </c>
      <c r="E6133" s="2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</row>
    <row r="6134" spans="1:26" ht="16.5" x14ac:dyDescent="0.35">
      <c r="A6134" s="2" t="str">
        <f ca="1">IFERROR(__xludf.DUMMYFUNCTION("""COMPUTED_VALUE"""),"Dubai")</f>
        <v>Dubai</v>
      </c>
      <c r="B6134" s="2" t="str">
        <f ca="1">IFERROR(__xludf.DUMMYFUNCTION("""COMPUTED_VALUE"""),"Caesars Resort")</f>
        <v>Caesars Resort</v>
      </c>
      <c r="C6134" s="2" t="str">
        <f ca="1">IFERROR(__xludf.DUMMYFUNCTION("""COMPUTED_VALUE"""),"Cluster")</f>
        <v>Cluster</v>
      </c>
      <c r="D6134" s="2" t="str">
        <f ca="1">IFERROR(__xludf.DUMMYFUNCTION("""COMPUTED_VALUE"""),"Dubai&gt;Bluewaters Island&gt;Caesars Resort")</f>
        <v>Dubai&gt;Bluewaters Island&gt;Caesars Resort</v>
      </c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</row>
    <row r="6135" spans="1:26" ht="16.5" x14ac:dyDescent="0.35">
      <c r="A6135" s="2" t="str">
        <f ca="1">IFERROR(__xludf.DUMMYFUNCTION("""COMPUTED_VALUE"""),"Dubai")</f>
        <v>Dubai</v>
      </c>
      <c r="B6135" s="2" t="str">
        <f ca="1">IFERROR(__xludf.DUMMYFUNCTION("""COMPUTED_VALUE"""),"Muhaisnah Plaza")</f>
        <v>Muhaisnah Plaza</v>
      </c>
      <c r="C6135" s="2" t="str">
        <f ca="1">IFERROR(__xludf.DUMMYFUNCTION("""COMPUTED_VALUE"""),"Building")</f>
        <v>Building</v>
      </c>
      <c r="D6135" s="2" t="str">
        <f ca="1">IFERROR(__xludf.DUMMYFUNCTION("""COMPUTED_VALUE"""),"Dubai&gt;Muhaisnah&gt;Muhaisnah 4&gt;Muhaisnah Plaza")</f>
        <v>Dubai&gt;Muhaisnah&gt;Muhaisnah 4&gt;Muhaisnah Plaza</v>
      </c>
      <c r="E6135" s="2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</row>
    <row r="6136" spans="1:26" ht="16.5" x14ac:dyDescent="0.35">
      <c r="A6136" s="2" t="str">
        <f ca="1">IFERROR(__xludf.DUMMYFUNCTION("""COMPUTED_VALUE"""),"Dubai")</f>
        <v>Dubai</v>
      </c>
      <c r="B6136" s="2" t="str">
        <f ca="1">IFERROR(__xludf.DUMMYFUNCTION("""COMPUTED_VALUE"""),"Muhaisnah 1")</f>
        <v>Muhaisnah 1</v>
      </c>
      <c r="C6136" s="2" t="str">
        <f ca="1">IFERROR(__xludf.DUMMYFUNCTION("""COMPUTED_VALUE"""),"Neighbourhood")</f>
        <v>Neighbourhood</v>
      </c>
      <c r="D6136" s="2" t="str">
        <f ca="1">IFERROR(__xludf.DUMMYFUNCTION("""COMPUTED_VALUE"""),"Dubai&gt;Muhaisnah&gt;Muhaisnah 1")</f>
        <v>Dubai&gt;Muhaisnah&gt;Muhaisnah 1</v>
      </c>
      <c r="E6136" s="2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</row>
    <row r="6137" spans="1:26" ht="16.5" x14ac:dyDescent="0.35">
      <c r="A6137" s="2" t="str">
        <f ca="1">IFERROR(__xludf.DUMMYFUNCTION("""COMPUTED_VALUE"""),"Dubai")</f>
        <v>Dubai</v>
      </c>
      <c r="B6137" s="2" t="str">
        <f ca="1">IFERROR(__xludf.DUMMYFUNCTION("""COMPUTED_VALUE"""),"Dubai National Insurance Building")</f>
        <v>Dubai National Insurance Building</v>
      </c>
      <c r="C6137" s="2" t="str">
        <f ca="1">IFERROR(__xludf.DUMMYFUNCTION("""COMPUTED_VALUE"""),"Building")</f>
        <v>Building</v>
      </c>
      <c r="D6137" s="2" t="str">
        <f ca="1">IFERROR(__xludf.DUMMYFUNCTION("""COMPUTED_VALUE"""),"Dubai&gt;Sheikh Zayed Road&gt;Dubai National Insurance Building")</f>
        <v>Dubai&gt;Sheikh Zayed Road&gt;Dubai National Insurance Building</v>
      </c>
      <c r="E6137" s="2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</row>
    <row r="6138" spans="1:26" ht="16.5" x14ac:dyDescent="0.35">
      <c r="A6138" s="2" t="str">
        <f ca="1">IFERROR(__xludf.DUMMYFUNCTION("""COMPUTED_VALUE"""),"Dubai")</f>
        <v>Dubai</v>
      </c>
      <c r="B6138" s="2" t="str">
        <f ca="1">IFERROR(__xludf.DUMMYFUNCTION("""COMPUTED_VALUE"""),"Al Rostamani Tower B")</f>
        <v>Al Rostamani Tower B</v>
      </c>
      <c r="C6138" s="2" t="str">
        <f ca="1">IFERROR(__xludf.DUMMYFUNCTION("""COMPUTED_VALUE"""),"Building")</f>
        <v>Building</v>
      </c>
      <c r="D6138" s="2" t="str">
        <f ca="1">IFERROR(__xludf.DUMMYFUNCTION("""COMPUTED_VALUE"""),"Dubai&gt;Sheikh Zayed Road&gt;Al Rostamani Towers&gt;Al Rostamani Tower B")</f>
        <v>Dubai&gt;Sheikh Zayed Road&gt;Al Rostamani Towers&gt;Al Rostamani Tower B</v>
      </c>
      <c r="E6138" s="2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</row>
    <row r="6139" spans="1:26" ht="16.5" x14ac:dyDescent="0.35">
      <c r="A6139" s="2" t="str">
        <f ca="1">IFERROR(__xludf.DUMMYFUNCTION("""COMPUTED_VALUE"""),"Dubai")</f>
        <v>Dubai</v>
      </c>
      <c r="B6139" s="2" t="str">
        <f ca="1">IFERROR(__xludf.DUMMYFUNCTION("""COMPUTED_VALUE"""),"Al Shafar Investment Building")</f>
        <v>Al Shafar Investment Building</v>
      </c>
      <c r="C6139" s="2" t="str">
        <f ca="1">IFERROR(__xludf.DUMMYFUNCTION("""COMPUTED_VALUE"""),"Building")</f>
        <v>Building</v>
      </c>
      <c r="D6139" s="2" t="str">
        <f ca="1">IFERROR(__xludf.DUMMYFUNCTION("""COMPUTED_VALUE"""),"Dubai&gt;Sheikh Zayed Road&gt;Al Shafar Investment Building")</f>
        <v>Dubai&gt;Sheikh Zayed Road&gt;Al Shafar Investment Building</v>
      </c>
      <c r="E6139" s="2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</row>
    <row r="6140" spans="1:26" ht="16.5" x14ac:dyDescent="0.35">
      <c r="A6140" s="2" t="str">
        <f ca="1">IFERROR(__xludf.DUMMYFUNCTION("""COMPUTED_VALUE"""),"Dubai")</f>
        <v>Dubai</v>
      </c>
      <c r="B6140" s="2" t="str">
        <f ca="1">IFERROR(__xludf.DUMMYFUNCTION("""COMPUTED_VALUE"""),"Al Hawai Tower")</f>
        <v>Al Hawai Tower</v>
      </c>
      <c r="C6140" s="2" t="str">
        <f ca="1">IFERROR(__xludf.DUMMYFUNCTION("""COMPUTED_VALUE"""),"Building")</f>
        <v>Building</v>
      </c>
      <c r="D6140" s="2" t="str">
        <f ca="1">IFERROR(__xludf.DUMMYFUNCTION("""COMPUTED_VALUE"""),"Dubai&gt;Sheikh Zayed Road&gt;Al Hawai Tower")</f>
        <v>Dubai&gt;Sheikh Zayed Road&gt;Al Hawai Tower</v>
      </c>
      <c r="E6140" s="2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</row>
    <row r="6141" spans="1:26" ht="16.5" x14ac:dyDescent="0.35">
      <c r="A6141" s="2" t="str">
        <f ca="1">IFERROR(__xludf.DUMMYFUNCTION("""COMPUTED_VALUE"""),"Dubai")</f>
        <v>Dubai</v>
      </c>
      <c r="B6141" s="2" t="str">
        <f ca="1">IFERROR(__xludf.DUMMYFUNCTION("""COMPUTED_VALUE"""),"Burj Al Salam Tower")</f>
        <v>Burj Al Salam Tower</v>
      </c>
      <c r="C6141" s="2" t="str">
        <f ca="1">IFERROR(__xludf.DUMMYFUNCTION("""COMPUTED_VALUE"""),"Building")</f>
        <v>Building</v>
      </c>
      <c r="D6141" s="2" t="str">
        <f ca="1">IFERROR(__xludf.DUMMYFUNCTION("""COMPUTED_VALUE"""),"Dubai&gt;Sheikh Zayed Road&gt;Burj Al Salam Tower")</f>
        <v>Dubai&gt;Sheikh Zayed Road&gt;Burj Al Salam Tower</v>
      </c>
      <c r="E6141" s="2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</row>
    <row r="6142" spans="1:26" ht="16.5" x14ac:dyDescent="0.35">
      <c r="A6142" s="2" t="str">
        <f ca="1">IFERROR(__xludf.DUMMYFUNCTION("""COMPUTED_VALUE"""),"Dubai")</f>
        <v>Dubai</v>
      </c>
      <c r="B6142" s="2" t="str">
        <f ca="1">IFERROR(__xludf.DUMMYFUNCTION("""COMPUTED_VALUE"""),"Building 6")</f>
        <v>Building 6</v>
      </c>
      <c r="C6142" s="2" t="str">
        <f ca="1">IFERROR(__xludf.DUMMYFUNCTION("""COMPUTED_VALUE"""),"Building")</f>
        <v>Building</v>
      </c>
      <c r="D6142" s="2" t="str">
        <f ca="1">IFERROR(__xludf.DUMMYFUNCTION("""COMPUTED_VALUE"""),"Dubai&gt;Al Karama&gt;Karam Pioneer Buildings&gt;Building 6")</f>
        <v>Dubai&gt;Al Karama&gt;Karam Pioneer Buildings&gt;Building 6</v>
      </c>
      <c r="E6142" s="2"/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</row>
    <row r="6143" spans="1:26" ht="16.5" x14ac:dyDescent="0.35">
      <c r="A6143" s="2" t="str">
        <f ca="1">IFERROR(__xludf.DUMMYFUNCTION("""COMPUTED_VALUE"""),"Dubai")</f>
        <v>Dubai</v>
      </c>
      <c r="B6143" s="2" t="str">
        <f ca="1">IFERROR(__xludf.DUMMYFUNCTION("""COMPUTED_VALUE"""),"Building 38")</f>
        <v>Building 38</v>
      </c>
      <c r="C6143" s="2" t="str">
        <f ca="1">IFERROR(__xludf.DUMMYFUNCTION("""COMPUTED_VALUE"""),"Building")</f>
        <v>Building</v>
      </c>
      <c r="D6143" s="2" t="str">
        <f ca="1">IFERROR(__xludf.DUMMYFUNCTION("""COMPUTED_VALUE"""),"Dubai&gt;Al Karama&gt;Karam Pioneer Buildings&gt;Building 38")</f>
        <v>Dubai&gt;Al Karama&gt;Karam Pioneer Buildings&gt;Building 38</v>
      </c>
      <c r="E6143" s="2"/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</row>
    <row r="6144" spans="1:26" ht="16.5" x14ac:dyDescent="0.35">
      <c r="A6144" s="2" t="str">
        <f ca="1">IFERROR(__xludf.DUMMYFUNCTION("""COMPUTED_VALUE"""),"Dubai")</f>
        <v>Dubai</v>
      </c>
      <c r="B6144" s="2" t="str">
        <f ca="1">IFERROR(__xludf.DUMMYFUNCTION("""COMPUTED_VALUE"""),"Al Wasl Building R404")</f>
        <v>Al Wasl Building R404</v>
      </c>
      <c r="C6144" s="2" t="str">
        <f ca="1">IFERROR(__xludf.DUMMYFUNCTION("""COMPUTED_VALUE"""),"Building")</f>
        <v>Building</v>
      </c>
      <c r="D6144" s="2" t="str">
        <f ca="1">IFERROR(__xludf.DUMMYFUNCTION("""COMPUTED_VALUE"""),"Dubai&gt;Al Karama&gt;Al Wasl Hub&gt;Al Wasl Building R404")</f>
        <v>Dubai&gt;Al Karama&gt;Al Wasl Hub&gt;Al Wasl Building R404</v>
      </c>
      <c r="E6144" s="2"/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</row>
    <row r="6145" spans="1:26" ht="16.5" x14ac:dyDescent="0.35">
      <c r="A6145" s="2" t="str">
        <f ca="1">IFERROR(__xludf.DUMMYFUNCTION("""COMPUTED_VALUE"""),"Dubai")</f>
        <v>Dubai</v>
      </c>
      <c r="B6145" s="2" t="str">
        <f ca="1">IFERROR(__xludf.DUMMYFUNCTION("""COMPUTED_VALUE"""),"Al Mulla 2 Building")</f>
        <v>Al Mulla 2 Building</v>
      </c>
      <c r="C6145" s="2" t="str">
        <f ca="1">IFERROR(__xludf.DUMMYFUNCTION("""COMPUTED_VALUE"""),"Building")</f>
        <v>Building</v>
      </c>
      <c r="D6145" s="2" t="str">
        <f ca="1">IFERROR(__xludf.DUMMYFUNCTION("""COMPUTED_VALUE"""),"Dubai&gt;Al Karama&gt;Al Mulla 2 Building")</f>
        <v>Dubai&gt;Al Karama&gt;Al Mulla 2 Building</v>
      </c>
      <c r="E6145" s="2"/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</row>
    <row r="6146" spans="1:26" ht="16.5" x14ac:dyDescent="0.35">
      <c r="A6146" s="2" t="str">
        <f ca="1">IFERROR(__xludf.DUMMYFUNCTION("""COMPUTED_VALUE"""),"Dubai")</f>
        <v>Dubai</v>
      </c>
      <c r="B6146" s="2" t="str">
        <f ca="1">IFERROR(__xludf.DUMMYFUNCTION("""COMPUTED_VALUE"""),"Al Shraifi 1")</f>
        <v>Al Shraifi 1</v>
      </c>
      <c r="C6146" s="2" t="str">
        <f ca="1">IFERROR(__xludf.DUMMYFUNCTION("""COMPUTED_VALUE"""),"Building")</f>
        <v>Building</v>
      </c>
      <c r="D6146" s="2" t="str">
        <f ca="1">IFERROR(__xludf.DUMMYFUNCTION("""COMPUTED_VALUE"""),"Dubai&gt;Al Karama&gt;Al Shraifi 1")</f>
        <v>Dubai&gt;Al Karama&gt;Al Shraifi 1</v>
      </c>
      <c r="E6146" s="2"/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</row>
    <row r="6147" spans="1:26" ht="16.5" x14ac:dyDescent="0.35">
      <c r="A6147" s="2" t="str">
        <f ca="1">IFERROR(__xludf.DUMMYFUNCTION("""COMPUTED_VALUE"""),"Dubai")</f>
        <v>Dubai</v>
      </c>
      <c r="B6147" s="2" t="str">
        <f ca="1">IFERROR(__xludf.DUMMYFUNCTION("""COMPUTED_VALUE"""),"Al Jaflah Building")</f>
        <v>Al Jaflah Building</v>
      </c>
      <c r="C6147" s="2" t="str">
        <f ca="1">IFERROR(__xludf.DUMMYFUNCTION("""COMPUTED_VALUE"""),"Building")</f>
        <v>Building</v>
      </c>
      <c r="D6147" s="2" t="str">
        <f ca="1">IFERROR(__xludf.DUMMYFUNCTION("""COMPUTED_VALUE"""),"Dubai&gt;Al Karama&gt;Al Jaflah Building")</f>
        <v>Dubai&gt;Al Karama&gt;Al Jaflah Building</v>
      </c>
      <c r="E6147" s="2"/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</row>
    <row r="6148" spans="1:26" ht="16.5" x14ac:dyDescent="0.35">
      <c r="A6148" s="2" t="str">
        <f ca="1">IFERROR(__xludf.DUMMYFUNCTION("""COMPUTED_VALUE"""),"Dubai")</f>
        <v>Dubai</v>
      </c>
      <c r="B6148" s="2" t="str">
        <f ca="1">IFERROR(__xludf.DUMMYFUNCTION("""COMPUTED_VALUE"""),"Bin Haider 2")</f>
        <v>Bin Haider 2</v>
      </c>
      <c r="C6148" s="2" t="str">
        <f ca="1">IFERROR(__xludf.DUMMYFUNCTION("""COMPUTED_VALUE"""),"Building")</f>
        <v>Building</v>
      </c>
      <c r="D6148" s="2" t="str">
        <f ca="1">IFERROR(__xludf.DUMMYFUNCTION("""COMPUTED_VALUE"""),"Dubai&gt;Al Karama&gt;Bin Haider 2")</f>
        <v>Dubai&gt;Al Karama&gt;Bin Haider 2</v>
      </c>
      <c r="E6148" s="2"/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</row>
    <row r="6149" spans="1:26" ht="16.5" x14ac:dyDescent="0.35">
      <c r="A6149" s="2" t="str">
        <f ca="1">IFERROR(__xludf.DUMMYFUNCTION("""COMPUTED_VALUE"""),"Dubai")</f>
        <v>Dubai</v>
      </c>
      <c r="B6149" s="2" t="str">
        <f ca="1">IFERROR(__xludf.DUMMYFUNCTION("""COMPUTED_VALUE"""),"Hamdan Sheikh Juma Building")</f>
        <v>Hamdan Sheikh Juma Building</v>
      </c>
      <c r="C6149" s="2" t="str">
        <f ca="1">IFERROR(__xludf.DUMMYFUNCTION("""COMPUTED_VALUE"""),"Building")</f>
        <v>Building</v>
      </c>
      <c r="D6149" s="2" t="str">
        <f ca="1">IFERROR(__xludf.DUMMYFUNCTION("""COMPUTED_VALUE"""),"Dubai&gt;Al Karama&gt;Hamdan Sheikh Juma Building")</f>
        <v>Dubai&gt;Al Karama&gt;Hamdan Sheikh Juma Building</v>
      </c>
      <c r="E6149" s="2"/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</row>
    <row r="6150" spans="1:26" ht="16.5" x14ac:dyDescent="0.35">
      <c r="A6150" s="2" t="str">
        <f ca="1">IFERROR(__xludf.DUMMYFUNCTION("""COMPUTED_VALUE"""),"Dubai")</f>
        <v>Dubai</v>
      </c>
      <c r="B6150" s="2" t="str">
        <f ca="1">IFERROR(__xludf.DUMMYFUNCTION("""COMPUTED_VALUE"""),"P511")</f>
        <v>P511</v>
      </c>
      <c r="C6150" s="2" t="str">
        <f ca="1">IFERROR(__xludf.DUMMYFUNCTION("""COMPUTED_VALUE"""),"Building")</f>
        <v>Building</v>
      </c>
      <c r="D6150" s="2" t="str">
        <f ca="1">IFERROR(__xludf.DUMMYFUNCTION("""COMPUTED_VALUE"""),"Dubai&gt;Al Karama&gt;P511")</f>
        <v>Dubai&gt;Al Karama&gt;P511</v>
      </c>
      <c r="E6150" s="2"/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</row>
    <row r="6151" spans="1:26" ht="16.5" x14ac:dyDescent="0.35">
      <c r="A6151" s="2" t="str">
        <f ca="1">IFERROR(__xludf.DUMMYFUNCTION("""COMPUTED_VALUE"""),"Dubai")</f>
        <v>Dubai</v>
      </c>
      <c r="B6151" s="2" t="str">
        <f ca="1">IFERROR(__xludf.DUMMYFUNCTION("""COMPUTED_VALUE"""),"Al Hamra Building")</f>
        <v>Al Hamra Building</v>
      </c>
      <c r="C6151" s="2" t="str">
        <f ca="1">IFERROR(__xludf.DUMMYFUNCTION("""COMPUTED_VALUE"""),"Building")</f>
        <v>Building</v>
      </c>
      <c r="D6151" s="2" t="str">
        <f ca="1">IFERROR(__xludf.DUMMYFUNCTION("""COMPUTED_VALUE"""),"Dubai&gt;Al Karama&gt;Al Hamra Building")</f>
        <v>Dubai&gt;Al Karama&gt;Al Hamra Building</v>
      </c>
      <c r="E6151" s="2"/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</row>
    <row r="6152" spans="1:26" ht="16.5" x14ac:dyDescent="0.35">
      <c r="A6152" s="2" t="str">
        <f ca="1">IFERROR(__xludf.DUMMYFUNCTION("""COMPUTED_VALUE"""),"Dubai")</f>
        <v>Dubai</v>
      </c>
      <c r="B6152" s="2" t="str">
        <f ca="1">IFERROR(__xludf.DUMMYFUNCTION("""COMPUTED_VALUE"""),"Saif Mohammed Saif Dhahi Alromaithi Building")</f>
        <v>Saif Mohammed Saif Dhahi Alromaithi Building</v>
      </c>
      <c r="C6152" s="2" t="str">
        <f ca="1">IFERROR(__xludf.DUMMYFUNCTION("""COMPUTED_VALUE"""),"Building")</f>
        <v>Building</v>
      </c>
      <c r="D6152" s="2" t="str">
        <f ca="1">IFERROR(__xludf.DUMMYFUNCTION("""COMPUTED_VALUE"""),"Dubai&gt;Al Karama&gt;Saif Mohammed Saif Dhahi Alromaithi Building")</f>
        <v>Dubai&gt;Al Karama&gt;Saif Mohammed Saif Dhahi Alromaithi Building</v>
      </c>
      <c r="E6152" s="2"/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</row>
    <row r="6153" spans="1:26" ht="16.5" x14ac:dyDescent="0.35">
      <c r="A6153" s="2" t="str">
        <f ca="1">IFERROR(__xludf.DUMMYFUNCTION("""COMPUTED_VALUE"""),"Dubai")</f>
        <v>Dubai</v>
      </c>
      <c r="B6153" s="2" t="str">
        <f ca="1">IFERROR(__xludf.DUMMYFUNCTION("""COMPUTED_VALUE"""),"Suha Creek Hotel Apartments")</f>
        <v>Suha Creek Hotel Apartments</v>
      </c>
      <c r="C6153" s="2" t="str">
        <f ca="1">IFERROR(__xludf.DUMMYFUNCTION("""COMPUTED_VALUE"""),"Building")</f>
        <v>Building</v>
      </c>
      <c r="D6153" s="2" t="str">
        <f ca="1">IFERROR(__xludf.DUMMYFUNCTION("""COMPUTED_VALUE"""),"Dubai&gt;Culture Village (Jaddaf Waterfront)&gt;Suha Creek Hotel Apartments")</f>
        <v>Dubai&gt;Culture Village (Jaddaf Waterfront)&gt;Suha Creek Hotel Apartments</v>
      </c>
      <c r="E6153" s="2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</row>
    <row r="6154" spans="1:26" ht="16.5" x14ac:dyDescent="0.35">
      <c r="A6154" s="2" t="str">
        <f ca="1">IFERROR(__xludf.DUMMYFUNCTION("""COMPUTED_VALUE"""),"Dubai")</f>
        <v>Dubai</v>
      </c>
      <c r="B6154" s="2" t="str">
        <f ca="1">IFERROR(__xludf.DUMMYFUNCTION("""COMPUTED_VALUE"""),"Medium Pyramid")</f>
        <v>Medium Pyramid</v>
      </c>
      <c r="C6154" s="2" t="str">
        <f ca="1">IFERROR(__xludf.DUMMYFUNCTION("""COMPUTED_VALUE"""),"Building")</f>
        <v>Building</v>
      </c>
      <c r="D6154" s="2" t="str">
        <f ca="1">IFERROR(__xludf.DUMMYFUNCTION("""COMPUTED_VALUE"""),"Dubai&gt;Falcon City of Wonders&gt;Medium Pyramid")</f>
        <v>Dubai&gt;Falcon City of Wonders&gt;Medium Pyramid</v>
      </c>
      <c r="E6154" s="2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</row>
    <row r="6155" spans="1:26" ht="16.5" x14ac:dyDescent="0.35">
      <c r="A6155" s="2" t="str">
        <f ca="1">IFERROR(__xludf.DUMMYFUNCTION("""COMPUTED_VALUE"""),"Dubai")</f>
        <v>Dubai</v>
      </c>
      <c r="B6155" s="2" t="str">
        <f ca="1">IFERROR(__xludf.DUMMYFUNCTION("""COMPUTED_VALUE"""),"Jadeel Building 3")</f>
        <v>Jadeel Building 3</v>
      </c>
      <c r="C6155" s="2" t="str">
        <f ca="1">IFERROR(__xludf.DUMMYFUNCTION("""COMPUTED_VALUE"""),"Building")</f>
        <v>Building</v>
      </c>
      <c r="D6155" s="2" t="str">
        <f ca="1">IFERROR(__xludf.DUMMYFUNCTION("""COMPUTED_VALUE"""),"Dubai&gt;Umm Suqeim&gt;Madinat Jumeirah Living&gt;Jadeel&gt;Jadeel Building 3")</f>
        <v>Dubai&gt;Umm Suqeim&gt;Madinat Jumeirah Living&gt;Jadeel&gt;Jadeel Building 3</v>
      </c>
      <c r="E6155" s="2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</row>
    <row r="6156" spans="1:26" ht="16.5" x14ac:dyDescent="0.35">
      <c r="A6156" s="2" t="str">
        <f ca="1">IFERROR(__xludf.DUMMYFUNCTION("""COMPUTED_VALUE"""),"Dubai")</f>
        <v>Dubai</v>
      </c>
      <c r="B6156" s="2" t="str">
        <f ca="1">IFERROR(__xludf.DUMMYFUNCTION("""COMPUTED_VALUE"""),"Umm Suqeim 2")</f>
        <v>Umm Suqeim 2</v>
      </c>
      <c r="C6156" s="2" t="str">
        <f ca="1">IFERROR(__xludf.DUMMYFUNCTION("""COMPUTED_VALUE"""),"Neighbourhood")</f>
        <v>Neighbourhood</v>
      </c>
      <c r="D6156" s="2" t="str">
        <f ca="1">IFERROR(__xludf.DUMMYFUNCTION("""COMPUTED_VALUE"""),"Dubai&gt;Umm Suqeim&gt;Umm Suqeim 2")</f>
        <v>Dubai&gt;Umm Suqeim&gt;Umm Suqeim 2</v>
      </c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</row>
    <row r="6157" spans="1:26" ht="16.5" x14ac:dyDescent="0.35">
      <c r="A6157" s="2" t="str">
        <f ca="1">IFERROR(__xludf.DUMMYFUNCTION("""COMPUTED_VALUE"""),"Dubai")</f>
        <v>Dubai</v>
      </c>
      <c r="B6157" s="2" t="str">
        <f ca="1">IFERROR(__xludf.DUMMYFUNCTION("""COMPUTED_VALUE"""),"Laguna Tiffany Tower")</f>
        <v>Laguna Tiffany Tower</v>
      </c>
      <c r="C6157" s="2" t="str">
        <f ca="1">IFERROR(__xludf.DUMMYFUNCTION("""COMPUTED_VALUE"""),"Building")</f>
        <v>Building</v>
      </c>
      <c r="D6157" s="2" t="str">
        <f ca="1">IFERROR(__xludf.DUMMYFUNCTION("""COMPUTED_VALUE"""),"Dubai&gt;City of Arabia&gt;Laguna Residence&gt;Laguna Tiffany Tower")</f>
        <v>Dubai&gt;City of Arabia&gt;Laguna Residence&gt;Laguna Tiffany Tower</v>
      </c>
      <c r="E6157" s="2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</row>
    <row r="6158" spans="1:26" ht="16.5" x14ac:dyDescent="0.35">
      <c r="A6158" s="2" t="str">
        <f ca="1">IFERROR(__xludf.DUMMYFUNCTION("""COMPUTED_VALUE"""),"Dubai")</f>
        <v>Dubai</v>
      </c>
      <c r="B6158" s="2" t="str">
        <f ca="1">IFERROR(__xludf.DUMMYFUNCTION("""COMPUTED_VALUE"""),"Al Bada Oasis Building")</f>
        <v>Al Bada Oasis Building</v>
      </c>
      <c r="C6158" s="2" t="str">
        <f ca="1">IFERROR(__xludf.DUMMYFUNCTION("""COMPUTED_VALUE"""),"Building")</f>
        <v>Building</v>
      </c>
      <c r="D6158" s="2" t="str">
        <f ca="1">IFERROR(__xludf.DUMMYFUNCTION("""COMPUTED_VALUE"""),"Dubai&gt;Al Badaa&gt;Al Bada Oasis Building")</f>
        <v>Dubai&gt;Al Badaa&gt;Al Bada Oasis Building</v>
      </c>
      <c r="E6158" s="2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</row>
    <row r="6159" spans="1:26" ht="16.5" x14ac:dyDescent="0.35">
      <c r="A6159" s="2" t="str">
        <f ca="1">IFERROR(__xludf.DUMMYFUNCTION("""COMPUTED_VALUE"""),"Dubai")</f>
        <v>Dubai</v>
      </c>
      <c r="B6159" s="2" t="str">
        <f ca="1">IFERROR(__xludf.DUMMYFUNCTION("""COMPUTED_VALUE"""),"Al Duwais Building")</f>
        <v>Al Duwais Building</v>
      </c>
      <c r="C6159" s="2" t="str">
        <f ca="1">IFERROR(__xludf.DUMMYFUNCTION("""COMPUTED_VALUE"""),"Building")</f>
        <v>Building</v>
      </c>
      <c r="D6159" s="2" t="str">
        <f ca="1">IFERROR(__xludf.DUMMYFUNCTION("""COMPUTED_VALUE"""),"Dubai&gt;Al Badaa&gt;Al Duwais Building")</f>
        <v>Dubai&gt;Al Badaa&gt;Al Duwais Building</v>
      </c>
      <c r="E6159" s="2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</row>
    <row r="6160" spans="1:26" ht="16.5" x14ac:dyDescent="0.35">
      <c r="A6160" s="2" t="str">
        <f ca="1">IFERROR(__xludf.DUMMYFUNCTION("""COMPUTED_VALUE"""),"Dubai")</f>
        <v>Dubai</v>
      </c>
      <c r="B6160" s="2" t="str">
        <f ca="1">IFERROR(__xludf.DUMMYFUNCTION("""COMPUTED_VALUE"""),"Rajabali Villas")</f>
        <v>Rajabali Villas</v>
      </c>
      <c r="C6160" s="2" t="str">
        <f ca="1">IFERROR(__xludf.DUMMYFUNCTION("""COMPUTED_VALUE"""),"Neighbourhood")</f>
        <v>Neighbourhood</v>
      </c>
      <c r="D6160" s="2" t="str">
        <f ca="1">IFERROR(__xludf.DUMMYFUNCTION("""COMPUTED_VALUE"""),"Dubai&gt;Al Manara&gt;Rajabali Villas")</f>
        <v>Dubai&gt;Al Manara&gt;Rajabali Villas</v>
      </c>
      <c r="E6160" s="2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</row>
    <row r="6161" spans="1:26" ht="16.5" x14ac:dyDescent="0.35">
      <c r="A6161" s="2" t="str">
        <f ca="1">IFERROR(__xludf.DUMMYFUNCTION("""COMPUTED_VALUE"""),"Dubai")</f>
        <v>Dubai</v>
      </c>
      <c r="B6161" s="2" t="str">
        <f ca="1">IFERROR(__xludf.DUMMYFUNCTION("""COMPUTED_VALUE"""),"KSK Homes")</f>
        <v>KSK Homes</v>
      </c>
      <c r="C6161" s="2" t="str">
        <f ca="1">IFERROR(__xludf.DUMMYFUNCTION("""COMPUTED_VALUE"""),"Building")</f>
        <v>Building</v>
      </c>
      <c r="D6161" s="2" t="str">
        <f ca="1">IFERROR(__xludf.DUMMYFUNCTION("""COMPUTED_VALUE"""),"Dubai&gt;Academic City&gt;KSK Homes")</f>
        <v>Dubai&gt;Academic City&gt;KSK Homes</v>
      </c>
      <c r="E6161" s="2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</row>
    <row r="6162" spans="1:26" ht="16.5" x14ac:dyDescent="0.35">
      <c r="A6162" s="2" t="str">
        <f ca="1">IFERROR(__xludf.DUMMYFUNCTION("""COMPUTED_VALUE"""),"Dubai")</f>
        <v>Dubai</v>
      </c>
      <c r="B6162" s="2" t="str">
        <f ca="1">IFERROR(__xludf.DUMMYFUNCTION("""COMPUTED_VALUE"""),"Building 11")</f>
        <v>Building 11</v>
      </c>
      <c r="C6162" s="2" t="str">
        <f ca="1">IFERROR(__xludf.DUMMYFUNCTION("""COMPUTED_VALUE"""),"Building")</f>
        <v>Building</v>
      </c>
      <c r="D6162" s="2" t="str">
        <f ca="1">IFERROR(__xludf.DUMMYFUNCTION("""COMPUTED_VALUE"""),"Dubai&gt;Dubai Design District&gt;Building 11")</f>
        <v>Dubai&gt;Dubai Design District&gt;Building 11</v>
      </c>
      <c r="E6162" s="2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</row>
    <row r="6163" spans="1:26" ht="16.5" x14ac:dyDescent="0.35">
      <c r="A6163" s="2" t="str">
        <f ca="1">IFERROR(__xludf.DUMMYFUNCTION("""COMPUTED_VALUE"""),"Dubai")</f>
        <v>Dubai</v>
      </c>
      <c r="B6163" s="2" t="str">
        <f ca="1">IFERROR(__xludf.DUMMYFUNCTION("""COMPUTED_VALUE"""),"Ayesha Building")</f>
        <v>Ayesha Building</v>
      </c>
      <c r="C6163" s="2" t="str">
        <f ca="1">IFERROR(__xludf.DUMMYFUNCTION("""COMPUTED_VALUE"""),"Building")</f>
        <v>Building</v>
      </c>
      <c r="D6163" s="2" t="str">
        <f ca="1">IFERROR(__xludf.DUMMYFUNCTION("""COMPUTED_VALUE"""),"Dubai&gt;Al Hudaiba&gt;Ayesha Building")</f>
        <v>Dubai&gt;Al Hudaiba&gt;Ayesha Building</v>
      </c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</row>
    <row r="6164" spans="1:26" ht="16.5" x14ac:dyDescent="0.35">
      <c r="A6164" s="2" t="str">
        <f ca="1">IFERROR(__xludf.DUMMYFUNCTION("""COMPUTED_VALUE"""),"Dubai")</f>
        <v>Dubai</v>
      </c>
      <c r="B6164" s="2" t="str">
        <f ca="1">IFERROR(__xludf.DUMMYFUNCTION("""COMPUTED_VALUE"""),"Wasl 51 Block A")</f>
        <v>Wasl 51 Block A</v>
      </c>
      <c r="C6164" s="2" t="str">
        <f ca="1">IFERROR(__xludf.DUMMYFUNCTION("""COMPUTED_VALUE"""),"Building")</f>
        <v>Building</v>
      </c>
      <c r="D6164" s="2" t="str">
        <f ca="1">IFERROR(__xludf.DUMMYFUNCTION("""COMPUTED_VALUE"""),"Dubai&gt;Jumeirah&gt;Jumeirah 1&gt;Wasl 51&gt;Wasl 51 Block A")</f>
        <v>Dubai&gt;Jumeirah&gt;Jumeirah 1&gt;Wasl 51&gt;Wasl 51 Block A</v>
      </c>
      <c r="E6164" s="2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</row>
    <row r="6165" spans="1:26" ht="16.5" x14ac:dyDescent="0.35">
      <c r="A6165" s="2" t="str">
        <f ca="1">IFERROR(__xludf.DUMMYFUNCTION("""COMPUTED_VALUE"""),"Dubai")</f>
        <v>Dubai</v>
      </c>
      <c r="B6165" s="2" t="str">
        <f ca="1">IFERROR(__xludf.DUMMYFUNCTION("""COMPUTED_VALUE"""),"Roda Beach Resort Villas")</f>
        <v>Roda Beach Resort Villas</v>
      </c>
      <c r="C6165" s="2" t="str">
        <f ca="1">IFERROR(__xludf.DUMMYFUNCTION("""COMPUTED_VALUE"""),"Neighbourhood")</f>
        <v>Neighbourhood</v>
      </c>
      <c r="D6165" s="2" t="str">
        <f ca="1">IFERROR(__xludf.DUMMYFUNCTION("""COMPUTED_VALUE"""),"Dubai&gt;Jumeirah&gt;Jumeirah 3&gt;Roda Beach Resort Villas")</f>
        <v>Dubai&gt;Jumeirah&gt;Jumeirah 3&gt;Roda Beach Resort Villas</v>
      </c>
      <c r="E6165" s="2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</row>
    <row r="6166" spans="1:26" ht="16.5" x14ac:dyDescent="0.35">
      <c r="A6166" s="2" t="str">
        <f ca="1">IFERROR(__xludf.DUMMYFUNCTION("""COMPUTED_VALUE"""),"Dubai")</f>
        <v>Dubai</v>
      </c>
      <c r="B6166" s="2" t="str">
        <f ca="1">IFERROR(__xludf.DUMMYFUNCTION("""COMPUTED_VALUE"""),"Aman Residences Dubai")</f>
        <v>Aman Residences Dubai</v>
      </c>
      <c r="C6166" s="2" t="str">
        <f ca="1">IFERROR(__xludf.DUMMYFUNCTION("""COMPUTED_VALUE"""),"Building")</f>
        <v>Building</v>
      </c>
      <c r="D6166" s="2" t="str">
        <f ca="1">IFERROR(__xludf.DUMMYFUNCTION("""COMPUTED_VALUE"""),"Dubai&gt;Jumeirah&gt;Jumeirah 2&gt;Aman Residences Dubai")</f>
        <v>Dubai&gt;Jumeirah&gt;Jumeirah 2&gt;Aman Residences Dubai</v>
      </c>
      <c r="E6166" s="2"/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</row>
    <row r="6167" spans="1:26" ht="16.5" x14ac:dyDescent="0.35">
      <c r="A6167" s="2" t="str">
        <f ca="1">IFERROR(__xludf.DUMMYFUNCTION("""COMPUTED_VALUE"""),"Dubai")</f>
        <v>Dubai</v>
      </c>
      <c r="B6167" s="2" t="str">
        <f ca="1">IFERROR(__xludf.DUMMYFUNCTION("""COMPUTED_VALUE"""),"Le Pont Tower 2")</f>
        <v>Le Pont Tower 2</v>
      </c>
      <c r="C6167" s="2" t="str">
        <f ca="1">IFERROR(__xludf.DUMMYFUNCTION("""COMPUTED_VALUE"""),"Building")</f>
        <v>Building</v>
      </c>
      <c r="D6167" s="2" t="str">
        <f ca="1">IFERROR(__xludf.DUMMYFUNCTION("""COMPUTED_VALUE"""),"Dubai&gt;Jumeirah&gt;La Mer&gt;Port de La Mer&gt;Le Pont&gt;Le Pont Tower 2")</f>
        <v>Dubai&gt;Jumeirah&gt;La Mer&gt;Port de La Mer&gt;Le Pont&gt;Le Pont Tower 2</v>
      </c>
      <c r="E6167" s="2"/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</row>
    <row r="6168" spans="1:26" ht="16.5" x14ac:dyDescent="0.35">
      <c r="A6168" s="2" t="str">
        <f ca="1">IFERROR(__xludf.DUMMYFUNCTION("""COMPUTED_VALUE"""),"Dubai")</f>
        <v>Dubai</v>
      </c>
      <c r="B6168" s="2" t="str">
        <f ca="1">IFERROR(__xludf.DUMMYFUNCTION("""COMPUTED_VALUE"""),"The Cove Building 3")</f>
        <v>The Cove Building 3</v>
      </c>
      <c r="C6168" s="2" t="str">
        <f ca="1">IFERROR(__xludf.DUMMYFUNCTION("""COMPUTED_VALUE"""),"Building")</f>
        <v>Building</v>
      </c>
      <c r="D6168" s="2" t="str">
        <f ca="1">IFERROR(__xludf.DUMMYFUNCTION("""COMPUTED_VALUE"""),"Dubai&gt;Dubai Creek Harbour&gt;The Cove&gt;The Cove Building 3")</f>
        <v>Dubai&gt;Dubai Creek Harbour&gt;The Cove&gt;The Cove Building 3</v>
      </c>
      <c r="E6168" s="2"/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</row>
    <row r="6169" spans="1:26" ht="16.5" x14ac:dyDescent="0.35">
      <c r="A6169" s="2" t="str">
        <f ca="1">IFERROR(__xludf.DUMMYFUNCTION("""COMPUTED_VALUE"""),"Dubai")</f>
        <v>Dubai</v>
      </c>
      <c r="B6169" s="2" t="str">
        <f ca="1">IFERROR(__xludf.DUMMYFUNCTION("""COMPUTED_VALUE"""),"Bayshore 4")</f>
        <v>Bayshore 4</v>
      </c>
      <c r="C6169" s="2" t="str">
        <f ca="1">IFERROR(__xludf.DUMMYFUNCTION("""COMPUTED_VALUE"""),"Building")</f>
        <v>Building</v>
      </c>
      <c r="D6169" s="2" t="str">
        <f ca="1">IFERROR(__xludf.DUMMYFUNCTION("""COMPUTED_VALUE"""),"Dubai&gt;Dubai Creek Harbour&gt;Bayshore at Creek Beach&gt;Bayshore 4")</f>
        <v>Dubai&gt;Dubai Creek Harbour&gt;Bayshore at Creek Beach&gt;Bayshore 4</v>
      </c>
      <c r="E6169" s="2"/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</row>
    <row r="6170" spans="1:26" ht="16.5" x14ac:dyDescent="0.35">
      <c r="A6170" s="2" t="str">
        <f ca="1">IFERROR(__xludf.DUMMYFUNCTION("""COMPUTED_VALUE"""),"Dubai")</f>
        <v>Dubai</v>
      </c>
      <c r="B6170" s="2" t="str">
        <f ca="1">IFERROR(__xludf.DUMMYFUNCTION("""COMPUTED_VALUE"""),"Dubai Creek Residences")</f>
        <v>Dubai Creek Residences</v>
      </c>
      <c r="C6170" s="2" t="str">
        <f ca="1">IFERROR(__xludf.DUMMYFUNCTION("""COMPUTED_VALUE"""),"Cluster")</f>
        <v>Cluster</v>
      </c>
      <c r="D6170" s="2" t="str">
        <f ca="1">IFERROR(__xludf.DUMMYFUNCTION("""COMPUTED_VALUE"""),"Dubai&gt;Dubai Creek Harbour&gt;Dubai Creek Residences")</f>
        <v>Dubai&gt;Dubai Creek Harbour&gt;Dubai Creek Residences</v>
      </c>
      <c r="E6170" s="2"/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</row>
    <row r="6171" spans="1:26" ht="16.5" x14ac:dyDescent="0.35">
      <c r="A6171" s="2" t="str">
        <f ca="1">IFERROR(__xludf.DUMMYFUNCTION("""COMPUTED_VALUE"""),"Dubai")</f>
        <v>Dubai</v>
      </c>
      <c r="B6171" s="2" t="str">
        <f ca="1">IFERROR(__xludf.DUMMYFUNCTION("""COMPUTED_VALUE"""),"Island Park 2")</f>
        <v>Island Park 2</v>
      </c>
      <c r="C6171" s="2" t="str">
        <f ca="1">IFERROR(__xludf.DUMMYFUNCTION("""COMPUTED_VALUE"""),"Building")</f>
        <v>Building</v>
      </c>
      <c r="D6171" s="2" t="str">
        <f ca="1">IFERROR(__xludf.DUMMYFUNCTION("""COMPUTED_VALUE"""),"Dubai&gt;Dubai Creek Harbour&gt;Island Park&gt;Island Park 2")</f>
        <v>Dubai&gt;Dubai Creek Harbour&gt;Island Park&gt;Island Park 2</v>
      </c>
      <c r="E6171" s="2"/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</row>
    <row r="6172" spans="1:26" ht="16.5" x14ac:dyDescent="0.35">
      <c r="A6172" s="2" t="str">
        <f ca="1">IFERROR(__xludf.DUMMYFUNCTION("""COMPUTED_VALUE"""),"Dubai")</f>
        <v>Dubai</v>
      </c>
      <c r="B6172" s="2" t="str">
        <f ca="1">IFERROR(__xludf.DUMMYFUNCTION("""COMPUTED_VALUE"""),"Creek Bay")</f>
        <v>Creek Bay</v>
      </c>
      <c r="C6172" s="2" t="str">
        <f ca="1">IFERROR(__xludf.DUMMYFUNCTION("""COMPUTED_VALUE"""),"Building")</f>
        <v>Building</v>
      </c>
      <c r="D6172" s="2" t="str">
        <f ca="1">IFERROR(__xludf.DUMMYFUNCTION("""COMPUTED_VALUE"""),"Dubai&gt;Dubai Creek Harbour&gt;Creek Bay")</f>
        <v>Dubai&gt;Dubai Creek Harbour&gt;Creek Bay</v>
      </c>
      <c r="E6172" s="2"/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</row>
    <row r="6173" spans="1:26" ht="16.5" x14ac:dyDescent="0.35">
      <c r="A6173" s="2" t="str">
        <f ca="1">IFERROR(__xludf.DUMMYFUNCTION("""COMPUTED_VALUE"""),"Dubai")</f>
        <v>Dubai</v>
      </c>
      <c r="B6173" s="2" t="str">
        <f ca="1">IFERROR(__xludf.DUMMYFUNCTION("""COMPUTED_VALUE"""),"Al Noor Tower 1")</f>
        <v>Al Noor Tower 1</v>
      </c>
      <c r="C6173" s="2" t="str">
        <f ca="1">IFERROR(__xludf.DUMMYFUNCTION("""COMPUTED_VALUE"""),"Building")</f>
        <v>Building</v>
      </c>
      <c r="D6173" s="2" t="str">
        <f ca="1">IFERROR(__xludf.DUMMYFUNCTION("""COMPUTED_VALUE"""),"Dubai&gt;Barsha Heights (Tecom)&gt;Al Noor Tower 1")</f>
        <v>Dubai&gt;Barsha Heights (Tecom)&gt;Al Noor Tower 1</v>
      </c>
      <c r="E6173" s="2"/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</row>
    <row r="6174" spans="1:26" ht="16.5" x14ac:dyDescent="0.35">
      <c r="A6174" s="2" t="str">
        <f ca="1">IFERROR(__xludf.DUMMYFUNCTION("""COMPUTED_VALUE"""),"Dubai")</f>
        <v>Dubai</v>
      </c>
      <c r="B6174" s="2" t="str">
        <f ca="1">IFERROR(__xludf.DUMMYFUNCTION("""COMPUTED_VALUE"""),"Tecom 1 Building")</f>
        <v>Tecom 1 Building</v>
      </c>
      <c r="C6174" s="2" t="str">
        <f ca="1">IFERROR(__xludf.DUMMYFUNCTION("""COMPUTED_VALUE"""),"Building")</f>
        <v>Building</v>
      </c>
      <c r="D6174" s="2" t="str">
        <f ca="1">IFERROR(__xludf.DUMMYFUNCTION("""COMPUTED_VALUE"""),"Dubai&gt;Barsha Heights (Tecom)&gt;Tecom 1 Building")</f>
        <v>Dubai&gt;Barsha Heights (Tecom)&gt;Tecom 1 Building</v>
      </c>
      <c r="E6174" s="2"/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</row>
    <row r="6175" spans="1:26" ht="16.5" x14ac:dyDescent="0.35">
      <c r="A6175" s="2" t="str">
        <f ca="1">IFERROR(__xludf.DUMMYFUNCTION("""COMPUTED_VALUE"""),"Dubai")</f>
        <v>Dubai</v>
      </c>
      <c r="B6175" s="2" t="str">
        <f ca="1">IFERROR(__xludf.DUMMYFUNCTION("""COMPUTED_VALUE"""),"Al Amir Building")</f>
        <v>Al Amir Building</v>
      </c>
      <c r="C6175" s="2" t="str">
        <f ca="1">IFERROR(__xludf.DUMMYFUNCTION("""COMPUTED_VALUE"""),"Building")</f>
        <v>Building</v>
      </c>
      <c r="D6175" s="2" t="str">
        <f ca="1">IFERROR(__xludf.DUMMYFUNCTION("""COMPUTED_VALUE"""),"Dubai&gt;Barsha Heights (Tecom)&gt;Al Amir Building")</f>
        <v>Dubai&gt;Barsha Heights (Tecom)&gt;Al Amir Building</v>
      </c>
      <c r="E6175" s="2"/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</row>
    <row r="6176" spans="1:26" ht="16.5" x14ac:dyDescent="0.35">
      <c r="A6176" s="2" t="str">
        <f ca="1">IFERROR(__xludf.DUMMYFUNCTION("""COMPUTED_VALUE"""),"Dubai")</f>
        <v>Dubai</v>
      </c>
      <c r="B6176" s="2" t="str">
        <f ca="1">IFERROR(__xludf.DUMMYFUNCTION("""COMPUTED_VALUE"""),"Vida Residence 4")</f>
        <v>Vida Residence 4</v>
      </c>
      <c r="C6176" s="2" t="str">
        <f ca="1">IFERROR(__xludf.DUMMYFUNCTION("""COMPUTED_VALUE"""),"Building")</f>
        <v>Building</v>
      </c>
      <c r="D6176" s="2" t="str">
        <f ca="1">IFERROR(__xludf.DUMMYFUNCTION("""COMPUTED_VALUE"""),"Dubai&gt;The Hills&gt;Vida Residence (The Hills)&gt;Vida Residence 4")</f>
        <v>Dubai&gt;The Hills&gt;Vida Residence (The Hills)&gt;Vida Residence 4</v>
      </c>
      <c r="E6176" s="2"/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</row>
    <row r="6177" spans="1:26" ht="16.5" x14ac:dyDescent="0.35">
      <c r="A6177" s="2" t="str">
        <f ca="1">IFERROR(__xludf.DUMMYFUNCTION("""COMPUTED_VALUE"""),"Dubai")</f>
        <v>Dubai</v>
      </c>
      <c r="B6177" s="2" t="str">
        <f ca="1">IFERROR(__xludf.DUMMYFUNCTION("""COMPUTED_VALUE"""),"Family Villa")</f>
        <v>Family Villa</v>
      </c>
      <c r="C6177" s="2" t="str">
        <f ca="1">IFERROR(__xludf.DUMMYFUNCTION("""COMPUTED_VALUE"""),"Neighbourhood")</f>
        <v>Neighbourhood</v>
      </c>
      <c r="D6177" s="2" t="str">
        <f ca="1">IFERROR(__xludf.DUMMYFUNCTION("""COMPUTED_VALUE"""),"Dubai&gt;Motor City&gt;Green Community (Motor City)&gt;Family Villa")</f>
        <v>Dubai&gt;Motor City&gt;Green Community (Motor City)&gt;Family Villa</v>
      </c>
      <c r="E6177" s="2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</row>
    <row r="6178" spans="1:26" ht="16.5" x14ac:dyDescent="0.35">
      <c r="A6178" s="2" t="str">
        <f ca="1">IFERROR(__xludf.DUMMYFUNCTION("""COMPUTED_VALUE"""),"Dubai")</f>
        <v>Dubai</v>
      </c>
      <c r="B6178" s="2" t="str">
        <f ca="1">IFERROR(__xludf.DUMMYFUNCTION("""COMPUTED_VALUE"""),"Shakespeare Circus 3")</f>
        <v>Shakespeare Circus 3</v>
      </c>
      <c r="C6178" s="2" t="str">
        <f ca="1">IFERROR(__xludf.DUMMYFUNCTION("""COMPUTED_VALUE"""),"Building")</f>
        <v>Building</v>
      </c>
      <c r="D6178" s="2" t="str">
        <f ca="1">IFERROR(__xludf.DUMMYFUNCTION("""COMPUTED_VALUE"""),"Dubai&gt;Motor City&gt;Uptown Motor City&gt;Shakespeare Circus&gt;Shakespeare Circus 3")</f>
        <v>Dubai&gt;Motor City&gt;Uptown Motor City&gt;Shakespeare Circus&gt;Shakespeare Circus 3</v>
      </c>
      <c r="E6178" s="2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</row>
    <row r="6179" spans="1:26" ht="16.5" x14ac:dyDescent="0.35">
      <c r="A6179" s="2" t="str">
        <f ca="1">IFERROR(__xludf.DUMMYFUNCTION("""COMPUTED_VALUE"""),"Dubai")</f>
        <v>Dubai</v>
      </c>
      <c r="B6179" s="2" t="str">
        <f ca="1">IFERROR(__xludf.DUMMYFUNCTION("""COMPUTED_VALUE"""),"New Bridge Hill 3")</f>
        <v>New Bridge Hill 3</v>
      </c>
      <c r="C6179" s="2" t="str">
        <f ca="1">IFERROR(__xludf.DUMMYFUNCTION("""COMPUTED_VALUE"""),"Building")</f>
        <v>Building</v>
      </c>
      <c r="D6179" s="2" t="str">
        <f ca="1">IFERROR(__xludf.DUMMYFUNCTION("""COMPUTED_VALUE"""),"Dubai&gt;Motor City&gt;Uptown Motor City&gt;New Bridge Hill&gt;New Bridge Hill 3")</f>
        <v>Dubai&gt;Motor City&gt;Uptown Motor City&gt;New Bridge Hill&gt;New Bridge Hill 3</v>
      </c>
      <c r="E6179" s="2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</row>
    <row r="6180" spans="1:26" ht="16.5" x14ac:dyDescent="0.35">
      <c r="A6180" s="2" t="str">
        <f ca="1">IFERROR(__xludf.DUMMYFUNCTION("""COMPUTED_VALUE"""),"Dubai")</f>
        <v>Dubai</v>
      </c>
      <c r="B6180" s="2" t="str">
        <f ca="1">IFERROR(__xludf.DUMMYFUNCTION("""COMPUTED_VALUE"""),"Sobha Solis Tower D")</f>
        <v>Sobha Solis Tower D</v>
      </c>
      <c r="C6180" s="2" t="str">
        <f ca="1">IFERROR(__xludf.DUMMYFUNCTION("""COMPUTED_VALUE"""),"Building")</f>
        <v>Building</v>
      </c>
      <c r="D6180" s="2" t="str">
        <f ca="1">IFERROR(__xludf.DUMMYFUNCTION("""COMPUTED_VALUE"""),"Dubai&gt;Motor City&gt;Sobha Solis&gt;Sobha Solis Tower D")</f>
        <v>Dubai&gt;Motor City&gt;Sobha Solis&gt;Sobha Solis Tower D</v>
      </c>
      <c r="E6180" s="2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</row>
    <row r="6181" spans="1:26" ht="16.5" x14ac:dyDescent="0.35">
      <c r="A6181" s="2" t="str">
        <f ca="1">IFERROR(__xludf.DUMMYFUNCTION("""COMPUTED_VALUE"""),"Dubai")</f>
        <v>Dubai</v>
      </c>
      <c r="B6181" s="2" t="str">
        <f ca="1">IFERROR(__xludf.DUMMYFUNCTION("""COMPUTED_VALUE"""),"Hilliana Tower")</f>
        <v>Hilliana Tower</v>
      </c>
      <c r="C6181" s="2" t="str">
        <f ca="1">IFERROR(__xludf.DUMMYFUNCTION("""COMPUTED_VALUE"""),"Building")</f>
        <v>Building</v>
      </c>
      <c r="D6181" s="2" t="str">
        <f ca="1">IFERROR(__xludf.DUMMYFUNCTION("""COMPUTED_VALUE"""),"Dubai&gt;Al Sufouh&gt;Al Sufouh 1&gt;Acacia Avenues&gt;Hilliana Tower")</f>
        <v>Dubai&gt;Al Sufouh&gt;Al Sufouh 1&gt;Acacia Avenues&gt;Hilliana Tower</v>
      </c>
      <c r="E6181" s="2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</row>
    <row r="6182" spans="1:26" ht="16.5" x14ac:dyDescent="0.35">
      <c r="A6182" s="2" t="str">
        <f ca="1">IFERROR(__xludf.DUMMYFUNCTION("""COMPUTED_VALUE"""),"Dubai")</f>
        <v>Dubai</v>
      </c>
      <c r="B6182" s="2" t="str">
        <f ca="1">IFERROR(__xludf.DUMMYFUNCTION("""COMPUTED_VALUE"""),"Boutique Office 17")</f>
        <v>Boutique Office 17</v>
      </c>
      <c r="C6182" s="2" t="str">
        <f ca="1">IFERROR(__xludf.DUMMYFUNCTION("""COMPUTED_VALUE"""),"Building")</f>
        <v>Building</v>
      </c>
      <c r="D6182" s="2" t="str">
        <f ca="1">IFERROR(__xludf.DUMMYFUNCTION("""COMPUTED_VALUE"""),"Dubai&gt;Al Sufouh&gt;Al Sufouh 2&gt;Boutique Offices&gt;Boutique Office 17")</f>
        <v>Dubai&gt;Al Sufouh&gt;Al Sufouh 2&gt;Boutique Offices&gt;Boutique Office 17</v>
      </c>
      <c r="E6182" s="2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</row>
    <row r="6183" spans="1:26" ht="16.5" x14ac:dyDescent="0.35">
      <c r="A6183" s="2" t="str">
        <f ca="1">IFERROR(__xludf.DUMMYFUNCTION("""COMPUTED_VALUE"""),"Dubai")</f>
        <v>Dubai</v>
      </c>
      <c r="B6183" s="2" t="str">
        <f ca="1">IFERROR(__xludf.DUMMYFUNCTION("""COMPUTED_VALUE"""),"Al Badia Building 3")</f>
        <v>Al Badia Building 3</v>
      </c>
      <c r="C6183" s="2" t="str">
        <f ca="1">IFERROR(__xludf.DUMMYFUNCTION("""COMPUTED_VALUE"""),"Building")</f>
        <v>Building</v>
      </c>
      <c r="D6183" s="2" t="str">
        <f ca="1">IFERROR(__xludf.DUMMYFUNCTION("""COMPUTED_VALUE"""),"Dubai&gt;Dubai Festival City&gt;Al Badia Buildings&gt;Al Badia Building 3")</f>
        <v>Dubai&gt;Dubai Festival City&gt;Al Badia Buildings&gt;Al Badia Building 3</v>
      </c>
      <c r="E6183" s="2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</row>
    <row r="6184" spans="1:26" ht="16.5" x14ac:dyDescent="0.35">
      <c r="A6184" s="2" t="str">
        <f ca="1">IFERROR(__xludf.DUMMYFUNCTION("""COMPUTED_VALUE"""),"Dubai")</f>
        <v>Dubai</v>
      </c>
      <c r="B6184" s="2" t="str">
        <f ca="1">IFERROR(__xludf.DUMMYFUNCTION("""COMPUTED_VALUE"""),"Carson Tower A")</f>
        <v>Carson Tower A</v>
      </c>
      <c r="C6184" s="2" t="str">
        <f ca="1">IFERROR(__xludf.DUMMYFUNCTION("""COMPUTED_VALUE"""),"Building")</f>
        <v>Building</v>
      </c>
      <c r="D6184" s="2" t="str">
        <f ca="1">IFERROR(__xludf.DUMMYFUNCTION("""COMPUTED_VALUE"""),"Dubai&gt;DAMAC Hills&gt;Carson - The Drive&gt;Carson Tower A")</f>
        <v>Dubai&gt;DAMAC Hills&gt;Carson - The Drive&gt;Carson Tower A</v>
      </c>
      <c r="E6184" s="2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</row>
    <row r="6185" spans="1:26" ht="16.5" x14ac:dyDescent="0.35">
      <c r="A6185" s="2" t="str">
        <f ca="1">IFERROR(__xludf.DUMMYFUNCTION("""COMPUTED_VALUE"""),"Dubai")</f>
        <v>Dubai</v>
      </c>
      <c r="B6185" s="2" t="str">
        <f ca="1">IFERROR(__xludf.DUMMYFUNCTION("""COMPUTED_VALUE"""),"Golf Veduta")</f>
        <v>Golf Veduta</v>
      </c>
      <c r="C6185" s="2" t="str">
        <f ca="1">IFERROR(__xludf.DUMMYFUNCTION("""COMPUTED_VALUE"""),"Cluster")</f>
        <v>Cluster</v>
      </c>
      <c r="D6185" s="2" t="str">
        <f ca="1">IFERROR(__xludf.DUMMYFUNCTION("""COMPUTED_VALUE"""),"Dubai&gt;DAMAC Hills&gt;Golf Town&gt;Golf Veduta")</f>
        <v>Dubai&gt;DAMAC Hills&gt;Golf Town&gt;Golf Veduta</v>
      </c>
      <c r="E6185" s="2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</row>
    <row r="6186" spans="1:26" ht="16.5" x14ac:dyDescent="0.35">
      <c r="A6186" s="2" t="str">
        <f ca="1">IFERROR(__xludf.DUMMYFUNCTION("""COMPUTED_VALUE"""),"Dubai")</f>
        <v>Dubai</v>
      </c>
      <c r="B6186" s="2" t="str">
        <f ca="1">IFERROR(__xludf.DUMMYFUNCTION("""COMPUTED_VALUE"""),"Orchid B")</f>
        <v>Orchid B</v>
      </c>
      <c r="C6186" s="2" t="str">
        <f ca="1">IFERROR(__xludf.DUMMYFUNCTION("""COMPUTED_VALUE"""),"Building")</f>
        <v>Building</v>
      </c>
      <c r="D6186" s="2" t="str">
        <f ca="1">IFERROR(__xludf.DUMMYFUNCTION("""COMPUTED_VALUE"""),"Dubai&gt;DAMAC Hills&gt;Orchid&gt;Orchid B")</f>
        <v>Dubai&gt;DAMAC Hills&gt;Orchid&gt;Orchid B</v>
      </c>
      <c r="E6186" s="2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</row>
    <row r="6187" spans="1:26" ht="16.5" x14ac:dyDescent="0.35">
      <c r="A6187" s="2" t="str">
        <f ca="1">IFERROR(__xludf.DUMMYFUNCTION("""COMPUTED_VALUE"""),"Dubai")</f>
        <v>Dubai</v>
      </c>
      <c r="B6187" s="2" t="str">
        <f ca="1">IFERROR(__xludf.DUMMYFUNCTION("""COMPUTED_VALUE"""),"Gems Estates 2")</f>
        <v>Gems Estates 2</v>
      </c>
      <c r="C6187" s="2" t="str">
        <f ca="1">IFERROR(__xludf.DUMMYFUNCTION("""COMPUTED_VALUE"""),"Neighbourhood")</f>
        <v>Neighbourhood</v>
      </c>
      <c r="D6187" s="2" t="str">
        <f ca="1">IFERROR(__xludf.DUMMYFUNCTION("""COMPUTED_VALUE"""),"Dubai&gt;DAMAC Hills&gt;Gems Estates 2")</f>
        <v>Dubai&gt;DAMAC Hills&gt;Gems Estates 2</v>
      </c>
      <c r="E6187" s="2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</row>
    <row r="6188" spans="1:26" ht="16.5" x14ac:dyDescent="0.35">
      <c r="A6188" s="2" t="str">
        <f ca="1">IFERROR(__xludf.DUMMYFUNCTION("""COMPUTED_VALUE"""),"Dubai")</f>
        <v>Dubai</v>
      </c>
      <c r="B6188" s="2" t="str">
        <f ca="1">IFERROR(__xludf.DUMMYFUNCTION("""COMPUTED_VALUE"""),"Seven Pearls Block C")</f>
        <v>Seven Pearls Block C</v>
      </c>
      <c r="C6188" s="2" t="str">
        <f ca="1">IFERROR(__xludf.DUMMYFUNCTION("""COMPUTED_VALUE"""),"Building")</f>
        <v>Building</v>
      </c>
      <c r="D6188" s="2" t="str">
        <f ca="1">IFERROR(__xludf.DUMMYFUNCTION("""COMPUTED_VALUE"""),"Dubai&gt;Al Mina&gt;Seven Pearls&gt;Seven Pearls Block C")</f>
        <v>Dubai&gt;Al Mina&gt;Seven Pearls&gt;Seven Pearls Block C</v>
      </c>
      <c r="E6188" s="2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</row>
    <row r="6189" spans="1:26" ht="16.5" x14ac:dyDescent="0.35">
      <c r="A6189" s="2" t="str">
        <f ca="1">IFERROR(__xludf.DUMMYFUNCTION("""COMPUTED_VALUE"""),"Dubai")</f>
        <v>Dubai</v>
      </c>
      <c r="B6189" s="2" t="str">
        <f ca="1">IFERROR(__xludf.DUMMYFUNCTION("""COMPUTED_VALUE"""),"The Pier Residence")</f>
        <v>The Pier Residence</v>
      </c>
      <c r="C6189" s="2" t="str">
        <f ca="1">IFERROR(__xludf.DUMMYFUNCTION("""COMPUTED_VALUE"""),"Building")</f>
        <v>Building</v>
      </c>
      <c r="D6189" s="2" t="str">
        <f ca="1">IFERROR(__xludf.DUMMYFUNCTION("""COMPUTED_VALUE"""),"Dubai&gt;Dubai Maritime City&gt;The Pier Residence")</f>
        <v>Dubai&gt;Dubai Maritime City&gt;The Pier Residence</v>
      </c>
      <c r="E6189" s="2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</row>
    <row r="6190" spans="1:26" ht="16.5" x14ac:dyDescent="0.35">
      <c r="A6190" s="2" t="str">
        <f ca="1">IFERROR(__xludf.DUMMYFUNCTION("""COMPUTED_VALUE"""),"Dubai")</f>
        <v>Dubai</v>
      </c>
      <c r="B6190" s="2" t="str">
        <f ca="1">IFERROR(__xludf.DUMMYFUNCTION("""COMPUTED_VALUE"""),"Panorama Tower 3")</f>
        <v>Panorama Tower 3</v>
      </c>
      <c r="C6190" s="2" t="str">
        <f ca="1">IFERROR(__xludf.DUMMYFUNCTION("""COMPUTED_VALUE"""),"Building")</f>
        <v>Building</v>
      </c>
      <c r="D6190" s="2" t="str">
        <f ca="1">IFERROR(__xludf.DUMMYFUNCTION("""COMPUTED_VALUE"""),"Dubai&gt;The Views&gt;Panorama&gt;Panorama Tower 3")</f>
        <v>Dubai&gt;The Views&gt;Panorama&gt;Panorama Tower 3</v>
      </c>
      <c r="E6190" s="2"/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</row>
    <row r="6191" spans="1:26" ht="16.5" x14ac:dyDescent="0.35">
      <c r="A6191" s="2" t="str">
        <f ca="1">IFERROR(__xludf.DUMMYFUNCTION("""COMPUTED_VALUE"""),"Dubai")</f>
        <v>Dubai</v>
      </c>
      <c r="B6191" s="2" t="str">
        <f ca="1">IFERROR(__xludf.DUMMYFUNCTION("""COMPUTED_VALUE"""),"The Views 1A")</f>
        <v>The Views 1A</v>
      </c>
      <c r="C6191" s="2" t="str">
        <f ca="1">IFERROR(__xludf.DUMMYFUNCTION("""COMPUTED_VALUE"""),"Building")</f>
        <v>Building</v>
      </c>
      <c r="D6191" s="2" t="str">
        <f ca="1">IFERROR(__xludf.DUMMYFUNCTION("""COMPUTED_VALUE"""),"Dubai&gt;The Views&gt;The Views 1&gt;The Views 1A")</f>
        <v>Dubai&gt;The Views&gt;The Views 1&gt;The Views 1A</v>
      </c>
      <c r="E6191" s="2"/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</row>
    <row r="6192" spans="1:26" ht="16.5" x14ac:dyDescent="0.35">
      <c r="A6192" s="2" t="str">
        <f ca="1">IFERROR(__xludf.DUMMYFUNCTION("""COMPUTED_VALUE"""),"Dubai")</f>
        <v>Dubai</v>
      </c>
      <c r="B6192" s="2" t="str">
        <f ca="1">IFERROR(__xludf.DUMMYFUNCTION("""COMPUTED_VALUE"""),"Fronds Building")</f>
        <v>Fronds Building</v>
      </c>
      <c r="C6192" s="2" t="str">
        <f ca="1">IFERROR(__xludf.DUMMYFUNCTION("""COMPUTED_VALUE"""),"Building")</f>
        <v>Building</v>
      </c>
      <c r="D6192" s="2" t="str">
        <f ca="1">IFERROR(__xludf.DUMMYFUNCTION("""COMPUTED_VALUE"""),"Dubai&gt;Al Quoz&gt;Al Quoz Industrial Area&gt;Al Quoz Industrial Area 3&gt;Fronds Building")</f>
        <v>Dubai&gt;Al Quoz&gt;Al Quoz Industrial Area&gt;Al Quoz Industrial Area 3&gt;Fronds Building</v>
      </c>
      <c r="E6192" s="2"/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</row>
    <row r="6193" spans="1:26" ht="16.5" x14ac:dyDescent="0.35">
      <c r="A6193" s="2" t="str">
        <f ca="1">IFERROR(__xludf.DUMMYFUNCTION("""COMPUTED_VALUE"""),"Dubai")</f>
        <v>Dubai</v>
      </c>
      <c r="B6193" s="2" t="str">
        <f ca="1">IFERROR(__xludf.DUMMYFUNCTION("""COMPUTED_VALUE"""),"Wasl Crystal III")</f>
        <v>Wasl Crystal III</v>
      </c>
      <c r="C6193" s="2" t="str">
        <f ca="1">IFERROR(__xludf.DUMMYFUNCTION("""COMPUTED_VALUE"""),"Building")</f>
        <v>Building</v>
      </c>
      <c r="D6193" s="2" t="str">
        <f ca="1">IFERROR(__xludf.DUMMYFUNCTION("""COMPUTED_VALUE"""),"Dubai&gt;Al Quoz&gt;Al Quoz 4&gt;Wasl Crystal III")</f>
        <v>Dubai&gt;Al Quoz&gt;Al Quoz 4&gt;Wasl Crystal III</v>
      </c>
      <c r="E6193" s="2"/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</row>
    <row r="6194" spans="1:26" ht="16.5" x14ac:dyDescent="0.35">
      <c r="A6194" s="2" t="str">
        <f ca="1">IFERROR(__xludf.DUMMYFUNCTION("""COMPUTED_VALUE"""),"Dubai")</f>
        <v>Dubai</v>
      </c>
      <c r="B6194" s="2" t="str">
        <f ca="1">IFERROR(__xludf.DUMMYFUNCTION("""COMPUTED_VALUE"""),"Emirates British Nursery DSO")</f>
        <v>Emirates British Nursery DSO</v>
      </c>
      <c r="C6194" s="2" t="str">
        <f ca="1">IFERROR(__xludf.DUMMYFUNCTION("""COMPUTED_VALUE"""),"Nursery")</f>
        <v>Nursery</v>
      </c>
      <c r="D6194" s="2" t="str">
        <f ca="1">IFERROR(__xludf.DUMMYFUNCTION("""COMPUTED_VALUE"""),"Dubai&gt;Dubai Silicon Oasis (DSO)&gt;Cedre Villas&gt;Emirates British Nursery DSO")</f>
        <v>Dubai&gt;Dubai Silicon Oasis (DSO)&gt;Cedre Villas&gt;Emirates British Nursery DSO</v>
      </c>
      <c r="E6194" s="2"/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</row>
    <row r="6195" spans="1:26" ht="16.5" x14ac:dyDescent="0.35">
      <c r="A6195" s="2" t="str">
        <f ca="1">IFERROR(__xludf.DUMMYFUNCTION("""COMPUTED_VALUE"""),"Dubai")</f>
        <v>Dubai</v>
      </c>
      <c r="B6195" s="2" t="str">
        <f ca="1">IFERROR(__xludf.DUMMYFUNCTION("""COMPUTED_VALUE"""),"The Icon Tower")</f>
        <v>The Icon Tower</v>
      </c>
      <c r="C6195" s="2" t="str">
        <f ca="1">IFERROR(__xludf.DUMMYFUNCTION("""COMPUTED_VALUE"""),"Building")</f>
        <v>Building</v>
      </c>
      <c r="D6195" s="2" t="str">
        <f ca="1">IFERROR(__xludf.DUMMYFUNCTION("""COMPUTED_VALUE"""),"Dubai&gt;Dubai Silicon Oasis (DSO)&gt;The Icon Tower")</f>
        <v>Dubai&gt;Dubai Silicon Oasis (DSO)&gt;The Icon Tower</v>
      </c>
      <c r="E6195" s="2"/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</row>
    <row r="6196" spans="1:26" ht="16.5" x14ac:dyDescent="0.35">
      <c r="A6196" s="2" t="str">
        <f ca="1">IFERROR(__xludf.DUMMYFUNCTION("""COMPUTED_VALUE"""),"Dubai")</f>
        <v>Dubai</v>
      </c>
      <c r="B6196" s="2" t="str">
        <f ca="1">IFERROR(__xludf.DUMMYFUNCTION("""COMPUTED_VALUE"""),"Nibras Oasis 2")</f>
        <v>Nibras Oasis 2</v>
      </c>
      <c r="C6196" s="2" t="str">
        <f ca="1">IFERROR(__xludf.DUMMYFUNCTION("""COMPUTED_VALUE"""),"Building")</f>
        <v>Building</v>
      </c>
      <c r="D6196" s="2" t="str">
        <f ca="1">IFERROR(__xludf.DUMMYFUNCTION("""COMPUTED_VALUE"""),"Dubai&gt;Dubai Silicon Oasis (DSO)&gt;Nibras Oasis 2")</f>
        <v>Dubai&gt;Dubai Silicon Oasis (DSO)&gt;Nibras Oasis 2</v>
      </c>
      <c r="E6196" s="2"/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</row>
    <row r="6197" spans="1:26" ht="16.5" x14ac:dyDescent="0.35">
      <c r="A6197" s="2" t="str">
        <f ca="1">IFERROR(__xludf.DUMMYFUNCTION("""COMPUTED_VALUE"""),"Dubai")</f>
        <v>Dubai</v>
      </c>
      <c r="B6197" s="2" t="str">
        <f ca="1">IFERROR(__xludf.DUMMYFUNCTION("""COMPUTED_VALUE"""),"Silicon Building")</f>
        <v>Silicon Building</v>
      </c>
      <c r="C6197" s="2" t="str">
        <f ca="1">IFERROR(__xludf.DUMMYFUNCTION("""COMPUTED_VALUE"""),"Building")</f>
        <v>Building</v>
      </c>
      <c r="D6197" s="2" t="str">
        <f ca="1">IFERROR(__xludf.DUMMYFUNCTION("""COMPUTED_VALUE"""),"Dubai&gt;Dubai Silicon Oasis (DSO)&gt;Silicon Building")</f>
        <v>Dubai&gt;Dubai Silicon Oasis (DSO)&gt;Silicon Building</v>
      </c>
      <c r="E6197" s="2"/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</row>
    <row r="6198" spans="1:26" ht="16.5" x14ac:dyDescent="0.35">
      <c r="A6198" s="2" t="str">
        <f ca="1">IFERROR(__xludf.DUMMYFUNCTION("""COMPUTED_VALUE"""),"Dubai")</f>
        <v>Dubai</v>
      </c>
      <c r="B6198" s="2" t="str">
        <f ca="1">IFERROR(__xludf.DUMMYFUNCTION("""COMPUTED_VALUE"""),"S Residence")</f>
        <v>S Residence</v>
      </c>
      <c r="C6198" s="2" t="str">
        <f ca="1">IFERROR(__xludf.DUMMYFUNCTION("""COMPUTED_VALUE"""),"Building")</f>
        <v>Building</v>
      </c>
      <c r="D6198" s="2" t="str">
        <f ca="1">IFERROR(__xludf.DUMMYFUNCTION("""COMPUTED_VALUE"""),"Dubai&gt;Dubai Silicon Oasis (DSO)&gt;S Residence")</f>
        <v>Dubai&gt;Dubai Silicon Oasis (DSO)&gt;S Residence</v>
      </c>
      <c r="E6198" s="2"/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</row>
    <row r="6199" spans="1:26" ht="16.5" x14ac:dyDescent="0.35">
      <c r="A6199" s="2" t="str">
        <f ca="1">IFERROR(__xludf.DUMMYFUNCTION("""COMPUTED_VALUE"""),"Dubai")</f>
        <v>Dubai</v>
      </c>
      <c r="B6199" s="2" t="str">
        <f ca="1">IFERROR(__xludf.DUMMYFUNCTION("""COMPUTED_VALUE"""),"Axis Residences One 4")</f>
        <v>Axis Residences One 4</v>
      </c>
      <c r="C6199" s="2" t="str">
        <f ca="1">IFERROR(__xludf.DUMMYFUNCTION("""COMPUTED_VALUE"""),"Building")</f>
        <v>Building</v>
      </c>
      <c r="D6199" s="2" t="str">
        <f ca="1">IFERROR(__xludf.DUMMYFUNCTION("""COMPUTED_VALUE"""),"Dubai&gt;Dubai Silicon Oasis (DSO)&gt;Axis Residences&gt;Axis Residences One 4")</f>
        <v>Dubai&gt;Dubai Silicon Oasis (DSO)&gt;Axis Residences&gt;Axis Residences One 4</v>
      </c>
      <c r="E6199" s="2"/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</row>
    <row r="6200" spans="1:26" ht="16.5" x14ac:dyDescent="0.35">
      <c r="A6200" s="2" t="str">
        <f ca="1">IFERROR(__xludf.DUMMYFUNCTION("""COMPUTED_VALUE"""),"Dubai")</f>
        <v>Dubai</v>
      </c>
      <c r="B6200" s="2" t="str">
        <f ca="1">IFERROR(__xludf.DUMMYFUNCTION("""COMPUTED_VALUE"""),"Oasiz 1 by Danube")</f>
        <v>Oasiz 1 by Danube</v>
      </c>
      <c r="C6200" s="2" t="str">
        <f ca="1">IFERROR(__xludf.DUMMYFUNCTION("""COMPUTED_VALUE"""),"Building")</f>
        <v>Building</v>
      </c>
      <c r="D6200" s="2" t="str">
        <f ca="1">IFERROR(__xludf.DUMMYFUNCTION("""COMPUTED_VALUE"""),"Dubai&gt;Dubai Silicon Oasis (DSO)&gt;Oasiz 1 by Danube")</f>
        <v>Dubai&gt;Dubai Silicon Oasis (DSO)&gt;Oasiz 1 by Danube</v>
      </c>
      <c r="E6200" s="2"/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</row>
    <row r="6201" spans="1:26" ht="16.5" x14ac:dyDescent="0.35">
      <c r="A6201" s="2" t="str">
        <f ca="1">IFERROR(__xludf.DUMMYFUNCTION("""COMPUTED_VALUE"""),"Dubai")</f>
        <v>Dubai</v>
      </c>
      <c r="B6201" s="2" t="str">
        <f ca="1">IFERROR(__xludf.DUMMYFUNCTION("""COMPUTED_VALUE"""),"The Reserve")</f>
        <v>The Reserve</v>
      </c>
      <c r="C6201" s="2" t="str">
        <f ca="1">IFERROR(__xludf.DUMMYFUNCTION("""COMPUTED_VALUE"""),"Neighbourhood")</f>
        <v>Neighbourhood</v>
      </c>
      <c r="D6201" s="2" t="str">
        <f ca="1">IFERROR(__xludf.DUMMYFUNCTION("""COMPUTED_VALUE"""),"Dubai&gt;Al Barari&gt;The Reserve")</f>
        <v>Dubai&gt;Al Barari&gt;The Reserve</v>
      </c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</row>
    <row r="6202" spans="1:26" ht="16.5" x14ac:dyDescent="0.35">
      <c r="A6202" s="2" t="str">
        <f ca="1">IFERROR(__xludf.DUMMYFUNCTION("""COMPUTED_VALUE"""),"Dubai")</f>
        <v>Dubai</v>
      </c>
      <c r="B6202" s="2" t="str">
        <f ca="1">IFERROR(__xludf.DUMMYFUNCTION("""COMPUTED_VALUE"""),"Silk Leaf 7")</f>
        <v>Silk Leaf 7</v>
      </c>
      <c r="C6202" s="2" t="str">
        <f ca="1">IFERROR(__xludf.DUMMYFUNCTION("""COMPUTED_VALUE"""),"Neighbourhood")</f>
        <v>Neighbourhood</v>
      </c>
      <c r="D6202" s="2" t="str">
        <f ca="1">IFERROR(__xludf.DUMMYFUNCTION("""COMPUTED_VALUE"""),"Dubai&gt;Al Barari&gt;The Residences&gt;Silk Leaf&gt;Silk Leaf 7")</f>
        <v>Dubai&gt;Al Barari&gt;The Residences&gt;Silk Leaf&gt;Silk Leaf 7</v>
      </c>
      <c r="E6202" s="2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</row>
    <row r="6203" spans="1:26" ht="16.5" x14ac:dyDescent="0.35">
      <c r="A6203" s="2" t="str">
        <f ca="1">IFERROR(__xludf.DUMMYFUNCTION("""COMPUTED_VALUE"""),"Dubai")</f>
        <v>Dubai</v>
      </c>
      <c r="B6203" s="2" t="str">
        <f ca="1">IFERROR(__xludf.DUMMYFUNCTION("""COMPUTED_VALUE"""),"Opal Gardens")</f>
        <v>Opal Gardens</v>
      </c>
      <c r="C6203" s="2" t="str">
        <f ca="1">IFERROR(__xludf.DUMMYFUNCTION("""COMPUTED_VALUE"""),"Neighbourhood")</f>
        <v>Neighbourhood</v>
      </c>
      <c r="D6203" s="2" t="str">
        <f ca="1">IFERROR(__xludf.DUMMYFUNCTION("""COMPUTED_VALUE"""),"Dubai&gt;Mohammed Bin Rashid City&gt;District 11&gt;Opal Gardens")</f>
        <v>Dubai&gt;Mohammed Bin Rashid City&gt;District 11&gt;Opal Gardens</v>
      </c>
      <c r="E6203" s="2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</row>
    <row r="6204" spans="1:26" ht="16.5" x14ac:dyDescent="0.35">
      <c r="A6204" s="2" t="str">
        <f ca="1">IFERROR(__xludf.DUMMYFUNCTION("""COMPUTED_VALUE"""),"Dubai")</f>
        <v>Dubai</v>
      </c>
      <c r="B6204" s="2" t="str">
        <f ca="1">IFERROR(__xludf.DUMMYFUNCTION("""COMPUTED_VALUE"""),"Gate Eleven Building 4")</f>
        <v>Gate Eleven Building 4</v>
      </c>
      <c r="C6204" s="2" t="str">
        <f ca="1">IFERROR(__xludf.DUMMYFUNCTION("""COMPUTED_VALUE"""),"Building")</f>
        <v>Building</v>
      </c>
      <c r="D6204" s="2" t="str">
        <f ca="1">IFERROR(__xludf.DUMMYFUNCTION("""COMPUTED_VALUE"""),"Dubai&gt;Mohammed Bin Rashid City&gt;District 11&gt;Gate Eleven Residences&gt;Gate Eleven Building 4")</f>
        <v>Dubai&gt;Mohammed Bin Rashid City&gt;District 11&gt;Gate Eleven Residences&gt;Gate Eleven Building 4</v>
      </c>
      <c r="E6204" s="2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</row>
    <row r="6205" spans="1:26" ht="16.5" x14ac:dyDescent="0.35">
      <c r="A6205" s="2" t="str">
        <f ca="1">IFERROR(__xludf.DUMMYFUNCTION("""COMPUTED_VALUE"""),"Dubai")</f>
        <v>Dubai</v>
      </c>
      <c r="B6205" s="2" t="str">
        <f ca="1">IFERROR(__xludf.DUMMYFUNCTION("""COMPUTED_VALUE"""),"Residences 21")</f>
        <v>Residences 21</v>
      </c>
      <c r="C6205" s="2" t="str">
        <f ca="1">IFERROR(__xludf.DUMMYFUNCTION("""COMPUTED_VALUE"""),"Building")</f>
        <v>Building</v>
      </c>
      <c r="D6205" s="2" t="str">
        <f ca="1">IFERROR(__xludf.DUMMYFUNCTION("""COMPUTED_VALUE"""),"Dubai&gt;Mohammed Bin Rashid City&gt;District One&gt;The Residences at District One&gt;Residences 21")</f>
        <v>Dubai&gt;Mohammed Bin Rashid City&gt;District One&gt;The Residences at District One&gt;Residences 21</v>
      </c>
      <c r="E6205" s="2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</row>
    <row r="6206" spans="1:26" ht="16.5" x14ac:dyDescent="0.35">
      <c r="A6206" s="2" t="str">
        <f ca="1">IFERROR(__xludf.DUMMYFUNCTION("""COMPUTED_VALUE"""),"Dubai")</f>
        <v>Dubai</v>
      </c>
      <c r="B6206" s="2" t="str">
        <f ca="1">IFERROR(__xludf.DUMMYFUNCTION("""COMPUTED_VALUE"""),"The Pulse Residence 1")</f>
        <v>The Pulse Residence 1</v>
      </c>
      <c r="C6206" s="2" t="str">
        <f ca="1">IFERROR(__xludf.DUMMYFUNCTION("""COMPUTED_VALUE"""),"Building")</f>
        <v>Building</v>
      </c>
      <c r="D6206" s="2" t="str">
        <f ca="1">IFERROR(__xludf.DUMMYFUNCTION("""COMPUTED_VALUE"""),"Dubai&gt;Dubai South&gt;Residential District&gt;The Pulse&gt;The Pulse Residence&gt;The Pulse Residence 1")</f>
        <v>Dubai&gt;Dubai South&gt;Residential District&gt;The Pulse&gt;The Pulse Residence&gt;The Pulse Residence 1</v>
      </c>
      <c r="E6206" s="2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</row>
    <row r="6207" spans="1:26" ht="16.5" x14ac:dyDescent="0.35">
      <c r="A6207" s="2" t="str">
        <f ca="1">IFERROR(__xludf.DUMMYFUNCTION("""COMPUTED_VALUE"""),"Dubai")</f>
        <v>Dubai</v>
      </c>
      <c r="B6207" s="2" t="str">
        <f ca="1">IFERROR(__xludf.DUMMYFUNCTION("""COMPUTED_VALUE"""),"MAG 555")</f>
        <v>MAG 555</v>
      </c>
      <c r="C6207" s="2" t="str">
        <f ca="1">IFERROR(__xludf.DUMMYFUNCTION("""COMPUTED_VALUE"""),"Building")</f>
        <v>Building</v>
      </c>
      <c r="D6207" s="2" t="str">
        <f ca="1">IFERROR(__xludf.DUMMYFUNCTION("""COMPUTED_VALUE"""),"Dubai&gt;Dubai South&gt;Residential District&gt;MAG 5 Boulevard&gt;MAG 555")</f>
        <v>Dubai&gt;Dubai South&gt;Residential District&gt;MAG 5 Boulevard&gt;MAG 555</v>
      </c>
      <c r="E6207" s="2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</row>
    <row r="6208" spans="1:26" ht="16.5" x14ac:dyDescent="0.35">
      <c r="A6208" s="2" t="str">
        <f ca="1">IFERROR(__xludf.DUMMYFUNCTION("""COMPUTED_VALUE"""),"Dubai")</f>
        <v>Dubai</v>
      </c>
      <c r="B6208" s="2" t="str">
        <f ca="1">IFERROR(__xludf.DUMMYFUNCTION("""COMPUTED_VALUE"""),"Views")</f>
        <v>Views</v>
      </c>
      <c r="C6208" s="2" t="str">
        <f ca="1">IFERROR(__xludf.DUMMYFUNCTION("""COMPUTED_VALUE"""),"Cluster")</f>
        <v>Cluster</v>
      </c>
      <c r="D6208" s="2" t="str">
        <f ca="1">IFERROR(__xludf.DUMMYFUNCTION("""COMPUTED_VALUE"""),"Dubai&gt;Dubai South&gt;Residential District&gt;Views")</f>
        <v>Dubai&gt;Dubai South&gt;Residential District&gt;Views</v>
      </c>
      <c r="E6208" s="2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</row>
    <row r="6209" spans="1:26" ht="16.5" x14ac:dyDescent="0.35">
      <c r="A6209" s="2" t="str">
        <f ca="1">IFERROR(__xludf.DUMMYFUNCTION("""COMPUTED_VALUE"""),"Dubai")</f>
        <v>Dubai</v>
      </c>
      <c r="B6209" s="2" t="str">
        <f ca="1">IFERROR(__xludf.DUMMYFUNCTION("""COMPUTED_VALUE"""),"Avenew 888 Modo")</f>
        <v>Avenew 888 Modo</v>
      </c>
      <c r="C6209" s="2" t="str">
        <f ca="1">IFERROR(__xludf.DUMMYFUNCTION("""COMPUTED_VALUE"""),"Building")</f>
        <v>Building</v>
      </c>
      <c r="D6209" s="2" t="str">
        <f ca="1">IFERROR(__xludf.DUMMYFUNCTION("""COMPUTED_VALUE"""),"Dubai&gt;Dubai South&gt;Residential District&gt;Avenew 888&gt;Avenew 888 Modo")</f>
        <v>Dubai&gt;Dubai South&gt;Residential District&gt;Avenew 888&gt;Avenew 888 Modo</v>
      </c>
      <c r="E6209" s="2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</row>
    <row r="6210" spans="1:26" ht="16.5" x14ac:dyDescent="0.35">
      <c r="A6210" s="2" t="str">
        <f ca="1">IFERROR(__xludf.DUMMYFUNCTION("""COMPUTED_VALUE"""),"Dubai")</f>
        <v>Dubai</v>
      </c>
      <c r="B6210" s="2" t="str">
        <f ca="1">IFERROR(__xludf.DUMMYFUNCTION("""COMPUTED_VALUE"""),"Golf Views")</f>
        <v>Golf Views</v>
      </c>
      <c r="C6210" s="2" t="str">
        <f ca="1">IFERROR(__xludf.DUMMYFUNCTION("""COMPUTED_VALUE"""),"Cluster")</f>
        <v>Cluster</v>
      </c>
      <c r="D6210" s="2" t="str">
        <f ca="1">IFERROR(__xludf.DUMMYFUNCTION("""COMPUTED_VALUE"""),"Dubai&gt;Dubai South&gt;Emaar South&gt;Golf Views")</f>
        <v>Dubai&gt;Dubai South&gt;Emaar South&gt;Golf Views</v>
      </c>
      <c r="E6210" s="2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</row>
    <row r="6211" spans="1:26" ht="16.5" x14ac:dyDescent="0.35">
      <c r="A6211" s="2" t="str">
        <f ca="1">IFERROR(__xludf.DUMMYFUNCTION("""COMPUTED_VALUE"""),"Sharjah")</f>
        <v>Sharjah</v>
      </c>
      <c r="B6211" s="2" t="str">
        <f ca="1">IFERROR(__xludf.DUMMYFUNCTION("""COMPUTED_VALUE"""),"5208 Muweilah Building")</f>
        <v>5208 Muweilah Building</v>
      </c>
      <c r="C6211" s="2"/>
      <c r="D6211" s="2" t="str">
        <f ca="1">IFERROR(__xludf.DUMMYFUNCTION("""COMPUTED_VALUE"""),"Sharjah&gt;Muwaileh Commercial&gt;5208 Muweilah Building")</f>
        <v>Sharjah&gt;Muwaileh Commercial&gt;5208 Muweilah Building</v>
      </c>
      <c r="E6211" s="2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</row>
    <row r="6212" spans="1:26" ht="16.5" x14ac:dyDescent="0.35">
      <c r="A6212" s="2" t="str">
        <f ca="1">IFERROR(__xludf.DUMMYFUNCTION("""COMPUTED_VALUE"""),"Sharjah")</f>
        <v>Sharjah</v>
      </c>
      <c r="B6212" s="2" t="str">
        <f ca="1">IFERROR(__xludf.DUMMYFUNCTION("""COMPUTED_VALUE"""),"Olfah 10")</f>
        <v>Olfah 10</v>
      </c>
      <c r="C6212" s="2" t="str">
        <f ca="1">IFERROR(__xludf.DUMMYFUNCTION("""COMPUTED_VALUE"""),"Building")</f>
        <v>Building</v>
      </c>
      <c r="D6212" s="2" t="str">
        <f ca="1">IFERROR(__xludf.DUMMYFUNCTION("""COMPUTED_VALUE"""),"Sharjah&gt;Muwaileh Commercial&gt;Olfah&gt;Olfah 10")</f>
        <v>Sharjah&gt;Muwaileh Commercial&gt;Olfah&gt;Olfah 10</v>
      </c>
      <c r="E6212" s="2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</row>
    <row r="6213" spans="1:26" ht="16.5" x14ac:dyDescent="0.35">
      <c r="A6213" s="2" t="str">
        <f ca="1">IFERROR(__xludf.DUMMYFUNCTION("""COMPUTED_VALUE"""),"Sharjah")</f>
        <v>Sharjah</v>
      </c>
      <c r="B6213" s="2" t="str">
        <f ca="1">IFERROR(__xludf.DUMMYFUNCTION("""COMPUTED_VALUE"""),"7672 Building")</f>
        <v>7672 Building</v>
      </c>
      <c r="C6213" s="2" t="str">
        <f ca="1">IFERROR(__xludf.DUMMYFUNCTION("""COMPUTED_VALUE"""),"Building")</f>
        <v>Building</v>
      </c>
      <c r="D6213" s="2" t="str">
        <f ca="1">IFERROR(__xludf.DUMMYFUNCTION("""COMPUTED_VALUE"""),"Sharjah&gt;Muwaileh Commercial&gt;7672 Building")</f>
        <v>Sharjah&gt;Muwaileh Commercial&gt;7672 Building</v>
      </c>
      <c r="E6213" s="2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</row>
    <row r="6214" spans="1:26" ht="16.5" x14ac:dyDescent="0.35">
      <c r="A6214" s="2" t="str">
        <f ca="1">IFERROR(__xludf.DUMMYFUNCTION("""COMPUTED_VALUE"""),"Al Ain")</f>
        <v>Al Ain</v>
      </c>
      <c r="B6214" s="2" t="str">
        <f ca="1">IFERROR(__xludf.DUMMYFUNCTION("""COMPUTED_VALUE"""),"Hai Al Murabbaa")</f>
        <v>Hai Al Murabbaa</v>
      </c>
      <c r="C6214" s="2" t="str">
        <f ca="1">IFERROR(__xludf.DUMMYFUNCTION("""COMPUTED_VALUE"""),"Neighbourhood")</f>
        <v>Neighbourhood</v>
      </c>
      <c r="D6214" s="2" t="str">
        <f ca="1">IFERROR(__xludf.DUMMYFUNCTION("""COMPUTED_VALUE"""),"Al Ain&gt;Central District&gt;Hai Al Murabbaa")</f>
        <v>Al Ain&gt;Central District&gt;Hai Al Murabbaa</v>
      </c>
      <c r="E6214" s="2"/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</row>
    <row r="6215" spans="1:26" ht="16.5" x14ac:dyDescent="0.35">
      <c r="A6215" s="2" t="str">
        <f ca="1">IFERROR(__xludf.DUMMYFUNCTION("""COMPUTED_VALUE"""),"Al Ain")</f>
        <v>Al Ain</v>
      </c>
      <c r="B6215" s="2" t="str">
        <f ca="1">IFERROR(__xludf.DUMMYFUNCTION("""COMPUTED_VALUE"""),"International School of Choueifat, Al Ain")</f>
        <v>International School of Choueifat, Al Ain</v>
      </c>
      <c r="C6215" s="2" t="str">
        <f ca="1">IFERROR(__xludf.DUMMYFUNCTION("""COMPUTED_VALUE"""),"School")</f>
        <v>School</v>
      </c>
      <c r="D6215" s="2" t="str">
        <f ca="1">IFERROR(__xludf.DUMMYFUNCTION("""COMPUTED_VALUE"""),"Al Ain&gt;Al Muwaiji&gt;International School of Choueifat, Al Ain")</f>
        <v>Al Ain&gt;Al Muwaiji&gt;International School of Choueifat, Al Ain</v>
      </c>
      <c r="E6215" s="2"/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</row>
    <row r="6216" spans="1:26" ht="16.5" x14ac:dyDescent="0.35">
      <c r="A6216" s="2" t="str">
        <f ca="1">IFERROR(__xludf.DUMMYFUNCTION("""COMPUTED_VALUE"""),"Al Ain")</f>
        <v>Al Ain</v>
      </c>
      <c r="B6216" s="2" t="str">
        <f ca="1">IFERROR(__xludf.DUMMYFUNCTION("""COMPUTED_VALUE"""),"Al Nayfa 1")</f>
        <v>Al Nayfa 1</v>
      </c>
      <c r="C6216" s="2" t="str">
        <f ca="1">IFERROR(__xludf.DUMMYFUNCTION("""COMPUTED_VALUE"""),"Neighbourhood")</f>
        <v>Neighbourhood</v>
      </c>
      <c r="D6216" s="2" t="str">
        <f ca="1">IFERROR(__xludf.DUMMYFUNCTION("""COMPUTED_VALUE"""),"Al Ain&gt;Hili&gt;Al Nayfa 1")</f>
        <v>Al Ain&gt;Hili&gt;Al Nayfa 1</v>
      </c>
      <c r="E6216" s="2"/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</row>
    <row r="6217" spans="1:26" ht="16.5" x14ac:dyDescent="0.35">
      <c r="A6217" s="2" t="str">
        <f ca="1">IFERROR(__xludf.DUMMYFUNCTION("""COMPUTED_VALUE"""),"Al Ain")</f>
        <v>Al Ain</v>
      </c>
      <c r="B6217" s="2" t="str">
        <f ca="1">IFERROR(__xludf.DUMMYFUNCTION("""COMPUTED_VALUE"""),"Al Mutaw'ah")</f>
        <v>Al Mutaw'ah</v>
      </c>
      <c r="C6217" s="2" t="str">
        <f ca="1">IFERROR(__xludf.DUMMYFUNCTION("""COMPUTED_VALUE"""),"Neighbourhood")</f>
        <v>Neighbourhood</v>
      </c>
      <c r="D6217" s="2" t="str">
        <f ca="1">IFERROR(__xludf.DUMMYFUNCTION("""COMPUTED_VALUE"""),"Al Ain&gt;Al Mutaw'ah")</f>
        <v>Al Ain&gt;Al Mutaw'ah</v>
      </c>
      <c r="E6217" s="2"/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</row>
    <row r="6218" spans="1:26" ht="16.5" x14ac:dyDescent="0.35">
      <c r="A6218" s="2" t="str">
        <f ca="1">IFERROR(__xludf.DUMMYFUNCTION("""COMPUTED_VALUE"""),"Al Ain")</f>
        <v>Al Ain</v>
      </c>
      <c r="B6218" s="2" t="str">
        <f ca="1">IFERROR(__xludf.DUMMYFUNCTION("""COMPUTED_VALUE"""),"Mazyad")</f>
        <v>Mazyad</v>
      </c>
      <c r="C6218" s="2" t="str">
        <f ca="1">IFERROR(__xludf.DUMMYFUNCTION("""COMPUTED_VALUE"""),"Neighbourhood")</f>
        <v>Neighbourhood</v>
      </c>
      <c r="D6218" s="2" t="str">
        <f ca="1">IFERROR(__xludf.DUMMYFUNCTION("""COMPUTED_VALUE"""),"Al Ain&gt;Mazyad")</f>
        <v>Al Ain&gt;Mazyad</v>
      </c>
      <c r="E6218" s="2"/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</row>
    <row r="6219" spans="1:26" ht="16.5" x14ac:dyDescent="0.35">
      <c r="A6219" s="2" t="str">
        <f ca="1">IFERROR(__xludf.DUMMYFUNCTION("""COMPUTED_VALUE"""),"Al Ain")</f>
        <v>Al Ain</v>
      </c>
      <c r="B6219" s="2" t="str">
        <f ca="1">IFERROR(__xludf.DUMMYFUNCTION("""COMPUTED_VALUE"""),"Al Hanyah")</f>
        <v>Al Hanyah</v>
      </c>
      <c r="C6219" s="2" t="str">
        <f ca="1">IFERROR(__xludf.DUMMYFUNCTION("""COMPUTED_VALUE"""),"Neighbourhood")</f>
        <v>Neighbourhood</v>
      </c>
      <c r="D6219" s="2" t="str">
        <f ca="1">IFERROR(__xludf.DUMMYFUNCTION("""COMPUTED_VALUE"""),"Al Ain&gt;Al Sarouj&gt;Al Hanyah")</f>
        <v>Al Ain&gt;Al Sarouj&gt;Al Hanyah</v>
      </c>
      <c r="E6219" s="2"/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</row>
    <row r="6220" spans="1:26" ht="16.5" x14ac:dyDescent="0.35">
      <c r="A6220" s="2" t="str">
        <f ca="1">IFERROR(__xludf.DUMMYFUNCTION("""COMPUTED_VALUE"""),"Ras Al Khaimah")</f>
        <v>Ras Al Khaimah</v>
      </c>
      <c r="B6220" s="2" t="str">
        <f ca="1">IFERROR(__xludf.DUMMYFUNCTION("""COMPUTED_VALUE"""),"Porto Playa")</f>
        <v>Porto Playa</v>
      </c>
      <c r="C6220" s="2" t="str">
        <f ca="1">IFERROR(__xludf.DUMMYFUNCTION("""COMPUTED_VALUE"""),"Building")</f>
        <v>Building</v>
      </c>
      <c r="D6220" s="2" t="str">
        <f ca="1">IFERROR(__xludf.DUMMYFUNCTION("""COMPUTED_VALUE"""),"Ras Al Khaimah&gt;Mina Al Arab&gt;Hayat Island&gt;Porto Playa")</f>
        <v>Ras Al Khaimah&gt;Mina Al Arab&gt;Hayat Island&gt;Porto Playa</v>
      </c>
      <c r="E6220" s="2"/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</row>
    <row r="6221" spans="1:26" ht="16.5" x14ac:dyDescent="0.35">
      <c r="A6221" s="2" t="str">
        <f ca="1">IFERROR(__xludf.DUMMYFUNCTION("""COMPUTED_VALUE"""),"Ras Al Khaimah")</f>
        <v>Ras Al Khaimah</v>
      </c>
      <c r="B6221" s="2" t="str">
        <f ca="1">IFERROR(__xludf.DUMMYFUNCTION("""COMPUTED_VALUE"""),"Polynesia")</f>
        <v>Polynesia</v>
      </c>
      <c r="C6221" s="2" t="str">
        <f ca="1">IFERROR(__xludf.DUMMYFUNCTION("""COMPUTED_VALUE"""),"Building")</f>
        <v>Building</v>
      </c>
      <c r="D6221" s="2" t="str">
        <f ca="1">IFERROR(__xludf.DUMMYFUNCTION("""COMPUTED_VALUE"""),"Ras Al Khaimah&gt;Al Marjan Island&gt;Pacific&gt;Polynesia")</f>
        <v>Ras Al Khaimah&gt;Al Marjan Island&gt;Pacific&gt;Polynesia</v>
      </c>
      <c r="E6221" s="2"/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</row>
    <row r="6222" spans="1:26" ht="16.5" x14ac:dyDescent="0.35">
      <c r="A6222" s="2" t="str">
        <f ca="1">IFERROR(__xludf.DUMMYFUNCTION("""COMPUTED_VALUE"""),"Ras Al Khaimah")</f>
        <v>Ras Al Khaimah</v>
      </c>
      <c r="B6222" s="2" t="str">
        <f ca="1">IFERROR(__xludf.DUMMYFUNCTION("""COMPUTED_VALUE"""),"Playa Del Sol")</f>
        <v>Playa Del Sol</v>
      </c>
      <c r="C6222" s="2" t="str">
        <f ca="1">IFERROR(__xludf.DUMMYFUNCTION("""COMPUTED_VALUE"""),"Building")</f>
        <v>Building</v>
      </c>
      <c r="D6222" s="2" t="str">
        <f ca="1">IFERROR(__xludf.DUMMYFUNCTION("""COMPUTED_VALUE"""),"Ras Al Khaimah&gt;Al Marjan Island&gt;Playa Del Sol")</f>
        <v>Ras Al Khaimah&gt;Al Marjan Island&gt;Playa Del Sol</v>
      </c>
      <c r="E6222" s="2"/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</row>
    <row r="6223" spans="1:26" ht="16.5" x14ac:dyDescent="0.35">
      <c r="A6223" s="2" t="str">
        <f ca="1">IFERROR(__xludf.DUMMYFUNCTION("""COMPUTED_VALUE"""),"Ras Al Khaimah")</f>
        <v>Ras Al Khaimah</v>
      </c>
      <c r="B6223" s="2" t="str">
        <f ca="1">IFERROR(__xludf.DUMMYFUNCTION("""COMPUTED_VALUE"""),"Mondrian Al Marjan Beach Residences")</f>
        <v>Mondrian Al Marjan Beach Residences</v>
      </c>
      <c r="C6223" s="2" t="str">
        <f ca="1">IFERROR(__xludf.DUMMYFUNCTION("""COMPUTED_VALUE"""),"Building")</f>
        <v>Building</v>
      </c>
      <c r="D6223" s="2" t="str">
        <f ca="1">IFERROR(__xludf.DUMMYFUNCTION("""COMPUTED_VALUE"""),"Ras Al Khaimah&gt;Al Marjan Island&gt;Mondrian Al Marjan Beach Residences")</f>
        <v>Ras Al Khaimah&gt;Al Marjan Island&gt;Mondrian Al Marjan Beach Residences</v>
      </c>
      <c r="E6223" s="2"/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</row>
    <row r="6224" spans="1:26" ht="16.5" x14ac:dyDescent="0.35">
      <c r="A6224" s="2" t="str">
        <f ca="1">IFERROR(__xludf.DUMMYFUNCTION("""COMPUTED_VALUE"""),"Ras Al Khaimah")</f>
        <v>Ras Al Khaimah</v>
      </c>
      <c r="B6224" s="2" t="str">
        <f ca="1">IFERROR(__xludf.DUMMYFUNCTION("""COMPUTED_VALUE"""),"Bayti Homes")</f>
        <v>Bayti Homes</v>
      </c>
      <c r="C6224" s="2"/>
      <c r="D6224" s="2" t="str">
        <f ca="1">IFERROR(__xludf.DUMMYFUNCTION("""COMPUTED_VALUE"""),"Ras Al Khaimah&gt;Al Hamra Village&gt;Bayti Homes")</f>
        <v>Ras Al Khaimah&gt;Al Hamra Village&gt;Bayti Homes</v>
      </c>
      <c r="E6224" s="2"/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</row>
    <row r="6225" spans="1:26" ht="16.5" x14ac:dyDescent="0.35">
      <c r="A6225" s="2" t="str">
        <f ca="1">IFERROR(__xludf.DUMMYFUNCTION("""COMPUTED_VALUE"""),"Ras Al Khaimah")</f>
        <v>Ras Al Khaimah</v>
      </c>
      <c r="B6225" s="2" t="str">
        <f ca="1">IFERROR(__xludf.DUMMYFUNCTION("""COMPUTED_VALUE"""),"KAY Holiday Homes")</f>
        <v>KAY Holiday Homes</v>
      </c>
      <c r="C6225" s="2" t="str">
        <f ca="1">IFERROR(__xludf.DUMMYFUNCTION("""COMPUTED_VALUE"""),"Building")</f>
        <v>Building</v>
      </c>
      <c r="D6225" s="2" t="str">
        <f ca="1">IFERROR(__xludf.DUMMYFUNCTION("""COMPUTED_VALUE"""),"Ras Al Khaimah&gt;Aljazeera Al Hamra&gt;KAY Holiday Homes")</f>
        <v>Ras Al Khaimah&gt;Aljazeera Al Hamra&gt;KAY Holiday Homes</v>
      </c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</row>
    <row r="6226" spans="1:26" ht="16.5" x14ac:dyDescent="0.35">
      <c r="A6226" s="2" t="str">
        <f ca="1">IFERROR(__xludf.DUMMYFUNCTION("""COMPUTED_VALUE"""),"Ras Al Khaimah")</f>
        <v>Ras Al Khaimah</v>
      </c>
      <c r="B6226" s="2" t="str">
        <f ca="1">IFERROR(__xludf.DUMMYFUNCTION("""COMPUTED_VALUE"""),"The Queens Residential Villas")</f>
        <v>The Queens Residential Villas</v>
      </c>
      <c r="C6226" s="2" t="str">
        <f ca="1">IFERROR(__xludf.DUMMYFUNCTION("""COMPUTED_VALUE"""),"Neighbourhood")</f>
        <v>Neighbourhood</v>
      </c>
      <c r="D6226" s="2" t="str">
        <f ca="1">IFERROR(__xludf.DUMMYFUNCTION("""COMPUTED_VALUE"""),"Ras Al Khaimah&gt;Khuzam&gt;The Queens Residential Villas")</f>
        <v>Ras Al Khaimah&gt;Khuzam&gt;The Queens Residential Villas</v>
      </c>
      <c r="E6226" s="2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</row>
    <row r="6227" spans="1:26" ht="16.5" x14ac:dyDescent="0.35">
      <c r="A6227" s="2" t="str">
        <f ca="1">IFERROR(__xludf.DUMMYFUNCTION("""COMPUTED_VALUE"""),"Ras Al Khaimah")</f>
        <v>Ras Al Khaimah</v>
      </c>
      <c r="B6227" s="2" t="str">
        <f ca="1">IFERROR(__xludf.DUMMYFUNCTION("""COMPUTED_VALUE"""),"Al Nudood")</f>
        <v>Al Nudood</v>
      </c>
      <c r="C6227" s="2" t="str">
        <f ca="1">IFERROR(__xludf.DUMMYFUNCTION("""COMPUTED_VALUE"""),"Neighbourhood")</f>
        <v>Neighbourhood</v>
      </c>
      <c r="D6227" s="2" t="str">
        <f ca="1">IFERROR(__xludf.DUMMYFUNCTION("""COMPUTED_VALUE"""),"Ras Al Khaimah&gt;Al Nudood")</f>
        <v>Ras Al Khaimah&gt;Al Nudood</v>
      </c>
      <c r="E6227" s="2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</row>
    <row r="6228" spans="1:26" ht="16.5" x14ac:dyDescent="0.35">
      <c r="A6228" s="2" t="str">
        <f ca="1">IFERROR(__xludf.DUMMYFUNCTION("""COMPUTED_VALUE"""),"Ras Al Khaimah")</f>
        <v>Ras Al Khaimah</v>
      </c>
      <c r="B6228" s="2" t="str">
        <f ca="1">IFERROR(__xludf.DUMMYFUNCTION("""COMPUTED_VALUE"""),"Al Rams")</f>
        <v>Al Rams</v>
      </c>
      <c r="C6228" s="2" t="str">
        <f ca="1">IFERROR(__xludf.DUMMYFUNCTION("""COMPUTED_VALUE"""),"Neighbourhood")</f>
        <v>Neighbourhood</v>
      </c>
      <c r="D6228" s="2" t="str">
        <f ca="1">IFERROR(__xludf.DUMMYFUNCTION("""COMPUTED_VALUE"""),"Ras Al Khaimah&gt;Al Rams")</f>
        <v>Ras Al Khaimah&gt;Al Rams</v>
      </c>
      <c r="E6228" s="2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</row>
    <row r="6229" spans="1:26" ht="16.5" x14ac:dyDescent="0.35">
      <c r="A6229" s="2" t="str">
        <f ca="1">IFERROR(__xludf.DUMMYFUNCTION("""COMPUTED_VALUE"""),"Umm Al Quwain")</f>
        <v>Umm Al Quwain</v>
      </c>
      <c r="B6229" s="2" t="str">
        <f ca="1">IFERROR(__xludf.DUMMYFUNCTION("""COMPUTED_VALUE"""),"Industrial Area")</f>
        <v>Industrial Area</v>
      </c>
      <c r="C6229" s="2" t="str">
        <f ca="1">IFERROR(__xludf.DUMMYFUNCTION("""COMPUTED_VALUE"""),"Neighbourhood")</f>
        <v>Neighbourhood</v>
      </c>
      <c r="D6229" s="2" t="str">
        <f ca="1">IFERROR(__xludf.DUMMYFUNCTION("""COMPUTED_VALUE"""),"Umm Al Quwain&gt;Industrial Area")</f>
        <v>Umm Al Quwain&gt;Industrial Area</v>
      </c>
      <c r="E6229" s="2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</row>
    <row r="6230" spans="1:26" ht="16.5" x14ac:dyDescent="0.35">
      <c r="A6230" s="2" t="str">
        <f ca="1">IFERROR(__xludf.DUMMYFUNCTION("""COMPUTED_VALUE"""),"Umm Al Quwain")</f>
        <v>Umm Al Quwain</v>
      </c>
      <c r="B6230" s="2" t="str">
        <f ca="1">IFERROR(__xludf.DUMMYFUNCTION("""COMPUTED_VALUE"""),"Al Limghadar")</f>
        <v>Al Limghadar</v>
      </c>
      <c r="C6230" s="2"/>
      <c r="D6230" s="2" t="str">
        <f ca="1">IFERROR(__xludf.DUMMYFUNCTION("""COMPUTED_VALUE"""),"Umm Al Quwain&gt;Al Limghadar")</f>
        <v>Umm Al Quwain&gt;Al Limghadar</v>
      </c>
      <c r="E6230" s="2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</row>
    <row r="6231" spans="1:26" ht="16.5" x14ac:dyDescent="0.35">
      <c r="A6231" s="2" t="str">
        <f ca="1">IFERROR(__xludf.DUMMYFUNCTION("""COMPUTED_VALUE"""),"Umm Al Quwain")</f>
        <v>Umm Al Quwain</v>
      </c>
      <c r="B6231" s="2" t="str">
        <f ca="1">IFERROR(__xludf.DUMMYFUNCTION("""COMPUTED_VALUE"""),"Florine Beach Residences Tower A")</f>
        <v>Florine Beach Residences Tower A</v>
      </c>
      <c r="C6231" s="2" t="str">
        <f ca="1">IFERROR(__xludf.DUMMYFUNCTION("""COMPUTED_VALUE"""),"Building")</f>
        <v>Building</v>
      </c>
      <c r="D6231" s="2" t="str">
        <f ca="1">IFERROR(__xludf.DUMMYFUNCTION("""COMPUTED_VALUE"""),"Umm Al Quwain&gt;Al Seanneeah&gt;Sobha Siniya Island&gt;Florine Beach Residences&gt;Florine Beach Residences Tower A")</f>
        <v>Umm Al Quwain&gt;Al Seanneeah&gt;Sobha Siniya Island&gt;Florine Beach Residences&gt;Florine Beach Residences Tower A</v>
      </c>
      <c r="E6231" s="2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</row>
    <row r="6232" spans="1:26" ht="16.5" x14ac:dyDescent="0.35">
      <c r="A6232" s="2" t="str">
        <f ca="1">IFERROR(__xludf.DUMMYFUNCTION("""COMPUTED_VALUE"""),"Umm Al Quwain")</f>
        <v>Umm Al Quwain</v>
      </c>
      <c r="B6232" s="2" t="str">
        <f ca="1">IFERROR(__xludf.DUMMYFUNCTION("""COMPUTED_VALUE"""),"Canalside Marina Residences Tower A")</f>
        <v>Canalside Marina Residences Tower A</v>
      </c>
      <c r="C6232" s="2" t="str">
        <f ca="1">IFERROR(__xludf.DUMMYFUNCTION("""COMPUTED_VALUE"""),"Building")</f>
        <v>Building</v>
      </c>
      <c r="D6232" s="2" t="str">
        <f ca="1">IFERROR(__xludf.DUMMYFUNCTION("""COMPUTED_VALUE"""),"Umm Al Quwain&gt;Al Seanneeah&gt;Sobha Siniya Island&gt;Canalside Marina Residences&gt;Canalside Marina Residences Tower A")</f>
        <v>Umm Al Quwain&gt;Al Seanneeah&gt;Sobha Siniya Island&gt;Canalside Marina Residences&gt;Canalside Marina Residences Tower A</v>
      </c>
      <c r="E6232" s="2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</row>
    <row r="6233" spans="1:26" ht="16.5" x14ac:dyDescent="0.35">
      <c r="A6233" s="2" t="str">
        <f ca="1">IFERROR(__xludf.DUMMYFUNCTION("""COMPUTED_VALUE"""),"Fujairah")</f>
        <v>Fujairah</v>
      </c>
      <c r="B6233" s="2" t="str">
        <f ca="1">IFERROR(__xludf.DUMMYFUNCTION("""COMPUTED_VALUE"""),"Oceana")</f>
        <v>Oceana</v>
      </c>
      <c r="C6233" s="2" t="str">
        <f ca="1">IFERROR(__xludf.DUMMYFUNCTION("""COMPUTED_VALUE"""),"Building")</f>
        <v>Building</v>
      </c>
      <c r="D6233" s="2" t="str">
        <f ca="1">IFERROR(__xludf.DUMMYFUNCTION("""COMPUTED_VALUE"""),"Fujairah&gt;Dibba&gt;Oceana")</f>
        <v>Fujairah&gt;Dibba&gt;Oceana</v>
      </c>
      <c r="E6233" s="2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</row>
    <row r="6234" spans="1:26" ht="16.5" x14ac:dyDescent="0.35">
      <c r="A6234" s="2" t="str">
        <f ca="1">IFERROR(__xludf.DUMMYFUNCTION("""COMPUTED_VALUE"""),"Fujairah")</f>
        <v>Fujairah</v>
      </c>
      <c r="B6234" s="2" t="str">
        <f ca="1">IFERROR(__xludf.DUMMYFUNCTION("""COMPUTED_VALUE"""),"Creative Tower")</f>
        <v>Creative Tower</v>
      </c>
      <c r="C6234" s="2" t="str">
        <f ca="1">IFERROR(__xludf.DUMMYFUNCTION("""COMPUTED_VALUE"""),"Building")</f>
        <v>Building</v>
      </c>
      <c r="D6234" s="2" t="str">
        <f ca="1">IFERROR(__xludf.DUMMYFUNCTION("""COMPUTED_VALUE"""),"Fujairah&gt;Saniaya&gt;Creative Tower")</f>
        <v>Fujairah&gt;Saniaya&gt;Creative Tower</v>
      </c>
      <c r="E6234" s="2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</row>
    <row r="6235" spans="1:26" ht="16.5" x14ac:dyDescent="0.35">
      <c r="A6235" s="2" t="str">
        <f ca="1">IFERROR(__xludf.DUMMYFUNCTION("""COMPUTED_VALUE"""),"Dubai")</f>
        <v>Dubai</v>
      </c>
      <c r="B6235" s="2" t="str">
        <f ca="1">IFERROR(__xludf.DUMMYFUNCTION("""COMPUTED_VALUE"""),"Capital School Dubai")</f>
        <v>Capital School Dubai</v>
      </c>
      <c r="C6235" s="2" t="str">
        <f ca="1">IFERROR(__xludf.DUMMYFUNCTION("""COMPUTED_VALUE"""),"School")</f>
        <v>School</v>
      </c>
      <c r="D6235" s="2" t="str">
        <f ca="1">IFERROR(__xludf.DUMMYFUNCTION("""COMPUTED_VALUE"""),"Dubai&gt;Al Qusais&gt;Al Qusais Residential Area&gt;Al Qusais 1&gt;Capital School Dubai")</f>
        <v>Dubai&gt;Al Qusais&gt;Al Qusais Residential Area&gt;Al Qusais 1&gt;Capital School Dubai</v>
      </c>
      <c r="E6235" s="2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</row>
    <row r="6236" spans="1:26" ht="16.5" x14ac:dyDescent="0.35">
      <c r="A6236" s="2" t="str">
        <f ca="1">IFERROR(__xludf.DUMMYFUNCTION("""COMPUTED_VALUE"""),"Dubai")</f>
        <v>Dubai</v>
      </c>
      <c r="B6236" s="2" t="str">
        <f ca="1">IFERROR(__xludf.DUMMYFUNCTION("""COMPUTED_VALUE"""),"Rainbow Residence 4")</f>
        <v>Rainbow Residence 4</v>
      </c>
      <c r="C6236" s="2" t="str">
        <f ca="1">IFERROR(__xludf.DUMMYFUNCTION("""COMPUTED_VALUE"""),"Building")</f>
        <v>Building</v>
      </c>
      <c r="D6236" s="2" t="str">
        <f ca="1">IFERROR(__xludf.DUMMYFUNCTION("""COMPUTED_VALUE"""),"Dubai&gt;Al Qusais&gt;Al Qusais Residential Area&gt;Al Qusais 1&gt;Rainbow Residences&gt;Rainbow Residence 4")</f>
        <v>Dubai&gt;Al Qusais&gt;Al Qusais Residential Area&gt;Al Qusais 1&gt;Rainbow Residences&gt;Rainbow Residence 4</v>
      </c>
      <c r="E6236" s="2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</row>
    <row r="6237" spans="1:26" ht="16.5" x14ac:dyDescent="0.35">
      <c r="A6237" s="2" t="str">
        <f ca="1">IFERROR(__xludf.DUMMYFUNCTION("""COMPUTED_VALUE"""),"Dubai")</f>
        <v>Dubai</v>
      </c>
      <c r="B6237" s="2" t="str">
        <f ca="1">IFERROR(__xludf.DUMMYFUNCTION("""COMPUTED_VALUE"""),"Hassani 17 Building")</f>
        <v>Hassani 17 Building</v>
      </c>
      <c r="C6237" s="2" t="str">
        <f ca="1">IFERROR(__xludf.DUMMYFUNCTION("""COMPUTED_VALUE"""),"Building")</f>
        <v>Building</v>
      </c>
      <c r="D6237" s="2" t="str">
        <f ca="1">IFERROR(__xludf.DUMMYFUNCTION("""COMPUTED_VALUE"""),"Dubai&gt;Al Qusais&gt;Al Qusais Industrial Area&gt;Al Qusais Industrial 5&gt;Hassani 17 Building")</f>
        <v>Dubai&gt;Al Qusais&gt;Al Qusais Industrial Area&gt;Al Qusais Industrial 5&gt;Hassani 17 Building</v>
      </c>
      <c r="E6237" s="2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</row>
    <row r="6238" spans="1:26" ht="16.5" x14ac:dyDescent="0.35">
      <c r="A6238" s="2" t="str">
        <f ca="1">IFERROR(__xludf.DUMMYFUNCTION("""COMPUTED_VALUE"""),"Dubai")</f>
        <v>Dubai</v>
      </c>
      <c r="B6238" s="2" t="str">
        <f ca="1">IFERROR(__xludf.DUMMYFUNCTION("""COMPUTED_VALUE"""),"Nad Shamma")</f>
        <v>Nad Shamma</v>
      </c>
      <c r="C6238" s="2" t="str">
        <f ca="1">IFERROR(__xludf.DUMMYFUNCTION("""COMPUTED_VALUE"""),"Neighbourhood")</f>
        <v>Neighbourhood</v>
      </c>
      <c r="D6238" s="2" t="str">
        <f ca="1">IFERROR(__xludf.DUMMYFUNCTION("""COMPUTED_VALUE"""),"Dubai&gt;Nad Shamma")</f>
        <v>Dubai&gt;Nad Shamma</v>
      </c>
      <c r="E6238" s="2"/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</row>
    <row r="6239" spans="1:26" ht="16.5" x14ac:dyDescent="0.35">
      <c r="A6239" s="2" t="str">
        <f ca="1">IFERROR(__xludf.DUMMYFUNCTION("""COMPUTED_VALUE"""),"Dubai")</f>
        <v>Dubai</v>
      </c>
      <c r="B6239" s="2" t="str">
        <f ca="1">IFERROR(__xludf.DUMMYFUNCTION("""COMPUTED_VALUE"""),"Address Residences")</f>
        <v>Address Residences</v>
      </c>
      <c r="C6239" s="2" t="str">
        <f ca="1">IFERROR(__xludf.DUMMYFUNCTION("""COMPUTED_VALUE"""),"Neighbourhood")</f>
        <v>Neighbourhood</v>
      </c>
      <c r="D6239" s="2" t="str">
        <f ca="1">IFERROR(__xludf.DUMMYFUNCTION("""COMPUTED_VALUE"""),"Dubai&gt;Dubai Hills Estate&gt;Park Heights&gt;Address Residences")</f>
        <v>Dubai&gt;Dubai Hills Estate&gt;Park Heights&gt;Address Residences</v>
      </c>
      <c r="E6239" s="2"/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</row>
    <row r="6240" spans="1:26" ht="16.5" x14ac:dyDescent="0.35">
      <c r="A6240" s="2" t="str">
        <f ca="1">IFERROR(__xludf.DUMMYFUNCTION("""COMPUTED_VALUE"""),"Dubai")</f>
        <v>Dubai</v>
      </c>
      <c r="B6240" s="2" t="str">
        <f ca="1">IFERROR(__xludf.DUMMYFUNCTION("""COMPUTED_VALUE"""),"Maple")</f>
        <v>Maple</v>
      </c>
      <c r="C6240" s="2" t="str">
        <f ca="1">IFERROR(__xludf.DUMMYFUNCTION("""COMPUTED_VALUE"""),"Neighbourhood")</f>
        <v>Neighbourhood</v>
      </c>
      <c r="D6240" s="2" t="str">
        <f ca="1">IFERROR(__xludf.DUMMYFUNCTION("""COMPUTED_VALUE"""),"Dubai&gt;Dubai Hills Estate&gt;Maple")</f>
        <v>Dubai&gt;Dubai Hills Estate&gt;Maple</v>
      </c>
      <c r="E6240" s="2"/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</row>
    <row r="6241" spans="1:26" ht="16.5" x14ac:dyDescent="0.35">
      <c r="A6241" s="2" t="str">
        <f ca="1">IFERROR(__xludf.DUMMYFUNCTION("""COMPUTED_VALUE"""),"Dubai")</f>
        <v>Dubai</v>
      </c>
      <c r="B6241" s="2" t="str">
        <f ca="1">IFERROR(__xludf.DUMMYFUNCTION("""COMPUTED_VALUE"""),"Tower A")</f>
        <v>Tower A</v>
      </c>
      <c r="C6241" s="2" t="str">
        <f ca="1">IFERROR(__xludf.DUMMYFUNCTION("""COMPUTED_VALUE"""),"Building")</f>
        <v>Building</v>
      </c>
      <c r="D6241" s="2" t="str">
        <f ca="1">IFERROR(__xludf.DUMMYFUNCTION("""COMPUTED_VALUE"""),"Dubai&gt;Dubai Hills Estate&gt;Elvira&gt;Tower A")</f>
        <v>Dubai&gt;Dubai Hills Estate&gt;Elvira&gt;Tower A</v>
      </c>
      <c r="E6241" s="2"/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</row>
    <row r="6242" spans="1:26" ht="16.5" x14ac:dyDescent="0.35">
      <c r="A6242" s="2" t="str">
        <f ca="1">IFERROR(__xludf.DUMMYFUNCTION("""COMPUTED_VALUE"""),"Dubai")</f>
        <v>Dubai</v>
      </c>
      <c r="B6242" s="2" t="str">
        <f ca="1">IFERROR(__xludf.DUMMYFUNCTION("""COMPUTED_VALUE"""),"Park Lane Building 6")</f>
        <v>Park Lane Building 6</v>
      </c>
      <c r="C6242" s="2" t="str">
        <f ca="1">IFERROR(__xludf.DUMMYFUNCTION("""COMPUTED_VALUE"""),"Building")</f>
        <v>Building</v>
      </c>
      <c r="D6242" s="2" t="str">
        <f ca="1">IFERROR(__xludf.DUMMYFUNCTION("""COMPUTED_VALUE"""),"Dubai&gt;Dubai Hills Estate&gt;Park Lane&gt;Park Lane Building 6")</f>
        <v>Dubai&gt;Dubai Hills Estate&gt;Park Lane&gt;Park Lane Building 6</v>
      </c>
      <c r="E6242" s="2"/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</row>
    <row r="6243" spans="1:26" ht="16.5" x14ac:dyDescent="0.35">
      <c r="A6243" s="2" t="str">
        <f ca="1">IFERROR(__xludf.DUMMYFUNCTION("""COMPUTED_VALUE"""),"Dubai")</f>
        <v>Dubai</v>
      </c>
      <c r="B6243" s="2" t="str">
        <f ca="1">IFERROR(__xludf.DUMMYFUNCTION("""COMPUTED_VALUE"""),"New Gargash Building")</f>
        <v>New Gargash Building</v>
      </c>
      <c r="C6243" s="2" t="str">
        <f ca="1">IFERROR(__xludf.DUMMYFUNCTION("""COMPUTED_VALUE"""),"Building")</f>
        <v>Building</v>
      </c>
      <c r="D6243" s="2" t="str">
        <f ca="1">IFERROR(__xludf.DUMMYFUNCTION("""COMPUTED_VALUE"""),"Dubai&gt;Deira&gt;Al Muraqqabat&gt;New Gargash Building")</f>
        <v>Dubai&gt;Deira&gt;Al Muraqqabat&gt;New Gargash Building</v>
      </c>
      <c r="E6243" s="2"/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</row>
    <row r="6244" spans="1:26" ht="16.5" x14ac:dyDescent="0.35">
      <c r="A6244" s="2" t="str">
        <f ca="1">IFERROR(__xludf.DUMMYFUNCTION("""COMPUTED_VALUE"""),"Dubai")</f>
        <v>Dubai</v>
      </c>
      <c r="B6244" s="2" t="str">
        <f ca="1">IFERROR(__xludf.DUMMYFUNCTION("""COMPUTED_VALUE"""),"Al Ghurair Center")</f>
        <v>Al Ghurair Center</v>
      </c>
      <c r="C6244" s="2" t="str">
        <f ca="1">IFERROR(__xludf.DUMMYFUNCTION("""COMPUTED_VALUE"""),"Building")</f>
        <v>Building</v>
      </c>
      <c r="D6244" s="2" t="str">
        <f ca="1">IFERROR(__xludf.DUMMYFUNCTION("""COMPUTED_VALUE"""),"Dubai&gt;Deira&gt;Al Muraqqabat&gt;Al Ghurair Center")</f>
        <v>Dubai&gt;Deira&gt;Al Muraqqabat&gt;Al Ghurair Center</v>
      </c>
      <c r="E6244" s="2"/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</row>
    <row r="6245" spans="1:26" ht="16.5" x14ac:dyDescent="0.35">
      <c r="A6245" s="2" t="str">
        <f ca="1">IFERROR(__xludf.DUMMYFUNCTION("""COMPUTED_VALUE"""),"Dubai")</f>
        <v>Dubai</v>
      </c>
      <c r="B6245" s="2" t="str">
        <f ca="1">IFERROR(__xludf.DUMMYFUNCTION("""COMPUTED_VALUE"""),"Marriott Executive Apartments Dubai Creek")</f>
        <v>Marriott Executive Apartments Dubai Creek</v>
      </c>
      <c r="C6245" s="2" t="str">
        <f ca="1">IFERROR(__xludf.DUMMYFUNCTION("""COMPUTED_VALUE"""),"Building")</f>
        <v>Building</v>
      </c>
      <c r="D6245" s="2" t="str">
        <f ca="1">IFERROR(__xludf.DUMMYFUNCTION("""COMPUTED_VALUE"""),"Dubai&gt;Deira&gt;Riggat Al Buteen&gt;Marriott Executive Apartments Dubai Creek")</f>
        <v>Dubai&gt;Deira&gt;Riggat Al Buteen&gt;Marriott Executive Apartments Dubai Creek</v>
      </c>
      <c r="E6245" s="2"/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</row>
    <row r="6246" spans="1:26" ht="16.5" x14ac:dyDescent="0.35">
      <c r="A6246" s="2" t="str">
        <f ca="1">IFERROR(__xludf.DUMMYFUNCTION("""COMPUTED_VALUE"""),"Dubai")</f>
        <v>Dubai</v>
      </c>
      <c r="B6246" s="2" t="str">
        <f ca="1">IFERROR(__xludf.DUMMYFUNCTION("""COMPUTED_VALUE"""),"MS Building")</f>
        <v>MS Building</v>
      </c>
      <c r="C6246" s="2" t="str">
        <f ca="1">IFERROR(__xludf.DUMMYFUNCTION("""COMPUTED_VALUE"""),"Building")</f>
        <v>Building</v>
      </c>
      <c r="D6246" s="2" t="str">
        <f ca="1">IFERROR(__xludf.DUMMYFUNCTION("""COMPUTED_VALUE"""),"Dubai&gt;Deira&gt;Hor Al Anz&gt;MS Building")</f>
        <v>Dubai&gt;Deira&gt;Hor Al Anz&gt;MS Building</v>
      </c>
      <c r="E6246" s="2"/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</row>
    <row r="6247" spans="1:26" ht="16.5" x14ac:dyDescent="0.35">
      <c r="A6247" s="2" t="str">
        <f ca="1">IFERROR(__xludf.DUMMYFUNCTION("""COMPUTED_VALUE"""),"Dubai")</f>
        <v>Dubai</v>
      </c>
      <c r="B6247" s="2" t="str">
        <f ca="1">IFERROR(__xludf.DUMMYFUNCTION("""COMPUTED_VALUE"""),"Silver Home Building")</f>
        <v>Silver Home Building</v>
      </c>
      <c r="C6247" s="2" t="str">
        <f ca="1">IFERROR(__xludf.DUMMYFUNCTION("""COMPUTED_VALUE"""),"Building")</f>
        <v>Building</v>
      </c>
      <c r="D6247" s="2" t="str">
        <f ca="1">IFERROR(__xludf.DUMMYFUNCTION("""COMPUTED_VALUE"""),"Dubai&gt;Deira&gt;Hor Al Anz&gt;Hor Al Anz East&gt;Silver Home Building")</f>
        <v>Dubai&gt;Deira&gt;Hor Al Anz&gt;Hor Al Anz East&gt;Silver Home Building</v>
      </c>
      <c r="E6247" s="2"/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</row>
    <row r="6248" spans="1:26" ht="16.5" x14ac:dyDescent="0.35">
      <c r="A6248" s="2" t="str">
        <f ca="1">IFERROR(__xludf.DUMMYFUNCTION("""COMPUTED_VALUE"""),"Dubai")</f>
        <v>Dubai</v>
      </c>
      <c r="B6248" s="2" t="str">
        <f ca="1">IFERROR(__xludf.DUMMYFUNCTION("""COMPUTED_VALUE"""),"Manazil  Al Muteena 01")</f>
        <v>Manazil  Al Muteena 01</v>
      </c>
      <c r="C6248" s="2" t="str">
        <f ca="1">IFERROR(__xludf.DUMMYFUNCTION("""COMPUTED_VALUE"""),"Building")</f>
        <v>Building</v>
      </c>
      <c r="D6248" s="2" t="str">
        <f ca="1">IFERROR(__xludf.DUMMYFUNCTION("""COMPUTED_VALUE"""),"Dubai&gt;Deira&gt;Al Muteena&gt;Manazil  Al Muteena 01")</f>
        <v>Dubai&gt;Deira&gt;Al Muteena&gt;Manazil  Al Muteena 01</v>
      </c>
      <c r="E6248" s="2"/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</row>
    <row r="6249" spans="1:26" ht="16.5" x14ac:dyDescent="0.35">
      <c r="A6249" s="2" t="str">
        <f ca="1">IFERROR(__xludf.DUMMYFUNCTION("""COMPUTED_VALUE"""),"Dubai")</f>
        <v>Dubai</v>
      </c>
      <c r="B6249" s="2" t="str">
        <f ca="1">IFERROR(__xludf.DUMMYFUNCTION("""COMPUTED_VALUE"""),"Baniyas Tower")</f>
        <v>Baniyas Tower</v>
      </c>
      <c r="C6249" s="2" t="str">
        <f ca="1">IFERROR(__xludf.DUMMYFUNCTION("""COMPUTED_VALUE"""),"Building")</f>
        <v>Building</v>
      </c>
      <c r="D6249" s="2" t="str">
        <f ca="1">IFERROR(__xludf.DUMMYFUNCTION("""COMPUTED_VALUE"""),"Dubai&gt;Deira&gt;Al Rigga&gt;Baniyas Tower")</f>
        <v>Dubai&gt;Deira&gt;Al Rigga&gt;Baniyas Tower</v>
      </c>
      <c r="E6249" s="2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</row>
    <row r="6250" spans="1:26" ht="16.5" x14ac:dyDescent="0.35">
      <c r="A6250" s="2" t="str">
        <f ca="1">IFERROR(__xludf.DUMMYFUNCTION("""COMPUTED_VALUE"""),"Dubai")</f>
        <v>Dubai</v>
      </c>
      <c r="B6250" s="2" t="str">
        <f ca="1">IFERROR(__xludf.DUMMYFUNCTION("""COMPUTED_VALUE"""),"Wadima Plaza 1")</f>
        <v>Wadima Plaza 1</v>
      </c>
      <c r="C6250" s="2" t="str">
        <f ca="1">IFERROR(__xludf.DUMMYFUNCTION("""COMPUTED_VALUE"""),"Building")</f>
        <v>Building</v>
      </c>
      <c r="D6250" s="2" t="str">
        <f ca="1">IFERROR(__xludf.DUMMYFUNCTION("""COMPUTED_VALUE"""),"Dubai&gt;Deira&gt;Deira Enrichment Project&gt;Wadima Plaza&gt;Wadima Plaza 1")</f>
        <v>Dubai&gt;Deira&gt;Deira Enrichment Project&gt;Wadima Plaza&gt;Wadima Plaza 1</v>
      </c>
      <c r="E6250" s="2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</row>
    <row r="6251" spans="1:26" ht="16.5" x14ac:dyDescent="0.35">
      <c r="A6251" s="2" t="str">
        <f ca="1">IFERROR(__xludf.DUMMYFUNCTION("""COMPUTED_VALUE"""),"Dubai")</f>
        <v>Dubai</v>
      </c>
      <c r="B6251" s="2" t="str">
        <f ca="1">IFERROR(__xludf.DUMMYFUNCTION("""COMPUTED_VALUE"""),"Abu Hail")</f>
        <v>Abu Hail</v>
      </c>
      <c r="C6251" s="2" t="str">
        <f ca="1">IFERROR(__xludf.DUMMYFUNCTION("""COMPUTED_VALUE"""),"Neighbourhood")</f>
        <v>Neighbourhood</v>
      </c>
      <c r="D6251" s="2" t="str">
        <f ca="1">IFERROR(__xludf.DUMMYFUNCTION("""COMPUTED_VALUE"""),"Dubai&gt;Deira&gt;Abu Hail")</f>
        <v>Dubai&gt;Deira&gt;Abu Hail</v>
      </c>
      <c r="E6251" s="2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</row>
    <row r="6252" spans="1:26" ht="16.5" x14ac:dyDescent="0.35">
      <c r="A6252" s="2" t="str">
        <f ca="1">IFERROR(__xludf.DUMMYFUNCTION("""COMPUTED_VALUE"""),"Dubai")</f>
        <v>Dubai</v>
      </c>
      <c r="B6252" s="2" t="str">
        <f ca="1">IFERROR(__xludf.DUMMYFUNCTION("""COMPUTED_VALUE"""),"Mohammed Mohammed Salmin Building")</f>
        <v>Mohammed Mohammed Salmin Building</v>
      </c>
      <c r="C6252" s="2" t="str">
        <f ca="1">IFERROR(__xludf.DUMMYFUNCTION("""COMPUTED_VALUE"""),"Building")</f>
        <v>Building</v>
      </c>
      <c r="D6252" s="2" t="str">
        <f ca="1">IFERROR(__xludf.DUMMYFUNCTION("""COMPUTED_VALUE"""),"Dubai&gt;Deira&gt;Naif&gt;Mohammed Mohammed Salmin Building")</f>
        <v>Dubai&gt;Deira&gt;Naif&gt;Mohammed Mohammed Salmin Building</v>
      </c>
      <c r="E6252" s="2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</row>
    <row r="6253" spans="1:26" ht="16.5" x14ac:dyDescent="0.35">
      <c r="A6253" s="2" t="str">
        <f ca="1">IFERROR(__xludf.DUMMYFUNCTION("""COMPUTED_VALUE"""),"Dubai")</f>
        <v>Dubai</v>
      </c>
      <c r="B6253" s="2" t="str">
        <f ca="1">IFERROR(__xludf.DUMMYFUNCTION("""COMPUTED_VALUE"""),"Al Rahma Building")</f>
        <v>Al Rahma Building</v>
      </c>
      <c r="C6253" s="2" t="str">
        <f ca="1">IFERROR(__xludf.DUMMYFUNCTION("""COMPUTED_VALUE"""),"Building")</f>
        <v>Building</v>
      </c>
      <c r="D6253" s="2" t="str">
        <f ca="1">IFERROR(__xludf.DUMMYFUNCTION("""COMPUTED_VALUE"""),"Dubai&gt;Deira&gt;Al Murar&gt;Al Rahma Building")</f>
        <v>Dubai&gt;Deira&gt;Al Murar&gt;Al Rahma Building</v>
      </c>
      <c r="E6253" s="2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</row>
    <row r="6254" spans="1:26" ht="16.5" x14ac:dyDescent="0.35">
      <c r="A6254" s="2" t="str">
        <f ca="1">IFERROR(__xludf.DUMMYFUNCTION("""COMPUTED_VALUE"""),"Dubai")</f>
        <v>Dubai</v>
      </c>
      <c r="B6254" s="2" t="str">
        <f ca="1">IFERROR(__xludf.DUMMYFUNCTION("""COMPUTED_VALUE"""),"Corniche Deira")</f>
        <v>Corniche Deira</v>
      </c>
      <c r="C6254" s="2" t="str">
        <f ca="1">IFERROR(__xludf.DUMMYFUNCTION("""COMPUTED_VALUE"""),"Neighbourhood")</f>
        <v>Neighbourhood</v>
      </c>
      <c r="D6254" s="2" t="str">
        <f ca="1">IFERROR(__xludf.DUMMYFUNCTION("""COMPUTED_VALUE"""),"Dubai&gt;Deira&gt;Corniche Deira")</f>
        <v>Dubai&gt;Deira&gt;Corniche Deira</v>
      </c>
      <c r="E6254" s="2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</row>
    <row r="6255" spans="1:26" ht="16.5" x14ac:dyDescent="0.35">
      <c r="A6255" s="2" t="str">
        <f ca="1">IFERROR(__xludf.DUMMYFUNCTION("""COMPUTED_VALUE"""),"Dubai")</f>
        <v>Dubai</v>
      </c>
      <c r="B6255" s="2" t="str">
        <f ca="1">IFERROR(__xludf.DUMMYFUNCTION("""COMPUTED_VALUE"""),"Sapphire Tower")</f>
        <v>Sapphire Tower</v>
      </c>
      <c r="C6255" s="2" t="str">
        <f ca="1">IFERROR(__xludf.DUMMYFUNCTION("""COMPUTED_VALUE"""),"Building")</f>
        <v>Building</v>
      </c>
      <c r="D6255" s="2" t="str">
        <f ca="1">IFERROR(__xludf.DUMMYFUNCTION("""COMPUTED_VALUE"""),"Dubai&gt;Deira&gt;Port Saeed&gt;Sapphire Tower")</f>
        <v>Dubai&gt;Deira&gt;Port Saeed&gt;Sapphire Tower</v>
      </c>
      <c r="E6255" s="2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</row>
    <row r="6256" spans="1:26" ht="16.5" x14ac:dyDescent="0.35">
      <c r="A6256" s="2" t="str">
        <f ca="1">IFERROR(__xludf.DUMMYFUNCTION("""COMPUTED_VALUE"""),"Dubai")</f>
        <v>Dubai</v>
      </c>
      <c r="B6256" s="2" t="str">
        <f ca="1">IFERROR(__xludf.DUMMYFUNCTION("""COMPUTED_VALUE"""),"Jewel of the Creek")</f>
        <v>Jewel of the Creek</v>
      </c>
      <c r="C6256" s="2" t="str">
        <f ca="1">IFERROR(__xludf.DUMMYFUNCTION("""COMPUTED_VALUE"""),"Neighbourhood")</f>
        <v>Neighbourhood</v>
      </c>
      <c r="D6256" s="2" t="str">
        <f ca="1">IFERROR(__xludf.DUMMYFUNCTION("""COMPUTED_VALUE"""),"Dubai&gt;Deira&gt;Port Saeed&gt;Jewel of the Creek")</f>
        <v>Dubai&gt;Deira&gt;Port Saeed&gt;Jewel of the Creek</v>
      </c>
      <c r="E6256" s="2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</row>
    <row r="6257" spans="1:26" ht="16.5" x14ac:dyDescent="0.35">
      <c r="A6257" s="2" t="str">
        <f ca="1">IFERROR(__xludf.DUMMYFUNCTION("""COMPUTED_VALUE"""),"Dubai")</f>
        <v>Dubai</v>
      </c>
      <c r="B6257" s="2" t="str">
        <f ca="1">IFERROR(__xludf.DUMMYFUNCTION("""COMPUTED_VALUE"""),"DAMAC Maison Aykon City")</f>
        <v>DAMAC Maison Aykon City</v>
      </c>
      <c r="C6257" s="2" t="str">
        <f ca="1">IFERROR(__xludf.DUMMYFUNCTION("""COMPUTED_VALUE"""),"Building")</f>
        <v>Building</v>
      </c>
      <c r="D6257" s="2" t="str">
        <f ca="1">IFERROR(__xludf.DUMMYFUNCTION("""COMPUTED_VALUE"""),"Dubai&gt;Business Bay&gt;Aykon City&gt;DAMAC Maison Aykon City")</f>
        <v>Dubai&gt;Business Bay&gt;Aykon City&gt;DAMAC Maison Aykon City</v>
      </c>
      <c r="E6257" s="2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</row>
    <row r="6258" spans="1:26" ht="16.5" x14ac:dyDescent="0.35">
      <c r="A6258" s="2" t="str">
        <f ca="1">IFERROR(__xludf.DUMMYFUNCTION("""COMPUTED_VALUE"""),"Dubai")</f>
        <v>Dubai</v>
      </c>
      <c r="B6258" s="2" t="str">
        <f ca="1">IFERROR(__xludf.DUMMYFUNCTION("""COMPUTED_VALUE"""),"Executive Tower B (East Heights 4)")</f>
        <v>Executive Tower B (East Heights 4)</v>
      </c>
      <c r="C6258" s="2" t="str">
        <f ca="1">IFERROR(__xludf.DUMMYFUNCTION("""COMPUTED_VALUE"""),"Building")</f>
        <v>Building</v>
      </c>
      <c r="D6258" s="2" t="str">
        <f ca="1">IFERROR(__xludf.DUMMYFUNCTION("""COMPUTED_VALUE"""),"Dubai&gt;Business Bay&gt;Executive Towers&gt;Executive Tower B (East Heights 4)")</f>
        <v>Dubai&gt;Business Bay&gt;Executive Towers&gt;Executive Tower B (East Heights 4)</v>
      </c>
      <c r="E6258" s="2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</row>
    <row r="6259" spans="1:26" ht="16.5" x14ac:dyDescent="0.35">
      <c r="A6259" s="2" t="str">
        <f ca="1">IFERROR(__xludf.DUMMYFUNCTION("""COMPUTED_VALUE"""),"Dubai")</f>
        <v>Dubai</v>
      </c>
      <c r="B6259" s="2" t="str">
        <f ca="1">IFERROR(__xludf.DUMMYFUNCTION("""COMPUTED_VALUE"""),"O14")</f>
        <v>O14</v>
      </c>
      <c r="C6259" s="2" t="str">
        <f ca="1">IFERROR(__xludf.DUMMYFUNCTION("""COMPUTED_VALUE"""),"Building")</f>
        <v>Building</v>
      </c>
      <c r="D6259" s="2" t="str">
        <f ca="1">IFERROR(__xludf.DUMMYFUNCTION("""COMPUTED_VALUE"""),"Dubai&gt;Business Bay&gt;O14")</f>
        <v>Dubai&gt;Business Bay&gt;O14</v>
      </c>
      <c r="E6259" s="2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</row>
    <row r="6260" spans="1:26" ht="16.5" x14ac:dyDescent="0.35">
      <c r="A6260" s="2" t="str">
        <f ca="1">IFERROR(__xludf.DUMMYFUNCTION("""COMPUTED_VALUE"""),"Dubai")</f>
        <v>Dubai</v>
      </c>
      <c r="B6260" s="2" t="str">
        <f ca="1">IFERROR(__xludf.DUMMYFUNCTION("""COMPUTED_VALUE"""),"Nobles Tower")</f>
        <v>Nobles Tower</v>
      </c>
      <c r="C6260" s="2" t="str">
        <f ca="1">IFERROR(__xludf.DUMMYFUNCTION("""COMPUTED_VALUE"""),"Building")</f>
        <v>Building</v>
      </c>
      <c r="D6260" s="2" t="str">
        <f ca="1">IFERROR(__xludf.DUMMYFUNCTION("""COMPUTED_VALUE"""),"Dubai&gt;Business Bay&gt;Nobles Tower")</f>
        <v>Dubai&gt;Business Bay&gt;Nobles Tower</v>
      </c>
      <c r="E6260" s="2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</row>
    <row r="6261" spans="1:26" ht="16.5" x14ac:dyDescent="0.35">
      <c r="A6261" s="2" t="str">
        <f ca="1">IFERROR(__xludf.DUMMYFUNCTION("""COMPUTED_VALUE"""),"Dubai")</f>
        <v>Dubai</v>
      </c>
      <c r="B6261" s="2" t="str">
        <f ca="1">IFERROR(__xludf.DUMMYFUNCTION("""COMPUTED_VALUE"""),"Urban Oasis by Missoni")</f>
        <v>Urban Oasis by Missoni</v>
      </c>
      <c r="C6261" s="2" t="str">
        <f ca="1">IFERROR(__xludf.DUMMYFUNCTION("""COMPUTED_VALUE"""),"Building")</f>
        <v>Building</v>
      </c>
      <c r="D6261" s="2" t="str">
        <f ca="1">IFERROR(__xludf.DUMMYFUNCTION("""COMPUTED_VALUE"""),"Dubai&gt;Business Bay&gt;Urban Oasis by Missoni")</f>
        <v>Dubai&gt;Business Bay&gt;Urban Oasis by Missoni</v>
      </c>
      <c r="E6261" s="2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</row>
    <row r="6262" spans="1:26" ht="16.5" x14ac:dyDescent="0.35">
      <c r="A6262" s="2" t="str">
        <f ca="1">IFERROR(__xludf.DUMMYFUNCTION("""COMPUTED_VALUE"""),"Dubai")</f>
        <v>Dubai</v>
      </c>
      <c r="B6262" s="2" t="str">
        <f ca="1">IFERROR(__xludf.DUMMYFUNCTION("""COMPUTED_VALUE"""),"Tiara East Tower")</f>
        <v>Tiara East Tower</v>
      </c>
      <c r="C6262" s="2" t="str">
        <f ca="1">IFERROR(__xludf.DUMMYFUNCTION("""COMPUTED_VALUE"""),"Building")</f>
        <v>Building</v>
      </c>
      <c r="D6262" s="2" t="str">
        <f ca="1">IFERROR(__xludf.DUMMYFUNCTION("""COMPUTED_VALUE"""),"Dubai&gt;Business Bay&gt;Tiara United Towers&gt;Tiara East Tower")</f>
        <v>Dubai&gt;Business Bay&gt;Tiara United Towers&gt;Tiara East Tower</v>
      </c>
      <c r="E6262" s="2"/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</row>
    <row r="6263" spans="1:26" ht="16.5" x14ac:dyDescent="0.35">
      <c r="A6263" s="2" t="str">
        <f ca="1">IFERROR(__xludf.DUMMYFUNCTION("""COMPUTED_VALUE"""),"Dubai")</f>
        <v>Dubai</v>
      </c>
      <c r="B6263" s="2" t="str">
        <f ca="1">IFERROR(__xludf.DUMMYFUNCTION("""COMPUTED_VALUE"""),"SAAS Tower")</f>
        <v>SAAS Tower</v>
      </c>
      <c r="C6263" s="2" t="str">
        <f ca="1">IFERROR(__xludf.DUMMYFUNCTION("""COMPUTED_VALUE"""),"Building")</f>
        <v>Building</v>
      </c>
      <c r="D6263" s="2" t="str">
        <f ca="1">IFERROR(__xludf.DUMMYFUNCTION("""COMPUTED_VALUE"""),"Dubai&gt;Business Bay&gt;SAAS Tower")</f>
        <v>Dubai&gt;Business Bay&gt;SAAS Tower</v>
      </c>
      <c r="E6263" s="2"/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</row>
    <row r="6264" spans="1:26" ht="16.5" x14ac:dyDescent="0.35">
      <c r="A6264" s="2" t="str">
        <f ca="1">IFERROR(__xludf.DUMMYFUNCTION("""COMPUTED_VALUE"""),"Dubai")</f>
        <v>Dubai</v>
      </c>
      <c r="B6264" s="2" t="str">
        <f ca="1">IFERROR(__xludf.DUMMYFUNCTION("""COMPUTED_VALUE"""),"ONE OF ONE Luxury Residence Collection")</f>
        <v>ONE OF ONE Luxury Residence Collection</v>
      </c>
      <c r="C6264" s="2" t="str">
        <f ca="1">IFERROR(__xludf.DUMMYFUNCTION("""COMPUTED_VALUE"""),"Building")</f>
        <v>Building</v>
      </c>
      <c r="D6264" s="2" t="str">
        <f ca="1">IFERROR(__xludf.DUMMYFUNCTION("""COMPUTED_VALUE"""),"Dubai&gt;Business Bay&gt;ONE OF ONE Luxury Residence Collection")</f>
        <v>Dubai&gt;Business Bay&gt;ONE OF ONE Luxury Residence Collection</v>
      </c>
      <c r="E6264" s="2"/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</row>
    <row r="6265" spans="1:26" ht="16.5" x14ac:dyDescent="0.35">
      <c r="A6265" s="2" t="str">
        <f ca="1">IFERROR(__xludf.DUMMYFUNCTION("""COMPUTED_VALUE"""),"Dubai")</f>
        <v>Dubai</v>
      </c>
      <c r="B6265" s="2" t="str">
        <f ca="1">IFERROR(__xludf.DUMMYFUNCTION("""COMPUTED_VALUE"""),"Canal Bay")</f>
        <v>Canal Bay</v>
      </c>
      <c r="C6265" s="2" t="str">
        <f ca="1">IFERROR(__xludf.DUMMYFUNCTION("""COMPUTED_VALUE"""),"Building")</f>
        <v>Building</v>
      </c>
      <c r="D6265" s="2" t="str">
        <f ca="1">IFERROR(__xludf.DUMMYFUNCTION("""COMPUTED_VALUE"""),"Dubai&gt;Business Bay&gt;Canal Bay")</f>
        <v>Dubai&gt;Business Bay&gt;Canal Bay</v>
      </c>
      <c r="E6265" s="2"/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</row>
    <row r="6266" spans="1:26" ht="16.5" x14ac:dyDescent="0.35">
      <c r="A6266" s="2" t="str">
        <f ca="1">IFERROR(__xludf.DUMMYFUNCTION("""COMPUTED_VALUE"""),"Dubai")</f>
        <v>Dubai</v>
      </c>
      <c r="B6266" s="2" t="str">
        <f ca="1">IFERROR(__xludf.DUMMYFUNCTION("""COMPUTED_VALUE"""),"Majestic Tower")</f>
        <v>Majestic Tower</v>
      </c>
      <c r="C6266" s="2" t="str">
        <f ca="1">IFERROR(__xludf.DUMMYFUNCTION("""COMPUTED_VALUE"""),"Building")</f>
        <v>Building</v>
      </c>
      <c r="D6266" s="2" t="str">
        <f ca="1">IFERROR(__xludf.DUMMYFUNCTION("""COMPUTED_VALUE"""),"Dubai&gt;Business Bay&gt;Majestic Tower")</f>
        <v>Dubai&gt;Business Bay&gt;Majestic Tower</v>
      </c>
      <c r="E6266" s="2"/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</row>
    <row r="6267" spans="1:26" ht="16.5" x14ac:dyDescent="0.35">
      <c r="A6267" s="2" t="str">
        <f ca="1">IFERROR(__xludf.DUMMYFUNCTION("""COMPUTED_VALUE"""),"Dubai")</f>
        <v>Dubai</v>
      </c>
      <c r="B6267" s="2" t="str">
        <f ca="1">IFERROR(__xludf.DUMMYFUNCTION("""COMPUTED_VALUE"""),"District 8D")</f>
        <v>District 8D</v>
      </c>
      <c r="C6267" s="2" t="str">
        <f ca="1">IFERROR(__xludf.DUMMYFUNCTION("""COMPUTED_VALUE"""),"Neighbourhood")</f>
        <v>Neighbourhood</v>
      </c>
      <c r="D6267" s="2" t="str">
        <f ca="1">IFERROR(__xludf.DUMMYFUNCTION("""COMPUTED_VALUE"""),"Dubai&gt;Jumeirah Village Triangle (JVT)&gt;JVT District 8&gt;District 8D")</f>
        <v>Dubai&gt;Jumeirah Village Triangle (JVT)&gt;JVT District 8&gt;District 8D</v>
      </c>
      <c r="E6267" s="2"/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</row>
    <row r="6268" spans="1:26" ht="16.5" x14ac:dyDescent="0.35">
      <c r="A6268" s="2" t="str">
        <f ca="1">IFERROR(__xludf.DUMMYFUNCTION("""COMPUTED_VALUE"""),"Dubai")</f>
        <v>Dubai</v>
      </c>
      <c r="B6268" s="2" t="str">
        <f ca="1">IFERROR(__xludf.DUMMYFUNCTION("""COMPUTED_VALUE"""),"District 9D")</f>
        <v>District 9D</v>
      </c>
      <c r="C6268" s="2" t="str">
        <f ca="1">IFERROR(__xludf.DUMMYFUNCTION("""COMPUTED_VALUE"""),"Neighbourhood")</f>
        <v>Neighbourhood</v>
      </c>
      <c r="D6268" s="2" t="str">
        <f ca="1">IFERROR(__xludf.DUMMYFUNCTION("""COMPUTED_VALUE"""),"Dubai&gt;Jumeirah Village Triangle (JVT)&gt;JVT District 9&gt;District 9D")</f>
        <v>Dubai&gt;Jumeirah Village Triangle (JVT)&gt;JVT District 9&gt;District 9D</v>
      </c>
      <c r="E6268" s="2"/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</row>
    <row r="6269" spans="1:26" ht="16.5" x14ac:dyDescent="0.35">
      <c r="A6269" s="2" t="str">
        <f ca="1">IFERROR(__xludf.DUMMYFUNCTION("""COMPUTED_VALUE"""),"Dubai")</f>
        <v>Dubai</v>
      </c>
      <c r="B6269" s="2" t="str">
        <f ca="1">IFERROR(__xludf.DUMMYFUNCTION("""COMPUTED_VALUE"""),"District 6A")</f>
        <v>District 6A</v>
      </c>
      <c r="C6269" s="2" t="str">
        <f ca="1">IFERROR(__xludf.DUMMYFUNCTION("""COMPUTED_VALUE"""),"Neighbourhood")</f>
        <v>Neighbourhood</v>
      </c>
      <c r="D6269" s="2" t="str">
        <f ca="1">IFERROR(__xludf.DUMMYFUNCTION("""COMPUTED_VALUE"""),"Dubai&gt;Jumeirah Village Triangle (JVT)&gt;JVT District 6&gt;District 6A")</f>
        <v>Dubai&gt;Jumeirah Village Triangle (JVT)&gt;JVT District 6&gt;District 6A</v>
      </c>
      <c r="E6269" s="2"/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</row>
    <row r="6270" spans="1:26" ht="16.5" x14ac:dyDescent="0.35">
      <c r="A6270" s="2" t="str">
        <f ca="1">IFERROR(__xludf.DUMMYFUNCTION("""COMPUTED_VALUE"""),"Dubai")</f>
        <v>Dubai</v>
      </c>
      <c r="B6270" s="2" t="str">
        <f ca="1">IFERROR(__xludf.DUMMYFUNCTION("""COMPUTED_VALUE"""),"Guzel Towers")</f>
        <v>Guzel Towers</v>
      </c>
      <c r="C6270" s="2" t="str">
        <f ca="1">IFERROR(__xludf.DUMMYFUNCTION("""COMPUTED_VALUE"""),"Cluster")</f>
        <v>Cluster</v>
      </c>
      <c r="D6270" s="2" t="str">
        <f ca="1">IFERROR(__xludf.DUMMYFUNCTION("""COMPUTED_VALUE"""),"Dubai&gt;Jumeirah Village Triangle (JVT)&gt;JVT District 1&gt;Guzel Towers")</f>
        <v>Dubai&gt;Jumeirah Village Triangle (JVT)&gt;JVT District 1&gt;Guzel Towers</v>
      </c>
      <c r="E6270" s="2"/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</row>
    <row r="6271" spans="1:26" ht="16.5" x14ac:dyDescent="0.35">
      <c r="A6271" s="2" t="str">
        <f ca="1">IFERROR(__xludf.DUMMYFUNCTION("""COMPUTED_VALUE"""),"Dubai")</f>
        <v>Dubai</v>
      </c>
      <c r="B6271" s="2" t="str">
        <f ca="1">IFERROR(__xludf.DUMMYFUNCTION("""COMPUTED_VALUE"""),"Marwa Views")</f>
        <v>Marwa Views</v>
      </c>
      <c r="C6271" s="2" t="str">
        <f ca="1">IFERROR(__xludf.DUMMYFUNCTION("""COMPUTED_VALUE"""),"Building")</f>
        <v>Building</v>
      </c>
      <c r="D6271" s="2" t="str">
        <f ca="1">IFERROR(__xludf.DUMMYFUNCTION("""COMPUTED_VALUE"""),"Dubai&gt;Jumeirah Village Triangle (JVT)&gt;JVT District 4&gt;Marwa Views")</f>
        <v>Dubai&gt;Jumeirah Village Triangle (JVT)&gt;JVT District 4&gt;Marwa Views</v>
      </c>
      <c r="E6271" s="2"/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</row>
    <row r="6272" spans="1:26" ht="16.5" x14ac:dyDescent="0.35">
      <c r="A6272" s="2" t="str">
        <f ca="1">IFERROR(__xludf.DUMMYFUNCTION("""COMPUTED_VALUE"""),"Dubai")</f>
        <v>Dubai</v>
      </c>
      <c r="B6272" s="2" t="str">
        <f ca="1">IFERROR(__xludf.DUMMYFUNCTION("""COMPUTED_VALUE"""),"Al Ramth")</f>
        <v>Al Ramth</v>
      </c>
      <c r="C6272" s="2" t="str">
        <f ca="1">IFERROR(__xludf.DUMMYFUNCTION("""COMPUTED_VALUE"""),"Neighbourhood")</f>
        <v>Neighbourhood</v>
      </c>
      <c r="D6272" s="2" t="str">
        <f ca="1">IFERROR(__xludf.DUMMYFUNCTION("""COMPUTED_VALUE"""),"Dubai&gt;Remraam&gt;Al Ramth")</f>
        <v>Dubai&gt;Remraam&gt;Al Ramth</v>
      </c>
      <c r="E6272" s="2"/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</row>
    <row r="6273" spans="1:26" ht="16.5" x14ac:dyDescent="0.35">
      <c r="A6273" s="2" t="str">
        <f ca="1">IFERROR(__xludf.DUMMYFUNCTION("""COMPUTED_VALUE"""),"Dubai")</f>
        <v>Dubai</v>
      </c>
      <c r="B6273" s="2" t="str">
        <f ca="1">IFERROR(__xludf.DUMMYFUNCTION("""COMPUTED_VALUE"""),"Al Ramth 49")</f>
        <v>Al Ramth 49</v>
      </c>
      <c r="C6273" s="2" t="str">
        <f ca="1">IFERROR(__xludf.DUMMYFUNCTION("""COMPUTED_VALUE"""),"Building")</f>
        <v>Building</v>
      </c>
      <c r="D6273" s="2" t="str">
        <f ca="1">IFERROR(__xludf.DUMMYFUNCTION("""COMPUTED_VALUE"""),"Dubai&gt;Remraam&gt;Al Ramth&gt;Al Ramth 49")</f>
        <v>Dubai&gt;Remraam&gt;Al Ramth&gt;Al Ramth 49</v>
      </c>
      <c r="E6273" s="2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</row>
    <row r="6274" spans="1:26" ht="16.5" x14ac:dyDescent="0.35">
      <c r="A6274" s="2" t="str">
        <f ca="1">IFERROR(__xludf.DUMMYFUNCTION("""COMPUTED_VALUE"""),"Dubai")</f>
        <v>Dubai</v>
      </c>
      <c r="B6274" s="2" t="str">
        <f ca="1">IFERROR(__xludf.DUMMYFUNCTION("""COMPUTED_VALUE"""),"Al Thamam 26")</f>
        <v>Al Thamam 26</v>
      </c>
      <c r="C6274" s="2" t="str">
        <f ca="1">IFERROR(__xludf.DUMMYFUNCTION("""COMPUTED_VALUE"""),"Building")</f>
        <v>Building</v>
      </c>
      <c r="D6274" s="2" t="str">
        <f ca="1">IFERROR(__xludf.DUMMYFUNCTION("""COMPUTED_VALUE"""),"Dubai&gt;Remraam&gt;Al Thamam&gt;Al Thamam 26")</f>
        <v>Dubai&gt;Remraam&gt;Al Thamam&gt;Al Thamam 26</v>
      </c>
      <c r="E6274" s="2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</row>
    <row r="6275" spans="1:26" ht="16.5" x14ac:dyDescent="0.35">
      <c r="A6275" s="2" t="str">
        <f ca="1">IFERROR(__xludf.DUMMYFUNCTION("""COMPUTED_VALUE"""),"Dubai")</f>
        <v>Dubai</v>
      </c>
      <c r="B6275" s="2" t="str">
        <f ca="1">IFERROR(__xludf.DUMMYFUNCTION("""COMPUTED_VALUE"""),"AMSA 2")</f>
        <v>AMSA 2</v>
      </c>
      <c r="C6275" s="2" t="str">
        <f ca="1">IFERROR(__xludf.DUMMYFUNCTION("""COMPUTED_VALUE"""),"Building")</f>
        <v>Building</v>
      </c>
      <c r="D6275" s="2" t="str">
        <f ca="1">IFERROR(__xludf.DUMMYFUNCTION("""COMPUTED_VALUE"""),"Dubai&gt;Jumeirah Village Circle (JVC)&gt;JVC District 17&gt;AMSA 2")</f>
        <v>Dubai&gt;Jumeirah Village Circle (JVC)&gt;JVC District 17&gt;AMSA 2</v>
      </c>
      <c r="E6275" s="2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</row>
    <row r="6276" spans="1:26" ht="16.5" x14ac:dyDescent="0.35">
      <c r="A6276" s="2" t="str">
        <f ca="1">IFERROR(__xludf.DUMMYFUNCTION("""COMPUTED_VALUE"""),"Dubai")</f>
        <v>Dubai</v>
      </c>
      <c r="B6276" s="2" t="str">
        <f ca="1">IFERROR(__xludf.DUMMYFUNCTION("""COMPUTED_VALUE"""),"GMM Tower 1")</f>
        <v>GMM Tower 1</v>
      </c>
      <c r="C6276" s="2" t="str">
        <f ca="1">IFERROR(__xludf.DUMMYFUNCTION("""COMPUTED_VALUE"""),"Building")</f>
        <v>Building</v>
      </c>
      <c r="D6276" s="2" t="str">
        <f ca="1">IFERROR(__xludf.DUMMYFUNCTION("""COMPUTED_VALUE"""),"Dubai&gt;Jumeirah Village Circle (JVC)&gt;JVC District 12&gt;GMM Tower 1")</f>
        <v>Dubai&gt;Jumeirah Village Circle (JVC)&gt;JVC District 12&gt;GMM Tower 1</v>
      </c>
      <c r="E6276" s="2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</row>
    <row r="6277" spans="1:26" ht="16.5" x14ac:dyDescent="0.35">
      <c r="A6277" s="2" t="str">
        <f ca="1">IFERROR(__xludf.DUMMYFUNCTION("""COMPUTED_VALUE"""),"Dubai")</f>
        <v>Dubai</v>
      </c>
      <c r="B6277" s="2" t="str">
        <f ca="1">IFERROR(__xludf.DUMMYFUNCTION("""COMPUTED_VALUE"""),"Rose 1")</f>
        <v>Rose 1</v>
      </c>
      <c r="C6277" s="2" t="str">
        <f ca="1">IFERROR(__xludf.DUMMYFUNCTION("""COMPUTED_VALUE"""),"Building")</f>
        <v>Building</v>
      </c>
      <c r="D6277" s="2" t="str">
        <f ca="1">IFERROR(__xludf.DUMMYFUNCTION("""COMPUTED_VALUE"""),"Dubai&gt;Jumeirah Village Circle (JVC)&gt;JVC District 12&gt;Emirates Gardens&gt;Rose 1")</f>
        <v>Dubai&gt;Jumeirah Village Circle (JVC)&gt;JVC District 12&gt;Emirates Gardens&gt;Rose 1</v>
      </c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</row>
    <row r="6278" spans="1:26" ht="16.5" x14ac:dyDescent="0.35">
      <c r="A6278" s="2" t="str">
        <f ca="1">IFERROR(__xludf.DUMMYFUNCTION("""COMPUTED_VALUE"""),"Dubai")</f>
        <v>Dubai</v>
      </c>
      <c r="B6278" s="2" t="str">
        <f ca="1">IFERROR(__xludf.DUMMYFUNCTION("""COMPUTED_VALUE"""),"Maison Elysee 1")</f>
        <v>Maison Elysee 1</v>
      </c>
      <c r="C6278" s="2" t="str">
        <f ca="1">IFERROR(__xludf.DUMMYFUNCTION("""COMPUTED_VALUE"""),"Building")</f>
        <v>Building</v>
      </c>
      <c r="D6278" s="2" t="str">
        <f ca="1">IFERROR(__xludf.DUMMYFUNCTION("""COMPUTED_VALUE"""),"Dubai&gt;Jumeirah Village Circle (JVC)&gt;JVC District 12&gt;Maison Elysee&gt;Maison Elysee 1")</f>
        <v>Dubai&gt;Jumeirah Village Circle (JVC)&gt;JVC District 12&gt;Maison Elysee&gt;Maison Elysee 1</v>
      </c>
      <c r="E6278" s="2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</row>
    <row r="6279" spans="1:26" ht="16.5" x14ac:dyDescent="0.35">
      <c r="A6279" s="2" t="str">
        <f ca="1">IFERROR(__xludf.DUMMYFUNCTION("""COMPUTED_VALUE"""),"Dubai")</f>
        <v>Dubai</v>
      </c>
      <c r="B6279" s="2" t="str">
        <f ca="1">IFERROR(__xludf.DUMMYFUNCTION("""COMPUTED_VALUE"""),"Al Hassani Building")</f>
        <v>Al Hassani Building</v>
      </c>
      <c r="C6279" s="2" t="str">
        <f ca="1">IFERROR(__xludf.DUMMYFUNCTION("""COMPUTED_VALUE"""),"Building")</f>
        <v>Building</v>
      </c>
      <c r="D6279" s="2" t="str">
        <f ca="1">IFERROR(__xludf.DUMMYFUNCTION("""COMPUTED_VALUE"""),"Dubai&gt;Jumeirah Village Circle (JVC)&gt;JVC District 13&gt;Al Hassani Building")</f>
        <v>Dubai&gt;Jumeirah Village Circle (JVC)&gt;JVC District 13&gt;Al Hassani Building</v>
      </c>
      <c r="E6279" s="2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</row>
    <row r="6280" spans="1:26" ht="16.5" x14ac:dyDescent="0.35">
      <c r="A6280" s="2" t="str">
        <f ca="1">IFERROR(__xludf.DUMMYFUNCTION("""COMPUTED_VALUE"""),"Dubai")</f>
        <v>Dubai</v>
      </c>
      <c r="B6280" s="2" t="str">
        <f ca="1">IFERROR(__xludf.DUMMYFUNCTION("""COMPUTED_VALUE"""),"Indigo Ville 2")</f>
        <v>Indigo Ville 2</v>
      </c>
      <c r="C6280" s="2" t="str">
        <f ca="1">IFERROR(__xludf.DUMMYFUNCTION("""COMPUTED_VALUE"""),"Neighbourhood")</f>
        <v>Neighbourhood</v>
      </c>
      <c r="D6280" s="2" t="str">
        <f ca="1">IFERROR(__xludf.DUMMYFUNCTION("""COMPUTED_VALUE"""),"Dubai&gt;Jumeirah Village Circle (JVC)&gt;JVC District 13&gt;Indigo Ville 2")</f>
        <v>Dubai&gt;Jumeirah Village Circle (JVC)&gt;JVC District 13&gt;Indigo Ville 2</v>
      </c>
      <c r="E6280" s="2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</row>
    <row r="6281" spans="1:26" ht="16.5" x14ac:dyDescent="0.35">
      <c r="A6281" s="2" t="str">
        <f ca="1">IFERROR(__xludf.DUMMYFUNCTION("""COMPUTED_VALUE"""),"Dubai")</f>
        <v>Dubai</v>
      </c>
      <c r="B6281" s="2" t="str">
        <f ca="1">IFERROR(__xludf.DUMMYFUNCTION("""COMPUTED_VALUE"""),"AAA Residence")</f>
        <v>AAA Residence</v>
      </c>
      <c r="C6281" s="2" t="str">
        <f ca="1">IFERROR(__xludf.DUMMYFUNCTION("""COMPUTED_VALUE"""),"Building")</f>
        <v>Building</v>
      </c>
      <c r="D6281" s="2" t="str">
        <f ca="1">IFERROR(__xludf.DUMMYFUNCTION("""COMPUTED_VALUE"""),"Dubai&gt;Jumeirah Village Circle (JVC)&gt;JVC District 13&gt;AAA Residence")</f>
        <v>Dubai&gt;Jumeirah Village Circle (JVC)&gt;JVC District 13&gt;AAA Residence</v>
      </c>
      <c r="E6281" s="2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</row>
    <row r="6282" spans="1:26" ht="16.5" x14ac:dyDescent="0.35">
      <c r="A6282" s="2" t="str">
        <f ca="1">IFERROR(__xludf.DUMMYFUNCTION("""COMPUTED_VALUE"""),"Dubai")</f>
        <v>Dubai</v>
      </c>
      <c r="B6282" s="2" t="str">
        <f ca="1">IFERROR(__xludf.DUMMYFUNCTION("""COMPUTED_VALUE"""),"Elegance by Chaimaa Holding")</f>
        <v>Elegance by Chaimaa Holding</v>
      </c>
      <c r="C6282" s="2" t="str">
        <f ca="1">IFERROR(__xludf.DUMMYFUNCTION("""COMPUTED_VALUE"""),"Building")</f>
        <v>Building</v>
      </c>
      <c r="D6282" s="2" t="str">
        <f ca="1">IFERROR(__xludf.DUMMYFUNCTION("""COMPUTED_VALUE"""),"Dubai&gt;Jumeirah Village Circle (JVC)&gt;JVC District 18&gt;Elegance by Chaimaa Holding")</f>
        <v>Dubai&gt;Jumeirah Village Circle (JVC)&gt;JVC District 18&gt;Elegance by Chaimaa Holding</v>
      </c>
      <c r="E6282" s="2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</row>
    <row r="6283" spans="1:26" ht="16.5" x14ac:dyDescent="0.35">
      <c r="A6283" s="2" t="str">
        <f ca="1">IFERROR(__xludf.DUMMYFUNCTION("""COMPUTED_VALUE"""),"Dubai")</f>
        <v>Dubai</v>
      </c>
      <c r="B6283" s="2" t="str">
        <f ca="1">IFERROR(__xludf.DUMMYFUNCTION("""COMPUTED_VALUE"""),"Crystal Palace")</f>
        <v>Crystal Palace</v>
      </c>
      <c r="C6283" s="2" t="str">
        <f ca="1">IFERROR(__xludf.DUMMYFUNCTION("""COMPUTED_VALUE"""),"Building")</f>
        <v>Building</v>
      </c>
      <c r="D6283" s="2" t="str">
        <f ca="1">IFERROR(__xludf.DUMMYFUNCTION("""COMPUTED_VALUE"""),"Dubai&gt;Jumeirah Village Circle (JVC)&gt;JVC District 10&gt;Crystal Palace")</f>
        <v>Dubai&gt;Jumeirah Village Circle (JVC)&gt;JVC District 10&gt;Crystal Palace</v>
      </c>
      <c r="E6283" s="2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</row>
    <row r="6284" spans="1:26" ht="16.5" x14ac:dyDescent="0.35">
      <c r="A6284" s="2" t="str">
        <f ca="1">IFERROR(__xludf.DUMMYFUNCTION("""COMPUTED_VALUE"""),"Dubai")</f>
        <v>Dubai</v>
      </c>
      <c r="B6284" s="2" t="str">
        <f ca="1">IFERROR(__xludf.DUMMYFUNCTION("""COMPUTED_VALUE"""),"Florence")</f>
        <v>Florence</v>
      </c>
      <c r="C6284" s="2" t="str">
        <f ca="1">IFERROR(__xludf.DUMMYFUNCTION("""COMPUTED_VALUE"""),"Cluster")</f>
        <v>Cluster</v>
      </c>
      <c r="D6284" s="2" t="str">
        <f ca="1">IFERROR(__xludf.DUMMYFUNCTION("""COMPUTED_VALUE"""),"Dubai&gt;Jumeirah Village Circle (JVC)&gt;JVC District 10&gt;Tuscan Residence&gt;Florence")</f>
        <v>Dubai&gt;Jumeirah Village Circle (JVC)&gt;JVC District 10&gt;Tuscan Residence&gt;Florence</v>
      </c>
      <c r="E6284" s="2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</row>
    <row r="6285" spans="1:26" ht="16.5" x14ac:dyDescent="0.35">
      <c r="A6285" s="2" t="str">
        <f ca="1">IFERROR(__xludf.DUMMYFUNCTION("""COMPUTED_VALUE"""),"Dubai")</f>
        <v>Dubai</v>
      </c>
      <c r="B6285" s="2" t="str">
        <f ca="1">IFERROR(__xludf.DUMMYFUNCTION("""COMPUTED_VALUE"""),"Elitz 2 by Danube Tower 1")</f>
        <v>Elitz 2 by Danube Tower 1</v>
      </c>
      <c r="C6285" s="2" t="str">
        <f ca="1">IFERROR(__xludf.DUMMYFUNCTION("""COMPUTED_VALUE"""),"Building")</f>
        <v>Building</v>
      </c>
      <c r="D6285" s="2" t="str">
        <f ca="1">IFERROR(__xludf.DUMMYFUNCTION("""COMPUTED_VALUE"""),"Dubai&gt;Jumeirah Village Circle (JVC)&gt;JVC District 10&gt;Elitz 2 by Danube&gt;Elitz 2 by Danube Tower 1")</f>
        <v>Dubai&gt;Jumeirah Village Circle (JVC)&gt;JVC District 10&gt;Elitz 2 by Danube&gt;Elitz 2 by Danube Tower 1</v>
      </c>
      <c r="E6285" s="2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</row>
    <row r="6286" spans="1:26" ht="16.5" x14ac:dyDescent="0.35">
      <c r="A6286" s="2" t="str">
        <f ca="1">IFERROR(__xludf.DUMMYFUNCTION("""COMPUTED_VALUE"""),"Dubai")</f>
        <v>Dubai</v>
      </c>
      <c r="B6286" s="2" t="str">
        <f ca="1">IFERROR(__xludf.DUMMYFUNCTION("""COMPUTED_VALUE"""),"Avana Residences")</f>
        <v>Avana Residences</v>
      </c>
      <c r="C6286" s="2" t="str">
        <f ca="1">IFERROR(__xludf.DUMMYFUNCTION("""COMPUTED_VALUE"""),"Building")</f>
        <v>Building</v>
      </c>
      <c r="D6286" s="2" t="str">
        <f ca="1">IFERROR(__xludf.DUMMYFUNCTION("""COMPUTED_VALUE"""),"Dubai&gt;Jumeirah Village Circle (JVC)&gt;JVC District 10&gt;Avana Residences")</f>
        <v>Dubai&gt;Jumeirah Village Circle (JVC)&gt;JVC District 10&gt;Avana Residences</v>
      </c>
      <c r="E6286" s="2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</row>
    <row r="6287" spans="1:26" ht="16.5" x14ac:dyDescent="0.35">
      <c r="A6287" s="2" t="str">
        <f ca="1">IFERROR(__xludf.DUMMYFUNCTION("""COMPUTED_VALUE"""),"Dubai")</f>
        <v>Dubai</v>
      </c>
      <c r="B6287" s="2" t="str">
        <f ca="1">IFERROR(__xludf.DUMMYFUNCTION("""COMPUTED_VALUE"""),"The F1fth")</f>
        <v>The F1fth</v>
      </c>
      <c r="C6287" s="2" t="str">
        <f ca="1">IFERROR(__xludf.DUMMYFUNCTION("""COMPUTED_VALUE"""),"Building")</f>
        <v>Building</v>
      </c>
      <c r="D6287" s="2" t="str">
        <f ca="1">IFERROR(__xludf.DUMMYFUNCTION("""COMPUTED_VALUE"""),"Dubai&gt;Jumeirah Village Circle (JVC)&gt;JVC District 16&gt;The F1fth")</f>
        <v>Dubai&gt;Jumeirah Village Circle (JVC)&gt;JVC District 16&gt;The F1fth</v>
      </c>
      <c r="E6287" s="2"/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</row>
    <row r="6288" spans="1:26" ht="16.5" x14ac:dyDescent="0.35">
      <c r="A6288" s="2" t="str">
        <f ca="1">IFERROR(__xludf.DUMMYFUNCTION("""COMPUTED_VALUE"""),"Dubai")</f>
        <v>Dubai</v>
      </c>
      <c r="B6288" s="2" t="str">
        <f ca="1">IFERROR(__xludf.DUMMYFUNCTION("""COMPUTED_VALUE"""),"Binghatti Gate")</f>
        <v>Binghatti Gate</v>
      </c>
      <c r="C6288" s="2" t="str">
        <f ca="1">IFERROR(__xludf.DUMMYFUNCTION("""COMPUTED_VALUE"""),"Building")</f>
        <v>Building</v>
      </c>
      <c r="D6288" s="2" t="str">
        <f ca="1">IFERROR(__xludf.DUMMYFUNCTION("""COMPUTED_VALUE"""),"Dubai&gt;Jumeirah Village Circle (JVC)&gt;JVC District 15&gt;Binghatti Gate")</f>
        <v>Dubai&gt;Jumeirah Village Circle (JVC)&gt;JVC District 15&gt;Binghatti Gate</v>
      </c>
      <c r="E6288" s="2"/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</row>
    <row r="6289" spans="1:26" ht="16.5" x14ac:dyDescent="0.35">
      <c r="A6289" s="2" t="str">
        <f ca="1">IFERROR(__xludf.DUMMYFUNCTION("""COMPUTED_VALUE"""),"Dubai")</f>
        <v>Dubai</v>
      </c>
      <c r="B6289" s="2" t="str">
        <f ca="1">IFERROR(__xludf.DUMMYFUNCTION("""COMPUTED_VALUE"""),"Stonehenge Residences 2")</f>
        <v>Stonehenge Residences 2</v>
      </c>
      <c r="C6289" s="2" t="str">
        <f ca="1">IFERROR(__xludf.DUMMYFUNCTION("""COMPUTED_VALUE"""),"Building")</f>
        <v>Building</v>
      </c>
      <c r="D6289" s="2" t="str">
        <f ca="1">IFERROR(__xludf.DUMMYFUNCTION("""COMPUTED_VALUE"""),"Dubai&gt;Jumeirah Village Circle (JVC)&gt;JVC District 15&gt;Stonehenge Residences 2")</f>
        <v>Dubai&gt;Jumeirah Village Circle (JVC)&gt;JVC District 15&gt;Stonehenge Residences 2</v>
      </c>
      <c r="E6289" s="2"/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</row>
    <row r="6290" spans="1:26" ht="16.5" x14ac:dyDescent="0.35">
      <c r="A6290" s="2" t="str">
        <f ca="1">IFERROR(__xludf.DUMMYFUNCTION("""COMPUTED_VALUE"""),"Dubai")</f>
        <v>Dubai</v>
      </c>
      <c r="B6290" s="2" t="str">
        <f ca="1">IFERROR(__xludf.DUMMYFUNCTION("""COMPUTED_VALUE"""),"Murdih Tower")</f>
        <v>Murdih Tower</v>
      </c>
      <c r="C6290" s="2" t="str">
        <f ca="1">IFERROR(__xludf.DUMMYFUNCTION("""COMPUTED_VALUE"""),"Building")</f>
        <v>Building</v>
      </c>
      <c r="D6290" s="2" t="str">
        <f ca="1">IFERROR(__xludf.DUMMYFUNCTION("""COMPUTED_VALUE"""),"Dubai&gt;Jumeirah Village Circle (JVC)&gt;JVC District 11&gt;Murdih Tower")</f>
        <v>Dubai&gt;Jumeirah Village Circle (JVC)&gt;JVC District 11&gt;Murdih Tower</v>
      </c>
      <c r="E6290" s="2"/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</row>
    <row r="6291" spans="1:26" ht="16.5" x14ac:dyDescent="0.35">
      <c r="A6291" s="2" t="str">
        <f ca="1">IFERROR(__xludf.DUMMYFUNCTION("""COMPUTED_VALUE"""),"Dubai")</f>
        <v>Dubai</v>
      </c>
      <c r="B6291" s="2" t="str">
        <f ca="1">IFERROR(__xludf.DUMMYFUNCTION("""COMPUTED_VALUE"""),"Royal Park South Villas")</f>
        <v>Royal Park South Villas</v>
      </c>
      <c r="C6291" s="2" t="str">
        <f ca="1">IFERROR(__xludf.DUMMYFUNCTION("""COMPUTED_VALUE"""),"Neighbourhood")</f>
        <v>Neighbourhood</v>
      </c>
      <c r="D6291" s="2" t="str">
        <f ca="1">IFERROR(__xludf.DUMMYFUNCTION("""COMPUTED_VALUE"""),"Dubai&gt;Jumeirah Village Circle (JVC)&gt;JVC District 11&gt;Royal Park South Villas")</f>
        <v>Dubai&gt;Jumeirah Village Circle (JVC)&gt;JVC District 11&gt;Royal Park South Villas</v>
      </c>
      <c r="E6291" s="2"/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</row>
    <row r="6292" spans="1:26" ht="16.5" x14ac:dyDescent="0.35">
      <c r="A6292" s="2" t="str">
        <f ca="1">IFERROR(__xludf.DUMMYFUNCTION("""COMPUTED_VALUE"""),"Dubai")</f>
        <v>Dubai</v>
      </c>
      <c r="B6292" s="2" t="str">
        <f ca="1">IFERROR(__xludf.DUMMYFUNCTION("""COMPUTED_VALUE"""),"Sky Livings by Peace Homes")</f>
        <v>Sky Livings by Peace Homes</v>
      </c>
      <c r="C6292" s="2" t="str">
        <f ca="1">IFERROR(__xludf.DUMMYFUNCTION("""COMPUTED_VALUE"""),"Building")</f>
        <v>Building</v>
      </c>
      <c r="D6292" s="2" t="str">
        <f ca="1">IFERROR(__xludf.DUMMYFUNCTION("""COMPUTED_VALUE"""),"Dubai&gt;Jumeirah Village Circle (JVC)&gt;JVC District 11&gt;Sky Livings by Peace Homes")</f>
        <v>Dubai&gt;Jumeirah Village Circle (JVC)&gt;JVC District 11&gt;Sky Livings by Peace Homes</v>
      </c>
      <c r="E6292" s="2"/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</row>
    <row r="6293" spans="1:26" ht="16.5" x14ac:dyDescent="0.35">
      <c r="A6293" s="2" t="str">
        <f ca="1">IFERROR(__xludf.DUMMYFUNCTION("""COMPUTED_VALUE"""),"Dubai")</f>
        <v>Dubai</v>
      </c>
      <c r="B6293" s="2" t="str">
        <f ca="1">IFERROR(__xludf.DUMMYFUNCTION("""COMPUTED_VALUE"""),"Diamond Views 2 Villas")</f>
        <v>Diamond Views 2 Villas</v>
      </c>
      <c r="C6293" s="2" t="str">
        <f ca="1">IFERROR(__xludf.DUMMYFUNCTION("""COMPUTED_VALUE"""),"Neighbourhood")</f>
        <v>Neighbourhood</v>
      </c>
      <c r="D6293" s="2" t="str">
        <f ca="1">IFERROR(__xludf.DUMMYFUNCTION("""COMPUTED_VALUE"""),"Dubai&gt;Jumeirah Village Circle (JVC)&gt;JVC District 11&gt;Diamond Views 2 Villas")</f>
        <v>Dubai&gt;Jumeirah Village Circle (JVC)&gt;JVC District 11&gt;Diamond Views 2 Villas</v>
      </c>
      <c r="E6293" s="2"/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</row>
    <row r="6294" spans="1:26" ht="16.5" x14ac:dyDescent="0.35">
      <c r="A6294" s="2" t="str">
        <f ca="1">IFERROR(__xludf.DUMMYFUNCTION("""COMPUTED_VALUE"""),"Dubai")</f>
        <v>Dubai</v>
      </c>
      <c r="B6294" s="2" t="str">
        <f ca="1">IFERROR(__xludf.DUMMYFUNCTION("""COMPUTED_VALUE"""),"Indigo Ville 4")</f>
        <v>Indigo Ville 4</v>
      </c>
      <c r="C6294" s="2" t="str">
        <f ca="1">IFERROR(__xludf.DUMMYFUNCTION("""COMPUTED_VALUE"""),"Neighbourhood")</f>
        <v>Neighbourhood</v>
      </c>
      <c r="D6294" s="2" t="str">
        <f ca="1">IFERROR(__xludf.DUMMYFUNCTION("""COMPUTED_VALUE"""),"Dubai&gt;Jumeirah Village Circle (JVC)&gt;JVC District 14&gt;Indigo Ville 4")</f>
        <v>Dubai&gt;Jumeirah Village Circle (JVC)&gt;JVC District 14&gt;Indigo Ville 4</v>
      </c>
      <c r="E6294" s="2"/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</row>
    <row r="6295" spans="1:26" ht="16.5" x14ac:dyDescent="0.35">
      <c r="A6295" s="2" t="str">
        <f ca="1">IFERROR(__xludf.DUMMYFUNCTION("""COMPUTED_VALUE"""),"Dubai")</f>
        <v>Dubai</v>
      </c>
      <c r="B6295" s="2" t="str">
        <f ca="1">IFERROR(__xludf.DUMMYFUNCTION("""COMPUTED_VALUE"""),"Lumina Vista Residences")</f>
        <v>Lumina Vista Residences</v>
      </c>
      <c r="C6295" s="2" t="str">
        <f ca="1">IFERROR(__xludf.DUMMYFUNCTION("""COMPUTED_VALUE"""),"Building")</f>
        <v>Building</v>
      </c>
      <c r="D6295" s="2" t="str">
        <f ca="1">IFERROR(__xludf.DUMMYFUNCTION("""COMPUTED_VALUE"""),"Dubai&gt;Jumeirah Village Circle (JVC)&gt;JVC District 14&gt;Lumina Vista Residences")</f>
        <v>Dubai&gt;Jumeirah Village Circle (JVC)&gt;JVC District 14&gt;Lumina Vista Residences</v>
      </c>
      <c r="E6295" s="2"/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</row>
    <row r="6296" spans="1:26" ht="16.5" x14ac:dyDescent="0.35">
      <c r="A6296" s="2" t="str">
        <f ca="1">IFERROR(__xludf.DUMMYFUNCTION("""COMPUTED_VALUE"""),"Dubai")</f>
        <v>Dubai</v>
      </c>
      <c r="B6296" s="2" t="str">
        <f ca="1">IFERROR(__xludf.DUMMYFUNCTION("""COMPUTED_VALUE"""),"Goshi Residence")</f>
        <v>Goshi Residence</v>
      </c>
      <c r="C6296" s="2" t="str">
        <f ca="1">IFERROR(__xludf.DUMMYFUNCTION("""COMPUTED_VALUE"""),"Building")</f>
        <v>Building</v>
      </c>
      <c r="D6296" s="2" t="str">
        <f ca="1">IFERROR(__xludf.DUMMYFUNCTION("""COMPUTED_VALUE"""),"Dubai&gt;Dubai Land Residence Complex&gt;Goshi Residence")</f>
        <v>Dubai&gt;Dubai Land Residence Complex&gt;Goshi Residence</v>
      </c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</row>
    <row r="6297" spans="1:26" ht="16.5" x14ac:dyDescent="0.35">
      <c r="A6297" s="2" t="str">
        <f ca="1">IFERROR(__xludf.DUMMYFUNCTION("""COMPUTED_VALUE"""),"Dubai")</f>
        <v>Dubai</v>
      </c>
      <c r="B6297" s="2" t="str">
        <f ca="1">IFERROR(__xludf.DUMMYFUNCTION("""COMPUTED_VALUE"""),"Sondos Rosa")</f>
        <v>Sondos Rosa</v>
      </c>
      <c r="C6297" s="2" t="str">
        <f ca="1">IFERROR(__xludf.DUMMYFUNCTION("""COMPUTED_VALUE"""),"Building")</f>
        <v>Building</v>
      </c>
      <c r="D6297" s="2" t="str">
        <f ca="1">IFERROR(__xludf.DUMMYFUNCTION("""COMPUTED_VALUE"""),"Dubai&gt;Dubai Land Residence Complex&gt;Sondos Rosa")</f>
        <v>Dubai&gt;Dubai Land Residence Complex&gt;Sondos Rosa</v>
      </c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</row>
    <row r="6298" spans="1:26" ht="16.5" x14ac:dyDescent="0.35">
      <c r="A6298" s="2" t="str">
        <f ca="1">IFERROR(__xludf.DUMMYFUNCTION("""COMPUTED_VALUE"""),"Dubai")</f>
        <v>Dubai</v>
      </c>
      <c r="B6298" s="2" t="str">
        <f ca="1">IFERROR(__xludf.DUMMYFUNCTION("""COMPUTED_VALUE"""),"Pluto Building")</f>
        <v>Pluto Building</v>
      </c>
      <c r="C6298" s="2" t="str">
        <f ca="1">IFERROR(__xludf.DUMMYFUNCTION("""COMPUTED_VALUE"""),"Building")</f>
        <v>Building</v>
      </c>
      <c r="D6298" s="2" t="str">
        <f ca="1">IFERROR(__xludf.DUMMYFUNCTION("""COMPUTED_VALUE"""),"Dubai&gt;Dubai Land Residence Complex&gt;Pluto Building")</f>
        <v>Dubai&gt;Dubai Land Residence Complex&gt;Pluto Building</v>
      </c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</row>
    <row r="6299" spans="1:26" ht="16.5" x14ac:dyDescent="0.35">
      <c r="A6299" s="2" t="str">
        <f ca="1">IFERROR(__xludf.DUMMYFUNCTION("""COMPUTED_VALUE"""),"Dubai")</f>
        <v>Dubai</v>
      </c>
      <c r="B6299" s="2" t="str">
        <f ca="1">IFERROR(__xludf.DUMMYFUNCTION("""COMPUTED_VALUE"""),"Coventry Gardens")</f>
        <v>Coventry Gardens</v>
      </c>
      <c r="C6299" s="2" t="str">
        <f ca="1">IFERROR(__xludf.DUMMYFUNCTION("""COMPUTED_VALUE"""),"Building")</f>
        <v>Building</v>
      </c>
      <c r="D6299" s="2" t="str">
        <f ca="1">IFERROR(__xludf.DUMMYFUNCTION("""COMPUTED_VALUE"""),"Dubai&gt;Dubai Land Residence Complex&gt;Coventry Gardens")</f>
        <v>Dubai&gt;Dubai Land Residence Complex&gt;Coventry Gardens</v>
      </c>
      <c r="E6299" s="2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</row>
    <row r="6300" spans="1:26" ht="16.5" x14ac:dyDescent="0.35">
      <c r="A6300" s="2" t="str">
        <f ca="1">IFERROR(__xludf.DUMMYFUNCTION("""COMPUTED_VALUE"""),"Dubai")</f>
        <v>Dubai</v>
      </c>
      <c r="B6300" s="2" t="str">
        <f ca="1">IFERROR(__xludf.DUMMYFUNCTION("""COMPUTED_VALUE"""),"Weybridge Gardens 5")</f>
        <v>Weybridge Gardens 5</v>
      </c>
      <c r="C6300" s="2" t="str">
        <f ca="1">IFERROR(__xludf.DUMMYFUNCTION("""COMPUTED_VALUE"""),"Building")</f>
        <v>Building</v>
      </c>
      <c r="D6300" s="2" t="str">
        <f ca="1">IFERROR(__xludf.DUMMYFUNCTION("""COMPUTED_VALUE"""),"Dubai&gt;Dubai Land Residence Complex&gt;Weybridge Gardens 5")</f>
        <v>Dubai&gt;Dubai Land Residence Complex&gt;Weybridge Gardens 5</v>
      </c>
      <c r="E6300" s="2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</row>
    <row r="6301" spans="1:26" ht="16.5" x14ac:dyDescent="0.35">
      <c r="A6301" s="2" t="str">
        <f ca="1">IFERROR(__xludf.DUMMYFUNCTION("""COMPUTED_VALUE"""),"Dubai")</f>
        <v>Dubai</v>
      </c>
      <c r="B6301" s="2" t="str">
        <f ca="1">IFERROR(__xludf.DUMMYFUNCTION("""COMPUTED_VALUE"""),"Tameem Villas")</f>
        <v>Tameem Villas</v>
      </c>
      <c r="C6301" s="2" t="str">
        <f ca="1">IFERROR(__xludf.DUMMYFUNCTION("""COMPUTED_VALUE"""),"Neighbourhood")</f>
        <v>Neighbourhood</v>
      </c>
      <c r="D6301" s="2" t="str">
        <f ca="1">IFERROR(__xludf.DUMMYFUNCTION("""COMPUTED_VALUE"""),"Dubai&gt;Mirdif&gt;Tameem Villas")</f>
        <v>Dubai&gt;Mirdif&gt;Tameem Villas</v>
      </c>
      <c r="E6301" s="2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</row>
    <row r="6302" spans="1:26" ht="16.5" x14ac:dyDescent="0.35">
      <c r="A6302" s="2" t="str">
        <f ca="1">IFERROR(__xludf.DUMMYFUNCTION("""COMPUTED_VALUE"""),"Dubai")</f>
        <v>Dubai</v>
      </c>
      <c r="B6302" s="2" t="str">
        <f ca="1">IFERROR(__xludf.DUMMYFUNCTION("""COMPUTED_VALUE"""),"Arcade Mirdif")</f>
        <v>Arcade Mirdif</v>
      </c>
      <c r="C6302" s="2" t="str">
        <f ca="1">IFERROR(__xludf.DUMMYFUNCTION("""COMPUTED_VALUE"""),"Building")</f>
        <v>Building</v>
      </c>
      <c r="D6302" s="2" t="str">
        <f ca="1">IFERROR(__xludf.DUMMYFUNCTION("""COMPUTED_VALUE"""),"Dubai&gt;Mirdif&gt;Arcade Mirdif")</f>
        <v>Dubai&gt;Mirdif&gt;Arcade Mirdif</v>
      </c>
      <c r="E6302" s="2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</row>
    <row r="6303" spans="1:26" ht="16.5" x14ac:dyDescent="0.35">
      <c r="A6303" s="2" t="str">
        <f ca="1">IFERROR(__xludf.DUMMYFUNCTION("""COMPUTED_VALUE"""),"Dubai")</f>
        <v>Dubai</v>
      </c>
      <c r="B6303" s="2" t="str">
        <f ca="1">IFERROR(__xludf.DUMMYFUNCTION("""COMPUTED_VALUE"""),"Maeen 1")</f>
        <v>Maeen 1</v>
      </c>
      <c r="C6303" s="2" t="str">
        <f ca="1">IFERROR(__xludf.DUMMYFUNCTION("""COMPUTED_VALUE"""),"Neighbourhood")</f>
        <v>Neighbourhood</v>
      </c>
      <c r="D6303" s="2" t="str">
        <f ca="1">IFERROR(__xludf.DUMMYFUNCTION("""COMPUTED_VALUE"""),"Dubai&gt;The Lakes&gt;Maeen&gt;Maeen 1")</f>
        <v>Dubai&gt;The Lakes&gt;Maeen&gt;Maeen 1</v>
      </c>
      <c r="E6303" s="2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</row>
    <row r="6304" spans="1:26" ht="16.5" x14ac:dyDescent="0.35">
      <c r="A6304" s="2" t="str">
        <f ca="1">IFERROR(__xludf.DUMMYFUNCTION("""COMPUTED_VALUE"""),"Dubai")</f>
        <v>Dubai</v>
      </c>
      <c r="B6304" s="2" t="str">
        <f ca="1">IFERROR(__xludf.DUMMYFUNCTION("""COMPUTED_VALUE"""),"Al Nisf Building")</f>
        <v>Al Nisf Building</v>
      </c>
      <c r="C6304" s="2" t="str">
        <f ca="1">IFERROR(__xludf.DUMMYFUNCTION("""COMPUTED_VALUE"""),"Building")</f>
        <v>Building</v>
      </c>
      <c r="D6304" s="2" t="str">
        <f ca="1">IFERROR(__xludf.DUMMYFUNCTION("""COMPUTED_VALUE"""),"Dubai&gt;Al Garhoud&gt;Airport Road Area&gt;Al Nisf Building")</f>
        <v>Dubai&gt;Al Garhoud&gt;Airport Road Area&gt;Al Nisf Building</v>
      </c>
      <c r="E6304" s="2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</row>
    <row r="6305" spans="1:26" ht="16.5" x14ac:dyDescent="0.35">
      <c r="A6305" s="2" t="str">
        <f ca="1">IFERROR(__xludf.DUMMYFUNCTION("""COMPUTED_VALUE"""),"Dubai")</f>
        <v>Dubai</v>
      </c>
      <c r="B6305" s="2" t="str">
        <f ca="1">IFERROR(__xludf.DUMMYFUNCTION("""COMPUTED_VALUE"""),"Samhan Building")</f>
        <v>Samhan Building</v>
      </c>
      <c r="C6305" s="2" t="str">
        <f ca="1">IFERROR(__xludf.DUMMYFUNCTION("""COMPUTED_VALUE"""),"Building")</f>
        <v>Building</v>
      </c>
      <c r="D6305" s="2" t="str">
        <f ca="1">IFERROR(__xludf.DUMMYFUNCTION("""COMPUTED_VALUE"""),"Dubai&gt;Al Garhoud&gt;Samhan Building")</f>
        <v>Dubai&gt;Al Garhoud&gt;Samhan Building</v>
      </c>
      <c r="E6305" s="2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</row>
    <row r="6306" spans="1:26" ht="16.5" x14ac:dyDescent="0.35">
      <c r="A6306" s="2" t="str">
        <f ca="1">IFERROR(__xludf.DUMMYFUNCTION("""COMPUTED_VALUE"""),"Dubai")</f>
        <v>Dubai</v>
      </c>
      <c r="B6306" s="2" t="str">
        <f ca="1">IFERROR(__xludf.DUMMYFUNCTION("""COMPUTED_VALUE"""),"Millennium Airport Hotel")</f>
        <v>Millennium Airport Hotel</v>
      </c>
      <c r="C6306" s="2" t="str">
        <f ca="1">IFERROR(__xludf.DUMMYFUNCTION("""COMPUTED_VALUE"""),"Building")</f>
        <v>Building</v>
      </c>
      <c r="D6306" s="2" t="str">
        <f ca="1">IFERROR(__xludf.DUMMYFUNCTION("""COMPUTED_VALUE"""),"Dubai&gt;Al Garhoud&gt;Millennium Airport Hotel")</f>
        <v>Dubai&gt;Al Garhoud&gt;Millennium Airport Hotel</v>
      </c>
      <c r="E6306" s="2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</row>
    <row r="6307" spans="1:26" ht="16.5" x14ac:dyDescent="0.35">
      <c r="A6307" s="2" t="str">
        <f ca="1">IFERROR(__xludf.DUMMYFUNCTION("""COMPUTED_VALUE"""),"Dubai")</f>
        <v>Dubai</v>
      </c>
      <c r="B6307" s="2" t="str">
        <f ca="1">IFERROR(__xludf.DUMMYFUNCTION("""COMPUTED_VALUE"""),"Cluster 28")</f>
        <v>Cluster 28</v>
      </c>
      <c r="C6307" s="2" t="str">
        <f ca="1">IFERROR(__xludf.DUMMYFUNCTION("""COMPUTED_VALUE"""),"Neighbourhood")</f>
        <v>Neighbourhood</v>
      </c>
      <c r="D6307" s="2" t="str">
        <f ca="1">IFERROR(__xludf.DUMMYFUNCTION("""COMPUTED_VALUE"""),"Dubai&gt;Jumeirah Islands&gt;Cluster 28")</f>
        <v>Dubai&gt;Jumeirah Islands&gt;Cluster 28</v>
      </c>
      <c r="E6307" s="2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</row>
    <row r="6308" spans="1:26" ht="16.5" x14ac:dyDescent="0.35">
      <c r="A6308" s="2" t="str">
        <f ca="1">IFERROR(__xludf.DUMMYFUNCTION("""COMPUTED_VALUE"""),"Dubai")</f>
        <v>Dubai</v>
      </c>
      <c r="B6308" s="2" t="str">
        <f ca="1">IFERROR(__xludf.DUMMYFUNCTION("""COMPUTED_VALUE"""),"Green Community West Phase 3")</f>
        <v>Green Community West Phase 3</v>
      </c>
      <c r="C6308" s="2" t="str">
        <f ca="1">IFERROR(__xludf.DUMMYFUNCTION("""COMPUTED_VALUE"""),"Neighbourhood")</f>
        <v>Neighbourhood</v>
      </c>
      <c r="D6308" s="2" t="str">
        <f ca="1">IFERROR(__xludf.DUMMYFUNCTION("""COMPUTED_VALUE"""),"Dubai&gt;Green Community&gt;Green Community West Phase 3")</f>
        <v>Dubai&gt;Green Community&gt;Green Community West Phase 3</v>
      </c>
      <c r="E6308" s="2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</row>
    <row r="6309" spans="1:26" ht="16.5" x14ac:dyDescent="0.35">
      <c r="A6309" s="2" t="str">
        <f ca="1">IFERROR(__xludf.DUMMYFUNCTION("""COMPUTED_VALUE"""),"Dubai")</f>
        <v>Dubai</v>
      </c>
      <c r="B6309" s="2" t="str">
        <f ca="1">IFERROR(__xludf.DUMMYFUNCTION("""COMPUTED_VALUE"""),"Peace Lagoons II by Peace Homes")</f>
        <v>Peace Lagoons II by Peace Homes</v>
      </c>
      <c r="C6309" s="2" t="str">
        <f ca="1">IFERROR(__xludf.DUMMYFUNCTION("""COMPUTED_VALUE"""),"Building")</f>
        <v>Building</v>
      </c>
      <c r="D6309" s="2" t="str">
        <f ca="1">IFERROR(__xludf.DUMMYFUNCTION("""COMPUTED_VALUE"""),"Dubai&gt;Dubai Land Residence Complex&gt;Peace Lagoons II by Peace Homes")</f>
        <v>Dubai&gt;Dubai Land Residence Complex&gt;Peace Lagoons II by Peace Homes</v>
      </c>
      <c r="E6309" s="2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</row>
    <row r="6310" spans="1:26" ht="16.5" x14ac:dyDescent="0.35">
      <c r="A6310" s="2" t="str">
        <f ca="1">IFERROR(__xludf.DUMMYFUNCTION("""COMPUTED_VALUE"""),"Dubai")</f>
        <v>Dubai</v>
      </c>
      <c r="B6310" s="2" t="str">
        <f ca="1">IFERROR(__xludf.DUMMYFUNCTION("""COMPUTED_VALUE"""),"Rivo by Grovy")</f>
        <v>Rivo by Grovy</v>
      </c>
      <c r="C6310" s="2" t="str">
        <f ca="1">IFERROR(__xludf.DUMMYFUNCTION("""COMPUTED_VALUE"""),"Building")</f>
        <v>Building</v>
      </c>
      <c r="D6310" s="2" t="str">
        <f ca="1">IFERROR(__xludf.DUMMYFUNCTION("""COMPUTED_VALUE"""),"Dubai&gt;Dubai Land Residence Complex&gt;Rivo by Grovy")</f>
        <v>Dubai&gt;Dubai Land Residence Complex&gt;Rivo by Grovy</v>
      </c>
      <c r="E6310" s="2"/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</row>
    <row r="6311" spans="1:26" ht="16.5" x14ac:dyDescent="0.35">
      <c r="A6311" s="2" t="str">
        <f ca="1">IFERROR(__xludf.DUMMYFUNCTION("""COMPUTED_VALUE"""),"Dubai")</f>
        <v>Dubai</v>
      </c>
      <c r="B6311" s="2" t="str">
        <f ca="1">IFERROR(__xludf.DUMMYFUNCTION("""COMPUTED_VALUE"""),"Dar Al Zain Villas")</f>
        <v>Dar Al Zain Villas</v>
      </c>
      <c r="C6311" s="2" t="str">
        <f ca="1">IFERROR(__xludf.DUMMYFUNCTION("""COMPUTED_VALUE"""),"Neighbourhood")</f>
        <v>Neighbourhood</v>
      </c>
      <c r="D6311" s="2" t="str">
        <f ca="1">IFERROR(__xludf.DUMMYFUNCTION("""COMPUTED_VALUE"""),"Dubai&gt;Mirdif&gt;Dar Al Zain Villas")</f>
        <v>Dubai&gt;Mirdif&gt;Dar Al Zain Villas</v>
      </c>
      <c r="E6311" s="2"/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</row>
    <row r="6312" spans="1:26" ht="16.5" x14ac:dyDescent="0.35">
      <c r="A6312" s="2" t="str">
        <f ca="1">IFERROR(__xludf.DUMMYFUNCTION("""COMPUTED_VALUE"""),"Dubai")</f>
        <v>Dubai</v>
      </c>
      <c r="B6312" s="2" t="str">
        <f ca="1">IFERROR(__xludf.DUMMYFUNCTION("""COMPUTED_VALUE"""),"Al Diyar Building")</f>
        <v>Al Diyar Building</v>
      </c>
      <c r="C6312" s="2" t="str">
        <f ca="1">IFERROR(__xludf.DUMMYFUNCTION("""COMPUTED_VALUE"""),"Building")</f>
        <v>Building</v>
      </c>
      <c r="D6312" s="2" t="str">
        <f ca="1">IFERROR(__xludf.DUMMYFUNCTION("""COMPUTED_VALUE"""),"Dubai&gt;Mirdif&gt;Al Diyar Building")</f>
        <v>Dubai&gt;Mirdif&gt;Al Diyar Building</v>
      </c>
      <c r="E6312" s="2"/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</row>
    <row r="6313" spans="1:26" ht="16.5" x14ac:dyDescent="0.35">
      <c r="A6313" s="2" t="str">
        <f ca="1">IFERROR(__xludf.DUMMYFUNCTION("""COMPUTED_VALUE"""),"Dubai")</f>
        <v>Dubai</v>
      </c>
      <c r="B6313" s="2" t="str">
        <f ca="1">IFERROR(__xludf.DUMMYFUNCTION("""COMPUTED_VALUE"""),"Maeen 3")</f>
        <v>Maeen 3</v>
      </c>
      <c r="C6313" s="2" t="str">
        <f ca="1">IFERROR(__xludf.DUMMYFUNCTION("""COMPUTED_VALUE"""),"Neighbourhood")</f>
        <v>Neighbourhood</v>
      </c>
      <c r="D6313" s="2" t="str">
        <f ca="1">IFERROR(__xludf.DUMMYFUNCTION("""COMPUTED_VALUE"""),"Dubai&gt;The Lakes&gt;Maeen&gt;Maeen 3")</f>
        <v>Dubai&gt;The Lakes&gt;Maeen&gt;Maeen 3</v>
      </c>
      <c r="E6313" s="2"/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</row>
    <row r="6314" spans="1:26" ht="16.5" x14ac:dyDescent="0.35">
      <c r="A6314" s="2" t="str">
        <f ca="1">IFERROR(__xludf.DUMMYFUNCTION("""COMPUTED_VALUE"""),"Dubai")</f>
        <v>Dubai</v>
      </c>
      <c r="B6314" s="2" t="str">
        <f ca="1">IFERROR(__xludf.DUMMYFUNCTION("""COMPUTED_VALUE"""),"Nasser Lootah Airport Building")</f>
        <v>Nasser Lootah Airport Building</v>
      </c>
      <c r="C6314" s="2" t="str">
        <f ca="1">IFERROR(__xludf.DUMMYFUNCTION("""COMPUTED_VALUE"""),"Building")</f>
        <v>Building</v>
      </c>
      <c r="D6314" s="2" t="str">
        <f ca="1">IFERROR(__xludf.DUMMYFUNCTION("""COMPUTED_VALUE"""),"Dubai&gt;Al Garhoud&gt;Airport Road Area&gt;Nasser Lootah Airport Building")</f>
        <v>Dubai&gt;Al Garhoud&gt;Airport Road Area&gt;Nasser Lootah Airport Building</v>
      </c>
      <c r="E6314" s="2"/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</row>
    <row r="6315" spans="1:26" ht="16.5" x14ac:dyDescent="0.35">
      <c r="A6315" s="2" t="str">
        <f ca="1">IFERROR(__xludf.DUMMYFUNCTION("""COMPUTED_VALUE"""),"Dubai")</f>
        <v>Dubai</v>
      </c>
      <c r="B6315" s="2" t="str">
        <f ca="1">IFERROR(__xludf.DUMMYFUNCTION("""COMPUTED_VALUE"""),"Al Afghani Building 2")</f>
        <v>Al Afghani Building 2</v>
      </c>
      <c r="C6315" s="2" t="str">
        <f ca="1">IFERROR(__xludf.DUMMYFUNCTION("""COMPUTED_VALUE"""),"Building")</f>
        <v>Building</v>
      </c>
      <c r="D6315" s="2" t="str">
        <f ca="1">IFERROR(__xludf.DUMMYFUNCTION("""COMPUTED_VALUE"""),"Dubai&gt;Al Garhoud&gt;Al Afghani Building 2")</f>
        <v>Dubai&gt;Al Garhoud&gt;Al Afghani Building 2</v>
      </c>
      <c r="E6315" s="2"/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</row>
    <row r="6316" spans="1:26" ht="16.5" x14ac:dyDescent="0.35">
      <c r="A6316" s="2" t="str">
        <f ca="1">IFERROR(__xludf.DUMMYFUNCTION("""COMPUTED_VALUE"""),"Dubai")</f>
        <v>Dubai</v>
      </c>
      <c r="B6316" s="2" t="str">
        <f ca="1">IFERROR(__xludf.DUMMYFUNCTION("""COMPUTED_VALUE"""),"71 Villas Dubai Air Wing Al Garhoud")</f>
        <v>71 Villas Dubai Air Wing Al Garhoud</v>
      </c>
      <c r="C6316" s="2" t="str">
        <f ca="1">IFERROR(__xludf.DUMMYFUNCTION("""COMPUTED_VALUE"""),"Neighbourhood")</f>
        <v>Neighbourhood</v>
      </c>
      <c r="D6316" s="2" t="str">
        <f ca="1">IFERROR(__xludf.DUMMYFUNCTION("""COMPUTED_VALUE"""),"Dubai&gt;Al Garhoud&gt;71 Villas Dubai Air Wing Al Garhoud")</f>
        <v>Dubai&gt;Al Garhoud&gt;71 Villas Dubai Air Wing Al Garhoud</v>
      </c>
      <c r="E6316" s="2"/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</row>
    <row r="6317" spans="1:26" ht="16.5" x14ac:dyDescent="0.35">
      <c r="A6317" s="2" t="str">
        <f ca="1">IFERROR(__xludf.DUMMYFUNCTION("""COMPUTED_VALUE"""),"Dubai")</f>
        <v>Dubai</v>
      </c>
      <c r="B6317" s="2" t="str">
        <f ca="1">IFERROR(__xludf.DUMMYFUNCTION("""COMPUTED_VALUE"""),"Cluster 29")</f>
        <v>Cluster 29</v>
      </c>
      <c r="C6317" s="2" t="str">
        <f ca="1">IFERROR(__xludf.DUMMYFUNCTION("""COMPUTED_VALUE"""),"Neighbourhood")</f>
        <v>Neighbourhood</v>
      </c>
      <c r="D6317" s="2" t="str">
        <f ca="1">IFERROR(__xludf.DUMMYFUNCTION("""COMPUTED_VALUE"""),"Dubai&gt;Jumeirah Islands&gt;Cluster 29")</f>
        <v>Dubai&gt;Jumeirah Islands&gt;Cluster 29</v>
      </c>
      <c r="E6317" s="2"/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</row>
    <row r="6318" spans="1:26" ht="16.5" x14ac:dyDescent="0.35">
      <c r="A6318" s="2" t="str">
        <f ca="1">IFERROR(__xludf.DUMMYFUNCTION("""COMPUTED_VALUE"""),"Dubai")</f>
        <v>Dubai</v>
      </c>
      <c r="B6318" s="2" t="str">
        <f ca="1">IFERROR(__xludf.DUMMYFUNCTION("""COMPUTED_VALUE"""),"Garden West Apartments")</f>
        <v>Garden West Apartments</v>
      </c>
      <c r="C6318" s="2" t="str">
        <f ca="1">IFERROR(__xludf.DUMMYFUNCTION("""COMPUTED_VALUE"""),"Cluster")</f>
        <v>Cluster</v>
      </c>
      <c r="D6318" s="2" t="str">
        <f ca="1">IFERROR(__xludf.DUMMYFUNCTION("""COMPUTED_VALUE"""),"Dubai&gt;Green Community&gt;Garden West Apartments")</f>
        <v>Dubai&gt;Green Community&gt;Garden West Apartments</v>
      </c>
      <c r="E6318" s="2"/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</row>
    <row r="6319" spans="1:26" ht="16.5" x14ac:dyDescent="0.35">
      <c r="A6319" s="2" t="str">
        <f ca="1">IFERROR(__xludf.DUMMYFUNCTION("""COMPUTED_VALUE"""),"Dubai")</f>
        <v>Dubai</v>
      </c>
      <c r="B6319" s="2" t="str">
        <f ca="1">IFERROR(__xludf.DUMMYFUNCTION("""COMPUTED_VALUE"""),"Lakeviews Apartments")</f>
        <v>Lakeviews Apartments</v>
      </c>
      <c r="C6319" s="2" t="str">
        <f ca="1">IFERROR(__xludf.DUMMYFUNCTION("""COMPUTED_VALUE"""),"Building")</f>
        <v>Building</v>
      </c>
      <c r="D6319" s="2" t="str">
        <f ca="1">IFERROR(__xludf.DUMMYFUNCTION("""COMPUTED_VALUE"""),"Dubai&gt;Green Community&gt;Green Community East&gt;Lakeviews Apartments")</f>
        <v>Dubai&gt;Green Community&gt;Green Community East&gt;Lakeviews Apartments</v>
      </c>
      <c r="E6319" s="2"/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</row>
    <row r="6320" spans="1:26" ht="16.5" x14ac:dyDescent="0.35">
      <c r="A6320" s="2" t="str">
        <f ca="1">IFERROR(__xludf.DUMMYFUNCTION("""COMPUTED_VALUE"""),"Dubai")</f>
        <v>Dubai</v>
      </c>
      <c r="B6320" s="2" t="str">
        <f ca="1">IFERROR(__xludf.DUMMYFUNCTION("""COMPUTED_VALUE"""),"Townhouses Area")</f>
        <v>Townhouses Area</v>
      </c>
      <c r="C6320" s="2"/>
      <c r="D6320" s="2" t="str">
        <f ca="1">IFERROR(__xludf.DUMMYFUNCTION("""COMPUTED_VALUE"""),"Dubai&gt;Green Community&gt;Green Community West&gt;Townhouses Area")</f>
        <v>Dubai&gt;Green Community&gt;Green Community West&gt;Townhouses Area</v>
      </c>
      <c r="E6320" s="2"/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</row>
    <row r="6321" spans="1:26" ht="16.5" x14ac:dyDescent="0.35">
      <c r="A6321" s="2" t="str">
        <f ca="1">IFERROR(__xludf.DUMMYFUNCTION("""COMPUTED_VALUE"""),"Dubai")</f>
        <v>Dubai</v>
      </c>
      <c r="B6321" s="2" t="str">
        <f ca="1">IFERROR(__xludf.DUMMYFUNCTION("""COMPUTED_VALUE"""),"JS Tower")</f>
        <v>JS Tower</v>
      </c>
      <c r="C6321" s="2" t="str">
        <f ca="1">IFERROR(__xludf.DUMMYFUNCTION("""COMPUTED_VALUE"""),"Building")</f>
        <v>Building</v>
      </c>
      <c r="D6321" s="2" t="str">
        <f ca="1">IFERROR(__xludf.DUMMYFUNCTION("""COMPUTED_VALUE"""),"Dubai&gt;Dubai Sports City&gt;JS Tower")</f>
        <v>Dubai&gt;Dubai Sports City&gt;JS Tower</v>
      </c>
      <c r="E6321" s="2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</row>
    <row r="6322" spans="1:26" ht="16.5" x14ac:dyDescent="0.35">
      <c r="A6322" s="2" t="str">
        <f ca="1">IFERROR(__xludf.DUMMYFUNCTION("""COMPUTED_VALUE"""),"Dubai")</f>
        <v>Dubai</v>
      </c>
      <c r="B6322" s="2" t="str">
        <f ca="1">IFERROR(__xludf.DUMMYFUNCTION("""COMPUTED_VALUE"""),"The Matrix")</f>
        <v>The Matrix</v>
      </c>
      <c r="C6322" s="2" t="str">
        <f ca="1">IFERROR(__xludf.DUMMYFUNCTION("""COMPUTED_VALUE"""),"Building")</f>
        <v>Building</v>
      </c>
      <c r="D6322" s="2" t="str">
        <f ca="1">IFERROR(__xludf.DUMMYFUNCTION("""COMPUTED_VALUE"""),"Dubai&gt;Dubai Sports City&gt;The Matrix")</f>
        <v>Dubai&gt;Dubai Sports City&gt;The Matrix</v>
      </c>
      <c r="E6322" s="2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</row>
    <row r="6323" spans="1:26" ht="16.5" x14ac:dyDescent="0.35">
      <c r="A6323" s="2" t="str">
        <f ca="1">IFERROR(__xludf.DUMMYFUNCTION("""COMPUTED_VALUE"""),"Dubai")</f>
        <v>Dubai</v>
      </c>
      <c r="B6323" s="2" t="str">
        <f ca="1">IFERROR(__xludf.DUMMYFUNCTION("""COMPUTED_VALUE"""),"Gallery Villas")</f>
        <v>Gallery Villas</v>
      </c>
      <c r="C6323" s="2" t="str">
        <f ca="1">IFERROR(__xludf.DUMMYFUNCTION("""COMPUTED_VALUE"""),"Neighbourhood")</f>
        <v>Neighbourhood</v>
      </c>
      <c r="D6323" s="2" t="str">
        <f ca="1">IFERROR(__xludf.DUMMYFUNCTION("""COMPUTED_VALUE"""),"Dubai&gt;Dubai Sports City&gt;Gallery Villas")</f>
        <v>Dubai&gt;Dubai Sports City&gt;Gallery Villas</v>
      </c>
      <c r="E6323" s="2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</row>
    <row r="6324" spans="1:26" ht="16.5" x14ac:dyDescent="0.35">
      <c r="A6324" s="2" t="str">
        <f ca="1">IFERROR(__xludf.DUMMYFUNCTION("""COMPUTED_VALUE"""),"Dubai")</f>
        <v>Dubai</v>
      </c>
      <c r="B6324" s="2" t="str">
        <f ca="1">IFERROR(__xludf.DUMMYFUNCTION("""COMPUTED_VALUE"""),"Champions Tower")</f>
        <v>Champions Tower</v>
      </c>
      <c r="C6324" s="2" t="str">
        <f ca="1">IFERROR(__xludf.DUMMYFUNCTION("""COMPUTED_VALUE"""),"Cluster")</f>
        <v>Cluster</v>
      </c>
      <c r="D6324" s="2" t="str">
        <f ca="1">IFERROR(__xludf.DUMMYFUNCTION("""COMPUTED_VALUE"""),"Dubai&gt;Dubai Sports City&gt;Champions Tower")</f>
        <v>Dubai&gt;Dubai Sports City&gt;Champions Tower</v>
      </c>
      <c r="E6324" s="2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</row>
    <row r="6325" spans="1:26" ht="16.5" x14ac:dyDescent="0.35">
      <c r="A6325" s="2" t="str">
        <f ca="1">IFERROR(__xludf.DUMMYFUNCTION("""COMPUTED_VALUE"""),"Dubai")</f>
        <v>Dubai</v>
      </c>
      <c r="B6325" s="2" t="str">
        <f ca="1">IFERROR(__xludf.DUMMYFUNCTION("""COMPUTED_VALUE"""),"Droor 1 Residency")</f>
        <v>Droor 1 Residency</v>
      </c>
      <c r="C6325" s="2" t="str">
        <f ca="1">IFERROR(__xludf.DUMMYFUNCTION("""COMPUTED_VALUE"""),"Building")</f>
        <v>Building</v>
      </c>
      <c r="D6325" s="2" t="str">
        <f ca="1">IFERROR(__xludf.DUMMYFUNCTION("""COMPUTED_VALUE"""),"Dubai&gt;Al Nahda (Dubai)&gt;Al Nahda 1&gt;Droor 1 Residency")</f>
        <v>Dubai&gt;Al Nahda (Dubai)&gt;Al Nahda 1&gt;Droor 1 Residency</v>
      </c>
      <c r="E6325" s="2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</row>
    <row r="6326" spans="1:26" ht="16.5" x14ac:dyDescent="0.35">
      <c r="A6326" s="2" t="str">
        <f ca="1">IFERROR(__xludf.DUMMYFUNCTION("""COMPUTED_VALUE"""),"Dubai")</f>
        <v>Dubai</v>
      </c>
      <c r="B6326" s="2" t="str">
        <f ca="1">IFERROR(__xludf.DUMMYFUNCTION("""COMPUTED_VALUE"""),"The Sheffield Private School")</f>
        <v>The Sheffield Private School</v>
      </c>
      <c r="C6326" s="2" t="str">
        <f ca="1">IFERROR(__xludf.DUMMYFUNCTION("""COMPUTED_VALUE"""),"School")</f>
        <v>School</v>
      </c>
      <c r="D6326" s="2" t="str">
        <f ca="1">IFERROR(__xludf.DUMMYFUNCTION("""COMPUTED_VALUE"""),"Dubai&gt;Al Nahda (Dubai)&gt;Al Nahda 2&gt;The Sheffield Private School")</f>
        <v>Dubai&gt;Al Nahda (Dubai)&gt;Al Nahda 2&gt;The Sheffield Private School</v>
      </c>
      <c r="E6326" s="2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</row>
    <row r="6327" spans="1:26" ht="16.5" x14ac:dyDescent="0.35">
      <c r="A6327" s="2" t="str">
        <f ca="1">IFERROR(__xludf.DUMMYFUNCTION("""COMPUTED_VALUE"""),"Dubai")</f>
        <v>Dubai</v>
      </c>
      <c r="B6327" s="2" t="str">
        <f ca="1">IFERROR(__xludf.DUMMYFUNCTION("""COMPUTED_VALUE"""),"Luzan 1 Building")</f>
        <v>Luzan 1 Building</v>
      </c>
      <c r="C6327" s="2" t="str">
        <f ca="1">IFERROR(__xludf.DUMMYFUNCTION("""COMPUTED_VALUE"""),"Building")</f>
        <v>Building</v>
      </c>
      <c r="D6327" s="2" t="str">
        <f ca="1">IFERROR(__xludf.DUMMYFUNCTION("""COMPUTED_VALUE"""),"Dubai&gt;Al Nahda (Dubai)&gt;Al Nahda 2&gt;Luzan 1 Building")</f>
        <v>Dubai&gt;Al Nahda (Dubai)&gt;Al Nahda 2&gt;Luzan 1 Building</v>
      </c>
      <c r="E6327" s="2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</row>
    <row r="6328" spans="1:26" ht="16.5" x14ac:dyDescent="0.35">
      <c r="A6328" s="2" t="str">
        <f ca="1">IFERROR(__xludf.DUMMYFUNCTION("""COMPUTED_VALUE"""),"Dubai")</f>
        <v>Dubai</v>
      </c>
      <c r="B6328" s="2" t="str">
        <f ca="1">IFERROR(__xludf.DUMMYFUNCTION("""COMPUTED_VALUE"""),"Al Nahda 408")</f>
        <v>Al Nahda 408</v>
      </c>
      <c r="C6328" s="2" t="str">
        <f ca="1">IFERROR(__xludf.DUMMYFUNCTION("""COMPUTED_VALUE"""),"Building")</f>
        <v>Building</v>
      </c>
      <c r="D6328" s="2" t="str">
        <f ca="1">IFERROR(__xludf.DUMMYFUNCTION("""COMPUTED_VALUE"""),"Dubai&gt;Al Nahda (Dubai)&gt;Al Nahda 2&gt;Al Nahda 408")</f>
        <v>Dubai&gt;Al Nahda (Dubai)&gt;Al Nahda 2&gt;Al Nahda 408</v>
      </c>
      <c r="E6328" s="2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</row>
    <row r="6329" spans="1:26" ht="16.5" x14ac:dyDescent="0.35">
      <c r="A6329" s="2" t="str">
        <f ca="1">IFERROR(__xludf.DUMMYFUNCTION("""COMPUTED_VALUE"""),"Dubai")</f>
        <v>Dubai</v>
      </c>
      <c r="B6329" s="2" t="str">
        <f ca="1">IFERROR(__xludf.DUMMYFUNCTION("""COMPUTED_VALUE"""),"Essa Abdul Fattah Khadhum Abdul Fattah Building")</f>
        <v>Essa Abdul Fattah Khadhum Abdul Fattah Building</v>
      </c>
      <c r="C6329" s="2" t="str">
        <f ca="1">IFERROR(__xludf.DUMMYFUNCTION("""COMPUTED_VALUE"""),"Building")</f>
        <v>Building</v>
      </c>
      <c r="D6329" s="2" t="str">
        <f ca="1">IFERROR(__xludf.DUMMYFUNCTION("""COMPUTED_VALUE"""),"Dubai&gt;Al Nahda (Dubai)&gt;Al Nahda 2&gt;Essa Abdul Fattah Khadhum Abdul Fattah Building")</f>
        <v>Dubai&gt;Al Nahda (Dubai)&gt;Al Nahda 2&gt;Essa Abdul Fattah Khadhum Abdul Fattah Building</v>
      </c>
      <c r="E6329" s="2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</row>
    <row r="6330" spans="1:26" ht="16.5" x14ac:dyDescent="0.35">
      <c r="A6330" s="2" t="str">
        <f ca="1">IFERROR(__xludf.DUMMYFUNCTION("""COMPUTED_VALUE"""),"Dubai")</f>
        <v>Dubai</v>
      </c>
      <c r="B6330" s="2" t="str">
        <f ca="1">IFERROR(__xludf.DUMMYFUNCTION("""COMPUTED_VALUE"""),"ACICO Building")</f>
        <v>ACICO Building</v>
      </c>
      <c r="C6330" s="2" t="str">
        <f ca="1">IFERROR(__xludf.DUMMYFUNCTION("""COMPUTED_VALUE"""),"Building")</f>
        <v>Building</v>
      </c>
      <c r="D6330" s="2" t="str">
        <f ca="1">IFERROR(__xludf.DUMMYFUNCTION("""COMPUTED_VALUE"""),"Dubai&gt;Al Nahda (Dubai)&gt;Al Nahda 2&gt;ACICO Building")</f>
        <v>Dubai&gt;Al Nahda (Dubai)&gt;Al Nahda 2&gt;ACICO Building</v>
      </c>
      <c r="E6330" s="2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</row>
    <row r="6331" spans="1:26" ht="16.5" x14ac:dyDescent="0.35">
      <c r="A6331" s="2" t="str">
        <f ca="1">IFERROR(__xludf.DUMMYFUNCTION("""COMPUTED_VALUE"""),"Dubai")</f>
        <v>Dubai</v>
      </c>
      <c r="B6331" s="2" t="str">
        <f ca="1">IFERROR(__xludf.DUMMYFUNCTION("""COMPUTED_VALUE"""),"Portofino")</f>
        <v>Portofino</v>
      </c>
      <c r="C6331" s="2" t="str">
        <f ca="1">IFERROR(__xludf.DUMMYFUNCTION("""COMPUTED_VALUE"""),"Neighbourhood")</f>
        <v>Neighbourhood</v>
      </c>
      <c r="D6331" s="2" t="str">
        <f ca="1">IFERROR(__xludf.DUMMYFUNCTION("""COMPUTED_VALUE"""),"Dubai&gt;DAMAC Lagoons&gt;Portofino")</f>
        <v>Dubai&gt;DAMAC Lagoons&gt;Portofino</v>
      </c>
      <c r="E6331" s="2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</row>
    <row r="6332" spans="1:26" ht="16.5" x14ac:dyDescent="0.35">
      <c r="A6332" s="2" t="str">
        <f ca="1">IFERROR(__xludf.DUMMYFUNCTION("""COMPUTED_VALUE"""),"Dubai")</f>
        <v>Dubai</v>
      </c>
      <c r="B6332" s="2" t="str">
        <f ca="1">IFERROR(__xludf.DUMMYFUNCTION("""COMPUTED_VALUE"""),"Al Salam Building")</f>
        <v>Al Salam Building</v>
      </c>
      <c r="C6332" s="2" t="str">
        <f ca="1">IFERROR(__xludf.DUMMYFUNCTION("""COMPUTED_VALUE"""),"Building")</f>
        <v>Building</v>
      </c>
      <c r="D6332" s="2" t="str">
        <f ca="1">IFERROR(__xludf.DUMMYFUNCTION("""COMPUTED_VALUE"""),"Dubai&gt;Liwan 2&gt;Al Salam Building")</f>
        <v>Dubai&gt;Liwan 2&gt;Al Salam Building</v>
      </c>
      <c r="E6332" s="2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</row>
    <row r="6333" spans="1:26" ht="16.5" x14ac:dyDescent="0.35">
      <c r="A6333" s="2" t="str">
        <f ca="1">IFERROR(__xludf.DUMMYFUNCTION("""COMPUTED_VALUE"""),"Dubai")</f>
        <v>Dubai</v>
      </c>
      <c r="B6333" s="2" t="str">
        <f ca="1">IFERROR(__xludf.DUMMYFUNCTION("""COMPUTED_VALUE"""),"Alba Residence")</f>
        <v>Alba Residence</v>
      </c>
      <c r="C6333" s="2" t="str">
        <f ca="1">IFERROR(__xludf.DUMMYFUNCTION("""COMPUTED_VALUE"""),"Building")</f>
        <v>Building</v>
      </c>
      <c r="D6333" s="2" t="str">
        <f ca="1">IFERROR(__xludf.DUMMYFUNCTION("""COMPUTED_VALUE"""),"Dubai&gt;Liwan 2&gt;Alba Residence")</f>
        <v>Dubai&gt;Liwan 2&gt;Alba Residence</v>
      </c>
      <c r="E6333" s="2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</row>
    <row r="6334" spans="1:26" ht="16.5" x14ac:dyDescent="0.35">
      <c r="A6334" s="2" t="str">
        <f ca="1">IFERROR(__xludf.DUMMYFUNCTION("""COMPUTED_VALUE"""),"Dubai")</f>
        <v>Dubai</v>
      </c>
      <c r="B6334" s="2" t="str">
        <f ca="1">IFERROR(__xludf.DUMMYFUNCTION("""COMPUTED_VALUE"""),"Dove Green Private School")</f>
        <v>Dove Green Private School</v>
      </c>
      <c r="C6334" s="2" t="str">
        <f ca="1">IFERROR(__xludf.DUMMYFUNCTION("""COMPUTED_VALUE"""),"School")</f>
        <v>School</v>
      </c>
      <c r="D6334" s="2" t="str">
        <f ca="1">IFERROR(__xludf.DUMMYFUNCTION("""COMPUTED_VALUE"""),"Dubai&gt;Dubai Investment Park (DIP)&gt;Dove Green Private School")</f>
        <v>Dubai&gt;Dubai Investment Park (DIP)&gt;Dove Green Private School</v>
      </c>
      <c r="E6334" s="2"/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</row>
    <row r="6335" spans="1:26" ht="16.5" x14ac:dyDescent="0.35">
      <c r="A6335" s="2" t="str">
        <f ca="1">IFERROR(__xludf.DUMMYFUNCTION("""COMPUTED_VALUE"""),"Dubai")</f>
        <v>Dubai</v>
      </c>
      <c r="B6335" s="2" t="str">
        <f ca="1">IFERROR(__xludf.DUMMYFUNCTION("""COMPUTED_VALUE"""),"Bayan Building")</f>
        <v>Bayan Building</v>
      </c>
      <c r="C6335" s="2" t="str">
        <f ca="1">IFERROR(__xludf.DUMMYFUNCTION("""COMPUTED_VALUE"""),"Building")</f>
        <v>Building</v>
      </c>
      <c r="D6335" s="2" t="str">
        <f ca="1">IFERROR(__xludf.DUMMYFUNCTION("""COMPUTED_VALUE"""),"Dubai&gt;Dubai Investment Park (DIP)&gt;Dubai Investment Park 1&gt;Bayan Building")</f>
        <v>Dubai&gt;Dubai Investment Park (DIP)&gt;Dubai Investment Park 1&gt;Bayan Building</v>
      </c>
      <c r="E6335" s="2"/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</row>
    <row r="6336" spans="1:26" ht="16.5" x14ac:dyDescent="0.35">
      <c r="A6336" s="2" t="str">
        <f ca="1">IFERROR(__xludf.DUMMYFUNCTION("""COMPUTED_VALUE"""),"Dubai")</f>
        <v>Dubai</v>
      </c>
      <c r="B6336" s="2" t="str">
        <f ca="1">IFERROR(__xludf.DUMMYFUNCTION("""COMPUTED_VALUE"""),"Palmon FZE B")</f>
        <v>Palmon FZE B</v>
      </c>
      <c r="C6336" s="2" t="str">
        <f ca="1">IFERROR(__xludf.DUMMYFUNCTION("""COMPUTED_VALUE"""),"Building")</f>
        <v>Building</v>
      </c>
      <c r="D6336" s="2" t="str">
        <f ca="1">IFERROR(__xludf.DUMMYFUNCTION("""COMPUTED_VALUE"""),"Dubai&gt;Dubai Investment Park (DIP)&gt;Dubai Investment Park 1&gt;Palmon Group FZCO Accommodation&gt;Palmon FZE B")</f>
        <v>Dubai&gt;Dubai Investment Park (DIP)&gt;Dubai Investment Park 1&gt;Palmon Group FZCO Accommodation&gt;Palmon FZE B</v>
      </c>
      <c r="E6336" s="2"/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</row>
    <row r="6337" spans="1:26" ht="16.5" x14ac:dyDescent="0.35">
      <c r="A6337" s="2" t="str">
        <f ca="1">IFERROR(__xludf.DUMMYFUNCTION("""COMPUTED_VALUE"""),"Dubai")</f>
        <v>Dubai</v>
      </c>
      <c r="B6337" s="2" t="str">
        <f ca="1">IFERROR(__xludf.DUMMYFUNCTION("""COMPUTED_VALUE"""),"Al Sondos Apartments")</f>
        <v>Al Sondos Apartments</v>
      </c>
      <c r="C6337" s="2" t="str">
        <f ca="1">IFERROR(__xludf.DUMMYFUNCTION("""COMPUTED_VALUE"""),"Cluster")</f>
        <v>Cluster</v>
      </c>
      <c r="D6337" s="2" t="str">
        <f ca="1">IFERROR(__xludf.DUMMYFUNCTION("""COMPUTED_VALUE"""),"Dubai&gt;Dubai Investment Park (DIP)&gt;Al Sondos Apartments")</f>
        <v>Dubai&gt;Dubai Investment Park (DIP)&gt;Al Sondos Apartments</v>
      </c>
      <c r="E6337" s="2"/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</row>
    <row r="6338" spans="1:26" ht="16.5" x14ac:dyDescent="0.35">
      <c r="A6338" s="2" t="str">
        <f ca="1">IFERROR(__xludf.DUMMYFUNCTION("""COMPUTED_VALUE"""),"Dubai")</f>
        <v>Dubai</v>
      </c>
      <c r="B6338" s="2" t="str">
        <f ca="1">IFERROR(__xludf.DUMMYFUNCTION("""COMPUTED_VALUE"""),"B2")</f>
        <v>B2</v>
      </c>
      <c r="C6338" s="2" t="str">
        <f ca="1">IFERROR(__xludf.DUMMYFUNCTION("""COMPUTED_VALUE"""),"Building")</f>
        <v>Building</v>
      </c>
      <c r="D6338" s="2" t="str">
        <f ca="1">IFERROR(__xludf.DUMMYFUNCTION("""COMPUTED_VALUE"""),"Dubai&gt;Dubai Investment Park (DIP)&gt;Dubai Investment Park 2&gt;Dunes Village&gt;B2")</f>
        <v>Dubai&gt;Dubai Investment Park (DIP)&gt;Dubai Investment Park 2&gt;Dunes Village&gt;B2</v>
      </c>
      <c r="E6338" s="2"/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</row>
    <row r="6339" spans="1:26" ht="16.5" x14ac:dyDescent="0.35">
      <c r="A6339" s="2" t="str">
        <f ca="1">IFERROR(__xludf.DUMMYFUNCTION("""COMPUTED_VALUE"""),"Dubai")</f>
        <v>Dubai</v>
      </c>
      <c r="B6339" s="2" t="str">
        <f ca="1">IFERROR(__xludf.DUMMYFUNCTION("""COMPUTED_VALUE"""),"Arenco Building S3")</f>
        <v>Arenco Building S3</v>
      </c>
      <c r="C6339" s="2" t="str">
        <f ca="1">IFERROR(__xludf.DUMMYFUNCTION("""COMPUTED_VALUE"""),"Building")</f>
        <v>Building</v>
      </c>
      <c r="D6339" s="2" t="str">
        <f ca="1">IFERROR(__xludf.DUMMYFUNCTION("""COMPUTED_VALUE"""),"Dubai&gt;Dubai Investment Park (DIP)&gt;Arenco Apartments&gt;Arenco Building S3")</f>
        <v>Dubai&gt;Dubai Investment Park (DIP)&gt;Arenco Apartments&gt;Arenco Building S3</v>
      </c>
      <c r="E6339" s="2"/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</row>
    <row r="6340" spans="1:26" ht="16.5" x14ac:dyDescent="0.35">
      <c r="A6340" s="2" t="str">
        <f ca="1">IFERROR(__xludf.DUMMYFUNCTION("""COMPUTED_VALUE"""),"Dubai")</f>
        <v>Dubai</v>
      </c>
      <c r="B6340" s="2" t="str">
        <f ca="1">IFERROR(__xludf.DUMMYFUNCTION("""COMPUTED_VALUE"""),"Royal 1")</f>
        <v>Royal 1</v>
      </c>
      <c r="C6340" s="2" t="str">
        <f ca="1">IFERROR(__xludf.DUMMYFUNCTION("""COMPUTED_VALUE"""),"Building")</f>
        <v>Building</v>
      </c>
      <c r="D6340" s="2" t="str">
        <f ca="1">IFERROR(__xludf.DUMMYFUNCTION("""COMPUTED_VALUE"""),"Dubai&gt;Dubai Investment Park (DIP)&gt;DAMAC Riverside&gt;Riverside Views&gt;Royal 1")</f>
        <v>Dubai&gt;Dubai Investment Park (DIP)&gt;DAMAC Riverside&gt;Riverside Views&gt;Royal 1</v>
      </c>
      <c r="E6340" s="2"/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</row>
    <row r="6341" spans="1:26" ht="16.5" x14ac:dyDescent="0.35">
      <c r="A6341" s="2" t="str">
        <f ca="1">IFERROR(__xludf.DUMMYFUNCTION("""COMPUTED_VALUE"""),"Dubai")</f>
        <v>Dubai</v>
      </c>
      <c r="B6341" s="2" t="str">
        <f ca="1">IFERROR(__xludf.DUMMYFUNCTION("""COMPUTED_VALUE"""),"Saleh Bin Lahej Building Majan")</f>
        <v>Saleh Bin Lahej Building Majan</v>
      </c>
      <c r="C6341" s="2" t="str">
        <f ca="1">IFERROR(__xludf.DUMMYFUNCTION("""COMPUTED_VALUE"""),"Building")</f>
        <v>Building</v>
      </c>
      <c r="D6341" s="2" t="str">
        <f ca="1">IFERROR(__xludf.DUMMYFUNCTION("""COMPUTED_VALUE"""),"Dubai&gt;Majan&gt;Saleh Bin Lahej Building Majan")</f>
        <v>Dubai&gt;Majan&gt;Saleh Bin Lahej Building Majan</v>
      </c>
      <c r="E6341" s="2"/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</row>
    <row r="6342" spans="1:26" ht="16.5" x14ac:dyDescent="0.35">
      <c r="A6342" s="2" t="str">
        <f ca="1">IFERROR(__xludf.DUMMYFUNCTION("""COMPUTED_VALUE"""),"Dubai")</f>
        <v>Dubai</v>
      </c>
      <c r="B6342" s="2" t="str">
        <f ca="1">IFERROR(__xludf.DUMMYFUNCTION("""COMPUTED_VALUE"""),"Baiy Tower")</f>
        <v>Baiy Tower</v>
      </c>
      <c r="C6342" s="2" t="str">
        <f ca="1">IFERROR(__xludf.DUMMYFUNCTION("""COMPUTED_VALUE"""),"Building")</f>
        <v>Building</v>
      </c>
      <c r="D6342" s="2" t="str">
        <f ca="1">IFERROR(__xludf.DUMMYFUNCTION("""COMPUTED_VALUE"""),"Dubai&gt;Majan&gt;Baiy Tower")</f>
        <v>Dubai&gt;Majan&gt;Baiy Tower</v>
      </c>
      <c r="E6342" s="2"/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</row>
    <row r="6343" spans="1:26" ht="16.5" x14ac:dyDescent="0.35">
      <c r="A6343" s="2" t="str">
        <f ca="1">IFERROR(__xludf.DUMMYFUNCTION("""COMPUTED_VALUE"""),"Dubai")</f>
        <v>Dubai</v>
      </c>
      <c r="B6343" s="2" t="str">
        <f ca="1">IFERROR(__xludf.DUMMYFUNCTION("""COMPUTED_VALUE"""),"Symphony by Chaimaa")</f>
        <v>Symphony by Chaimaa</v>
      </c>
      <c r="C6343" s="2" t="str">
        <f ca="1">IFERROR(__xludf.DUMMYFUNCTION("""COMPUTED_VALUE"""),"Building")</f>
        <v>Building</v>
      </c>
      <c r="D6343" s="2" t="str">
        <f ca="1">IFERROR(__xludf.DUMMYFUNCTION("""COMPUTED_VALUE"""),"Dubai&gt;Majan&gt;Symphony by Chaimaa")</f>
        <v>Dubai&gt;Majan&gt;Symphony by Chaimaa</v>
      </c>
      <c r="E6343" s="2"/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</row>
    <row r="6344" spans="1:26" ht="16.5" x14ac:dyDescent="0.35">
      <c r="A6344" s="2" t="str">
        <f ca="1">IFERROR(__xludf.DUMMYFUNCTION("""COMPUTED_VALUE"""),"Dubai")</f>
        <v>Dubai</v>
      </c>
      <c r="B6344" s="2" t="str">
        <f ca="1">IFERROR(__xludf.DUMMYFUNCTION("""COMPUTED_VALUE"""),"Margham")</f>
        <v>Margham</v>
      </c>
      <c r="C6344" s="2" t="str">
        <f ca="1">IFERROR(__xludf.DUMMYFUNCTION("""COMPUTED_VALUE"""),"Neighbourhood")</f>
        <v>Neighbourhood</v>
      </c>
      <c r="D6344" s="2" t="str">
        <f ca="1">IFERROR(__xludf.DUMMYFUNCTION("""COMPUTED_VALUE"""),"Dubai&gt;Margham")</f>
        <v>Dubai&gt;Margham</v>
      </c>
      <c r="E6344" s="2"/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</row>
    <row r="6345" spans="1:26" ht="16.5" x14ac:dyDescent="0.35">
      <c r="A6345" s="2" t="str">
        <f ca="1">IFERROR(__xludf.DUMMYFUNCTION("""COMPUTED_VALUE"""),"Dubai")</f>
        <v>Dubai</v>
      </c>
      <c r="B6345" s="2" t="str">
        <f ca="1">IFERROR(__xludf.DUMMYFUNCTION("""COMPUTED_VALUE"""),"Olivara Residences 3")</f>
        <v>Olivara Residences 3</v>
      </c>
      <c r="C6345" s="2" t="str">
        <f ca="1">IFERROR(__xludf.DUMMYFUNCTION("""COMPUTED_VALUE"""),"Building")</f>
        <v>Building</v>
      </c>
      <c r="D6345" s="2" t="str">
        <f ca="1">IFERROR(__xludf.DUMMYFUNCTION("""COMPUTED_VALUE"""),"Dubai&gt;Dubai Studio City&gt;Olivara Residences&gt;Olivara Residences 3")</f>
        <v>Dubai&gt;Dubai Studio City&gt;Olivara Residences&gt;Olivara Residences 3</v>
      </c>
      <c r="E6345" s="2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</row>
    <row r="6346" spans="1:26" ht="16.5" x14ac:dyDescent="0.35">
      <c r="A6346" s="2" t="str">
        <f ca="1">IFERROR(__xludf.DUMMYFUNCTION("""COMPUTED_VALUE"""),"Dubai")</f>
        <v>Dubai</v>
      </c>
      <c r="B6346" s="2" t="str">
        <f ca="1">IFERROR(__xludf.DUMMYFUNCTION("""COMPUTED_VALUE"""),"BS-16")</f>
        <v>BS-16</v>
      </c>
      <c r="C6346" s="2" t="str">
        <f ca="1">IFERROR(__xludf.DUMMYFUNCTION("""COMPUTED_VALUE"""),"Building")</f>
        <v>Building</v>
      </c>
      <c r="D6346" s="2" t="str">
        <f ca="1">IFERROR(__xludf.DUMMYFUNCTION("""COMPUTED_VALUE"""),"Dubai&gt;Dubai Studio City&gt;Boutique Studios&gt;BS-16")</f>
        <v>Dubai&gt;Dubai Studio City&gt;Boutique Studios&gt;BS-16</v>
      </c>
      <c r="E6346" s="2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</row>
    <row r="6347" spans="1:26" ht="16.5" x14ac:dyDescent="0.35">
      <c r="A6347" s="2" t="str">
        <f ca="1">IFERROR(__xludf.DUMMYFUNCTION("""COMPUTED_VALUE"""),"Dubai")</f>
        <v>Dubai</v>
      </c>
      <c r="B6347" s="2" t="str">
        <f ca="1">IFERROR(__xludf.DUMMYFUNCTION("""COMPUTED_VALUE"""),"The Terraces North")</f>
        <v>The Terraces North</v>
      </c>
      <c r="C6347" s="2" t="str">
        <f ca="1">IFERROR(__xludf.DUMMYFUNCTION("""COMPUTED_VALUE"""),"Building")</f>
        <v>Building</v>
      </c>
      <c r="D6347" s="2" t="str">
        <f ca="1">IFERROR(__xludf.DUMMYFUNCTION("""COMPUTED_VALUE"""),"Dubai&gt;Sobha Hartland&gt;The Terraces&gt;The Terraces North")</f>
        <v>Dubai&gt;Sobha Hartland&gt;The Terraces&gt;The Terraces North</v>
      </c>
      <c r="E6347" s="2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</row>
    <row r="6348" spans="1:26" ht="16.5" x14ac:dyDescent="0.35">
      <c r="A6348" s="2" t="str">
        <f ca="1">IFERROR(__xludf.DUMMYFUNCTION("""COMPUTED_VALUE"""),"Dubai")</f>
        <v>Dubai</v>
      </c>
      <c r="B6348" s="2" t="str">
        <f ca="1">IFERROR(__xludf.DUMMYFUNCTION("""COMPUTED_VALUE"""),"Sobha One")</f>
        <v>Sobha One</v>
      </c>
      <c r="C6348" s="2" t="str">
        <f ca="1">IFERROR(__xludf.DUMMYFUNCTION("""COMPUTED_VALUE"""),"Cluster")</f>
        <v>Cluster</v>
      </c>
      <c r="D6348" s="2" t="str">
        <f ca="1">IFERROR(__xludf.DUMMYFUNCTION("""COMPUTED_VALUE"""),"Dubai&gt;Sobha Hartland&gt;Sobha One")</f>
        <v>Dubai&gt;Sobha Hartland&gt;Sobha One</v>
      </c>
      <c r="E6348" s="2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</row>
    <row r="6349" spans="1:26" ht="16.5" x14ac:dyDescent="0.35">
      <c r="A6349" s="2" t="str">
        <f ca="1">IFERROR(__xludf.DUMMYFUNCTION("""COMPUTED_VALUE"""),"Dubai")</f>
        <v>Dubai</v>
      </c>
      <c r="B6349" s="2" t="str">
        <f ca="1">IFERROR(__xludf.DUMMYFUNCTION("""COMPUTED_VALUE"""),"Residences 1")</f>
        <v>Residences 1</v>
      </c>
      <c r="C6349" s="2" t="str">
        <f ca="1">IFERROR(__xludf.DUMMYFUNCTION("""COMPUTED_VALUE"""),"Cluster")</f>
        <v>Cluster</v>
      </c>
      <c r="D6349" s="2" t="str">
        <f ca="1">IFERROR(__xludf.DUMMYFUNCTION("""COMPUTED_VALUE"""),"Dubai&gt;Expo City&gt;Expo Village&gt;Residences 1")</f>
        <v>Dubai&gt;Expo City&gt;Expo Village&gt;Residences 1</v>
      </c>
      <c r="E6349" s="2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</row>
    <row r="6350" spans="1:26" ht="16.5" x14ac:dyDescent="0.35">
      <c r="A6350" s="2" t="str">
        <f ca="1">IFERROR(__xludf.DUMMYFUNCTION("""COMPUTED_VALUE"""),"Dubai")</f>
        <v>Dubai</v>
      </c>
      <c r="B6350" s="2" t="str">
        <f ca="1">IFERROR(__xludf.DUMMYFUNCTION("""COMPUTED_VALUE"""),"Mangrove Residences")</f>
        <v>Mangrove Residences</v>
      </c>
      <c r="C6350" s="2" t="str">
        <f ca="1">IFERROR(__xludf.DUMMYFUNCTION("""COMPUTED_VALUE"""),"Building")</f>
        <v>Building</v>
      </c>
      <c r="D6350" s="2" t="str">
        <f ca="1">IFERROR(__xludf.DUMMYFUNCTION("""COMPUTED_VALUE"""),"Dubai&gt;Expo City&gt;Mangrove Residences")</f>
        <v>Dubai&gt;Expo City&gt;Mangrove Residences</v>
      </c>
      <c r="E6350" s="2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</row>
    <row r="6351" spans="1:26" ht="16.5" x14ac:dyDescent="0.35">
      <c r="A6351" s="2" t="str">
        <f ca="1">IFERROR(__xludf.DUMMYFUNCTION("""COMPUTED_VALUE"""),"Dubai")</f>
        <v>Dubai</v>
      </c>
      <c r="B6351" s="2" t="str">
        <f ca="1">IFERROR(__xludf.DUMMYFUNCTION("""COMPUTED_VALUE"""),"Zuha Island")</f>
        <v>Zuha Island</v>
      </c>
      <c r="C6351" s="2" t="str">
        <f ca="1">IFERROR(__xludf.DUMMYFUNCTION("""COMPUTED_VALUE"""),"Neighbourhood")</f>
        <v>Neighbourhood</v>
      </c>
      <c r="D6351" s="2" t="str">
        <f ca="1">IFERROR(__xludf.DUMMYFUNCTION("""COMPUTED_VALUE"""),"Dubai&gt;The World Islands&gt;Zuha Island")</f>
        <v>Dubai&gt;The World Islands&gt;Zuha Island</v>
      </c>
      <c r="E6351" s="2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</row>
    <row r="6352" spans="1:26" ht="16.5" x14ac:dyDescent="0.35">
      <c r="A6352" s="2" t="str">
        <f ca="1">IFERROR(__xludf.DUMMYFUNCTION("""COMPUTED_VALUE"""),"Dubai")</f>
        <v>Dubai</v>
      </c>
      <c r="B6352" s="2" t="str">
        <f ca="1">IFERROR(__xludf.DUMMYFUNCTION("""COMPUTED_VALUE"""),"Al Maha")</f>
        <v>Al Maha</v>
      </c>
      <c r="C6352" s="2" t="str">
        <f ca="1">IFERROR(__xludf.DUMMYFUNCTION("""COMPUTED_VALUE"""),"Neighbourhood")</f>
        <v>Neighbourhood</v>
      </c>
      <c r="D6352" s="2" t="str">
        <f ca="1">IFERROR(__xludf.DUMMYFUNCTION("""COMPUTED_VALUE"""),"Dubai&gt;Al Maha")</f>
        <v>Dubai&gt;Al Maha</v>
      </c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</row>
    <row r="6353" spans="1:26" ht="16.5" x14ac:dyDescent="0.35">
      <c r="A6353" s="2" t="str">
        <f ca="1">IFERROR(__xludf.DUMMYFUNCTION("""COMPUTED_VALUE"""),"Dubai")</f>
        <v>Dubai</v>
      </c>
      <c r="B6353" s="2" t="str">
        <f ca="1">IFERROR(__xludf.DUMMYFUNCTION("""COMPUTED_VALUE"""),"Ghaf Woods")</f>
        <v>Ghaf Woods</v>
      </c>
      <c r="C6353" s="2" t="str">
        <f ca="1">IFERROR(__xludf.DUMMYFUNCTION("""COMPUTED_VALUE"""),"Neighbourhood")</f>
        <v>Neighbourhood</v>
      </c>
      <c r="D6353" s="2" t="str">
        <f ca="1">IFERROR(__xludf.DUMMYFUNCTION("""COMPUTED_VALUE"""),"Dubai&gt;Ghaf Woods")</f>
        <v>Dubai&gt;Ghaf Woods</v>
      </c>
      <c r="E6353" s="2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</row>
    <row r="6354" spans="1:26" ht="16.5" x14ac:dyDescent="0.35">
      <c r="A6354" s="2" t="str">
        <f ca="1">IFERROR(__xludf.DUMMYFUNCTION("""COMPUTED_VALUE"""),"Dubai")</f>
        <v>Dubai</v>
      </c>
      <c r="B6354" s="2" t="str">
        <f ca="1">IFERROR(__xludf.DUMMYFUNCTION("""COMPUTED_VALUE"""),"Maravelle Residences Building 1")</f>
        <v>Maravelle Residences Building 1</v>
      </c>
      <c r="C6354" s="2" t="str">
        <f ca="1">IFERROR(__xludf.DUMMYFUNCTION("""COMPUTED_VALUE"""),"Building")</f>
        <v>Building</v>
      </c>
      <c r="D6354" s="2" t="str">
        <f ca="1">IFERROR(__xludf.DUMMYFUNCTION("""COMPUTED_VALUE"""),"Dubai&gt;Ghaf Woods&gt;Maravelle Residences&gt;Maravelle Residences Building 1")</f>
        <v>Dubai&gt;Ghaf Woods&gt;Maravelle Residences&gt;Maravelle Residences Building 1</v>
      </c>
      <c r="E6354" s="2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</row>
    <row r="6355" spans="1:26" ht="16.5" x14ac:dyDescent="0.35">
      <c r="A6355" s="2" t="str">
        <f ca="1">IFERROR(__xludf.DUMMYFUNCTION("""COMPUTED_VALUE"""),"Dubai")</f>
        <v>Dubai</v>
      </c>
      <c r="B6355" s="2" t="str">
        <f ca="1">IFERROR(__xludf.DUMMYFUNCTION("""COMPUTED_VALUE"""),"Shams 3")</f>
        <v>Shams 3</v>
      </c>
      <c r="C6355" s="2" t="str">
        <f ca="1">IFERROR(__xludf.DUMMYFUNCTION("""COMPUTED_VALUE"""),"Building")</f>
        <v>Building</v>
      </c>
      <c r="D6355" s="2" t="str">
        <f ca="1">IFERROR(__xludf.DUMMYFUNCTION("""COMPUTED_VALUE"""),"Dubai&gt;Jumeirah Beach Residence (JBR)&gt;Shams&gt;Shams 3")</f>
        <v>Dubai&gt;Jumeirah Beach Residence (JBR)&gt;Shams&gt;Shams 3</v>
      </c>
      <c r="E6355" s="2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</row>
    <row r="6356" spans="1:26" ht="16.5" x14ac:dyDescent="0.35">
      <c r="A6356" s="2" t="str">
        <f ca="1">IFERROR(__xludf.DUMMYFUNCTION("""COMPUTED_VALUE"""),"Dubai")</f>
        <v>Dubai</v>
      </c>
      <c r="B6356" s="2" t="str">
        <f ca="1">IFERROR(__xludf.DUMMYFUNCTION("""COMPUTED_VALUE"""),"Sadaf 4")</f>
        <v>Sadaf 4</v>
      </c>
      <c r="C6356" s="2" t="str">
        <f ca="1">IFERROR(__xludf.DUMMYFUNCTION("""COMPUTED_VALUE"""),"Building")</f>
        <v>Building</v>
      </c>
      <c r="D6356" s="2" t="str">
        <f ca="1">IFERROR(__xludf.DUMMYFUNCTION("""COMPUTED_VALUE"""),"Dubai&gt;Jumeirah Beach Residence (JBR)&gt;Sadaf&gt;Sadaf 4")</f>
        <v>Dubai&gt;Jumeirah Beach Residence (JBR)&gt;Sadaf&gt;Sadaf 4</v>
      </c>
      <c r="E6356" s="2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</row>
    <row r="6357" spans="1:26" ht="16.5" x14ac:dyDescent="0.35">
      <c r="A6357" s="2" t="str">
        <f ca="1">IFERROR(__xludf.DUMMYFUNCTION("""COMPUTED_VALUE"""),"Dubai")</f>
        <v>Dubai</v>
      </c>
      <c r="B6357" s="2" t="str">
        <f ca="1">IFERROR(__xludf.DUMMYFUNCTION("""COMPUTED_VALUE"""),"Meydan Horizon")</f>
        <v>Meydan Horizon</v>
      </c>
      <c r="C6357" s="2" t="str">
        <f ca="1">IFERROR(__xludf.DUMMYFUNCTION("""COMPUTED_VALUE"""),"Neighbourhood")</f>
        <v>Neighbourhood</v>
      </c>
      <c r="D6357" s="2" t="str">
        <f ca="1">IFERROR(__xludf.DUMMYFUNCTION("""COMPUTED_VALUE"""),"Dubai&gt;Meydan Horizon")</f>
        <v>Dubai&gt;Meydan Horizon</v>
      </c>
      <c r="E6357" s="2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</row>
    <row r="6358" spans="1:26" ht="16.5" x14ac:dyDescent="0.35">
      <c r="A6358" s="2" t="str">
        <f ca="1">IFERROR(__xludf.DUMMYFUNCTION("""COMPUTED_VALUE"""),"Dubai")</f>
        <v>Dubai</v>
      </c>
      <c r="B6358" s="2" t="str">
        <f ca="1">IFERROR(__xludf.DUMMYFUNCTION("""COMPUTED_VALUE"""),"Cuba")</f>
        <v>Cuba</v>
      </c>
      <c r="C6358" s="2" t="str">
        <f ca="1">IFERROR(__xludf.DUMMYFUNCTION("""COMPUTED_VALUE"""),"Neighbourhood")</f>
        <v>Neighbourhood</v>
      </c>
      <c r="D6358" s="2" t="str">
        <f ca="1">IFERROR(__xludf.DUMMYFUNCTION("""COMPUTED_VALUE"""),"Dubai&gt;DAMAC Islands 2&gt;Cuba")</f>
        <v>Dubai&gt;DAMAC Islands 2&gt;Cuba</v>
      </c>
      <c r="E6358" s="2"/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</row>
    <row r="6359" spans="1:26" ht="16.5" x14ac:dyDescent="0.35">
      <c r="A6359" s="2" t="str">
        <f ca="1">IFERROR(__xludf.DUMMYFUNCTION("""COMPUTED_VALUE"""),"Dubai")</f>
        <v>Dubai</v>
      </c>
      <c r="B6359" s="2" t="str">
        <f ca="1">IFERROR(__xludf.DUMMYFUNCTION("""COMPUTED_VALUE"""),"Building 2A")</f>
        <v>Building 2A</v>
      </c>
      <c r="C6359" s="2" t="str">
        <f ca="1">IFERROR(__xludf.DUMMYFUNCTION("""COMPUTED_VALUE"""),"Building")</f>
        <v>Building</v>
      </c>
      <c r="D6359" s="2" t="str">
        <f ca="1">IFERROR(__xludf.DUMMYFUNCTION("""COMPUTED_VALUE"""),"Dubai&gt;Al Wasl&gt;City Walk&gt;Building 2A")</f>
        <v>Dubai&gt;Al Wasl&gt;City Walk&gt;Building 2A</v>
      </c>
      <c r="E6359" s="2"/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</row>
    <row r="6360" spans="1:26" ht="16.5" x14ac:dyDescent="0.35">
      <c r="A6360" s="2" t="str">
        <f ca="1">IFERROR(__xludf.DUMMYFUNCTION("""COMPUTED_VALUE"""),"Dubai")</f>
        <v>Dubai</v>
      </c>
      <c r="B6360" s="2" t="str">
        <f ca="1">IFERROR(__xludf.DUMMYFUNCTION("""COMPUTED_VALUE"""),"Building 4A")</f>
        <v>Building 4A</v>
      </c>
      <c r="C6360" s="2" t="str">
        <f ca="1">IFERROR(__xludf.DUMMYFUNCTION("""COMPUTED_VALUE"""),"Building")</f>
        <v>Building</v>
      </c>
      <c r="D6360" s="2" t="str">
        <f ca="1">IFERROR(__xludf.DUMMYFUNCTION("""COMPUTED_VALUE"""),"Dubai&gt;Al Wasl&gt;City Walk&gt;Building 4A")</f>
        <v>Dubai&gt;Al Wasl&gt;City Walk&gt;Building 4A</v>
      </c>
      <c r="E6360" s="2"/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</row>
    <row r="6361" spans="1:26" ht="16.5" x14ac:dyDescent="0.35">
      <c r="A6361" s="2" t="str">
        <f ca="1">IFERROR(__xludf.DUMMYFUNCTION("""COMPUTED_VALUE"""),"Dubai")</f>
        <v>Dubai</v>
      </c>
      <c r="B6361" s="2" t="str">
        <f ca="1">IFERROR(__xludf.DUMMYFUNCTION("""COMPUTED_VALUE"""),"Emarat Atrium Building")</f>
        <v>Emarat Atrium Building</v>
      </c>
      <c r="C6361" s="2" t="str">
        <f ca="1">IFERROR(__xludf.DUMMYFUNCTION("""COMPUTED_VALUE"""),"Building")</f>
        <v>Building</v>
      </c>
      <c r="D6361" s="2" t="str">
        <f ca="1">IFERROR(__xludf.DUMMYFUNCTION("""COMPUTED_VALUE"""),"Dubai&gt;Al Wasl&gt;Emarat Atrium Building")</f>
        <v>Dubai&gt;Al Wasl&gt;Emarat Atrium Building</v>
      </c>
      <c r="E6361" s="2"/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</row>
    <row r="6362" spans="1:26" ht="16.5" x14ac:dyDescent="0.35">
      <c r="A6362" s="2" t="str">
        <f ca="1">IFERROR(__xludf.DUMMYFUNCTION("""COMPUTED_VALUE"""),"Dubai")</f>
        <v>Dubai</v>
      </c>
      <c r="B6362" s="2" t="str">
        <f ca="1">IFERROR(__xludf.DUMMYFUNCTION("""COMPUTED_VALUE"""),"Eden House The Park Building F")</f>
        <v>Eden House The Park Building F</v>
      </c>
      <c r="C6362" s="2" t="str">
        <f ca="1">IFERROR(__xludf.DUMMYFUNCTION("""COMPUTED_VALUE"""),"Building")</f>
        <v>Building</v>
      </c>
      <c r="D6362" s="2" t="str">
        <f ca="1">IFERROR(__xludf.DUMMYFUNCTION("""COMPUTED_VALUE"""),"Dubai&gt;Al Wasl&gt;Eden House The Park&gt;Eden House The Park Building F")</f>
        <v>Dubai&gt;Al Wasl&gt;Eden House The Park&gt;Eden House The Park Building F</v>
      </c>
      <c r="E6362" s="2"/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</row>
    <row r="6363" spans="1:26" ht="16.5" x14ac:dyDescent="0.35">
      <c r="A6363" s="2" t="str">
        <f ca="1">IFERROR(__xludf.DUMMYFUNCTION("""COMPUTED_VALUE"""),"Dubai")</f>
        <v>Dubai</v>
      </c>
      <c r="B6363" s="2" t="str">
        <f ca="1">IFERROR(__xludf.DUMMYFUNCTION("""COMPUTED_VALUE"""),"Samana Hills")</f>
        <v>Samana Hills</v>
      </c>
      <c r="C6363" s="2" t="str">
        <f ca="1">IFERROR(__xludf.DUMMYFUNCTION("""COMPUTED_VALUE"""),"Building")</f>
        <v>Building</v>
      </c>
      <c r="D6363" s="2" t="str">
        <f ca="1">IFERROR(__xludf.DUMMYFUNCTION("""COMPUTED_VALUE"""),"Dubai&gt;Arjan&gt;Samana Hills")</f>
        <v>Dubai&gt;Arjan&gt;Samana Hills</v>
      </c>
      <c r="E6363" s="2"/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</row>
    <row r="6364" spans="1:26" ht="16.5" x14ac:dyDescent="0.35">
      <c r="A6364" s="2" t="str">
        <f ca="1">IFERROR(__xludf.DUMMYFUNCTION("""COMPUTED_VALUE"""),"Dubai")</f>
        <v>Dubai</v>
      </c>
      <c r="B6364" s="2" t="str">
        <f ca="1">IFERROR(__xludf.DUMMYFUNCTION("""COMPUTED_VALUE"""),"Diamond Business Centre Block B")</f>
        <v>Diamond Business Centre Block B</v>
      </c>
      <c r="C6364" s="2" t="str">
        <f ca="1">IFERROR(__xludf.DUMMYFUNCTION("""COMPUTED_VALUE"""),"Building")</f>
        <v>Building</v>
      </c>
      <c r="D6364" s="2" t="str">
        <f ca="1">IFERROR(__xludf.DUMMYFUNCTION("""COMPUTED_VALUE"""),"Dubai&gt;Arjan&gt;Diamond Business Centre&gt;Diamond Business Centre Block B")</f>
        <v>Dubai&gt;Arjan&gt;Diamond Business Centre&gt;Diamond Business Centre Block B</v>
      </c>
      <c r="E6364" s="2"/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</row>
    <row r="6365" spans="1:26" ht="16.5" x14ac:dyDescent="0.35">
      <c r="A6365" s="2" t="str">
        <f ca="1">IFERROR(__xludf.DUMMYFUNCTION("""COMPUTED_VALUE"""),"Dubai")</f>
        <v>Dubai</v>
      </c>
      <c r="B6365" s="2" t="str">
        <f ca="1">IFERROR(__xludf.DUMMYFUNCTION("""COMPUTED_VALUE"""),"Samana Greens")</f>
        <v>Samana Greens</v>
      </c>
      <c r="C6365" s="2" t="str">
        <f ca="1">IFERROR(__xludf.DUMMYFUNCTION("""COMPUTED_VALUE"""),"Building")</f>
        <v>Building</v>
      </c>
      <c r="D6365" s="2" t="str">
        <f ca="1">IFERROR(__xludf.DUMMYFUNCTION("""COMPUTED_VALUE"""),"Dubai&gt;Arjan&gt;Samana Greens")</f>
        <v>Dubai&gt;Arjan&gt;Samana Greens</v>
      </c>
      <c r="E6365" s="2"/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</row>
    <row r="6366" spans="1:26" ht="16.5" x14ac:dyDescent="0.35">
      <c r="A6366" s="2" t="str">
        <f ca="1">IFERROR(__xludf.DUMMYFUNCTION("""COMPUTED_VALUE"""),"Dubai")</f>
        <v>Dubai</v>
      </c>
      <c r="B6366" s="2" t="str">
        <f ca="1">IFERROR(__xludf.DUMMYFUNCTION("""COMPUTED_VALUE"""),"Art Gardens Block A")</f>
        <v>Art Gardens Block A</v>
      </c>
      <c r="C6366" s="2" t="str">
        <f ca="1">IFERROR(__xludf.DUMMYFUNCTION("""COMPUTED_VALUE"""),"Building")</f>
        <v>Building</v>
      </c>
      <c r="D6366" s="2" t="str">
        <f ca="1">IFERROR(__xludf.DUMMYFUNCTION("""COMPUTED_VALUE"""),"Dubai&gt;Arjan&gt;Art Garden&gt;Art Gardens Block A")</f>
        <v>Dubai&gt;Arjan&gt;Art Garden&gt;Art Gardens Block A</v>
      </c>
      <c r="E6366" s="2"/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</row>
    <row r="6367" spans="1:26" ht="16.5" x14ac:dyDescent="0.35">
      <c r="A6367" s="2" t="str">
        <f ca="1">IFERROR(__xludf.DUMMYFUNCTION("""COMPUTED_VALUE"""),"Dubai")</f>
        <v>Dubai</v>
      </c>
      <c r="B6367" s="2" t="str">
        <f ca="1">IFERROR(__xludf.DUMMYFUNCTION("""COMPUTED_VALUE"""),"Masar 1 Residence")</f>
        <v>Masar 1 Residence</v>
      </c>
      <c r="C6367" s="2" t="str">
        <f ca="1">IFERROR(__xludf.DUMMYFUNCTION("""COMPUTED_VALUE"""),"Building")</f>
        <v>Building</v>
      </c>
      <c r="D6367" s="2" t="str">
        <f ca="1">IFERROR(__xludf.DUMMYFUNCTION("""COMPUTED_VALUE"""),"Dubai&gt;Arjan&gt;Masar 1 Residence")</f>
        <v>Dubai&gt;Arjan&gt;Masar 1 Residence</v>
      </c>
      <c r="E6367" s="2"/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</row>
    <row r="6368" spans="1:26" ht="16.5" x14ac:dyDescent="0.35">
      <c r="A6368" s="2" t="str">
        <f ca="1">IFERROR(__xludf.DUMMYFUNCTION("""COMPUTED_VALUE"""),"Dubai")</f>
        <v>Dubai</v>
      </c>
      <c r="B6368" s="2" t="str">
        <f ca="1">IFERROR(__xludf.DUMMYFUNCTION("""COMPUTED_VALUE"""),"One Beverly")</f>
        <v>One Beverly</v>
      </c>
      <c r="C6368" s="2" t="str">
        <f ca="1">IFERROR(__xludf.DUMMYFUNCTION("""COMPUTED_VALUE"""),"Building")</f>
        <v>Building</v>
      </c>
      <c r="D6368" s="2" t="str">
        <f ca="1">IFERROR(__xludf.DUMMYFUNCTION("""COMPUTED_VALUE"""),"Dubai&gt;Arjan&gt;One Beverly")</f>
        <v>Dubai&gt;Arjan&gt;One Beverly</v>
      </c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</row>
    <row r="6369" spans="1:26" ht="16.5" x14ac:dyDescent="0.35">
      <c r="A6369" s="2" t="str">
        <f ca="1">IFERROR(__xludf.DUMMYFUNCTION("""COMPUTED_VALUE"""),"Dubai")</f>
        <v>Dubai</v>
      </c>
      <c r="B6369" s="2" t="str">
        <f ca="1">IFERROR(__xludf.DUMMYFUNCTION("""COMPUTED_VALUE"""),"Jumeirah English Speaking School, Al Safa")</f>
        <v>Jumeirah English Speaking School, Al Safa</v>
      </c>
      <c r="C6369" s="2" t="str">
        <f ca="1">IFERROR(__xludf.DUMMYFUNCTION("""COMPUTED_VALUE"""),"School")</f>
        <v>School</v>
      </c>
      <c r="D6369" s="2" t="str">
        <f ca="1">IFERROR(__xludf.DUMMYFUNCTION("""COMPUTED_VALUE"""),"Dubai&gt;Al Safa&gt;Al Safa 1&gt;Jumeirah English Speaking School, Al Safa")</f>
        <v>Dubai&gt;Al Safa&gt;Al Safa 1&gt;Jumeirah English Speaking School, Al Safa</v>
      </c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</row>
    <row r="6370" spans="1:26" ht="16.5" x14ac:dyDescent="0.35">
      <c r="A6370" s="2" t="str">
        <f ca="1">IFERROR(__xludf.DUMMYFUNCTION("""COMPUTED_VALUE"""),"Dubai")</f>
        <v>Dubai</v>
      </c>
      <c r="B6370" s="2" t="str">
        <f ca="1">IFERROR(__xludf.DUMMYFUNCTION("""COMPUTED_VALUE"""),"DMC 8")</f>
        <v>DMC 8</v>
      </c>
      <c r="C6370" s="2" t="str">
        <f ca="1">IFERROR(__xludf.DUMMYFUNCTION("""COMPUTED_VALUE"""),"Building")</f>
        <v>Building</v>
      </c>
      <c r="D6370" s="2" t="str">
        <f ca="1">IFERROR(__xludf.DUMMYFUNCTION("""COMPUTED_VALUE"""),"Dubai&gt;Dubai Media City&gt;DMC 8")</f>
        <v>Dubai&gt;Dubai Media City&gt;DMC 8</v>
      </c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</row>
    <row r="6371" spans="1:26" ht="16.5" x14ac:dyDescent="0.35">
      <c r="A6371" s="2" t="str">
        <f ca="1">IFERROR(__xludf.DUMMYFUNCTION("""COMPUTED_VALUE"""),"Abu Dhabi")</f>
        <v>Abu Dhabi</v>
      </c>
      <c r="B6371" s="2" t="str">
        <f ca="1">IFERROR(__xludf.DUMMYFUNCTION("""COMPUTED_VALUE"""),"ABC Nursery")</f>
        <v>ABC Nursery</v>
      </c>
      <c r="C6371" s="2" t="str">
        <f ca="1">IFERROR(__xludf.DUMMYFUNCTION("""COMPUTED_VALUE"""),"Nursery")</f>
        <v>Nursery</v>
      </c>
      <c r="D6371" s="2" t="str">
        <f ca="1">IFERROR(__xludf.DUMMYFUNCTION("""COMPUTED_VALUE"""),"Abu Dhabi&gt;Al Nahyan&gt;ABC Nursery")</f>
        <v>Abu Dhabi&gt;Al Nahyan&gt;ABC Nursery</v>
      </c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</row>
    <row r="6372" spans="1:26" ht="16.5" x14ac:dyDescent="0.35">
      <c r="A6372" s="2" t="str">
        <f ca="1">IFERROR(__xludf.DUMMYFUNCTION("""COMPUTED_VALUE"""),"Abu Dhabi")</f>
        <v>Abu Dhabi</v>
      </c>
      <c r="B6372" s="2" t="str">
        <f ca="1">IFERROR(__xludf.DUMMYFUNCTION("""COMPUTED_VALUE"""),"Al Bateen Villas")</f>
        <v>Al Bateen Villas</v>
      </c>
      <c r="C6372" s="2" t="str">
        <f ca="1">IFERROR(__xludf.DUMMYFUNCTION("""COMPUTED_VALUE"""),"Neighbourhood")</f>
        <v>Neighbourhood</v>
      </c>
      <c r="D6372" s="2" t="str">
        <f ca="1">IFERROR(__xludf.DUMMYFUNCTION("""COMPUTED_VALUE"""),"Abu Dhabi&gt;Al Bateen&gt;Al Bateen Villas")</f>
        <v>Abu Dhabi&gt;Al Bateen&gt;Al Bateen Villas</v>
      </c>
      <c r="E6372" s="2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</row>
    <row r="6373" spans="1:26" ht="16.5" x14ac:dyDescent="0.35">
      <c r="A6373" s="2" t="str">
        <f ca="1">IFERROR(__xludf.DUMMYFUNCTION("""COMPUTED_VALUE"""),"Abu Dhabi")</f>
        <v>Abu Dhabi</v>
      </c>
      <c r="B6373" s="2" t="str">
        <f ca="1">IFERROR(__xludf.DUMMYFUNCTION("""COMPUTED_VALUE"""),"Marriott Executive Apartments Downtown")</f>
        <v>Marriott Executive Apartments Downtown</v>
      </c>
      <c r="C6373" s="2" t="str">
        <f ca="1">IFERROR(__xludf.DUMMYFUNCTION("""COMPUTED_VALUE"""),"Building")</f>
        <v>Building</v>
      </c>
      <c r="D6373" s="2" t="str">
        <f ca="1">IFERROR(__xludf.DUMMYFUNCTION("""COMPUTED_VALUE"""),"Abu Dhabi&gt;Airport Street&gt;Marriott Executive Apartments Downtown")</f>
        <v>Abu Dhabi&gt;Airport Street&gt;Marriott Executive Apartments Downtown</v>
      </c>
      <c r="E6373" s="2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</row>
    <row r="6374" spans="1:26" ht="16.5" x14ac:dyDescent="0.35">
      <c r="A6374" s="2" t="str">
        <f ca="1">IFERROR(__xludf.DUMMYFUNCTION("""COMPUTED_VALUE"""),"Abu Dhabi")</f>
        <v>Abu Dhabi</v>
      </c>
      <c r="B6374" s="2" t="str">
        <f ca="1">IFERROR(__xludf.DUMMYFUNCTION("""COMPUTED_VALUE"""),"Sheikh Suroor Building")</f>
        <v>Sheikh Suroor Building</v>
      </c>
      <c r="C6374" s="2" t="str">
        <f ca="1">IFERROR(__xludf.DUMMYFUNCTION("""COMPUTED_VALUE"""),"Building")</f>
        <v>Building</v>
      </c>
      <c r="D6374" s="2" t="str">
        <f ca="1">IFERROR(__xludf.DUMMYFUNCTION("""COMPUTED_VALUE"""),"Abu Dhabi&gt;Tourist Club Area (TCA)&gt;Sheikh Suroor Building")</f>
        <v>Abu Dhabi&gt;Tourist Club Area (TCA)&gt;Sheikh Suroor Building</v>
      </c>
      <c r="E6374" s="2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</row>
    <row r="6375" spans="1:26" ht="16.5" x14ac:dyDescent="0.35">
      <c r="A6375" s="2" t="str">
        <f ca="1">IFERROR(__xludf.DUMMYFUNCTION("""COMPUTED_VALUE"""),"Abu Dhabi")</f>
        <v>Abu Dhabi</v>
      </c>
      <c r="B6375" s="2" t="str">
        <f ca="1">IFERROR(__xludf.DUMMYFUNCTION("""COMPUTED_VALUE"""),"Mushrif Gardens")</f>
        <v>Mushrif Gardens</v>
      </c>
      <c r="C6375" s="2" t="str">
        <f ca="1">IFERROR(__xludf.DUMMYFUNCTION("""COMPUTED_VALUE"""),"Neighbourhood")</f>
        <v>Neighbourhood</v>
      </c>
      <c r="D6375" s="2" t="str">
        <f ca="1">IFERROR(__xludf.DUMMYFUNCTION("""COMPUTED_VALUE"""),"Abu Dhabi&gt;Al Mushrif&gt;Mushrif Gardens")</f>
        <v>Abu Dhabi&gt;Al Mushrif&gt;Mushrif Gardens</v>
      </c>
      <c r="E6375" s="2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</row>
    <row r="6376" spans="1:26" ht="16.5" x14ac:dyDescent="0.35">
      <c r="A6376" s="2" t="str">
        <f ca="1">IFERROR(__xludf.DUMMYFUNCTION("""COMPUTED_VALUE"""),"Abu Dhabi")</f>
        <v>Abu Dhabi</v>
      </c>
      <c r="B6376" s="2" t="str">
        <f ca="1">IFERROR(__xludf.DUMMYFUNCTION("""COMPUTED_VALUE"""),"Ministries Complex")</f>
        <v>Ministries Complex</v>
      </c>
      <c r="C6376" s="2" t="str">
        <f ca="1">IFERROR(__xludf.DUMMYFUNCTION("""COMPUTED_VALUE"""),"Neighbourhood")</f>
        <v>Neighbourhood</v>
      </c>
      <c r="D6376" s="2" t="str">
        <f ca="1">IFERROR(__xludf.DUMMYFUNCTION("""COMPUTED_VALUE"""),"Abu Dhabi&gt;Al Muntazah&gt;Ministries Complex")</f>
        <v>Abu Dhabi&gt;Al Muntazah&gt;Ministries Complex</v>
      </c>
      <c r="E6376" s="2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</row>
    <row r="6377" spans="1:26" ht="16.5" x14ac:dyDescent="0.35">
      <c r="A6377" s="2" t="str">
        <f ca="1">IFERROR(__xludf.DUMMYFUNCTION("""COMPUTED_VALUE"""),"Abu Dhabi")</f>
        <v>Abu Dhabi</v>
      </c>
      <c r="B6377" s="2" t="str">
        <f ca="1">IFERROR(__xludf.DUMMYFUNCTION("""COMPUTED_VALUE"""),"Summit International School, Abu Dhabi")</f>
        <v>Summit International School, Abu Dhabi</v>
      </c>
      <c r="C6377" s="2" t="str">
        <f ca="1">IFERROR(__xludf.DUMMYFUNCTION("""COMPUTED_VALUE"""),"School")</f>
        <v>School</v>
      </c>
      <c r="D6377" s="2" t="str">
        <f ca="1">IFERROR(__xludf.DUMMYFUNCTION("""COMPUTED_VALUE"""),"Abu Dhabi&gt;Baniyas&gt;Summit International School, Abu Dhabi")</f>
        <v>Abu Dhabi&gt;Baniyas&gt;Summit International School, Abu Dhabi</v>
      </c>
      <c r="E6377" s="2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</row>
    <row r="6378" spans="1:26" ht="16.5" x14ac:dyDescent="0.35">
      <c r="A6378" s="2" t="str">
        <f ca="1">IFERROR(__xludf.DUMMYFUNCTION("""COMPUTED_VALUE"""),"Abu Dhabi")</f>
        <v>Abu Dhabi</v>
      </c>
      <c r="B6378" s="2" t="str">
        <f ca="1">IFERROR(__xludf.DUMMYFUNCTION("""COMPUTED_VALUE"""),"Cluster F")</f>
        <v>Cluster F</v>
      </c>
      <c r="C6378" s="2" t="str">
        <f ca="1">IFERROR(__xludf.DUMMYFUNCTION("""COMPUTED_VALUE"""),"Building")</f>
        <v>Building</v>
      </c>
      <c r="D6378" s="2" t="str">
        <f ca="1">IFERROR(__xludf.DUMMYFUNCTION("""COMPUTED_VALUE"""),"Abu Dhabi&gt;Masdar City&gt;Royal Park&gt;Cluster F")</f>
        <v>Abu Dhabi&gt;Masdar City&gt;Royal Park&gt;Cluster F</v>
      </c>
      <c r="E6378" s="2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</row>
    <row r="6379" spans="1:26" ht="16.5" x14ac:dyDescent="0.35">
      <c r="A6379" s="2" t="str">
        <f ca="1">IFERROR(__xludf.DUMMYFUNCTION("""COMPUTED_VALUE"""),"Abu Dhabi")</f>
        <v>Abu Dhabi</v>
      </c>
      <c r="B6379" s="2" t="str">
        <f ca="1">IFERROR(__xludf.DUMMYFUNCTION("""COMPUTED_VALUE"""),"Madinat Zayed Tower")</f>
        <v>Madinat Zayed Tower</v>
      </c>
      <c r="C6379" s="2" t="str">
        <f ca="1">IFERROR(__xludf.DUMMYFUNCTION("""COMPUTED_VALUE"""),"Building")</f>
        <v>Building</v>
      </c>
      <c r="D6379" s="2" t="str">
        <f ca="1">IFERROR(__xludf.DUMMYFUNCTION("""COMPUTED_VALUE"""),"Abu Dhabi&gt;Al Danah&gt;Madinat Zayed Tower")</f>
        <v>Abu Dhabi&gt;Al Danah&gt;Madinat Zayed Tower</v>
      </c>
      <c r="E6379" s="2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</row>
    <row r="6380" spans="1:26" ht="16.5" x14ac:dyDescent="0.35">
      <c r="A6380" s="2" t="str">
        <f ca="1">IFERROR(__xludf.DUMMYFUNCTION("""COMPUTED_VALUE"""),"Abu Dhabi")</f>
        <v>Abu Dhabi</v>
      </c>
      <c r="B6380" s="2" t="str">
        <f ca="1">IFERROR(__xludf.DUMMYFUNCTION("""COMPUTED_VALUE"""),"Reportage Tower")</f>
        <v>Reportage Tower</v>
      </c>
      <c r="C6380" s="2" t="str">
        <f ca="1">IFERROR(__xludf.DUMMYFUNCTION("""COMPUTED_VALUE"""),"Building")</f>
        <v>Building</v>
      </c>
      <c r="D6380" s="2" t="str">
        <f ca="1">IFERROR(__xludf.DUMMYFUNCTION("""COMPUTED_VALUE"""),"Abu Dhabi&gt;Al Maryah Island&gt;Reportage Tower")</f>
        <v>Abu Dhabi&gt;Al Maryah Island&gt;Reportage Tower</v>
      </c>
      <c r="E6380" s="2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</row>
    <row r="6381" spans="1:26" ht="16.5" x14ac:dyDescent="0.35">
      <c r="A6381" s="2" t="str">
        <f ca="1">IFERROR(__xludf.DUMMYFUNCTION("""COMPUTED_VALUE"""),"Abu Dhabi")</f>
        <v>Abu Dhabi</v>
      </c>
      <c r="B6381" s="2" t="str">
        <f ca="1">IFERROR(__xludf.DUMMYFUNCTION("""COMPUTED_VALUE"""),"Shakhbout City")</f>
        <v>Shakhbout City</v>
      </c>
      <c r="C6381" s="2" t="str">
        <f ca="1">IFERROR(__xludf.DUMMYFUNCTION("""COMPUTED_VALUE"""),"Neighbourhood")</f>
        <v>Neighbourhood</v>
      </c>
      <c r="D6381" s="2" t="str">
        <f ca="1">IFERROR(__xludf.DUMMYFUNCTION("""COMPUTED_VALUE"""),"Abu Dhabi&gt;Shakhbout City")</f>
        <v>Abu Dhabi&gt;Shakhbout City</v>
      </c>
      <c r="E6381" s="2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</row>
    <row r="6382" spans="1:26" ht="16.5" x14ac:dyDescent="0.35">
      <c r="A6382" s="2" t="str">
        <f ca="1">IFERROR(__xludf.DUMMYFUNCTION("""COMPUTED_VALUE"""),"Abu Dhabi")</f>
        <v>Abu Dhabi</v>
      </c>
      <c r="B6382" s="2" t="str">
        <f ca="1">IFERROR(__xludf.DUMMYFUNCTION("""COMPUTED_VALUE"""),"MSH26")</f>
        <v>MSH26</v>
      </c>
      <c r="C6382" s="2" t="str">
        <f ca="1">IFERROR(__xludf.DUMMYFUNCTION("""COMPUTED_VALUE"""),"Neighbourhood")</f>
        <v>Neighbourhood</v>
      </c>
      <c r="D6382" s="2" t="str">
        <f ca="1">IFERROR(__xludf.DUMMYFUNCTION("""COMPUTED_VALUE"""),"Abu Dhabi&gt;Shakhbout City&gt;MSH26")</f>
        <v>Abu Dhabi&gt;Shakhbout City&gt;MSH26</v>
      </c>
      <c r="E6382" s="2"/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</row>
    <row r="6383" spans="1:26" ht="16.5" x14ac:dyDescent="0.35">
      <c r="A6383" s="2" t="str">
        <f ca="1">IFERROR(__xludf.DUMMYFUNCTION("""COMPUTED_VALUE"""),"Abu Dhabi")</f>
        <v>Abu Dhabi</v>
      </c>
      <c r="B6383" s="2" t="str">
        <f ca="1">IFERROR(__xludf.DUMMYFUNCTION("""COMPUTED_VALUE"""),"Souk Al Jubail Building 5")</f>
        <v>Souk Al Jubail Building 5</v>
      </c>
      <c r="C6383" s="2" t="str">
        <f ca="1">IFERROR(__xludf.DUMMYFUNCTION("""COMPUTED_VALUE"""),"Building")</f>
        <v>Building</v>
      </c>
      <c r="D6383" s="2" t="str">
        <f ca="1">IFERROR(__xludf.DUMMYFUNCTION("""COMPUTED_VALUE"""),"Abu Dhabi&gt;Al Jubail Island&gt;Souk Al Jubail&gt;Souk Al Jubail Building 5")</f>
        <v>Abu Dhabi&gt;Al Jubail Island&gt;Souk Al Jubail&gt;Souk Al Jubail Building 5</v>
      </c>
      <c r="E6383" s="2"/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</row>
    <row r="6384" spans="1:26" ht="16.5" x14ac:dyDescent="0.35">
      <c r="A6384" s="2" t="str">
        <f ca="1">IFERROR(__xludf.DUMMYFUNCTION("""COMPUTED_VALUE"""),"Abu Dhabi")</f>
        <v>Abu Dhabi</v>
      </c>
      <c r="B6384" s="2" t="str">
        <f ca="1">IFERROR(__xludf.DUMMYFUNCTION("""COMPUTED_VALUE"""),"New Al Falah")</f>
        <v>New Al Falah</v>
      </c>
      <c r="C6384" s="2" t="str">
        <f ca="1">IFERROR(__xludf.DUMMYFUNCTION("""COMPUTED_VALUE"""),"Neighbourhood")</f>
        <v>Neighbourhood</v>
      </c>
      <c r="D6384" s="2" t="str">
        <f ca="1">IFERROR(__xludf.DUMMYFUNCTION("""COMPUTED_VALUE"""),"Abu Dhabi&gt;Al Falah City&gt;New Al Falah")</f>
        <v>Abu Dhabi&gt;Al Falah City&gt;New Al Falah</v>
      </c>
      <c r="E6384" s="2"/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</row>
    <row r="6385" spans="1:26" ht="16.5" x14ac:dyDescent="0.35">
      <c r="A6385" s="2" t="str">
        <f ca="1">IFERROR(__xludf.DUMMYFUNCTION("""COMPUTED_VALUE"""),"Abu Dhabi")</f>
        <v>Abu Dhabi</v>
      </c>
      <c r="B6385" s="2" t="str">
        <f ca="1">IFERROR(__xludf.DUMMYFUNCTION("""COMPUTED_VALUE"""),"Zayed City")</f>
        <v>Zayed City</v>
      </c>
      <c r="C6385" s="2" t="str">
        <f ca="1">IFERROR(__xludf.DUMMYFUNCTION("""COMPUTED_VALUE"""),"Neighbourhood")</f>
        <v>Neighbourhood</v>
      </c>
      <c r="D6385" s="2" t="str">
        <f ca="1">IFERROR(__xludf.DUMMYFUNCTION("""COMPUTED_VALUE"""),"Abu Dhabi&gt;Zayed City")</f>
        <v>Abu Dhabi&gt;Zayed City</v>
      </c>
      <c r="E6385" s="2"/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</row>
    <row r="6386" spans="1:26" ht="16.5" x14ac:dyDescent="0.35">
      <c r="A6386" s="2" t="str">
        <f ca="1">IFERROR(__xludf.DUMMYFUNCTION("""COMPUTED_VALUE"""),"Abu Dhabi")</f>
        <v>Abu Dhabi</v>
      </c>
      <c r="B6386" s="2" t="str">
        <f ca="1">IFERROR(__xludf.DUMMYFUNCTION("""COMPUTED_VALUE"""),"Mayoor Private School")</f>
        <v>Mayoor Private School</v>
      </c>
      <c r="C6386" s="2" t="str">
        <f ca="1">IFERROR(__xludf.DUMMYFUNCTION("""COMPUTED_VALUE"""),"School")</f>
        <v>School</v>
      </c>
      <c r="D6386" s="2" t="str">
        <f ca="1">IFERROR(__xludf.DUMMYFUNCTION("""COMPUTED_VALUE"""),"Abu Dhabi&gt;Al Wathba&gt;Mayoor Private School")</f>
        <v>Abu Dhabi&gt;Al Wathba&gt;Mayoor Private School</v>
      </c>
      <c r="E6386" s="2"/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</row>
    <row r="6387" spans="1:26" ht="16.5" x14ac:dyDescent="0.35">
      <c r="A6387" s="2" t="str">
        <f ca="1">IFERROR(__xludf.DUMMYFUNCTION("""COMPUTED_VALUE"""),"Dubai")</f>
        <v>Dubai</v>
      </c>
      <c r="B6387" s="2" t="str">
        <f ca="1">IFERROR(__xludf.DUMMYFUNCTION("""COMPUTED_VALUE"""),"British Orchard Nursery DIP")</f>
        <v>British Orchard Nursery DIP</v>
      </c>
      <c r="C6387" s="2" t="str">
        <f ca="1">IFERROR(__xludf.DUMMYFUNCTION("""COMPUTED_VALUE"""),"Nursery")</f>
        <v>Nursery</v>
      </c>
      <c r="D6387" s="2" t="str">
        <f ca="1">IFERROR(__xludf.DUMMYFUNCTION("""COMPUTED_VALUE"""),"Dubai&gt;Green Community&gt;Green Community East&gt;British Orchard Nursery DIP")</f>
        <v>Dubai&gt;Green Community&gt;Green Community East&gt;British Orchard Nursery DIP</v>
      </c>
      <c r="E6387" s="2"/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</row>
    <row r="6388" spans="1:26" ht="16.5" x14ac:dyDescent="0.35">
      <c r="A6388" s="2" t="str">
        <f ca="1">IFERROR(__xludf.DUMMYFUNCTION("""COMPUTED_VALUE"""),"Dubai")</f>
        <v>Dubai</v>
      </c>
      <c r="B6388" s="2" t="str">
        <f ca="1">IFERROR(__xludf.DUMMYFUNCTION("""COMPUTED_VALUE"""),"Bungalows Area")</f>
        <v>Bungalows Area</v>
      </c>
      <c r="C6388" s="2" t="str">
        <f ca="1">IFERROR(__xludf.DUMMYFUNCTION("""COMPUTED_VALUE"""),"Neighbourhood")</f>
        <v>Neighbourhood</v>
      </c>
      <c r="D6388" s="2" t="str">
        <f ca="1">IFERROR(__xludf.DUMMYFUNCTION("""COMPUTED_VALUE"""),"Dubai&gt;Green Community&gt;Green Community West&gt;Bungalows Area")</f>
        <v>Dubai&gt;Green Community&gt;Green Community West&gt;Bungalows Area</v>
      </c>
      <c r="E6388" s="2"/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</row>
    <row r="6389" spans="1:26" ht="16.5" x14ac:dyDescent="0.35">
      <c r="A6389" s="2" t="str">
        <f ca="1">IFERROR(__xludf.DUMMYFUNCTION("""COMPUTED_VALUE"""),"Dubai")</f>
        <v>Dubai</v>
      </c>
      <c r="B6389" s="2" t="str">
        <f ca="1">IFERROR(__xludf.DUMMYFUNCTION("""COMPUTED_VALUE"""),"The Diamond")</f>
        <v>The Diamond</v>
      </c>
      <c r="C6389" s="2" t="str">
        <f ca="1">IFERROR(__xludf.DUMMYFUNCTION("""COMPUTED_VALUE"""),"Building")</f>
        <v>Building</v>
      </c>
      <c r="D6389" s="2" t="str">
        <f ca="1">IFERROR(__xludf.DUMMYFUNCTION("""COMPUTED_VALUE"""),"Dubai&gt;Dubai Sports City&gt;The Diamond")</f>
        <v>Dubai&gt;Dubai Sports City&gt;The Diamond</v>
      </c>
      <c r="E6389" s="2"/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</row>
    <row r="6390" spans="1:26" ht="16.5" x14ac:dyDescent="0.35">
      <c r="A6390" s="2" t="str">
        <f ca="1">IFERROR(__xludf.DUMMYFUNCTION("""COMPUTED_VALUE"""),"Dubai")</f>
        <v>Dubai</v>
      </c>
      <c r="B6390" s="2" t="str">
        <f ca="1">IFERROR(__xludf.DUMMYFUNCTION("""COMPUTED_VALUE"""),"German Sports Tower 1")</f>
        <v>German Sports Tower 1</v>
      </c>
      <c r="C6390" s="2" t="str">
        <f ca="1">IFERROR(__xludf.DUMMYFUNCTION("""COMPUTED_VALUE"""),"Building")</f>
        <v>Building</v>
      </c>
      <c r="D6390" s="2" t="str">
        <f ca="1">IFERROR(__xludf.DUMMYFUNCTION("""COMPUTED_VALUE"""),"Dubai&gt;Dubai Sports City&gt;German Sports Tower&gt;German Sports Tower 1")</f>
        <v>Dubai&gt;Dubai Sports City&gt;German Sports Tower&gt;German Sports Tower 1</v>
      </c>
      <c r="E6390" s="2"/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</row>
    <row r="6391" spans="1:26" ht="16.5" x14ac:dyDescent="0.35">
      <c r="A6391" s="2" t="str">
        <f ca="1">IFERROR(__xludf.DUMMYFUNCTION("""COMPUTED_VALUE"""),"Dubai")</f>
        <v>Dubai</v>
      </c>
      <c r="B6391" s="2" t="str">
        <f ca="1">IFERROR(__xludf.DUMMYFUNCTION("""COMPUTED_VALUE"""),"Amal Tower")</f>
        <v>Amal Tower</v>
      </c>
      <c r="C6391" s="2" t="str">
        <f ca="1">IFERROR(__xludf.DUMMYFUNCTION("""COMPUTED_VALUE"""),"Building")</f>
        <v>Building</v>
      </c>
      <c r="D6391" s="2" t="str">
        <f ca="1">IFERROR(__xludf.DUMMYFUNCTION("""COMPUTED_VALUE"""),"Dubai&gt;Dubai Sports City&gt;Amal Tower")</f>
        <v>Dubai&gt;Dubai Sports City&gt;Amal Tower</v>
      </c>
      <c r="E6391" s="2"/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</row>
    <row r="6392" spans="1:26" ht="16.5" x14ac:dyDescent="0.35">
      <c r="A6392" s="2" t="str">
        <f ca="1">IFERROR(__xludf.DUMMYFUNCTION("""COMPUTED_VALUE"""),"Dubai")</f>
        <v>Dubai</v>
      </c>
      <c r="B6392" s="2" t="str">
        <f ca="1">IFERROR(__xludf.DUMMYFUNCTION("""COMPUTED_VALUE"""),"Bloomingdale Villas")</f>
        <v>Bloomingdale Villas</v>
      </c>
      <c r="C6392" s="2" t="str">
        <f ca="1">IFERROR(__xludf.DUMMYFUNCTION("""COMPUTED_VALUE"""),"Neighbourhood")</f>
        <v>Neighbourhood</v>
      </c>
      <c r="D6392" s="2" t="str">
        <f ca="1">IFERROR(__xludf.DUMMYFUNCTION("""COMPUTED_VALUE"""),"Dubai&gt;Dubai Sports City&gt;Bloomingdale Villas")</f>
        <v>Dubai&gt;Dubai Sports City&gt;Bloomingdale Villas</v>
      </c>
      <c r="E6392" s="2"/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</row>
    <row r="6393" spans="1:26" ht="16.5" x14ac:dyDescent="0.35">
      <c r="A6393" s="2" t="str">
        <f ca="1">IFERROR(__xludf.DUMMYFUNCTION("""COMPUTED_VALUE"""),"Dubai")</f>
        <v>Dubai</v>
      </c>
      <c r="B6393" s="2" t="str">
        <f ca="1">IFERROR(__xludf.DUMMYFUNCTION("""COMPUTED_VALUE"""),"AR1 Tower")</f>
        <v>AR1 Tower</v>
      </c>
      <c r="C6393" s="2" t="str">
        <f ca="1">IFERROR(__xludf.DUMMYFUNCTION("""COMPUTED_VALUE"""),"Building")</f>
        <v>Building</v>
      </c>
      <c r="D6393" s="2" t="str">
        <f ca="1">IFERROR(__xludf.DUMMYFUNCTION("""COMPUTED_VALUE"""),"Dubai&gt;Al Nahda (Dubai)&gt;Al Nahda 1&gt;AR1 Tower")</f>
        <v>Dubai&gt;Al Nahda (Dubai)&gt;Al Nahda 1&gt;AR1 Tower</v>
      </c>
      <c r="E6393" s="2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</row>
    <row r="6394" spans="1:26" ht="16.5" x14ac:dyDescent="0.35">
      <c r="A6394" s="2" t="str">
        <f ca="1">IFERROR(__xludf.DUMMYFUNCTION("""COMPUTED_VALUE"""),"Dubai")</f>
        <v>Dubai</v>
      </c>
      <c r="B6394" s="2" t="str">
        <f ca="1">IFERROR(__xludf.DUMMYFUNCTION("""COMPUTED_VALUE"""),"The Central School")</f>
        <v>The Central School</v>
      </c>
      <c r="C6394" s="2" t="str">
        <f ca="1">IFERROR(__xludf.DUMMYFUNCTION("""COMPUTED_VALUE"""),"School")</f>
        <v>School</v>
      </c>
      <c r="D6394" s="2" t="str">
        <f ca="1">IFERROR(__xludf.DUMMYFUNCTION("""COMPUTED_VALUE"""),"Dubai&gt;Al Nahda (Dubai)&gt;Al Nahda 2&gt;The Central School")</f>
        <v>Dubai&gt;Al Nahda (Dubai)&gt;Al Nahda 2&gt;The Central School</v>
      </c>
      <c r="E6394" s="2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</row>
    <row r="6395" spans="1:26" ht="16.5" x14ac:dyDescent="0.35">
      <c r="A6395" s="2" t="str">
        <f ca="1">IFERROR(__xludf.DUMMYFUNCTION("""COMPUTED_VALUE"""),"Dubai")</f>
        <v>Dubai</v>
      </c>
      <c r="B6395" s="2" t="str">
        <f ca="1">IFERROR(__xludf.DUMMYFUNCTION("""COMPUTED_VALUE"""),"Lootah Apartment 1")</f>
        <v>Lootah Apartment 1</v>
      </c>
      <c r="C6395" s="2" t="str">
        <f ca="1">IFERROR(__xludf.DUMMYFUNCTION("""COMPUTED_VALUE"""),"Building")</f>
        <v>Building</v>
      </c>
      <c r="D6395" s="2" t="str">
        <f ca="1">IFERROR(__xludf.DUMMYFUNCTION("""COMPUTED_VALUE"""),"Dubai&gt;Al Nahda (Dubai)&gt;Al Nahda 2&gt;Lootah Apartment 1")</f>
        <v>Dubai&gt;Al Nahda (Dubai)&gt;Al Nahda 2&gt;Lootah Apartment 1</v>
      </c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</row>
    <row r="6396" spans="1:26" ht="16.5" x14ac:dyDescent="0.35">
      <c r="A6396" s="2" t="str">
        <f ca="1">IFERROR(__xludf.DUMMYFUNCTION("""COMPUTED_VALUE"""),"Dubai")</f>
        <v>Dubai</v>
      </c>
      <c r="B6396" s="2" t="str">
        <f ca="1">IFERROR(__xludf.DUMMYFUNCTION("""COMPUTED_VALUE"""),"Dar Al Jood Building")</f>
        <v>Dar Al Jood Building</v>
      </c>
      <c r="C6396" s="2" t="str">
        <f ca="1">IFERROR(__xludf.DUMMYFUNCTION("""COMPUTED_VALUE"""),"Building")</f>
        <v>Building</v>
      </c>
      <c r="D6396" s="2" t="str">
        <f ca="1">IFERROR(__xludf.DUMMYFUNCTION("""COMPUTED_VALUE"""),"Dubai&gt;Al Nahda (Dubai)&gt;Al Nahda 2&gt;Dar Al Jood Building")</f>
        <v>Dubai&gt;Al Nahda (Dubai)&gt;Al Nahda 2&gt;Dar Al Jood Building</v>
      </c>
      <c r="E6396" s="2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</row>
    <row r="6397" spans="1:26" ht="16.5" x14ac:dyDescent="0.35">
      <c r="A6397" s="2" t="str">
        <f ca="1">IFERROR(__xludf.DUMMYFUNCTION("""COMPUTED_VALUE"""),"Dubai")</f>
        <v>Dubai</v>
      </c>
      <c r="B6397" s="2" t="str">
        <f ca="1">IFERROR(__xludf.DUMMYFUNCTION("""COMPUTED_VALUE"""),"Al Nawras Building")</f>
        <v>Al Nawras Building</v>
      </c>
      <c r="C6397" s="2" t="str">
        <f ca="1">IFERROR(__xludf.DUMMYFUNCTION("""COMPUTED_VALUE"""),"Building")</f>
        <v>Building</v>
      </c>
      <c r="D6397" s="2" t="str">
        <f ca="1">IFERROR(__xludf.DUMMYFUNCTION("""COMPUTED_VALUE"""),"Dubai&gt;Al Nahda (Dubai)&gt;Al Nahda 2&gt;Al Nawras Building")</f>
        <v>Dubai&gt;Al Nahda (Dubai)&gt;Al Nahda 2&gt;Al Nawras Building</v>
      </c>
      <c r="E6397" s="2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</row>
    <row r="6398" spans="1:26" ht="16.5" x14ac:dyDescent="0.35">
      <c r="A6398" s="2" t="str">
        <f ca="1">IFERROR(__xludf.DUMMYFUNCTION("""COMPUTED_VALUE"""),"Dubai")</f>
        <v>Dubai</v>
      </c>
      <c r="B6398" s="2" t="str">
        <f ca="1">IFERROR(__xludf.DUMMYFUNCTION("""COMPUTED_VALUE"""),"Fatma Zaal Mohd Lootah Building")</f>
        <v>Fatma Zaal Mohd Lootah Building</v>
      </c>
      <c r="C6398" s="2" t="str">
        <f ca="1">IFERROR(__xludf.DUMMYFUNCTION("""COMPUTED_VALUE"""),"Building")</f>
        <v>Building</v>
      </c>
      <c r="D6398" s="2" t="str">
        <f ca="1">IFERROR(__xludf.DUMMYFUNCTION("""COMPUTED_VALUE"""),"Dubai&gt;Al Nahda (Dubai)&gt;Al Nahda 2&gt;Fatma Zaal Mohd Lootah Building")</f>
        <v>Dubai&gt;Al Nahda (Dubai)&gt;Al Nahda 2&gt;Fatma Zaal Mohd Lootah Building</v>
      </c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</row>
    <row r="6399" spans="1:26" ht="16.5" x14ac:dyDescent="0.35">
      <c r="A6399" s="2" t="str">
        <f ca="1">IFERROR(__xludf.DUMMYFUNCTION("""COMPUTED_VALUE"""),"Dubai")</f>
        <v>Dubai</v>
      </c>
      <c r="B6399" s="2" t="str">
        <f ca="1">IFERROR(__xludf.DUMMYFUNCTION("""COMPUTED_VALUE"""),"Nice")</f>
        <v>Nice</v>
      </c>
      <c r="C6399" s="2" t="str">
        <f ca="1">IFERROR(__xludf.DUMMYFUNCTION("""COMPUTED_VALUE"""),"Neighbourhood")</f>
        <v>Neighbourhood</v>
      </c>
      <c r="D6399" s="2" t="str">
        <f ca="1">IFERROR(__xludf.DUMMYFUNCTION("""COMPUTED_VALUE"""),"Dubai&gt;DAMAC Lagoons&gt;Nice")</f>
        <v>Dubai&gt;DAMAC Lagoons&gt;Nice</v>
      </c>
      <c r="E6399" s="2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</row>
    <row r="6400" spans="1:26" ht="16.5" x14ac:dyDescent="0.35">
      <c r="A6400" s="2" t="str">
        <f ca="1">IFERROR(__xludf.DUMMYFUNCTION("""COMPUTED_VALUE"""),"Dubai")</f>
        <v>Dubai</v>
      </c>
      <c r="B6400" s="2" t="str">
        <f ca="1">IFERROR(__xludf.DUMMYFUNCTION("""COMPUTED_VALUE"""),"Liwan 2")</f>
        <v>Liwan 2</v>
      </c>
      <c r="C6400" s="2" t="str">
        <f ca="1">IFERROR(__xludf.DUMMYFUNCTION("""COMPUTED_VALUE"""),"Neighbourhood")</f>
        <v>Neighbourhood</v>
      </c>
      <c r="D6400" s="2" t="str">
        <f ca="1">IFERROR(__xludf.DUMMYFUNCTION("""COMPUTED_VALUE"""),"Dubai&gt;Liwan 2")</f>
        <v>Dubai&gt;Liwan 2</v>
      </c>
      <c r="E6400" s="2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</row>
    <row r="6401" spans="1:26" ht="16.5" x14ac:dyDescent="0.35">
      <c r="A6401" s="2" t="str">
        <f ca="1">IFERROR(__xludf.DUMMYFUNCTION("""COMPUTED_VALUE"""),"Dubai")</f>
        <v>Dubai</v>
      </c>
      <c r="B6401" s="2" t="str">
        <f ca="1">IFERROR(__xludf.DUMMYFUNCTION("""COMPUTED_VALUE"""),"Liwan 16")</f>
        <v>Liwan 16</v>
      </c>
      <c r="C6401" s="2" t="str">
        <f ca="1">IFERROR(__xludf.DUMMYFUNCTION("""COMPUTED_VALUE"""),"Building")</f>
        <v>Building</v>
      </c>
      <c r="D6401" s="2" t="str">
        <f ca="1">IFERROR(__xludf.DUMMYFUNCTION("""COMPUTED_VALUE"""),"Dubai&gt;Liwan 2&gt;Liwan 16")</f>
        <v>Dubai&gt;Liwan 2&gt;Liwan 16</v>
      </c>
      <c r="E6401" s="2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</row>
    <row r="6402" spans="1:26" ht="16.5" x14ac:dyDescent="0.35">
      <c r="A6402" s="2" t="str">
        <f ca="1">IFERROR(__xludf.DUMMYFUNCTION("""COMPUTED_VALUE"""),"Dubai")</f>
        <v>Dubai</v>
      </c>
      <c r="B6402" s="2" t="str">
        <f ca="1">IFERROR(__xludf.DUMMYFUNCTION("""COMPUTED_VALUE"""),"Bright Riders School, Dubai")</f>
        <v>Bright Riders School, Dubai</v>
      </c>
      <c r="C6402" s="2" t="str">
        <f ca="1">IFERROR(__xludf.DUMMYFUNCTION("""COMPUTED_VALUE"""),"School")</f>
        <v>School</v>
      </c>
      <c r="D6402" s="2" t="str">
        <f ca="1">IFERROR(__xludf.DUMMYFUNCTION("""COMPUTED_VALUE"""),"Dubai&gt;Dubai Investment Park (DIP)&gt;Bright Riders School, Dubai")</f>
        <v>Dubai&gt;Dubai Investment Park (DIP)&gt;Bright Riders School, Dubai</v>
      </c>
      <c r="E6402" s="2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</row>
    <row r="6403" spans="1:26" ht="16.5" x14ac:dyDescent="0.35">
      <c r="A6403" s="2" t="str">
        <f ca="1">IFERROR(__xludf.DUMMYFUNCTION("""COMPUTED_VALUE"""),"Dubai")</f>
        <v>Dubai</v>
      </c>
      <c r="B6403" s="2" t="str">
        <f ca="1">IFERROR(__xludf.DUMMYFUNCTION("""COMPUTED_VALUE"""),"Hilal Al Madina")</f>
        <v>Hilal Al Madina</v>
      </c>
      <c r="C6403" s="2" t="str">
        <f ca="1">IFERROR(__xludf.DUMMYFUNCTION("""COMPUTED_VALUE"""),"Building")</f>
        <v>Building</v>
      </c>
      <c r="D6403" s="2" t="str">
        <f ca="1">IFERROR(__xludf.DUMMYFUNCTION("""COMPUTED_VALUE"""),"Dubai&gt;Dubai Investment Park (DIP)&gt;Dubai Investment Park 1&gt;Hilal Al Madina")</f>
        <v>Dubai&gt;Dubai Investment Park (DIP)&gt;Dubai Investment Park 1&gt;Hilal Al Madina</v>
      </c>
      <c r="E6403" s="2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</row>
    <row r="6404" spans="1:26" ht="16.5" x14ac:dyDescent="0.35">
      <c r="A6404" s="2" t="str">
        <f ca="1">IFERROR(__xludf.DUMMYFUNCTION("""COMPUTED_VALUE"""),"Dubai")</f>
        <v>Dubai</v>
      </c>
      <c r="B6404" s="2" t="str">
        <f ca="1">IFERROR(__xludf.DUMMYFUNCTION("""COMPUTED_VALUE"""),"Palmon FZE A")</f>
        <v>Palmon FZE A</v>
      </c>
      <c r="C6404" s="2" t="str">
        <f ca="1">IFERROR(__xludf.DUMMYFUNCTION("""COMPUTED_VALUE"""),"Building")</f>
        <v>Building</v>
      </c>
      <c r="D6404" s="2" t="str">
        <f ca="1">IFERROR(__xludf.DUMMYFUNCTION("""COMPUTED_VALUE"""),"Dubai&gt;Dubai Investment Park (DIP)&gt;Dubai Investment Park 1&gt;Palmon Group FZCO Accommodation&gt;Palmon FZE A")</f>
        <v>Dubai&gt;Dubai Investment Park (DIP)&gt;Dubai Investment Park 1&gt;Palmon Group FZCO Accommodation&gt;Palmon FZE A</v>
      </c>
      <c r="E6404" s="2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</row>
    <row r="6405" spans="1:26" ht="16.5" x14ac:dyDescent="0.35">
      <c r="A6405" s="2" t="str">
        <f ca="1">IFERROR(__xludf.DUMMYFUNCTION("""COMPUTED_VALUE"""),"Dubai")</f>
        <v>Dubai</v>
      </c>
      <c r="B6405" s="2" t="str">
        <f ca="1">IFERROR(__xludf.DUMMYFUNCTION("""COMPUTED_VALUE"""),"The Edge")</f>
        <v>The Edge</v>
      </c>
      <c r="C6405" s="2" t="str">
        <f ca="1">IFERROR(__xludf.DUMMYFUNCTION("""COMPUTED_VALUE"""),"Building")</f>
        <v>Building</v>
      </c>
      <c r="D6405" s="2" t="str">
        <f ca="1">IFERROR(__xludf.DUMMYFUNCTION("""COMPUTED_VALUE"""),"Dubai&gt;Dubai Investment Park (DIP)&gt;The Edge")</f>
        <v>Dubai&gt;Dubai Investment Park (DIP)&gt;The Edge</v>
      </c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</row>
    <row r="6406" spans="1:26" ht="16.5" x14ac:dyDescent="0.35">
      <c r="A6406" s="2" t="str">
        <f ca="1">IFERROR(__xludf.DUMMYFUNCTION("""COMPUTED_VALUE"""),"Dubai")</f>
        <v>Dubai</v>
      </c>
      <c r="B6406" s="2" t="str">
        <f ca="1">IFERROR(__xludf.DUMMYFUNCTION("""COMPUTED_VALUE"""),"B1")</f>
        <v>B1</v>
      </c>
      <c r="C6406" s="2" t="str">
        <f ca="1">IFERROR(__xludf.DUMMYFUNCTION("""COMPUTED_VALUE"""),"Building")</f>
        <v>Building</v>
      </c>
      <c r="D6406" s="2" t="str">
        <f ca="1">IFERROR(__xludf.DUMMYFUNCTION("""COMPUTED_VALUE"""),"Dubai&gt;Dubai Investment Park (DIP)&gt;Dubai Investment Park 2&gt;Dunes Village&gt;B1")</f>
        <v>Dubai&gt;Dubai Investment Park (DIP)&gt;Dubai Investment Park 2&gt;Dunes Village&gt;B1</v>
      </c>
      <c r="E6406" s="2"/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</row>
    <row r="6407" spans="1:26" ht="16.5" x14ac:dyDescent="0.35">
      <c r="A6407" s="2" t="str">
        <f ca="1">IFERROR(__xludf.DUMMYFUNCTION("""COMPUTED_VALUE"""),"Dubai")</f>
        <v>Dubai</v>
      </c>
      <c r="B6407" s="2" t="str">
        <f ca="1">IFERROR(__xludf.DUMMYFUNCTION("""COMPUTED_VALUE"""),"Arenco Apartments")</f>
        <v>Arenco Apartments</v>
      </c>
      <c r="C6407" s="2" t="str">
        <f ca="1">IFERROR(__xludf.DUMMYFUNCTION("""COMPUTED_VALUE"""),"Cluster")</f>
        <v>Cluster</v>
      </c>
      <c r="D6407" s="2" t="str">
        <f ca="1">IFERROR(__xludf.DUMMYFUNCTION("""COMPUTED_VALUE"""),"Dubai&gt;Dubai Investment Park (DIP)&gt;Arenco Apartments")</f>
        <v>Dubai&gt;Dubai Investment Park (DIP)&gt;Arenco Apartments</v>
      </c>
      <c r="E6407" s="2"/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</row>
    <row r="6408" spans="1:26" ht="16.5" x14ac:dyDescent="0.35">
      <c r="A6408" s="2" t="str">
        <f ca="1">IFERROR(__xludf.DUMMYFUNCTION("""COMPUTED_VALUE"""),"Dubai")</f>
        <v>Dubai</v>
      </c>
      <c r="B6408" s="2" t="str">
        <f ca="1">IFERROR(__xludf.DUMMYFUNCTION("""COMPUTED_VALUE"""),"Indigo 2")</f>
        <v>Indigo 2</v>
      </c>
      <c r="C6408" s="2" t="str">
        <f ca="1">IFERROR(__xludf.DUMMYFUNCTION("""COMPUTED_VALUE"""),"Building")</f>
        <v>Building</v>
      </c>
      <c r="D6408" s="2" t="str">
        <f ca="1">IFERROR(__xludf.DUMMYFUNCTION("""COMPUTED_VALUE"""),"Dubai&gt;Dubai Investment Park (DIP)&gt;DAMAC Riverside&gt;Riverside Views&gt;Indigo 2")</f>
        <v>Dubai&gt;Dubai Investment Park (DIP)&gt;DAMAC Riverside&gt;Riverside Views&gt;Indigo 2</v>
      </c>
      <c r="E6408" s="2"/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</row>
    <row r="6409" spans="1:26" ht="16.5" x14ac:dyDescent="0.35">
      <c r="A6409" s="2" t="str">
        <f ca="1">IFERROR(__xludf.DUMMYFUNCTION("""COMPUTED_VALUE"""),"Dubai")</f>
        <v>Dubai</v>
      </c>
      <c r="B6409" s="2" t="str">
        <f ca="1">IFERROR(__xludf.DUMMYFUNCTION("""COMPUTED_VALUE"""),"Mohammed Saleh Building")</f>
        <v>Mohammed Saleh Building</v>
      </c>
      <c r="C6409" s="2" t="str">
        <f ca="1">IFERROR(__xludf.DUMMYFUNCTION("""COMPUTED_VALUE"""),"Building")</f>
        <v>Building</v>
      </c>
      <c r="D6409" s="2" t="str">
        <f ca="1">IFERROR(__xludf.DUMMYFUNCTION("""COMPUTED_VALUE"""),"Dubai&gt;Majan&gt;Mohammed Saleh Building")</f>
        <v>Dubai&gt;Majan&gt;Mohammed Saleh Building</v>
      </c>
      <c r="E6409" s="2"/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</row>
    <row r="6410" spans="1:26" ht="16.5" x14ac:dyDescent="0.35">
      <c r="A6410" s="2" t="str">
        <f ca="1">IFERROR(__xludf.DUMMYFUNCTION("""COMPUTED_VALUE"""),"Dubai")</f>
        <v>Dubai</v>
      </c>
      <c r="B6410" s="2" t="str">
        <f ca="1">IFERROR(__xludf.DUMMYFUNCTION("""COMPUTED_VALUE"""),"Skyline 12")</f>
        <v>Skyline 12</v>
      </c>
      <c r="C6410" s="2" t="str">
        <f ca="1">IFERROR(__xludf.DUMMYFUNCTION("""COMPUTED_VALUE"""),"Building")</f>
        <v>Building</v>
      </c>
      <c r="D6410" s="2" t="str">
        <f ca="1">IFERROR(__xludf.DUMMYFUNCTION("""COMPUTED_VALUE"""),"Dubai&gt;Majan&gt;Skyline 12")</f>
        <v>Dubai&gt;Majan&gt;Skyline 12</v>
      </c>
      <c r="E6410" s="2"/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</row>
    <row r="6411" spans="1:26" ht="16.5" x14ac:dyDescent="0.35">
      <c r="A6411" s="2" t="str">
        <f ca="1">IFERROR(__xludf.DUMMYFUNCTION("""COMPUTED_VALUE"""),"Dubai")</f>
        <v>Dubai</v>
      </c>
      <c r="B6411" s="2" t="str">
        <f ca="1">IFERROR(__xludf.DUMMYFUNCTION("""COMPUTED_VALUE"""),"Tulip Oasis 10")</f>
        <v>Tulip Oasis 10</v>
      </c>
      <c r="C6411" s="2" t="str">
        <f ca="1">IFERROR(__xludf.DUMMYFUNCTION("""COMPUTED_VALUE"""),"Building")</f>
        <v>Building</v>
      </c>
      <c r="D6411" s="2" t="str">
        <f ca="1">IFERROR(__xludf.DUMMYFUNCTION("""COMPUTED_VALUE"""),"Dubai&gt;Majan&gt;Tulip Oasis 10")</f>
        <v>Dubai&gt;Majan&gt;Tulip Oasis 10</v>
      </c>
      <c r="E6411" s="2"/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</row>
    <row r="6412" spans="1:26" ht="16.5" x14ac:dyDescent="0.35">
      <c r="A6412" s="2" t="str">
        <f ca="1">IFERROR(__xludf.DUMMYFUNCTION("""COMPUTED_VALUE"""),"Dubai")</f>
        <v>Dubai</v>
      </c>
      <c r="B6412" s="2" t="str">
        <f ca="1">IFERROR(__xludf.DUMMYFUNCTION("""COMPUTED_VALUE"""),"Al Hebiah 2")</f>
        <v>Al Hebiah 2</v>
      </c>
      <c r="C6412" s="2" t="str">
        <f ca="1">IFERROR(__xludf.DUMMYFUNCTION("""COMPUTED_VALUE"""),"Neighbourhood")</f>
        <v>Neighbourhood</v>
      </c>
      <c r="D6412" s="2" t="str">
        <f ca="1">IFERROR(__xludf.DUMMYFUNCTION("""COMPUTED_VALUE"""),"Dubai&gt;Al Hebiah 2")</f>
        <v>Dubai&gt;Al Hebiah 2</v>
      </c>
      <c r="E6412" s="2"/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</row>
    <row r="6413" spans="1:26" ht="16.5" x14ac:dyDescent="0.35">
      <c r="A6413" s="2" t="str">
        <f ca="1">IFERROR(__xludf.DUMMYFUNCTION("""COMPUTED_VALUE"""),"Dubai")</f>
        <v>Dubai</v>
      </c>
      <c r="B6413" s="2" t="str">
        <f ca="1">IFERROR(__xludf.DUMMYFUNCTION("""COMPUTED_VALUE"""),"Olivara Residences 2")</f>
        <v>Olivara Residences 2</v>
      </c>
      <c r="C6413" s="2" t="str">
        <f ca="1">IFERROR(__xludf.DUMMYFUNCTION("""COMPUTED_VALUE"""),"Building")</f>
        <v>Building</v>
      </c>
      <c r="D6413" s="2" t="str">
        <f ca="1">IFERROR(__xludf.DUMMYFUNCTION("""COMPUTED_VALUE"""),"Dubai&gt;Dubai Studio City&gt;Olivara Residences&gt;Olivara Residences 2")</f>
        <v>Dubai&gt;Dubai Studio City&gt;Olivara Residences&gt;Olivara Residences 2</v>
      </c>
      <c r="E6413" s="2"/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</row>
    <row r="6414" spans="1:26" ht="16.5" x14ac:dyDescent="0.35">
      <c r="A6414" s="2" t="str">
        <f ca="1">IFERROR(__xludf.DUMMYFUNCTION("""COMPUTED_VALUE"""),"Dubai")</f>
        <v>Dubai</v>
      </c>
      <c r="B6414" s="2" t="str">
        <f ca="1">IFERROR(__xludf.DUMMYFUNCTION("""COMPUTED_VALUE"""),"BS-15")</f>
        <v>BS-15</v>
      </c>
      <c r="C6414" s="2" t="str">
        <f ca="1">IFERROR(__xludf.DUMMYFUNCTION("""COMPUTED_VALUE"""),"Building")</f>
        <v>Building</v>
      </c>
      <c r="D6414" s="2" t="str">
        <f ca="1">IFERROR(__xludf.DUMMYFUNCTION("""COMPUTED_VALUE"""),"Dubai&gt;Dubai Studio City&gt;Boutique Studios&gt;BS-15")</f>
        <v>Dubai&gt;Dubai Studio City&gt;Boutique Studios&gt;BS-15</v>
      </c>
      <c r="E6414" s="2"/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</row>
    <row r="6415" spans="1:26" ht="16.5" x14ac:dyDescent="0.35">
      <c r="A6415" s="2" t="str">
        <f ca="1">IFERROR(__xludf.DUMMYFUNCTION("""COMPUTED_VALUE"""),"Dubai")</f>
        <v>Dubai</v>
      </c>
      <c r="B6415" s="2" t="str">
        <f ca="1">IFERROR(__xludf.DUMMYFUNCTION("""COMPUTED_VALUE"""),"The Terraces")</f>
        <v>The Terraces</v>
      </c>
      <c r="C6415" s="2" t="str">
        <f ca="1">IFERROR(__xludf.DUMMYFUNCTION("""COMPUTED_VALUE"""),"Cluster")</f>
        <v>Cluster</v>
      </c>
      <c r="D6415" s="2" t="str">
        <f ca="1">IFERROR(__xludf.DUMMYFUNCTION("""COMPUTED_VALUE"""),"Dubai&gt;Sobha Hartland&gt;The Terraces")</f>
        <v>Dubai&gt;Sobha Hartland&gt;The Terraces</v>
      </c>
      <c r="E6415" s="2"/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</row>
    <row r="6416" spans="1:26" ht="16.5" x14ac:dyDescent="0.35">
      <c r="A6416" s="2" t="str">
        <f ca="1">IFERROR(__xludf.DUMMYFUNCTION("""COMPUTED_VALUE"""),"Dubai")</f>
        <v>Dubai</v>
      </c>
      <c r="B6416" s="2" t="str">
        <f ca="1">IFERROR(__xludf.DUMMYFUNCTION("""COMPUTED_VALUE"""),"Creek Vistas Grande")</f>
        <v>Creek Vistas Grande</v>
      </c>
      <c r="C6416" s="2" t="str">
        <f ca="1">IFERROR(__xludf.DUMMYFUNCTION("""COMPUTED_VALUE"""),"Building")</f>
        <v>Building</v>
      </c>
      <c r="D6416" s="2" t="str">
        <f ca="1">IFERROR(__xludf.DUMMYFUNCTION("""COMPUTED_VALUE"""),"Dubai&gt;Sobha Hartland&gt;Creek Vistas Grande")</f>
        <v>Dubai&gt;Sobha Hartland&gt;Creek Vistas Grande</v>
      </c>
      <c r="E6416" s="2"/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</row>
    <row r="6417" spans="1:26" ht="16.5" x14ac:dyDescent="0.35">
      <c r="A6417" s="2" t="str">
        <f ca="1">IFERROR(__xludf.DUMMYFUNCTION("""COMPUTED_VALUE"""),"Dubai")</f>
        <v>Dubai</v>
      </c>
      <c r="B6417" s="2" t="str">
        <f ca="1">IFERROR(__xludf.DUMMYFUNCTION("""COMPUTED_VALUE"""),"Expo Village")</f>
        <v>Expo Village</v>
      </c>
      <c r="C6417" s="2" t="str">
        <f ca="1">IFERROR(__xludf.DUMMYFUNCTION("""COMPUTED_VALUE"""),"Cluster")</f>
        <v>Cluster</v>
      </c>
      <c r="D6417" s="2" t="str">
        <f ca="1">IFERROR(__xludf.DUMMYFUNCTION("""COMPUTED_VALUE"""),"Dubai&gt;Expo City&gt;Expo Village")</f>
        <v>Dubai&gt;Expo City&gt;Expo Village</v>
      </c>
      <c r="E6417" s="2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</row>
    <row r="6418" spans="1:26" ht="16.5" x14ac:dyDescent="0.35">
      <c r="A6418" s="2" t="str">
        <f ca="1">IFERROR(__xludf.DUMMYFUNCTION("""COMPUTED_VALUE"""),"Dubai")</f>
        <v>Dubai</v>
      </c>
      <c r="B6418" s="2" t="str">
        <f ca="1">IFERROR(__xludf.DUMMYFUNCTION("""COMPUTED_VALUE"""),"Expo Valley Views Building 8")</f>
        <v>Expo Valley Views Building 8</v>
      </c>
      <c r="C6418" s="2" t="str">
        <f ca="1">IFERROR(__xludf.DUMMYFUNCTION("""COMPUTED_VALUE"""),"Building")</f>
        <v>Building</v>
      </c>
      <c r="D6418" s="2" t="str">
        <f ca="1">IFERROR(__xludf.DUMMYFUNCTION("""COMPUTED_VALUE"""),"Dubai&gt;Expo City&gt;Expo Valley&gt;Expo Valley Views&gt;Expo Valley Views Building 8")</f>
        <v>Dubai&gt;Expo City&gt;Expo Valley&gt;Expo Valley Views&gt;Expo Valley Views Building 8</v>
      </c>
      <c r="E6418" s="2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</row>
    <row r="6419" spans="1:26" ht="16.5" x14ac:dyDescent="0.35">
      <c r="A6419" s="2" t="str">
        <f ca="1">IFERROR(__xludf.DUMMYFUNCTION("""COMPUTED_VALUE"""),"Dubai")</f>
        <v>Dubai</v>
      </c>
      <c r="B6419" s="2" t="str">
        <f ca="1">IFERROR(__xludf.DUMMYFUNCTION("""COMPUTED_VALUE"""),"Sao Paolo")</f>
        <v>Sao Paolo</v>
      </c>
      <c r="C6419" s="2" t="str">
        <f ca="1">IFERROR(__xludf.DUMMYFUNCTION("""COMPUTED_VALUE"""),"Neighbourhood")</f>
        <v>Neighbourhood</v>
      </c>
      <c r="D6419" s="2" t="str">
        <f ca="1">IFERROR(__xludf.DUMMYFUNCTION("""COMPUTED_VALUE"""),"Dubai&gt;The World Islands&gt;Sao Paolo")</f>
        <v>Dubai&gt;The World Islands&gt;Sao Paolo</v>
      </c>
      <c r="E6419" s="2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</row>
    <row r="6420" spans="1:26" ht="16.5" x14ac:dyDescent="0.35">
      <c r="A6420" s="2" t="str">
        <f ca="1">IFERROR(__xludf.DUMMYFUNCTION("""COMPUTED_VALUE"""),"Dubai")</f>
        <v>Dubai</v>
      </c>
      <c r="B6420" s="2" t="str">
        <f ca="1">IFERROR(__xludf.DUMMYFUNCTION("""COMPUTED_VALUE"""),"Umm Al Momeneen")</f>
        <v>Umm Al Momeneen</v>
      </c>
      <c r="C6420" s="2" t="str">
        <f ca="1">IFERROR(__xludf.DUMMYFUNCTION("""COMPUTED_VALUE"""),"Neighbourhood")</f>
        <v>Neighbourhood</v>
      </c>
      <c r="D6420" s="2" t="str">
        <f ca="1">IFERROR(__xludf.DUMMYFUNCTION("""COMPUTED_VALUE"""),"Dubai&gt;Umm Al Momeneen")</f>
        <v>Dubai&gt;Umm Al Momeneen</v>
      </c>
      <c r="E6420" s="2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</row>
    <row r="6421" spans="1:26" ht="16.5" x14ac:dyDescent="0.35">
      <c r="A6421" s="2" t="str">
        <f ca="1">IFERROR(__xludf.DUMMYFUNCTION("""COMPUTED_VALUE"""),"Dubai")</f>
        <v>Dubai</v>
      </c>
      <c r="B6421" s="2" t="str">
        <f ca="1">IFERROR(__xludf.DUMMYFUNCTION("""COMPUTED_VALUE"""),"Tempo")</f>
        <v>Tempo</v>
      </c>
      <c r="C6421" s="2" t="str">
        <f ca="1">IFERROR(__xludf.DUMMYFUNCTION("""COMPUTED_VALUE"""),"Building")</f>
        <v>Building</v>
      </c>
      <c r="D6421" s="2" t="str">
        <f ca="1">IFERROR(__xludf.DUMMYFUNCTION("""COMPUTED_VALUE"""),"Dubai&gt;Athlon by Aldar&gt;Rise by Athlon&gt;Tempo")</f>
        <v>Dubai&gt;Athlon by Aldar&gt;Rise by Athlon&gt;Tempo</v>
      </c>
      <c r="E6421" s="2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</row>
    <row r="6422" spans="1:26" ht="16.5" x14ac:dyDescent="0.35">
      <c r="A6422" s="2" t="str">
        <f ca="1">IFERROR(__xludf.DUMMYFUNCTION("""COMPUTED_VALUE"""),"Dubai")</f>
        <v>Dubai</v>
      </c>
      <c r="B6422" s="2" t="str">
        <f ca="1">IFERROR(__xludf.DUMMYFUNCTION("""COMPUTED_VALUE"""),"Maravelle Residences")</f>
        <v>Maravelle Residences</v>
      </c>
      <c r="C6422" s="2" t="str">
        <f ca="1">IFERROR(__xludf.DUMMYFUNCTION("""COMPUTED_VALUE"""),"Cluster")</f>
        <v>Cluster</v>
      </c>
      <c r="D6422" s="2" t="str">
        <f ca="1">IFERROR(__xludf.DUMMYFUNCTION("""COMPUTED_VALUE"""),"Dubai&gt;Ghaf Woods&gt;Maravelle Residences")</f>
        <v>Dubai&gt;Ghaf Woods&gt;Maravelle Residences</v>
      </c>
      <c r="E6422" s="2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</row>
    <row r="6423" spans="1:26" ht="16.5" x14ac:dyDescent="0.35">
      <c r="A6423" s="2" t="str">
        <f ca="1">IFERROR(__xludf.DUMMYFUNCTION("""COMPUTED_VALUE"""),"Dubai")</f>
        <v>Dubai</v>
      </c>
      <c r="B6423" s="2" t="str">
        <f ca="1">IFERROR(__xludf.DUMMYFUNCTION("""COMPUTED_VALUE"""),"Shams 4")</f>
        <v>Shams 4</v>
      </c>
      <c r="C6423" s="2" t="str">
        <f ca="1">IFERROR(__xludf.DUMMYFUNCTION("""COMPUTED_VALUE"""),"Building")</f>
        <v>Building</v>
      </c>
      <c r="D6423" s="2" t="str">
        <f ca="1">IFERROR(__xludf.DUMMYFUNCTION("""COMPUTED_VALUE"""),"Dubai&gt;Jumeirah Beach Residence (JBR)&gt;Shams&gt;Shams 4")</f>
        <v>Dubai&gt;Jumeirah Beach Residence (JBR)&gt;Shams&gt;Shams 4</v>
      </c>
      <c r="E6423" s="2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</row>
    <row r="6424" spans="1:26" ht="16.5" x14ac:dyDescent="0.35">
      <c r="A6424" s="2" t="str">
        <f ca="1">IFERROR(__xludf.DUMMYFUNCTION("""COMPUTED_VALUE"""),"Dubai")</f>
        <v>Dubai</v>
      </c>
      <c r="B6424" s="2" t="str">
        <f ca="1">IFERROR(__xludf.DUMMYFUNCTION("""COMPUTED_VALUE"""),"Sadaf 1")</f>
        <v>Sadaf 1</v>
      </c>
      <c r="C6424" s="2" t="str">
        <f ca="1">IFERROR(__xludf.DUMMYFUNCTION("""COMPUTED_VALUE"""),"Building")</f>
        <v>Building</v>
      </c>
      <c r="D6424" s="2" t="str">
        <f ca="1">IFERROR(__xludf.DUMMYFUNCTION("""COMPUTED_VALUE"""),"Dubai&gt;Jumeirah Beach Residence (JBR)&gt;Sadaf&gt;Sadaf 1")</f>
        <v>Dubai&gt;Jumeirah Beach Residence (JBR)&gt;Sadaf&gt;Sadaf 1</v>
      </c>
      <c r="E6424" s="2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</row>
    <row r="6425" spans="1:26" ht="16.5" x14ac:dyDescent="0.35">
      <c r="A6425" s="2" t="str">
        <f ca="1">IFERROR(__xludf.DUMMYFUNCTION("""COMPUTED_VALUE"""),"Dubai")</f>
        <v>Dubai</v>
      </c>
      <c r="B6425" s="2" t="str">
        <f ca="1">IFERROR(__xludf.DUMMYFUNCTION("""COMPUTED_VALUE"""),"Al Fattan Marine Tower")</f>
        <v>Al Fattan Marine Tower</v>
      </c>
      <c r="C6425" s="2" t="str">
        <f ca="1">IFERROR(__xludf.DUMMYFUNCTION("""COMPUTED_VALUE"""),"Building")</f>
        <v>Building</v>
      </c>
      <c r="D6425" s="2" t="str">
        <f ca="1">IFERROR(__xludf.DUMMYFUNCTION("""COMPUTED_VALUE"""),"Dubai&gt;Jumeirah Beach Residence (JBR)&gt;Al Fattan Marine Towers&gt;Al Fattan Marine Tower")</f>
        <v>Dubai&gt;Jumeirah Beach Residence (JBR)&gt;Al Fattan Marine Towers&gt;Al Fattan Marine Tower</v>
      </c>
      <c r="E6425" s="2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</row>
    <row r="6426" spans="1:26" ht="16.5" x14ac:dyDescent="0.35">
      <c r="A6426" s="2" t="str">
        <f ca="1">IFERROR(__xludf.DUMMYFUNCTION("""COMPUTED_VALUE"""),"Dubai")</f>
        <v>Dubai</v>
      </c>
      <c r="B6426" s="2" t="str">
        <f ca="1">IFERROR(__xludf.DUMMYFUNCTION("""COMPUTED_VALUE"""),"Tahiti 2")</f>
        <v>Tahiti 2</v>
      </c>
      <c r="C6426" s="2" t="str">
        <f ca="1">IFERROR(__xludf.DUMMYFUNCTION("""COMPUTED_VALUE"""),"Neighbourhood")</f>
        <v>Neighbourhood</v>
      </c>
      <c r="D6426" s="2" t="str">
        <f ca="1">IFERROR(__xludf.DUMMYFUNCTION("""COMPUTED_VALUE"""),"Dubai&gt;DAMAC Islands 2&gt;Tahiti 2")</f>
        <v>Dubai&gt;DAMAC Islands 2&gt;Tahiti 2</v>
      </c>
      <c r="E6426" s="2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</row>
    <row r="6427" spans="1:26" ht="16.5" x14ac:dyDescent="0.35">
      <c r="A6427" s="2" t="str">
        <f ca="1">IFERROR(__xludf.DUMMYFUNCTION("""COMPUTED_VALUE"""),"Dubai")</f>
        <v>Dubai</v>
      </c>
      <c r="B6427" s="2" t="str">
        <f ca="1">IFERROR(__xludf.DUMMYFUNCTION("""COMPUTED_VALUE"""),"Building 7")</f>
        <v>Building 7</v>
      </c>
      <c r="C6427" s="2" t="str">
        <f ca="1">IFERROR(__xludf.DUMMYFUNCTION("""COMPUTED_VALUE"""),"Building")</f>
        <v>Building</v>
      </c>
      <c r="D6427" s="2" t="str">
        <f ca="1">IFERROR(__xludf.DUMMYFUNCTION("""COMPUTED_VALUE"""),"Dubai&gt;Al Wasl&gt;City Walk&gt;Building 7")</f>
        <v>Dubai&gt;Al Wasl&gt;City Walk&gt;Building 7</v>
      </c>
      <c r="E6427" s="2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</row>
    <row r="6428" spans="1:26" ht="16.5" x14ac:dyDescent="0.35">
      <c r="A6428" s="2" t="str">
        <f ca="1">IFERROR(__xludf.DUMMYFUNCTION("""COMPUTED_VALUE"""),"Dubai")</f>
        <v>Dubai</v>
      </c>
      <c r="B6428" s="2" t="str">
        <f ca="1">IFERROR(__xludf.DUMMYFUNCTION("""COMPUTED_VALUE"""),"Building 4B")</f>
        <v>Building 4B</v>
      </c>
      <c r="C6428" s="2" t="str">
        <f ca="1">IFERROR(__xludf.DUMMYFUNCTION("""COMPUTED_VALUE"""),"Building")</f>
        <v>Building</v>
      </c>
      <c r="D6428" s="2" t="str">
        <f ca="1">IFERROR(__xludf.DUMMYFUNCTION("""COMPUTED_VALUE"""),"Dubai&gt;Al Wasl&gt;City Walk&gt;Building 4B")</f>
        <v>Dubai&gt;Al Wasl&gt;City Walk&gt;Building 4B</v>
      </c>
      <c r="E6428" s="2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</row>
    <row r="6429" spans="1:26" ht="16.5" x14ac:dyDescent="0.35">
      <c r="A6429" s="2" t="str">
        <f ca="1">IFERROR(__xludf.DUMMYFUNCTION("""COMPUTED_VALUE"""),"Dubai")</f>
        <v>Dubai</v>
      </c>
      <c r="B6429" s="2" t="str">
        <f ca="1">IFERROR(__xludf.DUMMYFUNCTION("""COMPUTED_VALUE"""),"The Galleria Villas")</f>
        <v>The Galleria Villas</v>
      </c>
      <c r="C6429" s="2" t="str">
        <f ca="1">IFERROR(__xludf.DUMMYFUNCTION("""COMPUTED_VALUE"""),"Neighbourhood")</f>
        <v>Neighbourhood</v>
      </c>
      <c r="D6429" s="2" t="str">
        <f ca="1">IFERROR(__xludf.DUMMYFUNCTION("""COMPUTED_VALUE"""),"Dubai&gt;Al Wasl&gt;The Galleria Villas")</f>
        <v>Dubai&gt;Al Wasl&gt;The Galleria Villas</v>
      </c>
      <c r="E6429" s="2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</row>
    <row r="6430" spans="1:26" ht="16.5" x14ac:dyDescent="0.35">
      <c r="A6430" s="2" t="str">
        <f ca="1">IFERROR(__xludf.DUMMYFUNCTION("""COMPUTED_VALUE"""),"Dubai")</f>
        <v>Dubai</v>
      </c>
      <c r="B6430" s="2" t="str">
        <f ca="1">IFERROR(__xludf.DUMMYFUNCTION("""COMPUTED_VALUE"""),"Eden House The Park Building E")</f>
        <v>Eden House The Park Building E</v>
      </c>
      <c r="C6430" s="2" t="str">
        <f ca="1">IFERROR(__xludf.DUMMYFUNCTION("""COMPUTED_VALUE"""),"Building")</f>
        <v>Building</v>
      </c>
      <c r="D6430" s="2" t="str">
        <f ca="1">IFERROR(__xludf.DUMMYFUNCTION("""COMPUTED_VALUE"""),"Dubai&gt;Al Wasl&gt;Eden House The Park&gt;Eden House The Park Building E")</f>
        <v>Dubai&gt;Al Wasl&gt;Eden House The Park&gt;Eden House The Park Building E</v>
      </c>
      <c r="E6430" s="2"/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</row>
    <row r="6431" spans="1:26" ht="16.5" x14ac:dyDescent="0.35">
      <c r="A6431" s="2" t="str">
        <f ca="1">IFERROR(__xludf.DUMMYFUNCTION("""COMPUTED_VALUE"""),"Dubai")</f>
        <v>Dubai</v>
      </c>
      <c r="B6431" s="2" t="str">
        <f ca="1">IFERROR(__xludf.DUMMYFUNCTION("""COMPUTED_VALUE"""),"The Lily")</f>
        <v>The Lily</v>
      </c>
      <c r="C6431" s="2" t="str">
        <f ca="1">IFERROR(__xludf.DUMMYFUNCTION("""COMPUTED_VALUE"""),"Building")</f>
        <v>Building</v>
      </c>
      <c r="D6431" s="2" t="str">
        <f ca="1">IFERROR(__xludf.DUMMYFUNCTION("""COMPUTED_VALUE"""),"Dubai&gt;Arjan&gt;The Lily")</f>
        <v>Dubai&gt;Arjan&gt;The Lily</v>
      </c>
      <c r="E6431" s="2"/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</row>
    <row r="6432" spans="1:26" ht="16.5" x14ac:dyDescent="0.35">
      <c r="A6432" s="2" t="str">
        <f ca="1">IFERROR(__xludf.DUMMYFUNCTION("""COMPUTED_VALUE"""),"Dubai")</f>
        <v>Dubai</v>
      </c>
      <c r="B6432" s="2" t="str">
        <f ca="1">IFERROR(__xludf.DUMMYFUNCTION("""COMPUTED_VALUE"""),"Diamond Business Centre Block C")</f>
        <v>Diamond Business Centre Block C</v>
      </c>
      <c r="C6432" s="2" t="str">
        <f ca="1">IFERROR(__xludf.DUMMYFUNCTION("""COMPUTED_VALUE"""),"Building")</f>
        <v>Building</v>
      </c>
      <c r="D6432" s="2" t="str">
        <f ca="1">IFERROR(__xludf.DUMMYFUNCTION("""COMPUTED_VALUE"""),"Dubai&gt;Arjan&gt;Diamond Business Centre&gt;Diamond Business Centre Block C")</f>
        <v>Dubai&gt;Arjan&gt;Diamond Business Centre&gt;Diamond Business Centre Block C</v>
      </c>
      <c r="E6432" s="2"/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</row>
    <row r="6433" spans="1:26" ht="16.5" x14ac:dyDescent="0.35">
      <c r="A6433" s="2" t="str">
        <f ca="1">IFERROR(__xludf.DUMMYFUNCTION("""COMPUTED_VALUE"""),"Dubai")</f>
        <v>Dubai</v>
      </c>
      <c r="B6433" s="2" t="str">
        <f ca="1">IFERROR(__xludf.DUMMYFUNCTION("""COMPUTED_VALUE"""),"The Wings Podium")</f>
        <v>The Wings Podium</v>
      </c>
      <c r="C6433" s="2" t="str">
        <f ca="1">IFERROR(__xludf.DUMMYFUNCTION("""COMPUTED_VALUE"""),"Building")</f>
        <v>Building</v>
      </c>
      <c r="D6433" s="2" t="str">
        <f ca="1">IFERROR(__xludf.DUMMYFUNCTION("""COMPUTED_VALUE"""),"Dubai&gt;Arjan&gt;The Wings&gt;The Wings Podium")</f>
        <v>Dubai&gt;Arjan&gt;The Wings&gt;The Wings Podium</v>
      </c>
      <c r="E6433" s="2"/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</row>
    <row r="6434" spans="1:26" ht="16.5" x14ac:dyDescent="0.35">
      <c r="A6434" s="2" t="str">
        <f ca="1">IFERROR(__xludf.DUMMYFUNCTION("""COMPUTED_VALUE"""),"Dubai")</f>
        <v>Dubai</v>
      </c>
      <c r="B6434" s="2" t="str">
        <f ca="1">IFERROR(__xludf.DUMMYFUNCTION("""COMPUTED_VALUE"""),"Art Garden")</f>
        <v>Art Garden</v>
      </c>
      <c r="C6434" s="2" t="str">
        <f ca="1">IFERROR(__xludf.DUMMYFUNCTION("""COMPUTED_VALUE"""),"Cluster")</f>
        <v>Cluster</v>
      </c>
      <c r="D6434" s="2" t="str">
        <f ca="1">IFERROR(__xludf.DUMMYFUNCTION("""COMPUTED_VALUE"""),"Dubai&gt;Arjan&gt;Art Garden")</f>
        <v>Dubai&gt;Arjan&gt;Art Garden</v>
      </c>
      <c r="E6434" s="2"/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</row>
    <row r="6435" spans="1:26" ht="16.5" x14ac:dyDescent="0.35">
      <c r="A6435" s="2" t="str">
        <f ca="1">IFERROR(__xludf.DUMMYFUNCTION("""COMPUTED_VALUE"""),"Dubai")</f>
        <v>Dubai</v>
      </c>
      <c r="B6435" s="2" t="str">
        <f ca="1">IFERROR(__xludf.DUMMYFUNCTION("""COMPUTED_VALUE"""),"API Arjan C1 Building")</f>
        <v>API Arjan C1 Building</v>
      </c>
      <c r="C6435" s="2" t="str">
        <f ca="1">IFERROR(__xludf.DUMMYFUNCTION("""COMPUTED_VALUE"""),"Building")</f>
        <v>Building</v>
      </c>
      <c r="D6435" s="2" t="str">
        <f ca="1">IFERROR(__xludf.DUMMYFUNCTION("""COMPUTED_VALUE"""),"Dubai&gt;Arjan&gt;API Arjan C1 Building")</f>
        <v>Dubai&gt;Arjan&gt;API Arjan C1 Building</v>
      </c>
      <c r="E6435" s="2"/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</row>
    <row r="6436" spans="1:26" ht="16.5" x14ac:dyDescent="0.35">
      <c r="A6436" s="2" t="str">
        <f ca="1">IFERROR(__xludf.DUMMYFUNCTION("""COMPUTED_VALUE"""),"Dubai")</f>
        <v>Dubai</v>
      </c>
      <c r="B6436" s="2" t="str">
        <f ca="1">IFERROR(__xludf.DUMMYFUNCTION("""COMPUTED_VALUE"""),"Aria Gardens B")</f>
        <v>Aria Gardens B</v>
      </c>
      <c r="C6436" s="2" t="str">
        <f ca="1">IFERROR(__xludf.DUMMYFUNCTION("""COMPUTED_VALUE"""),"Building")</f>
        <v>Building</v>
      </c>
      <c r="D6436" s="2" t="str">
        <f ca="1">IFERROR(__xludf.DUMMYFUNCTION("""COMPUTED_VALUE"""),"Dubai&gt;Arjan&gt;Aria Gardens&gt;Aria Gardens B")</f>
        <v>Dubai&gt;Arjan&gt;Aria Gardens&gt;Aria Gardens B</v>
      </c>
      <c r="E6436" s="2"/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</row>
    <row r="6437" spans="1:26" ht="16.5" x14ac:dyDescent="0.35">
      <c r="A6437" s="2" t="str">
        <f ca="1">IFERROR(__xludf.DUMMYFUNCTION("""COMPUTED_VALUE"""),"Dubai")</f>
        <v>Dubai</v>
      </c>
      <c r="B6437" s="2" t="str">
        <f ca="1">IFERROR(__xludf.DUMMYFUNCTION("""COMPUTED_VALUE"""),"Jumeirah College")</f>
        <v>Jumeirah College</v>
      </c>
      <c r="C6437" s="2" t="str">
        <f ca="1">IFERROR(__xludf.DUMMYFUNCTION("""COMPUTED_VALUE"""),"School")</f>
        <v>School</v>
      </c>
      <c r="D6437" s="2" t="str">
        <f ca="1">IFERROR(__xludf.DUMMYFUNCTION("""COMPUTED_VALUE"""),"Dubai&gt;Al Safa&gt;Al Safa 1&gt;Jumeirah College")</f>
        <v>Dubai&gt;Al Safa&gt;Al Safa 1&gt;Jumeirah College</v>
      </c>
      <c r="E6437" s="2"/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</row>
    <row r="6438" spans="1:26" ht="16.5" x14ac:dyDescent="0.35">
      <c r="A6438" s="2" t="str">
        <f ca="1">IFERROR(__xludf.DUMMYFUNCTION("""COMPUTED_VALUE"""),"Dubai")</f>
        <v>Dubai</v>
      </c>
      <c r="B6438" s="2" t="str">
        <f ca="1">IFERROR(__xludf.DUMMYFUNCTION("""COMPUTED_VALUE"""),"DMC 7 (CNBC Building)")</f>
        <v>DMC 7 (CNBC Building)</v>
      </c>
      <c r="C6438" s="2" t="str">
        <f ca="1">IFERROR(__xludf.DUMMYFUNCTION("""COMPUTED_VALUE"""),"Building")</f>
        <v>Building</v>
      </c>
      <c r="D6438" s="2" t="str">
        <f ca="1">IFERROR(__xludf.DUMMYFUNCTION("""COMPUTED_VALUE"""),"Dubai&gt;Dubai Media City&gt;DMC 7 (CNBC Building)")</f>
        <v>Dubai&gt;Dubai Media City&gt;DMC 7 (CNBC Building)</v>
      </c>
      <c r="E6438" s="2"/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</row>
    <row r="6439" spans="1:26" ht="16.5" x14ac:dyDescent="0.35">
      <c r="A6439" s="2" t="str">
        <f ca="1">IFERROR(__xludf.DUMMYFUNCTION("""COMPUTED_VALUE"""),"Abu Dhabi")</f>
        <v>Abu Dhabi</v>
      </c>
      <c r="B6439" s="2" t="str">
        <f ca="1">IFERROR(__xludf.DUMMYFUNCTION("""COMPUTED_VALUE"""),"Rosary School Abu Dhabi")</f>
        <v>Rosary School Abu Dhabi</v>
      </c>
      <c r="C6439" s="2" t="str">
        <f ca="1">IFERROR(__xludf.DUMMYFUNCTION("""COMPUTED_VALUE"""),"School")</f>
        <v>School</v>
      </c>
      <c r="D6439" s="2" t="str">
        <f ca="1">IFERROR(__xludf.DUMMYFUNCTION("""COMPUTED_VALUE"""),"Abu Dhabi&gt;Al Nahyan&gt;Rosary School Abu Dhabi")</f>
        <v>Abu Dhabi&gt;Al Nahyan&gt;Rosary School Abu Dhabi</v>
      </c>
      <c r="E6439" s="2"/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</row>
    <row r="6440" spans="1:26" ht="16.5" x14ac:dyDescent="0.35">
      <c r="A6440" s="2" t="str">
        <f ca="1">IFERROR(__xludf.DUMMYFUNCTION("""COMPUTED_VALUE"""),"Abu Dhabi")</f>
        <v>Abu Dhabi</v>
      </c>
      <c r="B6440" s="2" t="str">
        <f ca="1">IFERROR(__xludf.DUMMYFUNCTION("""COMPUTED_VALUE"""),"Al Bateen Complex")</f>
        <v>Al Bateen Complex</v>
      </c>
      <c r="C6440" s="2" t="str">
        <f ca="1">IFERROR(__xludf.DUMMYFUNCTION("""COMPUTED_VALUE"""),"Building")</f>
        <v>Building</v>
      </c>
      <c r="D6440" s="2" t="str">
        <f ca="1">IFERROR(__xludf.DUMMYFUNCTION("""COMPUTED_VALUE"""),"Abu Dhabi&gt;Al Bateen&gt;Al Bateen Complex")</f>
        <v>Abu Dhabi&gt;Al Bateen&gt;Al Bateen Complex</v>
      </c>
      <c r="E6440" s="2"/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</row>
    <row r="6441" spans="1:26" ht="16.5" x14ac:dyDescent="0.35">
      <c r="A6441" s="2" t="str">
        <f ca="1">IFERROR(__xludf.DUMMYFUNCTION("""COMPUTED_VALUE"""),"Abu Dhabi")</f>
        <v>Abu Dhabi</v>
      </c>
      <c r="B6441" s="2" t="str">
        <f ca="1">IFERROR(__xludf.DUMMYFUNCTION("""COMPUTED_VALUE"""),"HM Tower")</f>
        <v>HM Tower</v>
      </c>
      <c r="C6441" s="2"/>
      <c r="D6441" s="2" t="str">
        <f ca="1">IFERROR(__xludf.DUMMYFUNCTION("""COMPUTED_VALUE"""),"Abu Dhabi&gt;Airport Street&gt;HM Tower")</f>
        <v>Abu Dhabi&gt;Airport Street&gt;HM Tower</v>
      </c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</row>
    <row r="6442" spans="1:26" ht="16.5" x14ac:dyDescent="0.35">
      <c r="A6442" s="2" t="str">
        <f ca="1">IFERROR(__xludf.DUMMYFUNCTION("""COMPUTED_VALUE"""),"Abu Dhabi")</f>
        <v>Abu Dhabi</v>
      </c>
      <c r="B6442" s="2" t="str">
        <f ca="1">IFERROR(__xludf.DUMMYFUNCTION("""COMPUTED_VALUE"""),"Jannah Executive Hotel Apartments")</f>
        <v>Jannah Executive Hotel Apartments</v>
      </c>
      <c r="C6442" s="2" t="str">
        <f ca="1">IFERROR(__xludf.DUMMYFUNCTION("""COMPUTED_VALUE"""),"Building")</f>
        <v>Building</v>
      </c>
      <c r="D6442" s="2" t="str">
        <f ca="1">IFERROR(__xludf.DUMMYFUNCTION("""COMPUTED_VALUE"""),"Abu Dhabi&gt;Tourist Club Area (TCA)&gt;Jannah Executive Hotel Apartments")</f>
        <v>Abu Dhabi&gt;Tourist Club Area (TCA)&gt;Jannah Executive Hotel Apartments</v>
      </c>
      <c r="E6442" s="2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</row>
    <row r="6443" spans="1:26" ht="16.5" x14ac:dyDescent="0.35">
      <c r="A6443" s="2" t="str">
        <f ca="1">IFERROR(__xludf.DUMMYFUNCTION("""COMPUTED_VALUE"""),"Abu Dhabi")</f>
        <v>Abu Dhabi</v>
      </c>
      <c r="B6443" s="2" t="str">
        <f ca="1">IFERROR(__xludf.DUMMYFUNCTION("""COMPUTED_VALUE"""),"Mushrif Villas")</f>
        <v>Mushrif Villas</v>
      </c>
      <c r="C6443" s="2" t="str">
        <f ca="1">IFERROR(__xludf.DUMMYFUNCTION("""COMPUTED_VALUE"""),"Neighbourhood")</f>
        <v>Neighbourhood</v>
      </c>
      <c r="D6443" s="2" t="str">
        <f ca="1">IFERROR(__xludf.DUMMYFUNCTION("""COMPUTED_VALUE"""),"Abu Dhabi&gt;Al Mushrif&gt;Mushrif Villas")</f>
        <v>Abu Dhabi&gt;Al Mushrif&gt;Mushrif Villas</v>
      </c>
      <c r="E6443" s="2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</row>
    <row r="6444" spans="1:26" ht="16.5" x14ac:dyDescent="0.35">
      <c r="A6444" s="2" t="str">
        <f ca="1">IFERROR(__xludf.DUMMYFUNCTION("""COMPUTED_VALUE"""),"Abu Dhabi")</f>
        <v>Abu Dhabi</v>
      </c>
      <c r="B6444" s="2" t="str">
        <f ca="1">IFERROR(__xludf.DUMMYFUNCTION("""COMPUTED_VALUE"""),"Al Qurm Gardens")</f>
        <v>Al Qurm Gardens</v>
      </c>
      <c r="C6444" s="2" t="str">
        <f ca="1">IFERROR(__xludf.DUMMYFUNCTION("""COMPUTED_VALUE"""),"Neighbourhood")</f>
        <v>Neighbourhood</v>
      </c>
      <c r="D6444" s="2" t="str">
        <f ca="1">IFERROR(__xludf.DUMMYFUNCTION("""COMPUTED_VALUE"""),"Abu Dhabi&gt;Al Muntazah&gt;Al Qurm Gardens")</f>
        <v>Abu Dhabi&gt;Al Muntazah&gt;Al Qurm Gardens</v>
      </c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</row>
    <row r="6445" spans="1:26" ht="16.5" x14ac:dyDescent="0.35">
      <c r="A6445" s="2" t="str">
        <f ca="1">IFERROR(__xludf.DUMMYFUNCTION("""COMPUTED_VALUE"""),"Abu Dhabi")</f>
        <v>Abu Dhabi</v>
      </c>
      <c r="B6445" s="2" t="str">
        <f ca="1">IFERROR(__xludf.DUMMYFUNCTION("""COMPUTED_VALUE"""),"Reach British School Abu Dhabi")</f>
        <v>Reach British School Abu Dhabi</v>
      </c>
      <c r="C6445" s="2" t="str">
        <f ca="1">IFERROR(__xludf.DUMMYFUNCTION("""COMPUTED_VALUE"""),"School")</f>
        <v>School</v>
      </c>
      <c r="D6445" s="2" t="str">
        <f ca="1">IFERROR(__xludf.DUMMYFUNCTION("""COMPUTED_VALUE"""),"Abu Dhabi&gt;Baniyas&gt;Reach British School Abu Dhabi")</f>
        <v>Abu Dhabi&gt;Baniyas&gt;Reach British School Abu Dhabi</v>
      </c>
      <c r="E6445" s="2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</row>
    <row r="6446" spans="1:26" ht="16.5" x14ac:dyDescent="0.35">
      <c r="A6446" s="2" t="str">
        <f ca="1">IFERROR(__xludf.DUMMYFUNCTION("""COMPUTED_VALUE"""),"Abu Dhabi")</f>
        <v>Abu Dhabi</v>
      </c>
      <c r="B6446" s="2" t="str">
        <f ca="1">IFERROR(__xludf.DUMMYFUNCTION("""COMPUTED_VALUE"""),"Cluster E")</f>
        <v>Cluster E</v>
      </c>
      <c r="C6446" s="2" t="str">
        <f ca="1">IFERROR(__xludf.DUMMYFUNCTION("""COMPUTED_VALUE"""),"Building")</f>
        <v>Building</v>
      </c>
      <c r="D6446" s="2" t="str">
        <f ca="1">IFERROR(__xludf.DUMMYFUNCTION("""COMPUTED_VALUE"""),"Abu Dhabi&gt;Masdar City&gt;Royal Park&gt;Cluster E")</f>
        <v>Abu Dhabi&gt;Masdar City&gt;Royal Park&gt;Cluster E</v>
      </c>
      <c r="E6446" s="2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</row>
    <row r="6447" spans="1:26" ht="16.5" x14ac:dyDescent="0.35">
      <c r="A6447" s="2" t="str">
        <f ca="1">IFERROR(__xludf.DUMMYFUNCTION("""COMPUTED_VALUE"""),"Abu Dhabi")</f>
        <v>Abu Dhabi</v>
      </c>
      <c r="B6447" s="2" t="str">
        <f ca="1">IFERROR(__xludf.DUMMYFUNCTION("""COMPUTED_VALUE"""),"Al Baraka Building")</f>
        <v>Al Baraka Building</v>
      </c>
      <c r="C6447" s="2" t="str">
        <f ca="1">IFERROR(__xludf.DUMMYFUNCTION("""COMPUTED_VALUE"""),"Building")</f>
        <v>Building</v>
      </c>
      <c r="D6447" s="2" t="str">
        <f ca="1">IFERROR(__xludf.DUMMYFUNCTION("""COMPUTED_VALUE"""),"Abu Dhabi&gt;Al Danah&gt;Al Baraka Building")</f>
        <v>Abu Dhabi&gt;Al Danah&gt;Al Baraka Building</v>
      </c>
      <c r="E6447" s="2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</row>
    <row r="6448" spans="1:26" ht="16.5" x14ac:dyDescent="0.35">
      <c r="A6448" s="2" t="str">
        <f ca="1">IFERROR(__xludf.DUMMYFUNCTION("""COMPUTED_VALUE"""),"Abu Dhabi")</f>
        <v>Abu Dhabi</v>
      </c>
      <c r="B6448" s="2" t="str">
        <f ca="1">IFERROR(__xludf.DUMMYFUNCTION("""COMPUTED_VALUE"""),"Al Maryah Vista 2")</f>
        <v>Al Maryah Vista 2</v>
      </c>
      <c r="C6448" s="2" t="str">
        <f ca="1">IFERROR(__xludf.DUMMYFUNCTION("""COMPUTED_VALUE"""),"Building")</f>
        <v>Building</v>
      </c>
      <c r="D6448" s="2" t="str">
        <f ca="1">IFERROR(__xludf.DUMMYFUNCTION("""COMPUTED_VALUE"""),"Abu Dhabi&gt;Al Maryah Island&gt;Al Maryah Vista 2")</f>
        <v>Abu Dhabi&gt;Al Maryah Island&gt;Al Maryah Vista 2</v>
      </c>
      <c r="E6448" s="2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</row>
    <row r="6449" spans="1:26" ht="16.5" x14ac:dyDescent="0.35">
      <c r="A6449" s="2" t="str">
        <f ca="1">IFERROR(__xludf.DUMMYFUNCTION("""COMPUTED_VALUE"""),"Abu Dhabi")</f>
        <v>Abu Dhabi</v>
      </c>
      <c r="B6449" s="2" t="str">
        <f ca="1">IFERROR(__xludf.DUMMYFUNCTION("""COMPUTED_VALUE"""),"Corniche Al Qurm")</f>
        <v>Corniche Al Qurm</v>
      </c>
      <c r="C6449" s="2"/>
      <c r="D6449" s="2" t="str">
        <f ca="1">IFERROR(__xludf.DUMMYFUNCTION("""COMPUTED_VALUE"""),"Abu Dhabi&gt;Al Qurm&gt;Corniche Al Qurm")</f>
        <v>Abu Dhabi&gt;Al Qurm&gt;Corniche Al Qurm</v>
      </c>
      <c r="E6449" s="2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</row>
    <row r="6450" spans="1:26" ht="16.5" x14ac:dyDescent="0.35">
      <c r="A6450" s="2" t="str">
        <f ca="1">IFERROR(__xludf.DUMMYFUNCTION("""COMPUTED_VALUE"""),"Abu Dhabi")</f>
        <v>Abu Dhabi</v>
      </c>
      <c r="B6450" s="2" t="str">
        <f ca="1">IFERROR(__xludf.DUMMYFUNCTION("""COMPUTED_VALUE"""),"MSH25")</f>
        <v>MSH25</v>
      </c>
      <c r="C6450" s="2" t="str">
        <f ca="1">IFERROR(__xludf.DUMMYFUNCTION("""COMPUTED_VALUE"""),"Neighbourhood")</f>
        <v>Neighbourhood</v>
      </c>
      <c r="D6450" s="2" t="str">
        <f ca="1">IFERROR(__xludf.DUMMYFUNCTION("""COMPUTED_VALUE"""),"Abu Dhabi&gt;Shakhbout City&gt;MSH25")</f>
        <v>Abu Dhabi&gt;Shakhbout City&gt;MSH25</v>
      </c>
      <c r="E6450" s="2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</row>
    <row r="6451" spans="1:26" ht="16.5" x14ac:dyDescent="0.35">
      <c r="A6451" s="2" t="str">
        <f ca="1">IFERROR(__xludf.DUMMYFUNCTION("""COMPUTED_VALUE"""),"Abu Dhabi")</f>
        <v>Abu Dhabi</v>
      </c>
      <c r="B6451" s="2" t="str">
        <f ca="1">IFERROR(__xludf.DUMMYFUNCTION("""COMPUTED_VALUE"""),"Souk Al Jubail Building 4")</f>
        <v>Souk Al Jubail Building 4</v>
      </c>
      <c r="C6451" s="2" t="str">
        <f ca="1">IFERROR(__xludf.DUMMYFUNCTION("""COMPUTED_VALUE"""),"Building")</f>
        <v>Building</v>
      </c>
      <c r="D6451" s="2" t="str">
        <f ca="1">IFERROR(__xludf.DUMMYFUNCTION("""COMPUTED_VALUE"""),"Abu Dhabi&gt;Al Jubail Island&gt;Souk Al Jubail&gt;Souk Al Jubail Building 4")</f>
        <v>Abu Dhabi&gt;Al Jubail Island&gt;Souk Al Jubail&gt;Souk Al Jubail Building 4</v>
      </c>
      <c r="E6451" s="2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</row>
    <row r="6452" spans="1:26" ht="16.5" x14ac:dyDescent="0.35">
      <c r="A6452" s="2" t="str">
        <f ca="1">IFERROR(__xludf.DUMMYFUNCTION("""COMPUTED_VALUE"""),"Abu Dhabi")</f>
        <v>Abu Dhabi</v>
      </c>
      <c r="B6452" s="2" t="str">
        <f ca="1">IFERROR(__xludf.DUMMYFUNCTION("""COMPUTED_VALUE"""),"Al Falah City")</f>
        <v>Al Falah City</v>
      </c>
      <c r="C6452" s="2" t="str">
        <f ca="1">IFERROR(__xludf.DUMMYFUNCTION("""COMPUTED_VALUE"""),"Neighbourhood")</f>
        <v>Neighbourhood</v>
      </c>
      <c r="D6452" s="2" t="str">
        <f ca="1">IFERROR(__xludf.DUMMYFUNCTION("""COMPUTED_VALUE"""),"Abu Dhabi&gt;Al Falah City")</f>
        <v>Abu Dhabi&gt;Al Falah City</v>
      </c>
      <c r="E6452" s="2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</row>
    <row r="6453" spans="1:26" ht="16.5" x14ac:dyDescent="0.35">
      <c r="A6453" s="2" t="str">
        <f ca="1">IFERROR(__xludf.DUMMYFUNCTION("""COMPUTED_VALUE"""),"Abu Dhabi")</f>
        <v>Abu Dhabi</v>
      </c>
      <c r="B6453" s="2" t="str">
        <f ca="1">IFERROR(__xludf.DUMMYFUNCTION("""COMPUTED_VALUE"""),"Al Gurm")</f>
        <v>Al Gurm</v>
      </c>
      <c r="C6453" s="2" t="str">
        <f ca="1">IFERROR(__xludf.DUMMYFUNCTION("""COMPUTED_VALUE"""),"Neighbourhood")</f>
        <v>Neighbourhood</v>
      </c>
      <c r="D6453" s="2" t="str">
        <f ca="1">IFERROR(__xludf.DUMMYFUNCTION("""COMPUTED_VALUE"""),"Abu Dhabi&gt;Al Gurm")</f>
        <v>Abu Dhabi&gt;Al Gurm</v>
      </c>
      <c r="E6453" s="2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</row>
    <row r="6454" spans="1:26" ht="16.5" x14ac:dyDescent="0.35">
      <c r="A6454" s="2" t="str">
        <f ca="1">IFERROR(__xludf.DUMMYFUNCTION("""COMPUTED_VALUE"""),"Abu Dhabi")</f>
        <v>Abu Dhabi</v>
      </c>
      <c r="B6454" s="2" t="str">
        <f ca="1">IFERROR(__xludf.DUMMYFUNCTION("""COMPUTED_VALUE"""),"Abu Dhabi Indian School, Branch 1")</f>
        <v>Abu Dhabi Indian School, Branch 1</v>
      </c>
      <c r="C6454" s="2" t="str">
        <f ca="1">IFERROR(__xludf.DUMMYFUNCTION("""COMPUTED_VALUE"""),"School")</f>
        <v>School</v>
      </c>
      <c r="D6454" s="2" t="str">
        <f ca="1">IFERROR(__xludf.DUMMYFUNCTION("""COMPUTED_VALUE"""),"Abu Dhabi&gt;Al Wathba&gt;Abu Dhabi Indian School, Branch 1")</f>
        <v>Abu Dhabi&gt;Al Wathba&gt;Abu Dhabi Indian School, Branch 1</v>
      </c>
      <c r="E6454" s="2"/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</row>
    <row r="6455" spans="1:26" ht="16.5" x14ac:dyDescent="0.35">
      <c r="A6455" s="2" t="str">
        <f ca="1">IFERROR(__xludf.DUMMYFUNCTION("""COMPUTED_VALUE"""),"Abu Dhabi")</f>
        <v>Abu Dhabi</v>
      </c>
      <c r="B6455" s="2" t="str">
        <f ca="1">IFERROR(__xludf.DUMMYFUNCTION("""COMPUTED_VALUE"""),"The Beach House Tower 9")</f>
        <v>The Beach House Tower 9</v>
      </c>
      <c r="C6455" s="2" t="str">
        <f ca="1">IFERROR(__xludf.DUMMYFUNCTION("""COMPUTED_VALUE"""),"Building")</f>
        <v>Building</v>
      </c>
      <c r="D6455" s="2" t="str">
        <f ca="1">IFERROR(__xludf.DUMMYFUNCTION("""COMPUTED_VALUE"""),"Abu Dhabi&gt;Fahid Island&gt;The Beach House&gt;The Beach House Tower 9")</f>
        <v>Abu Dhabi&gt;Fahid Island&gt;The Beach House&gt;The Beach House Tower 9</v>
      </c>
      <c r="E6455" s="2"/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</row>
    <row r="6456" spans="1:26" ht="16.5" x14ac:dyDescent="0.35">
      <c r="A6456" s="2" t="str">
        <f ca="1">IFERROR(__xludf.DUMMYFUNCTION("""COMPUTED_VALUE"""),"Abu Dhabi")</f>
        <v>Abu Dhabi</v>
      </c>
      <c r="B6456" s="2" t="str">
        <f ca="1">IFERROR(__xludf.DUMMYFUNCTION("""COMPUTED_VALUE"""),"The Wave")</f>
        <v>The Wave</v>
      </c>
      <c r="C6456" s="2" t="str">
        <f ca="1">IFERROR(__xludf.DUMMYFUNCTION("""COMPUTED_VALUE"""),"Building")</f>
        <v>Building</v>
      </c>
      <c r="D6456" s="2" t="str">
        <f ca="1">IFERROR(__xludf.DUMMYFUNCTION("""COMPUTED_VALUE"""),"Abu Dhabi&gt;Al Reem Island&gt;Najmat Abu Dhabi&gt;The Wave")</f>
        <v>Abu Dhabi&gt;Al Reem Island&gt;Najmat Abu Dhabi&gt;The Wave</v>
      </c>
      <c r="E6456" s="2"/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</row>
    <row r="6457" spans="1:26" ht="16.5" x14ac:dyDescent="0.35">
      <c r="A6457" s="2" t="str">
        <f ca="1">IFERROR(__xludf.DUMMYFUNCTION("""COMPUTED_VALUE"""),"Abu Dhabi")</f>
        <v>Abu Dhabi</v>
      </c>
      <c r="B6457" s="2" t="str">
        <f ca="1">IFERROR(__xludf.DUMMYFUNCTION("""COMPUTED_VALUE"""),"Marina Heights II")</f>
        <v>Marina Heights II</v>
      </c>
      <c r="C6457" s="2" t="str">
        <f ca="1">IFERROR(__xludf.DUMMYFUNCTION("""COMPUTED_VALUE"""),"Building")</f>
        <v>Building</v>
      </c>
      <c r="D6457" s="2" t="str">
        <f ca="1">IFERROR(__xludf.DUMMYFUNCTION("""COMPUTED_VALUE"""),"Abu Dhabi&gt;Al Reem Island&gt;Marina Square&gt;Marina Heights&gt;Marina Heights II")</f>
        <v>Abu Dhabi&gt;Al Reem Island&gt;Marina Square&gt;Marina Heights&gt;Marina Heights II</v>
      </c>
      <c r="E6457" s="2"/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</row>
    <row r="6458" spans="1:26" ht="16.5" x14ac:dyDescent="0.35">
      <c r="A6458" s="2" t="str">
        <f ca="1">IFERROR(__xludf.DUMMYFUNCTION("""COMPUTED_VALUE"""),"Abu Dhabi")</f>
        <v>Abu Dhabi</v>
      </c>
      <c r="B6458" s="2" t="str">
        <f ca="1">IFERROR(__xludf.DUMMYFUNCTION("""COMPUTED_VALUE"""),"Sun Tower")</f>
        <v>Sun Tower</v>
      </c>
      <c r="C6458" s="2" t="str">
        <f ca="1">IFERROR(__xludf.DUMMYFUNCTION("""COMPUTED_VALUE"""),"Building")</f>
        <v>Building</v>
      </c>
      <c r="D6458" s="2" t="str">
        <f ca="1">IFERROR(__xludf.DUMMYFUNCTION("""COMPUTED_VALUE"""),"Abu Dhabi&gt;Al Reem Island&gt;Shams Abu Dhabi&gt;Shams Gate District&gt;Sun Tower")</f>
        <v>Abu Dhabi&gt;Al Reem Island&gt;Shams Abu Dhabi&gt;Shams Gate District&gt;Sun Tower</v>
      </c>
      <c r="E6458" s="2"/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</row>
    <row r="6459" spans="1:26" ht="16.5" x14ac:dyDescent="0.35">
      <c r="A6459" s="2" t="str">
        <f ca="1">IFERROR(__xludf.DUMMYFUNCTION("""COMPUTED_VALUE"""),"Abu Dhabi")</f>
        <v>Abu Dhabi</v>
      </c>
      <c r="B6459" s="2" t="str">
        <f ca="1">IFERROR(__xludf.DUMMYFUNCTION("""COMPUTED_VALUE"""),"Reem Eleven")</f>
        <v>Reem Eleven</v>
      </c>
      <c r="C6459" s="2" t="str">
        <f ca="1">IFERROR(__xludf.DUMMYFUNCTION("""COMPUTED_VALUE"""),"Building")</f>
        <v>Building</v>
      </c>
      <c r="D6459" s="2" t="str">
        <f ca="1">IFERROR(__xludf.DUMMYFUNCTION("""COMPUTED_VALUE"""),"Abu Dhabi&gt;Al Reem Island&gt;Shams Abu Dhabi&gt;Reem Eleven")</f>
        <v>Abu Dhabi&gt;Al Reem Island&gt;Shams Abu Dhabi&gt;Reem Eleven</v>
      </c>
      <c r="E6459" s="2"/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</row>
    <row r="6460" spans="1:26" ht="16.5" x14ac:dyDescent="0.35">
      <c r="A6460" s="2" t="str">
        <f ca="1">IFERROR(__xludf.DUMMYFUNCTION("""COMPUTED_VALUE"""),"Abu Dhabi")</f>
        <v>Abu Dhabi</v>
      </c>
      <c r="B6460" s="2" t="str">
        <f ca="1">IFERROR(__xludf.DUMMYFUNCTION("""COMPUTED_VALUE"""),"Radiant Boulevard")</f>
        <v>Radiant Boulevard</v>
      </c>
      <c r="C6460" s="2" t="str">
        <f ca="1">IFERROR(__xludf.DUMMYFUNCTION("""COMPUTED_VALUE"""),"Building")</f>
        <v>Building</v>
      </c>
      <c r="D6460" s="2" t="str">
        <f ca="1">IFERROR(__xludf.DUMMYFUNCTION("""COMPUTED_VALUE"""),"Abu Dhabi&gt;Al Reem Island&gt;City of Lights&gt;Radiant Square&gt;Radiant Boulevard")</f>
        <v>Abu Dhabi&gt;Al Reem Island&gt;City of Lights&gt;Radiant Square&gt;Radiant Boulevard</v>
      </c>
      <c r="E6460" s="2"/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</row>
    <row r="6461" spans="1:26" ht="16.5" x14ac:dyDescent="0.35">
      <c r="A6461" s="2" t="str">
        <f ca="1">IFERROR(__xludf.DUMMYFUNCTION("""COMPUTED_VALUE"""),"Abu Dhabi")</f>
        <v>Abu Dhabi</v>
      </c>
      <c r="B6461" s="2" t="str">
        <f ca="1">IFERROR(__xludf.DUMMYFUNCTION("""COMPUTED_VALUE"""),"Manzel")</f>
        <v>Manzel</v>
      </c>
      <c r="C6461" s="2" t="str">
        <f ca="1">IFERROR(__xludf.DUMMYFUNCTION("""COMPUTED_VALUE"""),"Building")</f>
        <v>Building</v>
      </c>
      <c r="D6461" s="2" t="str">
        <f ca="1">IFERROR(__xludf.DUMMYFUNCTION("""COMPUTED_VALUE"""),"Abu Dhabi&gt;Al Reem Island&gt;Reem Hills&gt;Manzel")</f>
        <v>Abu Dhabi&gt;Al Reem Island&gt;Reem Hills&gt;Manzel</v>
      </c>
      <c r="E6461" s="2"/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</row>
    <row r="6462" spans="1:26" ht="16.5" x14ac:dyDescent="0.35">
      <c r="A6462" s="2" t="str">
        <f ca="1">IFERROR(__xludf.DUMMYFUNCTION("""COMPUTED_VALUE"""),"Abu Dhabi")</f>
        <v>Abu Dhabi</v>
      </c>
      <c r="B6462" s="2" t="str">
        <f ca="1">IFERROR(__xludf.DUMMYFUNCTION("""COMPUTED_VALUE"""),"Hamdan Street")</f>
        <v>Hamdan Street</v>
      </c>
      <c r="C6462" s="2" t="str">
        <f ca="1">IFERROR(__xludf.DUMMYFUNCTION("""COMPUTED_VALUE"""),"Neighbourhood")</f>
        <v>Neighbourhood</v>
      </c>
      <c r="D6462" s="2" t="str">
        <f ca="1">IFERROR(__xludf.DUMMYFUNCTION("""COMPUTED_VALUE"""),"Abu Dhabi&gt;Hamdan Street")</f>
        <v>Abu Dhabi&gt;Hamdan Street</v>
      </c>
      <c r="E6462" s="2"/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</row>
    <row r="6463" spans="1:26" ht="16.5" x14ac:dyDescent="0.35">
      <c r="A6463" s="2" t="str">
        <f ca="1">IFERROR(__xludf.DUMMYFUNCTION("""COMPUTED_VALUE"""),"Abu Dhabi")</f>
        <v>Abu Dhabi</v>
      </c>
      <c r="B6463" s="2" t="str">
        <f ca="1">IFERROR(__xludf.DUMMYFUNCTION("""COMPUTED_VALUE"""),"CI Tower")</f>
        <v>CI Tower</v>
      </c>
      <c r="C6463" s="2" t="str">
        <f ca="1">IFERROR(__xludf.DUMMYFUNCTION("""COMPUTED_VALUE"""),"Building")</f>
        <v>Building</v>
      </c>
      <c r="D6463" s="2" t="str">
        <f ca="1">IFERROR(__xludf.DUMMYFUNCTION("""COMPUTED_VALUE"""),"Abu Dhabi&gt;Al Khalidiyah&gt;CI Tower")</f>
        <v>Abu Dhabi&gt;Al Khalidiyah&gt;CI Tower</v>
      </c>
      <c r="E6463" s="2"/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</row>
    <row r="6464" spans="1:26" ht="16.5" x14ac:dyDescent="0.35">
      <c r="A6464" s="2" t="str">
        <f ca="1">IFERROR(__xludf.DUMMYFUNCTION("""COMPUTED_VALUE"""),"Abu Dhabi")</f>
        <v>Abu Dhabi</v>
      </c>
      <c r="B6464" s="2" t="str">
        <f ca="1">IFERROR(__xludf.DUMMYFUNCTION("""COMPUTED_VALUE"""),"Shining Towers")</f>
        <v>Shining Towers</v>
      </c>
      <c r="C6464" s="2" t="str">
        <f ca="1">IFERROR(__xludf.DUMMYFUNCTION("""COMPUTED_VALUE"""),"Building")</f>
        <v>Building</v>
      </c>
      <c r="D6464" s="2" t="str">
        <f ca="1">IFERROR(__xludf.DUMMYFUNCTION("""COMPUTED_VALUE"""),"Abu Dhabi&gt;Al Khalidiyah&gt;Shining Towers")</f>
        <v>Abu Dhabi&gt;Al Khalidiyah&gt;Shining Towers</v>
      </c>
      <c r="E6464" s="2"/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</row>
    <row r="6465" spans="1:26" ht="16.5" x14ac:dyDescent="0.35">
      <c r="A6465" s="2" t="str">
        <f ca="1">IFERROR(__xludf.DUMMYFUNCTION("""COMPUTED_VALUE"""),"Abu Dhabi")</f>
        <v>Abu Dhabi</v>
      </c>
      <c r="B6465" s="2" t="str">
        <f ca="1">IFERROR(__xludf.DUMMYFUNCTION("""COMPUTED_VALUE"""),"Al Rayyana")</f>
        <v>Al Rayyana</v>
      </c>
      <c r="C6465" s="2" t="str">
        <f ca="1">IFERROR(__xludf.DUMMYFUNCTION("""COMPUTED_VALUE"""),"Neighbourhood")</f>
        <v>Neighbourhood</v>
      </c>
      <c r="D6465" s="2" t="str">
        <f ca="1">IFERROR(__xludf.DUMMYFUNCTION("""COMPUTED_VALUE"""),"Abu Dhabi&gt;Khalifa City&gt;Al Rayyana")</f>
        <v>Abu Dhabi&gt;Khalifa City&gt;Al Rayyana</v>
      </c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</row>
    <row r="6466" spans="1:26" ht="16.5" x14ac:dyDescent="0.35">
      <c r="A6466" s="2" t="str">
        <f ca="1">IFERROR(__xludf.DUMMYFUNCTION("""COMPUTED_VALUE"""),"Abu Dhabi")</f>
        <v>Abu Dhabi</v>
      </c>
      <c r="B6466" s="2" t="str">
        <f ca="1">IFERROR(__xludf.DUMMYFUNCTION("""COMPUTED_VALUE"""),"Hayat Boulevard")</f>
        <v>Hayat Boulevard</v>
      </c>
      <c r="C6466" s="2" t="str">
        <f ca="1">IFERROR(__xludf.DUMMYFUNCTION("""COMPUTED_VALUE"""),"Building")</f>
        <v>Building</v>
      </c>
      <c r="D6466" s="2" t="str">
        <f ca="1">IFERROR(__xludf.DUMMYFUNCTION("""COMPUTED_VALUE"""),"Abu Dhabi&gt;Khalifa City&gt;Hayat Boulevard")</f>
        <v>Abu Dhabi&gt;Khalifa City&gt;Hayat Boulevard</v>
      </c>
      <c r="E6466" s="2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</row>
    <row r="6467" spans="1:26" ht="16.5" x14ac:dyDescent="0.35">
      <c r="A6467" s="2" t="str">
        <f ca="1">IFERROR(__xludf.DUMMYFUNCTION("""COMPUTED_VALUE"""),"Abu Dhabi")</f>
        <v>Abu Dhabi</v>
      </c>
      <c r="B6467" s="2" t="str">
        <f ca="1">IFERROR(__xludf.DUMMYFUNCTION("""COMPUTED_VALUE"""),"Al Ferdous Tower")</f>
        <v>Al Ferdous Tower</v>
      </c>
      <c r="C6467" s="2" t="str">
        <f ca="1">IFERROR(__xludf.DUMMYFUNCTION("""COMPUTED_VALUE"""),"Building")</f>
        <v>Building</v>
      </c>
      <c r="D6467" s="2" t="str">
        <f ca="1">IFERROR(__xludf.DUMMYFUNCTION("""COMPUTED_VALUE"""),"Abu Dhabi&gt;Al Markaziya&gt;Al Ferdous Tower")</f>
        <v>Abu Dhabi&gt;Al Markaziya&gt;Al Ferdous Tower</v>
      </c>
      <c r="E6467" s="2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</row>
    <row r="6468" spans="1:26" ht="16.5" x14ac:dyDescent="0.35">
      <c r="A6468" s="2" t="str">
        <f ca="1">IFERROR(__xludf.DUMMYFUNCTION("""COMPUTED_VALUE"""),"Abu Dhabi")</f>
        <v>Abu Dhabi</v>
      </c>
      <c r="B6468" s="2" t="str">
        <f ca="1">IFERROR(__xludf.DUMMYFUNCTION("""COMPUTED_VALUE"""),"Saadiyat Island")</f>
        <v>Saadiyat Island</v>
      </c>
      <c r="C6468" s="2" t="str">
        <f ca="1">IFERROR(__xludf.DUMMYFUNCTION("""COMPUTED_VALUE"""),"Neighbourhood")</f>
        <v>Neighbourhood</v>
      </c>
      <c r="D6468" s="2" t="str">
        <f ca="1">IFERROR(__xludf.DUMMYFUNCTION("""COMPUTED_VALUE"""),"Abu Dhabi&gt;Saadiyat Island")</f>
        <v>Abu Dhabi&gt;Saadiyat Island</v>
      </c>
      <c r="E6468" s="2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</row>
    <row r="6469" spans="1:26" ht="16.5" x14ac:dyDescent="0.35">
      <c r="A6469" s="2" t="str">
        <f ca="1">IFERROR(__xludf.DUMMYFUNCTION("""COMPUTED_VALUE"""),"Abu Dhabi")</f>
        <v>Abu Dhabi</v>
      </c>
      <c r="B6469" s="2" t="str">
        <f ca="1">IFERROR(__xludf.DUMMYFUNCTION("""COMPUTED_VALUE"""),"Mamsha Gardens Building 4")</f>
        <v>Mamsha Gardens Building 4</v>
      </c>
      <c r="C6469" s="2" t="str">
        <f ca="1">IFERROR(__xludf.DUMMYFUNCTION("""COMPUTED_VALUE"""),"Building")</f>
        <v>Building</v>
      </c>
      <c r="D6469" s="2" t="str">
        <f ca="1">IFERROR(__xludf.DUMMYFUNCTION("""COMPUTED_VALUE"""),"Abu Dhabi&gt;Saadiyat Island&gt;Saadiyat Cultural District&gt;Mamsha Gardens&gt;Mamsha Gardens Building 4")</f>
        <v>Abu Dhabi&gt;Saadiyat Island&gt;Saadiyat Cultural District&gt;Mamsha Gardens&gt;Mamsha Gardens Building 4</v>
      </c>
      <c r="E6469" s="2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</row>
    <row r="6470" spans="1:26" ht="16.5" x14ac:dyDescent="0.35">
      <c r="A6470" s="2" t="str">
        <f ca="1">IFERROR(__xludf.DUMMYFUNCTION("""COMPUTED_VALUE"""),"Abu Dhabi")</f>
        <v>Abu Dhabi</v>
      </c>
      <c r="B6470" s="2" t="str">
        <f ca="1">IFERROR(__xludf.DUMMYFUNCTION("""COMPUTED_VALUE"""),"saadiyat Beach Golf Views")</f>
        <v>saadiyat Beach Golf Views</v>
      </c>
      <c r="C6470" s="2" t="str">
        <f ca="1">IFERROR(__xludf.DUMMYFUNCTION("""COMPUTED_VALUE"""),"Building")</f>
        <v>Building</v>
      </c>
      <c r="D6470" s="2" t="str">
        <f ca="1">IFERROR(__xludf.DUMMYFUNCTION("""COMPUTED_VALUE"""),"Abu Dhabi&gt;Saadiyat Island&gt;Saadiyat Beach&gt;saadiyat Beach Golf Views")</f>
        <v>Abu Dhabi&gt;Saadiyat Island&gt;Saadiyat Beach&gt;saadiyat Beach Golf Views</v>
      </c>
      <c r="E6470" s="2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</row>
    <row r="6471" spans="1:26" ht="16.5" x14ac:dyDescent="0.35">
      <c r="A6471" s="2" t="str">
        <f ca="1">IFERROR(__xludf.DUMMYFUNCTION("""COMPUTED_VALUE"""),"Abu Dhabi")</f>
        <v>Abu Dhabi</v>
      </c>
      <c r="B6471" s="2" t="str">
        <f ca="1">IFERROR(__xludf.DUMMYFUNCTION("""COMPUTED_VALUE"""),"Faya Al Saadiyat")</f>
        <v>Faya Al Saadiyat</v>
      </c>
      <c r="C6471" s="2" t="str">
        <f ca="1">IFERROR(__xludf.DUMMYFUNCTION("""COMPUTED_VALUE"""),"Neighbourhood")</f>
        <v>Neighbourhood</v>
      </c>
      <c r="D6471" s="2" t="str">
        <f ca="1">IFERROR(__xludf.DUMMYFUNCTION("""COMPUTED_VALUE"""),"Abu Dhabi&gt;Saadiyat Island&gt;Faya Al Saadiyat")</f>
        <v>Abu Dhabi&gt;Saadiyat Island&gt;Faya Al Saadiyat</v>
      </c>
      <c r="E6471" s="2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</row>
    <row r="6472" spans="1:26" ht="16.5" x14ac:dyDescent="0.35">
      <c r="A6472" s="2" t="str">
        <f ca="1">IFERROR(__xludf.DUMMYFUNCTION("""COMPUTED_VALUE"""),"Abu Dhabi")</f>
        <v>Abu Dhabi</v>
      </c>
      <c r="B6472" s="2" t="str">
        <f ca="1">IFERROR(__xludf.DUMMYFUNCTION("""COMPUTED_VALUE"""),"Mira Residence 1")</f>
        <v>Mira Residence 1</v>
      </c>
      <c r="C6472" s="2" t="str">
        <f ca="1">IFERROR(__xludf.DUMMYFUNCTION("""COMPUTED_VALUE"""),"Building")</f>
        <v>Building</v>
      </c>
      <c r="D6472" s="2" t="str">
        <f ca="1">IFERROR(__xludf.DUMMYFUNCTION("""COMPUTED_VALUE"""),"Abu Dhabi&gt;Al Raha Beach&gt;Mira Residence&gt;Mira Residence 1")</f>
        <v>Abu Dhabi&gt;Al Raha Beach&gt;Mira Residence&gt;Mira Residence 1</v>
      </c>
      <c r="E6472" s="2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</row>
    <row r="6473" spans="1:26" ht="16.5" x14ac:dyDescent="0.35">
      <c r="A6473" s="2" t="str">
        <f ca="1">IFERROR(__xludf.DUMMYFUNCTION("""COMPUTED_VALUE"""),"Abu Dhabi")</f>
        <v>Abu Dhabi</v>
      </c>
      <c r="B6473" s="2" t="str">
        <f ca="1">IFERROR(__xludf.DUMMYFUNCTION("""COMPUTED_VALUE"""),"Al Muneera Townhouses Mainland")</f>
        <v>Al Muneera Townhouses Mainland</v>
      </c>
      <c r="C6473" s="2" t="str">
        <f ca="1">IFERROR(__xludf.DUMMYFUNCTION("""COMPUTED_VALUE"""),"Neighbourhood")</f>
        <v>Neighbourhood</v>
      </c>
      <c r="D6473" s="2" t="str">
        <f ca="1">IFERROR(__xludf.DUMMYFUNCTION("""COMPUTED_VALUE"""),"Abu Dhabi&gt;Al Raha Beach&gt;Al Muneera&gt;Al Muneera Townhouses Mainland")</f>
        <v>Abu Dhabi&gt;Al Raha Beach&gt;Al Muneera&gt;Al Muneera Townhouses Mainland</v>
      </c>
      <c r="E6473" s="2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</row>
    <row r="6474" spans="1:26" ht="16.5" x14ac:dyDescent="0.35">
      <c r="A6474" s="2" t="str">
        <f ca="1">IFERROR(__xludf.DUMMYFUNCTION("""COMPUTED_VALUE"""),"Abu Dhabi")</f>
        <v>Abu Dhabi</v>
      </c>
      <c r="B6474" s="2" t="str">
        <f ca="1">IFERROR(__xludf.DUMMYFUNCTION("""COMPUTED_VALUE"""),"Aldar Headquarters")</f>
        <v>Aldar Headquarters</v>
      </c>
      <c r="C6474" s="2" t="str">
        <f ca="1">IFERROR(__xludf.DUMMYFUNCTION("""COMPUTED_VALUE"""),"Building")</f>
        <v>Building</v>
      </c>
      <c r="D6474" s="2" t="str">
        <f ca="1">IFERROR(__xludf.DUMMYFUNCTION("""COMPUTED_VALUE"""),"Abu Dhabi&gt;Al Raha Beach&gt;Aldar Headquarters")</f>
        <v>Abu Dhabi&gt;Al Raha Beach&gt;Aldar Headquarters</v>
      </c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</row>
    <row r="6475" spans="1:26" ht="16.5" x14ac:dyDescent="0.35">
      <c r="A6475" s="2" t="str">
        <f ca="1">IFERROR(__xludf.DUMMYFUNCTION("""COMPUTED_VALUE"""),"Abu Dhabi")</f>
        <v>Abu Dhabi</v>
      </c>
      <c r="B6475" s="2" t="str">
        <f ca="1">IFERROR(__xludf.DUMMYFUNCTION("""COMPUTED_VALUE"""),"Guardian Towers")</f>
        <v>Guardian Towers</v>
      </c>
      <c r="C6475" s="2" t="str">
        <f ca="1">IFERROR(__xludf.DUMMYFUNCTION("""COMPUTED_VALUE"""),"Building")</f>
        <v>Building</v>
      </c>
      <c r="D6475" s="2" t="str">
        <f ca="1">IFERROR(__xludf.DUMMYFUNCTION("""COMPUTED_VALUE"""),"Abu Dhabi&gt;Danet Abu Dhabi&gt;Guardian Towers")</f>
        <v>Abu Dhabi&gt;Danet Abu Dhabi&gt;Guardian Towers</v>
      </c>
      <c r="E6475" s="2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</row>
    <row r="6476" spans="1:26" ht="16.5" x14ac:dyDescent="0.35">
      <c r="A6476" s="2" t="str">
        <f ca="1">IFERROR(__xludf.DUMMYFUNCTION("""COMPUTED_VALUE"""),"Abu Dhabi")</f>
        <v>Abu Dhabi</v>
      </c>
      <c r="B6476" s="2" t="str">
        <f ca="1">IFERROR(__xludf.DUMMYFUNCTION("""COMPUTED_VALUE"""),"Ajyal International School, MBZ City")</f>
        <v>Ajyal International School, MBZ City</v>
      </c>
      <c r="C6476" s="2" t="str">
        <f ca="1">IFERROR(__xludf.DUMMYFUNCTION("""COMPUTED_VALUE"""),"School")</f>
        <v>School</v>
      </c>
      <c r="D6476" s="2" t="str">
        <f ca="1">IFERROR(__xludf.DUMMYFUNCTION("""COMPUTED_VALUE"""),"Abu Dhabi&gt;Mohamed Bin Zayed City&gt;Ajyal International School, MBZ City")</f>
        <v>Abu Dhabi&gt;Mohamed Bin Zayed City&gt;Ajyal International School, MBZ City</v>
      </c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</row>
    <row r="6477" spans="1:26" ht="16.5" x14ac:dyDescent="0.35">
      <c r="A6477" s="2" t="str">
        <f ca="1">IFERROR(__xludf.DUMMYFUNCTION("""COMPUTED_VALUE"""),"Abu Dhabi")</f>
        <v>Abu Dhabi</v>
      </c>
      <c r="B6477" s="2" t="str">
        <f ca="1">IFERROR(__xludf.DUMMYFUNCTION("""COMPUTED_VALUE"""),"Zone 19")</f>
        <v>Zone 19</v>
      </c>
      <c r="C6477" s="2" t="str">
        <f ca="1">IFERROR(__xludf.DUMMYFUNCTION("""COMPUTED_VALUE"""),"Neighbourhood")</f>
        <v>Neighbourhood</v>
      </c>
      <c r="D6477" s="2" t="str">
        <f ca="1">IFERROR(__xludf.DUMMYFUNCTION("""COMPUTED_VALUE"""),"Abu Dhabi&gt;Mohamed Bin Zayed City&gt;Zone 19")</f>
        <v>Abu Dhabi&gt;Mohamed Bin Zayed City&gt;Zone 19</v>
      </c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</row>
    <row r="6478" spans="1:26" ht="16.5" x14ac:dyDescent="0.35">
      <c r="A6478" s="2" t="str">
        <f ca="1">IFERROR(__xludf.DUMMYFUNCTION("""COMPUTED_VALUE"""),"Abu Dhabi")</f>
        <v>Abu Dhabi</v>
      </c>
      <c r="B6478" s="2" t="str">
        <f ca="1">IFERROR(__xludf.DUMMYFUNCTION("""COMPUTED_VALUE"""),"Zone 29")</f>
        <v>Zone 29</v>
      </c>
      <c r="C6478" s="2" t="str">
        <f ca="1">IFERROR(__xludf.DUMMYFUNCTION("""COMPUTED_VALUE"""),"Neighbourhood")</f>
        <v>Neighbourhood</v>
      </c>
      <c r="D6478" s="2" t="str">
        <f ca="1">IFERROR(__xludf.DUMMYFUNCTION("""COMPUTED_VALUE"""),"Abu Dhabi&gt;Mohamed Bin Zayed City&gt;Zone 29")</f>
        <v>Abu Dhabi&gt;Mohamed Bin Zayed City&gt;Zone 29</v>
      </c>
      <c r="E6478" s="2"/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</row>
    <row r="6479" spans="1:26" ht="16.5" x14ac:dyDescent="0.35">
      <c r="A6479" s="2" t="str">
        <f ca="1">IFERROR(__xludf.DUMMYFUNCTION("""COMPUTED_VALUE"""),"Abu Dhabi")</f>
        <v>Abu Dhabi</v>
      </c>
      <c r="B6479" s="2" t="str">
        <f ca="1">IFERROR(__xludf.DUMMYFUNCTION("""COMPUTED_VALUE"""),"Building 34")</f>
        <v>Building 34</v>
      </c>
      <c r="C6479" s="2" t="str">
        <f ca="1">IFERROR(__xludf.DUMMYFUNCTION("""COMPUTED_VALUE"""),"Building")</f>
        <v>Building</v>
      </c>
      <c r="D6479" s="2" t="str">
        <f ca="1">IFERROR(__xludf.DUMMYFUNCTION("""COMPUTED_VALUE"""),"Abu Dhabi&gt;Al Reef&gt;Al Reef Downtown&gt;Building 34")</f>
        <v>Abu Dhabi&gt;Al Reef&gt;Al Reef Downtown&gt;Building 34</v>
      </c>
      <c r="E6479" s="2"/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</row>
    <row r="6480" spans="1:26" ht="16.5" x14ac:dyDescent="0.35">
      <c r="A6480" s="2" t="str">
        <f ca="1">IFERROR(__xludf.DUMMYFUNCTION("""COMPUTED_VALUE"""),"Abu Dhabi")</f>
        <v>Abu Dhabi</v>
      </c>
      <c r="B6480" s="2" t="str">
        <f ca="1">IFERROR(__xludf.DUMMYFUNCTION("""COMPUTED_VALUE"""),"Arabian Style")</f>
        <v>Arabian Style</v>
      </c>
      <c r="C6480" s="2" t="str">
        <f ca="1">IFERROR(__xludf.DUMMYFUNCTION("""COMPUTED_VALUE"""),"Neighbourhood")</f>
        <v>Neighbourhood</v>
      </c>
      <c r="D6480" s="2" t="str">
        <f ca="1">IFERROR(__xludf.DUMMYFUNCTION("""COMPUTED_VALUE"""),"Abu Dhabi&gt;Al Reef&gt;Al Reef Villas&gt;Arabian Style")</f>
        <v>Abu Dhabi&gt;Al Reef&gt;Al Reef Villas&gt;Arabian Style</v>
      </c>
      <c r="E6480" s="2"/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</row>
    <row r="6481" spans="1:26" ht="16.5" x14ac:dyDescent="0.35">
      <c r="A6481" s="2" t="str">
        <f ca="1">IFERROR(__xludf.DUMMYFUNCTION("""COMPUTED_VALUE"""),"Abu Dhabi")</f>
        <v>Abu Dhabi</v>
      </c>
      <c r="B6481" s="2" t="str">
        <f ca="1">IFERROR(__xludf.DUMMYFUNCTION("""COMPUTED_VALUE"""),"UBL Tower")</f>
        <v>UBL Tower</v>
      </c>
      <c r="C6481" s="2" t="str">
        <f ca="1">IFERROR(__xludf.DUMMYFUNCTION("""COMPUTED_VALUE"""),"Building")</f>
        <v>Building</v>
      </c>
      <c r="D6481" s="2" t="str">
        <f ca="1">IFERROR(__xludf.DUMMYFUNCTION("""COMPUTED_VALUE"""),"Abu Dhabi&gt;Sheikh Khalifa Bin Zayed Street&gt;UBL Tower")</f>
        <v>Abu Dhabi&gt;Sheikh Khalifa Bin Zayed Street&gt;UBL Tower</v>
      </c>
      <c r="E6481" s="2"/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</row>
    <row r="6482" spans="1:26" ht="16.5" x14ac:dyDescent="0.35">
      <c r="A6482" s="2" t="str">
        <f ca="1">IFERROR(__xludf.DUMMYFUNCTION("""COMPUTED_VALUE"""),"Abu Dhabi")</f>
        <v>Abu Dhabi</v>
      </c>
      <c r="B6482" s="2" t="str">
        <f ca="1">IFERROR(__xludf.DUMMYFUNCTION("""COMPUTED_VALUE"""),"HE Two Building")</f>
        <v>HE Two Building</v>
      </c>
      <c r="C6482" s="2" t="str">
        <f ca="1">IFERROR(__xludf.DUMMYFUNCTION("""COMPUTED_VALUE"""),"Building")</f>
        <v>Building</v>
      </c>
      <c r="D6482" s="2" t="str">
        <f ca="1">IFERROR(__xludf.DUMMYFUNCTION("""COMPUTED_VALUE"""),"Abu Dhabi&gt;Madinat Al Riyad&gt;HE Two Building")</f>
        <v>Abu Dhabi&gt;Madinat Al Riyad&gt;HE Two Building</v>
      </c>
      <c r="E6482" s="2"/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</row>
    <row r="6483" spans="1:26" ht="16.5" x14ac:dyDescent="0.35">
      <c r="A6483" s="2" t="str">
        <f ca="1">IFERROR(__xludf.DUMMYFUNCTION("""COMPUTED_VALUE"""),"Abu Dhabi")</f>
        <v>Abu Dhabi</v>
      </c>
      <c r="B6483" s="2" t="str">
        <f ca="1">IFERROR(__xludf.DUMMYFUNCTION("""COMPUTED_VALUE"""),"Stellar by Elie Saab")</f>
        <v>Stellar by Elie Saab</v>
      </c>
      <c r="C6483" s="2" t="str">
        <f ca="1">IFERROR(__xludf.DUMMYFUNCTION("""COMPUTED_VALUE"""),"Building")</f>
        <v>Building</v>
      </c>
      <c r="D6483" s="2" t="str">
        <f ca="1">IFERROR(__xludf.DUMMYFUNCTION("""COMPUTED_VALUE"""),"Abu Dhabi&gt;Yas Island&gt;Yas Bay&gt;Stellar by Elie Saab")</f>
        <v>Abu Dhabi&gt;Yas Island&gt;Yas Bay&gt;Stellar by Elie Saab</v>
      </c>
      <c r="E6483" s="2"/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</row>
    <row r="6484" spans="1:26" ht="16.5" x14ac:dyDescent="0.35">
      <c r="A6484" s="2" t="str">
        <f ca="1">IFERROR(__xludf.DUMMYFUNCTION("""COMPUTED_VALUE"""),"Abu Dhabi")</f>
        <v>Abu Dhabi</v>
      </c>
      <c r="B6484" s="2" t="str">
        <f ca="1">IFERROR(__xludf.DUMMYFUNCTION("""COMPUTED_VALUE"""),"Views F")</f>
        <v>Views F</v>
      </c>
      <c r="C6484" s="2" t="str">
        <f ca="1">IFERROR(__xludf.DUMMYFUNCTION("""COMPUTED_VALUE"""),"Building")</f>
        <v>Building</v>
      </c>
      <c r="D6484" s="2" t="str">
        <f ca="1">IFERROR(__xludf.DUMMYFUNCTION("""COMPUTED_VALUE"""),"Abu Dhabi&gt;Yas Island&gt;Yas Golf Collection&gt;Views F")</f>
        <v>Abu Dhabi&gt;Yas Island&gt;Yas Golf Collection&gt;Views F</v>
      </c>
      <c r="E6484" s="2"/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</row>
    <row r="6485" spans="1:26" ht="16.5" x14ac:dyDescent="0.35">
      <c r="A6485" s="2" t="str">
        <f ca="1">IFERROR(__xludf.DUMMYFUNCTION("""COMPUTED_VALUE"""),"Abu Dhabi")</f>
        <v>Abu Dhabi</v>
      </c>
      <c r="B6485" s="2" t="str">
        <f ca="1">IFERROR(__xludf.DUMMYFUNCTION("""COMPUTED_VALUE"""),"Nawayef West")</f>
        <v>Nawayef West</v>
      </c>
      <c r="C6485" s="2" t="str">
        <f ca="1">IFERROR(__xludf.DUMMYFUNCTION("""COMPUTED_VALUE"""),"Neighbourhood")</f>
        <v>Neighbourhood</v>
      </c>
      <c r="D6485" s="2" t="str">
        <f ca="1">IFERROR(__xludf.DUMMYFUNCTION("""COMPUTED_VALUE"""),"Abu Dhabi&gt;Al Hudayriat Island&gt;Nawayef West")</f>
        <v>Abu Dhabi&gt;Al Hudayriat Island&gt;Nawayef West</v>
      </c>
      <c r="E6485" s="2"/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</row>
    <row r="6486" spans="1:26" ht="16.5" x14ac:dyDescent="0.35">
      <c r="A6486" s="2" t="str">
        <f ca="1">IFERROR(__xludf.DUMMYFUNCTION("""COMPUTED_VALUE"""),"Abu Dhabi")</f>
        <v>Abu Dhabi</v>
      </c>
      <c r="B6486" s="2" t="str">
        <f ca="1">IFERROR(__xludf.DUMMYFUNCTION("""COMPUTED_VALUE"""),"Right Capital 1")</f>
        <v>Right Capital 1</v>
      </c>
      <c r="C6486" s="2" t="str">
        <f ca="1">IFERROR(__xludf.DUMMYFUNCTION("""COMPUTED_VALUE"""),"Building")</f>
        <v>Building</v>
      </c>
      <c r="D6486" s="2" t="str">
        <f ca="1">IFERROR(__xludf.DUMMYFUNCTION("""COMPUTED_VALUE"""),"Abu Dhabi&gt;Al Shamkha&gt;Right Capital 1")</f>
        <v>Abu Dhabi&gt;Al Shamkha&gt;Right Capital 1</v>
      </c>
      <c r="E6486" s="2"/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</row>
    <row r="6487" spans="1:26" ht="16.5" x14ac:dyDescent="0.35">
      <c r="A6487" s="2" t="str">
        <f ca="1">IFERROR(__xludf.DUMMYFUNCTION("""COMPUTED_VALUE"""),"Ajman")</f>
        <v>Ajman</v>
      </c>
      <c r="B6487" s="2" t="str">
        <f ca="1">IFERROR(__xludf.DUMMYFUNCTION("""COMPUTED_VALUE"""),"Frontline International Private School, Ajman")</f>
        <v>Frontline International Private School, Ajman</v>
      </c>
      <c r="C6487" s="2" t="str">
        <f ca="1">IFERROR(__xludf.DUMMYFUNCTION("""COMPUTED_VALUE"""),"School")</f>
        <v>School</v>
      </c>
      <c r="D6487" s="2" t="str">
        <f ca="1">IFERROR(__xludf.DUMMYFUNCTION("""COMPUTED_VALUE"""),"Ajman&gt;Al Tallah 2&gt;Frontline International Private School, Ajman")</f>
        <v>Ajman&gt;Al Tallah 2&gt;Frontline International Private School, Ajman</v>
      </c>
      <c r="E6487" s="2"/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</row>
    <row r="6488" spans="1:26" ht="16.5" x14ac:dyDescent="0.35">
      <c r="A6488" s="2" t="str">
        <f ca="1">IFERROR(__xludf.DUMMYFUNCTION("""COMPUTED_VALUE"""),"Ajman")</f>
        <v>Ajman</v>
      </c>
      <c r="B6488" s="2" t="str">
        <f ca="1">IFERROR(__xludf.DUMMYFUNCTION("""COMPUTED_VALUE"""),"Emirates City Tower")</f>
        <v>Emirates City Tower</v>
      </c>
      <c r="C6488" s="2"/>
      <c r="D6488" s="2" t="str">
        <f ca="1">IFERROR(__xludf.DUMMYFUNCTION("""COMPUTED_VALUE"""),"Ajman&gt;Emirates City&gt;Emirates City Tower")</f>
        <v>Ajman&gt;Emirates City&gt;Emirates City Tower</v>
      </c>
      <c r="E6488" s="2"/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</row>
    <row r="6489" spans="1:26" ht="16.5" x14ac:dyDescent="0.35">
      <c r="A6489" s="2" t="str">
        <f ca="1">IFERROR(__xludf.DUMMYFUNCTION("""COMPUTED_VALUE"""),"Ajman")</f>
        <v>Ajman</v>
      </c>
      <c r="B6489" s="2" t="str">
        <f ca="1">IFERROR(__xludf.DUMMYFUNCTION("""COMPUTED_VALUE"""),"Tawakal Tower")</f>
        <v>Tawakal Tower</v>
      </c>
      <c r="C6489" s="2" t="str">
        <f ca="1">IFERROR(__xludf.DUMMYFUNCTION("""COMPUTED_VALUE"""),"Building")</f>
        <v>Building</v>
      </c>
      <c r="D6489" s="2" t="str">
        <f ca="1">IFERROR(__xludf.DUMMYFUNCTION("""COMPUTED_VALUE"""),"Ajman&gt;Emirates City&gt;Tawakal Tower")</f>
        <v>Ajman&gt;Emirates City&gt;Tawakal Tower</v>
      </c>
      <c r="E6489" s="2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</row>
    <row r="6490" spans="1:26" ht="16.5" x14ac:dyDescent="0.35">
      <c r="A6490" s="2" t="str">
        <f ca="1">IFERROR(__xludf.DUMMYFUNCTION("""COMPUTED_VALUE"""),"Ajman")</f>
        <v>Ajman</v>
      </c>
      <c r="B6490" s="2" t="str">
        <f ca="1">IFERROR(__xludf.DUMMYFUNCTION("""COMPUTED_VALUE"""),"Zain 2 Building")</f>
        <v>Zain 2 Building</v>
      </c>
      <c r="C6490" s="2" t="str">
        <f ca="1">IFERROR(__xludf.DUMMYFUNCTION("""COMPUTED_VALUE"""),"Building")</f>
        <v>Building</v>
      </c>
      <c r="D6490" s="2" t="str">
        <f ca="1">IFERROR(__xludf.DUMMYFUNCTION("""COMPUTED_VALUE"""),"Ajman&gt;Al Jurf&gt;Al Jurf Industrial Area&gt;Al Jurf Industrial 3&gt;Zain 2 Building")</f>
        <v>Ajman&gt;Al Jurf&gt;Al Jurf Industrial Area&gt;Al Jurf Industrial 3&gt;Zain 2 Building</v>
      </c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</row>
    <row r="6491" spans="1:26" ht="16.5" x14ac:dyDescent="0.35">
      <c r="A6491" s="2" t="str">
        <f ca="1">IFERROR(__xludf.DUMMYFUNCTION("""COMPUTED_VALUE"""),"Ajman")</f>
        <v>Ajman</v>
      </c>
      <c r="B6491" s="2" t="str">
        <f ca="1">IFERROR(__xludf.DUMMYFUNCTION("""COMPUTED_VALUE"""),"Erica")</f>
        <v>Erica</v>
      </c>
      <c r="C6491" s="2"/>
      <c r="D6491" s="2" t="str">
        <f ca="1">IFERROR(__xludf.DUMMYFUNCTION("""COMPUTED_VALUE"""),"Ajman&gt;Ajman Uptown&gt;Erica")</f>
        <v>Ajman&gt;Ajman Uptown&gt;Erica</v>
      </c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</row>
    <row r="6492" spans="1:26" ht="16.5" x14ac:dyDescent="0.35">
      <c r="A6492" s="2" t="str">
        <f ca="1">IFERROR(__xludf.DUMMYFUNCTION("""COMPUTED_VALUE"""),"Ajman")</f>
        <v>Ajman</v>
      </c>
      <c r="B6492" s="2" t="str">
        <f ca="1">IFERROR(__xludf.DUMMYFUNCTION("""COMPUTED_VALUE"""),"Falcon B1")</f>
        <v>Falcon B1</v>
      </c>
      <c r="C6492" s="2" t="str">
        <f ca="1">IFERROR(__xludf.DUMMYFUNCTION("""COMPUTED_VALUE"""),"Building")</f>
        <v>Building</v>
      </c>
      <c r="D6492" s="2" t="str">
        <f ca="1">IFERROR(__xludf.DUMMYFUNCTION("""COMPUTED_VALUE"""),"Ajman&gt;Al Rashidiya&gt;Al Rashidiya 2&gt;Falcon Towers&gt;Falcon B1")</f>
        <v>Ajman&gt;Al Rashidiya&gt;Al Rashidiya 2&gt;Falcon Towers&gt;Falcon B1</v>
      </c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</row>
    <row r="6493" spans="1:26" ht="16.5" x14ac:dyDescent="0.35">
      <c r="A6493" s="2" t="str">
        <f ca="1">IFERROR(__xludf.DUMMYFUNCTION("""COMPUTED_VALUE"""),"Ajman")</f>
        <v>Ajman</v>
      </c>
      <c r="B6493" s="2" t="str">
        <f ca="1">IFERROR(__xludf.DUMMYFUNCTION("""COMPUTED_VALUE"""),"Al Rawda")</f>
        <v>Al Rawda</v>
      </c>
      <c r="C6493" s="2" t="str">
        <f ca="1">IFERROR(__xludf.DUMMYFUNCTION("""COMPUTED_VALUE"""),"Neighbourhood")</f>
        <v>Neighbourhood</v>
      </c>
      <c r="D6493" s="2" t="str">
        <f ca="1">IFERROR(__xludf.DUMMYFUNCTION("""COMPUTED_VALUE"""),"Ajman&gt;Al Rawda")</f>
        <v>Ajman&gt;Al Rawda</v>
      </c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</row>
    <row r="6494" spans="1:26" ht="16.5" x14ac:dyDescent="0.35">
      <c r="A6494" s="2" t="str">
        <f ca="1">IFERROR(__xludf.DUMMYFUNCTION("""COMPUTED_VALUE"""),"Ajman")</f>
        <v>Ajman</v>
      </c>
      <c r="B6494" s="2" t="str">
        <f ca="1">IFERROR(__xludf.DUMMYFUNCTION("""COMPUTED_VALUE"""),"Gate Tower")</f>
        <v>Gate Tower</v>
      </c>
      <c r="C6494" s="2"/>
      <c r="D6494" s="2" t="str">
        <f ca="1">IFERROR(__xludf.DUMMYFUNCTION("""COMPUTED_VALUE"""),"Ajman&gt;Musherief&gt;Gate Tower")</f>
        <v>Ajman&gt;Musherief&gt;Gate Tower</v>
      </c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</row>
    <row r="6495" spans="1:26" ht="16.5" x14ac:dyDescent="0.35">
      <c r="A6495" s="2" t="str">
        <f ca="1">IFERROR(__xludf.DUMMYFUNCTION("""COMPUTED_VALUE"""),"Ajman")</f>
        <v>Ajman</v>
      </c>
      <c r="B6495" s="2" t="str">
        <f ca="1">IFERROR(__xludf.DUMMYFUNCTION("""COMPUTED_VALUE"""),"Emerald Tower Vista")</f>
        <v>Emerald Tower Vista</v>
      </c>
      <c r="C6495" s="2" t="str">
        <f ca="1">IFERROR(__xludf.DUMMYFUNCTION("""COMPUTED_VALUE"""),"Building")</f>
        <v>Building</v>
      </c>
      <c r="D6495" s="2" t="str">
        <f ca="1">IFERROR(__xludf.DUMMYFUNCTION("""COMPUTED_VALUE"""),"Ajman&gt;Marmooka City&gt;Emerald Tower Vista")</f>
        <v>Ajman&gt;Marmooka City&gt;Emerald Tower Vista</v>
      </c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</row>
    <row r="6496" spans="1:26" ht="16.5" x14ac:dyDescent="0.35">
      <c r="A6496" s="2" t="str">
        <f ca="1">IFERROR(__xludf.DUMMYFUNCTION("""COMPUTED_VALUE"""),"Ajman")</f>
        <v>Ajman</v>
      </c>
      <c r="B6496" s="2" t="str">
        <f ca="1">IFERROR(__xludf.DUMMYFUNCTION("""COMPUTED_VALUE"""),"Beach Hills Villas")</f>
        <v>Beach Hills Villas</v>
      </c>
      <c r="C6496" s="2" t="str">
        <f ca="1">IFERROR(__xludf.DUMMYFUNCTION("""COMPUTED_VALUE"""),"Neighbourhood")</f>
        <v>Neighbourhood</v>
      </c>
      <c r="D6496" s="2" t="str">
        <f ca="1">IFERROR(__xludf.DUMMYFUNCTION("""COMPUTED_VALUE"""),"Ajman&gt;Al Zorah&gt;Beach Village&gt;Beach Hills Villas")</f>
        <v>Ajman&gt;Al Zorah&gt;Beach Village&gt;Beach Hills Villas</v>
      </c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</row>
    <row r="6497" spans="1:26" ht="16.5" x14ac:dyDescent="0.35">
      <c r="A6497" s="2" t="str">
        <f ca="1">IFERROR(__xludf.DUMMYFUNCTION("""COMPUTED_VALUE"""),"Ajman")</f>
        <v>Ajman</v>
      </c>
      <c r="B6497" s="2" t="str">
        <f ca="1">IFERROR(__xludf.DUMMYFUNCTION("""COMPUTED_VALUE"""),"Infinity Tower")</f>
        <v>Infinity Tower</v>
      </c>
      <c r="C6497" s="2"/>
      <c r="D6497" s="2" t="str">
        <f ca="1">IFERROR(__xludf.DUMMYFUNCTION("""COMPUTED_VALUE"""),"Ajman&gt;Al Humaid City&gt;Infinity Tower")</f>
        <v>Ajman&gt;Al Humaid City&gt;Infinity Tower</v>
      </c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</row>
    <row r="6498" spans="1:26" ht="16.5" x14ac:dyDescent="0.35">
      <c r="A6498" s="2" t="str">
        <f ca="1">IFERROR(__xludf.DUMMYFUNCTION("""COMPUTED_VALUE"""),"Ajman")</f>
        <v>Ajman</v>
      </c>
      <c r="B6498" s="2" t="str">
        <f ca="1">IFERROR(__xludf.DUMMYFUNCTION("""COMPUTED_VALUE"""),"Garden City")</f>
        <v>Garden City</v>
      </c>
      <c r="C6498" s="2" t="str">
        <f ca="1">IFERROR(__xludf.DUMMYFUNCTION("""COMPUTED_VALUE"""),"Neighbourhood")</f>
        <v>Neighbourhood</v>
      </c>
      <c r="D6498" s="2" t="str">
        <f ca="1">IFERROR(__xludf.DUMMYFUNCTION("""COMPUTED_VALUE"""),"Ajman&gt;Garden City")</f>
        <v>Ajman&gt;Garden City</v>
      </c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</row>
    <row r="6499" spans="1:26" ht="16.5" x14ac:dyDescent="0.35">
      <c r="A6499" s="2" t="str">
        <f ca="1">IFERROR(__xludf.DUMMYFUNCTION("""COMPUTED_VALUE"""),"Ajman")</f>
        <v>Ajman</v>
      </c>
      <c r="B6499" s="2" t="str">
        <f ca="1">IFERROR(__xludf.DUMMYFUNCTION("""COMPUTED_VALUE"""),"Al Refaa Building 2")</f>
        <v>Al Refaa Building 2</v>
      </c>
      <c r="C6499" s="2" t="str">
        <f ca="1">IFERROR(__xludf.DUMMYFUNCTION("""COMPUTED_VALUE"""),"Building")</f>
        <v>Building</v>
      </c>
      <c r="D6499" s="2" t="str">
        <f ca="1">IFERROR(__xludf.DUMMYFUNCTION("""COMPUTED_VALUE"""),"Ajman&gt;Al Nuaimiya&gt;Al Nuaimiya 3&gt;Al Refaa Building 2")</f>
        <v>Ajman&gt;Al Nuaimiya&gt;Al Nuaimiya 3&gt;Al Refaa Building 2</v>
      </c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</row>
    <row r="6500" spans="1:26" ht="16.5" x14ac:dyDescent="0.35">
      <c r="A6500" s="2" t="str">
        <f ca="1">IFERROR(__xludf.DUMMYFUNCTION("""COMPUTED_VALUE"""),"Sharjah")</f>
        <v>Sharjah</v>
      </c>
      <c r="B6500" s="2" t="str">
        <f ca="1">IFERROR(__xludf.DUMMYFUNCTION("""COMPUTED_VALUE"""),"Manazil Tower 4")</f>
        <v>Manazil Tower 4</v>
      </c>
      <c r="C6500" s="2" t="str">
        <f ca="1">IFERROR(__xludf.DUMMYFUNCTION("""COMPUTED_VALUE"""),"Building")</f>
        <v>Building</v>
      </c>
      <c r="D6500" s="2" t="str">
        <f ca="1">IFERROR(__xludf.DUMMYFUNCTION("""COMPUTED_VALUE"""),"Sharjah&gt;Al Nahda (Sharjah)&gt;Manazil Tower 4")</f>
        <v>Sharjah&gt;Al Nahda (Sharjah)&gt;Manazil Tower 4</v>
      </c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</row>
    <row r="6501" spans="1:26" ht="16.5" x14ac:dyDescent="0.35">
      <c r="A6501" s="2" t="str">
        <f ca="1">IFERROR(__xludf.DUMMYFUNCTION("""COMPUTED_VALUE"""),"Sharjah")</f>
        <v>Sharjah</v>
      </c>
      <c r="B6501" s="2" t="str">
        <f ca="1">IFERROR(__xludf.DUMMYFUNCTION("""COMPUTED_VALUE"""),"Al Maha")</f>
        <v>Al Maha</v>
      </c>
      <c r="C6501" s="2" t="str">
        <f ca="1">IFERROR(__xludf.DUMMYFUNCTION("""COMPUTED_VALUE"""),"Building")</f>
        <v>Building</v>
      </c>
      <c r="D6501" s="2" t="str">
        <f ca="1">IFERROR(__xludf.DUMMYFUNCTION("""COMPUTED_VALUE"""),"Sharjah&gt;Al Nahda (Sharjah)&gt;Al Maha")</f>
        <v>Sharjah&gt;Al Nahda (Sharjah)&gt;Al Maha</v>
      </c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</row>
    <row r="6502" spans="1:26" ht="16.5" x14ac:dyDescent="0.35">
      <c r="A6502" s="2" t="str">
        <f ca="1">IFERROR(__xludf.DUMMYFUNCTION("""COMPUTED_VALUE"""),"Sharjah")</f>
        <v>Sharjah</v>
      </c>
      <c r="B6502" s="2" t="str">
        <f ca="1">IFERROR(__xludf.DUMMYFUNCTION("""COMPUTED_VALUE"""),"Al Baker Tower")</f>
        <v>Al Baker Tower</v>
      </c>
      <c r="C6502" s="2"/>
      <c r="D6502" s="2" t="str">
        <f ca="1">IFERROR(__xludf.DUMMYFUNCTION("""COMPUTED_VALUE"""),"Sharjah&gt;Al Nahda (Sharjah)&gt;Al Baker Tower")</f>
        <v>Sharjah&gt;Al Nahda (Sharjah)&gt;Al Baker Tower</v>
      </c>
      <c r="E6502" s="2"/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</row>
    <row r="6503" spans="1:26" ht="16.5" x14ac:dyDescent="0.35">
      <c r="A6503" s="2" t="str">
        <f ca="1">IFERROR(__xludf.DUMMYFUNCTION("""COMPUTED_VALUE"""),"Sharjah")</f>
        <v>Sharjah</v>
      </c>
      <c r="B6503" s="2" t="str">
        <f ca="1">IFERROR(__xludf.DUMMYFUNCTION("""COMPUTED_VALUE"""),"Damas Silver")</f>
        <v>Damas Silver</v>
      </c>
      <c r="C6503" s="2"/>
      <c r="D6503" s="2" t="str">
        <f ca="1">IFERROR(__xludf.DUMMYFUNCTION("""COMPUTED_VALUE"""),"Sharjah&gt;Al Nahda (Sharjah)&gt;Damas Silver")</f>
        <v>Sharjah&gt;Al Nahda (Sharjah)&gt;Damas Silver</v>
      </c>
      <c r="E6503" s="2"/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</row>
    <row r="6504" spans="1:26" ht="16.5" x14ac:dyDescent="0.35">
      <c r="A6504" s="2" t="str">
        <f ca="1">IFERROR(__xludf.DUMMYFUNCTION("""COMPUTED_VALUE"""),"Sharjah")</f>
        <v>Sharjah</v>
      </c>
      <c r="B6504" s="2" t="str">
        <f ca="1">IFERROR(__xludf.DUMMYFUNCTION("""COMPUTED_VALUE"""),"Al Bustan Towers")</f>
        <v>Al Bustan Towers</v>
      </c>
      <c r="C6504" s="2" t="str">
        <f ca="1">IFERROR(__xludf.DUMMYFUNCTION("""COMPUTED_VALUE"""),"Building")</f>
        <v>Building</v>
      </c>
      <c r="D6504" s="2" t="str">
        <f ca="1">IFERROR(__xludf.DUMMYFUNCTION("""COMPUTED_VALUE"""),"Sharjah&gt;Al Nahda (Sharjah)&gt;Al Bustan Towers")</f>
        <v>Sharjah&gt;Al Nahda (Sharjah)&gt;Al Bustan Towers</v>
      </c>
      <c r="E6504" s="2"/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</row>
    <row r="6505" spans="1:26" ht="16.5" x14ac:dyDescent="0.35">
      <c r="A6505" s="2" t="str">
        <f ca="1">IFERROR(__xludf.DUMMYFUNCTION("""COMPUTED_VALUE"""),"Sharjah")</f>
        <v>Sharjah</v>
      </c>
      <c r="B6505" s="2" t="str">
        <f ca="1">IFERROR(__xludf.DUMMYFUNCTION("""COMPUTED_VALUE"""),"Al Juraina 3")</f>
        <v>Al Juraina 3</v>
      </c>
      <c r="C6505" s="2"/>
      <c r="D6505" s="2" t="str">
        <f ca="1">IFERROR(__xludf.DUMMYFUNCTION("""COMPUTED_VALUE"""),"Sharjah&gt;Al Juraina&gt;Al Juraina 3")</f>
        <v>Sharjah&gt;Al Juraina&gt;Al Juraina 3</v>
      </c>
      <c r="E6505" s="2"/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</row>
    <row r="6506" spans="1:26" ht="16.5" x14ac:dyDescent="0.35">
      <c r="A6506" s="2" t="str">
        <f ca="1">IFERROR(__xludf.DUMMYFUNCTION("""COMPUTED_VALUE"""),"Sharjah")</f>
        <v>Sharjah</v>
      </c>
      <c r="B6506" s="2" t="str">
        <f ca="1">IFERROR(__xludf.DUMMYFUNCTION("""COMPUTED_VALUE"""),"The Link 4")</f>
        <v>The Link 4</v>
      </c>
      <c r="C6506" s="2" t="str">
        <f ca="1">IFERROR(__xludf.DUMMYFUNCTION("""COMPUTED_VALUE"""),"Building")</f>
        <v>Building</v>
      </c>
      <c r="D6506" s="2" t="str">
        <f ca="1">IFERROR(__xludf.DUMMYFUNCTION("""COMPUTED_VALUE"""),"Sharjah&gt;Aljada&gt;East Village&gt;The Link 4")</f>
        <v>Sharjah&gt;Aljada&gt;East Village&gt;The Link 4</v>
      </c>
      <c r="E6506" s="2"/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</row>
    <row r="6507" spans="1:26" ht="16.5" x14ac:dyDescent="0.35">
      <c r="A6507" s="2" t="str">
        <f ca="1">IFERROR(__xludf.DUMMYFUNCTION("""COMPUTED_VALUE"""),"Sharjah")</f>
        <v>Sharjah</v>
      </c>
      <c r="B6507" s="2" t="str">
        <f ca="1">IFERROR(__xludf.DUMMYFUNCTION("""COMPUTED_VALUE"""),"Areej 5")</f>
        <v>Areej 5</v>
      </c>
      <c r="C6507" s="2" t="str">
        <f ca="1">IFERROR(__xludf.DUMMYFUNCTION("""COMPUTED_VALUE"""),"Building")</f>
        <v>Building</v>
      </c>
      <c r="D6507" s="2" t="str">
        <f ca="1">IFERROR(__xludf.DUMMYFUNCTION("""COMPUTED_VALUE"""),"Sharjah&gt;Aljada&gt;Areej Apartments&gt;Areej 5")</f>
        <v>Sharjah&gt;Aljada&gt;Areej Apartments&gt;Areej 5</v>
      </c>
      <c r="E6507" s="2"/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</row>
    <row r="6508" spans="1:26" ht="16.5" x14ac:dyDescent="0.35">
      <c r="A6508" s="2" t="str">
        <f ca="1">IFERROR(__xludf.DUMMYFUNCTION("""COMPUTED_VALUE"""),"Sharjah")</f>
        <v>Sharjah</v>
      </c>
      <c r="B6508" s="2" t="str">
        <f ca="1">IFERROR(__xludf.DUMMYFUNCTION("""COMPUTED_VALUE"""),"Safa")</f>
        <v>Safa</v>
      </c>
      <c r="C6508" s="2" t="str">
        <f ca="1">IFERROR(__xludf.DUMMYFUNCTION("""COMPUTED_VALUE"""),"Cluster")</f>
        <v>Cluster</v>
      </c>
      <c r="D6508" s="2" t="str">
        <f ca="1">IFERROR(__xludf.DUMMYFUNCTION("""COMPUTED_VALUE"""),"Sharjah&gt;Aljada&gt;Safa")</f>
        <v>Sharjah&gt;Aljada&gt;Safa</v>
      </c>
      <c r="E6508" s="2"/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</row>
    <row r="6509" spans="1:26" ht="16.5" x14ac:dyDescent="0.35">
      <c r="A6509" s="2" t="str">
        <f ca="1">IFERROR(__xludf.DUMMYFUNCTION("""COMPUTED_VALUE"""),"Sharjah")</f>
        <v>Sharjah</v>
      </c>
      <c r="B6509" s="2" t="str">
        <f ca="1">IFERROR(__xludf.DUMMYFUNCTION("""COMPUTED_VALUE"""),"Sama 2")</f>
        <v>Sama 2</v>
      </c>
      <c r="C6509" s="2" t="str">
        <f ca="1">IFERROR(__xludf.DUMMYFUNCTION("""COMPUTED_VALUE"""),"Building")</f>
        <v>Building</v>
      </c>
      <c r="D6509" s="2" t="str">
        <f ca="1">IFERROR(__xludf.DUMMYFUNCTION("""COMPUTED_VALUE"""),"Sharjah&gt;Abu Shagara&gt;Sama 2")</f>
        <v>Sharjah&gt;Abu Shagara&gt;Sama 2</v>
      </c>
      <c r="E6509" s="2"/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</row>
    <row r="6510" spans="1:26" ht="16.5" x14ac:dyDescent="0.35">
      <c r="A6510" s="2" t="str">
        <f ca="1">IFERROR(__xludf.DUMMYFUNCTION("""COMPUTED_VALUE"""),"Sharjah")</f>
        <v>Sharjah</v>
      </c>
      <c r="B6510" s="2" t="str">
        <f ca="1">IFERROR(__xludf.DUMMYFUNCTION("""COMPUTED_VALUE"""),"Bottle Building")</f>
        <v>Bottle Building</v>
      </c>
      <c r="C6510" s="2" t="str">
        <f ca="1">IFERROR(__xludf.DUMMYFUNCTION("""COMPUTED_VALUE"""),"Building")</f>
        <v>Building</v>
      </c>
      <c r="D6510" s="2" t="str">
        <f ca="1">IFERROR(__xludf.DUMMYFUNCTION("""COMPUTED_VALUE"""),"Sharjah&gt;Abu Shagara&gt;Bottle Building")</f>
        <v>Sharjah&gt;Abu Shagara&gt;Bottle Building</v>
      </c>
      <c r="E6510" s="2"/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</row>
    <row r="6511" spans="1:26" ht="16.5" x14ac:dyDescent="0.35">
      <c r="A6511" s="2" t="str">
        <f ca="1">IFERROR(__xludf.DUMMYFUNCTION("""COMPUTED_VALUE"""),"Sharjah")</f>
        <v>Sharjah</v>
      </c>
      <c r="B6511" s="2" t="str">
        <f ca="1">IFERROR(__xludf.DUMMYFUNCTION("""COMPUTED_VALUE"""),"La Plage Tower 2")</f>
        <v>La Plage Tower 2</v>
      </c>
      <c r="C6511" s="2" t="str">
        <f ca="1">IFERROR(__xludf.DUMMYFUNCTION("""COMPUTED_VALUE"""),"Building")</f>
        <v>Building</v>
      </c>
      <c r="D6511" s="2" t="str">
        <f ca="1">IFERROR(__xludf.DUMMYFUNCTION("""COMPUTED_VALUE"""),"Sharjah&gt;Al Mamzar&gt;La Plage Tower 2")</f>
        <v>Sharjah&gt;Al Mamzar&gt;La Plage Tower 2</v>
      </c>
      <c r="E6511" s="2"/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</row>
    <row r="6512" spans="1:26" ht="16.5" x14ac:dyDescent="0.35">
      <c r="A6512" s="2" t="str">
        <f ca="1">IFERROR(__xludf.DUMMYFUNCTION("""COMPUTED_VALUE"""),"Sharjah")</f>
        <v>Sharjah</v>
      </c>
      <c r="B6512" s="2" t="str">
        <f ca="1">IFERROR(__xludf.DUMMYFUNCTION("""COMPUTED_VALUE"""),"Aliaa 2 Building")</f>
        <v>Aliaa 2 Building</v>
      </c>
      <c r="C6512" s="2" t="str">
        <f ca="1">IFERROR(__xludf.DUMMYFUNCTION("""COMPUTED_VALUE"""),"Building")</f>
        <v>Building</v>
      </c>
      <c r="D6512" s="2" t="str">
        <f ca="1">IFERROR(__xludf.DUMMYFUNCTION("""COMPUTED_VALUE"""),"Sharjah&gt;Al Ghuwair&gt;Aliaa 2 Building")</f>
        <v>Sharjah&gt;Al Ghuwair&gt;Aliaa 2 Building</v>
      </c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</row>
    <row r="6513" spans="1:26" ht="16.5" x14ac:dyDescent="0.35">
      <c r="A6513" s="2" t="str">
        <f ca="1">IFERROR(__xludf.DUMMYFUNCTION("""COMPUTED_VALUE"""),"Sharjah")</f>
        <v>Sharjah</v>
      </c>
      <c r="B6513" s="2" t="str">
        <f ca="1">IFERROR(__xludf.DUMMYFUNCTION("""COMPUTED_VALUE"""),"School of Knowledge")</f>
        <v>School of Knowledge</v>
      </c>
      <c r="C6513" s="2" t="str">
        <f ca="1">IFERROR(__xludf.DUMMYFUNCTION("""COMPUTED_VALUE"""),"School")</f>
        <v>School</v>
      </c>
      <c r="D6513" s="2" t="str">
        <f ca="1">IFERROR(__xludf.DUMMYFUNCTION("""COMPUTED_VALUE"""),"Sharjah&gt;Al Azra&gt;School of Knowledge")</f>
        <v>Sharjah&gt;Al Azra&gt;School of Knowledge</v>
      </c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</row>
    <row r="6514" spans="1:26" ht="16.5" x14ac:dyDescent="0.35">
      <c r="A6514" s="2" t="str">
        <f ca="1">IFERROR(__xludf.DUMMYFUNCTION("""COMPUTED_VALUE"""),"Sharjah")</f>
        <v>Sharjah</v>
      </c>
      <c r="B6514" s="2" t="str">
        <f ca="1">IFERROR(__xludf.DUMMYFUNCTION("""COMPUTED_VALUE"""),"Afamia Tower 2")</f>
        <v>Afamia Tower 2</v>
      </c>
      <c r="C6514" s="2"/>
      <c r="D6514" s="2" t="str">
        <f ca="1">IFERROR(__xludf.DUMMYFUNCTION("""COMPUTED_VALUE"""),"Sharjah&gt;Bu Daniq&gt;Afamia Tower 2")</f>
        <v>Sharjah&gt;Bu Daniq&gt;Afamia Tower 2</v>
      </c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</row>
    <row r="6515" spans="1:26" ht="16.5" x14ac:dyDescent="0.35">
      <c r="A6515" s="2" t="str">
        <f ca="1">IFERROR(__xludf.DUMMYFUNCTION("""COMPUTED_VALUE"""),"Sharjah")</f>
        <v>Sharjah</v>
      </c>
      <c r="B6515" s="2" t="str">
        <f ca="1">IFERROR(__xludf.DUMMYFUNCTION("""COMPUTED_VALUE"""),"Al Rugaiba 1")</f>
        <v>Al Rugaiba 1</v>
      </c>
      <c r="C6515" s="2" t="str">
        <f ca="1">IFERROR(__xludf.DUMMYFUNCTION("""COMPUTED_VALUE"""),"Neighbourhood")</f>
        <v>Neighbourhood</v>
      </c>
      <c r="D6515" s="2" t="str">
        <f ca="1">IFERROR(__xludf.DUMMYFUNCTION("""COMPUTED_VALUE"""),"Sharjah&gt;Al Suyoh&gt;Al Rugaiba 1")</f>
        <v>Sharjah&gt;Al Suyoh&gt;Al Rugaiba 1</v>
      </c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</row>
    <row r="6516" spans="1:26" ht="16.5" x14ac:dyDescent="0.35">
      <c r="A6516" s="2" t="str">
        <f ca="1">IFERROR(__xludf.DUMMYFUNCTION("""COMPUTED_VALUE"""),"Sharjah")</f>
        <v>Sharjah</v>
      </c>
      <c r="B6516" s="2" t="str">
        <f ca="1">IFERROR(__xludf.DUMMYFUNCTION("""COMPUTED_VALUE"""),"Al Mazraq Building")</f>
        <v>Al Mazraq Building</v>
      </c>
      <c r="C6516" s="2"/>
      <c r="D6516" s="2" t="str">
        <f ca="1">IFERROR(__xludf.DUMMYFUNCTION("""COMPUTED_VALUE"""),"Sharjah&gt;Al Mareija&gt;Al Mazraq Building")</f>
        <v>Sharjah&gt;Al Mareija&gt;Al Mazraq Building</v>
      </c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</row>
    <row r="6517" spans="1:26" ht="16.5" x14ac:dyDescent="0.35">
      <c r="A6517" s="2" t="str">
        <f ca="1">IFERROR(__xludf.DUMMYFUNCTION("""COMPUTED_VALUE"""),"Sharjah")</f>
        <v>Sharjah</v>
      </c>
      <c r="B6517" s="2" t="str">
        <f ca="1">IFERROR(__xludf.DUMMYFUNCTION("""COMPUTED_VALUE"""),"Al Seef")</f>
        <v>Al Seef</v>
      </c>
      <c r="C6517" s="2" t="str">
        <f ca="1">IFERROR(__xludf.DUMMYFUNCTION("""COMPUTED_VALUE"""),"Neighbourhood")</f>
        <v>Neighbourhood</v>
      </c>
      <c r="D6517" s="2" t="str">
        <f ca="1">IFERROR(__xludf.DUMMYFUNCTION("""COMPUTED_VALUE"""),"Sharjah&gt;Al Seef")</f>
        <v>Sharjah&gt;Al Seef</v>
      </c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</row>
    <row r="6518" spans="1:26" ht="16.5" x14ac:dyDescent="0.35">
      <c r="A6518" s="2" t="str">
        <f ca="1">IFERROR(__xludf.DUMMYFUNCTION("""COMPUTED_VALUE"""),"Sharjah")</f>
        <v>Sharjah</v>
      </c>
      <c r="B6518" s="2" t="str">
        <f ca="1">IFERROR(__xludf.DUMMYFUNCTION("""COMPUTED_VALUE"""),"Al Resalah American International School")</f>
        <v>Al Resalah American International School</v>
      </c>
      <c r="C6518" s="2" t="str">
        <f ca="1">IFERROR(__xludf.DUMMYFUNCTION("""COMPUTED_VALUE"""),"School")</f>
        <v>School</v>
      </c>
      <c r="D6518" s="2" t="str">
        <f ca="1">IFERROR(__xludf.DUMMYFUNCTION("""COMPUTED_VALUE"""),"Sharjah&gt;Al Rahmaniya&gt;Al Resalah American International School")</f>
        <v>Sharjah&gt;Al Rahmaniya&gt;Al Resalah American International School</v>
      </c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</row>
    <row r="6519" spans="1:26" ht="16.5" x14ac:dyDescent="0.35">
      <c r="A6519" s="2" t="str">
        <f ca="1">IFERROR(__xludf.DUMMYFUNCTION("""COMPUTED_VALUE"""),"Sharjah")</f>
        <v>Sharjah</v>
      </c>
      <c r="B6519" s="2" t="str">
        <f ca="1">IFERROR(__xludf.DUMMYFUNCTION("""COMPUTED_VALUE"""),"Shoumous Residential Complex")</f>
        <v>Shoumous Residential Complex</v>
      </c>
      <c r="C6519" s="2" t="str">
        <f ca="1">IFERROR(__xludf.DUMMYFUNCTION("""COMPUTED_VALUE"""),"Neighbourhood")</f>
        <v>Neighbourhood</v>
      </c>
      <c r="D6519" s="2" t="str">
        <f ca="1">IFERROR(__xludf.DUMMYFUNCTION("""COMPUTED_VALUE"""),"Sharjah&gt;Sharjah Garden City&gt;Shoumous Residential Complex")</f>
        <v>Sharjah&gt;Sharjah Garden City&gt;Shoumous Residential Complex</v>
      </c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</row>
    <row r="6520" spans="1:26" ht="16.5" x14ac:dyDescent="0.35">
      <c r="A6520" s="2" t="str">
        <f ca="1">IFERROR(__xludf.DUMMYFUNCTION("""COMPUTED_VALUE"""),"Sharjah")</f>
        <v>Sharjah</v>
      </c>
      <c r="B6520" s="2" t="str">
        <f ca="1">IFERROR(__xludf.DUMMYFUNCTION("""COMPUTED_VALUE"""),"Al Marwa 3 Tower")</f>
        <v>Al Marwa 3 Tower</v>
      </c>
      <c r="C6520" s="2" t="str">
        <f ca="1">IFERROR(__xludf.DUMMYFUNCTION("""COMPUTED_VALUE"""),"Building")</f>
        <v>Building</v>
      </c>
      <c r="D6520" s="2" t="str">
        <f ca="1">IFERROR(__xludf.DUMMYFUNCTION("""COMPUTED_VALUE"""),"Sharjah&gt;Al Khan&gt;Al Marwa 3 Tower")</f>
        <v>Sharjah&gt;Al Khan&gt;Al Marwa 3 Tower</v>
      </c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</row>
    <row r="6521" spans="1:26" ht="16.5" x14ac:dyDescent="0.35">
      <c r="A6521" s="2" t="str">
        <f ca="1">IFERROR(__xludf.DUMMYFUNCTION("""COMPUTED_VALUE"""),"Sharjah")</f>
        <v>Sharjah</v>
      </c>
      <c r="B6521" s="2" t="str">
        <f ca="1">IFERROR(__xludf.DUMMYFUNCTION("""COMPUTED_VALUE"""),"Sapphire Beach Residence by Eagle Hills")</f>
        <v>Sapphire Beach Residence by Eagle Hills</v>
      </c>
      <c r="C6521" s="2" t="str">
        <f ca="1">IFERROR(__xludf.DUMMYFUNCTION("""COMPUTED_VALUE"""),"Building")</f>
        <v>Building</v>
      </c>
      <c r="D6521" s="2" t="str">
        <f ca="1">IFERROR(__xludf.DUMMYFUNCTION("""COMPUTED_VALUE"""),"Sharjah&gt;Al Khan&gt;Maryam Island&gt;Sapphire Beach Residence by Eagle Hills")</f>
        <v>Sharjah&gt;Al Khan&gt;Maryam Island&gt;Sapphire Beach Residence by Eagle Hills</v>
      </c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</row>
    <row r="6522" spans="1:26" ht="16.5" x14ac:dyDescent="0.35">
      <c r="A6522" s="2" t="str">
        <f ca="1">IFERROR(__xludf.DUMMYFUNCTION("""COMPUTED_VALUE"""),"Sharjah")</f>
        <v>Sharjah</v>
      </c>
      <c r="B6522" s="2" t="str">
        <f ca="1">IFERROR(__xludf.DUMMYFUNCTION("""COMPUTED_VALUE"""),"Al Raha Tower")</f>
        <v>Al Raha Tower</v>
      </c>
      <c r="C6522" s="2"/>
      <c r="D6522" s="2" t="str">
        <f ca="1">IFERROR(__xludf.DUMMYFUNCTION("""COMPUTED_VALUE"""),"Sharjah&gt;Al Khan&gt;Al Raha Tower")</f>
        <v>Sharjah&gt;Al Khan&gt;Al Raha Tower</v>
      </c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</row>
    <row r="6523" spans="1:26" ht="16.5" x14ac:dyDescent="0.35">
      <c r="A6523" s="2" t="str">
        <f ca="1">IFERROR(__xludf.DUMMYFUNCTION("""COMPUTED_VALUE"""),"Sharjah")</f>
        <v>Sharjah</v>
      </c>
      <c r="B6523" s="2" t="str">
        <f ca="1">IFERROR(__xludf.DUMMYFUNCTION("""COMPUTED_VALUE"""),"Sharjah Terraces")</f>
        <v>Sharjah Terraces</v>
      </c>
      <c r="C6523" s="2" t="str">
        <f ca="1">IFERROR(__xludf.DUMMYFUNCTION("""COMPUTED_VALUE"""),"Building")</f>
        <v>Building</v>
      </c>
      <c r="D6523" s="2" t="str">
        <f ca="1">IFERROR(__xludf.DUMMYFUNCTION("""COMPUTED_VALUE"""),"Sharjah&gt;Al Khan&gt;Sharjah Terraces")</f>
        <v>Sharjah&gt;Al Khan&gt;Sharjah Terraces</v>
      </c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</row>
    <row r="6524" spans="1:26" ht="16.5" x14ac:dyDescent="0.35">
      <c r="A6524" s="2" t="str">
        <f ca="1">IFERROR(__xludf.DUMMYFUNCTION("""COMPUTED_VALUE"""),"Sharjah")</f>
        <v>Sharjah</v>
      </c>
      <c r="B6524" s="2" t="str">
        <f ca="1">IFERROR(__xludf.DUMMYFUNCTION("""COMPUTED_VALUE"""),"Sayegh Tower")</f>
        <v>Sayegh Tower</v>
      </c>
      <c r="C6524" s="2"/>
      <c r="D6524" s="2" t="str">
        <f ca="1">IFERROR(__xludf.DUMMYFUNCTION("""COMPUTED_VALUE"""),"Sharjah&gt;Al Majaz&gt;Al Majaz 2&gt;Sayegh Tower")</f>
        <v>Sharjah&gt;Al Majaz&gt;Al Majaz 2&gt;Sayegh Tower</v>
      </c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</row>
    <row r="6525" spans="1:26" ht="16.5" x14ac:dyDescent="0.35">
      <c r="A6525" s="2" t="str">
        <f ca="1">IFERROR(__xludf.DUMMYFUNCTION("""COMPUTED_VALUE"""),"Sharjah")</f>
        <v>Sharjah</v>
      </c>
      <c r="B6525" s="2" t="str">
        <f ca="1">IFERROR(__xludf.DUMMYFUNCTION("""COMPUTED_VALUE"""),"Kakooli Tower")</f>
        <v>Kakooli Tower</v>
      </c>
      <c r="C6525" s="2"/>
      <c r="D6525" s="2" t="str">
        <f ca="1">IFERROR(__xludf.DUMMYFUNCTION("""COMPUTED_VALUE"""),"Sharjah&gt;Al Majaz&gt;Al Majaz 2&gt;Kakooli Tower")</f>
        <v>Sharjah&gt;Al Majaz&gt;Al Majaz 2&gt;Kakooli Tower</v>
      </c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</row>
    <row r="6526" spans="1:26" ht="16.5" x14ac:dyDescent="0.35">
      <c r="A6526" s="2" t="str">
        <f ca="1">IFERROR(__xludf.DUMMYFUNCTION("""COMPUTED_VALUE"""),"Sharjah")</f>
        <v>Sharjah</v>
      </c>
      <c r="B6526" s="2" t="str">
        <f ca="1">IFERROR(__xludf.DUMMYFUNCTION("""COMPUTED_VALUE"""),"Lamya Tower")</f>
        <v>Lamya Tower</v>
      </c>
      <c r="C6526" s="2"/>
      <c r="D6526" s="2" t="str">
        <f ca="1">IFERROR(__xludf.DUMMYFUNCTION("""COMPUTED_VALUE"""),"Sharjah&gt;Al Majaz&gt;Al Majaz 3&gt;Lamya Tower")</f>
        <v>Sharjah&gt;Al Majaz&gt;Al Majaz 3&gt;Lamya Tower</v>
      </c>
      <c r="E6526" s="2"/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</row>
    <row r="6527" spans="1:26" ht="16.5" x14ac:dyDescent="0.35">
      <c r="A6527" s="2" t="str">
        <f ca="1">IFERROR(__xludf.DUMMYFUNCTION("""COMPUTED_VALUE"""),"Sharjah")</f>
        <v>Sharjah</v>
      </c>
      <c r="B6527" s="2" t="str">
        <f ca="1">IFERROR(__xludf.DUMMYFUNCTION("""COMPUTED_VALUE"""),"Al Nama")</f>
        <v>Al Nama</v>
      </c>
      <c r="C6527" s="2"/>
      <c r="D6527" s="2" t="str">
        <f ca="1">IFERROR(__xludf.DUMMYFUNCTION("""COMPUTED_VALUE"""),"Sharjah&gt;Al Majaz&gt;Al Majaz 3&gt;Al Nama")</f>
        <v>Sharjah&gt;Al Majaz&gt;Al Majaz 3&gt;Al Nama</v>
      </c>
      <c r="E6527" s="2"/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</row>
    <row r="6528" spans="1:26" ht="16.5" x14ac:dyDescent="0.35">
      <c r="A6528" s="2" t="str">
        <f ca="1">IFERROR(__xludf.DUMMYFUNCTION("""COMPUTED_VALUE"""),"Sharjah")</f>
        <v>Sharjah</v>
      </c>
      <c r="B6528" s="2" t="str">
        <f ca="1">IFERROR(__xludf.DUMMYFUNCTION("""COMPUTED_VALUE"""),"Salem Faiq Ibrahim")</f>
        <v>Salem Faiq Ibrahim</v>
      </c>
      <c r="C6528" s="2"/>
      <c r="D6528" s="2" t="str">
        <f ca="1">IFERROR(__xludf.DUMMYFUNCTION("""COMPUTED_VALUE"""),"Sharjah&gt;Al Majaz&gt;Al Majaz 3&gt;Salem Faiq Ibrahim")</f>
        <v>Sharjah&gt;Al Majaz&gt;Al Majaz 3&gt;Salem Faiq Ibrahim</v>
      </c>
      <c r="E6528" s="2"/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</row>
    <row r="6529" spans="1:26" ht="16.5" x14ac:dyDescent="0.35">
      <c r="A6529" s="2" t="str">
        <f ca="1">IFERROR(__xludf.DUMMYFUNCTION("""COMPUTED_VALUE"""),"Sharjah")</f>
        <v>Sharjah</v>
      </c>
      <c r="B6529" s="2" t="str">
        <f ca="1">IFERROR(__xludf.DUMMYFUNCTION("""COMPUTED_VALUE"""),"Al Sheera hotel Apartment")</f>
        <v>Al Sheera hotel Apartment</v>
      </c>
      <c r="C6529" s="2"/>
      <c r="D6529" s="2" t="str">
        <f ca="1">IFERROR(__xludf.DUMMYFUNCTION("""COMPUTED_VALUE"""),"Sharjah&gt;Al Majaz&gt;Al Majaz 1&gt;Al Sheera hotel Apartment")</f>
        <v>Sharjah&gt;Al Majaz&gt;Al Majaz 1&gt;Al Sheera hotel Apartment</v>
      </c>
      <c r="E6529" s="2"/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</row>
    <row r="6530" spans="1:26" ht="16.5" x14ac:dyDescent="0.35">
      <c r="A6530" s="2" t="str">
        <f ca="1">IFERROR(__xludf.DUMMYFUNCTION("""COMPUTED_VALUE"""),"Sharjah")</f>
        <v>Sharjah</v>
      </c>
      <c r="B6530" s="2" t="str">
        <f ca="1">IFERROR(__xludf.DUMMYFUNCTION("""COMPUTED_VALUE"""),"Narenj")</f>
        <v>Narenj</v>
      </c>
      <c r="C6530" s="2" t="str">
        <f ca="1">IFERROR(__xludf.DUMMYFUNCTION("""COMPUTED_VALUE"""),"Neighbourhood")</f>
        <v>Neighbourhood</v>
      </c>
      <c r="D6530" s="2" t="str">
        <f ca="1">IFERROR(__xludf.DUMMYFUNCTION("""COMPUTED_VALUE"""),"Sharjah&gt;Al Sehma&gt;Masaar 2&gt;Narenj")</f>
        <v>Sharjah&gt;Al Sehma&gt;Masaar 2&gt;Narenj</v>
      </c>
      <c r="E6530" s="2"/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</row>
    <row r="6531" spans="1:26" ht="16.5" x14ac:dyDescent="0.35">
      <c r="A6531" s="2" t="str">
        <f ca="1">IFERROR(__xludf.DUMMYFUNCTION("""COMPUTED_VALUE"""),"Sharjah")</f>
        <v>Sharjah</v>
      </c>
      <c r="B6531" s="2" t="str">
        <f ca="1">IFERROR(__xludf.DUMMYFUNCTION("""COMPUTED_VALUE"""),"Al Rasheed 2 Building")</f>
        <v>Al Rasheed 2 Building</v>
      </c>
      <c r="C6531" s="2" t="str">
        <f ca="1">IFERROR(__xludf.DUMMYFUNCTION("""COMPUTED_VALUE"""),"Building")</f>
        <v>Building</v>
      </c>
      <c r="D6531" s="2" t="str">
        <f ca="1">IFERROR(__xludf.DUMMYFUNCTION("""COMPUTED_VALUE"""),"Sharjah&gt;Al Taawun&gt;Al Rasheed 2 Building")</f>
        <v>Sharjah&gt;Al Taawun&gt;Al Rasheed 2 Building</v>
      </c>
      <c r="E6531" s="2"/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</row>
    <row r="6532" spans="1:26" ht="16.5" x14ac:dyDescent="0.35">
      <c r="A6532" s="2" t="str">
        <f ca="1">IFERROR(__xludf.DUMMYFUNCTION("""COMPUTED_VALUE"""),"Sharjah")</f>
        <v>Sharjah</v>
      </c>
      <c r="B6532" s="2" t="str">
        <f ca="1">IFERROR(__xludf.DUMMYFUNCTION("""COMPUTED_VALUE"""),"Al Mamzar Plaza")</f>
        <v>Al Mamzar Plaza</v>
      </c>
      <c r="C6532" s="2" t="str">
        <f ca="1">IFERROR(__xludf.DUMMYFUNCTION("""COMPUTED_VALUE"""),"Building")</f>
        <v>Building</v>
      </c>
      <c r="D6532" s="2" t="str">
        <f ca="1">IFERROR(__xludf.DUMMYFUNCTION("""COMPUTED_VALUE"""),"Sharjah&gt;Al Taawun&gt;Al Mamzar Plaza")</f>
        <v>Sharjah&gt;Al Taawun&gt;Al Mamzar Plaza</v>
      </c>
      <c r="E6532" s="2"/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</row>
    <row r="6533" spans="1:26" ht="16.5" x14ac:dyDescent="0.35">
      <c r="A6533" s="2" t="str">
        <f ca="1">IFERROR(__xludf.DUMMYFUNCTION("""COMPUTED_VALUE"""),"Sharjah")</f>
        <v>Sharjah</v>
      </c>
      <c r="B6533" s="2" t="str">
        <f ca="1">IFERROR(__xludf.DUMMYFUNCTION("""COMPUTED_VALUE"""),"Abdul Rahim Building")</f>
        <v>Abdul Rahim Building</v>
      </c>
      <c r="C6533" s="2"/>
      <c r="D6533" s="2" t="str">
        <f ca="1">IFERROR(__xludf.DUMMYFUNCTION("""COMPUTED_VALUE"""),"Sharjah&gt;Al Qasimia&gt;Al Nad&gt;Abdul Rahim Building")</f>
        <v>Sharjah&gt;Al Qasimia&gt;Al Nad&gt;Abdul Rahim Building</v>
      </c>
      <c r="E6533" s="2"/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</row>
    <row r="6534" spans="1:26" ht="16.5" x14ac:dyDescent="0.35">
      <c r="A6534" s="2" t="str">
        <f ca="1">IFERROR(__xludf.DUMMYFUNCTION("""COMPUTED_VALUE"""),"Sharjah")</f>
        <v>Sharjah</v>
      </c>
      <c r="B6534" s="2" t="str">
        <f ca="1">IFERROR(__xludf.DUMMYFUNCTION("""COMPUTED_VALUE"""),"Dana Plaza")</f>
        <v>Dana Plaza</v>
      </c>
      <c r="C6534" s="2"/>
      <c r="D6534" s="2" t="str">
        <f ca="1">IFERROR(__xludf.DUMMYFUNCTION("""COMPUTED_VALUE"""),"Sharjah&gt;Al Qasimia&gt;Al Nad&gt;Dana Plaza")</f>
        <v>Sharjah&gt;Al Qasimia&gt;Al Nad&gt;Dana Plaza</v>
      </c>
      <c r="E6534" s="2"/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</row>
    <row r="6535" spans="1:26" ht="16.5" x14ac:dyDescent="0.35">
      <c r="A6535" s="2" t="str">
        <f ca="1">IFERROR(__xludf.DUMMYFUNCTION("""COMPUTED_VALUE"""),"Sharjah")</f>
        <v>Sharjah</v>
      </c>
      <c r="B6535" s="2" t="str">
        <f ca="1">IFERROR(__xludf.DUMMYFUNCTION("""COMPUTED_VALUE"""),"Sheeba Building")</f>
        <v>Sheeba Building</v>
      </c>
      <c r="C6535" s="2" t="str">
        <f ca="1">IFERROR(__xludf.DUMMYFUNCTION("""COMPUTED_VALUE"""),"Building")</f>
        <v>Building</v>
      </c>
      <c r="D6535" s="2" t="str">
        <f ca="1">IFERROR(__xludf.DUMMYFUNCTION("""COMPUTED_VALUE"""),"Sharjah&gt;Al Qasimia&gt;Al Nad&gt;Sheeba Building")</f>
        <v>Sharjah&gt;Al Qasimia&gt;Al Nad&gt;Sheeba Building</v>
      </c>
      <c r="E6535" s="2"/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</row>
    <row r="6536" spans="1:26" ht="16.5" x14ac:dyDescent="0.35">
      <c r="A6536" s="2" t="str">
        <f ca="1">IFERROR(__xludf.DUMMYFUNCTION("""COMPUTED_VALUE"""),"Sharjah")</f>
        <v>Sharjah</v>
      </c>
      <c r="B6536" s="2" t="str">
        <f ca="1">IFERROR(__xludf.DUMMYFUNCTION("""COMPUTED_VALUE"""),"Al Ghadeer Hotel Apartments")</f>
        <v>Al Ghadeer Hotel Apartments</v>
      </c>
      <c r="C6536" s="2"/>
      <c r="D6536" s="2" t="str">
        <f ca="1">IFERROR(__xludf.DUMMYFUNCTION("""COMPUTED_VALUE"""),"Sharjah&gt;Al Nabba&gt;Al Ghadeer Hotel Apartments")</f>
        <v>Sharjah&gt;Al Nabba&gt;Al Ghadeer Hotel Apartments</v>
      </c>
      <c r="E6536" s="2"/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</row>
    <row r="6537" spans="1:26" ht="16.5" x14ac:dyDescent="0.35">
      <c r="A6537" s="2" t="str">
        <f ca="1">IFERROR(__xludf.DUMMYFUNCTION("""COMPUTED_VALUE"""),"Sharjah")</f>
        <v>Sharjah</v>
      </c>
      <c r="B6537" s="2" t="str">
        <f ca="1">IFERROR(__xludf.DUMMYFUNCTION("""COMPUTED_VALUE"""),"Al Nabah Building")</f>
        <v>Al Nabah Building</v>
      </c>
      <c r="C6537" s="2" t="str">
        <f ca="1">IFERROR(__xludf.DUMMYFUNCTION("""COMPUTED_VALUE"""),"Building")</f>
        <v>Building</v>
      </c>
      <c r="D6537" s="2" t="str">
        <f ca="1">IFERROR(__xludf.DUMMYFUNCTION("""COMPUTED_VALUE"""),"Sharjah&gt;Al Nabba&gt;Al Nabah Building")</f>
        <v>Sharjah&gt;Al Nabba&gt;Al Nabah Building</v>
      </c>
      <c r="E6537" s="2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</row>
    <row r="6538" spans="1:26" ht="16.5" x14ac:dyDescent="0.35">
      <c r="A6538" s="2" t="str">
        <f ca="1">IFERROR(__xludf.DUMMYFUNCTION("""COMPUTED_VALUE"""),"Sharjah")</f>
        <v>Sharjah</v>
      </c>
      <c r="B6538" s="2" t="str">
        <f ca="1">IFERROR(__xludf.DUMMYFUNCTION("""COMPUTED_VALUE"""),"Industrial Area 15")</f>
        <v>Industrial Area 15</v>
      </c>
      <c r="C6538" s="2" t="str">
        <f ca="1">IFERROR(__xludf.DUMMYFUNCTION("""COMPUTED_VALUE"""),"Neighbourhood")</f>
        <v>Neighbourhood</v>
      </c>
      <c r="D6538" s="2" t="str">
        <f ca="1">IFERROR(__xludf.DUMMYFUNCTION("""COMPUTED_VALUE"""),"Sharjah&gt;Industrial Area&gt;Industrial Area 15")</f>
        <v>Sharjah&gt;Industrial Area&gt;Industrial Area 15</v>
      </c>
      <c r="E6538" s="2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</row>
    <row r="6539" spans="1:26" ht="16.5" x14ac:dyDescent="0.35">
      <c r="A6539" s="2" t="str">
        <f ca="1">IFERROR(__xludf.DUMMYFUNCTION("""COMPUTED_VALUE"""),"Sharjah")</f>
        <v>Sharjah</v>
      </c>
      <c r="B6539" s="2" t="str">
        <f ca="1">IFERROR(__xludf.DUMMYFUNCTION("""COMPUTED_VALUE"""),"RA 3")</f>
        <v>RA 3</v>
      </c>
      <c r="C6539" s="2" t="str">
        <f ca="1">IFERROR(__xludf.DUMMYFUNCTION("""COMPUTED_VALUE"""),"Building")</f>
        <v>Building</v>
      </c>
      <c r="D6539" s="2" t="str">
        <f ca="1">IFERROR(__xludf.DUMMYFUNCTION("""COMPUTED_VALUE"""),"Sharjah&gt;Muwaileh&gt;Al Mamsha&gt;Souks Residential&gt;RA 3")</f>
        <v>Sharjah&gt;Muwaileh&gt;Al Mamsha&gt;Souks Residential&gt;RA 3</v>
      </c>
      <c r="E6539" s="2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</row>
    <row r="6540" spans="1:26" ht="16.5" x14ac:dyDescent="0.35">
      <c r="A6540" s="2" t="str">
        <f ca="1">IFERROR(__xludf.DUMMYFUNCTION("""COMPUTED_VALUE"""),"Sharjah")</f>
        <v>Sharjah</v>
      </c>
      <c r="B6540" s="2" t="str">
        <f ca="1">IFERROR(__xludf.DUMMYFUNCTION("""COMPUTED_VALUE"""),"Edge 2")</f>
        <v>Edge 2</v>
      </c>
      <c r="C6540" s="2" t="str">
        <f ca="1">IFERROR(__xludf.DUMMYFUNCTION("""COMPUTED_VALUE"""),"Building")</f>
        <v>Building</v>
      </c>
      <c r="D6540" s="2" t="str">
        <f ca="1">IFERROR(__xludf.DUMMYFUNCTION("""COMPUTED_VALUE"""),"Sharjah&gt;Muwaileh&gt;Al Mamsha&gt;Edge 2")</f>
        <v>Sharjah&gt;Muwaileh&gt;Al Mamsha&gt;Edge 2</v>
      </c>
      <c r="E6540" s="2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</row>
    <row r="6541" spans="1:26" ht="16.5" x14ac:dyDescent="0.35">
      <c r="A6541" s="2" t="str">
        <f ca="1">IFERROR(__xludf.DUMMYFUNCTION("""COMPUTED_VALUE"""),"Sharjah")</f>
        <v>Sharjah</v>
      </c>
      <c r="B6541" s="2" t="str">
        <f ca="1">IFERROR(__xludf.DUMMYFUNCTION("""COMPUTED_VALUE"""),"Gulf Asian English School, Sharjah")</f>
        <v>Gulf Asian English School, Sharjah</v>
      </c>
      <c r="C6541" s="2" t="str">
        <f ca="1">IFERROR(__xludf.DUMMYFUNCTION("""COMPUTED_VALUE"""),"School")</f>
        <v>School</v>
      </c>
      <c r="D6541" s="2" t="str">
        <f ca="1">IFERROR(__xludf.DUMMYFUNCTION("""COMPUTED_VALUE"""),"Sharjah&gt;Muwaileh Commercial&gt;Gulf Asian English School, Sharjah")</f>
        <v>Sharjah&gt;Muwaileh Commercial&gt;Gulf Asian English School, Sharjah</v>
      </c>
      <c r="E6541" s="2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</row>
    <row r="6542" spans="1:26" ht="16.5" x14ac:dyDescent="0.35">
      <c r="A6542" s="2" t="str">
        <f ca="1">IFERROR(__xludf.DUMMYFUNCTION("""COMPUTED_VALUE"""),"Sharjah")</f>
        <v>Sharjah</v>
      </c>
      <c r="B6542" s="2" t="str">
        <f ca="1">IFERROR(__xludf.DUMMYFUNCTION("""COMPUTED_VALUE"""),"5209 Muweilah Building")</f>
        <v>5209 Muweilah Building</v>
      </c>
      <c r="C6542" s="2"/>
      <c r="D6542" s="2" t="str">
        <f ca="1">IFERROR(__xludf.DUMMYFUNCTION("""COMPUTED_VALUE"""),"Sharjah&gt;Muwaileh Commercial&gt;5209 Muweilah Building")</f>
        <v>Sharjah&gt;Muwaileh Commercial&gt;5209 Muweilah Building</v>
      </c>
      <c r="E6542" s="2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</row>
    <row r="6543" spans="1:26" ht="16.5" x14ac:dyDescent="0.35">
      <c r="A6543" s="2" t="str">
        <f ca="1">IFERROR(__xludf.DUMMYFUNCTION("""COMPUTED_VALUE"""),"Sharjah")</f>
        <v>Sharjah</v>
      </c>
      <c r="B6543" s="2" t="str">
        <f ca="1">IFERROR(__xludf.DUMMYFUNCTION("""COMPUTED_VALUE"""),"Olfah 11")</f>
        <v>Olfah 11</v>
      </c>
      <c r="C6543" s="2" t="str">
        <f ca="1">IFERROR(__xludf.DUMMYFUNCTION("""COMPUTED_VALUE"""),"Building")</f>
        <v>Building</v>
      </c>
      <c r="D6543" s="2" t="str">
        <f ca="1">IFERROR(__xludf.DUMMYFUNCTION("""COMPUTED_VALUE"""),"Sharjah&gt;Muwaileh Commercial&gt;Olfah&gt;Olfah 11")</f>
        <v>Sharjah&gt;Muwaileh Commercial&gt;Olfah&gt;Olfah 11</v>
      </c>
      <c r="E6543" s="2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</row>
    <row r="6544" spans="1:26" ht="16.5" x14ac:dyDescent="0.35">
      <c r="A6544" s="2" t="str">
        <f ca="1">IFERROR(__xludf.DUMMYFUNCTION("""COMPUTED_VALUE"""),"Sharjah")</f>
        <v>Sharjah</v>
      </c>
      <c r="B6544" s="2" t="str">
        <f ca="1">IFERROR(__xludf.DUMMYFUNCTION("""COMPUTED_VALUE"""),"Al Falah Complex")</f>
        <v>Al Falah Complex</v>
      </c>
      <c r="C6544" s="2" t="str">
        <f ca="1">IFERROR(__xludf.DUMMYFUNCTION("""COMPUTED_VALUE"""),"Building")</f>
        <v>Building</v>
      </c>
      <c r="D6544" s="2" t="str">
        <f ca="1">IFERROR(__xludf.DUMMYFUNCTION("""COMPUTED_VALUE"""),"Sharjah&gt;Muwaileh Commercial&gt;Al Falah Complex")</f>
        <v>Sharjah&gt;Muwaileh Commercial&gt;Al Falah Complex</v>
      </c>
      <c r="E6544" s="2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</row>
    <row r="6545" spans="1:26" ht="16.5" x14ac:dyDescent="0.35">
      <c r="A6545" s="2" t="str">
        <f ca="1">IFERROR(__xludf.DUMMYFUNCTION("""COMPUTED_VALUE"""),"Al Ain")</f>
        <v>Al Ain</v>
      </c>
      <c r="B6545" s="2" t="str">
        <f ca="1">IFERROR(__xludf.DUMMYFUNCTION("""COMPUTED_VALUE"""),"Al Murbaa Building")</f>
        <v>Al Murbaa Building</v>
      </c>
      <c r="C6545" s="2" t="str">
        <f ca="1">IFERROR(__xludf.DUMMYFUNCTION("""COMPUTED_VALUE"""),"Building")</f>
        <v>Building</v>
      </c>
      <c r="D6545" s="2" t="str">
        <f ca="1">IFERROR(__xludf.DUMMYFUNCTION("""COMPUTED_VALUE"""),"Al Ain&gt;Central District&gt;Hai Al Murabbaa&gt;Al Murbaa Building")</f>
        <v>Al Ain&gt;Central District&gt;Hai Al Murabbaa&gt;Al Murbaa Building</v>
      </c>
      <c r="E6545" s="2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</row>
    <row r="6546" spans="1:26" ht="16.5" x14ac:dyDescent="0.35">
      <c r="A6546" s="2" t="str">
        <f ca="1">IFERROR(__xludf.DUMMYFUNCTION("""COMPUTED_VALUE"""),"Al Ain")</f>
        <v>Al Ain</v>
      </c>
      <c r="B6546" s="2" t="str">
        <f ca="1">IFERROR(__xludf.DUMMYFUNCTION("""COMPUTED_VALUE"""),"The Gulf International Private Academy")</f>
        <v>The Gulf International Private Academy</v>
      </c>
      <c r="C6546" s="2" t="str">
        <f ca="1">IFERROR(__xludf.DUMMYFUNCTION("""COMPUTED_VALUE"""),"School")</f>
        <v>School</v>
      </c>
      <c r="D6546" s="2" t="str">
        <f ca="1">IFERROR(__xludf.DUMMYFUNCTION("""COMPUTED_VALUE"""),"Al Ain&gt;Al Muwaiji&gt;The Gulf International Private Academy")</f>
        <v>Al Ain&gt;Al Muwaiji&gt;The Gulf International Private Academy</v>
      </c>
      <c r="E6546" s="2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</row>
    <row r="6547" spans="1:26" ht="16.5" x14ac:dyDescent="0.35">
      <c r="A6547" s="2" t="str">
        <f ca="1">IFERROR(__xludf.DUMMYFUNCTION("""COMPUTED_VALUE"""),"Al Ain")</f>
        <v>Al Ain</v>
      </c>
      <c r="B6547" s="2" t="str">
        <f ca="1">IFERROR(__xludf.DUMMYFUNCTION("""COMPUTED_VALUE"""),"Al Nayfa 2")</f>
        <v>Al Nayfa 2</v>
      </c>
      <c r="C6547" s="2" t="str">
        <f ca="1">IFERROR(__xludf.DUMMYFUNCTION("""COMPUTED_VALUE"""),"Neighbourhood")</f>
        <v>Neighbourhood</v>
      </c>
      <c r="D6547" s="2" t="str">
        <f ca="1">IFERROR(__xludf.DUMMYFUNCTION("""COMPUTED_VALUE"""),"Al Ain&gt;Hili&gt;Al Nayfa 2")</f>
        <v>Al Ain&gt;Hili&gt;Al Nayfa 2</v>
      </c>
      <c r="E6547" s="2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</row>
    <row r="6548" spans="1:26" ht="16.5" x14ac:dyDescent="0.35">
      <c r="A6548" s="2" t="str">
        <f ca="1">IFERROR(__xludf.DUMMYFUNCTION("""COMPUTED_VALUE"""),"Al Ain")</f>
        <v>Al Ain</v>
      </c>
      <c r="B6548" s="2" t="str">
        <f ca="1">IFERROR(__xludf.DUMMYFUNCTION("""COMPUTED_VALUE"""),"Khalifa Street")</f>
        <v>Khalifa Street</v>
      </c>
      <c r="C6548" s="2" t="str">
        <f ca="1">IFERROR(__xludf.DUMMYFUNCTION("""COMPUTED_VALUE"""),"Neighbourhood")</f>
        <v>Neighbourhood</v>
      </c>
      <c r="D6548" s="2" t="str">
        <f ca="1">IFERROR(__xludf.DUMMYFUNCTION("""COMPUTED_VALUE"""),"Al Ain&gt;Al Mutaw'ah&gt;Khalifa Street")</f>
        <v>Al Ain&gt;Al Mutaw'ah&gt;Khalifa Street</v>
      </c>
      <c r="E6548" s="2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</row>
    <row r="6549" spans="1:26" ht="16.5" x14ac:dyDescent="0.35">
      <c r="A6549" s="2" t="str">
        <f ca="1">IFERROR(__xludf.DUMMYFUNCTION("""COMPUTED_VALUE"""),"Al Ain")</f>
        <v>Al Ain</v>
      </c>
      <c r="B6549" s="2" t="str">
        <f ca="1">IFERROR(__xludf.DUMMYFUNCTION("""COMPUTED_VALUE"""),"Al Masoudi")</f>
        <v>Al Masoudi</v>
      </c>
      <c r="C6549" s="2" t="str">
        <f ca="1">IFERROR(__xludf.DUMMYFUNCTION("""COMPUTED_VALUE"""),"Neighbourhood")</f>
        <v>Neighbourhood</v>
      </c>
      <c r="D6549" s="2" t="str">
        <f ca="1">IFERROR(__xludf.DUMMYFUNCTION("""COMPUTED_VALUE"""),"Al Ain&gt;Al Masoudi")</f>
        <v>Al Ain&gt;Al Masoudi</v>
      </c>
      <c r="E6549" s="2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</row>
    <row r="6550" spans="1:26" ht="16.5" x14ac:dyDescent="0.35">
      <c r="A6550" s="2" t="str">
        <f ca="1">IFERROR(__xludf.DUMMYFUNCTION("""COMPUTED_VALUE"""),"Al Ain")</f>
        <v>Al Ain</v>
      </c>
      <c r="B6550" s="2" t="str">
        <f ca="1">IFERROR(__xludf.DUMMYFUNCTION("""COMPUTED_VALUE"""),"Al Thugaibah")</f>
        <v>Al Thugaibah</v>
      </c>
      <c r="C6550" s="2" t="str">
        <f ca="1">IFERROR(__xludf.DUMMYFUNCTION("""COMPUTED_VALUE"""),"Neighbourhood")</f>
        <v>Neighbourhood</v>
      </c>
      <c r="D6550" s="2" t="str">
        <f ca="1">IFERROR(__xludf.DUMMYFUNCTION("""COMPUTED_VALUE"""),"Al Ain&gt;Al Sarouj&gt;Al Thugaibah")</f>
        <v>Al Ain&gt;Al Sarouj&gt;Al Thugaibah</v>
      </c>
      <c r="E6550" s="2"/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</row>
    <row r="6551" spans="1:26" ht="16.5" x14ac:dyDescent="0.35">
      <c r="A6551" s="2" t="str">
        <f ca="1">IFERROR(__xludf.DUMMYFUNCTION("""COMPUTED_VALUE"""),"Ras Al Khaimah")</f>
        <v>Ras Al Khaimah</v>
      </c>
      <c r="B6551" s="2" t="str">
        <f ca="1">IFERROR(__xludf.DUMMYFUNCTION("""COMPUTED_VALUE"""),"Cape Hayat")</f>
        <v>Cape Hayat</v>
      </c>
      <c r="C6551" s="2" t="str">
        <f ca="1">IFERROR(__xludf.DUMMYFUNCTION("""COMPUTED_VALUE"""),"Cluster")</f>
        <v>Cluster</v>
      </c>
      <c r="D6551" s="2" t="str">
        <f ca="1">IFERROR(__xludf.DUMMYFUNCTION("""COMPUTED_VALUE"""),"Ras Al Khaimah&gt;Mina Al Arab&gt;Hayat Island&gt;Cape Hayat")</f>
        <v>Ras Al Khaimah&gt;Mina Al Arab&gt;Hayat Island&gt;Cape Hayat</v>
      </c>
      <c r="E6551" s="2"/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</row>
    <row r="6552" spans="1:26" ht="16.5" x14ac:dyDescent="0.35">
      <c r="A6552" s="2" t="str">
        <f ca="1">IFERROR(__xludf.DUMMYFUNCTION("""COMPUTED_VALUE"""),"Ras Al Khaimah")</f>
        <v>Ras Al Khaimah</v>
      </c>
      <c r="B6552" s="2" t="str">
        <f ca="1">IFERROR(__xludf.DUMMYFUNCTION("""COMPUTED_VALUE"""),"Pacific Samoa")</f>
        <v>Pacific Samoa</v>
      </c>
      <c r="C6552" s="2" t="str">
        <f ca="1">IFERROR(__xludf.DUMMYFUNCTION("""COMPUTED_VALUE"""),"Building")</f>
        <v>Building</v>
      </c>
      <c r="D6552" s="2" t="str">
        <f ca="1">IFERROR(__xludf.DUMMYFUNCTION("""COMPUTED_VALUE"""),"Ras Al Khaimah&gt;Al Marjan Island&gt;Pacific&gt;Pacific Samoa")</f>
        <v>Ras Al Khaimah&gt;Al Marjan Island&gt;Pacific&gt;Pacific Samoa</v>
      </c>
      <c r="E6552" s="2"/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</row>
    <row r="6553" spans="1:26" ht="16.5" x14ac:dyDescent="0.35">
      <c r="A6553" s="2" t="str">
        <f ca="1">IFERROR(__xludf.DUMMYFUNCTION("""COMPUTED_VALUE"""),"Ras Al Khaimah")</f>
        <v>Ras Al Khaimah</v>
      </c>
      <c r="B6553" s="2" t="str">
        <f ca="1">IFERROR(__xludf.DUMMYFUNCTION("""COMPUTED_VALUE"""),"The Beach Vista")</f>
        <v>The Beach Vista</v>
      </c>
      <c r="C6553" s="2" t="str">
        <f ca="1">IFERROR(__xludf.DUMMYFUNCTION("""COMPUTED_VALUE"""),"Building")</f>
        <v>Building</v>
      </c>
      <c r="D6553" s="2" t="str">
        <f ca="1">IFERROR(__xludf.DUMMYFUNCTION("""COMPUTED_VALUE"""),"Ras Al Khaimah&gt;Al Marjan Island&gt;The Beach Vista")</f>
        <v>Ras Al Khaimah&gt;Al Marjan Island&gt;The Beach Vista</v>
      </c>
      <c r="E6553" s="2"/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</row>
    <row r="6554" spans="1:26" ht="16.5" x14ac:dyDescent="0.35">
      <c r="A6554" s="2" t="str">
        <f ca="1">IFERROR(__xludf.DUMMYFUNCTION("""COMPUTED_VALUE"""),"Ras Al Khaimah")</f>
        <v>Ras Al Khaimah</v>
      </c>
      <c r="B6554" s="2" t="str">
        <f ca="1">IFERROR(__xludf.DUMMYFUNCTION("""COMPUTED_VALUE"""),"Palazzo Tissoli Design by Pininfarina")</f>
        <v>Palazzo Tissoli Design by Pininfarina</v>
      </c>
      <c r="C6554" s="2" t="str">
        <f ca="1">IFERROR(__xludf.DUMMYFUNCTION("""COMPUTED_VALUE"""),"Building")</f>
        <v>Building</v>
      </c>
      <c r="D6554" s="2" t="str">
        <f ca="1">IFERROR(__xludf.DUMMYFUNCTION("""COMPUTED_VALUE"""),"Ras Al Khaimah&gt;Al Marjan Island&gt;Palazzo Tissoli Design by Pininfarina")</f>
        <v>Ras Al Khaimah&gt;Al Marjan Island&gt;Palazzo Tissoli Design by Pininfarina</v>
      </c>
      <c r="E6554" s="2"/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</row>
    <row r="6555" spans="1:26" ht="16.5" x14ac:dyDescent="0.35">
      <c r="A6555" s="2" t="str">
        <f ca="1">IFERROR(__xludf.DUMMYFUNCTION("""COMPUTED_VALUE"""),"Ras Al Khaimah")</f>
        <v>Ras Al Khaimah</v>
      </c>
      <c r="B6555" s="2" t="str">
        <f ca="1">IFERROR(__xludf.DUMMYFUNCTION("""COMPUTED_VALUE"""),"Ellington Views I")</f>
        <v>Ellington Views I</v>
      </c>
      <c r="C6555" s="2" t="str">
        <f ca="1">IFERROR(__xludf.DUMMYFUNCTION("""COMPUTED_VALUE"""),"Building")</f>
        <v>Building</v>
      </c>
      <c r="D6555" s="2" t="str">
        <f ca="1">IFERROR(__xludf.DUMMYFUNCTION("""COMPUTED_VALUE"""),"Ras Al Khaimah&gt;Al Hamra Village&gt;Ellington Views I")</f>
        <v>Ras Al Khaimah&gt;Al Hamra Village&gt;Ellington Views I</v>
      </c>
      <c r="E6555" s="2"/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</row>
    <row r="6556" spans="1:26" ht="16.5" x14ac:dyDescent="0.35">
      <c r="A6556" s="2" t="str">
        <f ca="1">IFERROR(__xludf.DUMMYFUNCTION("""COMPUTED_VALUE"""),"Ras Al Khaimah")</f>
        <v>Ras Al Khaimah</v>
      </c>
      <c r="B6556" s="2" t="str">
        <f ca="1">IFERROR(__xludf.DUMMYFUNCTION("""COMPUTED_VALUE"""),"Al Dhait")</f>
        <v>Al Dhait</v>
      </c>
      <c r="C6556" s="2" t="str">
        <f ca="1">IFERROR(__xludf.DUMMYFUNCTION("""COMPUTED_VALUE"""),"Neighbourhood")</f>
        <v>Neighbourhood</v>
      </c>
      <c r="D6556" s="2" t="str">
        <f ca="1">IFERROR(__xludf.DUMMYFUNCTION("""COMPUTED_VALUE"""),"Ras Al Khaimah&gt;Al Dhait")</f>
        <v>Ras Al Khaimah&gt;Al Dhait</v>
      </c>
      <c r="E6556" s="2"/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</row>
    <row r="6557" spans="1:26" ht="16.5" x14ac:dyDescent="0.35">
      <c r="A6557" s="2" t="str">
        <f ca="1">IFERROR(__xludf.DUMMYFUNCTION("""COMPUTED_VALUE"""),"Ras Al Khaimah")</f>
        <v>Ras Al Khaimah</v>
      </c>
      <c r="B6557" s="2" t="str">
        <f ca="1">IFERROR(__xludf.DUMMYFUNCTION("""COMPUTED_VALUE"""),"Al Ghail")</f>
        <v>Al Ghail</v>
      </c>
      <c r="C6557" s="2" t="str">
        <f ca="1">IFERROR(__xludf.DUMMYFUNCTION("""COMPUTED_VALUE"""),"Neighbourhood")</f>
        <v>Neighbourhood</v>
      </c>
      <c r="D6557" s="2" t="str">
        <f ca="1">IFERROR(__xludf.DUMMYFUNCTION("""COMPUTED_VALUE"""),"Ras Al Khaimah&gt;Al Ghail")</f>
        <v>Ras Al Khaimah&gt;Al Ghail</v>
      </c>
      <c r="E6557" s="2"/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</row>
    <row r="6558" spans="1:26" ht="16.5" x14ac:dyDescent="0.35">
      <c r="A6558" s="2" t="str">
        <f ca="1">IFERROR(__xludf.DUMMYFUNCTION("""COMPUTED_VALUE"""),"Ras Al Khaimah")</f>
        <v>Ras Al Khaimah</v>
      </c>
      <c r="B6558" s="2" t="str">
        <f ca="1">IFERROR(__xludf.DUMMYFUNCTION("""COMPUTED_VALUE"""),"Al Sharisha")</f>
        <v>Al Sharisha</v>
      </c>
      <c r="C6558" s="2" t="str">
        <f ca="1">IFERROR(__xludf.DUMMYFUNCTION("""COMPUTED_VALUE"""),"Neighbourhood")</f>
        <v>Neighbourhood</v>
      </c>
      <c r="D6558" s="2" t="str">
        <f ca="1">IFERROR(__xludf.DUMMYFUNCTION("""COMPUTED_VALUE"""),"Ras Al Khaimah&gt;Al Sharisha")</f>
        <v>Ras Al Khaimah&gt;Al Sharisha</v>
      </c>
      <c r="E6558" s="2"/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</row>
    <row r="6559" spans="1:26" ht="16.5" x14ac:dyDescent="0.35">
      <c r="A6559" s="2" t="str">
        <f ca="1">IFERROR(__xludf.DUMMYFUNCTION("""COMPUTED_VALUE"""),"Ras Al Khaimah")</f>
        <v>Ras Al Khaimah</v>
      </c>
      <c r="B6559" s="2" t="str">
        <f ca="1">IFERROR(__xludf.DUMMYFUNCTION("""COMPUTED_VALUE"""),"Suhailah")</f>
        <v>Suhailah</v>
      </c>
      <c r="C6559" s="2" t="str">
        <f ca="1">IFERROR(__xludf.DUMMYFUNCTION("""COMPUTED_VALUE"""),"Neighbourhood")</f>
        <v>Neighbourhood</v>
      </c>
      <c r="D6559" s="2" t="str">
        <f ca="1">IFERROR(__xludf.DUMMYFUNCTION("""COMPUTED_VALUE"""),"Ras Al Khaimah&gt;Suhailah")</f>
        <v>Ras Al Khaimah&gt;Suhailah</v>
      </c>
      <c r="E6559" s="2"/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</row>
    <row r="6560" spans="1:26" ht="16.5" x14ac:dyDescent="0.35">
      <c r="A6560" s="2" t="str">
        <f ca="1">IFERROR(__xludf.DUMMYFUNCTION("""COMPUTED_VALUE"""),"Umm Al Quwain")</f>
        <v>Umm Al Quwain</v>
      </c>
      <c r="B6560" s="2" t="str">
        <f ca="1">IFERROR(__xludf.DUMMYFUNCTION("""COMPUTED_VALUE"""),"Al Salamah")</f>
        <v>Al Salamah</v>
      </c>
      <c r="C6560" s="2" t="str">
        <f ca="1">IFERROR(__xludf.DUMMYFUNCTION("""COMPUTED_VALUE"""),"Neighbourhood")</f>
        <v>Neighbourhood</v>
      </c>
      <c r="D6560" s="2" t="str">
        <f ca="1">IFERROR(__xludf.DUMMYFUNCTION("""COMPUTED_VALUE"""),"Umm Al Quwain&gt;Al Salamah")</f>
        <v>Umm Al Quwain&gt;Al Salamah</v>
      </c>
      <c r="E6560" s="2"/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</row>
    <row r="6561" spans="1:26" ht="16.5" x14ac:dyDescent="0.35">
      <c r="A6561" s="2" t="str">
        <f ca="1">IFERROR(__xludf.DUMMYFUNCTION("""COMPUTED_VALUE"""),"Umm Al Quwain")</f>
        <v>Umm Al Quwain</v>
      </c>
      <c r="B6561" s="2" t="str">
        <f ca="1">IFERROR(__xludf.DUMMYFUNCTION("""COMPUTED_VALUE"""),"Al Raudah")</f>
        <v>Al Raudah</v>
      </c>
      <c r="C6561" s="2" t="str">
        <f ca="1">IFERROR(__xludf.DUMMYFUNCTION("""COMPUTED_VALUE"""),"Neighbourhood")</f>
        <v>Neighbourhood</v>
      </c>
      <c r="D6561" s="2" t="str">
        <f ca="1">IFERROR(__xludf.DUMMYFUNCTION("""COMPUTED_VALUE"""),"Umm Al Quwain&gt;Al Raudah")</f>
        <v>Umm Al Quwain&gt;Al Raudah</v>
      </c>
      <c r="E6561" s="2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</row>
    <row r="6562" spans="1:26" ht="16.5" x14ac:dyDescent="0.35">
      <c r="A6562" s="2" t="str">
        <f ca="1">IFERROR(__xludf.DUMMYFUNCTION("""COMPUTED_VALUE"""),"Umm Al Quwain")</f>
        <v>Umm Al Quwain</v>
      </c>
      <c r="B6562" s="2" t="str">
        <f ca="1">IFERROR(__xludf.DUMMYFUNCTION("""COMPUTED_VALUE"""),"Florine Beach Residences Tower B")</f>
        <v>Florine Beach Residences Tower B</v>
      </c>
      <c r="C6562" s="2" t="str">
        <f ca="1">IFERROR(__xludf.DUMMYFUNCTION("""COMPUTED_VALUE"""),"Building")</f>
        <v>Building</v>
      </c>
      <c r="D6562" s="2" t="str">
        <f ca="1">IFERROR(__xludf.DUMMYFUNCTION("""COMPUTED_VALUE"""),"Umm Al Quwain&gt;Al Seanneeah&gt;Sobha Siniya Island&gt;Florine Beach Residences&gt;Florine Beach Residences Tower B")</f>
        <v>Umm Al Quwain&gt;Al Seanneeah&gt;Sobha Siniya Island&gt;Florine Beach Residences&gt;Florine Beach Residences Tower B</v>
      </c>
      <c r="E6562" s="2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</row>
    <row r="6563" spans="1:26" ht="16.5" x14ac:dyDescent="0.35">
      <c r="A6563" s="2" t="str">
        <f ca="1">IFERROR(__xludf.DUMMYFUNCTION("""COMPUTED_VALUE"""),"Umm Al Quwain")</f>
        <v>Umm Al Quwain</v>
      </c>
      <c r="B6563" s="2" t="str">
        <f ca="1">IFERROR(__xludf.DUMMYFUNCTION("""COMPUTED_VALUE"""),"Canalside Marina Residences Tower B")</f>
        <v>Canalside Marina Residences Tower B</v>
      </c>
      <c r="C6563" s="2" t="str">
        <f ca="1">IFERROR(__xludf.DUMMYFUNCTION("""COMPUTED_VALUE"""),"Building")</f>
        <v>Building</v>
      </c>
      <c r="D6563" s="2" t="str">
        <f ca="1">IFERROR(__xludf.DUMMYFUNCTION("""COMPUTED_VALUE"""),"Umm Al Quwain&gt;Al Seanneeah&gt;Sobha Siniya Island&gt;Canalside Marina Residences&gt;Canalside Marina Residences Tower B")</f>
        <v>Umm Al Quwain&gt;Al Seanneeah&gt;Sobha Siniya Island&gt;Canalside Marina Residences&gt;Canalside Marina Residences Tower B</v>
      </c>
      <c r="E6563" s="2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</row>
    <row r="6564" spans="1:26" ht="16.5" x14ac:dyDescent="0.35">
      <c r="A6564" s="2" t="str">
        <f ca="1">IFERROR(__xludf.DUMMYFUNCTION("""COMPUTED_VALUE"""),"Fujairah")</f>
        <v>Fujairah</v>
      </c>
      <c r="B6564" s="2" t="str">
        <f ca="1">IFERROR(__xludf.DUMMYFUNCTION("""COMPUTED_VALUE"""),"Al Dana Island")</f>
        <v>Al Dana Island</v>
      </c>
      <c r="C6564" s="2" t="str">
        <f ca="1">IFERROR(__xludf.DUMMYFUNCTION("""COMPUTED_VALUE"""),"Neighbourhood")</f>
        <v>Neighbourhood</v>
      </c>
      <c r="D6564" s="2" t="str">
        <f ca="1">IFERROR(__xludf.DUMMYFUNCTION("""COMPUTED_VALUE"""),"Fujairah&gt;Al Dana Island")</f>
        <v>Fujairah&gt;Al Dana Island</v>
      </c>
      <c r="E6564" s="2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</row>
    <row r="6565" spans="1:26" ht="16.5" x14ac:dyDescent="0.35">
      <c r="A6565" s="2" t="str">
        <f ca="1">IFERROR(__xludf.DUMMYFUNCTION("""COMPUTED_VALUE"""),"Fujairah")</f>
        <v>Fujairah</v>
      </c>
      <c r="B6565" s="2" t="str">
        <f ca="1">IFERROR(__xludf.DUMMYFUNCTION("""COMPUTED_VALUE"""),"City Center Building")</f>
        <v>City Center Building</v>
      </c>
      <c r="C6565" s="2" t="str">
        <f ca="1">IFERROR(__xludf.DUMMYFUNCTION("""COMPUTED_VALUE"""),"Building")</f>
        <v>Building</v>
      </c>
      <c r="D6565" s="2" t="str">
        <f ca="1">IFERROR(__xludf.DUMMYFUNCTION("""COMPUTED_VALUE"""),"Fujairah&gt;Saniaya&gt;City Center Building")</f>
        <v>Fujairah&gt;Saniaya&gt;City Center Building</v>
      </c>
      <c r="E6565" s="2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</row>
    <row r="6566" spans="1:26" ht="16.5" x14ac:dyDescent="0.35">
      <c r="A6566" s="2" t="str">
        <f ca="1">IFERROR(__xludf.DUMMYFUNCTION("""COMPUTED_VALUE"""),"Abu Dhabi")</f>
        <v>Abu Dhabi</v>
      </c>
      <c r="B6566" s="2" t="str">
        <f ca="1">IFERROR(__xludf.DUMMYFUNCTION("""COMPUTED_VALUE"""),"The Beach House Tower 10")</f>
        <v>The Beach House Tower 10</v>
      </c>
      <c r="C6566" s="2" t="str">
        <f ca="1">IFERROR(__xludf.DUMMYFUNCTION("""COMPUTED_VALUE"""),"Building")</f>
        <v>Building</v>
      </c>
      <c r="D6566" s="2" t="str">
        <f ca="1">IFERROR(__xludf.DUMMYFUNCTION("""COMPUTED_VALUE"""),"Abu Dhabi&gt;Fahid Island&gt;The Beach House&gt;The Beach House Tower 10")</f>
        <v>Abu Dhabi&gt;Fahid Island&gt;The Beach House&gt;The Beach House Tower 10</v>
      </c>
      <c r="E6566" s="2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</row>
    <row r="6567" spans="1:26" ht="16.5" x14ac:dyDescent="0.35">
      <c r="A6567" s="2" t="str">
        <f ca="1">IFERROR(__xludf.DUMMYFUNCTION("""COMPUTED_VALUE"""),"Abu Dhabi")</f>
        <v>Abu Dhabi</v>
      </c>
      <c r="B6567" s="2" t="str">
        <f ca="1">IFERROR(__xludf.DUMMYFUNCTION("""COMPUTED_VALUE"""),"Nalaya Villa")</f>
        <v>Nalaya Villa</v>
      </c>
      <c r="C6567" s="2" t="str">
        <f ca="1">IFERROR(__xludf.DUMMYFUNCTION("""COMPUTED_VALUE"""),"Neighbourhood")</f>
        <v>Neighbourhood</v>
      </c>
      <c r="D6567" s="2" t="str">
        <f ca="1">IFERROR(__xludf.DUMMYFUNCTION("""COMPUTED_VALUE"""),"Abu Dhabi&gt;Al Reem Island&gt;Najmat Abu Dhabi&gt;Nalaya Villa")</f>
        <v>Abu Dhabi&gt;Al Reem Island&gt;Najmat Abu Dhabi&gt;Nalaya Villa</v>
      </c>
      <c r="E6567" s="2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</row>
    <row r="6568" spans="1:26" ht="16.5" x14ac:dyDescent="0.35">
      <c r="A6568" s="2" t="str">
        <f ca="1">IFERROR(__xludf.DUMMYFUNCTION("""COMPUTED_VALUE"""),"Abu Dhabi")</f>
        <v>Abu Dhabi</v>
      </c>
      <c r="B6568" s="2" t="str">
        <f ca="1">IFERROR(__xludf.DUMMYFUNCTION("""COMPUTED_VALUE"""),"Al Durrah Tower")</f>
        <v>Al Durrah Tower</v>
      </c>
      <c r="C6568" s="2" t="str">
        <f ca="1">IFERROR(__xludf.DUMMYFUNCTION("""COMPUTED_VALUE"""),"Building")</f>
        <v>Building</v>
      </c>
      <c r="D6568" s="2" t="str">
        <f ca="1">IFERROR(__xludf.DUMMYFUNCTION("""COMPUTED_VALUE"""),"Abu Dhabi&gt;Al Reem Island&gt;Marina Square&gt;Al Durrah Tower")</f>
        <v>Abu Dhabi&gt;Al Reem Island&gt;Marina Square&gt;Al Durrah Tower</v>
      </c>
      <c r="E6568" s="2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</row>
    <row r="6569" spans="1:26" ht="16.5" x14ac:dyDescent="0.35">
      <c r="A6569" s="2" t="str">
        <f ca="1">IFERROR(__xludf.DUMMYFUNCTION("""COMPUTED_VALUE"""),"Abu Dhabi")</f>
        <v>Abu Dhabi</v>
      </c>
      <c r="B6569" s="2" t="str">
        <f ca="1">IFERROR(__xludf.DUMMYFUNCTION("""COMPUTED_VALUE"""),"The ARC")</f>
        <v>The ARC</v>
      </c>
      <c r="C6569" s="2" t="str">
        <f ca="1">IFERROR(__xludf.DUMMYFUNCTION("""COMPUTED_VALUE"""),"Building")</f>
        <v>Building</v>
      </c>
      <c r="D6569" s="2" t="str">
        <f ca="1">IFERROR(__xludf.DUMMYFUNCTION("""COMPUTED_VALUE"""),"Abu Dhabi&gt;Al Reem Island&gt;Shams Abu Dhabi&gt;Shams Gate District&gt;The ARC")</f>
        <v>Abu Dhabi&gt;Al Reem Island&gt;Shams Abu Dhabi&gt;Shams Gate District&gt;The ARC</v>
      </c>
      <c r="E6569" s="2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</row>
    <row r="6570" spans="1:26" ht="16.5" x14ac:dyDescent="0.35">
      <c r="A6570" s="2" t="str">
        <f ca="1">IFERROR(__xludf.DUMMYFUNCTION("""COMPUTED_VALUE"""),"Abu Dhabi")</f>
        <v>Abu Dhabi</v>
      </c>
      <c r="B6570" s="2" t="str">
        <f ca="1">IFERROR(__xludf.DUMMYFUNCTION("""COMPUTED_VALUE"""),"Radiant Marina Towers")</f>
        <v>Radiant Marina Towers</v>
      </c>
      <c r="C6570" s="2" t="str">
        <f ca="1">IFERROR(__xludf.DUMMYFUNCTION("""COMPUTED_VALUE"""),"Building")</f>
        <v>Building</v>
      </c>
      <c r="D6570" s="2" t="str">
        <f ca="1">IFERROR(__xludf.DUMMYFUNCTION("""COMPUTED_VALUE"""),"Abu Dhabi&gt;Al Reem Island&gt;Shams Abu Dhabi&gt;Radiant Marina Towers")</f>
        <v>Abu Dhabi&gt;Al Reem Island&gt;Shams Abu Dhabi&gt;Radiant Marina Towers</v>
      </c>
      <c r="E6570" s="2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</row>
    <row r="6571" spans="1:26" ht="16.5" x14ac:dyDescent="0.35">
      <c r="A6571" s="2" t="str">
        <f ca="1">IFERROR(__xludf.DUMMYFUNCTION("""COMPUTED_VALUE"""),"Abu Dhabi")</f>
        <v>Abu Dhabi</v>
      </c>
      <c r="B6571" s="2" t="str">
        <f ca="1">IFERROR(__xludf.DUMMYFUNCTION("""COMPUTED_VALUE"""),"Radiant Height")</f>
        <v>Radiant Height</v>
      </c>
      <c r="C6571" s="2" t="str">
        <f ca="1">IFERROR(__xludf.DUMMYFUNCTION("""COMPUTED_VALUE"""),"Building")</f>
        <v>Building</v>
      </c>
      <c r="D6571" s="2" t="str">
        <f ca="1">IFERROR(__xludf.DUMMYFUNCTION("""COMPUTED_VALUE"""),"Abu Dhabi&gt;Al Reem Island&gt;City of Lights&gt;Radiant Square&gt;Radiant Height")</f>
        <v>Abu Dhabi&gt;Al Reem Island&gt;City of Lights&gt;Radiant Square&gt;Radiant Height</v>
      </c>
      <c r="E6571" s="2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</row>
    <row r="6572" spans="1:26" ht="16.5" x14ac:dyDescent="0.35">
      <c r="A6572" s="2" t="str">
        <f ca="1">IFERROR(__xludf.DUMMYFUNCTION("""COMPUTED_VALUE"""),"Abu Dhabi")</f>
        <v>Abu Dhabi</v>
      </c>
      <c r="B6572" s="2" t="str">
        <f ca="1">IFERROR(__xludf.DUMMYFUNCTION("""COMPUTED_VALUE"""),"Majlis")</f>
        <v>Majlis</v>
      </c>
      <c r="C6572" s="2" t="str">
        <f ca="1">IFERROR(__xludf.DUMMYFUNCTION("""COMPUTED_VALUE"""),"Building")</f>
        <v>Building</v>
      </c>
      <c r="D6572" s="2" t="str">
        <f ca="1">IFERROR(__xludf.DUMMYFUNCTION("""COMPUTED_VALUE"""),"Abu Dhabi&gt;Al Reem Island&gt;Reem Hills&gt;Majlis")</f>
        <v>Abu Dhabi&gt;Al Reem Island&gt;Reem Hills&gt;Majlis</v>
      </c>
      <c r="E6572" s="2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</row>
    <row r="6573" spans="1:26" ht="16.5" x14ac:dyDescent="0.35">
      <c r="A6573" s="2" t="str">
        <f ca="1">IFERROR(__xludf.DUMMYFUNCTION("""COMPUTED_VALUE"""),"Abu Dhabi")</f>
        <v>Abu Dhabi</v>
      </c>
      <c r="B6573" s="2" t="str">
        <f ca="1">IFERROR(__xludf.DUMMYFUNCTION("""COMPUTED_VALUE"""),"Saif Tower")</f>
        <v>Saif Tower</v>
      </c>
      <c r="C6573" s="2" t="str">
        <f ca="1">IFERROR(__xludf.DUMMYFUNCTION("""COMPUTED_VALUE"""),"Building")</f>
        <v>Building</v>
      </c>
      <c r="D6573" s="2" t="str">
        <f ca="1">IFERROR(__xludf.DUMMYFUNCTION("""COMPUTED_VALUE"""),"Abu Dhabi&gt;Hamdan Street&gt;Saif Tower")</f>
        <v>Abu Dhabi&gt;Hamdan Street&gt;Saif Tower</v>
      </c>
      <c r="E6573" s="2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</row>
    <row r="6574" spans="1:26" ht="16.5" x14ac:dyDescent="0.35">
      <c r="A6574" s="2" t="str">
        <f ca="1">IFERROR(__xludf.DUMMYFUNCTION("""COMPUTED_VALUE"""),"Abu Dhabi")</f>
        <v>Abu Dhabi</v>
      </c>
      <c r="B6574" s="2" t="str">
        <f ca="1">IFERROR(__xludf.DUMMYFUNCTION("""COMPUTED_VALUE"""),"Zayed The First Street")</f>
        <v>Zayed The First Street</v>
      </c>
      <c r="C6574" s="2"/>
      <c r="D6574" s="2" t="str">
        <f ca="1">IFERROR(__xludf.DUMMYFUNCTION("""COMPUTED_VALUE"""),"Abu Dhabi&gt;Al Khalidiyah&gt;Zayed The First Street")</f>
        <v>Abu Dhabi&gt;Al Khalidiyah&gt;Zayed The First Street</v>
      </c>
      <c r="E6574" s="2"/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</row>
    <row r="6575" spans="1:26" ht="16.5" x14ac:dyDescent="0.35">
      <c r="A6575" s="2" t="str">
        <f ca="1">IFERROR(__xludf.DUMMYFUNCTION("""COMPUTED_VALUE"""),"Abu Dhabi")</f>
        <v>Abu Dhabi</v>
      </c>
      <c r="B6575" s="2" t="str">
        <f ca="1">IFERROR(__xludf.DUMMYFUNCTION("""COMPUTED_VALUE"""),"Kamala Tower")</f>
        <v>Kamala Tower</v>
      </c>
      <c r="C6575" s="2" t="str">
        <f ca="1">IFERROR(__xludf.DUMMYFUNCTION("""COMPUTED_VALUE"""),"Building")</f>
        <v>Building</v>
      </c>
      <c r="D6575" s="2" t="str">
        <f ca="1">IFERROR(__xludf.DUMMYFUNCTION("""COMPUTED_VALUE"""),"Abu Dhabi&gt;Al Khalidiyah&gt;Kamala Tower")</f>
        <v>Abu Dhabi&gt;Al Khalidiyah&gt;Kamala Tower</v>
      </c>
      <c r="E6575" s="2"/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</row>
    <row r="6576" spans="1:26" ht="16.5" x14ac:dyDescent="0.35">
      <c r="A6576" s="2" t="str">
        <f ca="1">IFERROR(__xludf.DUMMYFUNCTION("""COMPUTED_VALUE"""),"Abu Dhabi")</f>
        <v>Abu Dhabi</v>
      </c>
      <c r="B6576" s="2" t="str">
        <f ca="1">IFERROR(__xludf.DUMMYFUNCTION("""COMPUTED_VALUE"""),"Orchid")</f>
        <v>Orchid</v>
      </c>
      <c r="C6576" s="2" t="str">
        <f ca="1">IFERROR(__xludf.DUMMYFUNCTION("""COMPUTED_VALUE"""),"Building")</f>
        <v>Building</v>
      </c>
      <c r="D6576" s="2" t="str">
        <f ca="1">IFERROR(__xludf.DUMMYFUNCTION("""COMPUTED_VALUE"""),"Abu Dhabi&gt;Khalifa City&gt;Al Rayyana&gt;Orchid")</f>
        <v>Abu Dhabi&gt;Khalifa City&gt;Al Rayyana&gt;Orchid</v>
      </c>
      <c r="E6576" s="2"/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</row>
    <row r="6577" spans="1:26" ht="16.5" x14ac:dyDescent="0.35">
      <c r="A6577" s="2" t="str">
        <f ca="1">IFERROR(__xludf.DUMMYFUNCTION("""COMPUTED_VALUE"""),"Abu Dhabi")</f>
        <v>Abu Dhabi</v>
      </c>
      <c r="B6577" s="2" t="str">
        <f ca="1">IFERROR(__xludf.DUMMYFUNCTION("""COMPUTED_VALUE"""),"SE5")</f>
        <v>SE5</v>
      </c>
      <c r="C6577" s="2" t="str">
        <f ca="1">IFERROR(__xludf.DUMMYFUNCTION("""COMPUTED_VALUE"""),"Neighbourhood")</f>
        <v>Neighbourhood</v>
      </c>
      <c r="D6577" s="2" t="str">
        <f ca="1">IFERROR(__xludf.DUMMYFUNCTION("""COMPUTED_VALUE"""),"Abu Dhabi&gt;Khalifa City&gt;SE5")</f>
        <v>Abu Dhabi&gt;Khalifa City&gt;SE5</v>
      </c>
      <c r="E6577" s="2"/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</row>
    <row r="6578" spans="1:26" ht="16.5" x14ac:dyDescent="0.35">
      <c r="A6578" s="2" t="str">
        <f ca="1">IFERROR(__xludf.DUMMYFUNCTION("""COMPUTED_VALUE"""),"Abu Dhabi")</f>
        <v>Abu Dhabi</v>
      </c>
      <c r="B6578" s="2" t="str">
        <f ca="1">IFERROR(__xludf.DUMMYFUNCTION("""COMPUTED_VALUE"""),"Aliya Tower")</f>
        <v>Aliya Tower</v>
      </c>
      <c r="C6578" s="2" t="str">
        <f ca="1">IFERROR(__xludf.DUMMYFUNCTION("""COMPUTED_VALUE"""),"Building")</f>
        <v>Building</v>
      </c>
      <c r="D6578" s="2" t="str">
        <f ca="1">IFERROR(__xludf.DUMMYFUNCTION("""COMPUTED_VALUE"""),"Abu Dhabi&gt;Al Markaziya&gt;Aliya Tower")</f>
        <v>Abu Dhabi&gt;Al Markaziya&gt;Aliya Tower</v>
      </c>
      <c r="E6578" s="2"/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</row>
    <row r="6579" spans="1:26" ht="16.5" x14ac:dyDescent="0.35">
      <c r="A6579" s="2" t="str">
        <f ca="1">IFERROR(__xludf.DUMMYFUNCTION("""COMPUTED_VALUE"""),"Abu Dhabi")</f>
        <v>Abu Dhabi</v>
      </c>
      <c r="B6579" s="2" t="str">
        <f ca="1">IFERROR(__xludf.DUMMYFUNCTION("""COMPUTED_VALUE"""),"Cranleigh Abu Dhabi")</f>
        <v>Cranleigh Abu Dhabi</v>
      </c>
      <c r="C6579" s="2" t="str">
        <f ca="1">IFERROR(__xludf.DUMMYFUNCTION("""COMPUTED_VALUE"""),"School")</f>
        <v>School</v>
      </c>
      <c r="D6579" s="2" t="str">
        <f ca="1">IFERROR(__xludf.DUMMYFUNCTION("""COMPUTED_VALUE"""),"Abu Dhabi&gt;Saadiyat Island&gt;Cranleigh Abu Dhabi")</f>
        <v>Abu Dhabi&gt;Saadiyat Island&gt;Cranleigh Abu Dhabi</v>
      </c>
      <c r="E6579" s="2"/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</row>
    <row r="6580" spans="1:26" ht="16.5" x14ac:dyDescent="0.35">
      <c r="A6580" s="2" t="str">
        <f ca="1">IFERROR(__xludf.DUMMYFUNCTION("""COMPUTED_VALUE"""),"Abu Dhabi")</f>
        <v>Abu Dhabi</v>
      </c>
      <c r="B6580" s="2" t="str">
        <f ca="1">IFERROR(__xludf.DUMMYFUNCTION("""COMPUTED_VALUE"""),"Mamsha Gardens Building 5")</f>
        <v>Mamsha Gardens Building 5</v>
      </c>
      <c r="C6580" s="2" t="str">
        <f ca="1">IFERROR(__xludf.DUMMYFUNCTION("""COMPUTED_VALUE"""),"Building")</f>
        <v>Building</v>
      </c>
      <c r="D6580" s="2" t="str">
        <f ca="1">IFERROR(__xludf.DUMMYFUNCTION("""COMPUTED_VALUE"""),"Abu Dhabi&gt;Saadiyat Island&gt;Saadiyat Cultural District&gt;Mamsha Gardens&gt;Mamsha Gardens Building 5")</f>
        <v>Abu Dhabi&gt;Saadiyat Island&gt;Saadiyat Cultural District&gt;Mamsha Gardens&gt;Mamsha Gardens Building 5</v>
      </c>
      <c r="E6580" s="2"/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</row>
    <row r="6581" spans="1:26" ht="16.5" x14ac:dyDescent="0.35">
      <c r="A6581" s="2" t="str">
        <f ca="1">IFERROR(__xludf.DUMMYFUNCTION("""COMPUTED_VALUE"""),"Abu Dhabi")</f>
        <v>Abu Dhabi</v>
      </c>
      <c r="B6581" s="2" t="str">
        <f ca="1">IFERROR(__xludf.DUMMYFUNCTION("""COMPUTED_VALUE"""),"The Pearl Residences")</f>
        <v>The Pearl Residences</v>
      </c>
      <c r="C6581" s="2" t="str">
        <f ca="1">IFERROR(__xludf.DUMMYFUNCTION("""COMPUTED_VALUE"""),"Cluster")</f>
        <v>Cluster</v>
      </c>
      <c r="D6581" s="2" t="str">
        <f ca="1">IFERROR(__xludf.DUMMYFUNCTION("""COMPUTED_VALUE"""),"Abu Dhabi&gt;Saadiyat Island&gt;Saadiyat Beach&gt;The Pearl Residences")</f>
        <v>Abu Dhabi&gt;Saadiyat Island&gt;Saadiyat Beach&gt;The Pearl Residences</v>
      </c>
      <c r="E6581" s="2"/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</row>
    <row r="6582" spans="1:26" ht="16.5" x14ac:dyDescent="0.35">
      <c r="A6582" s="2" t="str">
        <f ca="1">IFERROR(__xludf.DUMMYFUNCTION("""COMPUTED_VALUE"""),"Abu Dhabi")</f>
        <v>Abu Dhabi</v>
      </c>
      <c r="B6582" s="2" t="str">
        <f ca="1">IFERROR(__xludf.DUMMYFUNCTION("""COMPUTED_VALUE"""),"Henge Residences by NORD")</f>
        <v>Henge Residences by NORD</v>
      </c>
      <c r="C6582" s="2" t="str">
        <f ca="1">IFERROR(__xludf.DUMMYFUNCTION("""COMPUTED_VALUE"""),"Building")</f>
        <v>Building</v>
      </c>
      <c r="D6582" s="2" t="str">
        <f ca="1">IFERROR(__xludf.DUMMYFUNCTION("""COMPUTED_VALUE"""),"Abu Dhabi&gt;Saadiyat Island&gt;Henge Residences by NORD")</f>
        <v>Abu Dhabi&gt;Saadiyat Island&gt;Henge Residences by NORD</v>
      </c>
      <c r="E6582" s="2"/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</row>
    <row r="6583" spans="1:26" ht="16.5" x14ac:dyDescent="0.35">
      <c r="A6583" s="2" t="str">
        <f ca="1">IFERROR(__xludf.DUMMYFUNCTION("""COMPUTED_VALUE"""),"Abu Dhabi")</f>
        <v>Abu Dhabi</v>
      </c>
      <c r="B6583" s="2" t="str">
        <f ca="1">IFERROR(__xludf.DUMMYFUNCTION("""COMPUTED_VALUE"""),"Mira Residence 2")</f>
        <v>Mira Residence 2</v>
      </c>
      <c r="C6583" s="2" t="str">
        <f ca="1">IFERROR(__xludf.DUMMYFUNCTION("""COMPUTED_VALUE"""),"Building")</f>
        <v>Building</v>
      </c>
      <c r="D6583" s="2" t="str">
        <f ca="1">IFERROR(__xludf.DUMMYFUNCTION("""COMPUTED_VALUE"""),"Abu Dhabi&gt;Al Raha Beach&gt;Mira Residence&gt;Mira Residence 2")</f>
        <v>Abu Dhabi&gt;Al Raha Beach&gt;Mira Residence&gt;Mira Residence 2</v>
      </c>
      <c r="E6583" s="2"/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</row>
    <row r="6584" spans="1:26" ht="16.5" x14ac:dyDescent="0.35">
      <c r="A6584" s="2" t="str">
        <f ca="1">IFERROR(__xludf.DUMMYFUNCTION("""COMPUTED_VALUE"""),"Abu Dhabi")</f>
        <v>Abu Dhabi</v>
      </c>
      <c r="B6584" s="2" t="str">
        <f ca="1">IFERROR(__xludf.DUMMYFUNCTION("""COMPUTED_VALUE"""),"Al Muneera Townhouses Island")</f>
        <v>Al Muneera Townhouses Island</v>
      </c>
      <c r="C6584" s="2" t="str">
        <f ca="1">IFERROR(__xludf.DUMMYFUNCTION("""COMPUTED_VALUE"""),"Neighbourhood")</f>
        <v>Neighbourhood</v>
      </c>
      <c r="D6584" s="2" t="str">
        <f ca="1">IFERROR(__xludf.DUMMYFUNCTION("""COMPUTED_VALUE"""),"Abu Dhabi&gt;Al Raha Beach&gt;Al Muneera&gt;Al Muneera Townhouses Island")</f>
        <v>Abu Dhabi&gt;Al Raha Beach&gt;Al Muneera&gt;Al Muneera Townhouses Island</v>
      </c>
      <c r="E6584" s="2"/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</row>
    <row r="6585" spans="1:26" ht="16.5" x14ac:dyDescent="0.35">
      <c r="A6585" s="2" t="str">
        <f ca="1">IFERROR(__xludf.DUMMYFUNCTION("""COMPUTED_VALUE"""),"Abu Dhabi")</f>
        <v>Abu Dhabi</v>
      </c>
      <c r="B6585" s="2" t="str">
        <f ca="1">IFERROR(__xludf.DUMMYFUNCTION("""COMPUTED_VALUE"""),"Al Raha Mall")</f>
        <v>Al Raha Mall</v>
      </c>
      <c r="C6585" s="2" t="str">
        <f ca="1">IFERROR(__xludf.DUMMYFUNCTION("""COMPUTED_VALUE"""),"Building")</f>
        <v>Building</v>
      </c>
      <c r="D6585" s="2" t="str">
        <f ca="1">IFERROR(__xludf.DUMMYFUNCTION("""COMPUTED_VALUE"""),"Abu Dhabi&gt;Al Raha Beach&gt;Al Raha Mall")</f>
        <v>Abu Dhabi&gt;Al Raha Beach&gt;Al Raha Mall</v>
      </c>
      <c r="E6585" s="2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</row>
    <row r="6586" spans="1:26" ht="16.5" x14ac:dyDescent="0.35">
      <c r="A6586" s="2" t="str">
        <f ca="1">IFERROR(__xludf.DUMMYFUNCTION("""COMPUTED_VALUE"""),"Abu Dhabi")</f>
        <v>Abu Dhabi</v>
      </c>
      <c r="B6586" s="2" t="str">
        <f ca="1">IFERROR(__xludf.DUMMYFUNCTION("""COMPUTED_VALUE"""),"Burj Al Yaqut")</f>
        <v>Burj Al Yaqut</v>
      </c>
      <c r="C6586" s="2" t="str">
        <f ca="1">IFERROR(__xludf.DUMMYFUNCTION("""COMPUTED_VALUE"""),"Building")</f>
        <v>Building</v>
      </c>
      <c r="D6586" s="2" t="str">
        <f ca="1">IFERROR(__xludf.DUMMYFUNCTION("""COMPUTED_VALUE"""),"Abu Dhabi&gt;Danet Abu Dhabi&gt;Burj Al Yaqut")</f>
        <v>Abu Dhabi&gt;Danet Abu Dhabi&gt;Burj Al Yaqut</v>
      </c>
      <c r="E6586" s="2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</row>
    <row r="6587" spans="1:26" ht="16.5" x14ac:dyDescent="0.35">
      <c r="A6587" s="2" t="str">
        <f ca="1">IFERROR(__xludf.DUMMYFUNCTION("""COMPUTED_VALUE"""),"Abu Dhabi")</f>
        <v>Abu Dhabi</v>
      </c>
      <c r="B6587" s="2" t="str">
        <f ca="1">IFERROR(__xludf.DUMMYFUNCTION("""COMPUTED_VALUE"""),"Al Dhafra Private School, Abu Dhabi")</f>
        <v>Al Dhafra Private School, Abu Dhabi</v>
      </c>
      <c r="C6587" s="2" t="str">
        <f ca="1">IFERROR(__xludf.DUMMYFUNCTION("""COMPUTED_VALUE"""),"School")</f>
        <v>School</v>
      </c>
      <c r="D6587" s="2" t="str">
        <f ca="1">IFERROR(__xludf.DUMMYFUNCTION("""COMPUTED_VALUE"""),"Abu Dhabi&gt;Mohamed Bin Zayed City&gt;Al Dhafra Private School, Abu Dhabi")</f>
        <v>Abu Dhabi&gt;Mohamed Bin Zayed City&gt;Al Dhafra Private School, Abu Dhabi</v>
      </c>
      <c r="E6587" s="2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</row>
    <row r="6588" spans="1:26" ht="16.5" x14ac:dyDescent="0.35">
      <c r="A6588" s="2" t="str">
        <f ca="1">IFERROR(__xludf.DUMMYFUNCTION("""COMPUTED_VALUE"""),"Abu Dhabi")</f>
        <v>Abu Dhabi</v>
      </c>
      <c r="B6588" s="2" t="str">
        <f ca="1">IFERROR(__xludf.DUMMYFUNCTION("""COMPUTED_VALUE"""),"My Baby Nursery")</f>
        <v>My Baby Nursery</v>
      </c>
      <c r="C6588" s="2" t="str">
        <f ca="1">IFERROR(__xludf.DUMMYFUNCTION("""COMPUTED_VALUE"""),"Nursery")</f>
        <v>Nursery</v>
      </c>
      <c r="D6588" s="2" t="str">
        <f ca="1">IFERROR(__xludf.DUMMYFUNCTION("""COMPUTED_VALUE"""),"Abu Dhabi&gt;Mohamed Bin Zayed City&gt;Zone 19&gt;My Baby Nursery")</f>
        <v>Abu Dhabi&gt;Mohamed Bin Zayed City&gt;Zone 19&gt;My Baby Nursery</v>
      </c>
      <c r="E6588" s="2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</row>
    <row r="6589" spans="1:26" ht="16.5" x14ac:dyDescent="0.35">
      <c r="A6589" s="2" t="str">
        <f ca="1">IFERROR(__xludf.DUMMYFUNCTION("""COMPUTED_VALUE"""),"Abu Dhabi")</f>
        <v>Abu Dhabi</v>
      </c>
      <c r="B6589" s="2" t="str">
        <f ca="1">IFERROR(__xludf.DUMMYFUNCTION("""COMPUTED_VALUE"""),"Zone 5")</f>
        <v>Zone 5</v>
      </c>
      <c r="C6589" s="2" t="str">
        <f ca="1">IFERROR(__xludf.DUMMYFUNCTION("""COMPUTED_VALUE"""),"Neighbourhood")</f>
        <v>Neighbourhood</v>
      </c>
      <c r="D6589" s="2" t="str">
        <f ca="1">IFERROR(__xludf.DUMMYFUNCTION("""COMPUTED_VALUE"""),"Abu Dhabi&gt;Mohamed Bin Zayed City&gt;Zone 5")</f>
        <v>Abu Dhabi&gt;Mohamed Bin Zayed City&gt;Zone 5</v>
      </c>
      <c r="E6589" s="2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</row>
    <row r="6590" spans="1:26" ht="16.5" x14ac:dyDescent="0.35">
      <c r="A6590" s="2" t="str">
        <f ca="1">IFERROR(__xludf.DUMMYFUNCTION("""COMPUTED_VALUE"""),"Abu Dhabi")</f>
        <v>Abu Dhabi</v>
      </c>
      <c r="B6590" s="2" t="str">
        <f ca="1">IFERROR(__xludf.DUMMYFUNCTION("""COMPUTED_VALUE"""),"Building 7")</f>
        <v>Building 7</v>
      </c>
      <c r="C6590" s="2" t="str">
        <f ca="1">IFERROR(__xludf.DUMMYFUNCTION("""COMPUTED_VALUE"""),"Building")</f>
        <v>Building</v>
      </c>
      <c r="D6590" s="2" t="str">
        <f ca="1">IFERROR(__xludf.DUMMYFUNCTION("""COMPUTED_VALUE"""),"Abu Dhabi&gt;Al Reef&gt;Al Reef Downtown&gt;Building 7")</f>
        <v>Abu Dhabi&gt;Al Reef&gt;Al Reef Downtown&gt;Building 7</v>
      </c>
      <c r="E6590" s="2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</row>
    <row r="6591" spans="1:26" ht="16.5" x14ac:dyDescent="0.35">
      <c r="A6591" s="2" t="str">
        <f ca="1">IFERROR(__xludf.DUMMYFUNCTION("""COMPUTED_VALUE"""),"Abu Dhabi")</f>
        <v>Abu Dhabi</v>
      </c>
      <c r="B6591" s="2" t="str">
        <f ca="1">IFERROR(__xludf.DUMMYFUNCTION("""COMPUTED_VALUE"""),"Mediterranean Style")</f>
        <v>Mediterranean Style</v>
      </c>
      <c r="C6591" s="2" t="str">
        <f ca="1">IFERROR(__xludf.DUMMYFUNCTION("""COMPUTED_VALUE"""),"Neighbourhood")</f>
        <v>Neighbourhood</v>
      </c>
      <c r="D6591" s="2" t="str">
        <f ca="1">IFERROR(__xludf.DUMMYFUNCTION("""COMPUTED_VALUE"""),"Abu Dhabi&gt;Al Reef&gt;Al Reef Villas&gt;Mediterranean Style")</f>
        <v>Abu Dhabi&gt;Al Reef&gt;Al Reef Villas&gt;Mediterranean Style</v>
      </c>
      <c r="E6591" s="2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</row>
    <row r="6592" spans="1:26" ht="16.5" x14ac:dyDescent="0.35">
      <c r="A6592" s="2" t="str">
        <f ca="1">IFERROR(__xludf.DUMMYFUNCTION("""COMPUTED_VALUE"""),"Abu Dhabi")</f>
        <v>Abu Dhabi</v>
      </c>
      <c r="B6592" s="2" t="str">
        <f ca="1">IFERROR(__xludf.DUMMYFUNCTION("""COMPUTED_VALUE"""),"Bin Hamoodah Tower")</f>
        <v>Bin Hamoodah Tower</v>
      </c>
      <c r="C6592" s="2" t="str">
        <f ca="1">IFERROR(__xludf.DUMMYFUNCTION("""COMPUTED_VALUE"""),"Building")</f>
        <v>Building</v>
      </c>
      <c r="D6592" s="2" t="str">
        <f ca="1">IFERROR(__xludf.DUMMYFUNCTION("""COMPUTED_VALUE"""),"Abu Dhabi&gt;Sheikh Khalifa Bin Zayed Street&gt;Bin Hamoodah Tower")</f>
        <v>Abu Dhabi&gt;Sheikh Khalifa Bin Zayed Street&gt;Bin Hamoodah Tower</v>
      </c>
      <c r="E6592" s="2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</row>
    <row r="6593" spans="1:26" ht="16.5" x14ac:dyDescent="0.35">
      <c r="A6593" s="2" t="str">
        <f ca="1">IFERROR(__xludf.DUMMYFUNCTION("""COMPUTED_VALUE"""),"Abu Dhabi")</f>
        <v>Abu Dhabi</v>
      </c>
      <c r="B6593" s="2" t="str">
        <f ca="1">IFERROR(__xludf.DUMMYFUNCTION("""COMPUTED_VALUE"""),"Lulu Island")</f>
        <v>Lulu Island</v>
      </c>
      <c r="C6593" s="2" t="str">
        <f ca="1">IFERROR(__xludf.DUMMYFUNCTION("""COMPUTED_VALUE"""),"Neighbourhood")</f>
        <v>Neighbourhood</v>
      </c>
      <c r="D6593" s="2" t="str">
        <f ca="1">IFERROR(__xludf.DUMMYFUNCTION("""COMPUTED_VALUE"""),"Abu Dhabi&gt;Lulu Island")</f>
        <v>Abu Dhabi&gt;Lulu Island</v>
      </c>
      <c r="E6593" s="2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</row>
    <row r="6594" spans="1:26" ht="16.5" x14ac:dyDescent="0.35">
      <c r="A6594" s="2" t="str">
        <f ca="1">IFERROR(__xludf.DUMMYFUNCTION("""COMPUTED_VALUE"""),"Abu Dhabi")</f>
        <v>Abu Dhabi</v>
      </c>
      <c r="B6594" s="2" t="str">
        <f ca="1">IFERROR(__xludf.DUMMYFUNCTION("""COMPUTED_VALUE"""),"Yas Beach Residences")</f>
        <v>Yas Beach Residences</v>
      </c>
      <c r="C6594" s="2" t="str">
        <f ca="1">IFERROR(__xludf.DUMMYFUNCTION("""COMPUTED_VALUE"""),"Building")</f>
        <v>Building</v>
      </c>
      <c r="D6594" s="2" t="str">
        <f ca="1">IFERROR(__xludf.DUMMYFUNCTION("""COMPUTED_VALUE"""),"Abu Dhabi&gt;Yas Island&gt;Yas Beach Residences")</f>
        <v>Abu Dhabi&gt;Yas Island&gt;Yas Beach Residences</v>
      </c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</row>
    <row r="6595" spans="1:26" ht="16.5" x14ac:dyDescent="0.35">
      <c r="A6595" s="2" t="str">
        <f ca="1">IFERROR(__xludf.DUMMYFUNCTION("""COMPUTED_VALUE"""),"Abu Dhabi")</f>
        <v>Abu Dhabi</v>
      </c>
      <c r="B6595" s="2" t="str">
        <f ca="1">IFERROR(__xludf.DUMMYFUNCTION("""COMPUTED_VALUE"""),"Views G")</f>
        <v>Views G</v>
      </c>
      <c r="C6595" s="2" t="str">
        <f ca="1">IFERROR(__xludf.DUMMYFUNCTION("""COMPUTED_VALUE"""),"Building")</f>
        <v>Building</v>
      </c>
      <c r="D6595" s="2" t="str">
        <f ca="1">IFERROR(__xludf.DUMMYFUNCTION("""COMPUTED_VALUE"""),"Abu Dhabi&gt;Yas Island&gt;Yas Golf Collection&gt;Views G")</f>
        <v>Abu Dhabi&gt;Yas Island&gt;Yas Golf Collection&gt;Views G</v>
      </c>
      <c r="E6595" s="2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</row>
    <row r="6596" spans="1:26" ht="16.5" x14ac:dyDescent="0.35">
      <c r="A6596" s="2" t="str">
        <f ca="1">IFERROR(__xludf.DUMMYFUNCTION("""COMPUTED_VALUE"""),"Abu Dhabi")</f>
        <v>Abu Dhabi</v>
      </c>
      <c r="B6596" s="2" t="str">
        <f ca="1">IFERROR(__xludf.DUMMYFUNCTION("""COMPUTED_VALUE"""),"Nawayef East")</f>
        <v>Nawayef East</v>
      </c>
      <c r="C6596" s="2" t="str">
        <f ca="1">IFERROR(__xludf.DUMMYFUNCTION("""COMPUTED_VALUE"""),"Neighbourhood")</f>
        <v>Neighbourhood</v>
      </c>
      <c r="D6596" s="2" t="str">
        <f ca="1">IFERROR(__xludf.DUMMYFUNCTION("""COMPUTED_VALUE"""),"Abu Dhabi&gt;Al Hudayriat Island&gt;Nawayef East")</f>
        <v>Abu Dhabi&gt;Al Hudayriat Island&gt;Nawayef East</v>
      </c>
      <c r="E6596" s="2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</row>
    <row r="6597" spans="1:26" ht="16.5" x14ac:dyDescent="0.35">
      <c r="A6597" s="2" t="str">
        <f ca="1">IFERROR(__xludf.DUMMYFUNCTION("""COMPUTED_VALUE"""),"Abu Dhabi")</f>
        <v>Abu Dhabi</v>
      </c>
      <c r="B6597" s="2" t="str">
        <f ca="1">IFERROR(__xludf.DUMMYFUNCTION("""COMPUTED_VALUE"""),"Reeman Garden 1")</f>
        <v>Reeman Garden 1</v>
      </c>
      <c r="C6597" s="2" t="str">
        <f ca="1">IFERROR(__xludf.DUMMYFUNCTION("""COMPUTED_VALUE"""),"Building")</f>
        <v>Building</v>
      </c>
      <c r="D6597" s="2" t="str">
        <f ca="1">IFERROR(__xludf.DUMMYFUNCTION("""COMPUTED_VALUE"""),"Abu Dhabi&gt;Al Shamkha&gt;Reeman Garden 1")</f>
        <v>Abu Dhabi&gt;Al Shamkha&gt;Reeman Garden 1</v>
      </c>
      <c r="E6597" s="2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</row>
    <row r="6598" spans="1:26" ht="16.5" x14ac:dyDescent="0.35">
      <c r="A6598" s="2" t="str">
        <f ca="1">IFERROR(__xludf.DUMMYFUNCTION("""COMPUTED_VALUE"""),"Ajman")</f>
        <v>Ajman</v>
      </c>
      <c r="B6598" s="2" t="str">
        <f ca="1">IFERROR(__xludf.DUMMYFUNCTION("""COMPUTED_VALUE"""),"Al Shola American School, Ajman")</f>
        <v>Al Shola American School, Ajman</v>
      </c>
      <c r="C6598" s="2" t="str">
        <f ca="1">IFERROR(__xludf.DUMMYFUNCTION("""COMPUTED_VALUE"""),"School")</f>
        <v>School</v>
      </c>
      <c r="D6598" s="2" t="str">
        <f ca="1">IFERROR(__xludf.DUMMYFUNCTION("""COMPUTED_VALUE"""),"Ajman&gt;Al Tallah 2&gt;Al Shola American School, Ajman")</f>
        <v>Ajman&gt;Al Tallah 2&gt;Al Shola American School, Ajman</v>
      </c>
      <c r="E6598" s="2"/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</row>
    <row r="6599" spans="1:26" ht="16.5" x14ac:dyDescent="0.35">
      <c r="A6599" s="2" t="str">
        <f ca="1">IFERROR(__xludf.DUMMYFUNCTION("""COMPUTED_VALUE"""),"Ajman")</f>
        <v>Ajman</v>
      </c>
      <c r="B6599" s="2" t="str">
        <f ca="1">IFERROR(__xludf.DUMMYFUNCTION("""COMPUTED_VALUE"""),"Rose Tower")</f>
        <v>Rose Tower</v>
      </c>
      <c r="C6599" s="2" t="str">
        <f ca="1">IFERROR(__xludf.DUMMYFUNCTION("""COMPUTED_VALUE"""),"Building")</f>
        <v>Building</v>
      </c>
      <c r="D6599" s="2" t="str">
        <f ca="1">IFERROR(__xludf.DUMMYFUNCTION("""COMPUTED_VALUE"""),"Ajman&gt;Emirates City&gt;Rose Tower")</f>
        <v>Ajman&gt;Emirates City&gt;Rose Tower</v>
      </c>
      <c r="E6599" s="2"/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</row>
    <row r="6600" spans="1:26" ht="16.5" x14ac:dyDescent="0.35">
      <c r="A6600" s="2" t="str">
        <f ca="1">IFERROR(__xludf.DUMMYFUNCTION("""COMPUTED_VALUE"""),"Ajman")</f>
        <v>Ajman</v>
      </c>
      <c r="B6600" s="2" t="str">
        <f ca="1">IFERROR(__xludf.DUMMYFUNCTION("""COMPUTED_VALUE"""),"Crimson Court Tower")</f>
        <v>Crimson Court Tower</v>
      </c>
      <c r="C6600" s="2" t="str">
        <f ca="1">IFERROR(__xludf.DUMMYFUNCTION("""COMPUTED_VALUE"""),"Building")</f>
        <v>Building</v>
      </c>
      <c r="D6600" s="2" t="str">
        <f ca="1">IFERROR(__xludf.DUMMYFUNCTION("""COMPUTED_VALUE"""),"Ajman&gt;Emirates City&gt;Crimson Court Tower")</f>
        <v>Ajman&gt;Emirates City&gt;Crimson Court Tower</v>
      </c>
      <c r="E6600" s="2"/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</row>
    <row r="6601" spans="1:26" ht="16.5" x14ac:dyDescent="0.35">
      <c r="A6601" s="2" t="str">
        <f ca="1">IFERROR(__xludf.DUMMYFUNCTION("""COMPUTED_VALUE"""),"Ajman")</f>
        <v>Ajman</v>
      </c>
      <c r="B6601" s="2" t="str">
        <f ca="1">IFERROR(__xludf.DUMMYFUNCTION("""COMPUTED_VALUE"""),"Pure Gold Gardens")</f>
        <v>Pure Gold Gardens</v>
      </c>
      <c r="C6601" s="2" t="str">
        <f ca="1">IFERROR(__xludf.DUMMYFUNCTION("""COMPUTED_VALUE"""),"Building")</f>
        <v>Building</v>
      </c>
      <c r="D6601" s="2" t="str">
        <f ca="1">IFERROR(__xludf.DUMMYFUNCTION("""COMPUTED_VALUE"""),"Ajman&gt;Al Jurf&gt;Al Jurf Industrial Area&gt;Al Jurf Industrial 3&gt;Pure Gold Gardens")</f>
        <v>Ajman&gt;Al Jurf&gt;Al Jurf Industrial Area&gt;Al Jurf Industrial 3&gt;Pure Gold Gardens</v>
      </c>
      <c r="E6601" s="2"/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</row>
    <row r="6602" spans="1:26" ht="16.5" x14ac:dyDescent="0.35">
      <c r="A6602" s="2" t="str">
        <f ca="1">IFERROR(__xludf.DUMMYFUNCTION("""COMPUTED_VALUE"""),"Ajman")</f>
        <v>Ajman</v>
      </c>
      <c r="B6602" s="2" t="str">
        <f ca="1">IFERROR(__xludf.DUMMYFUNCTION("""COMPUTED_VALUE"""),"Ludisia")</f>
        <v>Ludisia</v>
      </c>
      <c r="C6602" s="2"/>
      <c r="D6602" s="2" t="str">
        <f ca="1">IFERROR(__xludf.DUMMYFUNCTION("""COMPUTED_VALUE"""),"Ajman&gt;Ajman Uptown&gt;Ludisia")</f>
        <v>Ajman&gt;Ajman Uptown&gt;Ludisia</v>
      </c>
      <c r="E6602" s="2"/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</row>
    <row r="6603" spans="1:26" ht="16.5" x14ac:dyDescent="0.35">
      <c r="A6603" s="2" t="str">
        <f ca="1">IFERROR(__xludf.DUMMYFUNCTION("""COMPUTED_VALUE"""),"Ajman")</f>
        <v>Ajman</v>
      </c>
      <c r="B6603" s="2" t="str">
        <f ca="1">IFERROR(__xludf.DUMMYFUNCTION("""COMPUTED_VALUE"""),"Falcon A1")</f>
        <v>Falcon A1</v>
      </c>
      <c r="C6603" s="2" t="str">
        <f ca="1">IFERROR(__xludf.DUMMYFUNCTION("""COMPUTED_VALUE"""),"Building")</f>
        <v>Building</v>
      </c>
      <c r="D6603" s="2" t="str">
        <f ca="1">IFERROR(__xludf.DUMMYFUNCTION("""COMPUTED_VALUE"""),"Ajman&gt;Al Rashidiya&gt;Al Rashidiya 2&gt;Falcon Towers&gt;Falcon A1")</f>
        <v>Ajman&gt;Al Rashidiya&gt;Al Rashidiya 2&gt;Falcon Towers&gt;Falcon A1</v>
      </c>
      <c r="E6603" s="2"/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</row>
    <row r="6604" spans="1:26" ht="16.5" x14ac:dyDescent="0.35">
      <c r="A6604" s="2" t="str">
        <f ca="1">IFERROR(__xludf.DUMMYFUNCTION("""COMPUTED_VALUE"""),"Ajman")</f>
        <v>Ajman</v>
      </c>
      <c r="B6604" s="2" t="str">
        <f ca="1">IFERROR(__xludf.DUMMYFUNCTION("""COMPUTED_VALUE"""),"Al Rawda 3")</f>
        <v>Al Rawda 3</v>
      </c>
      <c r="C6604" s="2" t="str">
        <f ca="1">IFERROR(__xludf.DUMMYFUNCTION("""COMPUTED_VALUE"""),"Neighbourhood")</f>
        <v>Neighbourhood</v>
      </c>
      <c r="D6604" s="2" t="str">
        <f ca="1">IFERROR(__xludf.DUMMYFUNCTION("""COMPUTED_VALUE"""),"Ajman&gt;Al Rawda&gt;Al Rawda 3")</f>
        <v>Ajman&gt;Al Rawda&gt;Al Rawda 3</v>
      </c>
      <c r="E6604" s="2"/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</row>
    <row r="6605" spans="1:26" ht="16.5" x14ac:dyDescent="0.35">
      <c r="A6605" s="2" t="str">
        <f ca="1">IFERROR(__xludf.DUMMYFUNCTION("""COMPUTED_VALUE"""),"Ajman")</f>
        <v>Ajman</v>
      </c>
      <c r="B6605" s="2" t="str">
        <f ca="1">IFERROR(__xludf.DUMMYFUNCTION("""COMPUTED_VALUE"""),"Sheikh Khalifa Bin Zayed Street")</f>
        <v>Sheikh Khalifa Bin Zayed Street</v>
      </c>
      <c r="C6605" s="2" t="str">
        <f ca="1">IFERROR(__xludf.DUMMYFUNCTION("""COMPUTED_VALUE"""),"Neighbourhood")</f>
        <v>Neighbourhood</v>
      </c>
      <c r="D6605" s="2" t="str">
        <f ca="1">IFERROR(__xludf.DUMMYFUNCTION("""COMPUTED_VALUE"""),"Ajman&gt;Sheikh Khalifa Bin Zayed Street")</f>
        <v>Ajman&gt;Sheikh Khalifa Bin Zayed Street</v>
      </c>
      <c r="E6605" s="2"/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</row>
    <row r="6606" spans="1:26" ht="16.5" x14ac:dyDescent="0.35">
      <c r="A6606" s="2" t="str">
        <f ca="1">IFERROR(__xludf.DUMMYFUNCTION("""COMPUTED_VALUE"""),"Ajman")</f>
        <v>Ajman</v>
      </c>
      <c r="B6606" s="2" t="str">
        <f ca="1">IFERROR(__xludf.DUMMYFUNCTION("""COMPUTED_VALUE"""),"The Crest")</f>
        <v>The Crest</v>
      </c>
      <c r="C6606" s="2" t="str">
        <f ca="1">IFERROR(__xludf.DUMMYFUNCTION("""COMPUTED_VALUE"""),"Cluster")</f>
        <v>Cluster</v>
      </c>
      <c r="D6606" s="2" t="str">
        <f ca="1">IFERROR(__xludf.DUMMYFUNCTION("""COMPUTED_VALUE"""),"Ajman&gt;Marmooka City&gt;The Crest")</f>
        <v>Ajman&gt;Marmooka City&gt;The Crest</v>
      </c>
      <c r="E6606" s="2"/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</row>
    <row r="6607" spans="1:26" ht="16.5" x14ac:dyDescent="0.35">
      <c r="A6607" s="2" t="str">
        <f ca="1">IFERROR(__xludf.DUMMYFUNCTION("""COMPUTED_VALUE"""),"Ajman")</f>
        <v>Ajman</v>
      </c>
      <c r="B6607" s="2" t="str">
        <f ca="1">IFERROR(__xludf.DUMMYFUNCTION("""COMPUTED_VALUE"""),"District 9")</f>
        <v>District 9</v>
      </c>
      <c r="C6607" s="2" t="str">
        <f ca="1">IFERROR(__xludf.DUMMYFUNCTION("""COMPUTED_VALUE"""),"Neighbourhood")</f>
        <v>Neighbourhood</v>
      </c>
      <c r="D6607" s="2" t="str">
        <f ca="1">IFERROR(__xludf.DUMMYFUNCTION("""COMPUTED_VALUE"""),"Ajman&gt;Al Zorah&gt;District 9")</f>
        <v>Ajman&gt;Al Zorah&gt;District 9</v>
      </c>
      <c r="E6607" s="2"/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</row>
    <row r="6608" spans="1:26" ht="16.5" x14ac:dyDescent="0.35">
      <c r="A6608" s="2" t="str">
        <f ca="1">IFERROR(__xludf.DUMMYFUNCTION("""COMPUTED_VALUE"""),"Ajman")</f>
        <v>Ajman</v>
      </c>
      <c r="B6608" s="2" t="str">
        <f ca="1">IFERROR(__xludf.DUMMYFUNCTION("""COMPUTED_VALUE"""),"Sedra Towers")</f>
        <v>Sedra Towers</v>
      </c>
      <c r="C6608" s="2"/>
      <c r="D6608" s="2" t="str">
        <f ca="1">IFERROR(__xludf.DUMMYFUNCTION("""COMPUTED_VALUE"""),"Ajman&gt;Al Humaid City&gt;Sedra Towers")</f>
        <v>Ajman&gt;Al Humaid City&gt;Sedra Towers</v>
      </c>
      <c r="E6608" s="2"/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</row>
    <row r="6609" spans="1:26" ht="16.5" x14ac:dyDescent="0.35">
      <c r="A6609" s="2" t="str">
        <f ca="1">IFERROR(__xludf.DUMMYFUNCTION("""COMPUTED_VALUE"""),"Ajman")</f>
        <v>Ajman</v>
      </c>
      <c r="B6609" s="2" t="str">
        <f ca="1">IFERROR(__xludf.DUMMYFUNCTION("""COMPUTED_VALUE"""),"Mandarin Towers")</f>
        <v>Mandarin Towers</v>
      </c>
      <c r="C6609" s="2" t="str">
        <f ca="1">IFERROR(__xludf.DUMMYFUNCTION("""COMPUTED_VALUE"""),"Building")</f>
        <v>Building</v>
      </c>
      <c r="D6609" s="2" t="str">
        <f ca="1">IFERROR(__xludf.DUMMYFUNCTION("""COMPUTED_VALUE"""),"Ajman&gt;Garden City&gt;Mandarin Towers")</f>
        <v>Ajman&gt;Garden City&gt;Mandarin Towers</v>
      </c>
      <c r="E6609" s="2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</row>
    <row r="6610" spans="1:26" ht="16.5" x14ac:dyDescent="0.35">
      <c r="A6610" s="2" t="str">
        <f ca="1">IFERROR(__xludf.DUMMYFUNCTION("""COMPUTED_VALUE"""),"Ajman")</f>
        <v>Ajman</v>
      </c>
      <c r="B6610" s="2" t="str">
        <f ca="1">IFERROR(__xludf.DUMMYFUNCTION("""COMPUTED_VALUE"""),"Al Nuaimiya 2")</f>
        <v>Al Nuaimiya 2</v>
      </c>
      <c r="C6610" s="2" t="str">
        <f ca="1">IFERROR(__xludf.DUMMYFUNCTION("""COMPUTED_VALUE"""),"Neighbourhood")</f>
        <v>Neighbourhood</v>
      </c>
      <c r="D6610" s="2" t="str">
        <f ca="1">IFERROR(__xludf.DUMMYFUNCTION("""COMPUTED_VALUE"""),"Ajman&gt;Al Nuaimiya&gt;Al Nuaimiya 2")</f>
        <v>Ajman&gt;Al Nuaimiya&gt;Al Nuaimiya 2</v>
      </c>
      <c r="E6610" s="2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</row>
    <row r="6611" spans="1:26" ht="16.5" x14ac:dyDescent="0.35">
      <c r="A6611" s="2" t="str">
        <f ca="1">IFERROR(__xludf.DUMMYFUNCTION("""COMPUTED_VALUE"""),"Sharjah")</f>
        <v>Sharjah</v>
      </c>
      <c r="B6611" s="2" t="str">
        <f ca="1">IFERROR(__xludf.DUMMYFUNCTION("""COMPUTED_VALUE"""),"Al Suwaidi Building")</f>
        <v>Al Suwaidi Building</v>
      </c>
      <c r="C6611" s="2"/>
      <c r="D6611" s="2" t="str">
        <f ca="1">IFERROR(__xludf.DUMMYFUNCTION("""COMPUTED_VALUE"""),"Sharjah&gt;Al Nahda (Sharjah)&gt;Al Suwaidi Building")</f>
        <v>Sharjah&gt;Al Nahda (Sharjah)&gt;Al Suwaidi Building</v>
      </c>
      <c r="E6611" s="2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</row>
    <row r="6612" spans="1:26" ht="16.5" x14ac:dyDescent="0.35">
      <c r="A6612" s="2" t="str">
        <f ca="1">IFERROR(__xludf.DUMMYFUNCTION("""COMPUTED_VALUE"""),"Sharjah")</f>
        <v>Sharjah</v>
      </c>
      <c r="B6612" s="2" t="str">
        <f ca="1">IFERROR(__xludf.DUMMYFUNCTION("""COMPUTED_VALUE"""),"Aliya Tower")</f>
        <v>Aliya Tower</v>
      </c>
      <c r="C6612" s="2" t="str">
        <f ca="1">IFERROR(__xludf.DUMMYFUNCTION("""COMPUTED_VALUE"""),"Building")</f>
        <v>Building</v>
      </c>
      <c r="D6612" s="2" t="str">
        <f ca="1">IFERROR(__xludf.DUMMYFUNCTION("""COMPUTED_VALUE"""),"Sharjah&gt;Al Nahda (Sharjah)&gt;Aliya Tower")</f>
        <v>Sharjah&gt;Al Nahda (Sharjah)&gt;Aliya Tower</v>
      </c>
      <c r="E6612" s="2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</row>
    <row r="6613" spans="1:26" ht="16.5" x14ac:dyDescent="0.35">
      <c r="A6613" s="2" t="str">
        <f ca="1">IFERROR(__xludf.DUMMYFUNCTION("""COMPUTED_VALUE"""),"Sharjah")</f>
        <v>Sharjah</v>
      </c>
      <c r="B6613" s="2" t="str">
        <f ca="1">IFERROR(__xludf.DUMMYFUNCTION("""COMPUTED_VALUE"""),"Al Shaiba 512")</f>
        <v>Al Shaiba 512</v>
      </c>
      <c r="C6613" s="2"/>
      <c r="D6613" s="2" t="str">
        <f ca="1">IFERROR(__xludf.DUMMYFUNCTION("""COMPUTED_VALUE"""),"Sharjah&gt;Al Nahda (Sharjah)&gt;Al Shaiba 512")</f>
        <v>Sharjah&gt;Al Nahda (Sharjah)&gt;Al Shaiba 512</v>
      </c>
      <c r="E6613" s="2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</row>
    <row r="6614" spans="1:26" ht="16.5" x14ac:dyDescent="0.35">
      <c r="A6614" s="2" t="str">
        <f ca="1">IFERROR(__xludf.DUMMYFUNCTION("""COMPUTED_VALUE"""),"Sharjah")</f>
        <v>Sharjah</v>
      </c>
      <c r="B6614" s="2" t="str">
        <f ca="1">IFERROR(__xludf.DUMMYFUNCTION("""COMPUTED_VALUE"""),"Dulf Tower")</f>
        <v>Dulf Tower</v>
      </c>
      <c r="C6614" s="2"/>
      <c r="D6614" s="2" t="str">
        <f ca="1">IFERROR(__xludf.DUMMYFUNCTION("""COMPUTED_VALUE"""),"Sharjah&gt;Al Nahda (Sharjah)&gt;Dulf Tower")</f>
        <v>Sharjah&gt;Al Nahda (Sharjah)&gt;Dulf Tower</v>
      </c>
      <c r="E6614" s="2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</row>
    <row r="6615" spans="1:26" ht="16.5" x14ac:dyDescent="0.35">
      <c r="A6615" s="2" t="str">
        <f ca="1">IFERROR(__xludf.DUMMYFUNCTION("""COMPUTED_VALUE"""),"Sharjah")</f>
        <v>Sharjah</v>
      </c>
      <c r="B6615" s="2" t="str">
        <f ca="1">IFERROR(__xludf.DUMMYFUNCTION("""COMPUTED_VALUE"""),"Ewan 3")</f>
        <v>Ewan 3</v>
      </c>
      <c r="C6615" s="2" t="str">
        <f ca="1">IFERROR(__xludf.DUMMYFUNCTION("""COMPUTED_VALUE"""),"Building")</f>
        <v>Building</v>
      </c>
      <c r="D6615" s="2" t="str">
        <f ca="1">IFERROR(__xludf.DUMMYFUNCTION("""COMPUTED_VALUE"""),"Sharjah&gt;Al Nahda (Sharjah)&gt;Ewan 3")</f>
        <v>Sharjah&gt;Al Nahda (Sharjah)&gt;Ewan 3</v>
      </c>
      <c r="E6615" s="2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</row>
    <row r="6616" spans="1:26" ht="16.5" x14ac:dyDescent="0.35">
      <c r="A6616" s="2" t="str">
        <f ca="1">IFERROR(__xludf.DUMMYFUNCTION("""COMPUTED_VALUE"""),"Sharjah")</f>
        <v>Sharjah</v>
      </c>
      <c r="B6616" s="2" t="str">
        <f ca="1">IFERROR(__xludf.DUMMYFUNCTION("""COMPUTED_VALUE"""),"Al Juraina 4")</f>
        <v>Al Juraina 4</v>
      </c>
      <c r="C6616" s="2"/>
      <c r="D6616" s="2" t="str">
        <f ca="1">IFERROR(__xludf.DUMMYFUNCTION("""COMPUTED_VALUE"""),"Sharjah&gt;Al Juraina&gt;Al Juraina 4")</f>
        <v>Sharjah&gt;Al Juraina&gt;Al Juraina 4</v>
      </c>
      <c r="E6616" s="2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</row>
    <row r="6617" spans="1:26" ht="16.5" x14ac:dyDescent="0.35">
      <c r="A6617" s="2" t="str">
        <f ca="1">IFERROR(__xludf.DUMMYFUNCTION("""COMPUTED_VALUE"""),"Sharjah")</f>
        <v>Sharjah</v>
      </c>
      <c r="B6617" s="2" t="str">
        <f ca="1">IFERROR(__xludf.DUMMYFUNCTION("""COMPUTED_VALUE"""),"Sarab Community")</f>
        <v>Sarab Community</v>
      </c>
      <c r="C6617" s="2" t="str">
        <f ca="1">IFERROR(__xludf.DUMMYFUNCTION("""COMPUTED_VALUE"""),"Neighbourhood")</f>
        <v>Neighbourhood</v>
      </c>
      <c r="D6617" s="2" t="str">
        <f ca="1">IFERROR(__xludf.DUMMYFUNCTION("""COMPUTED_VALUE"""),"Sharjah&gt;Aljada&gt;Sarab Community")</f>
        <v>Sharjah&gt;Aljada&gt;Sarab Community</v>
      </c>
      <c r="E6617" s="2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</row>
    <row r="6618" spans="1:26" ht="16.5" x14ac:dyDescent="0.35">
      <c r="A6618" s="2" t="str">
        <f ca="1">IFERROR(__xludf.DUMMYFUNCTION("""COMPUTED_VALUE"""),"Sharjah")</f>
        <v>Sharjah</v>
      </c>
      <c r="B6618" s="2" t="str">
        <f ca="1">IFERROR(__xludf.DUMMYFUNCTION("""COMPUTED_VALUE"""),"Areej 6")</f>
        <v>Areej 6</v>
      </c>
      <c r="C6618" s="2" t="str">
        <f ca="1">IFERROR(__xludf.DUMMYFUNCTION("""COMPUTED_VALUE"""),"Building")</f>
        <v>Building</v>
      </c>
      <c r="D6618" s="2" t="str">
        <f ca="1">IFERROR(__xludf.DUMMYFUNCTION("""COMPUTED_VALUE"""),"Sharjah&gt;Aljada&gt;Areej Apartments&gt;Areej 6")</f>
        <v>Sharjah&gt;Aljada&gt;Areej Apartments&gt;Areej 6</v>
      </c>
      <c r="E6618" s="2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</row>
    <row r="6619" spans="1:26" ht="16.5" x14ac:dyDescent="0.35">
      <c r="A6619" s="2" t="str">
        <f ca="1">IFERROR(__xludf.DUMMYFUNCTION("""COMPUTED_VALUE"""),"Sharjah")</f>
        <v>Sharjah</v>
      </c>
      <c r="B6619" s="2" t="str">
        <f ca="1">IFERROR(__xludf.DUMMYFUNCTION("""COMPUTED_VALUE"""),"Safa 1")</f>
        <v>Safa 1</v>
      </c>
      <c r="C6619" s="2" t="str">
        <f ca="1">IFERROR(__xludf.DUMMYFUNCTION("""COMPUTED_VALUE"""),"Building")</f>
        <v>Building</v>
      </c>
      <c r="D6619" s="2" t="str">
        <f ca="1">IFERROR(__xludf.DUMMYFUNCTION("""COMPUTED_VALUE"""),"Sharjah&gt;Aljada&gt;Safa&gt;Safa 1")</f>
        <v>Sharjah&gt;Aljada&gt;Safa&gt;Safa 1</v>
      </c>
      <c r="E6619" s="2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</row>
    <row r="6620" spans="1:26" ht="16.5" x14ac:dyDescent="0.35">
      <c r="A6620" s="2" t="str">
        <f ca="1">IFERROR(__xludf.DUMMYFUNCTION("""COMPUTED_VALUE"""),"Sharjah")</f>
        <v>Sharjah</v>
      </c>
      <c r="B6620" s="2" t="str">
        <f ca="1">IFERROR(__xludf.DUMMYFUNCTION("""COMPUTED_VALUE"""),"Bavaria Building")</f>
        <v>Bavaria Building</v>
      </c>
      <c r="C6620" s="2"/>
      <c r="D6620" s="2" t="str">
        <f ca="1">IFERROR(__xludf.DUMMYFUNCTION("""COMPUTED_VALUE"""),"Sharjah&gt;Abu Shagara&gt;Bavaria Building")</f>
        <v>Sharjah&gt;Abu Shagara&gt;Bavaria Building</v>
      </c>
      <c r="E6620" s="2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</row>
    <row r="6621" spans="1:26" ht="16.5" x14ac:dyDescent="0.35">
      <c r="A6621" s="2" t="str">
        <f ca="1">IFERROR(__xludf.DUMMYFUNCTION("""COMPUTED_VALUE"""),"Sharjah")</f>
        <v>Sharjah</v>
      </c>
      <c r="B6621" s="2" t="str">
        <f ca="1">IFERROR(__xludf.DUMMYFUNCTION("""COMPUTED_VALUE"""),"Al Haj Building")</f>
        <v>Al Haj Building</v>
      </c>
      <c r="C6621" s="2" t="str">
        <f ca="1">IFERROR(__xludf.DUMMYFUNCTION("""COMPUTED_VALUE"""),"Building")</f>
        <v>Building</v>
      </c>
      <c r="D6621" s="2" t="str">
        <f ca="1">IFERROR(__xludf.DUMMYFUNCTION("""COMPUTED_VALUE"""),"Sharjah&gt;Abu Shagara&gt;Al Haj Building")</f>
        <v>Sharjah&gt;Abu Shagara&gt;Al Haj Building</v>
      </c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</row>
    <row r="6622" spans="1:26" ht="16.5" x14ac:dyDescent="0.35">
      <c r="A6622" s="2" t="str">
        <f ca="1">IFERROR(__xludf.DUMMYFUNCTION("""COMPUTED_VALUE"""),"Sharjah")</f>
        <v>Sharjah</v>
      </c>
      <c r="B6622" s="2" t="str">
        <f ca="1">IFERROR(__xludf.DUMMYFUNCTION("""COMPUTED_VALUE"""),"Faradis Tower")</f>
        <v>Faradis Tower</v>
      </c>
      <c r="C6622" s="2" t="str">
        <f ca="1">IFERROR(__xludf.DUMMYFUNCTION("""COMPUTED_VALUE"""),"Building")</f>
        <v>Building</v>
      </c>
      <c r="D6622" s="2" t="str">
        <f ca="1">IFERROR(__xludf.DUMMYFUNCTION("""COMPUTED_VALUE"""),"Sharjah&gt;Al Mamzar&gt;Faradis Tower")</f>
        <v>Sharjah&gt;Al Mamzar&gt;Faradis Tower</v>
      </c>
      <c r="E6622" s="2"/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</row>
    <row r="6623" spans="1:26" ht="16.5" x14ac:dyDescent="0.35">
      <c r="A6623" s="2" t="str">
        <f ca="1">IFERROR(__xludf.DUMMYFUNCTION("""COMPUTED_VALUE"""),"Sharjah")</f>
        <v>Sharjah</v>
      </c>
      <c r="B6623" s="2" t="str">
        <f ca="1">IFERROR(__xludf.DUMMYFUNCTION("""COMPUTED_VALUE"""),"Al Dhahri Building")</f>
        <v>Al Dhahri Building</v>
      </c>
      <c r="C6623" s="2" t="str">
        <f ca="1">IFERROR(__xludf.DUMMYFUNCTION("""COMPUTED_VALUE"""),"Building")</f>
        <v>Building</v>
      </c>
      <c r="D6623" s="2" t="str">
        <f ca="1">IFERROR(__xludf.DUMMYFUNCTION("""COMPUTED_VALUE"""),"Sharjah&gt;Al Ghuwair&gt;Al Dhahri Building")</f>
        <v>Sharjah&gt;Al Ghuwair&gt;Al Dhahri Building</v>
      </c>
      <c r="E6623" s="2"/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</row>
    <row r="6624" spans="1:26" ht="16.5" x14ac:dyDescent="0.35">
      <c r="A6624" s="2" t="str">
        <f ca="1">IFERROR(__xludf.DUMMYFUNCTION("""COMPUTED_VALUE"""),"Sharjah")</f>
        <v>Sharjah</v>
      </c>
      <c r="B6624" s="2" t="str">
        <f ca="1">IFERROR(__xludf.DUMMYFUNCTION("""COMPUTED_VALUE"""),"Star Private School, Sharjah")</f>
        <v>Star Private School, Sharjah</v>
      </c>
      <c r="C6624" s="2" t="str">
        <f ca="1">IFERROR(__xludf.DUMMYFUNCTION("""COMPUTED_VALUE"""),"School")</f>
        <v>School</v>
      </c>
      <c r="D6624" s="2" t="str">
        <f ca="1">IFERROR(__xludf.DUMMYFUNCTION("""COMPUTED_VALUE"""),"Sharjah&gt;Al Azra&gt;Star Private School, Sharjah")</f>
        <v>Sharjah&gt;Al Azra&gt;Star Private School, Sharjah</v>
      </c>
      <c r="E6624" s="2"/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</row>
    <row r="6625" spans="1:26" ht="16.5" x14ac:dyDescent="0.35">
      <c r="A6625" s="2" t="str">
        <f ca="1">IFERROR(__xludf.DUMMYFUNCTION("""COMPUTED_VALUE"""),"Sharjah")</f>
        <v>Sharjah</v>
      </c>
      <c r="B6625" s="2" t="str">
        <f ca="1">IFERROR(__xludf.DUMMYFUNCTION("""COMPUTED_VALUE"""),"Budaniq Building")</f>
        <v>Budaniq Building</v>
      </c>
      <c r="C6625" s="2"/>
      <c r="D6625" s="2" t="str">
        <f ca="1">IFERROR(__xludf.DUMMYFUNCTION("""COMPUTED_VALUE"""),"Sharjah&gt;Bu Daniq&gt;Budaniq Building")</f>
        <v>Sharjah&gt;Bu Daniq&gt;Budaniq Building</v>
      </c>
      <c r="E6625" s="2"/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</row>
    <row r="6626" spans="1:26" ht="16.5" x14ac:dyDescent="0.35">
      <c r="A6626" s="2" t="str">
        <f ca="1">IFERROR(__xludf.DUMMYFUNCTION("""COMPUTED_VALUE"""),"Sharjah")</f>
        <v>Sharjah</v>
      </c>
      <c r="B6626" s="2" t="str">
        <f ca="1">IFERROR(__xludf.DUMMYFUNCTION("""COMPUTED_VALUE"""),"Al Mowrrada 1")</f>
        <v>Al Mowrrada 1</v>
      </c>
      <c r="C6626" s="2" t="str">
        <f ca="1">IFERROR(__xludf.DUMMYFUNCTION("""COMPUTED_VALUE"""),"Neighbourhood")</f>
        <v>Neighbourhood</v>
      </c>
      <c r="D6626" s="2" t="str">
        <f ca="1">IFERROR(__xludf.DUMMYFUNCTION("""COMPUTED_VALUE"""),"Sharjah&gt;Al Suyoh&gt;Al Mowrrada 1")</f>
        <v>Sharjah&gt;Al Suyoh&gt;Al Mowrrada 1</v>
      </c>
      <c r="E6626" s="2"/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</row>
    <row r="6627" spans="1:26" ht="16.5" x14ac:dyDescent="0.35">
      <c r="A6627" s="2" t="str">
        <f ca="1">IFERROR(__xludf.DUMMYFUNCTION("""COMPUTED_VALUE"""),"Sharjah")</f>
        <v>Sharjah</v>
      </c>
      <c r="B6627" s="2" t="str">
        <f ca="1">IFERROR(__xludf.DUMMYFUNCTION("""COMPUTED_VALUE"""),"Al Meridian")</f>
        <v>Al Meridian</v>
      </c>
      <c r="C6627" s="2"/>
      <c r="D6627" s="2" t="str">
        <f ca="1">IFERROR(__xludf.DUMMYFUNCTION("""COMPUTED_VALUE"""),"Sharjah&gt;Al Mareija&gt;Al Meridian")</f>
        <v>Sharjah&gt;Al Mareija&gt;Al Meridian</v>
      </c>
      <c r="E6627" s="2"/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</row>
    <row r="6628" spans="1:26" ht="16.5" x14ac:dyDescent="0.35">
      <c r="A6628" s="2" t="str">
        <f ca="1">IFERROR(__xludf.DUMMYFUNCTION("""COMPUTED_VALUE"""),"Sharjah")</f>
        <v>Sharjah</v>
      </c>
      <c r="B6628" s="2" t="str">
        <f ca="1">IFERROR(__xludf.DUMMYFUNCTION("""COMPUTED_VALUE"""),"Al Gharb")</f>
        <v>Al Gharb</v>
      </c>
      <c r="C6628" s="2" t="str">
        <f ca="1">IFERROR(__xludf.DUMMYFUNCTION("""COMPUTED_VALUE"""),"Neighbourhood")</f>
        <v>Neighbourhood</v>
      </c>
      <c r="D6628" s="2" t="str">
        <f ca="1">IFERROR(__xludf.DUMMYFUNCTION("""COMPUTED_VALUE"""),"Sharjah&gt;Al Gharb")</f>
        <v>Sharjah&gt;Al Gharb</v>
      </c>
      <c r="E6628" s="2"/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</row>
    <row r="6629" spans="1:26" ht="16.5" x14ac:dyDescent="0.35">
      <c r="A6629" s="2" t="str">
        <f ca="1">IFERROR(__xludf.DUMMYFUNCTION("""COMPUTED_VALUE"""),"Sharjah")</f>
        <v>Sharjah</v>
      </c>
      <c r="B6629" s="2" t="str">
        <f ca="1">IFERROR(__xludf.DUMMYFUNCTION("""COMPUTED_VALUE"""),"Pamir Private School")</f>
        <v>Pamir Private School</v>
      </c>
      <c r="C6629" s="2" t="str">
        <f ca="1">IFERROR(__xludf.DUMMYFUNCTION("""COMPUTED_VALUE"""),"School")</f>
        <v>School</v>
      </c>
      <c r="D6629" s="2" t="str">
        <f ca="1">IFERROR(__xludf.DUMMYFUNCTION("""COMPUTED_VALUE"""),"Sharjah&gt;Al Rahmaniya&gt;Pamir Private School")</f>
        <v>Sharjah&gt;Al Rahmaniya&gt;Pamir Private School</v>
      </c>
      <c r="E6629" s="2"/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</row>
    <row r="6630" spans="1:26" ht="16.5" x14ac:dyDescent="0.35">
      <c r="A6630" s="2" t="str">
        <f ca="1">IFERROR(__xludf.DUMMYFUNCTION("""COMPUTED_VALUE"""),"Sharjah")</f>
        <v>Sharjah</v>
      </c>
      <c r="B6630" s="2" t="str">
        <f ca="1">IFERROR(__xludf.DUMMYFUNCTION("""COMPUTED_VALUE"""),"Al Layyeh Suburb")</f>
        <v>Al Layyeh Suburb</v>
      </c>
      <c r="C6630" s="2"/>
      <c r="D6630" s="2" t="str">
        <f ca="1">IFERROR(__xludf.DUMMYFUNCTION("""COMPUTED_VALUE"""),"Sharjah&gt;Al Layyeh Suburb")</f>
        <v>Sharjah&gt;Al Layyeh Suburb</v>
      </c>
      <c r="E6630" s="2"/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</row>
    <row r="6631" spans="1:26" ht="16.5" x14ac:dyDescent="0.35">
      <c r="A6631" s="2" t="str">
        <f ca="1">IFERROR(__xludf.DUMMYFUNCTION("""COMPUTED_VALUE"""),"Sharjah")</f>
        <v>Sharjah</v>
      </c>
      <c r="B6631" s="2" t="str">
        <f ca="1">IFERROR(__xludf.DUMMYFUNCTION("""COMPUTED_VALUE"""),"Beach Towers")</f>
        <v>Beach Towers</v>
      </c>
      <c r="C6631" s="2" t="str">
        <f ca="1">IFERROR(__xludf.DUMMYFUNCTION("""COMPUTED_VALUE"""),"Cluster")</f>
        <v>Cluster</v>
      </c>
      <c r="D6631" s="2" t="str">
        <f ca="1">IFERROR(__xludf.DUMMYFUNCTION("""COMPUTED_VALUE"""),"Sharjah&gt;Al Khan&gt;Beach Towers")</f>
        <v>Sharjah&gt;Al Khan&gt;Beach Towers</v>
      </c>
      <c r="E6631" s="2"/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</row>
    <row r="6632" spans="1:26" ht="16.5" x14ac:dyDescent="0.35">
      <c r="A6632" s="2" t="str">
        <f ca="1">IFERROR(__xludf.DUMMYFUNCTION("""COMPUTED_VALUE"""),"Sharjah")</f>
        <v>Sharjah</v>
      </c>
      <c r="B6632" s="2" t="str">
        <f ca="1">IFERROR(__xludf.DUMMYFUNCTION("""COMPUTED_VALUE"""),"Cyan Beach Residence by Eagle Hills")</f>
        <v>Cyan Beach Residence by Eagle Hills</v>
      </c>
      <c r="C6632" s="2" t="str">
        <f ca="1">IFERROR(__xludf.DUMMYFUNCTION("""COMPUTED_VALUE"""),"Building")</f>
        <v>Building</v>
      </c>
      <c r="D6632" s="2" t="str">
        <f ca="1">IFERROR(__xludf.DUMMYFUNCTION("""COMPUTED_VALUE"""),"Sharjah&gt;Al Khan&gt;Maryam Island&gt;Cyan Beach Residence by Eagle Hills")</f>
        <v>Sharjah&gt;Al Khan&gt;Maryam Island&gt;Cyan Beach Residence by Eagle Hills</v>
      </c>
      <c r="E6632" s="2"/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</row>
    <row r="6633" spans="1:26" ht="16.5" x14ac:dyDescent="0.35">
      <c r="A6633" s="2" t="str">
        <f ca="1">IFERROR(__xludf.DUMMYFUNCTION("""COMPUTED_VALUE"""),"Sharjah")</f>
        <v>Sharjah</v>
      </c>
      <c r="B6633" s="2" t="str">
        <f ca="1">IFERROR(__xludf.DUMMYFUNCTION("""COMPUTED_VALUE"""),"Al Hazzi Building")</f>
        <v>Al Hazzi Building</v>
      </c>
      <c r="C6633" s="2"/>
      <c r="D6633" s="2" t="str">
        <f ca="1">IFERROR(__xludf.DUMMYFUNCTION("""COMPUTED_VALUE"""),"Sharjah&gt;Al Khan&gt;Al Hazzi Building")</f>
        <v>Sharjah&gt;Al Khan&gt;Al Hazzi Building</v>
      </c>
      <c r="E6633" s="2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</row>
    <row r="6634" spans="1:26" ht="16.5" x14ac:dyDescent="0.35">
      <c r="A6634" s="2" t="str">
        <f ca="1">IFERROR(__xludf.DUMMYFUNCTION("""COMPUTED_VALUE"""),"Sharjah")</f>
        <v>Sharjah</v>
      </c>
      <c r="B6634" s="2" t="str">
        <f ca="1">IFERROR(__xludf.DUMMYFUNCTION("""COMPUTED_VALUE"""),"Al Bayan Building")</f>
        <v>Al Bayan Building</v>
      </c>
      <c r="C6634" s="2"/>
      <c r="D6634" s="2" t="str">
        <f ca="1">IFERROR(__xludf.DUMMYFUNCTION("""COMPUTED_VALUE"""),"Sharjah&gt;Al Khan&gt;Al Bayan Building")</f>
        <v>Sharjah&gt;Al Khan&gt;Al Bayan Building</v>
      </c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</row>
    <row r="6635" spans="1:26" ht="16.5" x14ac:dyDescent="0.35">
      <c r="A6635" s="2" t="str">
        <f ca="1">IFERROR(__xludf.DUMMYFUNCTION("""COMPUTED_VALUE"""),"Sharjah")</f>
        <v>Sharjah</v>
      </c>
      <c r="B6635" s="2" t="str">
        <f ca="1">IFERROR(__xludf.DUMMYFUNCTION("""COMPUTED_VALUE"""),"Business Tower")</f>
        <v>Business Tower</v>
      </c>
      <c r="C6635" s="2"/>
      <c r="D6635" s="2" t="str">
        <f ca="1">IFERROR(__xludf.DUMMYFUNCTION("""COMPUTED_VALUE"""),"Sharjah&gt;Al Majaz&gt;Al Majaz 2&gt;Business Tower")</f>
        <v>Sharjah&gt;Al Majaz&gt;Al Majaz 2&gt;Business Tower</v>
      </c>
      <c r="E6635" s="2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</row>
    <row r="6636" spans="1:26" ht="16.5" x14ac:dyDescent="0.35">
      <c r="A6636" s="2" t="str">
        <f ca="1">IFERROR(__xludf.DUMMYFUNCTION("""COMPUTED_VALUE"""),"Sharjah")</f>
        <v>Sharjah</v>
      </c>
      <c r="B6636" s="2" t="str">
        <f ca="1">IFERROR(__xludf.DUMMYFUNCTION("""COMPUTED_VALUE"""),"Kaloti Building")</f>
        <v>Kaloti Building</v>
      </c>
      <c r="C6636" s="2" t="str">
        <f ca="1">IFERROR(__xludf.DUMMYFUNCTION("""COMPUTED_VALUE"""),"Building")</f>
        <v>Building</v>
      </c>
      <c r="D6636" s="2" t="str">
        <f ca="1">IFERROR(__xludf.DUMMYFUNCTION("""COMPUTED_VALUE"""),"Sharjah&gt;Al Majaz&gt;Al Majaz 2&gt;Kaloti Building")</f>
        <v>Sharjah&gt;Al Majaz&gt;Al Majaz 2&gt;Kaloti Building</v>
      </c>
      <c r="E6636" s="2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</row>
    <row r="6637" spans="1:26" ht="16.5" x14ac:dyDescent="0.35">
      <c r="A6637" s="2" t="str">
        <f ca="1">IFERROR(__xludf.DUMMYFUNCTION("""COMPUTED_VALUE"""),"Sharjah")</f>
        <v>Sharjah</v>
      </c>
      <c r="B6637" s="2" t="str">
        <f ca="1">IFERROR(__xludf.DUMMYFUNCTION("""COMPUTED_VALUE"""),"Safia Building")</f>
        <v>Safia Building</v>
      </c>
      <c r="C6637" s="2"/>
      <c r="D6637" s="2" t="str">
        <f ca="1">IFERROR(__xludf.DUMMYFUNCTION("""COMPUTED_VALUE"""),"Sharjah&gt;Al Majaz&gt;Al Majaz 3&gt;Safia Building")</f>
        <v>Sharjah&gt;Al Majaz&gt;Al Majaz 3&gt;Safia Building</v>
      </c>
      <c r="E6637" s="2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</row>
    <row r="6638" spans="1:26" ht="16.5" x14ac:dyDescent="0.35">
      <c r="A6638" s="2" t="str">
        <f ca="1">IFERROR(__xludf.DUMMYFUNCTION("""COMPUTED_VALUE"""),"Sharjah")</f>
        <v>Sharjah</v>
      </c>
      <c r="B6638" s="2" t="str">
        <f ca="1">IFERROR(__xludf.DUMMYFUNCTION("""COMPUTED_VALUE"""),"Al Qasba Plaza Building")</f>
        <v>Al Qasba Plaza Building</v>
      </c>
      <c r="C6638" s="2"/>
      <c r="D6638" s="2" t="str">
        <f ca="1">IFERROR(__xludf.DUMMYFUNCTION("""COMPUTED_VALUE"""),"Sharjah&gt;Al Majaz&gt;Al Majaz 3&gt;Al Qasba Plaza Building")</f>
        <v>Sharjah&gt;Al Majaz&gt;Al Majaz 3&gt;Al Qasba Plaza Building</v>
      </c>
      <c r="E6638" s="2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</row>
    <row r="6639" spans="1:26" ht="16.5" x14ac:dyDescent="0.35">
      <c r="A6639" s="2" t="str">
        <f ca="1">IFERROR(__xludf.DUMMYFUNCTION("""COMPUTED_VALUE"""),"Sharjah")</f>
        <v>Sharjah</v>
      </c>
      <c r="B6639" s="2" t="str">
        <f ca="1">IFERROR(__xludf.DUMMYFUNCTION("""COMPUTED_VALUE"""),"Samar Tower")</f>
        <v>Samar Tower</v>
      </c>
      <c r="C6639" s="2"/>
      <c r="D6639" s="2" t="str">
        <f ca="1">IFERROR(__xludf.DUMMYFUNCTION("""COMPUTED_VALUE"""),"Sharjah&gt;Al Majaz&gt;Al Majaz 3&gt;Samar Tower")</f>
        <v>Sharjah&gt;Al Majaz&gt;Al Majaz 3&gt;Samar Tower</v>
      </c>
      <c r="E6639" s="2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</row>
    <row r="6640" spans="1:26" ht="16.5" x14ac:dyDescent="0.35">
      <c r="A6640" s="2" t="str">
        <f ca="1">IFERROR(__xludf.DUMMYFUNCTION("""COMPUTED_VALUE"""),"Sharjah")</f>
        <v>Sharjah</v>
      </c>
      <c r="B6640" s="2" t="str">
        <f ca="1">IFERROR(__xludf.DUMMYFUNCTION("""COMPUTED_VALUE"""),"Al Zahraa Tower")</f>
        <v>Al Zahraa Tower</v>
      </c>
      <c r="C6640" s="2"/>
      <c r="D6640" s="2" t="str">
        <f ca="1">IFERROR(__xludf.DUMMYFUNCTION("""COMPUTED_VALUE"""),"Sharjah&gt;Al Majaz&gt;Al Majaz 1&gt;Al Zahraa Tower")</f>
        <v>Sharjah&gt;Al Majaz&gt;Al Majaz 1&gt;Al Zahraa Tower</v>
      </c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</row>
    <row r="6641" spans="1:26" ht="16.5" x14ac:dyDescent="0.35">
      <c r="A6641" s="2" t="str">
        <f ca="1">IFERROR(__xludf.DUMMYFUNCTION("""COMPUTED_VALUE"""),"Sharjah")</f>
        <v>Sharjah</v>
      </c>
      <c r="B6641" s="2" t="str">
        <f ca="1">IFERROR(__xludf.DUMMYFUNCTION("""COMPUTED_VALUE"""),"Anber")</f>
        <v>Anber</v>
      </c>
      <c r="C6641" s="2" t="str">
        <f ca="1">IFERROR(__xludf.DUMMYFUNCTION("""COMPUTED_VALUE"""),"Neighbourhood")</f>
        <v>Neighbourhood</v>
      </c>
      <c r="D6641" s="2" t="str">
        <f ca="1">IFERROR(__xludf.DUMMYFUNCTION("""COMPUTED_VALUE"""),"Sharjah&gt;Al Sehma&gt;Masaar 2&gt;Anber")</f>
        <v>Sharjah&gt;Al Sehma&gt;Masaar 2&gt;Anber</v>
      </c>
      <c r="E6641" s="2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</row>
    <row r="6642" spans="1:26" ht="16.5" x14ac:dyDescent="0.35">
      <c r="A6642" s="2" t="str">
        <f ca="1">IFERROR(__xludf.DUMMYFUNCTION("""COMPUTED_VALUE"""),"Sharjah")</f>
        <v>Sharjah</v>
      </c>
      <c r="B6642" s="2" t="str">
        <f ca="1">IFERROR(__xludf.DUMMYFUNCTION("""COMPUTED_VALUE"""),"Al Rasheed 3 Building")</f>
        <v>Al Rasheed 3 Building</v>
      </c>
      <c r="C6642" s="2" t="str">
        <f ca="1">IFERROR(__xludf.DUMMYFUNCTION("""COMPUTED_VALUE"""),"Building")</f>
        <v>Building</v>
      </c>
      <c r="D6642" s="2" t="str">
        <f ca="1">IFERROR(__xludf.DUMMYFUNCTION("""COMPUTED_VALUE"""),"Sharjah&gt;Al Taawun&gt;Al Rasheed 3 Building")</f>
        <v>Sharjah&gt;Al Taawun&gt;Al Rasheed 3 Building</v>
      </c>
      <c r="E6642" s="2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</row>
    <row r="6643" spans="1:26" ht="16.5" x14ac:dyDescent="0.35">
      <c r="A6643" s="2" t="str">
        <f ca="1">IFERROR(__xludf.DUMMYFUNCTION("""COMPUTED_VALUE"""),"Sharjah")</f>
        <v>Sharjah</v>
      </c>
      <c r="B6643" s="2" t="str">
        <f ca="1">IFERROR(__xludf.DUMMYFUNCTION("""COMPUTED_VALUE"""),"Al Nayli 6 Building")</f>
        <v>Al Nayli 6 Building</v>
      </c>
      <c r="C6643" s="2" t="str">
        <f ca="1">IFERROR(__xludf.DUMMYFUNCTION("""COMPUTED_VALUE"""),"Building")</f>
        <v>Building</v>
      </c>
      <c r="D6643" s="2" t="str">
        <f ca="1">IFERROR(__xludf.DUMMYFUNCTION("""COMPUTED_VALUE"""),"Sharjah&gt;Al Taawun&gt;Al Nayli 6 Building")</f>
        <v>Sharjah&gt;Al Taawun&gt;Al Nayli 6 Building</v>
      </c>
      <c r="E6643" s="2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</row>
    <row r="6644" spans="1:26" ht="16.5" x14ac:dyDescent="0.35">
      <c r="A6644" s="2" t="str">
        <f ca="1">IFERROR(__xludf.DUMMYFUNCTION("""COMPUTED_VALUE"""),"Sharjah")</f>
        <v>Sharjah</v>
      </c>
      <c r="B6644" s="2" t="str">
        <f ca="1">IFERROR(__xludf.DUMMYFUNCTION("""COMPUTED_VALUE"""),"Abdulla Ahmed Mohamed Al Zaroumi")</f>
        <v>Abdulla Ahmed Mohamed Al Zaroumi</v>
      </c>
      <c r="C6644" s="2"/>
      <c r="D6644" s="2" t="str">
        <f ca="1">IFERROR(__xludf.DUMMYFUNCTION("""COMPUTED_VALUE"""),"Sharjah&gt;Al Qasimia&gt;Al Nad&gt;Abdulla Ahmed Mohamed Al Zaroumi")</f>
        <v>Sharjah&gt;Al Qasimia&gt;Al Nad&gt;Abdulla Ahmed Mohamed Al Zaroumi</v>
      </c>
      <c r="E6644" s="2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</row>
    <row r="6645" spans="1:26" ht="16.5" x14ac:dyDescent="0.35">
      <c r="A6645" s="2" t="str">
        <f ca="1">IFERROR(__xludf.DUMMYFUNCTION("""COMPUTED_VALUE"""),"Sharjah")</f>
        <v>Sharjah</v>
      </c>
      <c r="B6645" s="2" t="str">
        <f ca="1">IFERROR(__xludf.DUMMYFUNCTION("""COMPUTED_VALUE"""),"Deyaar Building")</f>
        <v>Deyaar Building</v>
      </c>
      <c r="C6645" s="2"/>
      <c r="D6645" s="2" t="str">
        <f ca="1">IFERROR(__xludf.DUMMYFUNCTION("""COMPUTED_VALUE"""),"Sharjah&gt;Al Qasimia&gt;Al Nad&gt;Deyaar Building")</f>
        <v>Sharjah&gt;Al Qasimia&gt;Al Nad&gt;Deyaar Building</v>
      </c>
      <c r="E6645" s="2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</row>
    <row r="6646" spans="1:26" ht="16.5" x14ac:dyDescent="0.35">
      <c r="A6646" s="2" t="str">
        <f ca="1">IFERROR(__xludf.DUMMYFUNCTION("""COMPUTED_VALUE"""),"Sharjah")</f>
        <v>Sharjah</v>
      </c>
      <c r="B6646" s="2" t="str">
        <f ca="1">IFERROR(__xludf.DUMMYFUNCTION("""COMPUTED_VALUE"""),"Blue Building")</f>
        <v>Blue Building</v>
      </c>
      <c r="C6646" s="2" t="str">
        <f ca="1">IFERROR(__xludf.DUMMYFUNCTION("""COMPUTED_VALUE"""),"Building")</f>
        <v>Building</v>
      </c>
      <c r="D6646" s="2" t="str">
        <f ca="1">IFERROR(__xludf.DUMMYFUNCTION("""COMPUTED_VALUE"""),"Sharjah&gt;Al Qasimia&gt;Al Nad&gt;Blue Building")</f>
        <v>Sharjah&gt;Al Qasimia&gt;Al Nad&gt;Blue Building</v>
      </c>
      <c r="E6646" s="2"/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</row>
    <row r="6647" spans="1:26" ht="16.5" x14ac:dyDescent="0.35">
      <c r="A6647" s="2" t="str">
        <f ca="1">IFERROR(__xludf.DUMMYFUNCTION("""COMPUTED_VALUE"""),"Sharjah")</f>
        <v>Sharjah</v>
      </c>
      <c r="B6647" s="2" t="str">
        <f ca="1">IFERROR(__xludf.DUMMYFUNCTION("""COMPUTED_VALUE"""),"Al Huda Building")</f>
        <v>Al Huda Building</v>
      </c>
      <c r="C6647" s="2" t="str">
        <f ca="1">IFERROR(__xludf.DUMMYFUNCTION("""COMPUTED_VALUE"""),"Building")</f>
        <v>Building</v>
      </c>
      <c r="D6647" s="2" t="str">
        <f ca="1">IFERROR(__xludf.DUMMYFUNCTION("""COMPUTED_VALUE"""),"Sharjah&gt;Al Nabba&gt;Al Huda Building")</f>
        <v>Sharjah&gt;Al Nabba&gt;Al Huda Building</v>
      </c>
      <c r="E6647" s="2"/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</row>
    <row r="6648" spans="1:26" ht="16.5" x14ac:dyDescent="0.35">
      <c r="A6648" s="2" t="str">
        <f ca="1">IFERROR(__xludf.DUMMYFUNCTION("""COMPUTED_VALUE"""),"Sharjah")</f>
        <v>Sharjah</v>
      </c>
      <c r="B6648" s="2" t="str">
        <f ca="1">IFERROR(__xludf.DUMMYFUNCTION("""COMPUTED_VALUE"""),"Building 417")</f>
        <v>Building 417</v>
      </c>
      <c r="C6648" s="2" t="str">
        <f ca="1">IFERROR(__xludf.DUMMYFUNCTION("""COMPUTED_VALUE"""),"Building")</f>
        <v>Building</v>
      </c>
      <c r="D6648" s="2" t="str">
        <f ca="1">IFERROR(__xludf.DUMMYFUNCTION("""COMPUTED_VALUE"""),"Sharjah&gt;Al Nabba&gt;Building 417")</f>
        <v>Sharjah&gt;Al Nabba&gt;Building 417</v>
      </c>
      <c r="E6648" s="2"/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</row>
    <row r="6649" spans="1:26" ht="16.5" x14ac:dyDescent="0.35">
      <c r="A6649" s="2" t="str">
        <f ca="1">IFERROR(__xludf.DUMMYFUNCTION("""COMPUTED_VALUE"""),"Sharjah")</f>
        <v>Sharjah</v>
      </c>
      <c r="B6649" s="2" t="str">
        <f ca="1">IFERROR(__xludf.DUMMYFUNCTION("""COMPUTED_VALUE"""),"Toufiq-K Building")</f>
        <v>Toufiq-K Building</v>
      </c>
      <c r="C6649" s="2"/>
      <c r="D6649" s="2" t="str">
        <f ca="1">IFERROR(__xludf.DUMMYFUNCTION("""COMPUTED_VALUE"""),"Sharjah&gt;Industrial Area&gt;Industrial Area 15&gt;Toufiq-K Building")</f>
        <v>Sharjah&gt;Industrial Area&gt;Industrial Area 15&gt;Toufiq-K Building</v>
      </c>
      <c r="E6649" s="2"/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</row>
    <row r="6650" spans="1:26" ht="16.5" x14ac:dyDescent="0.35">
      <c r="A6650" s="2" t="str">
        <f ca="1">IFERROR(__xludf.DUMMYFUNCTION("""COMPUTED_VALUE"""),"Sharjah")</f>
        <v>Sharjah</v>
      </c>
      <c r="B6650" s="2" t="str">
        <f ca="1">IFERROR(__xludf.DUMMYFUNCTION("""COMPUTED_VALUE"""),"RA 4")</f>
        <v>RA 4</v>
      </c>
      <c r="C6650" s="2" t="str">
        <f ca="1">IFERROR(__xludf.DUMMYFUNCTION("""COMPUTED_VALUE"""),"Building")</f>
        <v>Building</v>
      </c>
      <c r="D6650" s="2" t="str">
        <f ca="1">IFERROR(__xludf.DUMMYFUNCTION("""COMPUTED_VALUE"""),"Sharjah&gt;Muwaileh&gt;Al Mamsha&gt;Souks Residential&gt;RA 4")</f>
        <v>Sharjah&gt;Muwaileh&gt;Al Mamsha&gt;Souks Residential&gt;RA 4</v>
      </c>
      <c r="E6650" s="2"/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</row>
    <row r="6651" spans="1:26" ht="16.5" x14ac:dyDescent="0.35">
      <c r="A6651" s="2" t="str">
        <f ca="1">IFERROR(__xludf.DUMMYFUNCTION("""COMPUTED_VALUE"""),"Sharjah")</f>
        <v>Sharjah</v>
      </c>
      <c r="B6651" s="2" t="str">
        <f ca="1">IFERROR(__xludf.DUMMYFUNCTION("""COMPUTED_VALUE"""),"Hamsa")</f>
        <v>Hamsa</v>
      </c>
      <c r="C6651" s="2" t="str">
        <f ca="1">IFERROR(__xludf.DUMMYFUNCTION("""COMPUTED_VALUE"""),"Building")</f>
        <v>Building</v>
      </c>
      <c r="D6651" s="2" t="str">
        <f ca="1">IFERROR(__xludf.DUMMYFUNCTION("""COMPUTED_VALUE"""),"Sharjah&gt;Muwaileh&gt;Al Mamsha&gt;Hamsa")</f>
        <v>Sharjah&gt;Muwaileh&gt;Al Mamsha&gt;Hamsa</v>
      </c>
      <c r="E6651" s="2"/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</row>
    <row r="6652" spans="1:26" ht="16.5" x14ac:dyDescent="0.35">
      <c r="A6652" s="2" t="str">
        <f ca="1">IFERROR(__xludf.DUMMYFUNCTION("""COMPUTED_VALUE"""),"Sharjah")</f>
        <v>Sharjah</v>
      </c>
      <c r="B6652" s="2" t="str">
        <f ca="1">IFERROR(__xludf.DUMMYFUNCTION("""COMPUTED_VALUE"""),"Pace International School Sharjah")</f>
        <v>Pace International School Sharjah</v>
      </c>
      <c r="C6652" s="2" t="str">
        <f ca="1">IFERROR(__xludf.DUMMYFUNCTION("""COMPUTED_VALUE"""),"School")</f>
        <v>School</v>
      </c>
      <c r="D6652" s="2" t="str">
        <f ca="1">IFERROR(__xludf.DUMMYFUNCTION("""COMPUTED_VALUE"""),"Sharjah&gt;Muwaileh Commercial&gt;Pace International School Sharjah")</f>
        <v>Sharjah&gt;Muwaileh Commercial&gt;Pace International School Sharjah</v>
      </c>
      <c r="E6652" s="2"/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</row>
    <row r="6653" spans="1:26" ht="16.5" x14ac:dyDescent="0.35">
      <c r="A6653" s="2" t="str">
        <f ca="1">IFERROR(__xludf.DUMMYFUNCTION("""COMPUTED_VALUE"""),"Sharjah")</f>
        <v>Sharjah</v>
      </c>
      <c r="B6653" s="2" t="str">
        <f ca="1">IFERROR(__xludf.DUMMYFUNCTION("""COMPUTED_VALUE"""),"Shahba 1 Building")</f>
        <v>Shahba 1 Building</v>
      </c>
      <c r="C6653" s="2"/>
      <c r="D6653" s="2" t="str">
        <f ca="1">IFERROR(__xludf.DUMMYFUNCTION("""COMPUTED_VALUE"""),"Sharjah&gt;Muwaileh Commercial&gt;Shahba 1 Building")</f>
        <v>Sharjah&gt;Muwaileh Commercial&gt;Shahba 1 Building</v>
      </c>
      <c r="E6653" s="2"/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</row>
    <row r="6654" spans="1:26" ht="16.5" x14ac:dyDescent="0.35">
      <c r="A6654" s="2" t="str">
        <f ca="1">IFERROR(__xludf.DUMMYFUNCTION("""COMPUTED_VALUE"""),"Sharjah")</f>
        <v>Sharjah</v>
      </c>
      <c r="B6654" s="2" t="str">
        <f ca="1">IFERROR(__xludf.DUMMYFUNCTION("""COMPUTED_VALUE"""),"Olfah 12")</f>
        <v>Olfah 12</v>
      </c>
      <c r="C6654" s="2" t="str">
        <f ca="1">IFERROR(__xludf.DUMMYFUNCTION("""COMPUTED_VALUE"""),"Building")</f>
        <v>Building</v>
      </c>
      <c r="D6654" s="2" t="str">
        <f ca="1">IFERROR(__xludf.DUMMYFUNCTION("""COMPUTED_VALUE"""),"Sharjah&gt;Muwaileh Commercial&gt;Olfah&gt;Olfah 12")</f>
        <v>Sharjah&gt;Muwaileh Commercial&gt;Olfah&gt;Olfah 12</v>
      </c>
      <c r="E6654" s="2"/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</row>
    <row r="6655" spans="1:26" ht="16.5" x14ac:dyDescent="0.35">
      <c r="A6655" s="2" t="str">
        <f ca="1">IFERROR(__xludf.DUMMYFUNCTION("""COMPUTED_VALUE"""),"Al Ain")</f>
        <v>Al Ain</v>
      </c>
      <c r="B6655" s="2" t="str">
        <f ca="1">IFERROR(__xludf.DUMMYFUNCTION("""COMPUTED_VALUE"""),"Al Ain")</f>
        <v>Al Ain</v>
      </c>
      <c r="C6655" s="2" t="str">
        <f ca="1">IFERROR(__xludf.DUMMYFUNCTION("""COMPUTED_VALUE"""),"Emirate")</f>
        <v>Emirate</v>
      </c>
      <c r="D6655" s="2" t="str">
        <f ca="1">IFERROR(__xludf.DUMMYFUNCTION("""COMPUTED_VALUE"""),"Al Ain")</f>
        <v>Al Ain</v>
      </c>
      <c r="E6655" s="2"/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</row>
    <row r="6656" spans="1:26" ht="16.5" x14ac:dyDescent="0.35">
      <c r="A6656" s="2" t="str">
        <f ca="1">IFERROR(__xludf.DUMMYFUNCTION("""COMPUTED_VALUE"""),"Al Ain")</f>
        <v>Al Ain</v>
      </c>
      <c r="B6656" s="2" t="str">
        <f ca="1">IFERROR(__xludf.DUMMYFUNCTION("""COMPUTED_VALUE"""),"Al Nyadat")</f>
        <v>Al Nyadat</v>
      </c>
      <c r="C6656" s="2" t="str">
        <f ca="1">IFERROR(__xludf.DUMMYFUNCTION("""COMPUTED_VALUE"""),"Neighbourhood")</f>
        <v>Neighbourhood</v>
      </c>
      <c r="D6656" s="2" t="str">
        <f ca="1">IFERROR(__xludf.DUMMYFUNCTION("""COMPUTED_VALUE"""),"Al Ain&gt;Central District&gt;Al Nyadat")</f>
        <v>Al Ain&gt;Central District&gt;Al Nyadat</v>
      </c>
      <c r="E6656" s="2"/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</row>
    <row r="6657" spans="1:26" ht="16.5" x14ac:dyDescent="0.35">
      <c r="A6657" s="2" t="str">
        <f ca="1">IFERROR(__xludf.DUMMYFUNCTION("""COMPUTED_VALUE"""),"Al Ain")</f>
        <v>Al Ain</v>
      </c>
      <c r="B6657" s="2" t="str">
        <f ca="1">IFERROR(__xludf.DUMMYFUNCTION("""COMPUTED_VALUE"""),"Our Own English High School Al Ain")</f>
        <v>Our Own English High School Al Ain</v>
      </c>
      <c r="C6657" s="2" t="str">
        <f ca="1">IFERROR(__xludf.DUMMYFUNCTION("""COMPUTED_VALUE"""),"School")</f>
        <v>School</v>
      </c>
      <c r="D6657" s="2" t="str">
        <f ca="1">IFERROR(__xludf.DUMMYFUNCTION("""COMPUTED_VALUE"""),"Al Ain&gt;Al Muwaiji&gt;Our Own English High School Al Ain")</f>
        <v>Al Ain&gt;Al Muwaiji&gt;Our Own English High School Al Ain</v>
      </c>
      <c r="E6657" s="2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</row>
    <row r="6658" spans="1:26" ht="16.5" x14ac:dyDescent="0.35">
      <c r="A6658" s="2" t="str">
        <f ca="1">IFERROR(__xludf.DUMMYFUNCTION("""COMPUTED_VALUE"""),"Al Ain")</f>
        <v>Al Ain</v>
      </c>
      <c r="B6658" s="2" t="str">
        <f ca="1">IFERROR(__xludf.DUMMYFUNCTION("""COMPUTED_VALUE"""),"Al Reef")</f>
        <v>Al Reef</v>
      </c>
      <c r="C6658" s="2" t="str">
        <f ca="1">IFERROR(__xludf.DUMMYFUNCTION("""COMPUTED_VALUE"""),"Neighbourhood")</f>
        <v>Neighbourhood</v>
      </c>
      <c r="D6658" s="2" t="str">
        <f ca="1">IFERROR(__xludf.DUMMYFUNCTION("""COMPUTED_VALUE"""),"Al Ain&gt;Hili&gt;Al Reef")</f>
        <v>Al Ain&gt;Hili&gt;Al Reef</v>
      </c>
      <c r="E6658" s="2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</row>
    <row r="6659" spans="1:26" ht="16.5" x14ac:dyDescent="0.35">
      <c r="A6659" s="2" t="str">
        <f ca="1">IFERROR(__xludf.DUMMYFUNCTION("""COMPUTED_VALUE"""),"Al Ain")</f>
        <v>Al Ain</v>
      </c>
      <c r="B6659" s="2" t="str">
        <f ca="1">IFERROR(__xludf.DUMMYFUNCTION("""COMPUTED_VALUE"""),"Hai Al Musalla")</f>
        <v>Hai Al Musalla</v>
      </c>
      <c r="C6659" s="2" t="str">
        <f ca="1">IFERROR(__xludf.DUMMYFUNCTION("""COMPUTED_VALUE"""),"Neighbourhood")</f>
        <v>Neighbourhood</v>
      </c>
      <c r="D6659" s="2" t="str">
        <f ca="1">IFERROR(__xludf.DUMMYFUNCTION("""COMPUTED_VALUE"""),"Al Ain&gt;Al Mutaw'ah&gt;Hai Al Musalla")</f>
        <v>Al Ain&gt;Al Mutaw'ah&gt;Hai Al Musalla</v>
      </c>
      <c r="E6659" s="2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</row>
    <row r="6660" spans="1:26" ht="16.5" x14ac:dyDescent="0.35">
      <c r="A6660" s="2" t="str">
        <f ca="1">IFERROR(__xludf.DUMMYFUNCTION("""COMPUTED_VALUE"""),"Al Ain")</f>
        <v>Al Ain</v>
      </c>
      <c r="B6660" s="2" t="str">
        <f ca="1">IFERROR(__xludf.DUMMYFUNCTION("""COMPUTED_VALUE"""),"Al Salamat")</f>
        <v>Al Salamat</v>
      </c>
      <c r="C6660" s="2" t="str">
        <f ca="1">IFERROR(__xludf.DUMMYFUNCTION("""COMPUTED_VALUE"""),"Neighbourhood")</f>
        <v>Neighbourhood</v>
      </c>
      <c r="D6660" s="2" t="str">
        <f ca="1">IFERROR(__xludf.DUMMYFUNCTION("""COMPUTED_VALUE"""),"Al Ain&gt;Al Salamat")</f>
        <v>Al Ain&gt;Al Salamat</v>
      </c>
      <c r="E6660" s="2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</row>
    <row r="6661" spans="1:26" ht="16.5" x14ac:dyDescent="0.35">
      <c r="A6661" s="2" t="str">
        <f ca="1">IFERROR(__xludf.DUMMYFUNCTION("""COMPUTED_VALUE"""),"Al Ain")</f>
        <v>Al Ain</v>
      </c>
      <c r="B6661" s="2" t="str">
        <f ca="1">IFERROR(__xludf.DUMMYFUNCTION("""COMPUTED_VALUE"""),"Al Harmoozi")</f>
        <v>Al Harmoozi</v>
      </c>
      <c r="C6661" s="2" t="str">
        <f ca="1">IFERROR(__xludf.DUMMYFUNCTION("""COMPUTED_VALUE"""),"Neighbourhood")</f>
        <v>Neighbourhood</v>
      </c>
      <c r="D6661" s="2" t="str">
        <f ca="1">IFERROR(__xludf.DUMMYFUNCTION("""COMPUTED_VALUE"""),"Al Ain&gt;Al Sarouj&gt;Al Harmoozi")</f>
        <v>Al Ain&gt;Al Sarouj&gt;Al Harmoozi</v>
      </c>
      <c r="E6661" s="2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</row>
    <row r="6662" spans="1:26" ht="16.5" x14ac:dyDescent="0.35">
      <c r="A6662" s="2" t="str">
        <f ca="1">IFERROR(__xludf.DUMMYFUNCTION("""COMPUTED_VALUE"""),"Ras Al Khaimah")</f>
        <v>Ras Al Khaimah</v>
      </c>
      <c r="B6662" s="2" t="str">
        <f ca="1">IFERROR(__xludf.DUMMYFUNCTION("""COMPUTED_VALUE"""),"Cape Hayat Tower 1")</f>
        <v>Cape Hayat Tower 1</v>
      </c>
      <c r="C6662" s="2" t="str">
        <f ca="1">IFERROR(__xludf.DUMMYFUNCTION("""COMPUTED_VALUE"""),"Building")</f>
        <v>Building</v>
      </c>
      <c r="D6662" s="2" t="str">
        <f ca="1">IFERROR(__xludf.DUMMYFUNCTION("""COMPUTED_VALUE"""),"Ras Al Khaimah&gt;Mina Al Arab&gt;Hayat Island&gt;Cape Hayat&gt;Cape Hayat Tower 1")</f>
        <v>Ras Al Khaimah&gt;Mina Al Arab&gt;Hayat Island&gt;Cape Hayat&gt;Cape Hayat Tower 1</v>
      </c>
      <c r="E6662" s="2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</row>
    <row r="6663" spans="1:26" ht="16.5" x14ac:dyDescent="0.35">
      <c r="A6663" s="2" t="str">
        <f ca="1">IFERROR(__xludf.DUMMYFUNCTION("""COMPUTED_VALUE"""),"Ras Al Khaimah")</f>
        <v>Ras Al Khaimah</v>
      </c>
      <c r="B6663" s="2" t="str">
        <f ca="1">IFERROR(__xludf.DUMMYFUNCTION("""COMPUTED_VALUE"""),"Bab Al Bahr Residences")</f>
        <v>Bab Al Bahr Residences</v>
      </c>
      <c r="C6663" s="2" t="str">
        <f ca="1">IFERROR(__xludf.DUMMYFUNCTION("""COMPUTED_VALUE"""),"Neighbourhood")</f>
        <v>Neighbourhood</v>
      </c>
      <c r="D6663" s="2" t="str">
        <f ca="1">IFERROR(__xludf.DUMMYFUNCTION("""COMPUTED_VALUE"""),"Ras Al Khaimah&gt;Al Marjan Island&gt;Bab Al Bahr Residences")</f>
        <v>Ras Al Khaimah&gt;Al Marjan Island&gt;Bab Al Bahr Residences</v>
      </c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</row>
    <row r="6664" spans="1:26" ht="16.5" x14ac:dyDescent="0.35">
      <c r="A6664" s="2" t="str">
        <f ca="1">IFERROR(__xludf.DUMMYFUNCTION("""COMPUTED_VALUE"""),"Ras Al Khaimah")</f>
        <v>Ras Al Khaimah</v>
      </c>
      <c r="B6664" s="2" t="str">
        <f ca="1">IFERROR(__xludf.DUMMYFUNCTION("""COMPUTED_VALUE"""),"La Mer by Elie Saab")</f>
        <v>La Mer by Elie Saab</v>
      </c>
      <c r="C6664" s="2" t="str">
        <f ca="1">IFERROR(__xludf.DUMMYFUNCTION("""COMPUTED_VALUE"""),"Cluster")</f>
        <v>Cluster</v>
      </c>
      <c r="D6664" s="2" t="str">
        <f ca="1">IFERROR(__xludf.DUMMYFUNCTION("""COMPUTED_VALUE"""),"Ras Al Khaimah&gt;Al Marjan Island&gt;La Mer by Elie Saab")</f>
        <v>Ras Al Khaimah&gt;Al Marjan Island&gt;La Mer by Elie Saab</v>
      </c>
      <c r="E6664" s="2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</row>
    <row r="6665" spans="1:26" ht="16.5" x14ac:dyDescent="0.35">
      <c r="A6665" s="2" t="str">
        <f ca="1">IFERROR(__xludf.DUMMYFUNCTION("""COMPUTED_VALUE"""),"Ras Al Khaimah")</f>
        <v>Ras Al Khaimah</v>
      </c>
      <c r="B6665" s="2" t="str">
        <f ca="1">IFERROR(__xludf.DUMMYFUNCTION("""COMPUTED_VALUE"""),"La Perla")</f>
        <v>La Perla</v>
      </c>
      <c r="C6665" s="2" t="str">
        <f ca="1">IFERROR(__xludf.DUMMYFUNCTION("""COMPUTED_VALUE"""),"Building")</f>
        <v>Building</v>
      </c>
      <c r="D6665" s="2" t="str">
        <f ca="1">IFERROR(__xludf.DUMMYFUNCTION("""COMPUTED_VALUE"""),"Ras Al Khaimah&gt;Al Marjan Island&gt;La Perla")</f>
        <v>Ras Al Khaimah&gt;Al Marjan Island&gt;La Perla</v>
      </c>
      <c r="E6665" s="2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</row>
    <row r="6666" spans="1:26" ht="16.5" x14ac:dyDescent="0.35">
      <c r="A6666" s="2" t="str">
        <f ca="1">IFERROR(__xludf.DUMMYFUNCTION("""COMPUTED_VALUE"""),"Ras Al Khaimah")</f>
        <v>Ras Al Khaimah</v>
      </c>
      <c r="B6666" s="2" t="str">
        <f ca="1">IFERROR(__xludf.DUMMYFUNCTION("""COMPUTED_VALUE"""),"Ellington Views II")</f>
        <v>Ellington Views II</v>
      </c>
      <c r="C6666" s="2" t="str">
        <f ca="1">IFERROR(__xludf.DUMMYFUNCTION("""COMPUTED_VALUE"""),"Neighbourhood")</f>
        <v>Neighbourhood</v>
      </c>
      <c r="D6666" s="2" t="str">
        <f ca="1">IFERROR(__xludf.DUMMYFUNCTION("""COMPUTED_VALUE"""),"Ras Al Khaimah&gt;Al Hamra Village&gt;Ellington Views II")</f>
        <v>Ras Al Khaimah&gt;Al Hamra Village&gt;Ellington Views II</v>
      </c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</row>
    <row r="6667" spans="1:26" ht="16.5" x14ac:dyDescent="0.35">
      <c r="A6667" s="2" t="str">
        <f ca="1">IFERROR(__xludf.DUMMYFUNCTION("""COMPUTED_VALUE"""),"Ras Al Khaimah")</f>
        <v>Ras Al Khaimah</v>
      </c>
      <c r="B6667" s="2" t="str">
        <f ca="1">IFERROR(__xludf.DUMMYFUNCTION("""COMPUTED_VALUE"""),"Emirates National Schools, Ras Al Khaimah")</f>
        <v>Emirates National Schools, Ras Al Khaimah</v>
      </c>
      <c r="C6667" s="2" t="str">
        <f ca="1">IFERROR(__xludf.DUMMYFUNCTION("""COMPUTED_VALUE"""),"School")</f>
        <v>School</v>
      </c>
      <c r="D6667" s="2" t="str">
        <f ca="1">IFERROR(__xludf.DUMMYFUNCTION("""COMPUTED_VALUE"""),"Ras Al Khaimah&gt;Al Dhait&gt;Emirates National Schools, Ras Al Khaimah")</f>
        <v>Ras Al Khaimah&gt;Al Dhait&gt;Emirates National Schools, Ras Al Khaimah</v>
      </c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</row>
    <row r="6668" spans="1:26" ht="16.5" x14ac:dyDescent="0.35">
      <c r="A6668" s="2" t="str">
        <f ca="1">IFERROR(__xludf.DUMMYFUNCTION("""COMPUTED_VALUE"""),"Ras Al Khaimah")</f>
        <v>Ras Al Khaimah</v>
      </c>
      <c r="B6668" s="2" t="str">
        <f ca="1">IFERROR(__xludf.DUMMYFUNCTION("""COMPUTED_VALUE"""),"Al Uraibi")</f>
        <v>Al Uraibi</v>
      </c>
      <c r="C6668" s="2" t="str">
        <f ca="1">IFERROR(__xludf.DUMMYFUNCTION("""COMPUTED_VALUE"""),"Neighbourhood")</f>
        <v>Neighbourhood</v>
      </c>
      <c r="D6668" s="2" t="str">
        <f ca="1">IFERROR(__xludf.DUMMYFUNCTION("""COMPUTED_VALUE"""),"Ras Al Khaimah&gt;Al Uraibi")</f>
        <v>Ras Al Khaimah&gt;Al Uraibi</v>
      </c>
      <c r="E6668" s="2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</row>
    <row r="6669" spans="1:26" ht="16.5" x14ac:dyDescent="0.35">
      <c r="A6669" s="2" t="str">
        <f ca="1">IFERROR(__xludf.DUMMYFUNCTION("""COMPUTED_VALUE"""),"Ras Al Khaimah")</f>
        <v>Ras Al Khaimah</v>
      </c>
      <c r="B6669" s="2" t="str">
        <f ca="1">IFERROR(__xludf.DUMMYFUNCTION("""COMPUTED_VALUE"""),"Al Turfa")</f>
        <v>Al Turfa</v>
      </c>
      <c r="C6669" s="2" t="str">
        <f ca="1">IFERROR(__xludf.DUMMYFUNCTION("""COMPUTED_VALUE"""),"Neighbourhood")</f>
        <v>Neighbourhood</v>
      </c>
      <c r="D6669" s="2" t="str">
        <f ca="1">IFERROR(__xludf.DUMMYFUNCTION("""COMPUTED_VALUE"""),"Ras Al Khaimah&gt;Al Turfa")</f>
        <v>Ras Al Khaimah&gt;Al Turfa</v>
      </c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</row>
    <row r="6670" spans="1:26" ht="16.5" x14ac:dyDescent="0.35">
      <c r="A6670" s="2" t="str">
        <f ca="1">IFERROR(__xludf.DUMMYFUNCTION("""COMPUTED_VALUE"""),"Ras Al Khaimah")</f>
        <v>Ras Al Khaimah</v>
      </c>
      <c r="B6670" s="2" t="str">
        <f ca="1">IFERROR(__xludf.DUMMYFUNCTION("""COMPUTED_VALUE"""),"Al Mukawwrah")</f>
        <v>Al Mukawwrah</v>
      </c>
      <c r="C6670" s="2" t="str">
        <f ca="1">IFERROR(__xludf.DUMMYFUNCTION("""COMPUTED_VALUE"""),"Neighbourhood")</f>
        <v>Neighbourhood</v>
      </c>
      <c r="D6670" s="2" t="str">
        <f ca="1">IFERROR(__xludf.DUMMYFUNCTION("""COMPUTED_VALUE"""),"Ras Al Khaimah&gt;Al Mukawwrah")</f>
        <v>Ras Al Khaimah&gt;Al Mukawwrah</v>
      </c>
      <c r="E6670" s="2"/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</row>
    <row r="6671" spans="1:26" ht="16.5" x14ac:dyDescent="0.35">
      <c r="A6671" s="2" t="str">
        <f ca="1">IFERROR(__xludf.DUMMYFUNCTION("""COMPUTED_VALUE"""),"Umm Al Quwain")</f>
        <v>Umm Al Quwain</v>
      </c>
      <c r="B6671" s="2" t="str">
        <f ca="1">IFERROR(__xludf.DUMMYFUNCTION("""COMPUTED_VALUE"""),"Sharjah American International School – Umm Al Quwain")</f>
        <v>Sharjah American International School – Umm Al Quwain</v>
      </c>
      <c r="C6671" s="2" t="str">
        <f ca="1">IFERROR(__xludf.DUMMYFUNCTION("""COMPUTED_VALUE"""),"School")</f>
        <v>School</v>
      </c>
      <c r="D6671" s="2" t="str">
        <f ca="1">IFERROR(__xludf.DUMMYFUNCTION("""COMPUTED_VALUE"""),"Umm Al Quwain&gt;Al Salamah&gt;Sharjah American International School – Umm Al Quwain")</f>
        <v>Umm Al Quwain&gt;Al Salamah&gt;Sharjah American International School – Umm Al Quwain</v>
      </c>
      <c r="E6671" s="2"/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</row>
    <row r="6672" spans="1:26" ht="16.5" x14ac:dyDescent="0.35">
      <c r="A6672" s="2" t="str">
        <f ca="1">IFERROR(__xludf.DUMMYFUNCTION("""COMPUTED_VALUE"""),"Umm Al Quwain")</f>
        <v>Umm Al Quwain</v>
      </c>
      <c r="B6672" s="2" t="str">
        <f ca="1">IFERROR(__xludf.DUMMYFUNCTION("""COMPUTED_VALUE"""),"AYA by Deyaar")</f>
        <v>AYA by Deyaar</v>
      </c>
      <c r="C6672" s="2" t="str">
        <f ca="1">IFERROR(__xludf.DUMMYFUNCTION("""COMPUTED_VALUE"""),"Building")</f>
        <v>Building</v>
      </c>
      <c r="D6672" s="2" t="str">
        <f ca="1">IFERROR(__xludf.DUMMYFUNCTION("""COMPUTED_VALUE"""),"Umm Al Quwain&gt;Al Raudah&gt;AYA by Deyaar")</f>
        <v>Umm Al Quwain&gt;Al Raudah&gt;AYA by Deyaar</v>
      </c>
      <c r="E6672" s="2"/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</row>
    <row r="6673" spans="1:26" ht="16.5" x14ac:dyDescent="0.35">
      <c r="A6673" s="2" t="str">
        <f ca="1">IFERROR(__xludf.DUMMYFUNCTION("""COMPUTED_VALUE"""),"Umm Al Quwain")</f>
        <v>Umm Al Quwain</v>
      </c>
      <c r="B6673" s="2" t="str">
        <f ca="1">IFERROR(__xludf.DUMMYFUNCTION("""COMPUTED_VALUE"""),"Florine Beach Residences Tower C")</f>
        <v>Florine Beach Residences Tower C</v>
      </c>
      <c r="C6673" s="2" t="str">
        <f ca="1">IFERROR(__xludf.DUMMYFUNCTION("""COMPUTED_VALUE"""),"Building")</f>
        <v>Building</v>
      </c>
      <c r="D6673" s="2" t="str">
        <f ca="1">IFERROR(__xludf.DUMMYFUNCTION("""COMPUTED_VALUE"""),"Umm Al Quwain&gt;Al Seanneeah&gt;Sobha Siniya Island&gt;Florine Beach Residences&gt;Florine Beach Residences Tower C")</f>
        <v>Umm Al Quwain&gt;Al Seanneeah&gt;Sobha Siniya Island&gt;Florine Beach Residences&gt;Florine Beach Residences Tower C</v>
      </c>
      <c r="E6673" s="2"/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</row>
    <row r="6674" spans="1:26" ht="16.5" x14ac:dyDescent="0.35">
      <c r="A6674" s="2" t="str">
        <f ca="1">IFERROR(__xludf.DUMMYFUNCTION("""COMPUTED_VALUE"""),"Umm Al Quwain")</f>
        <v>Umm Al Quwain</v>
      </c>
      <c r="B6674" s="2" t="str">
        <f ca="1">IFERROR(__xludf.DUMMYFUNCTION("""COMPUTED_VALUE"""),"Pearlside Marina Residences")</f>
        <v>Pearlside Marina Residences</v>
      </c>
      <c r="C6674" s="2" t="str">
        <f ca="1">IFERROR(__xludf.DUMMYFUNCTION("""COMPUTED_VALUE"""),"Cluster")</f>
        <v>Cluster</v>
      </c>
      <c r="D6674" s="2" t="str">
        <f ca="1">IFERROR(__xludf.DUMMYFUNCTION("""COMPUTED_VALUE"""),"Umm Al Quwain&gt;Al Seanneeah&gt;Sobha Siniya Island&gt;Pearlside Marina Residences")</f>
        <v>Umm Al Quwain&gt;Al Seanneeah&gt;Sobha Siniya Island&gt;Pearlside Marina Residences</v>
      </c>
      <c r="E6674" s="2"/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</row>
    <row r="6675" spans="1:26" ht="16.5" x14ac:dyDescent="0.35">
      <c r="A6675" s="2" t="str">
        <f ca="1">IFERROR(__xludf.DUMMYFUNCTION("""COMPUTED_VALUE"""),"Fujairah")</f>
        <v>Fujairah</v>
      </c>
      <c r="B6675" s="2" t="str">
        <f ca="1">IFERROR(__xludf.DUMMYFUNCTION("""COMPUTED_VALUE"""),"Thoban")</f>
        <v>Thoban</v>
      </c>
      <c r="C6675" s="2" t="str">
        <f ca="1">IFERROR(__xludf.DUMMYFUNCTION("""COMPUTED_VALUE"""),"Neighbourhood")</f>
        <v>Neighbourhood</v>
      </c>
      <c r="D6675" s="2" t="str">
        <f ca="1">IFERROR(__xludf.DUMMYFUNCTION("""COMPUTED_VALUE"""),"Fujairah&gt;Thoban")</f>
        <v>Fujairah&gt;Thoban</v>
      </c>
      <c r="E6675" s="2"/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</row>
    <row r="6676" spans="1:26" ht="16.5" x14ac:dyDescent="0.35">
      <c r="A6676" s="2" t="str">
        <f ca="1">IFERROR(__xludf.DUMMYFUNCTION("""COMPUTED_VALUE"""),"Fujairah")</f>
        <v>Fujairah</v>
      </c>
      <c r="B6676" s="2" t="str">
        <f ca="1">IFERROR(__xludf.DUMMYFUNCTION("""COMPUTED_VALUE"""),"Sakamkam")</f>
        <v>Sakamkam</v>
      </c>
      <c r="C6676" s="2" t="str">
        <f ca="1">IFERROR(__xludf.DUMMYFUNCTION("""COMPUTED_VALUE"""),"Neighbourhood")</f>
        <v>Neighbourhood</v>
      </c>
      <c r="D6676" s="2" t="str">
        <f ca="1">IFERROR(__xludf.DUMMYFUNCTION("""COMPUTED_VALUE"""),"Fujairah&gt;Sakamkam")</f>
        <v>Fujairah&gt;Sakamkam</v>
      </c>
      <c r="E6676" s="2"/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</row>
    <row r="6677" spans="1:26" ht="16.5" x14ac:dyDescent="0.35">
      <c r="A6677" s="2" t="str">
        <f ca="1">IFERROR(__xludf.DUMMYFUNCTION("""COMPUTED_VALUE"""),"Dubai")</f>
        <v>Dubai</v>
      </c>
      <c r="B6677" s="2" t="str">
        <f ca="1">IFERROR(__xludf.DUMMYFUNCTION("""COMPUTED_VALUE"""),"Vista Ridge Tower 1")</f>
        <v>Vista Ridge Tower 1</v>
      </c>
      <c r="C6677" s="2" t="str">
        <f ca="1">IFERROR(__xludf.DUMMYFUNCTION("""COMPUTED_VALUE"""),"Building")</f>
        <v>Building</v>
      </c>
      <c r="D6677" s="2" t="str">
        <f ca="1">IFERROR(__xludf.DUMMYFUNCTION("""COMPUTED_VALUE"""),"Dubai&gt;Dubai South&gt;Emaar South&gt;Vista Ridge&gt;Vista Ridge Tower 1")</f>
        <v>Dubai&gt;Dubai South&gt;Emaar South&gt;Vista Ridge&gt;Vista Ridge Tower 1</v>
      </c>
      <c r="E6677" s="2"/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</row>
    <row r="6678" spans="1:26" ht="16.5" x14ac:dyDescent="0.35">
      <c r="A6678" s="2" t="str">
        <f ca="1">IFERROR(__xludf.DUMMYFUNCTION("""COMPUTED_VALUE"""),"Dubai")</f>
        <v>Dubai</v>
      </c>
      <c r="B6678" s="2" t="str">
        <f ca="1">IFERROR(__xludf.DUMMYFUNCTION("""COMPUTED_VALUE"""),"Azizi Venice 2")</f>
        <v>Azizi Venice 2</v>
      </c>
      <c r="C6678" s="2" t="str">
        <f ca="1">IFERROR(__xludf.DUMMYFUNCTION("""COMPUTED_VALUE"""),"Building")</f>
        <v>Building</v>
      </c>
      <c r="D6678" s="2" t="str">
        <f ca="1">IFERROR(__xludf.DUMMYFUNCTION("""COMPUTED_VALUE"""),"Dubai&gt;Dubai South&gt;Azizi Venice&gt;Azizi Venice 2")</f>
        <v>Dubai&gt;Dubai South&gt;Azizi Venice&gt;Azizi Venice 2</v>
      </c>
      <c r="E6678" s="2"/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</row>
    <row r="6679" spans="1:26" ht="16.5" x14ac:dyDescent="0.35">
      <c r="A6679" s="2" t="str">
        <f ca="1">IFERROR(__xludf.DUMMYFUNCTION("""COMPUTED_VALUE"""),"Dubai")</f>
        <v>Dubai</v>
      </c>
      <c r="B6679" s="2" t="str">
        <f ca="1">IFERROR(__xludf.DUMMYFUNCTION("""COMPUTED_VALUE"""),"Azizi Venice 14 Building E")</f>
        <v>Azizi Venice 14 Building E</v>
      </c>
      <c r="C6679" s="2" t="str">
        <f ca="1">IFERROR(__xludf.DUMMYFUNCTION("""COMPUTED_VALUE"""),"Building")</f>
        <v>Building</v>
      </c>
      <c r="D6679" s="2" t="str">
        <f ca="1">IFERROR(__xludf.DUMMYFUNCTION("""COMPUTED_VALUE"""),"Dubai&gt;Dubai South&gt;Azizi Venice&gt;Azizi Venice 14&gt;Azizi Venice 14 Building E")</f>
        <v>Dubai&gt;Dubai South&gt;Azizi Venice&gt;Azizi Venice 14&gt;Azizi Venice 14 Building E</v>
      </c>
      <c r="E6679" s="2"/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</row>
    <row r="6680" spans="1:26" ht="16.5" x14ac:dyDescent="0.35">
      <c r="A6680" s="2" t="str">
        <f ca="1">IFERROR(__xludf.DUMMYFUNCTION("""COMPUTED_VALUE"""),"Dubai")</f>
        <v>Dubai</v>
      </c>
      <c r="B6680" s="2" t="str">
        <f ca="1">IFERROR(__xludf.DUMMYFUNCTION("""COMPUTED_VALUE"""),"The Meadows")</f>
        <v>The Meadows</v>
      </c>
      <c r="C6680" s="2" t="str">
        <f ca="1">IFERROR(__xludf.DUMMYFUNCTION("""COMPUTED_VALUE"""),"Neighbourhood")</f>
        <v>Neighbourhood</v>
      </c>
      <c r="D6680" s="2" t="str">
        <f ca="1">IFERROR(__xludf.DUMMYFUNCTION("""COMPUTED_VALUE"""),"Dubai&gt;The Meadows")</f>
        <v>Dubai&gt;The Meadows</v>
      </c>
      <c r="E6680" s="2"/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</row>
    <row r="6681" spans="1:26" ht="16.5" x14ac:dyDescent="0.35">
      <c r="A6681" s="2" t="str">
        <f ca="1">IFERROR(__xludf.DUMMYFUNCTION("""COMPUTED_VALUE"""),"Dubai")</f>
        <v>Dubai</v>
      </c>
      <c r="B6681" s="2" t="str">
        <f ca="1">IFERROR(__xludf.DUMMYFUNCTION("""COMPUTED_VALUE"""),"Al Safa Paradise")</f>
        <v>Al Safa Paradise</v>
      </c>
      <c r="C6681" s="2" t="str">
        <f ca="1">IFERROR(__xludf.DUMMYFUNCTION("""COMPUTED_VALUE"""),"Building")</f>
        <v>Building</v>
      </c>
      <c r="D6681" s="2" t="str">
        <f ca="1">IFERROR(__xludf.DUMMYFUNCTION("""COMPUTED_VALUE"""),"Dubai&gt;Bur Dubai&gt;Oud Metha&gt;Al Safa Paradise")</f>
        <v>Dubai&gt;Bur Dubai&gt;Oud Metha&gt;Al Safa Paradise</v>
      </c>
      <c r="E6681" s="2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</row>
    <row r="6682" spans="1:26" ht="16.5" x14ac:dyDescent="0.35">
      <c r="A6682" s="2" t="str">
        <f ca="1">IFERROR(__xludf.DUMMYFUNCTION("""COMPUTED_VALUE"""),"Dubai")</f>
        <v>Dubai</v>
      </c>
      <c r="B6682" s="2" t="str">
        <f ca="1">IFERROR(__xludf.DUMMYFUNCTION("""COMPUTED_VALUE"""),"Al Nasr Square Block D")</f>
        <v>Al Nasr Square Block D</v>
      </c>
      <c r="C6682" s="2" t="str">
        <f ca="1">IFERROR(__xludf.DUMMYFUNCTION("""COMPUTED_VALUE"""),"Building")</f>
        <v>Building</v>
      </c>
      <c r="D6682" s="2" t="str">
        <f ca="1">IFERROR(__xludf.DUMMYFUNCTION("""COMPUTED_VALUE"""),"Dubai&gt;Bur Dubai&gt;Oud Metha&gt;Al Nasr Square Buildings&gt;Al Nasr Square Block D")</f>
        <v>Dubai&gt;Bur Dubai&gt;Oud Metha&gt;Al Nasr Square Buildings&gt;Al Nasr Square Block D</v>
      </c>
      <c r="E6682" s="2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</row>
    <row r="6683" spans="1:26" ht="16.5" x14ac:dyDescent="0.35">
      <c r="A6683" s="2" t="str">
        <f ca="1">IFERROR(__xludf.DUMMYFUNCTION("""COMPUTED_VALUE"""),"Dubai")</f>
        <v>Dubai</v>
      </c>
      <c r="B6683" s="2" t="str">
        <f ca="1">IFERROR(__xludf.DUMMYFUNCTION("""COMPUTED_VALUE"""),"Rais Hassan Saadi Building")</f>
        <v>Rais Hassan Saadi Building</v>
      </c>
      <c r="C6683" s="2" t="str">
        <f ca="1">IFERROR(__xludf.DUMMYFUNCTION("""COMPUTED_VALUE"""),"Building")</f>
        <v>Building</v>
      </c>
      <c r="D6683" s="2" t="str">
        <f ca="1">IFERROR(__xludf.DUMMYFUNCTION("""COMPUTED_VALUE"""),"Dubai&gt;Bur Dubai&gt;Al Raffa&gt;Rais Hassan Saadi Building")</f>
        <v>Dubai&gt;Bur Dubai&gt;Al Raffa&gt;Rais Hassan Saadi Building</v>
      </c>
      <c r="E6683" s="2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</row>
    <row r="6684" spans="1:26" ht="16.5" x14ac:dyDescent="0.35">
      <c r="A6684" s="2" t="str">
        <f ca="1">IFERROR(__xludf.DUMMYFUNCTION("""COMPUTED_VALUE"""),"Dubai")</f>
        <v>Dubai</v>
      </c>
      <c r="B6684" s="2" t="str">
        <f ca="1">IFERROR(__xludf.DUMMYFUNCTION("""COMPUTED_VALUE"""),"Abdulla Sulemany Building")</f>
        <v>Abdulla Sulemany Building</v>
      </c>
      <c r="C6684" s="2" t="str">
        <f ca="1">IFERROR(__xludf.DUMMYFUNCTION("""COMPUTED_VALUE"""),"Building")</f>
        <v>Building</v>
      </c>
      <c r="D6684" s="2" t="str">
        <f ca="1">IFERROR(__xludf.DUMMYFUNCTION("""COMPUTED_VALUE"""),"Dubai&gt;Bur Dubai&gt;Al Raffa&gt;Abdulla Sulemany Building")</f>
        <v>Dubai&gt;Bur Dubai&gt;Al Raffa&gt;Abdulla Sulemany Building</v>
      </c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</row>
    <row r="6685" spans="1:26" ht="16.5" x14ac:dyDescent="0.35">
      <c r="A6685" s="2" t="str">
        <f ca="1">IFERROR(__xludf.DUMMYFUNCTION("""COMPUTED_VALUE"""),"Dubai")</f>
        <v>Dubai</v>
      </c>
      <c r="B6685" s="2" t="str">
        <f ca="1">IFERROR(__xludf.DUMMYFUNCTION("""COMPUTED_VALUE"""),"Silver Sands 2")</f>
        <v>Silver Sands 2</v>
      </c>
      <c r="C6685" s="2" t="str">
        <f ca="1">IFERROR(__xludf.DUMMYFUNCTION("""COMPUTED_VALUE"""),"Building")</f>
        <v>Building</v>
      </c>
      <c r="D6685" s="2" t="str">
        <f ca="1">IFERROR(__xludf.DUMMYFUNCTION("""COMPUTED_VALUE"""),"Dubai&gt;Bur Dubai&gt;Al Mankhool&gt;Silver Sands 2")</f>
        <v>Dubai&gt;Bur Dubai&gt;Al Mankhool&gt;Silver Sands 2</v>
      </c>
      <c r="E6685" s="2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</row>
    <row r="6686" spans="1:26" ht="16.5" x14ac:dyDescent="0.35">
      <c r="A6686" s="2" t="str">
        <f ca="1">IFERROR(__xludf.DUMMYFUNCTION("""COMPUTED_VALUE"""),"Dubai")</f>
        <v>Dubai</v>
      </c>
      <c r="B6686" s="2" t="str">
        <f ca="1">IFERROR(__xludf.DUMMYFUNCTION("""COMPUTED_VALUE"""),"Masaken Al Mankhool 01")</f>
        <v>Masaken Al Mankhool 01</v>
      </c>
      <c r="C6686" s="2" t="str">
        <f ca="1">IFERROR(__xludf.DUMMYFUNCTION("""COMPUTED_VALUE"""),"Building")</f>
        <v>Building</v>
      </c>
      <c r="D6686" s="2" t="str">
        <f ca="1">IFERROR(__xludf.DUMMYFUNCTION("""COMPUTED_VALUE"""),"Dubai&gt;Bur Dubai&gt;Al Mankhool&gt;Masaken Al Mankhool 01")</f>
        <v>Dubai&gt;Bur Dubai&gt;Al Mankhool&gt;Masaken Al Mankhool 01</v>
      </c>
      <c r="E6686" s="2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</row>
    <row r="6687" spans="1:26" ht="16.5" x14ac:dyDescent="0.35">
      <c r="A6687" s="2" t="str">
        <f ca="1">IFERROR(__xludf.DUMMYFUNCTION("""COMPUTED_VALUE"""),"Dubai")</f>
        <v>Dubai</v>
      </c>
      <c r="B6687" s="2" t="str">
        <f ca="1">IFERROR(__xludf.DUMMYFUNCTION("""COMPUTED_VALUE"""),"Golden Sands 3")</f>
        <v>Golden Sands 3</v>
      </c>
      <c r="C6687" s="2" t="str">
        <f ca="1">IFERROR(__xludf.DUMMYFUNCTION("""COMPUTED_VALUE"""),"Building")</f>
        <v>Building</v>
      </c>
      <c r="D6687" s="2" t="str">
        <f ca="1">IFERROR(__xludf.DUMMYFUNCTION("""COMPUTED_VALUE"""),"Dubai&gt;Bur Dubai&gt;Al Mankhool&gt;Golden Sands 3")</f>
        <v>Dubai&gt;Bur Dubai&gt;Al Mankhool&gt;Golden Sands 3</v>
      </c>
      <c r="E6687" s="2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</row>
    <row r="6688" spans="1:26" ht="16.5" x14ac:dyDescent="0.35">
      <c r="A6688" s="2" t="str">
        <f ca="1">IFERROR(__xludf.DUMMYFUNCTION("""COMPUTED_VALUE"""),"Dubai")</f>
        <v>Dubai</v>
      </c>
      <c r="B6688" s="2" t="str">
        <f ca="1">IFERROR(__xludf.DUMMYFUNCTION("""COMPUTED_VALUE"""),"1 Residences Building 2")</f>
        <v>1 Residences Building 2</v>
      </c>
      <c r="C6688" s="2" t="str">
        <f ca="1">IFERROR(__xludf.DUMMYFUNCTION("""COMPUTED_VALUE"""),"Building")</f>
        <v>Building</v>
      </c>
      <c r="D6688" s="2" t="str">
        <f ca="1">IFERROR(__xludf.DUMMYFUNCTION("""COMPUTED_VALUE"""),"Dubai&gt;Bur Dubai&gt;Al Kifaf&gt;Wasl 1&gt;1 Residences&gt;1 Residences Building 2")</f>
        <v>Dubai&gt;Bur Dubai&gt;Al Kifaf&gt;Wasl 1&gt;1 Residences&gt;1 Residences Building 2</v>
      </c>
      <c r="E6688" s="2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</row>
    <row r="6689" spans="1:26" ht="16.5" x14ac:dyDescent="0.35">
      <c r="A6689" s="2" t="str">
        <f ca="1">IFERROR(__xludf.DUMMYFUNCTION("""COMPUTED_VALUE"""),"Dubai")</f>
        <v>Dubai</v>
      </c>
      <c r="B6689" s="2" t="str">
        <f ca="1">IFERROR(__xludf.DUMMYFUNCTION("""COMPUTED_VALUE"""),"Dar Al Riffa Building")</f>
        <v>Dar Al Riffa Building</v>
      </c>
      <c r="C6689" s="2" t="str">
        <f ca="1">IFERROR(__xludf.DUMMYFUNCTION("""COMPUTED_VALUE"""),"Building")</f>
        <v>Building</v>
      </c>
      <c r="D6689" s="2" t="str">
        <f ca="1">IFERROR(__xludf.DUMMYFUNCTION("""COMPUTED_VALUE"""),"Dubai&gt;Bur Dubai&gt;Al Souk Al Kabeer (Al Fahidi)&gt;Dar Al Riffa Building")</f>
        <v>Dubai&gt;Bur Dubai&gt;Al Souk Al Kabeer (Al Fahidi)&gt;Dar Al Riffa Building</v>
      </c>
      <c r="E6689" s="2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</row>
    <row r="6690" spans="1:26" ht="16.5" x14ac:dyDescent="0.35">
      <c r="A6690" s="2" t="str">
        <f ca="1">IFERROR(__xludf.DUMMYFUNCTION("""COMPUTED_VALUE"""),"Dubai")</f>
        <v>Dubai</v>
      </c>
      <c r="B6690" s="2" t="str">
        <f ca="1">IFERROR(__xludf.DUMMYFUNCTION("""COMPUTED_VALUE"""),"Ismail Ali Mohammed Haji and Sons Building")</f>
        <v>Ismail Ali Mohammed Haji and Sons Building</v>
      </c>
      <c r="C6690" s="2" t="str">
        <f ca="1">IFERROR(__xludf.DUMMYFUNCTION("""COMPUTED_VALUE"""),"Building")</f>
        <v>Building</v>
      </c>
      <c r="D6690" s="2" t="str">
        <f ca="1">IFERROR(__xludf.DUMMYFUNCTION("""COMPUTED_VALUE"""),"Dubai&gt;Bur Dubai&gt;Al Souk Al Kabeer (Al Fahidi)&gt;Ismail Ali Mohammed Haji and Sons Building")</f>
        <v>Dubai&gt;Bur Dubai&gt;Al Souk Al Kabeer (Al Fahidi)&gt;Ismail Ali Mohammed Haji and Sons Building</v>
      </c>
      <c r="E6690" s="2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</row>
    <row r="6691" spans="1:26" ht="16.5" x14ac:dyDescent="0.35">
      <c r="A6691" s="2" t="str">
        <f ca="1">IFERROR(__xludf.DUMMYFUNCTION("""COMPUTED_VALUE"""),"Dubai")</f>
        <v>Dubai</v>
      </c>
      <c r="B6691" s="2" t="str">
        <f ca="1">IFERROR(__xludf.DUMMYFUNCTION("""COMPUTED_VALUE"""),"Al Sharafi Building")</f>
        <v>Al Sharafi Building</v>
      </c>
      <c r="C6691" s="2" t="str">
        <f ca="1">IFERROR(__xludf.DUMMYFUNCTION("""COMPUTED_VALUE"""),"Building")</f>
        <v>Building</v>
      </c>
      <c r="D6691" s="2" t="str">
        <f ca="1">IFERROR(__xludf.DUMMYFUNCTION("""COMPUTED_VALUE"""),"Dubai&gt;Bur Dubai&gt;Al Hamriya&gt;Al Sharafi Building")</f>
        <v>Dubai&gt;Bur Dubai&gt;Al Hamriya&gt;Al Sharafi Building</v>
      </c>
      <c r="E6691" s="2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</row>
    <row r="6692" spans="1:26" ht="16.5" x14ac:dyDescent="0.35">
      <c r="A6692" s="2" t="str">
        <f ca="1">IFERROR(__xludf.DUMMYFUNCTION("""COMPUTED_VALUE"""),"Dubai")</f>
        <v>Dubai</v>
      </c>
      <c r="B6692" s="2" t="str">
        <f ca="1">IFERROR(__xludf.DUMMYFUNCTION("""COMPUTED_VALUE"""),"Marina Cubes")</f>
        <v>Marina Cubes</v>
      </c>
      <c r="C6692" s="2" t="str">
        <f ca="1">IFERROR(__xludf.DUMMYFUNCTION("""COMPUTED_VALUE"""),"Cluster")</f>
        <v>Cluster</v>
      </c>
      <c r="D6692" s="2" t="str">
        <f ca="1">IFERROR(__xludf.DUMMYFUNCTION("""COMPUTED_VALUE"""),"Dubai&gt;Bur Dubai&gt;Marina Cubes")</f>
        <v>Dubai&gt;Bur Dubai&gt;Marina Cubes</v>
      </c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</row>
    <row r="6693" spans="1:26" ht="16.5" x14ac:dyDescent="0.35">
      <c r="A6693" s="2" t="str">
        <f ca="1">IFERROR(__xludf.DUMMYFUNCTION("""COMPUTED_VALUE"""),"Dubai")</f>
        <v>Dubai</v>
      </c>
      <c r="B6693" s="2" t="str">
        <f ca="1">IFERROR(__xludf.DUMMYFUNCTION("""COMPUTED_VALUE"""),"Lime Tree Valley")</f>
        <v>Lime Tree Valley</v>
      </c>
      <c r="C6693" s="2" t="str">
        <f ca="1">IFERROR(__xludf.DUMMYFUNCTION("""COMPUTED_VALUE"""),"Neighbourhood")</f>
        <v>Neighbourhood</v>
      </c>
      <c r="D6693" s="2" t="str">
        <f ca="1">IFERROR(__xludf.DUMMYFUNCTION("""COMPUTED_VALUE"""),"Dubai&gt;Jumeirah Golf Estates&gt;Lime Tree Valley")</f>
        <v>Dubai&gt;Jumeirah Golf Estates&gt;Lime Tree Valley</v>
      </c>
      <c r="E6693" s="2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</row>
    <row r="6694" spans="1:26" ht="16.5" x14ac:dyDescent="0.35">
      <c r="A6694" s="2" t="str">
        <f ca="1">IFERROR(__xludf.DUMMYFUNCTION("""COMPUTED_VALUE"""),"Dubai")</f>
        <v>Dubai</v>
      </c>
      <c r="B6694" s="2" t="str">
        <f ca="1">IFERROR(__xludf.DUMMYFUNCTION("""COMPUTED_VALUE"""),"Beach Mansion Tower 1")</f>
        <v>Beach Mansion Tower 1</v>
      </c>
      <c r="C6694" s="2" t="str">
        <f ca="1">IFERROR(__xludf.DUMMYFUNCTION("""COMPUTED_VALUE"""),"Building")</f>
        <v>Building</v>
      </c>
      <c r="D6694" s="2" t="str">
        <f ca="1">IFERROR(__xludf.DUMMYFUNCTION("""COMPUTED_VALUE"""),"Dubai&gt;Dubai Harbour&gt;Emaar Beachfront&gt;Beach Mansion&gt;Beach Mansion Tower 1")</f>
        <v>Dubai&gt;Dubai Harbour&gt;Emaar Beachfront&gt;Beach Mansion&gt;Beach Mansion Tower 1</v>
      </c>
      <c r="E6694" s="2"/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</row>
    <row r="6695" spans="1:26" ht="16.5" x14ac:dyDescent="0.35">
      <c r="A6695" s="2" t="str">
        <f ca="1">IFERROR(__xludf.DUMMYFUNCTION("""COMPUTED_VALUE"""),"Dubai")</f>
        <v>Dubai</v>
      </c>
      <c r="B6695" s="2" t="str">
        <f ca="1">IFERROR(__xludf.DUMMYFUNCTION("""COMPUTED_VALUE"""),"Amargo")</f>
        <v>Amargo</v>
      </c>
      <c r="C6695" s="2" t="str">
        <f ca="1">IFERROR(__xludf.DUMMYFUNCTION("""COMPUTED_VALUE"""),"Neighbourhood")</f>
        <v>Neighbourhood</v>
      </c>
      <c r="D6695" s="2" t="str">
        <f ca="1">IFERROR(__xludf.DUMMYFUNCTION("""COMPUTED_VALUE"""),"Dubai&gt;DAMAC Hills 2 (Akoya by DAMAC)&gt;Amargo")</f>
        <v>Dubai&gt;DAMAC Hills 2 (Akoya by DAMAC)&gt;Amargo</v>
      </c>
      <c r="E6695" s="2"/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</row>
    <row r="6696" spans="1:26" ht="16.5" x14ac:dyDescent="0.35">
      <c r="A6696" s="2" t="str">
        <f ca="1">IFERROR(__xludf.DUMMYFUNCTION("""COMPUTED_VALUE"""),"Dubai")</f>
        <v>Dubai</v>
      </c>
      <c r="B6696" s="2" t="str">
        <f ca="1">IFERROR(__xludf.DUMMYFUNCTION("""COMPUTED_VALUE"""),"Edge by Rotana")</f>
        <v>Edge by Rotana</v>
      </c>
      <c r="C6696" s="2" t="str">
        <f ca="1">IFERROR(__xludf.DUMMYFUNCTION("""COMPUTED_VALUE"""),"Building")</f>
        <v>Building</v>
      </c>
      <c r="D6696" s="2" t="str">
        <f ca="1">IFERROR(__xludf.DUMMYFUNCTION("""COMPUTED_VALUE"""),"Dubai&gt;DAMAC Hills 2 (Akoya by DAMAC)&gt;Edge by Rotana")</f>
        <v>Dubai&gt;DAMAC Hills 2 (Akoya by DAMAC)&gt;Edge by Rotana</v>
      </c>
      <c r="E6696" s="2"/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</row>
    <row r="6697" spans="1:26" ht="16.5" x14ac:dyDescent="0.35">
      <c r="A6697" s="2" t="str">
        <f ca="1">IFERROR(__xludf.DUMMYFUNCTION("""COMPUTED_VALUE"""),"Dubai")</f>
        <v>Dubai</v>
      </c>
      <c r="B6697" s="2" t="str">
        <f ca="1">IFERROR(__xludf.DUMMYFUNCTION("""COMPUTED_VALUE"""),"I-15")</f>
        <v>I-15</v>
      </c>
      <c r="C6697" s="2" t="str">
        <f ca="1">IFERROR(__xludf.DUMMYFUNCTION("""COMPUTED_VALUE"""),"Building")</f>
        <v>Building</v>
      </c>
      <c r="D6697" s="2" t="str">
        <f ca="1">IFERROR(__xludf.DUMMYFUNCTION("""COMPUTED_VALUE"""),"Dubai&gt;International City&gt;Morocco Cluster&gt;I-15")</f>
        <v>Dubai&gt;International City&gt;Morocco Cluster&gt;I-15</v>
      </c>
      <c r="E6697" s="2"/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</row>
    <row r="6698" spans="1:26" ht="16.5" x14ac:dyDescent="0.35">
      <c r="A6698" s="2" t="str">
        <f ca="1">IFERROR(__xludf.DUMMYFUNCTION("""COMPUTED_VALUE"""),"Dubai")</f>
        <v>Dubai</v>
      </c>
      <c r="B6698" s="2" t="str">
        <f ca="1">IFERROR(__xludf.DUMMYFUNCTION("""COMPUTED_VALUE"""),"Souk Warsan Block G")</f>
        <v>Souk Warsan Block G</v>
      </c>
      <c r="C6698" s="2" t="str">
        <f ca="1">IFERROR(__xludf.DUMMYFUNCTION("""COMPUTED_VALUE"""),"Building")</f>
        <v>Building</v>
      </c>
      <c r="D6698" s="2" t="str">
        <f ca="1">IFERROR(__xludf.DUMMYFUNCTION("""COMPUTED_VALUE"""),"Dubai&gt;International City&gt;Warsan Village&gt;Souk Warsan&gt;Souk Warsan Block G")</f>
        <v>Dubai&gt;International City&gt;Warsan Village&gt;Souk Warsan&gt;Souk Warsan Block G</v>
      </c>
      <c r="E6698" s="2"/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</row>
    <row r="6699" spans="1:26" ht="16.5" x14ac:dyDescent="0.35">
      <c r="A6699" s="2" t="str">
        <f ca="1">IFERROR(__xludf.DUMMYFUNCTION("""COMPUTED_VALUE"""),"Dubai")</f>
        <v>Dubai</v>
      </c>
      <c r="B6699" s="2" t="str">
        <f ca="1">IFERROR(__xludf.DUMMYFUNCTION("""COMPUTED_VALUE"""),"B-02")</f>
        <v>B-02</v>
      </c>
      <c r="C6699" s="2" t="str">
        <f ca="1">IFERROR(__xludf.DUMMYFUNCTION("""COMPUTED_VALUE"""),"Building")</f>
        <v>Building</v>
      </c>
      <c r="D6699" s="2" t="str">
        <f ca="1">IFERROR(__xludf.DUMMYFUNCTION("""COMPUTED_VALUE"""),"Dubai&gt;International City&gt;China Cluster&gt;B-02")</f>
        <v>Dubai&gt;International City&gt;China Cluster&gt;B-02</v>
      </c>
      <c r="E6699" s="2"/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</row>
    <row r="6700" spans="1:26" ht="16.5" x14ac:dyDescent="0.35">
      <c r="A6700" s="2" t="str">
        <f ca="1">IFERROR(__xludf.DUMMYFUNCTION("""COMPUTED_VALUE"""),"Dubai")</f>
        <v>Dubai</v>
      </c>
      <c r="B6700" s="2" t="str">
        <f ca="1">IFERROR(__xludf.DUMMYFUNCTION("""COMPUTED_VALUE"""),"E-01")</f>
        <v>E-01</v>
      </c>
      <c r="C6700" s="2" t="str">
        <f ca="1">IFERROR(__xludf.DUMMYFUNCTION("""COMPUTED_VALUE"""),"Building")</f>
        <v>Building</v>
      </c>
      <c r="D6700" s="2" t="str">
        <f ca="1">IFERROR(__xludf.DUMMYFUNCTION("""COMPUTED_VALUE"""),"Dubai&gt;International City&gt;China Cluster&gt;E-01")</f>
        <v>Dubai&gt;International City&gt;China Cluster&gt;E-01</v>
      </c>
      <c r="E6700" s="2"/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</row>
    <row r="6701" spans="1:26" ht="16.5" x14ac:dyDescent="0.35">
      <c r="A6701" s="2" t="str">
        <f ca="1">IFERROR(__xludf.DUMMYFUNCTION("""COMPUTED_VALUE"""),"Dubai")</f>
        <v>Dubai</v>
      </c>
      <c r="B6701" s="2" t="str">
        <f ca="1">IFERROR(__xludf.DUMMYFUNCTION("""COMPUTED_VALUE"""),"Spain Cluster")</f>
        <v>Spain Cluster</v>
      </c>
      <c r="C6701" s="2" t="str">
        <f ca="1">IFERROR(__xludf.DUMMYFUNCTION("""COMPUTED_VALUE"""),"Neighbourhood")</f>
        <v>Neighbourhood</v>
      </c>
      <c r="D6701" s="2" t="str">
        <f ca="1">IFERROR(__xludf.DUMMYFUNCTION("""COMPUTED_VALUE"""),"Dubai&gt;International City&gt;Spain Cluster")</f>
        <v>Dubai&gt;International City&gt;Spain Cluster</v>
      </c>
      <c r="E6701" s="2"/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</row>
    <row r="6702" spans="1:26" ht="16.5" x14ac:dyDescent="0.35">
      <c r="A6702" s="2" t="str">
        <f ca="1">IFERROR(__xludf.DUMMYFUNCTION("""COMPUTED_VALUE"""),"Dubai")</f>
        <v>Dubai</v>
      </c>
      <c r="B6702" s="2" t="str">
        <f ca="1">IFERROR(__xludf.DUMMYFUNCTION("""COMPUTED_VALUE"""),"S-08")</f>
        <v>S-08</v>
      </c>
      <c r="C6702" s="2" t="str">
        <f ca="1">IFERROR(__xludf.DUMMYFUNCTION("""COMPUTED_VALUE"""),"Building")</f>
        <v>Building</v>
      </c>
      <c r="D6702" s="2" t="str">
        <f ca="1">IFERROR(__xludf.DUMMYFUNCTION("""COMPUTED_VALUE"""),"Dubai&gt;International City&gt;Spain Cluster&gt;S-08")</f>
        <v>Dubai&gt;International City&gt;Spain Cluster&gt;S-08</v>
      </c>
      <c r="E6702" s="2"/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</row>
    <row r="6703" spans="1:26" ht="16.5" x14ac:dyDescent="0.35">
      <c r="A6703" s="2" t="str">
        <f ca="1">IFERROR(__xludf.DUMMYFUNCTION("""COMPUTED_VALUE"""),"Dubai")</f>
        <v>Dubai</v>
      </c>
      <c r="B6703" s="2" t="str">
        <f ca="1">IFERROR(__xludf.DUMMYFUNCTION("""COMPUTED_VALUE"""),"Russia Cluster")</f>
        <v>Russia Cluster</v>
      </c>
      <c r="C6703" s="2" t="str">
        <f ca="1">IFERROR(__xludf.DUMMYFUNCTION("""COMPUTED_VALUE"""),"Neighbourhood")</f>
        <v>Neighbourhood</v>
      </c>
      <c r="D6703" s="2" t="str">
        <f ca="1">IFERROR(__xludf.DUMMYFUNCTION("""COMPUTED_VALUE"""),"Dubai&gt;International City&gt;Russia Cluster")</f>
        <v>Dubai&gt;International City&gt;Russia Cluster</v>
      </c>
      <c r="E6703" s="2"/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</row>
    <row r="6704" spans="1:26" ht="16.5" x14ac:dyDescent="0.35">
      <c r="A6704" s="2" t="str">
        <f ca="1">IFERROR(__xludf.DUMMYFUNCTION("""COMPUTED_VALUE"""),"Dubai")</f>
        <v>Dubai</v>
      </c>
      <c r="B6704" s="2" t="str">
        <f ca="1">IFERROR(__xludf.DUMMYFUNCTION("""COMPUTED_VALUE"""),"W-07")</f>
        <v>W-07</v>
      </c>
      <c r="C6704" s="2" t="str">
        <f ca="1">IFERROR(__xludf.DUMMYFUNCTION("""COMPUTED_VALUE"""),"Building")</f>
        <v>Building</v>
      </c>
      <c r="D6704" s="2" t="str">
        <f ca="1">IFERROR(__xludf.DUMMYFUNCTION("""COMPUTED_VALUE"""),"Dubai&gt;International City&gt;Russia Cluster&gt;W-07")</f>
        <v>Dubai&gt;International City&gt;Russia Cluster&gt;W-07</v>
      </c>
      <c r="E6704" s="2"/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</row>
    <row r="6705" spans="1:26" ht="16.5" x14ac:dyDescent="0.35">
      <c r="A6705" s="2" t="str">
        <f ca="1">IFERROR(__xludf.DUMMYFUNCTION("""COMPUTED_VALUE"""),"Dubai")</f>
        <v>Dubai</v>
      </c>
      <c r="B6705" s="2" t="str">
        <f ca="1">IFERROR(__xludf.DUMMYFUNCTION("""COMPUTED_VALUE"""),"N-09")</f>
        <v>N-09</v>
      </c>
      <c r="C6705" s="2" t="str">
        <f ca="1">IFERROR(__xludf.DUMMYFUNCTION("""COMPUTED_VALUE"""),"Building")</f>
        <v>Building</v>
      </c>
      <c r="D6705" s="2" t="str">
        <f ca="1">IFERROR(__xludf.DUMMYFUNCTION("""COMPUTED_VALUE"""),"Dubai&gt;International City&gt;Persia Cluster&gt;N-09")</f>
        <v>Dubai&gt;International City&gt;Persia Cluster&gt;N-09</v>
      </c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</row>
    <row r="6706" spans="1:26" ht="16.5" x14ac:dyDescent="0.35">
      <c r="A6706" s="2" t="str">
        <f ca="1">IFERROR(__xludf.DUMMYFUNCTION("""COMPUTED_VALUE"""),"Dubai")</f>
        <v>Dubai</v>
      </c>
      <c r="B6706" s="2" t="str">
        <f ca="1">IFERROR(__xludf.DUMMYFUNCTION("""COMPUTED_VALUE"""),"EMR-18")</f>
        <v>EMR-18</v>
      </c>
      <c r="C6706" s="2" t="str">
        <f ca="1">IFERROR(__xludf.DUMMYFUNCTION("""COMPUTED_VALUE"""),"Building")</f>
        <v>Building</v>
      </c>
      <c r="D6706" s="2" t="str">
        <f ca="1">IFERROR(__xludf.DUMMYFUNCTION("""COMPUTED_VALUE"""),"Dubai&gt;International City&gt;Emirates Cluster&gt;EMR-18")</f>
        <v>Dubai&gt;International City&gt;Emirates Cluster&gt;EMR-18</v>
      </c>
      <c r="E6706" s="2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</row>
    <row r="6707" spans="1:26" ht="16.5" x14ac:dyDescent="0.35">
      <c r="A6707" s="2" t="str">
        <f ca="1">IFERROR(__xludf.DUMMYFUNCTION("""COMPUTED_VALUE"""),"Dubai")</f>
        <v>Dubai</v>
      </c>
      <c r="B6707" s="2" t="str">
        <f ca="1">IFERROR(__xludf.DUMMYFUNCTION("""COMPUTED_VALUE"""),"Y-03")</f>
        <v>Y-03</v>
      </c>
      <c r="C6707" s="2" t="str">
        <f ca="1">IFERROR(__xludf.DUMMYFUNCTION("""COMPUTED_VALUE"""),"Building")</f>
        <v>Building</v>
      </c>
      <c r="D6707" s="2" t="str">
        <f ca="1">IFERROR(__xludf.DUMMYFUNCTION("""COMPUTED_VALUE"""),"Dubai&gt;International City&gt;England Cluster&gt;Y-03")</f>
        <v>Dubai&gt;International City&gt;England Cluster&gt;Y-03</v>
      </c>
      <c r="E6707" s="2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</row>
    <row r="6708" spans="1:26" ht="16.5" x14ac:dyDescent="0.35">
      <c r="A6708" s="2" t="str">
        <f ca="1">IFERROR(__xludf.DUMMYFUNCTION("""COMPUTED_VALUE"""),"Dubai")</f>
        <v>Dubai</v>
      </c>
      <c r="B6708" s="2" t="str">
        <f ca="1">IFERROR(__xludf.DUMMYFUNCTION("""COMPUTED_VALUE"""),"F49 Avenue Building")</f>
        <v>F49 Avenue Building</v>
      </c>
      <c r="C6708" s="2" t="str">
        <f ca="1">IFERROR(__xludf.DUMMYFUNCTION("""COMPUTED_VALUE"""),"Building")</f>
        <v>Building</v>
      </c>
      <c r="D6708" s="2" t="str">
        <f ca="1">IFERROR(__xludf.DUMMYFUNCTION("""COMPUTED_VALUE"""),"Dubai&gt;International City&gt;International City Phase 2 (Warsan 4)&gt;F49 Avenue Building")</f>
        <v>Dubai&gt;International City&gt;International City Phase 2 (Warsan 4)&gt;F49 Avenue Building</v>
      </c>
      <c r="E6708" s="2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</row>
    <row r="6709" spans="1:26" ht="16.5" x14ac:dyDescent="0.35">
      <c r="A6709" s="2" t="str">
        <f ca="1">IFERROR(__xludf.DUMMYFUNCTION("""COMPUTED_VALUE"""),"Dubai")</f>
        <v>Dubai</v>
      </c>
      <c r="B6709" s="2" t="str">
        <f ca="1">IFERROR(__xludf.DUMMYFUNCTION("""COMPUTED_VALUE"""),"S.P Residence")</f>
        <v>S.P Residence</v>
      </c>
      <c r="C6709" s="2" t="str">
        <f ca="1">IFERROR(__xludf.DUMMYFUNCTION("""COMPUTED_VALUE"""),"Building")</f>
        <v>Building</v>
      </c>
      <c r="D6709" s="2" t="str">
        <f ca="1">IFERROR(__xludf.DUMMYFUNCTION("""COMPUTED_VALUE"""),"Dubai&gt;International City&gt;International City Phase 2 (Warsan 4)&gt;S.P Residence")</f>
        <v>Dubai&gt;International City&gt;International City Phase 2 (Warsan 4)&gt;S.P Residence</v>
      </c>
      <c r="E6709" s="2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</row>
    <row r="6710" spans="1:26" ht="16.5" x14ac:dyDescent="0.35">
      <c r="A6710" s="2" t="str">
        <f ca="1">IFERROR(__xludf.DUMMYFUNCTION("""COMPUTED_VALUE"""),"Dubai")</f>
        <v>Dubai</v>
      </c>
      <c r="B6710" s="2" t="str">
        <f ca="1">IFERROR(__xludf.DUMMYFUNCTION("""COMPUTED_VALUE"""),"Dome 1 Building")</f>
        <v>Dome 1 Building</v>
      </c>
      <c r="C6710" s="2" t="str">
        <f ca="1">IFERROR(__xludf.DUMMYFUNCTION("""COMPUTED_VALUE"""),"Building")</f>
        <v>Building</v>
      </c>
      <c r="D6710" s="2" t="str">
        <f ca="1">IFERROR(__xludf.DUMMYFUNCTION("""COMPUTED_VALUE"""),"Dubai&gt;International City&gt;International City Phase 2 (Warsan 4)&gt;Dome 1 Building")</f>
        <v>Dubai&gt;International City&gt;International City Phase 2 (Warsan 4)&gt;Dome 1 Building</v>
      </c>
      <c r="E6710" s="2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</row>
    <row r="6711" spans="1:26" ht="16.5" x14ac:dyDescent="0.35">
      <c r="A6711" s="2" t="str">
        <f ca="1">IFERROR(__xludf.DUMMYFUNCTION("""COMPUTED_VALUE"""),"Dubai")</f>
        <v>Dubai</v>
      </c>
      <c r="B6711" s="2" t="str">
        <f ca="1">IFERROR(__xludf.DUMMYFUNCTION("""COMPUTED_VALUE"""),"KHK 21")</f>
        <v>KHK 21</v>
      </c>
      <c r="C6711" s="2" t="str">
        <f ca="1">IFERROR(__xludf.DUMMYFUNCTION("""COMPUTED_VALUE"""),"Building")</f>
        <v>Building</v>
      </c>
      <c r="D6711" s="2" t="str">
        <f ca="1">IFERROR(__xludf.DUMMYFUNCTION("""COMPUTED_VALUE"""),"Dubai&gt;International City&gt;International City Phase 2 (Warsan 4)&gt;KHK 21")</f>
        <v>Dubai&gt;International City&gt;International City Phase 2 (Warsan 4)&gt;KHK 21</v>
      </c>
      <c r="E6711" s="2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</row>
    <row r="6712" spans="1:26" ht="16.5" x14ac:dyDescent="0.35">
      <c r="A6712" s="2" t="str">
        <f ca="1">IFERROR(__xludf.DUMMYFUNCTION("""COMPUTED_VALUE"""),"Dubai")</f>
        <v>Dubai</v>
      </c>
      <c r="B6712" s="2" t="str">
        <f ca="1">IFERROR(__xludf.DUMMYFUNCTION("""COMPUTED_VALUE"""),"08 Life Residences")</f>
        <v>08 Life Residences</v>
      </c>
      <c r="C6712" s="2" t="str">
        <f ca="1">IFERROR(__xludf.DUMMYFUNCTION("""COMPUTED_VALUE"""),"Building")</f>
        <v>Building</v>
      </c>
      <c r="D6712" s="2" t="str">
        <f ca="1">IFERROR(__xludf.DUMMYFUNCTION("""COMPUTED_VALUE"""),"Dubai&gt;International City&gt;International City Phase 2 (Warsan 4)&gt;08 Life Residences")</f>
        <v>Dubai&gt;International City&gt;International City Phase 2 (Warsan 4)&gt;08 Life Residences</v>
      </c>
      <c r="E6712" s="2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</row>
    <row r="6713" spans="1:26" ht="16.5" x14ac:dyDescent="0.35">
      <c r="A6713" s="2" t="str">
        <f ca="1">IFERROR(__xludf.DUMMYFUNCTION("""COMPUTED_VALUE"""),"Dubai")</f>
        <v>Dubai</v>
      </c>
      <c r="B6713" s="2" t="str">
        <f ca="1">IFERROR(__xludf.DUMMYFUNCTION("""COMPUTED_VALUE"""),"K-01")</f>
        <v>K-01</v>
      </c>
      <c r="C6713" s="2" t="str">
        <f ca="1">IFERROR(__xludf.DUMMYFUNCTION("""COMPUTED_VALUE"""),"Building")</f>
        <v>Building</v>
      </c>
      <c r="D6713" s="2" t="str">
        <f ca="1">IFERROR(__xludf.DUMMYFUNCTION("""COMPUTED_VALUE"""),"Dubai&gt;International City&gt;Greece Cluster&gt;K-01")</f>
        <v>Dubai&gt;International City&gt;Greece Cluster&gt;K-01</v>
      </c>
      <c r="E6713" s="2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</row>
    <row r="6714" spans="1:26" ht="16.5" x14ac:dyDescent="0.35">
      <c r="A6714" s="2" t="str">
        <f ca="1">IFERROR(__xludf.DUMMYFUNCTION("""COMPUTED_VALUE"""),"Dubai")</f>
        <v>Dubai</v>
      </c>
      <c r="B6714" s="2" t="str">
        <f ca="1">IFERROR(__xludf.DUMMYFUNCTION("""COMPUTED_VALUE"""),"P-22")</f>
        <v>P-22</v>
      </c>
      <c r="C6714" s="2" t="str">
        <f ca="1">IFERROR(__xludf.DUMMYFUNCTION("""COMPUTED_VALUE"""),"Building")</f>
        <v>Building</v>
      </c>
      <c r="D6714" s="2" t="str">
        <f ca="1">IFERROR(__xludf.DUMMYFUNCTION("""COMPUTED_VALUE"""),"Dubai&gt;International City&gt;France Cluster&gt;P-22")</f>
        <v>Dubai&gt;International City&gt;France Cluster&gt;P-22</v>
      </c>
      <c r="E6714" s="2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</row>
    <row r="6715" spans="1:26" ht="16.5" x14ac:dyDescent="0.35">
      <c r="A6715" s="2" t="str">
        <f ca="1">IFERROR(__xludf.DUMMYFUNCTION("""COMPUTED_VALUE"""),"Dubai")</f>
        <v>Dubai</v>
      </c>
      <c r="B6715" s="2" t="str">
        <f ca="1">IFERROR(__xludf.DUMMYFUNCTION("""COMPUTED_VALUE"""),"R-13")</f>
        <v>R-13</v>
      </c>
      <c r="C6715" s="2" t="str">
        <f ca="1">IFERROR(__xludf.DUMMYFUNCTION("""COMPUTED_VALUE"""),"Building")</f>
        <v>Building</v>
      </c>
      <c r="D6715" s="2" t="str">
        <f ca="1">IFERROR(__xludf.DUMMYFUNCTION("""COMPUTED_VALUE"""),"Dubai&gt;International City&gt;France Cluster&gt;R-13")</f>
        <v>Dubai&gt;International City&gt;France Cluster&gt;R-13</v>
      </c>
      <c r="E6715" s="2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</row>
    <row r="6716" spans="1:26" ht="16.5" x14ac:dyDescent="0.35">
      <c r="A6716" s="2" t="str">
        <f ca="1">IFERROR(__xludf.DUMMYFUNCTION("""COMPUTED_VALUE"""),"Dubai")</f>
        <v>Dubai</v>
      </c>
      <c r="B6716" s="2" t="str">
        <f ca="1">IFERROR(__xludf.DUMMYFUNCTION("""COMPUTED_VALUE"""),"Solanki Palacio")</f>
        <v>Solanki Palacio</v>
      </c>
      <c r="C6716" s="2" t="str">
        <f ca="1">IFERROR(__xludf.DUMMYFUNCTION("""COMPUTED_VALUE"""),"Building")</f>
        <v>Building</v>
      </c>
      <c r="D6716" s="2" t="str">
        <f ca="1">IFERROR(__xludf.DUMMYFUNCTION("""COMPUTED_VALUE"""),"Dubai&gt;International City&gt;Central Business District&gt;Solanki Palacio")</f>
        <v>Dubai&gt;International City&gt;Central Business District&gt;Solanki Palacio</v>
      </c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</row>
    <row r="6717" spans="1:26" ht="16.5" x14ac:dyDescent="0.35">
      <c r="A6717" s="2" t="str">
        <f ca="1">IFERROR(__xludf.DUMMYFUNCTION("""COMPUTED_VALUE"""),"Dubai")</f>
        <v>Dubai</v>
      </c>
      <c r="B6717" s="2" t="str">
        <f ca="1">IFERROR(__xludf.DUMMYFUNCTION("""COMPUTED_VALUE"""),"CBD-E05")</f>
        <v>CBD-E05</v>
      </c>
      <c r="C6717" s="2" t="str">
        <f ca="1">IFERROR(__xludf.DUMMYFUNCTION("""COMPUTED_VALUE"""),"Building")</f>
        <v>Building</v>
      </c>
      <c r="D6717" s="2" t="str">
        <f ca="1">IFERROR(__xludf.DUMMYFUNCTION("""COMPUTED_VALUE"""),"Dubai&gt;International City&gt;Central Business District&gt;CBD-E05")</f>
        <v>Dubai&gt;International City&gt;Central Business District&gt;CBD-E05</v>
      </c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</row>
    <row r="6718" spans="1:26" ht="16.5" x14ac:dyDescent="0.35">
      <c r="A6718" s="2" t="str">
        <f ca="1">IFERROR(__xludf.DUMMYFUNCTION("""COMPUTED_VALUE"""),"Dubai")</f>
        <v>Dubai</v>
      </c>
      <c r="B6718" s="2" t="str">
        <f ca="1">IFERROR(__xludf.DUMMYFUNCTION("""COMPUTED_VALUE"""),"Studio One Tower")</f>
        <v>Studio One Tower</v>
      </c>
      <c r="C6718" s="2" t="str">
        <f ca="1">IFERROR(__xludf.DUMMYFUNCTION("""COMPUTED_VALUE"""),"Building")</f>
        <v>Building</v>
      </c>
      <c r="D6718" s="2" t="str">
        <f ca="1">IFERROR(__xludf.DUMMYFUNCTION("""COMPUTED_VALUE"""),"Dubai&gt;Dubai Marina&gt;Studio One Tower")</f>
        <v>Dubai&gt;Dubai Marina&gt;Studio One Tower</v>
      </c>
      <c r="E6718" s="2"/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</row>
    <row r="6719" spans="1:26" ht="16.5" x14ac:dyDescent="0.35">
      <c r="A6719" s="2" t="str">
        <f ca="1">IFERROR(__xludf.DUMMYFUNCTION("""COMPUTED_VALUE"""),"Dubai")</f>
        <v>Dubai</v>
      </c>
      <c r="B6719" s="2" t="str">
        <f ca="1">IFERROR(__xludf.DUMMYFUNCTION("""COMPUTED_VALUE"""),"Trident Grand Residence")</f>
        <v>Trident Grand Residence</v>
      </c>
      <c r="C6719" s="2" t="str">
        <f ca="1">IFERROR(__xludf.DUMMYFUNCTION("""COMPUTED_VALUE"""),"Building")</f>
        <v>Building</v>
      </c>
      <c r="D6719" s="2" t="str">
        <f ca="1">IFERROR(__xludf.DUMMYFUNCTION("""COMPUTED_VALUE"""),"Dubai&gt;Dubai Marina&gt;Trident Grand Residence")</f>
        <v>Dubai&gt;Dubai Marina&gt;Trident Grand Residence</v>
      </c>
      <c r="E6719" s="2"/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</row>
    <row r="6720" spans="1:26" ht="16.5" x14ac:dyDescent="0.35">
      <c r="A6720" s="2" t="str">
        <f ca="1">IFERROR(__xludf.DUMMYFUNCTION("""COMPUTED_VALUE"""),"Dubai")</f>
        <v>Dubai</v>
      </c>
      <c r="B6720" s="2" t="str">
        <f ca="1">IFERROR(__xludf.DUMMYFUNCTION("""COMPUTED_VALUE"""),"Marina Royale Tower")</f>
        <v>Marina Royale Tower</v>
      </c>
      <c r="C6720" s="2" t="str">
        <f ca="1">IFERROR(__xludf.DUMMYFUNCTION("""COMPUTED_VALUE"""),"Building")</f>
        <v>Building</v>
      </c>
      <c r="D6720" s="2" t="str">
        <f ca="1">IFERROR(__xludf.DUMMYFUNCTION("""COMPUTED_VALUE"""),"Dubai&gt;Dubai Marina&gt;Marina Royale Tower")</f>
        <v>Dubai&gt;Dubai Marina&gt;Marina Royale Tower</v>
      </c>
      <c r="E6720" s="2"/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</row>
    <row r="6721" spans="1:26" ht="16.5" x14ac:dyDescent="0.35">
      <c r="A6721" s="2" t="str">
        <f ca="1">IFERROR(__xludf.DUMMYFUNCTION("""COMPUTED_VALUE"""),"Dubai")</f>
        <v>Dubai</v>
      </c>
      <c r="B6721" s="2" t="str">
        <f ca="1">IFERROR(__xludf.DUMMYFUNCTION("""COMPUTED_VALUE"""),"Al Anbar Villas")</f>
        <v>Al Anbar Villas</v>
      </c>
      <c r="C6721" s="2" t="str">
        <f ca="1">IFERROR(__xludf.DUMMYFUNCTION("""COMPUTED_VALUE"""),"Neighbourhood")</f>
        <v>Neighbourhood</v>
      </c>
      <c r="D6721" s="2" t="str">
        <f ca="1">IFERROR(__xludf.DUMMYFUNCTION("""COMPUTED_VALUE"""),"Dubai&gt;Dubai Marina&gt;Dubai Marina Towers&gt;Al Anbar Villas")</f>
        <v>Dubai&gt;Dubai Marina&gt;Dubai Marina Towers&gt;Al Anbar Villas</v>
      </c>
      <c r="E6721" s="2"/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</row>
    <row r="6722" spans="1:26" ht="16.5" x14ac:dyDescent="0.35">
      <c r="A6722" s="2" t="str">
        <f ca="1">IFERROR(__xludf.DUMMYFUNCTION("""COMPUTED_VALUE"""),"Dubai")</f>
        <v>Dubai</v>
      </c>
      <c r="B6722" s="2" t="str">
        <f ca="1">IFERROR(__xludf.DUMMYFUNCTION("""COMPUTED_VALUE"""),"Marina Diamond 1")</f>
        <v>Marina Diamond 1</v>
      </c>
      <c r="C6722" s="2" t="str">
        <f ca="1">IFERROR(__xludf.DUMMYFUNCTION("""COMPUTED_VALUE"""),"Building")</f>
        <v>Building</v>
      </c>
      <c r="D6722" s="2" t="str">
        <f ca="1">IFERROR(__xludf.DUMMYFUNCTION("""COMPUTED_VALUE"""),"Dubai&gt;Dubai Marina&gt;Marina Diamonds&gt;Marina Diamond 1")</f>
        <v>Dubai&gt;Dubai Marina&gt;Marina Diamonds&gt;Marina Diamond 1</v>
      </c>
      <c r="E6722" s="2"/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</row>
    <row r="6723" spans="1:26" ht="16.5" x14ac:dyDescent="0.35">
      <c r="A6723" s="2" t="str">
        <f ca="1">IFERROR(__xludf.DUMMYFUNCTION("""COMPUTED_VALUE"""),"Dubai")</f>
        <v>Dubai</v>
      </c>
      <c r="B6723" s="2" t="str">
        <f ca="1">IFERROR(__xludf.DUMMYFUNCTION("""COMPUTED_VALUE"""),"Dubai Marina Moon Tower")</f>
        <v>Dubai Marina Moon Tower</v>
      </c>
      <c r="C6723" s="2" t="str">
        <f ca="1">IFERROR(__xludf.DUMMYFUNCTION("""COMPUTED_VALUE"""),"Building")</f>
        <v>Building</v>
      </c>
      <c r="D6723" s="2" t="str">
        <f ca="1">IFERROR(__xludf.DUMMYFUNCTION("""COMPUTED_VALUE"""),"Dubai&gt;Dubai Marina&gt;Dubai Marina Moon Tower")</f>
        <v>Dubai&gt;Dubai Marina&gt;Dubai Marina Moon Tower</v>
      </c>
      <c r="E6723" s="2"/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</row>
    <row r="6724" spans="1:26" ht="16.5" x14ac:dyDescent="0.35">
      <c r="A6724" s="2" t="str">
        <f ca="1">IFERROR(__xludf.DUMMYFUNCTION("""COMPUTED_VALUE"""),"Dubai")</f>
        <v>Dubai</v>
      </c>
      <c r="B6724" s="2" t="str">
        <f ca="1">IFERROR(__xludf.DUMMYFUNCTION("""COMPUTED_VALUE"""),"Silverene")</f>
        <v>Silverene</v>
      </c>
      <c r="C6724" s="2" t="str">
        <f ca="1">IFERROR(__xludf.DUMMYFUNCTION("""COMPUTED_VALUE"""),"Cluster")</f>
        <v>Cluster</v>
      </c>
      <c r="D6724" s="2" t="str">
        <f ca="1">IFERROR(__xludf.DUMMYFUNCTION("""COMPUTED_VALUE"""),"Dubai&gt;Dubai Marina&gt;Silverene")</f>
        <v>Dubai&gt;Dubai Marina&gt;Silverene</v>
      </c>
      <c r="E6724" s="2"/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</row>
    <row r="6725" spans="1:26" ht="16.5" x14ac:dyDescent="0.35">
      <c r="A6725" s="2" t="str">
        <f ca="1">IFERROR(__xludf.DUMMYFUNCTION("""COMPUTED_VALUE"""),"Dubai")</f>
        <v>Dubai</v>
      </c>
      <c r="B6725" s="2" t="str">
        <f ca="1">IFERROR(__xludf.DUMMYFUNCTION("""COMPUTED_VALUE"""),"Sanibel Tower")</f>
        <v>Sanibel Tower</v>
      </c>
      <c r="C6725" s="2" t="str">
        <f ca="1">IFERROR(__xludf.DUMMYFUNCTION("""COMPUTED_VALUE"""),"Building")</f>
        <v>Building</v>
      </c>
      <c r="D6725" s="2" t="str">
        <f ca="1">IFERROR(__xludf.DUMMYFUNCTION("""COMPUTED_VALUE"""),"Dubai&gt;Dubai Marina&gt;Park Island&gt;Sanibel Tower")</f>
        <v>Dubai&gt;Dubai Marina&gt;Park Island&gt;Sanibel Tower</v>
      </c>
      <c r="E6725" s="2"/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</row>
    <row r="6726" spans="1:26" ht="16.5" x14ac:dyDescent="0.35">
      <c r="A6726" s="2" t="str">
        <f ca="1">IFERROR(__xludf.DUMMYFUNCTION("""COMPUTED_VALUE"""),"Dubai")</f>
        <v>Dubai</v>
      </c>
      <c r="B6726" s="2" t="str">
        <f ca="1">IFERROR(__xludf.DUMMYFUNCTION("""COMPUTED_VALUE"""),"Hayat Boulevard")</f>
        <v>Hayat Boulevard</v>
      </c>
      <c r="C6726" s="2" t="str">
        <f ca="1">IFERROR(__xludf.DUMMYFUNCTION("""COMPUTED_VALUE"""),"Cluster")</f>
        <v>Cluster</v>
      </c>
      <c r="D6726" s="2" t="str">
        <f ca="1">IFERROR(__xludf.DUMMYFUNCTION("""COMPUTED_VALUE"""),"Dubai&gt;Town Square&gt;Hayat Boulevard")</f>
        <v>Dubai&gt;Town Square&gt;Hayat Boulevard</v>
      </c>
      <c r="E6726" s="2"/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</row>
    <row r="6727" spans="1:26" ht="16.5" x14ac:dyDescent="0.35">
      <c r="A6727" s="2" t="str">
        <f ca="1">IFERROR(__xludf.DUMMYFUNCTION("""COMPUTED_VALUE"""),"Dubai")</f>
        <v>Dubai</v>
      </c>
      <c r="B6727" s="2" t="str">
        <f ca="1">IFERROR(__xludf.DUMMYFUNCTION("""COMPUTED_VALUE"""),"Elaya")</f>
        <v>Elaya</v>
      </c>
      <c r="C6727" s="2" t="str">
        <f ca="1">IFERROR(__xludf.DUMMYFUNCTION("""COMPUTED_VALUE"""),"Building")</f>
        <v>Building</v>
      </c>
      <c r="D6727" s="2" t="str">
        <f ca="1">IFERROR(__xludf.DUMMYFUNCTION("""COMPUTED_VALUE"""),"Dubai&gt;Town Square&gt;Elaya")</f>
        <v>Dubai&gt;Town Square&gt;Elaya</v>
      </c>
      <c r="E6727" s="2"/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</row>
    <row r="6728" spans="1:26" ht="16.5" x14ac:dyDescent="0.35">
      <c r="A6728" s="2" t="str">
        <f ca="1">IFERROR(__xludf.DUMMYFUNCTION("""COMPUTED_VALUE"""),"Dubai")</f>
        <v>Dubai</v>
      </c>
      <c r="B6728" s="2" t="str">
        <f ca="1">IFERROR(__xludf.DUMMYFUNCTION("""COMPUTED_VALUE"""),"Chubby Cheeks Al Furjan")</f>
        <v>Chubby Cheeks Al Furjan</v>
      </c>
      <c r="C6728" s="2" t="str">
        <f ca="1">IFERROR(__xludf.DUMMYFUNCTION("""COMPUTED_VALUE"""),"Nursery")</f>
        <v>Nursery</v>
      </c>
      <c r="D6728" s="2" t="str">
        <f ca="1">IFERROR(__xludf.DUMMYFUNCTION("""COMPUTED_VALUE"""),"Dubai&gt;Al Furjan&gt;Chubby Cheeks Al Furjan")</f>
        <v>Dubai&gt;Al Furjan&gt;Chubby Cheeks Al Furjan</v>
      </c>
      <c r="E6728" s="2"/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</row>
    <row r="6729" spans="1:26" ht="16.5" x14ac:dyDescent="0.35">
      <c r="A6729" s="2" t="str">
        <f ca="1">IFERROR(__xludf.DUMMYFUNCTION("""COMPUTED_VALUE"""),"Dubai")</f>
        <v>Dubai</v>
      </c>
      <c r="B6729" s="2" t="str">
        <f ca="1">IFERROR(__xludf.DUMMYFUNCTION("""COMPUTED_VALUE"""),"The Stella’s By Murano")</f>
        <v>The Stella’s By Murano</v>
      </c>
      <c r="C6729" s="2" t="str">
        <f ca="1">IFERROR(__xludf.DUMMYFUNCTION("""COMPUTED_VALUE"""),"Neighbourhood")</f>
        <v>Neighbourhood</v>
      </c>
      <c r="D6729" s="2" t="str">
        <f ca="1">IFERROR(__xludf.DUMMYFUNCTION("""COMPUTED_VALUE"""),"Dubai&gt;Al Furjan&gt;Al Furjan West&gt;The Stella’s By Murano")</f>
        <v>Dubai&gt;Al Furjan&gt;Al Furjan West&gt;The Stella’s By Murano</v>
      </c>
      <c r="E6729" s="2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</row>
    <row r="6730" spans="1:26" ht="16.5" x14ac:dyDescent="0.35">
      <c r="A6730" s="2" t="str">
        <f ca="1">IFERROR(__xludf.DUMMYFUNCTION("""COMPUTED_VALUE"""),"Dubai")</f>
        <v>Dubai</v>
      </c>
      <c r="B6730" s="2" t="str">
        <f ca="1">IFERROR(__xludf.DUMMYFUNCTION("""COMPUTED_VALUE"""),"The Fern Heights")</f>
        <v>The Fern Heights</v>
      </c>
      <c r="C6730" s="2" t="str">
        <f ca="1">IFERROR(__xludf.DUMMYFUNCTION("""COMPUTED_VALUE"""),"Building")</f>
        <v>Building</v>
      </c>
      <c r="D6730" s="2" t="str">
        <f ca="1">IFERROR(__xludf.DUMMYFUNCTION("""COMPUTED_VALUE"""),"Dubai&gt;Al Furjan&gt;The Fern Heights")</f>
        <v>Dubai&gt;Al Furjan&gt;The Fern Heights</v>
      </c>
      <c r="E6730" s="2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</row>
    <row r="6731" spans="1:26" ht="16.5" x14ac:dyDescent="0.35">
      <c r="A6731" s="2" t="str">
        <f ca="1">IFERROR(__xludf.DUMMYFUNCTION("""COMPUTED_VALUE"""),"Dubai")</f>
        <v>Dubai</v>
      </c>
      <c r="B6731" s="2" t="str">
        <f ca="1">IFERROR(__xludf.DUMMYFUNCTION("""COMPUTED_VALUE"""),"Al Furjan West Pavilion")</f>
        <v>Al Furjan West Pavilion</v>
      </c>
      <c r="C6731" s="2" t="str">
        <f ca="1">IFERROR(__xludf.DUMMYFUNCTION("""COMPUTED_VALUE"""),"Building")</f>
        <v>Building</v>
      </c>
      <c r="D6731" s="2" t="str">
        <f ca="1">IFERROR(__xludf.DUMMYFUNCTION("""COMPUTED_VALUE"""),"Dubai&gt;Al Furjan&gt;Al Furjan West Pavilion")</f>
        <v>Dubai&gt;Al Furjan&gt;Al Furjan West Pavilion</v>
      </c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</row>
    <row r="6732" spans="1:26" ht="16.5" x14ac:dyDescent="0.35">
      <c r="A6732" s="2" t="str">
        <f ca="1">IFERROR(__xludf.DUMMYFUNCTION("""COMPUTED_VALUE"""),"Dubai")</f>
        <v>Dubai</v>
      </c>
      <c r="B6732" s="2" t="str">
        <f ca="1">IFERROR(__xludf.DUMMYFUNCTION("""COMPUTED_VALUE"""),"Reef 999")</f>
        <v>Reef 999</v>
      </c>
      <c r="C6732" s="2" t="str">
        <f ca="1">IFERROR(__xludf.DUMMYFUNCTION("""COMPUTED_VALUE"""),"Building")</f>
        <v>Building</v>
      </c>
      <c r="D6732" s="2" t="str">
        <f ca="1">IFERROR(__xludf.DUMMYFUNCTION("""COMPUTED_VALUE"""),"Dubai&gt;Al Furjan&gt;Reef 999")</f>
        <v>Dubai&gt;Al Furjan&gt;Reef 999</v>
      </c>
      <c r="E6732" s="2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</row>
    <row r="6733" spans="1:26" ht="16.5" x14ac:dyDescent="0.35">
      <c r="A6733" s="2" t="str">
        <f ca="1">IFERROR(__xludf.DUMMYFUNCTION("""COMPUTED_VALUE"""),"Dubai")</f>
        <v>Dubai</v>
      </c>
      <c r="B6733" s="2" t="str">
        <f ca="1">IFERROR(__xludf.DUMMYFUNCTION("""COMPUTED_VALUE"""),"Millennium Estates")</f>
        <v>Millennium Estates</v>
      </c>
      <c r="C6733" s="2" t="str">
        <f ca="1">IFERROR(__xludf.DUMMYFUNCTION("""COMPUTED_VALUE"""),"Neighbourhood")</f>
        <v>Neighbourhood</v>
      </c>
      <c r="D6733" s="2" t="str">
        <f ca="1">IFERROR(__xludf.DUMMYFUNCTION("""COMPUTED_VALUE"""),"Dubai&gt;Meydan City&gt;Meydan Gated Community&gt;Millennium Estates")</f>
        <v>Dubai&gt;Meydan City&gt;Meydan Gated Community&gt;Millennium Estates</v>
      </c>
      <c r="E6733" s="2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</row>
    <row r="6734" spans="1:26" ht="16.5" x14ac:dyDescent="0.35">
      <c r="A6734" s="2" t="str">
        <f ca="1">IFERROR(__xludf.DUMMYFUNCTION("""COMPUTED_VALUE"""),"Dubai")</f>
        <v>Dubai</v>
      </c>
      <c r="B6734" s="2" t="str">
        <f ca="1">IFERROR(__xludf.DUMMYFUNCTION("""COMPUTED_VALUE"""),"Azizi Riviera 15")</f>
        <v>Azizi Riviera 15</v>
      </c>
      <c r="C6734" s="2" t="str">
        <f ca="1">IFERROR(__xludf.DUMMYFUNCTION("""COMPUTED_VALUE"""),"Building")</f>
        <v>Building</v>
      </c>
      <c r="D6734" s="2" t="str">
        <f ca="1">IFERROR(__xludf.DUMMYFUNCTION("""COMPUTED_VALUE"""),"Dubai&gt;Meydan City&gt;Meydan One&gt;Azizi Riviera&gt;Azizi Riviera 15")</f>
        <v>Dubai&gt;Meydan City&gt;Meydan One&gt;Azizi Riviera&gt;Azizi Riviera 15</v>
      </c>
      <c r="E6734" s="2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</row>
    <row r="6735" spans="1:26" ht="16.5" x14ac:dyDescent="0.35">
      <c r="A6735" s="2" t="str">
        <f ca="1">IFERROR(__xludf.DUMMYFUNCTION("""COMPUTED_VALUE"""),"Dubai")</f>
        <v>Dubai</v>
      </c>
      <c r="B6735" s="2" t="str">
        <f ca="1">IFERROR(__xludf.DUMMYFUNCTION("""COMPUTED_VALUE"""),"Azizi Riviera Reve Tower 1")</f>
        <v>Azizi Riviera Reve Tower 1</v>
      </c>
      <c r="C6735" s="2" t="str">
        <f ca="1">IFERROR(__xludf.DUMMYFUNCTION("""COMPUTED_VALUE"""),"Building")</f>
        <v>Building</v>
      </c>
      <c r="D6735" s="2" t="str">
        <f ca="1">IFERROR(__xludf.DUMMYFUNCTION("""COMPUTED_VALUE"""),"Dubai&gt;Meydan City&gt;Meydan One&gt;Azizi Riviera&gt;Azizi Riviera Reve&gt;Azizi Riviera Reve Tower 1")</f>
        <v>Dubai&gt;Meydan City&gt;Meydan One&gt;Azizi Riviera&gt;Azizi Riviera Reve&gt;Azizi Riviera Reve Tower 1</v>
      </c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</row>
    <row r="6736" spans="1:26" ht="16.5" x14ac:dyDescent="0.35">
      <c r="A6736" s="2" t="str">
        <f ca="1">IFERROR(__xludf.DUMMYFUNCTION("""COMPUTED_VALUE"""),"Dubai")</f>
        <v>Dubai</v>
      </c>
      <c r="B6736" s="2" t="str">
        <f ca="1">IFERROR(__xludf.DUMMYFUNCTION("""COMPUTED_VALUE"""),"Residence 1 Block B")</f>
        <v>Residence 1 Block B</v>
      </c>
      <c r="C6736" s="2" t="str">
        <f ca="1">IFERROR(__xludf.DUMMYFUNCTION("""COMPUTED_VALUE"""),"Building")</f>
        <v>Building</v>
      </c>
      <c r="D6736" s="2" t="str">
        <f ca="1">IFERROR(__xludf.DUMMYFUNCTION("""COMPUTED_VALUE"""),"Dubai&gt;Meydan City&gt;Meydan Avenue&gt;Residence 1 at Meydan Avenue&gt;Residence 1 Block B")</f>
        <v>Dubai&gt;Meydan City&gt;Meydan Avenue&gt;Residence 1 at Meydan Avenue&gt;Residence 1 Block B</v>
      </c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</row>
    <row r="6737" spans="1:26" ht="16.5" x14ac:dyDescent="0.35">
      <c r="A6737" s="2" t="str">
        <f ca="1">IFERROR(__xludf.DUMMYFUNCTION("""COMPUTED_VALUE"""),"Dubai")</f>
        <v>Dubai</v>
      </c>
      <c r="B6737" s="2" t="str">
        <f ca="1">IFERROR(__xludf.DUMMYFUNCTION("""COMPUTED_VALUE"""),"Polo Residence D5")</f>
        <v>Polo Residence D5</v>
      </c>
      <c r="C6737" s="2" t="str">
        <f ca="1">IFERROR(__xludf.DUMMYFUNCTION("""COMPUTED_VALUE"""),"Building")</f>
        <v>Building</v>
      </c>
      <c r="D6737" s="2" t="str">
        <f ca="1">IFERROR(__xludf.DUMMYFUNCTION("""COMPUTED_VALUE"""),"Dubai&gt;Meydan City&gt;Meydan Avenue&gt;Polo Residence&gt;Polo Residence D5")</f>
        <v>Dubai&gt;Meydan City&gt;Meydan Avenue&gt;Polo Residence&gt;Polo Residence D5</v>
      </c>
      <c r="E6737" s="2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</row>
    <row r="6738" spans="1:26" ht="16.5" x14ac:dyDescent="0.35">
      <c r="A6738" s="2" t="str">
        <f ca="1">IFERROR(__xludf.DUMMYFUNCTION("""COMPUTED_VALUE"""),"Dubai")</f>
        <v>Dubai</v>
      </c>
      <c r="B6738" s="2" t="str">
        <f ca="1">IFERROR(__xludf.DUMMYFUNCTION("""COMPUTED_VALUE"""),"M2M Building")</f>
        <v>M2M Building</v>
      </c>
      <c r="C6738" s="2" t="str">
        <f ca="1">IFERROR(__xludf.DUMMYFUNCTION("""COMPUTED_VALUE"""),"Building")</f>
        <v>Building</v>
      </c>
      <c r="D6738" s="2" t="str">
        <f ca="1">IFERROR(__xludf.DUMMYFUNCTION("""COMPUTED_VALUE"""),"Dubai&gt;Meydan City&gt;Meydan Avenue&gt;M2M Building")</f>
        <v>Dubai&gt;Meydan City&gt;Meydan Avenue&gt;M2M Building</v>
      </c>
      <c r="E6738" s="2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</row>
    <row r="6739" spans="1:26" ht="16.5" x14ac:dyDescent="0.35">
      <c r="A6739" s="2" t="str">
        <f ca="1">IFERROR(__xludf.DUMMYFUNCTION("""COMPUTED_VALUE"""),"Dubai")</f>
        <v>Dubai</v>
      </c>
      <c r="B6739" s="2" t="str">
        <f ca="1">IFERROR(__xludf.DUMMYFUNCTION("""COMPUTED_VALUE"""),"Al Samar 1")</f>
        <v>Al Samar 1</v>
      </c>
      <c r="C6739" s="2" t="str">
        <f ca="1">IFERROR(__xludf.DUMMYFUNCTION("""COMPUTED_VALUE"""),"Building")</f>
        <v>Building</v>
      </c>
      <c r="D6739" s="2" t="str">
        <f ca="1">IFERROR(__xludf.DUMMYFUNCTION("""COMPUTED_VALUE"""),"Dubai&gt;The Greens&gt;Al Samar&gt;Al Samar 1")</f>
        <v>Dubai&gt;The Greens&gt;Al Samar&gt;Al Samar 1</v>
      </c>
      <c r="E6739" s="2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</row>
    <row r="6740" spans="1:26" ht="16.5" x14ac:dyDescent="0.35">
      <c r="A6740" s="2" t="str">
        <f ca="1">IFERROR(__xludf.DUMMYFUNCTION("""COMPUTED_VALUE"""),"Dubai")</f>
        <v>Dubai</v>
      </c>
      <c r="B6740" s="2" t="str">
        <f ca="1">IFERROR(__xludf.DUMMYFUNCTION("""COMPUTED_VALUE"""),"Al Sidir 1")</f>
        <v>Al Sidir 1</v>
      </c>
      <c r="C6740" s="2" t="str">
        <f ca="1">IFERROR(__xludf.DUMMYFUNCTION("""COMPUTED_VALUE"""),"Building")</f>
        <v>Building</v>
      </c>
      <c r="D6740" s="2" t="str">
        <f ca="1">IFERROR(__xludf.DUMMYFUNCTION("""COMPUTED_VALUE"""),"Dubai&gt;The Greens&gt;Al Sidir&gt;Al Sidir 1")</f>
        <v>Dubai&gt;The Greens&gt;Al Sidir&gt;Al Sidir 1</v>
      </c>
      <c r="E6740" s="2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</row>
    <row r="6741" spans="1:26" ht="16.5" x14ac:dyDescent="0.35">
      <c r="A6741" s="2" t="str">
        <f ca="1">IFERROR(__xludf.DUMMYFUNCTION("""COMPUTED_VALUE"""),"Dubai")</f>
        <v>Dubai</v>
      </c>
      <c r="B6741" s="2" t="str">
        <f ca="1">IFERROR(__xludf.DUMMYFUNCTION("""COMPUTED_VALUE"""),"Afnan District")</f>
        <v>Afnan District</v>
      </c>
      <c r="C6741" s="2" t="str">
        <f ca="1">IFERROR(__xludf.DUMMYFUNCTION("""COMPUTED_VALUE"""),"Neighbourhood")</f>
        <v>Neighbourhood</v>
      </c>
      <c r="D6741" s="2" t="str">
        <f ca="1">IFERROR(__xludf.DUMMYFUNCTION("""COMPUTED_VALUE"""),"Dubai&gt;Dubai Production City (IMPZ)&gt;Midtown&gt;Afnan District")</f>
        <v>Dubai&gt;Dubai Production City (IMPZ)&gt;Midtown&gt;Afnan District</v>
      </c>
      <c r="E6741" s="2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</row>
    <row r="6742" spans="1:26" ht="16.5" x14ac:dyDescent="0.35">
      <c r="A6742" s="2" t="str">
        <f ca="1">IFERROR(__xludf.DUMMYFUNCTION("""COMPUTED_VALUE"""),"Dubai")</f>
        <v>Dubai</v>
      </c>
      <c r="B6742" s="2" t="str">
        <f ca="1">IFERROR(__xludf.DUMMYFUNCTION("""COMPUTED_VALUE"""),"Zaki Building")</f>
        <v>Zaki Building</v>
      </c>
      <c r="C6742" s="2" t="str">
        <f ca="1">IFERROR(__xludf.DUMMYFUNCTION("""COMPUTED_VALUE"""),"Building")</f>
        <v>Building</v>
      </c>
      <c r="D6742" s="2" t="str">
        <f ca="1">IFERROR(__xludf.DUMMYFUNCTION("""COMPUTED_VALUE"""),"Dubai&gt;Dubai Production City (IMPZ)&gt;MJM Residences&gt;Zaki Building")</f>
        <v>Dubai&gt;Dubai Production City (IMPZ)&gt;MJM Residences&gt;Zaki Building</v>
      </c>
      <c r="E6742" s="2"/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</row>
    <row r="6743" spans="1:26" ht="16.5" x14ac:dyDescent="0.35">
      <c r="A6743" s="2" t="str">
        <f ca="1">IFERROR(__xludf.DUMMYFUNCTION("""COMPUTED_VALUE"""),"Dubai")</f>
        <v>Dubai</v>
      </c>
      <c r="B6743" s="2" t="str">
        <f ca="1">IFERROR(__xludf.DUMMYFUNCTION("""COMPUTED_VALUE"""),"Domus Indigo 2")</f>
        <v>Domus Indigo 2</v>
      </c>
      <c r="C6743" s="2" t="str">
        <f ca="1">IFERROR(__xludf.DUMMYFUNCTION("""COMPUTED_VALUE"""),"Building")</f>
        <v>Building</v>
      </c>
      <c r="D6743" s="2" t="str">
        <f ca="1">IFERROR(__xludf.DUMMYFUNCTION("""COMPUTED_VALUE"""),"Dubai&gt;Dubai Production City (IMPZ)&gt;Domus Indigo&gt;Domus Indigo 2")</f>
        <v>Dubai&gt;Dubai Production City (IMPZ)&gt;Domus Indigo&gt;Domus Indigo 2</v>
      </c>
      <c r="E6743" s="2"/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</row>
    <row r="6744" spans="1:26" ht="16.5" x14ac:dyDescent="0.35">
      <c r="A6744" s="2" t="str">
        <f ca="1">IFERROR(__xludf.DUMMYFUNCTION("""COMPUTED_VALUE"""),"Dubai")</f>
        <v>Dubai</v>
      </c>
      <c r="B6744" s="2" t="str">
        <f ca="1">IFERROR(__xludf.DUMMYFUNCTION("""COMPUTED_VALUE"""),"Sunbeam Homes Block A")</f>
        <v>Sunbeam Homes Block A</v>
      </c>
      <c r="C6744" s="2" t="str">
        <f ca="1">IFERROR(__xludf.DUMMYFUNCTION("""COMPUTED_VALUE"""),"Building")</f>
        <v>Building</v>
      </c>
      <c r="D6744" s="2" t="str">
        <f ca="1">IFERROR(__xludf.DUMMYFUNCTION("""COMPUTED_VALUE"""),"Dubai&gt;Dubai Industrial City&gt;Sunbeam Homes&gt;Sunbeam Homes Block A")</f>
        <v>Dubai&gt;Dubai Industrial City&gt;Sunbeam Homes&gt;Sunbeam Homes Block A</v>
      </c>
      <c r="E6744" s="2"/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</row>
    <row r="6745" spans="1:26" ht="16.5" x14ac:dyDescent="0.35">
      <c r="A6745" s="2" t="str">
        <f ca="1">IFERROR(__xludf.DUMMYFUNCTION("""COMPUTED_VALUE"""),"Dubai")</f>
        <v>Dubai</v>
      </c>
      <c r="B6745" s="2" t="str">
        <f ca="1">IFERROR(__xludf.DUMMYFUNCTION("""COMPUTED_VALUE"""),"Elegant Homes Building A")</f>
        <v>Elegant Homes Building A</v>
      </c>
      <c r="C6745" s="2" t="str">
        <f ca="1">IFERROR(__xludf.DUMMYFUNCTION("""COMPUTED_VALUE"""),"Building")</f>
        <v>Building</v>
      </c>
      <c r="D6745" s="2" t="str">
        <f ca="1">IFERROR(__xludf.DUMMYFUNCTION("""COMPUTED_VALUE"""),"Dubai&gt;Dubai Industrial City&gt;Elegant Homes&gt;Elegant Homes Building A")</f>
        <v>Dubai&gt;Dubai Industrial City&gt;Elegant Homes&gt;Elegant Homes Building A</v>
      </c>
      <c r="E6745" s="2"/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</row>
    <row r="6746" spans="1:26" ht="16.5" x14ac:dyDescent="0.35">
      <c r="A6746" s="2" t="str">
        <f ca="1">IFERROR(__xludf.DUMMYFUNCTION("""COMPUTED_VALUE"""),"Dubai")</f>
        <v>Dubai</v>
      </c>
      <c r="B6746" s="2" t="str">
        <f ca="1">IFERROR(__xludf.DUMMYFUNCTION("""COMPUTED_VALUE"""),"Al Thanyah Mall")</f>
        <v>Al Thanyah Mall</v>
      </c>
      <c r="C6746" s="2" t="str">
        <f ca="1">IFERROR(__xludf.DUMMYFUNCTION("""COMPUTED_VALUE"""),"Building")</f>
        <v>Building</v>
      </c>
      <c r="D6746" s="2" t="str">
        <f ca="1">IFERROR(__xludf.DUMMYFUNCTION("""COMPUTED_VALUE"""),"Dubai&gt;Umm Al Sheif&gt;Al Thanyah Mall")</f>
        <v>Dubai&gt;Umm Al Sheif&gt;Al Thanyah Mall</v>
      </c>
      <c r="E6746" s="2"/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</row>
    <row r="6747" spans="1:26" ht="16.5" x14ac:dyDescent="0.35">
      <c r="A6747" s="2" t="str">
        <f ca="1">IFERROR(__xludf.DUMMYFUNCTION("""COMPUTED_VALUE"""),"Dubai")</f>
        <v>Dubai</v>
      </c>
      <c r="B6747" s="2" t="str">
        <f ca="1">IFERROR(__xludf.DUMMYFUNCTION("""COMPUTED_VALUE"""),"Edgewater Residences")</f>
        <v>Edgewater Residences</v>
      </c>
      <c r="C6747" s="2" t="str">
        <f ca="1">IFERROR(__xludf.DUMMYFUNCTION("""COMPUTED_VALUE"""),"Cluster")</f>
        <v>Cluster</v>
      </c>
      <c r="D6747" s="2" t="str">
        <f ca="1">IFERROR(__xludf.DUMMYFUNCTION("""COMPUTED_VALUE"""),"Dubai&gt;Dubai Islands&gt;Edgewater Residences")</f>
        <v>Dubai&gt;Dubai Islands&gt;Edgewater Residences</v>
      </c>
      <c r="E6747" s="2"/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</row>
    <row r="6748" spans="1:26" ht="16.5" x14ac:dyDescent="0.35">
      <c r="A6748" s="2" t="str">
        <f ca="1">IFERROR(__xludf.DUMMYFUNCTION("""COMPUTED_VALUE"""),"Dubai")</f>
        <v>Dubai</v>
      </c>
      <c r="B6748" s="2" t="str">
        <f ca="1">IFERROR(__xludf.DUMMYFUNCTION("""COMPUTED_VALUE"""),"Bay Grove Residences C Building 10")</f>
        <v>Bay Grove Residences C Building 10</v>
      </c>
      <c r="C6748" s="2" t="str">
        <f ca="1">IFERROR(__xludf.DUMMYFUNCTION("""COMPUTED_VALUE"""),"Building")</f>
        <v>Building</v>
      </c>
      <c r="D6748" s="2" t="str">
        <f ca="1">IFERROR(__xludf.DUMMYFUNCTION("""COMPUTED_VALUE"""),"Dubai&gt;Dubai Islands&gt;Bay Grove Residences C&gt;Bay Grove Residences C Building 10")</f>
        <v>Dubai&gt;Dubai Islands&gt;Bay Grove Residences C&gt;Bay Grove Residences C Building 10</v>
      </c>
      <c r="E6748" s="2"/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</row>
    <row r="6749" spans="1:26" ht="16.5" x14ac:dyDescent="0.35">
      <c r="A6749" s="2" t="str">
        <f ca="1">IFERROR(__xludf.DUMMYFUNCTION("""COMPUTED_VALUE"""),"Dubai")</f>
        <v>Dubai</v>
      </c>
      <c r="B6749" s="2" t="str">
        <f ca="1">IFERROR(__xludf.DUMMYFUNCTION("""COMPUTED_VALUE"""),"Bay Grove Residences B Building B7")</f>
        <v>Bay Grove Residences B Building B7</v>
      </c>
      <c r="C6749" s="2" t="str">
        <f ca="1">IFERROR(__xludf.DUMMYFUNCTION("""COMPUTED_VALUE"""),"Building")</f>
        <v>Building</v>
      </c>
      <c r="D6749" s="2" t="str">
        <f ca="1">IFERROR(__xludf.DUMMYFUNCTION("""COMPUTED_VALUE"""),"Dubai&gt;Dubai Islands&gt;Bay Grove Residences B&gt;Bay Grove Residences B Building B7")</f>
        <v>Dubai&gt;Dubai Islands&gt;Bay Grove Residences B&gt;Bay Grove Residences B Building B7</v>
      </c>
      <c r="E6749" s="2"/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</row>
    <row r="6750" spans="1:26" ht="16.5" x14ac:dyDescent="0.35">
      <c r="A6750" s="2" t="str">
        <f ca="1">IFERROR(__xludf.DUMMYFUNCTION("""COMPUTED_VALUE"""),"Dubai")</f>
        <v>Dubai</v>
      </c>
      <c r="B6750" s="2" t="str">
        <f ca="1">IFERROR(__xludf.DUMMYFUNCTION("""COMPUTED_VALUE"""),"Silena Residences Building B")</f>
        <v>Silena Residences Building B</v>
      </c>
      <c r="C6750" s="2" t="str">
        <f ca="1">IFERROR(__xludf.DUMMYFUNCTION("""COMPUTED_VALUE"""),"Building")</f>
        <v>Building</v>
      </c>
      <c r="D6750" s="2" t="str">
        <f ca="1">IFERROR(__xludf.DUMMYFUNCTION("""COMPUTED_VALUE"""),"Dubai&gt;Dubai Islands&gt;Silena Residences&gt;Silena Residences Building B")</f>
        <v>Dubai&gt;Dubai Islands&gt;Silena Residences&gt;Silena Residences Building B</v>
      </c>
      <c r="E6750" s="2"/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</row>
    <row r="6751" spans="1:26" ht="16.5" x14ac:dyDescent="0.35">
      <c r="A6751" s="2" t="str">
        <f ca="1">IFERROR(__xludf.DUMMYFUNCTION("""COMPUTED_VALUE"""),"Dubai")</f>
        <v>Dubai</v>
      </c>
      <c r="B6751" s="2" t="str">
        <f ca="1">IFERROR(__xludf.DUMMYFUNCTION("""COMPUTED_VALUE"""),"Helvetia Marine")</f>
        <v>Helvetia Marine</v>
      </c>
      <c r="C6751" s="2" t="str">
        <f ca="1">IFERROR(__xludf.DUMMYFUNCTION("""COMPUTED_VALUE"""),"Building")</f>
        <v>Building</v>
      </c>
      <c r="D6751" s="2" t="str">
        <f ca="1">IFERROR(__xludf.DUMMYFUNCTION("""COMPUTED_VALUE"""),"Dubai&gt;Dubai Islands&gt;Helvetia Marine")</f>
        <v>Dubai&gt;Dubai Islands&gt;Helvetia Marine</v>
      </c>
      <c r="E6751" s="2"/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</row>
    <row r="6752" spans="1:26" ht="16.5" x14ac:dyDescent="0.35">
      <c r="A6752" s="2" t="str">
        <f ca="1">IFERROR(__xludf.DUMMYFUNCTION("""COMPUTED_VALUE"""),"Al Ain")</f>
        <v>Al Ain</v>
      </c>
      <c r="B6752" s="2" t="str">
        <f ca="1">IFERROR(__xludf.DUMMYFUNCTION("""COMPUTED_VALUE"""),"Asharej Compound")</f>
        <v>Asharej Compound</v>
      </c>
      <c r="C6752" s="2"/>
      <c r="D6752" s="2" t="str">
        <f ca="1">IFERROR(__xludf.DUMMYFUNCTION("""COMPUTED_VALUE"""),"Al Ain&gt;Asharij&gt;Asharej Compound")</f>
        <v>Al Ain&gt;Asharij&gt;Asharej Compound</v>
      </c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</row>
    <row r="6753" spans="1:26" ht="16.5" x14ac:dyDescent="0.35">
      <c r="A6753" s="2" t="str">
        <f ca="1">IFERROR(__xludf.DUMMYFUNCTION("""COMPUTED_VALUE"""),"Al Ain")</f>
        <v>Al Ain</v>
      </c>
      <c r="B6753" s="2" t="str">
        <f ca="1">IFERROR(__xludf.DUMMYFUNCTION("""COMPUTED_VALUE"""),"Al Reem Complex")</f>
        <v>Al Reem Complex</v>
      </c>
      <c r="C6753" s="2" t="str">
        <f ca="1">IFERROR(__xludf.DUMMYFUNCTION("""COMPUTED_VALUE"""),"Cluster")</f>
        <v>Cluster</v>
      </c>
      <c r="D6753" s="2" t="str">
        <f ca="1">IFERROR(__xludf.DUMMYFUNCTION("""COMPUTED_VALUE"""),"Al Ain&gt;Central District&gt;Al Rubainah&gt;Al Reem Complex")</f>
        <v>Al Ain&gt;Central District&gt;Al Rubainah&gt;Al Reem Complex</v>
      </c>
      <c r="E6753" s="2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</row>
    <row r="6754" spans="1:26" ht="16.5" x14ac:dyDescent="0.35">
      <c r="A6754" s="2" t="str">
        <f ca="1">IFERROR(__xludf.DUMMYFUNCTION("""COMPUTED_VALUE"""),"Al Ain")</f>
        <v>Al Ain</v>
      </c>
      <c r="B6754" s="2" t="str">
        <f ca="1">IFERROR(__xludf.DUMMYFUNCTION("""COMPUTED_VALUE"""),"Al Naseriyya")</f>
        <v>Al Naseriyya</v>
      </c>
      <c r="C6754" s="2" t="str">
        <f ca="1">IFERROR(__xludf.DUMMYFUNCTION("""COMPUTED_VALUE"""),"Neighbourhood")</f>
        <v>Neighbourhood</v>
      </c>
      <c r="D6754" s="2" t="str">
        <f ca="1">IFERROR(__xludf.DUMMYFUNCTION("""COMPUTED_VALUE"""),"Al Ain&gt;Al Khibeesi&gt;Al Naseriyya")</f>
        <v>Al Ain&gt;Al Khibeesi&gt;Al Naseriyya</v>
      </c>
      <c r="E6754" s="2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</row>
    <row r="6755" spans="1:26" ht="16.5" x14ac:dyDescent="0.35">
      <c r="A6755" s="2" t="str">
        <f ca="1">IFERROR(__xludf.DUMMYFUNCTION("""COMPUTED_VALUE"""),"Al Ain")</f>
        <v>Al Ain</v>
      </c>
      <c r="B6755" s="2" t="str">
        <f ca="1">IFERROR(__xludf.DUMMYFUNCTION("""COMPUTED_VALUE"""),"Eidan Al Mahaba")</f>
        <v>Eidan Al Mahaba</v>
      </c>
      <c r="C6755" s="2" t="str">
        <f ca="1">IFERROR(__xludf.DUMMYFUNCTION("""COMPUTED_VALUE"""),"Neighbourhood")</f>
        <v>Neighbourhood</v>
      </c>
      <c r="D6755" s="2" t="str">
        <f ca="1">IFERROR(__xludf.DUMMYFUNCTION("""COMPUTED_VALUE"""),"Al Ain&gt;Hili&gt;Eidan Al Mahaba")</f>
        <v>Al Ain&gt;Hili&gt;Eidan Al Mahaba</v>
      </c>
      <c r="E6755" s="2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</row>
    <row r="6756" spans="1:26" ht="16.5" x14ac:dyDescent="0.35">
      <c r="A6756" s="2" t="str">
        <f ca="1">IFERROR(__xludf.DUMMYFUNCTION("""COMPUTED_VALUE"""),"Al Ain")</f>
        <v>Al Ain</v>
      </c>
      <c r="B6756" s="2" t="str">
        <f ca="1">IFERROR(__xludf.DUMMYFUNCTION("""COMPUTED_VALUE"""),"Beaconhouse Private School, Al Ain")</f>
        <v>Beaconhouse Private School, Al Ain</v>
      </c>
      <c r="C6756" s="2" t="str">
        <f ca="1">IFERROR(__xludf.DUMMYFUNCTION("""COMPUTED_VALUE"""),"School")</f>
        <v>School</v>
      </c>
      <c r="D6756" s="2" t="str">
        <f ca="1">IFERROR(__xludf.DUMMYFUNCTION("""COMPUTED_VALUE"""),"Al Ain&gt;Falaj Hazzaa&gt;Beaconhouse Private School, Al Ain")</f>
        <v>Al Ain&gt;Falaj Hazzaa&gt;Beaconhouse Private School, Al Ain</v>
      </c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</row>
    <row r="6757" spans="1:26" ht="16.5" x14ac:dyDescent="0.35">
      <c r="A6757" s="2" t="str">
        <f ca="1">IFERROR(__xludf.DUMMYFUNCTION("""COMPUTED_VALUE"""),"Al Ain")</f>
        <v>Al Ain</v>
      </c>
      <c r="B6757" s="2" t="str">
        <f ca="1">IFERROR(__xludf.DUMMYFUNCTION("""COMPUTED_VALUE"""),"Al Oyoun Village")</f>
        <v>Al Oyoun Village</v>
      </c>
      <c r="C6757" s="2" t="str">
        <f ca="1">IFERROR(__xludf.DUMMYFUNCTION("""COMPUTED_VALUE"""),"Neighbourhood")</f>
        <v>Neighbourhood</v>
      </c>
      <c r="D6757" s="2" t="str">
        <f ca="1">IFERROR(__xludf.DUMMYFUNCTION("""COMPUTED_VALUE"""),"Al Ain&gt;Al Ain Industrial Area&gt;Al Oyoun Village")</f>
        <v>Al Ain&gt;Al Ain Industrial Area&gt;Al Oyoun Village</v>
      </c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</row>
    <row r="6758" spans="1:26" ht="16.5" x14ac:dyDescent="0.35">
      <c r="A6758" s="2" t="str">
        <f ca="1">IFERROR(__xludf.DUMMYFUNCTION("""COMPUTED_VALUE"""),"Al Ain")</f>
        <v>Al Ain</v>
      </c>
      <c r="B6758" s="2" t="str">
        <f ca="1">IFERROR(__xludf.DUMMYFUNCTION("""COMPUTED_VALUE"""),"Al Dahma")</f>
        <v>Al Dahma</v>
      </c>
      <c r="C6758" s="2" t="str">
        <f ca="1">IFERROR(__xludf.DUMMYFUNCTION("""COMPUTED_VALUE"""),"Neighbourhood")</f>
        <v>Neighbourhood</v>
      </c>
      <c r="D6758" s="2" t="str">
        <f ca="1">IFERROR(__xludf.DUMMYFUNCTION("""COMPUTED_VALUE"""),"Al Ain&gt;Al Dahma")</f>
        <v>Al Ain&gt;Al Dahma</v>
      </c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</row>
    <row r="6759" spans="1:26" ht="16.5" x14ac:dyDescent="0.35">
      <c r="A6759" s="2" t="str">
        <f ca="1">IFERROR(__xludf.DUMMYFUNCTION("""COMPUTED_VALUE"""),"Ras Al Khaimah")</f>
        <v>Ras Al Khaimah</v>
      </c>
      <c r="B6759" s="2" t="str">
        <f ca="1">IFERROR(__xludf.DUMMYFUNCTION("""COMPUTED_VALUE"""),"Quattro Del Mar Building 4")</f>
        <v>Quattro Del Mar Building 4</v>
      </c>
      <c r="C6759" s="2" t="str">
        <f ca="1">IFERROR(__xludf.DUMMYFUNCTION("""COMPUTED_VALUE"""),"Building")</f>
        <v>Building</v>
      </c>
      <c r="D6759" s="2" t="str">
        <f ca="1">IFERROR(__xludf.DUMMYFUNCTION("""COMPUTED_VALUE"""),"Ras Al Khaimah&gt;Mina Al Arab&gt;Quattro Del Mar&gt;Quattro Del Mar Building 4")</f>
        <v>Ras Al Khaimah&gt;Mina Al Arab&gt;Quattro Del Mar&gt;Quattro Del Mar Building 4</v>
      </c>
      <c r="E6759" s="2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</row>
    <row r="6760" spans="1:26" ht="16.5" x14ac:dyDescent="0.35">
      <c r="A6760" s="2" t="str">
        <f ca="1">IFERROR(__xludf.DUMMYFUNCTION("""COMPUTED_VALUE"""),"Ras Al Khaimah")</f>
        <v>Ras Al Khaimah</v>
      </c>
      <c r="B6760" s="2" t="str">
        <f ca="1">IFERROR(__xludf.DUMMYFUNCTION("""COMPUTED_VALUE"""),"Oceano")</f>
        <v>Oceano</v>
      </c>
      <c r="C6760" s="2" t="str">
        <f ca="1">IFERROR(__xludf.DUMMYFUNCTION("""COMPUTED_VALUE"""),"Building")</f>
        <v>Building</v>
      </c>
      <c r="D6760" s="2" t="str">
        <f ca="1">IFERROR(__xludf.DUMMYFUNCTION("""COMPUTED_VALUE"""),"Ras Al Khaimah&gt;Al Marjan Island&gt;Oceano")</f>
        <v>Ras Al Khaimah&gt;Al Marjan Island&gt;Oceano</v>
      </c>
      <c r="E6760" s="2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</row>
    <row r="6761" spans="1:26" ht="16.5" x14ac:dyDescent="0.35">
      <c r="A6761" s="2" t="str">
        <f ca="1">IFERROR(__xludf.DUMMYFUNCTION("""COMPUTED_VALUE"""),"Ras Al Khaimah")</f>
        <v>Ras Al Khaimah</v>
      </c>
      <c r="B6761" s="2" t="str">
        <f ca="1">IFERROR(__xludf.DUMMYFUNCTION("""COMPUTED_VALUE"""),"Costa Mare")</f>
        <v>Costa Mare</v>
      </c>
      <c r="C6761" s="2" t="str">
        <f ca="1">IFERROR(__xludf.DUMMYFUNCTION("""COMPUTED_VALUE"""),"Building")</f>
        <v>Building</v>
      </c>
      <c r="D6761" s="2" t="str">
        <f ca="1">IFERROR(__xludf.DUMMYFUNCTION("""COMPUTED_VALUE"""),"Ras Al Khaimah&gt;Al Marjan Island&gt;Costa Mare")</f>
        <v>Ras Al Khaimah&gt;Al Marjan Island&gt;Costa Mare</v>
      </c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</row>
    <row r="6762" spans="1:26" ht="16.5" x14ac:dyDescent="0.35">
      <c r="A6762" s="2" t="str">
        <f ca="1">IFERROR(__xludf.DUMMYFUNCTION("""COMPUTED_VALUE"""),"Ras Al Khaimah")</f>
        <v>Ras Al Khaimah</v>
      </c>
      <c r="B6762" s="2" t="str">
        <f ca="1">IFERROR(__xludf.DUMMYFUNCTION("""COMPUTED_VALUE"""),"Marina Apartment E")</f>
        <v>Marina Apartment E</v>
      </c>
      <c r="C6762" s="2" t="str">
        <f ca="1">IFERROR(__xludf.DUMMYFUNCTION("""COMPUTED_VALUE"""),"Building")</f>
        <v>Building</v>
      </c>
      <c r="D6762" s="2" t="str">
        <f ca="1">IFERROR(__xludf.DUMMYFUNCTION("""COMPUTED_VALUE"""),"Ras Al Khaimah&gt;Al Hamra Village&gt;Al Hamra Marina Residences&gt;Marina Apartment E")</f>
        <v>Ras Al Khaimah&gt;Al Hamra Village&gt;Al Hamra Marina Residences&gt;Marina Apartment E</v>
      </c>
      <c r="E6762" s="2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</row>
    <row r="6763" spans="1:26" ht="16.5" x14ac:dyDescent="0.35">
      <c r="A6763" s="2" t="str">
        <f ca="1">IFERROR(__xludf.DUMMYFUNCTION("""COMPUTED_VALUE"""),"Ras Al Khaimah")</f>
        <v>Ras Al Khaimah</v>
      </c>
      <c r="B6763" s="2" t="str">
        <f ca="1">IFERROR(__xludf.DUMMYFUNCTION("""COMPUTED_VALUE"""),"Soto Grande")</f>
        <v>Soto Grande</v>
      </c>
      <c r="C6763" s="2" t="str">
        <f ca="1">IFERROR(__xludf.DUMMYFUNCTION("""COMPUTED_VALUE"""),"Cluster")</f>
        <v>Cluster</v>
      </c>
      <c r="D6763" s="2" t="str">
        <f ca="1">IFERROR(__xludf.DUMMYFUNCTION("""COMPUTED_VALUE"""),"Ras Al Khaimah&gt;Al Hamra Village&gt;Soto Grande")</f>
        <v>Ras Al Khaimah&gt;Al Hamra Village&gt;Soto Grande</v>
      </c>
      <c r="E6763" s="2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</row>
    <row r="6764" spans="1:26" ht="16.5" x14ac:dyDescent="0.35">
      <c r="A6764" s="2" t="str">
        <f ca="1">IFERROR(__xludf.DUMMYFUNCTION("""COMPUTED_VALUE"""),"Ras Al Khaimah")</f>
        <v>Ras Al Khaimah</v>
      </c>
      <c r="B6764" s="2" t="str">
        <f ca="1">IFERROR(__xludf.DUMMYFUNCTION("""COMPUTED_VALUE"""),"Athba Complex")</f>
        <v>Athba Complex</v>
      </c>
      <c r="C6764" s="2"/>
      <c r="D6764" s="2" t="str">
        <f ca="1">IFERROR(__xludf.DUMMYFUNCTION("""COMPUTED_VALUE"""),"Ras Al Khaimah&gt;Al Juwais&gt;Athba Complex")</f>
        <v>Ras Al Khaimah&gt;Al Juwais&gt;Athba Complex</v>
      </c>
      <c r="E6764" s="2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</row>
    <row r="6765" spans="1:26" ht="16.5" x14ac:dyDescent="0.35">
      <c r="A6765" s="2" t="str">
        <f ca="1">IFERROR(__xludf.DUMMYFUNCTION("""COMPUTED_VALUE"""),"Ras Al Khaimah")</f>
        <v>Ras Al Khaimah</v>
      </c>
      <c r="B6765" s="2" t="str">
        <f ca="1">IFERROR(__xludf.DUMMYFUNCTION("""COMPUTED_VALUE"""),"Shamal Bni Saed")</f>
        <v>Shamal Bni Saed</v>
      </c>
      <c r="C6765" s="2"/>
      <c r="D6765" s="2" t="str">
        <f ca="1">IFERROR(__xludf.DUMMYFUNCTION("""COMPUTED_VALUE"""),"Ras Al Khaimah&gt;Shamal&gt;Shamal Bni Saed")</f>
        <v>Ras Al Khaimah&gt;Shamal&gt;Shamal Bni Saed</v>
      </c>
      <c r="E6765" s="2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</row>
    <row r="6766" spans="1:26" ht="16.5" x14ac:dyDescent="0.35">
      <c r="A6766" s="2" t="str">
        <f ca="1">IFERROR(__xludf.DUMMYFUNCTION("""COMPUTED_VALUE"""),"Ras Al Khaimah")</f>
        <v>Ras Al Khaimah</v>
      </c>
      <c r="B6766" s="2" t="str">
        <f ca="1">IFERROR(__xludf.DUMMYFUNCTION("""COMPUTED_VALUE"""),"Galela - Khoor Khoweer")</f>
        <v>Galela - Khoor Khoweer</v>
      </c>
      <c r="C6766" s="2"/>
      <c r="D6766" s="2" t="str">
        <f ca="1">IFERROR(__xludf.DUMMYFUNCTION("""COMPUTED_VALUE"""),"Ras Al Khaimah&gt;Galela - Khoor Khoweer")</f>
        <v>Ras Al Khaimah&gt;Galela - Khoor Khoweer</v>
      </c>
      <c r="E6766" s="2"/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</row>
    <row r="6767" spans="1:26" ht="16.5" x14ac:dyDescent="0.35">
      <c r="A6767" s="2" t="str">
        <f ca="1">IFERROR(__xludf.DUMMYFUNCTION("""COMPUTED_VALUE"""),"Ras Al Khaimah")</f>
        <v>Ras Al Khaimah</v>
      </c>
      <c r="B6767" s="2" t="str">
        <f ca="1">IFERROR(__xludf.DUMMYFUNCTION("""COMPUTED_VALUE"""),"Colibri Views")</f>
        <v>Colibri Views</v>
      </c>
      <c r="C6767" s="2" t="str">
        <f ca="1">IFERROR(__xludf.DUMMYFUNCTION("""COMPUTED_VALUE"""),"Building")</f>
        <v>Building</v>
      </c>
      <c r="D6767" s="2" t="str">
        <f ca="1">IFERROR(__xludf.DUMMYFUNCTION("""COMPUTED_VALUE"""),"Ras Al Khaimah&gt;RAK Central&gt;Colibri Views")</f>
        <v>Ras Al Khaimah&gt;RAK Central&gt;Colibri Views</v>
      </c>
      <c r="E6767" s="2"/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</row>
    <row r="6768" spans="1:26" ht="16.5" x14ac:dyDescent="0.35">
      <c r="A6768" s="2" t="str">
        <f ca="1">IFERROR(__xludf.DUMMYFUNCTION("""COMPUTED_VALUE"""),"Umm Al Quwain")</f>
        <v>Umm Al Quwain</v>
      </c>
      <c r="B6768" s="2" t="str">
        <f ca="1">IFERROR(__xludf.DUMMYFUNCTION("""COMPUTED_VALUE"""),"Al Humrah")</f>
        <v>Al Humrah</v>
      </c>
      <c r="C6768" s="2" t="str">
        <f ca="1">IFERROR(__xludf.DUMMYFUNCTION("""COMPUTED_VALUE"""),"Neighbourhood")</f>
        <v>Neighbourhood</v>
      </c>
      <c r="D6768" s="2" t="str">
        <f ca="1">IFERROR(__xludf.DUMMYFUNCTION("""COMPUTED_VALUE"""),"Umm Al Quwain&gt;Al Humrah")</f>
        <v>Umm Al Quwain&gt;Al Humrah</v>
      </c>
      <c r="E6768" s="2"/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</row>
    <row r="6769" spans="1:26" ht="16.5" x14ac:dyDescent="0.35">
      <c r="A6769" s="2" t="str">
        <f ca="1">IFERROR(__xludf.DUMMYFUNCTION("""COMPUTED_VALUE"""),"Umm Al Quwain")</f>
        <v>Umm Al Quwain</v>
      </c>
      <c r="B6769" s="2" t="str">
        <f ca="1">IFERROR(__xludf.DUMMYFUNCTION("""COMPUTED_VALUE"""),"Al Dar Al Baida B")</f>
        <v>Al Dar Al Baida B</v>
      </c>
      <c r="C6769" s="2"/>
      <c r="D6769" s="2" t="str">
        <f ca="1">IFERROR(__xludf.DUMMYFUNCTION("""COMPUTED_VALUE"""),"Umm Al Quwain&gt;Al Dar Al Baida&gt;Al Dar Al Baida B")</f>
        <v>Umm Al Quwain&gt;Al Dar Al Baida&gt;Al Dar Al Baida B</v>
      </c>
      <c r="E6769" s="2"/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</row>
    <row r="6770" spans="1:26" ht="16.5" x14ac:dyDescent="0.35">
      <c r="A6770" s="2" t="str">
        <f ca="1">IFERROR(__xludf.DUMMYFUNCTION("""COMPUTED_VALUE"""),"Umm Al Quwain")</f>
        <v>Umm Al Quwain</v>
      </c>
      <c r="B6770" s="2" t="str">
        <f ca="1">IFERROR(__xludf.DUMMYFUNCTION("""COMPUTED_VALUE"""),"Bayside Marina Residences Tower 3")</f>
        <v>Bayside Marina Residences Tower 3</v>
      </c>
      <c r="C6770" s="2" t="str">
        <f ca="1">IFERROR(__xludf.DUMMYFUNCTION("""COMPUTED_VALUE"""),"Building")</f>
        <v>Building</v>
      </c>
      <c r="D6770" s="2" t="str">
        <f ca="1">IFERROR(__xludf.DUMMYFUNCTION("""COMPUTED_VALUE"""),"Umm Al Quwain&gt;Al Seanneeah&gt;Sobha Siniya Island&gt;Bayside Marina Residences&gt;Bayside Marina Residences Tower 3")</f>
        <v>Umm Al Quwain&gt;Al Seanneeah&gt;Sobha Siniya Island&gt;Bayside Marina Residences&gt;Bayside Marina Residences Tower 3</v>
      </c>
      <c r="E6770" s="2"/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</row>
    <row r="6771" spans="1:26" ht="16.5" x14ac:dyDescent="0.35">
      <c r="A6771" s="2" t="str">
        <f ca="1">IFERROR(__xludf.DUMMYFUNCTION("""COMPUTED_VALUE"""),"Umm Al Quwain")</f>
        <v>Umm Al Quwain</v>
      </c>
      <c r="B6771" s="2" t="str">
        <f ca="1">IFERROR(__xludf.DUMMYFUNCTION("""COMPUTED_VALUE"""),"Al Khour")</f>
        <v>Al Khour</v>
      </c>
      <c r="C6771" s="2" t="str">
        <f ca="1">IFERROR(__xludf.DUMMYFUNCTION("""COMPUTED_VALUE"""),"Neighbourhood")</f>
        <v>Neighbourhood</v>
      </c>
      <c r="D6771" s="2" t="str">
        <f ca="1">IFERROR(__xludf.DUMMYFUNCTION("""COMPUTED_VALUE"""),"Umm Al Quwain&gt;Al Khour")</f>
        <v>Umm Al Quwain&gt;Al Khour</v>
      </c>
      <c r="E6771" s="2"/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</row>
    <row r="6772" spans="1:26" ht="16.5" x14ac:dyDescent="0.35">
      <c r="A6772" s="2" t="str">
        <f ca="1">IFERROR(__xludf.DUMMYFUNCTION("""COMPUTED_VALUE"""),"Fujairah")</f>
        <v>Fujairah</v>
      </c>
      <c r="B6772" s="2" t="str">
        <f ca="1">IFERROR(__xludf.DUMMYFUNCTION("""COMPUTED_VALUE"""),"Our Own English High School, Fujairah")</f>
        <v>Our Own English High School, Fujairah</v>
      </c>
      <c r="C6772" s="2" t="str">
        <f ca="1">IFERROR(__xludf.DUMMYFUNCTION("""COMPUTED_VALUE"""),"School")</f>
        <v>School</v>
      </c>
      <c r="D6772" s="2" t="str">
        <f ca="1">IFERROR(__xludf.DUMMYFUNCTION("""COMPUTED_VALUE"""),"Fujairah&gt;Al Faseel Area&gt;Our Own English High School, Fujairah")</f>
        <v>Fujairah&gt;Al Faseel Area&gt;Our Own English High School, Fujairah</v>
      </c>
      <c r="E6772" s="2"/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</row>
    <row r="6773" spans="1:26" ht="16.5" x14ac:dyDescent="0.35">
      <c r="A6773" s="2" t="str">
        <f ca="1">IFERROR(__xludf.DUMMYFUNCTION("""COMPUTED_VALUE"""),"Fujairah")</f>
        <v>Fujairah</v>
      </c>
      <c r="B6773" s="2" t="str">
        <f ca="1">IFERROR(__xludf.DUMMYFUNCTION("""COMPUTED_VALUE"""),"Siji Residence 1")</f>
        <v>Siji Residence 1</v>
      </c>
      <c r="C6773" s="2" t="str">
        <f ca="1">IFERROR(__xludf.DUMMYFUNCTION("""COMPUTED_VALUE"""),"Building")</f>
        <v>Building</v>
      </c>
      <c r="D6773" s="2" t="str">
        <f ca="1">IFERROR(__xludf.DUMMYFUNCTION("""COMPUTED_VALUE"""),"Fujairah&gt;Town Centre&gt;Siji Residences&gt;Siji Residence 1")</f>
        <v>Fujairah&gt;Town Centre&gt;Siji Residences&gt;Siji Residence 1</v>
      </c>
      <c r="E6773" s="2"/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</row>
    <row r="6774" spans="1:26" ht="16.5" x14ac:dyDescent="0.35">
      <c r="A6774" s="2" t="str">
        <f ca="1">IFERROR(__xludf.DUMMYFUNCTION("""COMPUTED_VALUE"""),"Dubai")</f>
        <v>Dubai</v>
      </c>
      <c r="B6774" s="2" t="str">
        <f ca="1">IFERROR(__xludf.DUMMYFUNCTION("""COMPUTED_VALUE"""),"Villanova")</f>
        <v>Villanova</v>
      </c>
      <c r="C6774" s="2" t="str">
        <f ca="1">IFERROR(__xludf.DUMMYFUNCTION("""COMPUTED_VALUE"""),"Neighbourhood")</f>
        <v>Neighbourhood</v>
      </c>
      <c r="D6774" s="2" t="str">
        <f ca="1">IFERROR(__xludf.DUMMYFUNCTION("""COMPUTED_VALUE"""),"Dubai&gt;Dubailand&gt;Villanova")</f>
        <v>Dubai&gt;Dubailand&gt;Villanova</v>
      </c>
      <c r="E6774" s="2"/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</row>
    <row r="6775" spans="1:26" ht="16.5" x14ac:dyDescent="0.35">
      <c r="A6775" s="2" t="str">
        <f ca="1">IFERROR(__xludf.DUMMYFUNCTION("""COMPUTED_VALUE"""),"Dubai")</f>
        <v>Dubai</v>
      </c>
      <c r="B6775" s="2" t="str">
        <f ca="1">IFERROR(__xludf.DUMMYFUNCTION("""COMPUTED_VALUE"""),"Serenia")</f>
        <v>Serenia</v>
      </c>
      <c r="C6775" s="2" t="str">
        <f ca="1">IFERROR(__xludf.DUMMYFUNCTION("""COMPUTED_VALUE"""),"Neighbourhood")</f>
        <v>Neighbourhood</v>
      </c>
      <c r="D6775" s="2" t="str">
        <f ca="1">IFERROR(__xludf.DUMMYFUNCTION("""COMPUTED_VALUE"""),"Dubai&gt;Dubailand&gt;The Heights Country Club&gt;Serenia")</f>
        <v>Dubai&gt;Dubailand&gt;The Heights Country Club&gt;Serenia</v>
      </c>
      <c r="E6775" s="2"/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</row>
    <row r="6776" spans="1:26" ht="16.5" x14ac:dyDescent="0.35">
      <c r="A6776" s="2" t="str">
        <f ca="1">IFERROR(__xludf.DUMMYFUNCTION("""COMPUTED_VALUE"""),"Dubai")</f>
        <v>Dubai</v>
      </c>
      <c r="B6776" s="2" t="str">
        <f ca="1">IFERROR(__xludf.DUMMYFUNCTION("""COMPUTED_VALUE"""),"C1 Tower")</f>
        <v>C1 Tower</v>
      </c>
      <c r="C6776" s="2" t="str">
        <f ca="1">IFERROR(__xludf.DUMMYFUNCTION("""COMPUTED_VALUE"""),"Building")</f>
        <v>Building</v>
      </c>
      <c r="D6776" s="2" t="str">
        <f ca="1">IFERROR(__xludf.DUMMYFUNCTION("""COMPUTED_VALUE"""),"Dubai&gt;World Trade Centre&gt;C1 Tower")</f>
        <v>Dubai&gt;World Trade Centre&gt;C1 Tower</v>
      </c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</row>
    <row r="6777" spans="1:26" ht="16.5" x14ac:dyDescent="0.35">
      <c r="A6777" s="2" t="str">
        <f ca="1">IFERROR(__xludf.DUMMYFUNCTION("""COMPUTED_VALUE"""),"Dubai")</f>
        <v>Dubai</v>
      </c>
      <c r="B6777" s="2" t="str">
        <f ca="1">IFERROR(__xludf.DUMMYFUNCTION("""COMPUTED_VALUE"""),"Al Madan Building 4")</f>
        <v>Al Madan Building 4</v>
      </c>
      <c r="C6777" s="2" t="str">
        <f ca="1">IFERROR(__xludf.DUMMYFUNCTION("""COMPUTED_VALUE"""),"Building")</f>
        <v>Building</v>
      </c>
      <c r="D6777" s="2" t="str">
        <f ca="1">IFERROR(__xludf.DUMMYFUNCTION("""COMPUTED_VALUE"""),"Dubai&gt;Al Qusais&gt;Al Qusais Residential Area&gt;Al Qusais 2&gt;Al Madan Building 4")</f>
        <v>Dubai&gt;Al Qusais&gt;Al Qusais Residential Area&gt;Al Qusais 2&gt;Al Madan Building 4</v>
      </c>
      <c r="E6777" s="2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</row>
    <row r="6778" spans="1:26" ht="16.5" x14ac:dyDescent="0.35">
      <c r="A6778" s="2" t="str">
        <f ca="1">IFERROR(__xludf.DUMMYFUNCTION("""COMPUTED_VALUE"""),"Dubai")</f>
        <v>Dubai</v>
      </c>
      <c r="B6778" s="2" t="str">
        <f ca="1">IFERROR(__xludf.DUMMYFUNCTION("""COMPUTED_VALUE"""),"Baba Hassan Building")</f>
        <v>Baba Hassan Building</v>
      </c>
      <c r="C6778" s="2" t="str">
        <f ca="1">IFERROR(__xludf.DUMMYFUNCTION("""COMPUTED_VALUE"""),"Building")</f>
        <v>Building</v>
      </c>
      <c r="D6778" s="2" t="str">
        <f ca="1">IFERROR(__xludf.DUMMYFUNCTION("""COMPUTED_VALUE"""),"Dubai&gt;Al Qusais&gt;Al Qusais Residential Area&gt;Al Qusais 1&gt;Baba Hassan Building")</f>
        <v>Dubai&gt;Al Qusais&gt;Al Qusais Residential Area&gt;Al Qusais 1&gt;Baba Hassan Building</v>
      </c>
      <c r="E6778" s="2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</row>
    <row r="6779" spans="1:26" ht="16.5" x14ac:dyDescent="0.35">
      <c r="A6779" s="2" t="str">
        <f ca="1">IFERROR(__xludf.DUMMYFUNCTION("""COMPUTED_VALUE"""),"Dubai")</f>
        <v>Dubai</v>
      </c>
      <c r="B6779" s="2" t="str">
        <f ca="1">IFERROR(__xludf.DUMMYFUNCTION("""COMPUTED_VALUE"""),"Al Yazi")</f>
        <v>Al Yazi</v>
      </c>
      <c r="C6779" s="2" t="str">
        <f ca="1">IFERROR(__xludf.DUMMYFUNCTION("""COMPUTED_VALUE"""),"Building")</f>
        <v>Building</v>
      </c>
      <c r="D6779" s="2" t="str">
        <f ca="1">IFERROR(__xludf.DUMMYFUNCTION("""COMPUTED_VALUE"""),"Dubai&gt;Al Qusais&gt;Al Qusais Residential Area&gt;Al Qusais 1&gt;Al Yazi")</f>
        <v>Dubai&gt;Al Qusais&gt;Al Qusais Residential Area&gt;Al Qusais 1&gt;Al Yazi</v>
      </c>
      <c r="E6779" s="2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</row>
    <row r="6780" spans="1:26" ht="16.5" x14ac:dyDescent="0.35">
      <c r="A6780" s="2" t="str">
        <f ca="1">IFERROR(__xludf.DUMMYFUNCTION("""COMPUTED_VALUE"""),"Dubai")</f>
        <v>Dubai</v>
      </c>
      <c r="B6780" s="2" t="str">
        <f ca="1">IFERROR(__xludf.DUMMYFUNCTION("""COMPUTED_VALUE"""),"Anwar Sarah Tower")</f>
        <v>Anwar Sarah Tower</v>
      </c>
      <c r="C6780" s="2" t="str">
        <f ca="1">IFERROR(__xludf.DUMMYFUNCTION("""COMPUTED_VALUE"""),"Building")</f>
        <v>Building</v>
      </c>
      <c r="D6780" s="2" t="str">
        <f ca="1">IFERROR(__xludf.DUMMYFUNCTION("""COMPUTED_VALUE"""),"Dubai&gt;Al Qusais&gt;Al Qusais Industrial Area&gt;Al Qusais Industrial 4&gt;Anwar Sarah Tower")</f>
        <v>Dubai&gt;Al Qusais&gt;Al Qusais Industrial Area&gt;Al Qusais Industrial 4&gt;Anwar Sarah Tower</v>
      </c>
      <c r="E6780" s="2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</row>
    <row r="6781" spans="1:26" ht="16.5" x14ac:dyDescent="0.35">
      <c r="A6781" s="2" t="str">
        <f ca="1">IFERROR(__xludf.DUMMYFUNCTION("""COMPUTED_VALUE"""),"Dubai")</f>
        <v>Dubai</v>
      </c>
      <c r="B6781" s="2" t="str">
        <f ca="1">IFERROR(__xludf.DUMMYFUNCTION("""COMPUTED_VALUE"""),"Acacia B")</f>
        <v>Acacia B</v>
      </c>
      <c r="C6781" s="2" t="str">
        <f ca="1">IFERROR(__xludf.DUMMYFUNCTION("""COMPUTED_VALUE"""),"Building")</f>
        <v>Building</v>
      </c>
      <c r="D6781" s="2" t="str">
        <f ca="1">IFERROR(__xludf.DUMMYFUNCTION("""COMPUTED_VALUE"""),"Dubai&gt;Dubai Hills Estate&gt;Park Heights&gt;Acacia&gt;Acacia B")</f>
        <v>Dubai&gt;Dubai Hills Estate&gt;Park Heights&gt;Acacia&gt;Acacia B</v>
      </c>
      <c r="E6781" s="2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</row>
    <row r="6782" spans="1:26" ht="16.5" x14ac:dyDescent="0.35">
      <c r="A6782" s="2" t="str">
        <f ca="1">IFERROR(__xludf.DUMMYFUNCTION("""COMPUTED_VALUE"""),"Dubai")</f>
        <v>Dubai</v>
      </c>
      <c r="B6782" s="2" t="str">
        <f ca="1">IFERROR(__xludf.DUMMYFUNCTION("""COMPUTED_VALUE"""),"Collective 2.0 Tower B")</f>
        <v>Collective 2.0 Tower B</v>
      </c>
      <c r="C6782" s="2" t="str">
        <f ca="1">IFERROR(__xludf.DUMMYFUNCTION("""COMPUTED_VALUE"""),"Building")</f>
        <v>Building</v>
      </c>
      <c r="D6782" s="2" t="str">
        <f ca="1">IFERROR(__xludf.DUMMYFUNCTION("""COMPUTED_VALUE"""),"Dubai&gt;Dubai Hills Estate&gt;Collective 2.0&gt;Collective 2.0 Tower B")</f>
        <v>Dubai&gt;Dubai Hills Estate&gt;Collective 2.0&gt;Collective 2.0 Tower B</v>
      </c>
      <c r="E6782" s="2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</row>
    <row r="6783" spans="1:26" ht="16.5" x14ac:dyDescent="0.35">
      <c r="A6783" s="2" t="str">
        <f ca="1">IFERROR(__xludf.DUMMYFUNCTION("""COMPUTED_VALUE"""),"Dubai")</f>
        <v>Dubai</v>
      </c>
      <c r="B6783" s="2" t="str">
        <f ca="1">IFERROR(__xludf.DUMMYFUNCTION("""COMPUTED_VALUE"""),"Ellington House")</f>
        <v>Ellington House</v>
      </c>
      <c r="C6783" s="2" t="str">
        <f ca="1">IFERROR(__xludf.DUMMYFUNCTION("""COMPUTED_VALUE"""),"Cluster")</f>
        <v>Cluster</v>
      </c>
      <c r="D6783" s="2" t="str">
        <f ca="1">IFERROR(__xludf.DUMMYFUNCTION("""COMPUTED_VALUE"""),"Dubai&gt;Dubai Hills Estate&gt;Ellington House")</f>
        <v>Dubai&gt;Dubai Hills Estate&gt;Ellington House</v>
      </c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</row>
    <row r="6784" spans="1:26" ht="16.5" x14ac:dyDescent="0.35">
      <c r="A6784" s="2" t="str">
        <f ca="1">IFERROR(__xludf.DUMMYFUNCTION("""COMPUTED_VALUE"""),"Dubai")</f>
        <v>Dubai</v>
      </c>
      <c r="B6784" s="2" t="str">
        <f ca="1">IFERROR(__xludf.DUMMYFUNCTION("""COMPUTED_VALUE"""),"Socio Tower B")</f>
        <v>Socio Tower B</v>
      </c>
      <c r="C6784" s="2" t="str">
        <f ca="1">IFERROR(__xludf.DUMMYFUNCTION("""COMPUTED_VALUE"""),"Building")</f>
        <v>Building</v>
      </c>
      <c r="D6784" s="2" t="str">
        <f ca="1">IFERROR(__xludf.DUMMYFUNCTION("""COMPUTED_VALUE"""),"Dubai&gt;Dubai Hills Estate&gt;Socio&gt;Socio Tower B")</f>
        <v>Dubai&gt;Dubai Hills Estate&gt;Socio&gt;Socio Tower B</v>
      </c>
      <c r="E6784" s="2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</row>
    <row r="6785" spans="1:26" ht="16.5" x14ac:dyDescent="0.35">
      <c r="A6785" s="2" t="str">
        <f ca="1">IFERROR(__xludf.DUMMYFUNCTION("""COMPUTED_VALUE"""),"Dubai")</f>
        <v>Dubai</v>
      </c>
      <c r="B6785" s="2" t="str">
        <f ca="1">IFERROR(__xludf.DUMMYFUNCTION("""COMPUTED_VALUE"""),"Parkwood Tower A")</f>
        <v>Parkwood Tower A</v>
      </c>
      <c r="C6785" s="2" t="str">
        <f ca="1">IFERROR(__xludf.DUMMYFUNCTION("""COMPUTED_VALUE"""),"Building")</f>
        <v>Building</v>
      </c>
      <c r="D6785" s="2" t="str">
        <f ca="1">IFERROR(__xludf.DUMMYFUNCTION("""COMPUTED_VALUE"""),"Dubai&gt;Dubai Hills Estate&gt;Parkwood&gt;Parkwood Tower A")</f>
        <v>Dubai&gt;Dubai Hills Estate&gt;Parkwood&gt;Parkwood Tower A</v>
      </c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</row>
    <row r="6786" spans="1:26" ht="16.5" x14ac:dyDescent="0.35">
      <c r="A6786" s="2" t="str">
        <f ca="1">IFERROR(__xludf.DUMMYFUNCTION("""COMPUTED_VALUE"""),"Dubai")</f>
        <v>Dubai</v>
      </c>
      <c r="B6786" s="2" t="str">
        <f ca="1">IFERROR(__xludf.DUMMYFUNCTION("""COMPUTED_VALUE"""),"Masaken Al Muraqqabat 03")</f>
        <v>Masaken Al Muraqqabat 03</v>
      </c>
      <c r="C6786" s="2" t="str">
        <f ca="1">IFERROR(__xludf.DUMMYFUNCTION("""COMPUTED_VALUE"""),"Building")</f>
        <v>Building</v>
      </c>
      <c r="D6786" s="2" t="str">
        <f ca="1">IFERROR(__xludf.DUMMYFUNCTION("""COMPUTED_VALUE"""),"Dubai&gt;Deira&gt;Al Muraqqabat&gt;Masaken Al Muraqqabat 03")</f>
        <v>Dubai&gt;Deira&gt;Al Muraqqabat&gt;Masaken Al Muraqqabat 03</v>
      </c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</row>
    <row r="6787" spans="1:26" ht="16.5" x14ac:dyDescent="0.35">
      <c r="A6787" s="2" t="str">
        <f ca="1">IFERROR(__xludf.DUMMYFUNCTION("""COMPUTED_VALUE"""),"Dubai")</f>
        <v>Dubai</v>
      </c>
      <c r="B6787" s="2" t="str">
        <f ca="1">IFERROR(__xludf.DUMMYFUNCTION("""COMPUTED_VALUE"""),"Hussain Haider Darwish Building")</f>
        <v>Hussain Haider Darwish Building</v>
      </c>
      <c r="C6787" s="2" t="str">
        <f ca="1">IFERROR(__xludf.DUMMYFUNCTION("""COMPUTED_VALUE"""),"Building")</f>
        <v>Building</v>
      </c>
      <c r="D6787" s="2" t="str">
        <f ca="1">IFERROR(__xludf.DUMMYFUNCTION("""COMPUTED_VALUE"""),"Dubai&gt;Deira&gt;Al Muraqqabat&gt;Hussain Haider Darwish Building")</f>
        <v>Dubai&gt;Deira&gt;Al Muraqqabat&gt;Hussain Haider Darwish Building</v>
      </c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</row>
    <row r="6788" spans="1:26" ht="16.5" x14ac:dyDescent="0.35">
      <c r="A6788" s="2" t="str">
        <f ca="1">IFERROR(__xludf.DUMMYFUNCTION("""COMPUTED_VALUE"""),"Dubai")</f>
        <v>Dubai</v>
      </c>
      <c r="B6788" s="2" t="str">
        <f ca="1">IFERROR(__xludf.DUMMYFUNCTION("""COMPUTED_VALUE"""),"Samaya Hotel")</f>
        <v>Samaya Hotel</v>
      </c>
      <c r="C6788" s="2" t="str">
        <f ca="1">IFERROR(__xludf.DUMMYFUNCTION("""COMPUTED_VALUE"""),"Building")</f>
        <v>Building</v>
      </c>
      <c r="D6788" s="2" t="str">
        <f ca="1">IFERROR(__xludf.DUMMYFUNCTION("""COMPUTED_VALUE"""),"Dubai&gt;Deira&gt;Riggat Al Buteen&gt;Samaya Hotel")</f>
        <v>Dubai&gt;Deira&gt;Riggat Al Buteen&gt;Samaya Hotel</v>
      </c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</row>
    <row r="6789" spans="1:26" ht="16.5" x14ac:dyDescent="0.35">
      <c r="A6789" s="2" t="str">
        <f ca="1">IFERROR(__xludf.DUMMYFUNCTION("""COMPUTED_VALUE"""),"Dubai")</f>
        <v>Dubai</v>
      </c>
      <c r="B6789" s="2" t="str">
        <f ca="1">IFERROR(__xludf.DUMMYFUNCTION("""COMPUTED_VALUE"""),"Dr. Murad Building")</f>
        <v>Dr. Murad Building</v>
      </c>
      <c r="C6789" s="2" t="str">
        <f ca="1">IFERROR(__xludf.DUMMYFUNCTION("""COMPUTED_VALUE"""),"Building")</f>
        <v>Building</v>
      </c>
      <c r="D6789" s="2" t="str">
        <f ca="1">IFERROR(__xludf.DUMMYFUNCTION("""COMPUTED_VALUE"""),"Dubai&gt;Deira&gt;Hor Al Anz&gt;Dr. Murad Building")</f>
        <v>Dubai&gt;Deira&gt;Hor Al Anz&gt;Dr. Murad Building</v>
      </c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</row>
    <row r="6790" spans="1:26" ht="16.5" x14ac:dyDescent="0.35">
      <c r="A6790" s="2" t="str">
        <f ca="1">IFERROR(__xludf.DUMMYFUNCTION("""COMPUTED_VALUE"""),"Dubai")</f>
        <v>Dubai</v>
      </c>
      <c r="B6790" s="2" t="str">
        <f ca="1">IFERROR(__xludf.DUMMYFUNCTION("""COMPUTED_VALUE"""),"Al Serkal Building")</f>
        <v>Al Serkal Building</v>
      </c>
      <c r="C6790" s="2" t="str">
        <f ca="1">IFERROR(__xludf.DUMMYFUNCTION("""COMPUTED_VALUE"""),"Building")</f>
        <v>Building</v>
      </c>
      <c r="D6790" s="2" t="str">
        <f ca="1">IFERROR(__xludf.DUMMYFUNCTION("""COMPUTED_VALUE"""),"Dubai&gt;Deira&gt;Hor Al Anz&gt;Al Serkal Building")</f>
        <v>Dubai&gt;Deira&gt;Hor Al Anz&gt;Al Serkal Building</v>
      </c>
      <c r="E6790" s="2"/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</row>
    <row r="6791" spans="1:26" ht="16.5" x14ac:dyDescent="0.35">
      <c r="A6791" s="2" t="str">
        <f ca="1">IFERROR(__xludf.DUMMYFUNCTION("""COMPUTED_VALUE"""),"Dubai")</f>
        <v>Dubai</v>
      </c>
      <c r="B6791" s="2" t="str">
        <f ca="1">IFERROR(__xludf.DUMMYFUNCTION("""COMPUTED_VALUE"""),"Block B Building")</f>
        <v>Block B Building</v>
      </c>
      <c r="C6791" s="2" t="str">
        <f ca="1">IFERROR(__xludf.DUMMYFUNCTION("""COMPUTED_VALUE"""),"Building")</f>
        <v>Building</v>
      </c>
      <c r="D6791" s="2" t="str">
        <f ca="1">IFERROR(__xludf.DUMMYFUNCTION("""COMPUTED_VALUE"""),"Dubai&gt;Deira&gt;Al Muteena&gt;Block B Building")</f>
        <v>Dubai&gt;Deira&gt;Al Muteena&gt;Block B Building</v>
      </c>
      <c r="E6791" s="2"/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</row>
    <row r="6792" spans="1:26" ht="16.5" x14ac:dyDescent="0.35">
      <c r="A6792" s="2" t="str">
        <f ca="1">IFERROR(__xludf.DUMMYFUNCTION("""COMPUTED_VALUE"""),"Dubai")</f>
        <v>Dubai</v>
      </c>
      <c r="B6792" s="2" t="str">
        <f ca="1">IFERROR(__xludf.DUMMYFUNCTION("""COMPUTED_VALUE"""),"Al Rega 16")</f>
        <v>Al Rega 16</v>
      </c>
      <c r="C6792" s="2" t="str">
        <f ca="1">IFERROR(__xludf.DUMMYFUNCTION("""COMPUTED_VALUE"""),"Building")</f>
        <v>Building</v>
      </c>
      <c r="D6792" s="2" t="str">
        <f ca="1">IFERROR(__xludf.DUMMYFUNCTION("""COMPUTED_VALUE"""),"Dubai&gt;Deira&gt;Al Rigga&gt;Al Rega 16")</f>
        <v>Dubai&gt;Deira&gt;Al Rigga&gt;Al Rega 16</v>
      </c>
      <c r="E6792" s="2"/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</row>
    <row r="6793" spans="1:26" ht="16.5" x14ac:dyDescent="0.35">
      <c r="A6793" s="2" t="str">
        <f ca="1">IFERROR(__xludf.DUMMYFUNCTION("""COMPUTED_VALUE"""),"Dubai")</f>
        <v>Dubai</v>
      </c>
      <c r="B6793" s="2" t="str">
        <f ca="1">IFERROR(__xludf.DUMMYFUNCTION("""COMPUTED_VALUE"""),"Hind Plaza 2")</f>
        <v>Hind Plaza 2</v>
      </c>
      <c r="C6793" s="2" t="str">
        <f ca="1">IFERROR(__xludf.DUMMYFUNCTION("""COMPUTED_VALUE"""),"Building")</f>
        <v>Building</v>
      </c>
      <c r="D6793" s="2" t="str">
        <f ca="1">IFERROR(__xludf.DUMMYFUNCTION("""COMPUTED_VALUE"""),"Dubai&gt;Deira&gt;Deira Enrichment Project&gt;Hind Plaza&gt;Hind Plaza 2")</f>
        <v>Dubai&gt;Deira&gt;Deira Enrichment Project&gt;Hind Plaza&gt;Hind Plaza 2</v>
      </c>
      <c r="E6793" s="2"/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</row>
    <row r="6794" spans="1:26" ht="16.5" x14ac:dyDescent="0.35">
      <c r="A6794" s="2" t="str">
        <f ca="1">IFERROR(__xludf.DUMMYFUNCTION("""COMPUTED_VALUE"""),"Dubai")</f>
        <v>Dubai</v>
      </c>
      <c r="B6794" s="2" t="str">
        <f ca="1">IFERROR(__xludf.DUMMYFUNCTION("""COMPUTED_VALUE"""),"Saif Center")</f>
        <v>Saif Center</v>
      </c>
      <c r="C6794" s="2" t="str">
        <f ca="1">IFERROR(__xludf.DUMMYFUNCTION("""COMPUTED_VALUE"""),"Building")</f>
        <v>Building</v>
      </c>
      <c r="D6794" s="2" t="str">
        <f ca="1">IFERROR(__xludf.DUMMYFUNCTION("""COMPUTED_VALUE"""),"Dubai&gt;Deira&gt;Naif&gt;Saif Center")</f>
        <v>Dubai&gt;Deira&gt;Naif&gt;Saif Center</v>
      </c>
      <c r="E6794" s="2"/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</row>
    <row r="6795" spans="1:26" ht="16.5" x14ac:dyDescent="0.35">
      <c r="A6795" s="2" t="str">
        <f ca="1">IFERROR(__xludf.DUMMYFUNCTION("""COMPUTED_VALUE"""),"Dubai")</f>
        <v>Dubai</v>
      </c>
      <c r="B6795" s="2" t="str">
        <f ca="1">IFERROR(__xludf.DUMMYFUNCTION("""COMPUTED_VALUE"""),"Burj Nahar Building")</f>
        <v>Burj Nahar Building</v>
      </c>
      <c r="C6795" s="2" t="str">
        <f ca="1">IFERROR(__xludf.DUMMYFUNCTION("""COMPUTED_VALUE"""),"Building")</f>
        <v>Building</v>
      </c>
      <c r="D6795" s="2" t="str">
        <f ca="1">IFERROR(__xludf.DUMMYFUNCTION("""COMPUTED_VALUE"""),"Dubai&gt;Deira&gt;Naif&gt;Burj Nahar Building")</f>
        <v>Dubai&gt;Deira&gt;Naif&gt;Burj Nahar Building</v>
      </c>
      <c r="E6795" s="2"/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</row>
    <row r="6796" spans="1:26" ht="16.5" x14ac:dyDescent="0.35">
      <c r="A6796" s="2" t="str">
        <f ca="1">IFERROR(__xludf.DUMMYFUNCTION("""COMPUTED_VALUE"""),"Dubai")</f>
        <v>Dubai</v>
      </c>
      <c r="B6796" s="2" t="str">
        <f ca="1">IFERROR(__xludf.DUMMYFUNCTION("""COMPUTED_VALUE"""),"Abdulwahed Bin Shabib Proptery 152 Building")</f>
        <v>Abdulwahed Bin Shabib Proptery 152 Building</v>
      </c>
      <c r="C6796" s="2" t="str">
        <f ca="1">IFERROR(__xludf.DUMMYFUNCTION("""COMPUTED_VALUE"""),"Building")</f>
        <v>Building</v>
      </c>
      <c r="D6796" s="2" t="str">
        <f ca="1">IFERROR(__xludf.DUMMYFUNCTION("""COMPUTED_VALUE"""),"Dubai&gt;Deira&gt;Al Murar&gt;Abdulwahed Bin Shabib Proptery 152 Building")</f>
        <v>Dubai&gt;Deira&gt;Al Murar&gt;Abdulwahed Bin Shabib Proptery 152 Building</v>
      </c>
      <c r="E6796" s="2"/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</row>
    <row r="6797" spans="1:26" ht="16.5" x14ac:dyDescent="0.35">
      <c r="A6797" s="2" t="str">
        <f ca="1">IFERROR(__xludf.DUMMYFUNCTION("""COMPUTED_VALUE"""),"Dubai")</f>
        <v>Dubai</v>
      </c>
      <c r="B6797" s="2" t="str">
        <f ca="1">IFERROR(__xludf.DUMMYFUNCTION("""COMPUTED_VALUE"""),"Maryam Plaza 1")</f>
        <v>Maryam Plaza 1</v>
      </c>
      <c r="C6797" s="2" t="str">
        <f ca="1">IFERROR(__xludf.DUMMYFUNCTION("""COMPUTED_VALUE"""),"Building")</f>
        <v>Building</v>
      </c>
      <c r="D6797" s="2" t="str">
        <f ca="1">IFERROR(__xludf.DUMMYFUNCTION("""COMPUTED_VALUE"""),"Dubai&gt;Deira&gt;Al Daghaya&gt;Maryam Plaza 1")</f>
        <v>Dubai&gt;Deira&gt;Al Daghaya&gt;Maryam Plaza 1</v>
      </c>
      <c r="E6797" s="2"/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</row>
    <row r="6798" spans="1:26" ht="16.5" x14ac:dyDescent="0.35">
      <c r="A6798" s="2" t="str">
        <f ca="1">IFERROR(__xludf.DUMMYFUNCTION("""COMPUTED_VALUE"""),"Dubai")</f>
        <v>Dubai</v>
      </c>
      <c r="B6798" s="2" t="str">
        <f ca="1">IFERROR(__xludf.DUMMYFUNCTION("""COMPUTED_VALUE"""),"City Avenue Building")</f>
        <v>City Avenue Building</v>
      </c>
      <c r="C6798" s="2" t="str">
        <f ca="1">IFERROR(__xludf.DUMMYFUNCTION("""COMPUTED_VALUE"""),"Building")</f>
        <v>Building</v>
      </c>
      <c r="D6798" s="2" t="str">
        <f ca="1">IFERROR(__xludf.DUMMYFUNCTION("""COMPUTED_VALUE"""),"Dubai&gt;Deira&gt;Port Saeed&gt;City Avenue Building")</f>
        <v>Dubai&gt;Deira&gt;Port Saeed&gt;City Avenue Building</v>
      </c>
      <c r="E6798" s="2"/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</row>
    <row r="6799" spans="1:26" ht="16.5" x14ac:dyDescent="0.35">
      <c r="A6799" s="2" t="str">
        <f ca="1">IFERROR(__xludf.DUMMYFUNCTION("""COMPUTED_VALUE"""),"Dubai")</f>
        <v>Dubai</v>
      </c>
      <c r="B6799" s="2" t="str">
        <f ca="1">IFERROR(__xludf.DUMMYFUNCTION("""COMPUTED_VALUE"""),"Al Ghanim New Building")</f>
        <v>Al Ghanim New Building</v>
      </c>
      <c r="C6799" s="2" t="str">
        <f ca="1">IFERROR(__xludf.DUMMYFUNCTION("""COMPUTED_VALUE"""),"Building")</f>
        <v>Building</v>
      </c>
      <c r="D6799" s="2" t="str">
        <f ca="1">IFERROR(__xludf.DUMMYFUNCTION("""COMPUTED_VALUE"""),"Dubai&gt;Deira&gt;Port Saeed&gt;Al Ghanim New Building")</f>
        <v>Dubai&gt;Deira&gt;Port Saeed&gt;Al Ghanim New Building</v>
      </c>
      <c r="E6799" s="2"/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</row>
    <row r="6800" spans="1:26" ht="16.5" x14ac:dyDescent="0.35">
      <c r="A6800" s="2" t="str">
        <f ca="1">IFERROR(__xludf.DUMMYFUNCTION("""COMPUTED_VALUE"""),"Dubai")</f>
        <v>Dubai</v>
      </c>
      <c r="B6800" s="2" t="str">
        <f ca="1">IFERROR(__xludf.DUMMYFUNCTION("""COMPUTED_VALUE"""),"Noora")</f>
        <v>Noora</v>
      </c>
      <c r="C6800" s="2" t="str">
        <f ca="1">IFERROR(__xludf.DUMMYFUNCTION("""COMPUTED_VALUE"""),"Building")</f>
        <v>Building</v>
      </c>
      <c r="D6800" s="2" t="str">
        <f ca="1">IFERROR(__xludf.DUMMYFUNCTION("""COMPUTED_VALUE"""),"Dubai&gt;Business Bay&gt;Al Habtoor City&gt;Noora")</f>
        <v>Dubai&gt;Business Bay&gt;Al Habtoor City&gt;Noora</v>
      </c>
      <c r="E6800" s="2"/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</row>
    <row r="6801" spans="1:26" ht="16.5" x14ac:dyDescent="0.35">
      <c r="A6801" s="2" t="str">
        <f ca="1">IFERROR(__xludf.DUMMYFUNCTION("""COMPUTED_VALUE"""),"Dubai")</f>
        <v>Dubai</v>
      </c>
      <c r="B6801" s="2" t="str">
        <f ca="1">IFERROR(__xludf.DUMMYFUNCTION("""COMPUTED_VALUE"""),"Capital Bay Tower B")</f>
        <v>Capital Bay Tower B</v>
      </c>
      <c r="C6801" s="2" t="str">
        <f ca="1">IFERROR(__xludf.DUMMYFUNCTION("""COMPUTED_VALUE"""),"Building")</f>
        <v>Building</v>
      </c>
      <c r="D6801" s="2" t="str">
        <f ca="1">IFERROR(__xludf.DUMMYFUNCTION("""COMPUTED_VALUE"""),"Dubai&gt;Business Bay&gt;Capital Bay Towers&gt;Capital Bay Tower B")</f>
        <v>Dubai&gt;Business Bay&gt;Capital Bay Towers&gt;Capital Bay Tower B</v>
      </c>
      <c r="E6801" s="2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</row>
    <row r="6802" spans="1:26" ht="16.5" x14ac:dyDescent="0.35">
      <c r="A6802" s="2" t="str">
        <f ca="1">IFERROR(__xludf.DUMMYFUNCTION("""COMPUTED_VALUE"""),"Dubai")</f>
        <v>Dubai</v>
      </c>
      <c r="B6802" s="2" t="str">
        <f ca="1">IFERROR(__xludf.DUMMYFUNCTION("""COMPUTED_VALUE"""),"Zada Tower")</f>
        <v>Zada Tower</v>
      </c>
      <c r="C6802" s="2" t="str">
        <f ca="1">IFERROR(__xludf.DUMMYFUNCTION("""COMPUTED_VALUE"""),"Building")</f>
        <v>Building</v>
      </c>
      <c r="D6802" s="2" t="str">
        <f ca="1">IFERROR(__xludf.DUMMYFUNCTION("""COMPUTED_VALUE"""),"Dubai&gt;Business Bay&gt;Zada Tower")</f>
        <v>Dubai&gt;Business Bay&gt;Zada Tower</v>
      </c>
      <c r="E6802" s="2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</row>
    <row r="6803" spans="1:26" ht="16.5" x14ac:dyDescent="0.35">
      <c r="A6803" s="2" t="str">
        <f ca="1">IFERROR(__xludf.DUMMYFUNCTION("""COMPUTED_VALUE"""),"Dubai")</f>
        <v>Dubai</v>
      </c>
      <c r="B6803" s="2" t="str">
        <f ca="1">IFERROR(__xludf.DUMMYFUNCTION("""COMPUTED_VALUE"""),"DAMAC Maison Prive")</f>
        <v>DAMAC Maison Prive</v>
      </c>
      <c r="C6803" s="2" t="str">
        <f ca="1">IFERROR(__xludf.DUMMYFUNCTION("""COMPUTED_VALUE"""),"Cluster")</f>
        <v>Cluster</v>
      </c>
      <c r="D6803" s="2" t="str">
        <f ca="1">IFERROR(__xludf.DUMMYFUNCTION("""COMPUTED_VALUE"""),"Dubai&gt;Business Bay&gt;DAMAC Maison Prive")</f>
        <v>Dubai&gt;Business Bay&gt;DAMAC Maison Prive</v>
      </c>
      <c r="E6803" s="2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</row>
    <row r="6804" spans="1:26" ht="16.5" x14ac:dyDescent="0.35">
      <c r="A6804" s="2" t="str">
        <f ca="1">IFERROR(__xludf.DUMMYFUNCTION("""COMPUTED_VALUE"""),"Dubai")</f>
        <v>Dubai</v>
      </c>
      <c r="B6804" s="2" t="str">
        <f ca="1">IFERROR(__xludf.DUMMYFUNCTION("""COMPUTED_VALUE"""),"Millennium Binghatti Residences")</f>
        <v>Millennium Binghatti Residences</v>
      </c>
      <c r="C6804" s="2" t="str">
        <f ca="1">IFERROR(__xludf.DUMMYFUNCTION("""COMPUTED_VALUE"""),"Building")</f>
        <v>Building</v>
      </c>
      <c r="D6804" s="2" t="str">
        <f ca="1">IFERROR(__xludf.DUMMYFUNCTION("""COMPUTED_VALUE"""),"Dubai&gt;Business Bay&gt;Millennium Binghatti Residences")</f>
        <v>Dubai&gt;Business Bay&gt;Millennium Binghatti Residences</v>
      </c>
      <c r="E6804" s="2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</row>
    <row r="6805" spans="1:26" ht="16.5" x14ac:dyDescent="0.35">
      <c r="A6805" s="2" t="str">
        <f ca="1">IFERROR(__xludf.DUMMYFUNCTION("""COMPUTED_VALUE"""),"Dubai")</f>
        <v>Dubai</v>
      </c>
      <c r="B6805" s="2" t="str">
        <f ca="1">IFERROR(__xludf.DUMMYFUNCTION("""COMPUTED_VALUE"""),"Westburry Tower 2")</f>
        <v>Westburry Tower 2</v>
      </c>
      <c r="C6805" s="2" t="str">
        <f ca="1">IFERROR(__xludf.DUMMYFUNCTION("""COMPUTED_VALUE"""),"Building")</f>
        <v>Building</v>
      </c>
      <c r="D6805" s="2" t="str">
        <f ca="1">IFERROR(__xludf.DUMMYFUNCTION("""COMPUTED_VALUE"""),"Dubai&gt;Business Bay&gt;Westburry Square&gt;Westburry Tower 2")</f>
        <v>Dubai&gt;Business Bay&gt;Westburry Square&gt;Westburry Tower 2</v>
      </c>
      <c r="E6805" s="2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</row>
    <row r="6806" spans="1:26" ht="16.5" x14ac:dyDescent="0.35">
      <c r="A6806" s="2" t="str">
        <f ca="1">IFERROR(__xludf.DUMMYFUNCTION("""COMPUTED_VALUE"""),"Dubai")</f>
        <v>Dubai</v>
      </c>
      <c r="B6806" s="2" t="str">
        <f ca="1">IFERROR(__xludf.DUMMYFUNCTION("""COMPUTED_VALUE"""),"Canal Crown")</f>
        <v>Canal Crown</v>
      </c>
      <c r="C6806" s="2" t="str">
        <f ca="1">IFERROR(__xludf.DUMMYFUNCTION("""COMPUTED_VALUE"""),"Cluster")</f>
        <v>Cluster</v>
      </c>
      <c r="D6806" s="2" t="str">
        <f ca="1">IFERROR(__xludf.DUMMYFUNCTION("""COMPUTED_VALUE"""),"Dubai&gt;Business Bay&gt;Canal Crown")</f>
        <v>Dubai&gt;Business Bay&gt;Canal Crown</v>
      </c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</row>
    <row r="6807" spans="1:26" ht="16.5" x14ac:dyDescent="0.35">
      <c r="A6807" s="2" t="str">
        <f ca="1">IFERROR(__xludf.DUMMYFUNCTION("""COMPUTED_VALUE"""),"Dubai")</f>
        <v>Dubai</v>
      </c>
      <c r="B6807" s="2" t="str">
        <f ca="1">IFERROR(__xludf.DUMMYFUNCTION("""COMPUTED_VALUE"""),"Peninsula Two")</f>
        <v>Peninsula Two</v>
      </c>
      <c r="C6807" s="2" t="str">
        <f ca="1">IFERROR(__xludf.DUMMYFUNCTION("""COMPUTED_VALUE"""),"Building")</f>
        <v>Building</v>
      </c>
      <c r="D6807" s="2" t="str">
        <f ca="1">IFERROR(__xludf.DUMMYFUNCTION("""COMPUTED_VALUE"""),"Dubai&gt;Business Bay&gt;Peninsula&gt;Peninsula Two")</f>
        <v>Dubai&gt;Business Bay&gt;Peninsula&gt;Peninsula Two</v>
      </c>
      <c r="E6807" s="2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</row>
    <row r="6808" spans="1:26" ht="16.5" x14ac:dyDescent="0.35">
      <c r="A6808" s="2" t="str">
        <f ca="1">IFERROR(__xludf.DUMMYFUNCTION("""COMPUTED_VALUE"""),"Dubai")</f>
        <v>Dubai</v>
      </c>
      <c r="B6808" s="2" t="str">
        <f ca="1">IFERROR(__xludf.DUMMYFUNCTION("""COMPUTED_VALUE"""),"77s Tower")</f>
        <v>77s Tower</v>
      </c>
      <c r="C6808" s="2" t="str">
        <f ca="1">IFERROR(__xludf.DUMMYFUNCTION("""COMPUTED_VALUE"""),"Building")</f>
        <v>Building</v>
      </c>
      <c r="D6808" s="2" t="str">
        <f ca="1">IFERROR(__xludf.DUMMYFUNCTION("""COMPUTED_VALUE"""),"Dubai&gt;Business Bay&gt;77s Tower")</f>
        <v>Dubai&gt;Business Bay&gt;77s Tower</v>
      </c>
      <c r="E6808" s="2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</row>
    <row r="6809" spans="1:26" ht="16.5" x14ac:dyDescent="0.35">
      <c r="A6809" s="2" t="str">
        <f ca="1">IFERROR(__xludf.DUMMYFUNCTION("""COMPUTED_VALUE"""),"Dubai")</f>
        <v>Dubai</v>
      </c>
      <c r="B6809" s="2" t="str">
        <f ca="1">IFERROR(__xludf.DUMMYFUNCTION("""COMPUTED_VALUE"""),"Al Burooj Residence IV")</f>
        <v>Al Burooj Residence IV</v>
      </c>
      <c r="C6809" s="2" t="str">
        <f ca="1">IFERROR(__xludf.DUMMYFUNCTION("""COMPUTED_VALUE"""),"Neighbourhood")</f>
        <v>Neighbourhood</v>
      </c>
      <c r="D6809" s="2" t="str">
        <f ca="1">IFERROR(__xludf.DUMMYFUNCTION("""COMPUTED_VALUE"""),"Dubai&gt;Jumeirah Village Triangle (JVT)&gt;JVT District 5&gt;Al Burooj Residence IV")</f>
        <v>Dubai&gt;Jumeirah Village Triangle (JVT)&gt;JVT District 5&gt;Al Burooj Residence IV</v>
      </c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</row>
    <row r="6810" spans="1:26" ht="16.5" x14ac:dyDescent="0.35">
      <c r="A6810" s="2" t="str">
        <f ca="1">IFERROR(__xludf.DUMMYFUNCTION("""COMPUTED_VALUE"""),"Dubai")</f>
        <v>Dubai</v>
      </c>
      <c r="B6810" s="2" t="str">
        <f ca="1">IFERROR(__xludf.DUMMYFUNCTION("""COMPUTED_VALUE"""),"District 8P")</f>
        <v>District 8P</v>
      </c>
      <c r="C6810" s="2" t="str">
        <f ca="1">IFERROR(__xludf.DUMMYFUNCTION("""COMPUTED_VALUE"""),"Neighbourhood")</f>
        <v>Neighbourhood</v>
      </c>
      <c r="D6810" s="2" t="str">
        <f ca="1">IFERROR(__xludf.DUMMYFUNCTION("""COMPUTED_VALUE"""),"Dubai&gt;Jumeirah Village Triangle (JVT)&gt;JVT District 8&gt;District 8P")</f>
        <v>Dubai&gt;Jumeirah Village Triangle (JVT)&gt;JVT District 8&gt;District 8P</v>
      </c>
      <c r="E6810" s="2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</row>
    <row r="6811" spans="1:26" ht="16.5" x14ac:dyDescent="0.35">
      <c r="A6811" s="2" t="str">
        <f ca="1">IFERROR(__xludf.DUMMYFUNCTION("""COMPUTED_VALUE"""),"Dubai")</f>
        <v>Dubai</v>
      </c>
      <c r="B6811" s="2" t="str">
        <f ca="1">IFERROR(__xludf.DUMMYFUNCTION("""COMPUTED_VALUE"""),"Cloud Tower B")</f>
        <v>Cloud Tower B</v>
      </c>
      <c r="C6811" s="2" t="str">
        <f ca="1">IFERROR(__xludf.DUMMYFUNCTION("""COMPUTED_VALUE"""),"Building")</f>
        <v>Building</v>
      </c>
      <c r="D6811" s="2" t="str">
        <f ca="1">IFERROR(__xludf.DUMMYFUNCTION("""COMPUTED_VALUE"""),"Dubai&gt;Jumeirah Village Triangle (JVT)&gt;JVT District 2&gt;Cloud Tower&gt;Cloud Tower B")</f>
        <v>Dubai&gt;Jumeirah Village Triangle (JVT)&gt;JVT District 2&gt;Cloud Tower&gt;Cloud Tower B</v>
      </c>
      <c r="E6811" s="2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</row>
    <row r="6812" spans="1:26" ht="16.5" x14ac:dyDescent="0.35">
      <c r="A6812" s="2" t="str">
        <f ca="1">IFERROR(__xludf.DUMMYFUNCTION("""COMPUTED_VALUE"""),"Dubai")</f>
        <v>Dubai</v>
      </c>
      <c r="B6812" s="2" t="str">
        <f ca="1">IFERROR(__xludf.DUMMYFUNCTION("""COMPUTED_VALUE"""),"Tranquil Wellness Tower")</f>
        <v>Tranquil Wellness Tower</v>
      </c>
      <c r="C6812" s="2" t="str">
        <f ca="1">IFERROR(__xludf.DUMMYFUNCTION("""COMPUTED_VALUE"""),"Building")</f>
        <v>Building</v>
      </c>
      <c r="D6812" s="2" t="str">
        <f ca="1">IFERROR(__xludf.DUMMYFUNCTION("""COMPUTED_VALUE"""),"Dubai&gt;Jumeirah Village Triangle (JVT)&gt;JVT District 7&gt;Tranquil Wellness Tower")</f>
        <v>Dubai&gt;Jumeirah Village Triangle (JVT)&gt;JVT District 7&gt;Tranquil Wellness Tower</v>
      </c>
      <c r="E6812" s="2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</row>
    <row r="6813" spans="1:26" ht="16.5" x14ac:dyDescent="0.35">
      <c r="A6813" s="2" t="str">
        <f ca="1">IFERROR(__xludf.DUMMYFUNCTION("""COMPUTED_VALUE"""),"Dubai")</f>
        <v>Dubai</v>
      </c>
      <c r="B6813" s="2" t="str">
        <f ca="1">IFERROR(__xludf.DUMMYFUNCTION("""COMPUTED_VALUE"""),"Pacific Residencia")</f>
        <v>Pacific Residencia</v>
      </c>
      <c r="C6813" s="2" t="str">
        <f ca="1">IFERROR(__xludf.DUMMYFUNCTION("""COMPUTED_VALUE"""),"Building")</f>
        <v>Building</v>
      </c>
      <c r="D6813" s="2" t="str">
        <f ca="1">IFERROR(__xludf.DUMMYFUNCTION("""COMPUTED_VALUE"""),"Dubai&gt;Jumeirah Village Triangle (JVT)&gt;JVT District 4&gt;Pacific Residencia")</f>
        <v>Dubai&gt;Jumeirah Village Triangle (JVT)&gt;JVT District 4&gt;Pacific Residencia</v>
      </c>
      <c r="E6813" s="2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</row>
    <row r="6814" spans="1:26" ht="16.5" x14ac:dyDescent="0.35">
      <c r="A6814" s="2" t="str">
        <f ca="1">IFERROR(__xludf.DUMMYFUNCTION("""COMPUTED_VALUE"""),"Dubai")</f>
        <v>Dubai</v>
      </c>
      <c r="B6814" s="2" t="str">
        <f ca="1">IFERROR(__xludf.DUMMYFUNCTION("""COMPUTED_VALUE"""),"ICE by Stree")</f>
        <v>ICE by Stree</v>
      </c>
      <c r="C6814" s="2" t="str">
        <f ca="1">IFERROR(__xludf.DUMMYFUNCTION("""COMPUTED_VALUE"""),"Building")</f>
        <v>Building</v>
      </c>
      <c r="D6814" s="2" t="str">
        <f ca="1">IFERROR(__xludf.DUMMYFUNCTION("""COMPUTED_VALUE"""),"Dubai&gt;Jumeirah Village Triangle (JVT)&gt;JVT District 3&gt;ICE by Stree")</f>
        <v>Dubai&gt;Jumeirah Village Triangle (JVT)&gt;JVT District 3&gt;ICE by Stree</v>
      </c>
      <c r="E6814" s="2"/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</row>
    <row r="6815" spans="1:26" ht="16.5" x14ac:dyDescent="0.35">
      <c r="A6815" s="2" t="str">
        <f ca="1">IFERROR(__xludf.DUMMYFUNCTION("""COMPUTED_VALUE"""),"Dubai")</f>
        <v>Dubai</v>
      </c>
      <c r="B6815" s="2" t="str">
        <f ca="1">IFERROR(__xludf.DUMMYFUNCTION("""COMPUTED_VALUE"""),"Al Ramth 10")</f>
        <v>Al Ramth 10</v>
      </c>
      <c r="C6815" s="2" t="str">
        <f ca="1">IFERROR(__xludf.DUMMYFUNCTION("""COMPUTED_VALUE"""),"Building")</f>
        <v>Building</v>
      </c>
      <c r="D6815" s="2" t="str">
        <f ca="1">IFERROR(__xludf.DUMMYFUNCTION("""COMPUTED_VALUE"""),"Dubai&gt;Remraam&gt;Al Ramth&gt;Al Ramth 10")</f>
        <v>Dubai&gt;Remraam&gt;Al Ramth&gt;Al Ramth 10</v>
      </c>
      <c r="E6815" s="2"/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</row>
    <row r="6816" spans="1:26" ht="16.5" x14ac:dyDescent="0.35">
      <c r="A6816" s="2" t="str">
        <f ca="1">IFERROR(__xludf.DUMMYFUNCTION("""COMPUTED_VALUE"""),"Dubai")</f>
        <v>Dubai</v>
      </c>
      <c r="B6816" s="2" t="str">
        <f ca="1">IFERROR(__xludf.DUMMYFUNCTION("""COMPUTED_VALUE"""),"Al Thamam")</f>
        <v>Al Thamam</v>
      </c>
      <c r="C6816" s="2" t="str">
        <f ca="1">IFERROR(__xludf.DUMMYFUNCTION("""COMPUTED_VALUE"""),"Neighbourhood")</f>
        <v>Neighbourhood</v>
      </c>
      <c r="D6816" s="2" t="str">
        <f ca="1">IFERROR(__xludf.DUMMYFUNCTION("""COMPUTED_VALUE"""),"Dubai&gt;Remraam&gt;Al Thamam")</f>
        <v>Dubai&gt;Remraam&gt;Al Thamam</v>
      </c>
      <c r="E6816" s="2"/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</row>
    <row r="6817" spans="1:26" ht="16.5" x14ac:dyDescent="0.35">
      <c r="A6817" s="2" t="str">
        <f ca="1">IFERROR(__xludf.DUMMYFUNCTION("""COMPUTED_VALUE"""),"Dubai")</f>
        <v>Dubai</v>
      </c>
      <c r="B6817" s="2" t="str">
        <f ca="1">IFERROR(__xludf.DUMMYFUNCTION("""COMPUTED_VALUE"""),"Al Thamam 05")</f>
        <v>Al Thamam 05</v>
      </c>
      <c r="C6817" s="2" t="str">
        <f ca="1">IFERROR(__xludf.DUMMYFUNCTION("""COMPUTED_VALUE"""),"Building")</f>
        <v>Building</v>
      </c>
      <c r="D6817" s="2" t="str">
        <f ca="1">IFERROR(__xludf.DUMMYFUNCTION("""COMPUTED_VALUE"""),"Dubai&gt;Remraam&gt;Al Thamam&gt;Al Thamam 05")</f>
        <v>Dubai&gt;Remraam&gt;Al Thamam&gt;Al Thamam 05</v>
      </c>
      <c r="E6817" s="2"/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</row>
    <row r="6818" spans="1:26" ht="16.5" x14ac:dyDescent="0.35">
      <c r="A6818" s="2" t="str">
        <f ca="1">IFERROR(__xludf.DUMMYFUNCTION("""COMPUTED_VALUE"""),"Dubai")</f>
        <v>Dubai</v>
      </c>
      <c r="B6818" s="2" t="str">
        <f ca="1">IFERROR(__xludf.DUMMYFUNCTION("""COMPUTED_VALUE"""),"Imperial Tower")</f>
        <v>Imperial Tower</v>
      </c>
      <c r="C6818" s="2" t="str">
        <f ca="1">IFERROR(__xludf.DUMMYFUNCTION("""COMPUTED_VALUE"""),"Building")</f>
        <v>Building</v>
      </c>
      <c r="D6818" s="2" t="str">
        <f ca="1">IFERROR(__xludf.DUMMYFUNCTION("""COMPUTED_VALUE"""),"Dubai&gt;Jumeirah Village Circle (JVC)&gt;JVC District 17&gt;Imperial Tower")</f>
        <v>Dubai&gt;Jumeirah Village Circle (JVC)&gt;JVC District 17&gt;Imperial Tower</v>
      </c>
      <c r="E6818" s="2"/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</row>
    <row r="6819" spans="1:26" ht="16.5" x14ac:dyDescent="0.35">
      <c r="A6819" s="2" t="str">
        <f ca="1">IFERROR(__xludf.DUMMYFUNCTION("""COMPUTED_VALUE"""),"Dubai")</f>
        <v>Dubai</v>
      </c>
      <c r="B6819" s="2" t="str">
        <f ca="1">IFERROR(__xludf.DUMMYFUNCTION("""COMPUTED_VALUE"""),"Roxana Residence D")</f>
        <v>Roxana Residence D</v>
      </c>
      <c r="C6819" s="2" t="str">
        <f ca="1">IFERROR(__xludf.DUMMYFUNCTION("""COMPUTED_VALUE"""),"Building")</f>
        <v>Building</v>
      </c>
      <c r="D6819" s="2" t="str">
        <f ca="1">IFERROR(__xludf.DUMMYFUNCTION("""COMPUTED_VALUE"""),"Dubai&gt;Jumeirah Village Circle (JVC)&gt;JVC District 12&gt;Roxana Residences&gt;Roxana Residence D")</f>
        <v>Dubai&gt;Jumeirah Village Circle (JVC)&gt;JVC District 12&gt;Roxana Residences&gt;Roxana Residence D</v>
      </c>
      <c r="E6819" s="2"/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</row>
    <row r="6820" spans="1:26" ht="16.5" x14ac:dyDescent="0.35">
      <c r="A6820" s="2" t="str">
        <f ca="1">IFERROR(__xludf.DUMMYFUNCTION("""COMPUTED_VALUE"""),"Dubai")</f>
        <v>Dubai</v>
      </c>
      <c r="B6820" s="2" t="str">
        <f ca="1">IFERROR(__xludf.DUMMYFUNCTION("""COMPUTED_VALUE"""),"The Residence by Prestige One")</f>
        <v>The Residence by Prestige One</v>
      </c>
      <c r="C6820" s="2" t="str">
        <f ca="1">IFERROR(__xludf.DUMMYFUNCTION("""COMPUTED_VALUE"""),"Building")</f>
        <v>Building</v>
      </c>
      <c r="D6820" s="2" t="str">
        <f ca="1">IFERROR(__xludf.DUMMYFUNCTION("""COMPUTED_VALUE"""),"Dubai&gt;Jumeirah Village Circle (JVC)&gt;JVC District 12&gt;The Residence by Prestige One")</f>
        <v>Dubai&gt;Jumeirah Village Circle (JVC)&gt;JVC District 12&gt;The Residence by Prestige One</v>
      </c>
      <c r="E6820" s="2"/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</row>
    <row r="6821" spans="1:26" ht="16.5" x14ac:dyDescent="0.35">
      <c r="A6821" s="2" t="str">
        <f ca="1">IFERROR(__xludf.DUMMYFUNCTION("""COMPUTED_VALUE"""),"Dubai")</f>
        <v>Dubai</v>
      </c>
      <c r="B6821" s="2" t="str">
        <f ca="1">IFERROR(__xludf.DUMMYFUNCTION("""COMPUTED_VALUE"""),"Ashton Park")</f>
        <v>Ashton Park</v>
      </c>
      <c r="C6821" s="2" t="str">
        <f ca="1">IFERROR(__xludf.DUMMYFUNCTION("""COMPUTED_VALUE"""),"Cluster")</f>
        <v>Cluster</v>
      </c>
      <c r="D6821" s="2" t="str">
        <f ca="1">IFERROR(__xludf.DUMMYFUNCTION("""COMPUTED_VALUE"""),"Dubai&gt;Jumeirah Village Circle (JVC)&gt;JVC District 12&gt;Ashton Park")</f>
        <v>Dubai&gt;Jumeirah Village Circle (JVC)&gt;JVC District 12&gt;Ashton Park</v>
      </c>
      <c r="E6821" s="2"/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</row>
    <row r="6822" spans="1:26" ht="16.5" x14ac:dyDescent="0.35">
      <c r="A6822" s="2" t="str">
        <f ca="1">IFERROR(__xludf.DUMMYFUNCTION("""COMPUTED_VALUE"""),"Dubai")</f>
        <v>Dubai</v>
      </c>
      <c r="B6822" s="2" t="str">
        <f ca="1">IFERROR(__xludf.DUMMYFUNCTION("""COMPUTED_VALUE"""),"Parc Cite")</f>
        <v>Parc Cite</v>
      </c>
      <c r="C6822" s="2" t="str">
        <f ca="1">IFERROR(__xludf.DUMMYFUNCTION("""COMPUTED_VALUE"""),"Building")</f>
        <v>Building</v>
      </c>
      <c r="D6822" s="2" t="str">
        <f ca="1">IFERROR(__xludf.DUMMYFUNCTION("""COMPUTED_VALUE"""),"Dubai&gt;Jumeirah Village Circle (JVC)&gt;JVC District 13&gt;Parc Cite")</f>
        <v>Dubai&gt;Jumeirah Village Circle (JVC)&gt;JVC District 13&gt;Parc Cite</v>
      </c>
      <c r="E6822" s="2"/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</row>
    <row r="6823" spans="1:26" ht="16.5" x14ac:dyDescent="0.35">
      <c r="A6823" s="2" t="str">
        <f ca="1">IFERROR(__xludf.DUMMYFUNCTION("""COMPUTED_VALUE"""),"Dubai")</f>
        <v>Dubai</v>
      </c>
      <c r="B6823" s="2" t="str">
        <f ca="1">IFERROR(__xludf.DUMMYFUNCTION("""COMPUTED_VALUE"""),"Penrose Place")</f>
        <v>Penrose Place</v>
      </c>
      <c r="C6823" s="2" t="str">
        <f ca="1">IFERROR(__xludf.DUMMYFUNCTION("""COMPUTED_VALUE"""),"Building")</f>
        <v>Building</v>
      </c>
      <c r="D6823" s="2" t="str">
        <f ca="1">IFERROR(__xludf.DUMMYFUNCTION("""COMPUTED_VALUE"""),"Dubai&gt;Jumeirah Village Circle (JVC)&gt;JVC District 13&gt;Penrose Place")</f>
        <v>Dubai&gt;Jumeirah Village Circle (JVC)&gt;JVC District 13&gt;Penrose Place</v>
      </c>
      <c r="E6823" s="2"/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</row>
    <row r="6824" spans="1:26" ht="16.5" x14ac:dyDescent="0.35">
      <c r="A6824" s="2" t="str">
        <f ca="1">IFERROR(__xludf.DUMMYFUNCTION("""COMPUTED_VALUE"""),"Dubai")</f>
        <v>Dubai</v>
      </c>
      <c r="B6824" s="2" t="str">
        <f ca="1">IFERROR(__xludf.DUMMYFUNCTION("""COMPUTED_VALUE"""),"Berkeley Square")</f>
        <v>Berkeley Square</v>
      </c>
      <c r="C6824" s="2" t="str">
        <f ca="1">IFERROR(__xludf.DUMMYFUNCTION("""COMPUTED_VALUE"""),"Building")</f>
        <v>Building</v>
      </c>
      <c r="D6824" s="2" t="str">
        <f ca="1">IFERROR(__xludf.DUMMYFUNCTION("""COMPUTED_VALUE"""),"Dubai&gt;Jumeirah Village Circle (JVC)&gt;JVC District 13&gt;Berkeley Square")</f>
        <v>Dubai&gt;Jumeirah Village Circle (JVC)&gt;JVC District 13&gt;Berkeley Square</v>
      </c>
      <c r="E6824" s="2"/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</row>
    <row r="6825" spans="1:26" ht="16.5" x14ac:dyDescent="0.35">
      <c r="A6825" s="2" t="str">
        <f ca="1">IFERROR(__xludf.DUMMYFUNCTION("""COMPUTED_VALUE"""),"Dubai")</f>
        <v>Dubai</v>
      </c>
      <c r="B6825" s="2" t="str">
        <f ca="1">IFERROR(__xludf.DUMMYFUNCTION("""COMPUTED_VALUE"""),"Noora Residence 1")</f>
        <v>Noora Residence 1</v>
      </c>
      <c r="C6825" s="2" t="str">
        <f ca="1">IFERROR(__xludf.DUMMYFUNCTION("""COMPUTED_VALUE"""),"Building")</f>
        <v>Building</v>
      </c>
      <c r="D6825" s="2" t="str">
        <f ca="1">IFERROR(__xludf.DUMMYFUNCTION("""COMPUTED_VALUE"""),"Dubai&gt;Jumeirah Village Circle (JVC)&gt;JVC District 10&gt;Noora Residence&gt;Noora Residence 1")</f>
        <v>Dubai&gt;Jumeirah Village Circle (JVC)&gt;JVC District 10&gt;Noora Residence&gt;Noora Residence 1</v>
      </c>
      <c r="E6825" s="2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</row>
    <row r="6826" spans="1:26" ht="16.5" x14ac:dyDescent="0.35">
      <c r="A6826" s="2" t="str">
        <f ca="1">IFERROR(__xludf.DUMMYFUNCTION("""COMPUTED_VALUE"""),"Dubai")</f>
        <v>Dubai</v>
      </c>
      <c r="B6826" s="2" t="str">
        <f ca="1">IFERROR(__xludf.DUMMYFUNCTION("""COMPUTED_VALUE"""),"La Riviera Azure")</f>
        <v>La Riviera Azure</v>
      </c>
      <c r="C6826" s="2" t="str">
        <f ca="1">IFERROR(__xludf.DUMMYFUNCTION("""COMPUTED_VALUE"""),"Building")</f>
        <v>Building</v>
      </c>
      <c r="D6826" s="2" t="str">
        <f ca="1">IFERROR(__xludf.DUMMYFUNCTION("""COMPUTED_VALUE"""),"Dubai&gt;Jumeirah Village Circle (JVC)&gt;JVC District 10&gt;La Riviera Azure")</f>
        <v>Dubai&gt;Jumeirah Village Circle (JVC)&gt;JVC District 10&gt;La Riviera Azure</v>
      </c>
      <c r="E6826" s="2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</row>
    <row r="6827" spans="1:26" ht="16.5" x14ac:dyDescent="0.35">
      <c r="A6827" s="2" t="str">
        <f ca="1">IFERROR(__xludf.DUMMYFUNCTION("""COMPUTED_VALUE"""),"Dubai")</f>
        <v>Dubai</v>
      </c>
      <c r="B6827" s="2" t="str">
        <f ca="1">IFERROR(__xludf.DUMMYFUNCTION("""COMPUTED_VALUE"""),"Burj Residence 2")</f>
        <v>Burj Residence 2</v>
      </c>
      <c r="C6827" s="2" t="str">
        <f ca="1">IFERROR(__xludf.DUMMYFUNCTION("""COMPUTED_VALUE"""),"Building")</f>
        <v>Building</v>
      </c>
      <c r="D6827" s="2" t="str">
        <f ca="1">IFERROR(__xludf.DUMMYFUNCTION("""COMPUTED_VALUE"""),"Dubai&gt;Jumeirah Village Circle (JVC)&gt;JVC District 10&gt;Burj Residence 2")</f>
        <v>Dubai&gt;Jumeirah Village Circle (JVC)&gt;JVC District 10&gt;Burj Residence 2</v>
      </c>
      <c r="E6827" s="2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</row>
    <row r="6828" spans="1:26" ht="16.5" x14ac:dyDescent="0.35">
      <c r="A6828" s="2" t="str">
        <f ca="1">IFERROR(__xludf.DUMMYFUNCTION("""COMPUTED_VALUE"""),"Dubai")</f>
        <v>Dubai</v>
      </c>
      <c r="B6828" s="2" t="str">
        <f ca="1">IFERROR(__xludf.DUMMYFUNCTION("""COMPUTED_VALUE"""),"La Vita Bella")</f>
        <v>La Vita Bella</v>
      </c>
      <c r="C6828" s="2" t="str">
        <f ca="1">IFERROR(__xludf.DUMMYFUNCTION("""COMPUTED_VALUE"""),"Building")</f>
        <v>Building</v>
      </c>
      <c r="D6828" s="2" t="str">
        <f ca="1">IFERROR(__xludf.DUMMYFUNCTION("""COMPUTED_VALUE"""),"Dubai&gt;Jumeirah Village Circle (JVC)&gt;JVC District 10&gt;La Vita Bella")</f>
        <v>Dubai&gt;Jumeirah Village Circle (JVC)&gt;JVC District 10&gt;La Vita Bella</v>
      </c>
      <c r="E6828" s="2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</row>
    <row r="6829" spans="1:26" ht="16.5" x14ac:dyDescent="0.35">
      <c r="A6829" s="2" t="str">
        <f ca="1">IFERROR(__xludf.DUMMYFUNCTION("""COMPUTED_VALUE"""),"Dubai")</f>
        <v>Dubai</v>
      </c>
      <c r="B6829" s="2" t="str">
        <f ca="1">IFERROR(__xludf.DUMMYFUNCTION("""COMPUTED_VALUE"""),"May Residence Tower 4")</f>
        <v>May Residence Tower 4</v>
      </c>
      <c r="C6829" s="2" t="str">
        <f ca="1">IFERROR(__xludf.DUMMYFUNCTION("""COMPUTED_VALUE"""),"Building")</f>
        <v>Building</v>
      </c>
      <c r="D6829" s="2" t="str">
        <f ca="1">IFERROR(__xludf.DUMMYFUNCTION("""COMPUTED_VALUE"""),"Dubai&gt;Jumeirah Village Circle (JVC)&gt;JVC District 10&gt;May Residence&gt;May Residence Tower 4")</f>
        <v>Dubai&gt;Jumeirah Village Circle (JVC)&gt;JVC District 10&gt;May Residence&gt;May Residence Tower 4</v>
      </c>
      <c r="E6829" s="2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</row>
    <row r="6830" spans="1:26" ht="16.5" x14ac:dyDescent="0.35">
      <c r="A6830" s="2" t="str">
        <f ca="1">IFERROR(__xludf.DUMMYFUNCTION("""COMPUTED_VALUE"""),"Dubai")</f>
        <v>Dubai</v>
      </c>
      <c r="B6830" s="2" t="str">
        <f ca="1">IFERROR(__xludf.DUMMYFUNCTION("""COMPUTED_VALUE"""),"Summer 2 Block A")</f>
        <v>Summer 2 Block A</v>
      </c>
      <c r="C6830" s="2" t="str">
        <f ca="1">IFERROR(__xludf.DUMMYFUNCTION("""COMPUTED_VALUE"""),"Building")</f>
        <v>Building</v>
      </c>
      <c r="D6830" s="2" t="str">
        <f ca="1">IFERROR(__xludf.DUMMYFUNCTION("""COMPUTED_VALUE"""),"Dubai&gt;Jumeirah Village Circle (JVC)&gt;JVC District 15&gt;Seasons Community&gt;Summer&gt;Summer 2 Block A")</f>
        <v>Dubai&gt;Jumeirah Village Circle (JVC)&gt;JVC District 15&gt;Seasons Community&gt;Summer&gt;Summer 2 Block A</v>
      </c>
      <c r="E6830" s="2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</row>
    <row r="6831" spans="1:26" ht="16.5" x14ac:dyDescent="0.35">
      <c r="A6831" s="2" t="str">
        <f ca="1">IFERROR(__xludf.DUMMYFUNCTION("""COMPUTED_VALUE"""),"Dubai")</f>
        <v>Dubai</v>
      </c>
      <c r="B6831" s="2" t="str">
        <f ca="1">IFERROR(__xludf.DUMMYFUNCTION("""COMPUTED_VALUE"""),"National Bonds Residence")</f>
        <v>National Bonds Residence</v>
      </c>
      <c r="C6831" s="2" t="str">
        <f ca="1">IFERROR(__xludf.DUMMYFUNCTION("""COMPUTED_VALUE"""),"Building")</f>
        <v>Building</v>
      </c>
      <c r="D6831" s="2" t="str">
        <f ca="1">IFERROR(__xludf.DUMMYFUNCTION("""COMPUTED_VALUE"""),"Dubai&gt;Jumeirah Village Circle (JVC)&gt;JVC District 15&gt;National Bonds Residence")</f>
        <v>Dubai&gt;Jumeirah Village Circle (JVC)&gt;JVC District 15&gt;National Bonds Residence</v>
      </c>
      <c r="E6831" s="2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</row>
    <row r="6832" spans="1:26" ht="16.5" x14ac:dyDescent="0.35">
      <c r="A6832" s="2" t="str">
        <f ca="1">IFERROR(__xludf.DUMMYFUNCTION("""COMPUTED_VALUE"""),"Dubai")</f>
        <v>Dubai</v>
      </c>
      <c r="B6832" s="2" t="str">
        <f ca="1">IFERROR(__xludf.DUMMYFUNCTION("""COMPUTED_VALUE"""),"Stax")</f>
        <v>Stax</v>
      </c>
      <c r="C6832" s="2" t="str">
        <f ca="1">IFERROR(__xludf.DUMMYFUNCTION("""COMPUTED_VALUE"""),"Cluster")</f>
        <v>Cluster</v>
      </c>
      <c r="D6832" s="2" t="str">
        <f ca="1">IFERROR(__xludf.DUMMYFUNCTION("""COMPUTED_VALUE"""),"Dubai&gt;Jumeirah Village Circle (JVC)&gt;JVC District 15&gt;Stax")</f>
        <v>Dubai&gt;Jumeirah Village Circle (JVC)&gt;JVC District 15&gt;Stax</v>
      </c>
      <c r="E6832" s="2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</row>
    <row r="6833" spans="1:26" ht="16.5" x14ac:dyDescent="0.35">
      <c r="A6833" s="2" t="str">
        <f ca="1">IFERROR(__xludf.DUMMYFUNCTION("""COMPUTED_VALUE"""),"Dubai")</f>
        <v>Dubai</v>
      </c>
      <c r="B6833" s="2" t="str">
        <f ca="1">IFERROR(__xludf.DUMMYFUNCTION("""COMPUTED_VALUE"""),"Belgravia")</f>
        <v>Belgravia</v>
      </c>
      <c r="C6833" s="2" t="str">
        <f ca="1">IFERROR(__xludf.DUMMYFUNCTION("""COMPUTED_VALUE"""),"Cluster")</f>
        <v>Cluster</v>
      </c>
      <c r="D6833" s="2" t="str">
        <f ca="1">IFERROR(__xludf.DUMMYFUNCTION("""COMPUTED_VALUE"""),"Dubai&gt;Jumeirah Village Circle (JVC)&gt;JVC District 11&gt;Belgravia")</f>
        <v>Dubai&gt;Jumeirah Village Circle (JVC)&gt;JVC District 11&gt;Belgravia</v>
      </c>
      <c r="E6833" s="2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</row>
    <row r="6834" spans="1:26" ht="16.5" x14ac:dyDescent="0.35">
      <c r="A6834" s="2" t="str">
        <f ca="1">IFERROR(__xludf.DUMMYFUNCTION("""COMPUTED_VALUE"""),"Dubai")</f>
        <v>Dubai</v>
      </c>
      <c r="B6834" s="2" t="str">
        <f ca="1">IFERROR(__xludf.DUMMYFUNCTION("""COMPUTED_VALUE"""),"Binghatti Crescent")</f>
        <v>Binghatti Crescent</v>
      </c>
      <c r="C6834" s="2" t="str">
        <f ca="1">IFERROR(__xludf.DUMMYFUNCTION("""COMPUTED_VALUE"""),"Building")</f>
        <v>Building</v>
      </c>
      <c r="D6834" s="2" t="str">
        <f ca="1">IFERROR(__xludf.DUMMYFUNCTION("""COMPUTED_VALUE"""),"Dubai&gt;Jumeirah Village Circle (JVC)&gt;JVC District 11&gt;Binghatti Crescent")</f>
        <v>Dubai&gt;Jumeirah Village Circle (JVC)&gt;JVC District 11&gt;Binghatti Crescent</v>
      </c>
      <c r="E6834" s="2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</row>
    <row r="6835" spans="1:26" ht="16.5" x14ac:dyDescent="0.35">
      <c r="A6835" s="2" t="str">
        <f ca="1">IFERROR(__xludf.DUMMYFUNCTION("""COMPUTED_VALUE"""),"Dubai")</f>
        <v>Dubai</v>
      </c>
      <c r="B6835" s="2" t="str">
        <f ca="1">IFERROR(__xludf.DUMMYFUNCTION("""COMPUTED_VALUE"""),"Gharbi II Residence")</f>
        <v>Gharbi II Residence</v>
      </c>
      <c r="C6835" s="2" t="str">
        <f ca="1">IFERROR(__xludf.DUMMYFUNCTION("""COMPUTED_VALUE"""),"Building")</f>
        <v>Building</v>
      </c>
      <c r="D6835" s="2" t="str">
        <f ca="1">IFERROR(__xludf.DUMMYFUNCTION("""COMPUTED_VALUE"""),"Dubai&gt;Jumeirah Village Circle (JVC)&gt;JVC District 11&gt;Gharbi II Residence")</f>
        <v>Dubai&gt;Jumeirah Village Circle (JVC)&gt;JVC District 11&gt;Gharbi II Residence</v>
      </c>
      <c r="E6835" s="2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</row>
    <row r="6836" spans="1:26" ht="16.5" x14ac:dyDescent="0.35">
      <c r="A6836" s="2" t="str">
        <f ca="1">IFERROR(__xludf.DUMMYFUNCTION("""COMPUTED_VALUE"""),"Dubai")</f>
        <v>Dubai</v>
      </c>
      <c r="B6836" s="2" t="str">
        <f ca="1">IFERROR(__xludf.DUMMYFUNCTION("""COMPUTED_VALUE"""),"Shamal Waves")</f>
        <v>Shamal Waves</v>
      </c>
      <c r="C6836" s="2" t="str">
        <f ca="1">IFERROR(__xludf.DUMMYFUNCTION("""COMPUTED_VALUE"""),"Building")</f>
        <v>Building</v>
      </c>
      <c r="D6836" s="2" t="str">
        <f ca="1">IFERROR(__xludf.DUMMYFUNCTION("""COMPUTED_VALUE"""),"Dubai&gt;Jumeirah Village Circle (JVC)&gt;JVC District 14&gt;Shamal Waves")</f>
        <v>Dubai&gt;Jumeirah Village Circle (JVC)&gt;JVC District 14&gt;Shamal Waves</v>
      </c>
      <c r="E6836" s="2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</row>
    <row r="6837" spans="1:26" ht="16.5" x14ac:dyDescent="0.35">
      <c r="A6837" s="2" t="str">
        <f ca="1">IFERROR(__xludf.DUMMYFUNCTION("""COMPUTED_VALUE"""),"Dubai")</f>
        <v>Dubai</v>
      </c>
      <c r="B6837" s="2" t="str">
        <f ca="1">IFERROR(__xludf.DUMMYFUNCTION("""COMPUTED_VALUE"""),"Harrington House")</f>
        <v>Harrington House</v>
      </c>
      <c r="C6837" s="2" t="str">
        <f ca="1">IFERROR(__xludf.DUMMYFUNCTION("""COMPUTED_VALUE"""),"Building")</f>
        <v>Building</v>
      </c>
      <c r="D6837" s="2" t="str">
        <f ca="1">IFERROR(__xludf.DUMMYFUNCTION("""COMPUTED_VALUE"""),"Dubai&gt;Jumeirah Village Circle (JVC)&gt;JVC District 14&gt;Harrington House")</f>
        <v>Dubai&gt;Jumeirah Village Circle (JVC)&gt;JVC District 14&gt;Harrington House</v>
      </c>
      <c r="E6837" s="2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</row>
    <row r="6838" spans="1:26" ht="16.5" x14ac:dyDescent="0.35">
      <c r="A6838" s="2" t="str">
        <f ca="1">IFERROR(__xludf.DUMMYFUNCTION("""COMPUTED_VALUE"""),"Dubai")</f>
        <v>Dubai</v>
      </c>
      <c r="B6838" s="2" t="str">
        <f ca="1">IFERROR(__xludf.DUMMYFUNCTION("""COMPUTED_VALUE"""),"Diamond Views 1 Villas A")</f>
        <v>Diamond Views 1 Villas A</v>
      </c>
      <c r="C6838" s="2" t="str">
        <f ca="1">IFERROR(__xludf.DUMMYFUNCTION("""COMPUTED_VALUE"""),"Neighbourhood")</f>
        <v>Neighbourhood</v>
      </c>
      <c r="D6838" s="2" t="str">
        <f ca="1">IFERROR(__xludf.DUMMYFUNCTION("""COMPUTED_VALUE"""),"Dubai&gt;Jumeirah Village Circle (JVC)&gt;JVC District 14&gt;Diamond Views 1 Villas A")</f>
        <v>Dubai&gt;Jumeirah Village Circle (JVC)&gt;JVC District 14&gt;Diamond Views 1 Villas A</v>
      </c>
      <c r="E6838" s="2"/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</row>
    <row r="6839" spans="1:26" ht="16.5" x14ac:dyDescent="0.35">
      <c r="A6839" s="2" t="str">
        <f ca="1">IFERROR(__xludf.DUMMYFUNCTION("""COMPUTED_VALUE"""),"Dubai")</f>
        <v>Dubai</v>
      </c>
      <c r="B6839" s="2" t="str">
        <f ca="1">IFERROR(__xludf.DUMMYFUNCTION("""COMPUTED_VALUE"""),"V Tower")</f>
        <v>V Tower</v>
      </c>
      <c r="C6839" s="2" t="str">
        <f ca="1">IFERROR(__xludf.DUMMYFUNCTION("""COMPUTED_VALUE"""),"Building")</f>
        <v>Building</v>
      </c>
      <c r="D6839" s="2" t="str">
        <f ca="1">IFERROR(__xludf.DUMMYFUNCTION("""COMPUTED_VALUE"""),"Dubai&gt;Dubai Land Residence Complex&gt;V Tower")</f>
        <v>Dubai&gt;Dubai Land Residence Complex&gt;V Tower</v>
      </c>
      <c r="E6839" s="2"/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</row>
    <row r="6840" spans="1:26" ht="16.5" x14ac:dyDescent="0.35">
      <c r="A6840" s="2" t="str">
        <f ca="1">IFERROR(__xludf.DUMMYFUNCTION("""COMPUTED_VALUE"""),"Dubai")</f>
        <v>Dubai</v>
      </c>
      <c r="B6840" s="2" t="str">
        <f ca="1">IFERROR(__xludf.DUMMYFUNCTION("""COMPUTED_VALUE"""),"Lily Land Building")</f>
        <v>Lily Land Building</v>
      </c>
      <c r="C6840" s="2" t="str">
        <f ca="1">IFERROR(__xludf.DUMMYFUNCTION("""COMPUTED_VALUE"""),"Building")</f>
        <v>Building</v>
      </c>
      <c r="D6840" s="2" t="str">
        <f ca="1">IFERROR(__xludf.DUMMYFUNCTION("""COMPUTED_VALUE"""),"Dubai&gt;Dubai Land Residence Complex&gt;Lily Land Building")</f>
        <v>Dubai&gt;Dubai Land Residence Complex&gt;Lily Land Building</v>
      </c>
      <c r="E6840" s="2"/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</row>
    <row r="6841" spans="1:26" ht="16.5" x14ac:dyDescent="0.35">
      <c r="A6841" s="2" t="str">
        <f ca="1">IFERROR(__xludf.DUMMYFUNCTION("""COMPUTED_VALUE"""),"Dubai")</f>
        <v>Dubai</v>
      </c>
      <c r="B6841" s="2" t="str">
        <f ca="1">IFERROR(__xludf.DUMMYFUNCTION("""COMPUTED_VALUE"""),"Time 3")</f>
        <v>Time 3</v>
      </c>
      <c r="C6841" s="2" t="str">
        <f ca="1">IFERROR(__xludf.DUMMYFUNCTION("""COMPUTED_VALUE"""),"Building")</f>
        <v>Building</v>
      </c>
      <c r="D6841" s="2" t="str">
        <f ca="1">IFERROR(__xludf.DUMMYFUNCTION("""COMPUTED_VALUE"""),"Dubai&gt;Dubai Land Residence Complex&gt;Time 3")</f>
        <v>Dubai&gt;Dubai Land Residence Complex&gt;Time 3</v>
      </c>
      <c r="E6841" s="2"/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</row>
    <row r="6842" spans="1:26" ht="16.5" x14ac:dyDescent="0.35">
      <c r="A6842" s="2" t="str">
        <f ca="1">IFERROR(__xludf.DUMMYFUNCTION("""COMPUTED_VALUE"""),"Dubai")</f>
        <v>Dubai</v>
      </c>
      <c r="B6842" s="2" t="str">
        <f ca="1">IFERROR(__xludf.DUMMYFUNCTION("""COMPUTED_VALUE"""),"Verdania 2")</f>
        <v>Verdania 2</v>
      </c>
      <c r="C6842" s="2" t="str">
        <f ca="1">IFERROR(__xludf.DUMMYFUNCTION("""COMPUTED_VALUE"""),"Building")</f>
        <v>Building</v>
      </c>
      <c r="D6842" s="2" t="str">
        <f ca="1">IFERROR(__xludf.DUMMYFUNCTION("""COMPUTED_VALUE"""),"Dubai&gt;Dubai Land Residence Complex&gt;Verdania 2")</f>
        <v>Dubai&gt;Dubai Land Residence Complex&gt;Verdania 2</v>
      </c>
      <c r="E6842" s="2"/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</row>
    <row r="6843" spans="1:26" ht="16.5" x14ac:dyDescent="0.35">
      <c r="A6843" s="2" t="str">
        <f ca="1">IFERROR(__xludf.DUMMYFUNCTION("""COMPUTED_VALUE"""),"Dubai")</f>
        <v>Dubai</v>
      </c>
      <c r="B6843" s="2" t="str">
        <f ca="1">IFERROR(__xludf.DUMMYFUNCTION("""COMPUTED_VALUE"""),"09 Life Residences")</f>
        <v>09 Life Residences</v>
      </c>
      <c r="C6843" s="2" t="str">
        <f ca="1">IFERROR(__xludf.DUMMYFUNCTION("""COMPUTED_VALUE"""),"Building")</f>
        <v>Building</v>
      </c>
      <c r="D6843" s="2" t="str">
        <f ca="1">IFERROR(__xludf.DUMMYFUNCTION("""COMPUTED_VALUE"""),"Dubai&gt;Dubai Land Residence Complex&gt;09 Life Residences")</f>
        <v>Dubai&gt;Dubai Land Residence Complex&gt;09 Life Residences</v>
      </c>
      <c r="E6843" s="2"/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</row>
    <row r="6844" spans="1:26" ht="16.5" x14ac:dyDescent="0.35">
      <c r="A6844" s="2" t="str">
        <f ca="1">IFERROR(__xludf.DUMMYFUNCTION("""COMPUTED_VALUE"""),"Dubai")</f>
        <v>Dubai</v>
      </c>
      <c r="B6844" s="2" t="str">
        <f ca="1">IFERROR(__xludf.DUMMYFUNCTION("""COMPUTED_VALUE"""),"Janayen Avenue C")</f>
        <v>Janayen Avenue C</v>
      </c>
      <c r="C6844" s="2" t="str">
        <f ca="1">IFERROR(__xludf.DUMMYFUNCTION("""COMPUTED_VALUE"""),"Building")</f>
        <v>Building</v>
      </c>
      <c r="D6844" s="2" t="str">
        <f ca="1">IFERROR(__xludf.DUMMYFUNCTION("""COMPUTED_VALUE"""),"Dubai&gt;Mirdif&gt;Mirdif Hills&gt;Janayen Avenue&gt;Janayen Avenue C")</f>
        <v>Dubai&gt;Mirdif&gt;Mirdif Hills&gt;Janayen Avenue&gt;Janayen Avenue C</v>
      </c>
      <c r="E6844" s="2"/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</row>
    <row r="6845" spans="1:26" ht="16.5" x14ac:dyDescent="0.35">
      <c r="A6845" s="2" t="str">
        <f ca="1">IFERROR(__xludf.DUMMYFUNCTION("""COMPUTED_VALUE"""),"Dubai")</f>
        <v>Dubai</v>
      </c>
      <c r="B6845" s="2" t="str">
        <f ca="1">IFERROR(__xludf.DUMMYFUNCTION("""COMPUTED_VALUE"""),"Atlal Compound")</f>
        <v>Atlal Compound</v>
      </c>
      <c r="C6845" s="2" t="str">
        <f ca="1">IFERROR(__xludf.DUMMYFUNCTION("""COMPUTED_VALUE"""),"Neighbourhood")</f>
        <v>Neighbourhood</v>
      </c>
      <c r="D6845" s="2" t="str">
        <f ca="1">IFERROR(__xludf.DUMMYFUNCTION("""COMPUTED_VALUE"""),"Dubai&gt;Mirdif&gt;Atlal Compound")</f>
        <v>Dubai&gt;Mirdif&gt;Atlal Compound</v>
      </c>
      <c r="E6845" s="2"/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</row>
    <row r="6846" spans="1:26" ht="16.5" x14ac:dyDescent="0.35">
      <c r="A6846" s="2" t="str">
        <f ca="1">IFERROR(__xludf.DUMMYFUNCTION("""COMPUTED_VALUE"""),"Dubai")</f>
        <v>Dubai</v>
      </c>
      <c r="B6846" s="2" t="str">
        <f ca="1">IFERROR(__xludf.DUMMYFUNCTION("""COMPUTED_VALUE"""),"Cambridge International School (CIS)")</f>
        <v>Cambridge International School (CIS)</v>
      </c>
      <c r="C6846" s="2" t="str">
        <f ca="1">IFERROR(__xludf.DUMMYFUNCTION("""COMPUTED_VALUE"""),"School")</f>
        <v>School</v>
      </c>
      <c r="D6846" s="2" t="str">
        <f ca="1">IFERROR(__xludf.DUMMYFUNCTION("""COMPUTED_VALUE"""),"Dubai&gt;Al Garhoud&gt;Cambridge International School (CIS)")</f>
        <v>Dubai&gt;Al Garhoud&gt;Cambridge International School (CIS)</v>
      </c>
      <c r="E6846" s="2"/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</row>
    <row r="6847" spans="1:26" ht="16.5" x14ac:dyDescent="0.35">
      <c r="A6847" s="2" t="str">
        <f ca="1">IFERROR(__xludf.DUMMYFUNCTION("""COMPUTED_VALUE"""),"Dubai")</f>
        <v>Dubai</v>
      </c>
      <c r="B6847" s="2" t="str">
        <f ca="1">IFERROR(__xludf.DUMMYFUNCTION("""COMPUTED_VALUE"""),"Al Fattan Plaza")</f>
        <v>Al Fattan Plaza</v>
      </c>
      <c r="C6847" s="2" t="str">
        <f ca="1">IFERROR(__xludf.DUMMYFUNCTION("""COMPUTED_VALUE"""),"Building")</f>
        <v>Building</v>
      </c>
      <c r="D6847" s="2" t="str">
        <f ca="1">IFERROR(__xludf.DUMMYFUNCTION("""COMPUTED_VALUE"""),"Dubai&gt;Al Garhoud&gt;Al Fattan Plaza")</f>
        <v>Dubai&gt;Al Garhoud&gt;Al Fattan Plaza</v>
      </c>
      <c r="E6847" s="2"/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</row>
    <row r="6848" spans="1:26" ht="16.5" x14ac:dyDescent="0.35">
      <c r="A6848" s="2" t="str">
        <f ca="1">IFERROR(__xludf.DUMMYFUNCTION("""COMPUTED_VALUE"""),"Dubai")</f>
        <v>Dubai</v>
      </c>
      <c r="B6848" s="2" t="str">
        <f ca="1">IFERROR(__xludf.DUMMYFUNCTION("""COMPUTED_VALUE"""),"Le Meridien Dubai Hotel")</f>
        <v>Le Meridien Dubai Hotel</v>
      </c>
      <c r="C6848" s="2" t="str">
        <f ca="1">IFERROR(__xludf.DUMMYFUNCTION("""COMPUTED_VALUE"""),"Building")</f>
        <v>Building</v>
      </c>
      <c r="D6848" s="2" t="str">
        <f ca="1">IFERROR(__xludf.DUMMYFUNCTION("""COMPUTED_VALUE"""),"Dubai&gt;Al Garhoud&gt;Le Meridien Dubai Hotel")</f>
        <v>Dubai&gt;Al Garhoud&gt;Le Meridien Dubai Hotel</v>
      </c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</row>
    <row r="6849" spans="1:26" ht="16.5" x14ac:dyDescent="0.35">
      <c r="A6849" s="2" t="str">
        <f ca="1">IFERROR(__xludf.DUMMYFUNCTION("""COMPUTED_VALUE"""),"Dubai")</f>
        <v>Dubai</v>
      </c>
      <c r="B6849" s="2" t="str">
        <f ca="1">IFERROR(__xludf.DUMMYFUNCTION("""COMPUTED_VALUE"""),"Cluster 10")</f>
        <v>Cluster 10</v>
      </c>
      <c r="C6849" s="2" t="str">
        <f ca="1">IFERROR(__xludf.DUMMYFUNCTION("""COMPUTED_VALUE"""),"Neighbourhood")</f>
        <v>Neighbourhood</v>
      </c>
      <c r="D6849" s="2" t="str">
        <f ca="1">IFERROR(__xludf.DUMMYFUNCTION("""COMPUTED_VALUE"""),"Dubai&gt;Jumeirah Islands&gt;Cluster 10")</f>
        <v>Dubai&gt;Jumeirah Islands&gt;Cluster 10</v>
      </c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</row>
    <row r="6850" spans="1:26" ht="16.5" x14ac:dyDescent="0.35">
      <c r="A6850" s="2" t="str">
        <f ca="1">IFERROR(__xludf.DUMMYFUNCTION("""COMPUTED_VALUE"""),"Dubai")</f>
        <v>Dubai</v>
      </c>
      <c r="B6850" s="2" t="str">
        <f ca="1">IFERROR(__xludf.DUMMYFUNCTION("""COMPUTED_VALUE"""),"Cluster 42")</f>
        <v>Cluster 42</v>
      </c>
      <c r="C6850" s="2" t="str">
        <f ca="1">IFERROR(__xludf.DUMMYFUNCTION("""COMPUTED_VALUE"""),"Neighbourhood")</f>
        <v>Neighbourhood</v>
      </c>
      <c r="D6850" s="2" t="str">
        <f ca="1">IFERROR(__xludf.DUMMYFUNCTION("""COMPUTED_VALUE"""),"Dubai&gt;Jumeirah Islands&gt;Cluster 42")</f>
        <v>Dubai&gt;Jumeirah Islands&gt;Cluster 42</v>
      </c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</row>
    <row r="6851" spans="1:26" ht="16.5" x14ac:dyDescent="0.35">
      <c r="A6851" s="2" t="str">
        <f ca="1">IFERROR(__xludf.DUMMYFUNCTION("""COMPUTED_VALUE"""),"Dubai")</f>
        <v>Dubai</v>
      </c>
      <c r="B6851" s="2" t="str">
        <f ca="1">IFERROR(__xludf.DUMMYFUNCTION("""COMPUTED_VALUE"""),"Garden Apartments East B")</f>
        <v>Garden Apartments East B</v>
      </c>
      <c r="C6851" s="2" t="str">
        <f ca="1">IFERROR(__xludf.DUMMYFUNCTION("""COMPUTED_VALUE"""),"Building")</f>
        <v>Building</v>
      </c>
      <c r="D6851" s="2" t="str">
        <f ca="1">IFERROR(__xludf.DUMMYFUNCTION("""COMPUTED_VALUE"""),"Dubai&gt;Green Community&gt;Garden East Apartments&gt;Garden Apartments East B")</f>
        <v>Dubai&gt;Green Community&gt;Garden East Apartments&gt;Garden Apartments East B</v>
      </c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</row>
    <row r="6852" spans="1:26" ht="16.5" x14ac:dyDescent="0.35">
      <c r="A6852" s="2" t="str">
        <f ca="1">IFERROR(__xludf.DUMMYFUNCTION("""COMPUTED_VALUE"""),"Dubai")</f>
        <v>Dubai</v>
      </c>
      <c r="B6852" s="2" t="str">
        <f ca="1">IFERROR(__xludf.DUMMYFUNCTION("""COMPUTED_VALUE"""),"Southwest Apartments")</f>
        <v>Southwest Apartments</v>
      </c>
      <c r="C6852" s="2" t="str">
        <f ca="1">IFERROR(__xludf.DUMMYFUNCTION("""COMPUTED_VALUE"""),"Cluster")</f>
        <v>Cluster</v>
      </c>
      <c r="D6852" s="2" t="str">
        <f ca="1">IFERROR(__xludf.DUMMYFUNCTION("""COMPUTED_VALUE"""),"Dubai&gt;Green Community&gt;Green Community West&gt;Southwest Apartments")</f>
        <v>Dubai&gt;Green Community&gt;Green Community West&gt;Southwest Apartments</v>
      </c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</row>
    <row r="6853" spans="1:26" ht="16.5" x14ac:dyDescent="0.35">
      <c r="A6853" s="2" t="str">
        <f ca="1">IFERROR(__xludf.DUMMYFUNCTION("""COMPUTED_VALUE"""),"Dubai")</f>
        <v>Dubai</v>
      </c>
      <c r="B6853" s="2" t="str">
        <f ca="1">IFERROR(__xludf.DUMMYFUNCTION("""COMPUTED_VALUE"""),"Elite Sports Residence 10 Block A")</f>
        <v>Elite Sports Residence 10 Block A</v>
      </c>
      <c r="C6853" s="2" t="str">
        <f ca="1">IFERROR(__xludf.DUMMYFUNCTION("""COMPUTED_VALUE"""),"Building")</f>
        <v>Building</v>
      </c>
      <c r="D6853" s="2" t="str">
        <f ca="1">IFERROR(__xludf.DUMMYFUNCTION("""COMPUTED_VALUE"""),"Dubai&gt;Dubai Sports City&gt;Elite Sports Residence&gt;Elite Sports Residence 10&gt;Elite Sports Residence 10 Block A")</f>
        <v>Dubai&gt;Dubai Sports City&gt;Elite Sports Residence&gt;Elite Sports Residence 10&gt;Elite Sports Residence 10 Block A</v>
      </c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</row>
    <row r="6854" spans="1:26" ht="16.5" x14ac:dyDescent="0.35">
      <c r="A6854" s="2" t="str">
        <f ca="1">IFERROR(__xludf.DUMMYFUNCTION("""COMPUTED_VALUE"""),"Dubai")</f>
        <v>Dubai</v>
      </c>
      <c r="B6854" s="2" t="str">
        <f ca="1">IFERROR(__xludf.DUMMYFUNCTION("""COMPUTED_VALUE"""),"Olympic Park")</f>
        <v>Olympic Park</v>
      </c>
      <c r="C6854" s="2" t="str">
        <f ca="1">IFERROR(__xludf.DUMMYFUNCTION("""COMPUTED_VALUE"""),"Cluster")</f>
        <v>Cluster</v>
      </c>
      <c r="D6854" s="2" t="str">
        <f ca="1">IFERROR(__xludf.DUMMYFUNCTION("""COMPUTED_VALUE"""),"Dubai&gt;Dubai Sports City&gt;Olympic Park")</f>
        <v>Dubai&gt;Dubai Sports City&gt;Olympic Park</v>
      </c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</row>
    <row r="6855" spans="1:26" ht="16.5" x14ac:dyDescent="0.35">
      <c r="A6855" s="2" t="str">
        <f ca="1">IFERROR(__xludf.DUMMYFUNCTION("""COMPUTED_VALUE"""),"Dubai")</f>
        <v>Dubai</v>
      </c>
      <c r="B6855" s="2" t="str">
        <f ca="1">IFERROR(__xludf.DUMMYFUNCTION("""COMPUTED_VALUE"""),"Victory Heights")</f>
        <v>Victory Heights</v>
      </c>
      <c r="C6855" s="2" t="str">
        <f ca="1">IFERROR(__xludf.DUMMYFUNCTION("""COMPUTED_VALUE"""),"Neighbourhood")</f>
        <v>Neighbourhood</v>
      </c>
      <c r="D6855" s="2" t="str">
        <f ca="1">IFERROR(__xludf.DUMMYFUNCTION("""COMPUTED_VALUE"""),"Dubai&gt;Dubai Sports City&gt;Victory Heights")</f>
        <v>Dubai&gt;Dubai Sports City&gt;Victory Heights</v>
      </c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</row>
    <row r="6856" spans="1:26" ht="16.5" x14ac:dyDescent="0.35">
      <c r="A6856" s="2" t="str">
        <f ca="1">IFERROR(__xludf.DUMMYFUNCTION("""COMPUTED_VALUE"""),"Dubai")</f>
        <v>Dubai</v>
      </c>
      <c r="B6856" s="2" t="str">
        <f ca="1">IFERROR(__xludf.DUMMYFUNCTION("""COMPUTED_VALUE"""),"Sportz By Danube Tower 2")</f>
        <v>Sportz By Danube Tower 2</v>
      </c>
      <c r="C6856" s="2" t="str">
        <f ca="1">IFERROR(__xludf.DUMMYFUNCTION("""COMPUTED_VALUE"""),"Building")</f>
        <v>Building</v>
      </c>
      <c r="D6856" s="2" t="str">
        <f ca="1">IFERROR(__xludf.DUMMYFUNCTION("""COMPUTED_VALUE"""),"Dubai&gt;Dubai Sports City&gt;Sportz By Danube&gt;Sportz By Danube Tower 2")</f>
        <v>Dubai&gt;Dubai Sports City&gt;Sportz By Danube&gt;Sportz By Danube Tower 2</v>
      </c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</row>
    <row r="6857" spans="1:26" ht="16.5" x14ac:dyDescent="0.35">
      <c r="A6857" s="2" t="str">
        <f ca="1">IFERROR(__xludf.DUMMYFUNCTION("""COMPUTED_VALUE"""),"Dubai")</f>
        <v>Dubai</v>
      </c>
      <c r="B6857" s="2" t="str">
        <f ca="1">IFERROR(__xludf.DUMMYFUNCTION("""COMPUTED_VALUE"""),"The Four")</f>
        <v>The Four</v>
      </c>
      <c r="C6857" s="2" t="str">
        <f ca="1">IFERROR(__xludf.DUMMYFUNCTION("""COMPUTED_VALUE"""),"Building")</f>
        <v>Building</v>
      </c>
      <c r="D6857" s="2" t="str">
        <f ca="1">IFERROR(__xludf.DUMMYFUNCTION("""COMPUTED_VALUE"""),"Dubai&gt;Al Nahda (Dubai)&gt;Al Nahda 1&gt;The Four")</f>
        <v>Dubai&gt;Al Nahda (Dubai)&gt;Al Nahda 1&gt;The Four</v>
      </c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</row>
    <row r="6858" spans="1:26" ht="16.5" x14ac:dyDescent="0.35">
      <c r="A6858" s="2" t="str">
        <f ca="1">IFERROR(__xludf.DUMMYFUNCTION("""COMPUTED_VALUE"""),"Dubai")</f>
        <v>Dubai</v>
      </c>
      <c r="B6858" s="2" t="str">
        <f ca="1">IFERROR(__xludf.DUMMYFUNCTION("""COMPUTED_VALUE"""),"Al Zarooni Building")</f>
        <v>Al Zarooni Building</v>
      </c>
      <c r="C6858" s="2" t="str">
        <f ca="1">IFERROR(__xludf.DUMMYFUNCTION("""COMPUTED_VALUE"""),"Building")</f>
        <v>Building</v>
      </c>
      <c r="D6858" s="2" t="str">
        <f ca="1">IFERROR(__xludf.DUMMYFUNCTION("""COMPUTED_VALUE"""),"Dubai&gt;Al Nahda (Dubai)&gt;Al Nahda 1&gt;Al Zarooni Building")</f>
        <v>Dubai&gt;Al Nahda (Dubai)&gt;Al Nahda 1&gt;Al Zarooni Building</v>
      </c>
      <c r="E6858" s="2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</row>
    <row r="6859" spans="1:26" ht="16.5" x14ac:dyDescent="0.35">
      <c r="A6859" s="2" t="str">
        <f ca="1">IFERROR(__xludf.DUMMYFUNCTION("""COMPUTED_VALUE"""),"Dubai")</f>
        <v>Dubai</v>
      </c>
      <c r="B6859" s="2" t="str">
        <f ca="1">IFERROR(__xludf.DUMMYFUNCTION("""COMPUTED_VALUE"""),"Al Nahda Views")</f>
        <v>Al Nahda Views</v>
      </c>
      <c r="C6859" s="2" t="str">
        <f ca="1">IFERROR(__xludf.DUMMYFUNCTION("""COMPUTED_VALUE"""),"Building")</f>
        <v>Building</v>
      </c>
      <c r="D6859" s="2" t="str">
        <f ca="1">IFERROR(__xludf.DUMMYFUNCTION("""COMPUTED_VALUE"""),"Dubai&gt;Al Nahda (Dubai)&gt;Al Nahda 2&gt;Al Nahda Views")</f>
        <v>Dubai&gt;Al Nahda (Dubai)&gt;Al Nahda 2&gt;Al Nahda Views</v>
      </c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</row>
    <row r="6860" spans="1:26" ht="16.5" x14ac:dyDescent="0.35">
      <c r="A6860" s="2" t="str">
        <f ca="1">IFERROR(__xludf.DUMMYFUNCTION("""COMPUTED_VALUE"""),"Dubai")</f>
        <v>Dubai</v>
      </c>
      <c r="B6860" s="2" t="str">
        <f ca="1">IFERROR(__xludf.DUMMYFUNCTION("""COMPUTED_VALUE"""),"Art V")</f>
        <v>Art V</v>
      </c>
      <c r="C6860" s="2" t="str">
        <f ca="1">IFERROR(__xludf.DUMMYFUNCTION("""COMPUTED_VALUE"""),"Building")</f>
        <v>Building</v>
      </c>
      <c r="D6860" s="2" t="str">
        <f ca="1">IFERROR(__xludf.DUMMYFUNCTION("""COMPUTED_VALUE"""),"Dubai&gt;Al Nahda (Dubai)&gt;Al Nahda 2&gt;Art V")</f>
        <v>Dubai&gt;Al Nahda (Dubai)&gt;Al Nahda 2&gt;Art V</v>
      </c>
      <c r="E6860" s="2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</row>
    <row r="6861" spans="1:26" ht="16.5" x14ac:dyDescent="0.35">
      <c r="A6861" s="2" t="str">
        <f ca="1">IFERROR(__xludf.DUMMYFUNCTION("""COMPUTED_VALUE"""),"Dubai")</f>
        <v>Dubai</v>
      </c>
      <c r="B6861" s="2" t="str">
        <f ca="1">IFERROR(__xludf.DUMMYFUNCTION("""COMPUTED_VALUE"""),"Al Nahda Tower 2")</f>
        <v>Al Nahda Tower 2</v>
      </c>
      <c r="C6861" s="2" t="str">
        <f ca="1">IFERROR(__xludf.DUMMYFUNCTION("""COMPUTED_VALUE"""),"Building")</f>
        <v>Building</v>
      </c>
      <c r="D6861" s="2" t="str">
        <f ca="1">IFERROR(__xludf.DUMMYFUNCTION("""COMPUTED_VALUE"""),"Dubai&gt;Al Nahda (Dubai)&gt;Al Nahda 2&gt;Al Nahda Tower 2")</f>
        <v>Dubai&gt;Al Nahda (Dubai)&gt;Al Nahda 2&gt;Al Nahda Tower 2</v>
      </c>
      <c r="E6861" s="2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</row>
    <row r="6862" spans="1:26" ht="16.5" x14ac:dyDescent="0.35">
      <c r="A6862" s="2" t="str">
        <f ca="1">IFERROR(__xludf.DUMMYFUNCTION("""COMPUTED_VALUE"""),"Dubai")</f>
        <v>Dubai</v>
      </c>
      <c r="B6862" s="2" t="str">
        <f ca="1">IFERROR(__xludf.DUMMYFUNCTION("""COMPUTED_VALUE"""),"Reyadh Eissa Aloughani Building")</f>
        <v>Reyadh Eissa Aloughani Building</v>
      </c>
      <c r="C6862" s="2" t="str">
        <f ca="1">IFERROR(__xludf.DUMMYFUNCTION("""COMPUTED_VALUE"""),"Building")</f>
        <v>Building</v>
      </c>
      <c r="D6862" s="2" t="str">
        <f ca="1">IFERROR(__xludf.DUMMYFUNCTION("""COMPUTED_VALUE"""),"Dubai&gt;Al Nahda (Dubai)&gt;Al Nahda 2&gt;Reyadh Eissa Aloughani Building")</f>
        <v>Dubai&gt;Al Nahda (Dubai)&gt;Al Nahda 2&gt;Reyadh Eissa Aloughani Building</v>
      </c>
      <c r="E6862" s="2"/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</row>
    <row r="6863" spans="1:26" ht="16.5" x14ac:dyDescent="0.35">
      <c r="A6863" s="2" t="str">
        <f ca="1">IFERROR(__xludf.DUMMYFUNCTION("""COMPUTED_VALUE"""),"Dubai")</f>
        <v>Dubai</v>
      </c>
      <c r="B6863" s="2" t="str">
        <f ca="1">IFERROR(__xludf.DUMMYFUNCTION("""COMPUTED_VALUE"""),"District 7")</f>
        <v>District 7</v>
      </c>
      <c r="C6863" s="2" t="str">
        <f ca="1">IFERROR(__xludf.DUMMYFUNCTION("""COMPUTED_VALUE"""),"Neighbourhood")</f>
        <v>Neighbourhood</v>
      </c>
      <c r="D6863" s="2" t="str">
        <f ca="1">IFERROR(__xludf.DUMMYFUNCTION("""COMPUTED_VALUE"""),"Dubai&gt;Jumeirah Park&gt;District 7")</f>
        <v>Dubai&gt;Jumeirah Park&gt;District 7</v>
      </c>
      <c r="E6863" s="2"/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</row>
    <row r="6864" spans="1:26" ht="16.5" x14ac:dyDescent="0.35">
      <c r="A6864" s="2" t="str">
        <f ca="1">IFERROR(__xludf.DUMMYFUNCTION("""COMPUTED_VALUE"""),"Dubai")</f>
        <v>Dubai</v>
      </c>
      <c r="B6864" s="2" t="str">
        <f ca="1">IFERROR(__xludf.DUMMYFUNCTION("""COMPUTED_VALUE"""),"Lagoon Views 2 Tower A")</f>
        <v>Lagoon Views 2 Tower A</v>
      </c>
      <c r="C6864" s="2" t="str">
        <f ca="1">IFERROR(__xludf.DUMMYFUNCTION("""COMPUTED_VALUE"""),"Building")</f>
        <v>Building</v>
      </c>
      <c r="D6864" s="2" t="str">
        <f ca="1">IFERROR(__xludf.DUMMYFUNCTION("""COMPUTED_VALUE"""),"Dubai&gt;DAMAC Lagoons&gt;Lagoon Views&gt;Lagoon Views 2 Tower A")</f>
        <v>Dubai&gt;DAMAC Lagoons&gt;Lagoon Views&gt;Lagoon Views 2 Tower A</v>
      </c>
      <c r="E6864" s="2"/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</row>
    <row r="6865" spans="1:26" ht="16.5" x14ac:dyDescent="0.35">
      <c r="A6865" s="2" t="str">
        <f ca="1">IFERROR(__xludf.DUMMYFUNCTION("""COMPUTED_VALUE"""),"Dubai")</f>
        <v>Dubai</v>
      </c>
      <c r="B6865" s="2" t="str">
        <f ca="1">IFERROR(__xludf.DUMMYFUNCTION("""COMPUTED_VALUE"""),"Liwan Oasis")</f>
        <v>Liwan Oasis</v>
      </c>
      <c r="C6865" s="2" t="str">
        <f ca="1">IFERROR(__xludf.DUMMYFUNCTION("""COMPUTED_VALUE"""),"Building")</f>
        <v>Building</v>
      </c>
      <c r="D6865" s="2" t="str">
        <f ca="1">IFERROR(__xludf.DUMMYFUNCTION("""COMPUTED_VALUE"""),"Dubai&gt;Liwan 2&gt;Liwan Oasis")</f>
        <v>Dubai&gt;Liwan 2&gt;Liwan Oasis</v>
      </c>
      <c r="E6865" s="2"/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</row>
    <row r="6866" spans="1:26" ht="16.5" x14ac:dyDescent="0.35">
      <c r="A6866" s="2" t="str">
        <f ca="1">IFERROR(__xludf.DUMMYFUNCTION("""COMPUTED_VALUE"""),"Dubai")</f>
        <v>Dubai</v>
      </c>
      <c r="B6866" s="2" t="str">
        <f ca="1">IFERROR(__xludf.DUMMYFUNCTION("""COMPUTED_VALUE"""),"Remac Residence 10")</f>
        <v>Remac Residence 10</v>
      </c>
      <c r="C6866" s="2" t="str">
        <f ca="1">IFERROR(__xludf.DUMMYFUNCTION("""COMPUTED_VALUE"""),"Building")</f>
        <v>Building</v>
      </c>
      <c r="D6866" s="2" t="str">
        <f ca="1">IFERROR(__xludf.DUMMYFUNCTION("""COMPUTED_VALUE"""),"Dubai&gt;Liwan 2&gt;Remac Residence 10")</f>
        <v>Dubai&gt;Liwan 2&gt;Remac Residence 10</v>
      </c>
      <c r="E6866" s="2"/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</row>
    <row r="6867" spans="1:26" ht="16.5" x14ac:dyDescent="0.35">
      <c r="A6867" s="2" t="str">
        <f ca="1">IFERROR(__xludf.DUMMYFUNCTION("""COMPUTED_VALUE"""),"Dubai")</f>
        <v>Dubai</v>
      </c>
      <c r="B6867" s="2" t="str">
        <f ca="1">IFERROR(__xludf.DUMMYFUNCTION("""COMPUTED_VALUE"""),"Arjumand Offices and Retail")</f>
        <v>Arjumand Offices and Retail</v>
      </c>
      <c r="C6867" s="2" t="str">
        <f ca="1">IFERROR(__xludf.DUMMYFUNCTION("""COMPUTED_VALUE"""),"Building")</f>
        <v>Building</v>
      </c>
      <c r="D6867" s="2" t="str">
        <f ca="1">IFERROR(__xludf.DUMMYFUNCTION("""COMPUTED_VALUE"""),"Dubai&gt;Dubai Investment Park (DIP)&gt;Dubai Investment Park 1&gt;Arjumand Offices and Retail")</f>
        <v>Dubai&gt;Dubai Investment Park (DIP)&gt;Dubai Investment Park 1&gt;Arjumand Offices and Retail</v>
      </c>
      <c r="E6867" s="2"/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</row>
    <row r="6868" spans="1:26" ht="16.5" x14ac:dyDescent="0.35">
      <c r="A6868" s="2" t="str">
        <f ca="1">IFERROR(__xludf.DUMMYFUNCTION("""COMPUTED_VALUE"""),"Dubai")</f>
        <v>Dubai</v>
      </c>
      <c r="B6868" s="2" t="str">
        <f ca="1">IFERROR(__xludf.DUMMYFUNCTION("""COMPUTED_VALUE"""),"City Experts Group Block A")</f>
        <v>City Experts Group Block A</v>
      </c>
      <c r="C6868" s="2" t="str">
        <f ca="1">IFERROR(__xludf.DUMMYFUNCTION("""COMPUTED_VALUE"""),"Building")</f>
        <v>Building</v>
      </c>
      <c r="D6868" s="2" t="str">
        <f ca="1">IFERROR(__xludf.DUMMYFUNCTION("""COMPUTED_VALUE"""),"Dubai&gt;Dubai Investment Park (DIP)&gt;Dubai Investment Park 1&gt;City Experts Group Labour Accommodation&gt;City Experts Group Block A")</f>
        <v>Dubai&gt;Dubai Investment Park (DIP)&gt;Dubai Investment Park 1&gt;City Experts Group Labour Accommodation&gt;City Experts Group Block A</v>
      </c>
      <c r="E6868" s="2"/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</row>
    <row r="6869" spans="1:26" ht="16.5" x14ac:dyDescent="0.35">
      <c r="A6869" s="2" t="str">
        <f ca="1">IFERROR(__xludf.DUMMYFUNCTION("""COMPUTED_VALUE"""),"Dubai")</f>
        <v>Dubai</v>
      </c>
      <c r="B6869" s="2" t="str">
        <f ca="1">IFERROR(__xludf.DUMMYFUNCTION("""COMPUTED_VALUE"""),"Tamcon 88")</f>
        <v>Tamcon 88</v>
      </c>
      <c r="C6869" s="2" t="str">
        <f ca="1">IFERROR(__xludf.DUMMYFUNCTION("""COMPUTED_VALUE"""),"Building")</f>
        <v>Building</v>
      </c>
      <c r="D6869" s="2" t="str">
        <f ca="1">IFERROR(__xludf.DUMMYFUNCTION("""COMPUTED_VALUE"""),"Dubai&gt;Dubai Investment Park (DIP)&gt;Dubai Investment Park 1&gt;Tamcon 88")</f>
        <v>Dubai&gt;Dubai Investment Park (DIP)&gt;Dubai Investment Park 1&gt;Tamcon 88</v>
      </c>
      <c r="E6869" s="2"/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</row>
    <row r="6870" spans="1:26" ht="16.5" x14ac:dyDescent="0.35">
      <c r="A6870" s="2" t="str">
        <f ca="1">IFERROR(__xludf.DUMMYFUNCTION("""COMPUTED_VALUE"""),"Dubai")</f>
        <v>Dubai</v>
      </c>
      <c r="B6870" s="2" t="str">
        <f ca="1">IFERROR(__xludf.DUMMYFUNCTION("""COMPUTED_VALUE"""),"SOL Star")</f>
        <v>SOL Star</v>
      </c>
      <c r="C6870" s="2" t="str">
        <f ca="1">IFERROR(__xludf.DUMMYFUNCTION("""COMPUTED_VALUE"""),"Building")</f>
        <v>Building</v>
      </c>
      <c r="D6870" s="2" t="str">
        <f ca="1">IFERROR(__xludf.DUMMYFUNCTION("""COMPUTED_VALUE"""),"Dubai&gt;Dubai Investment Park (DIP)&gt;SOL Star")</f>
        <v>Dubai&gt;Dubai Investment Park (DIP)&gt;SOL Star</v>
      </c>
      <c r="E6870" s="2"/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</row>
    <row r="6871" spans="1:26" ht="16.5" x14ac:dyDescent="0.35">
      <c r="A6871" s="2" t="str">
        <f ca="1">IFERROR(__xludf.DUMMYFUNCTION("""COMPUTED_VALUE"""),"Dubai")</f>
        <v>Dubai</v>
      </c>
      <c r="B6871" s="2" t="str">
        <f ca="1">IFERROR(__xludf.DUMMYFUNCTION("""COMPUTED_VALUE"""),"B15")</f>
        <v>B15</v>
      </c>
      <c r="C6871" s="2" t="str">
        <f ca="1">IFERROR(__xludf.DUMMYFUNCTION("""COMPUTED_VALUE"""),"Building")</f>
        <v>Building</v>
      </c>
      <c r="D6871" s="2" t="str">
        <f ca="1">IFERROR(__xludf.DUMMYFUNCTION("""COMPUTED_VALUE"""),"Dubai&gt;Dubai Investment Park (DIP)&gt;Dubai Investment Park 2&gt;Dunes Village&gt;B15")</f>
        <v>Dubai&gt;Dubai Investment Park (DIP)&gt;Dubai Investment Park 2&gt;Dunes Village&gt;B15</v>
      </c>
      <c r="E6871" s="2"/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</row>
    <row r="6872" spans="1:26" ht="16.5" x14ac:dyDescent="0.35">
      <c r="A6872" s="2" t="str">
        <f ca="1">IFERROR(__xludf.DUMMYFUNCTION("""COMPUTED_VALUE"""),"Dubai")</f>
        <v>Dubai</v>
      </c>
      <c r="B6872" s="2" t="str">
        <f ca="1">IFERROR(__xludf.DUMMYFUNCTION("""COMPUTED_VALUE"""),"Imperial Residence B")</f>
        <v>Imperial Residence B</v>
      </c>
      <c r="C6872" s="2" t="str">
        <f ca="1">IFERROR(__xludf.DUMMYFUNCTION("""COMPUTED_VALUE"""),"Building")</f>
        <v>Building</v>
      </c>
      <c r="D6872" s="2" t="str">
        <f ca="1">IFERROR(__xludf.DUMMYFUNCTION("""COMPUTED_VALUE"""),"Dubai&gt;Dubai Investment Park (DIP)&gt;Imperial Residences (DIP)&gt;Imperial Residence B")</f>
        <v>Dubai&gt;Dubai Investment Park (DIP)&gt;Imperial Residences (DIP)&gt;Imperial Residence B</v>
      </c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</row>
    <row r="6873" spans="1:26" ht="16.5" x14ac:dyDescent="0.35">
      <c r="A6873" s="2" t="str">
        <f ca="1">IFERROR(__xludf.DUMMYFUNCTION("""COMPUTED_VALUE"""),"Dubai")</f>
        <v>Dubai</v>
      </c>
      <c r="B6873" s="2" t="str">
        <f ca="1">IFERROR(__xludf.DUMMYFUNCTION("""COMPUTED_VALUE"""),"Selvara")</f>
        <v>Selvara</v>
      </c>
      <c r="C6873" s="2" t="str">
        <f ca="1">IFERROR(__xludf.DUMMYFUNCTION("""COMPUTED_VALUE"""),"Neighbourhood")</f>
        <v>Neighbourhood</v>
      </c>
      <c r="D6873" s="2" t="str">
        <f ca="1">IFERROR(__xludf.DUMMYFUNCTION("""COMPUTED_VALUE"""),"Dubai&gt;Dubai Investment Park (DIP)&gt;Grand Polo Club &amp; Resort&gt;Selvara")</f>
        <v>Dubai&gt;Dubai Investment Park (DIP)&gt;Grand Polo Club &amp; Resort&gt;Selvara</v>
      </c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</row>
    <row r="6874" spans="1:26" ht="16.5" x14ac:dyDescent="0.35">
      <c r="A6874" s="2" t="str">
        <f ca="1">IFERROR(__xludf.DUMMYFUNCTION("""COMPUTED_VALUE"""),"Dubai")</f>
        <v>Dubai</v>
      </c>
      <c r="B6874" s="2" t="str">
        <f ca="1">IFERROR(__xludf.DUMMYFUNCTION("""COMPUTED_VALUE"""),"Palazzo Venezia")</f>
        <v>Palazzo Venezia</v>
      </c>
      <c r="C6874" s="2" t="str">
        <f ca="1">IFERROR(__xludf.DUMMYFUNCTION("""COMPUTED_VALUE"""),"Building")</f>
        <v>Building</v>
      </c>
      <c r="D6874" s="2" t="str">
        <f ca="1">IFERROR(__xludf.DUMMYFUNCTION("""COMPUTED_VALUE"""),"Dubai&gt;Majan&gt;Palazzo Venezia")</f>
        <v>Dubai&gt;Majan&gt;Palazzo Venezia</v>
      </c>
      <c r="E6874" s="2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</row>
    <row r="6875" spans="1:26" ht="16.5" x14ac:dyDescent="0.35">
      <c r="A6875" s="2" t="str">
        <f ca="1">IFERROR(__xludf.DUMMYFUNCTION("""COMPUTED_VALUE"""),"Dubai")</f>
        <v>Dubai</v>
      </c>
      <c r="B6875" s="2" t="str">
        <f ca="1">IFERROR(__xludf.DUMMYFUNCTION("""COMPUTED_VALUE"""),"Deansgate by ADE")</f>
        <v>Deansgate by ADE</v>
      </c>
      <c r="C6875" s="2" t="str">
        <f ca="1">IFERROR(__xludf.DUMMYFUNCTION("""COMPUTED_VALUE"""),"Building")</f>
        <v>Building</v>
      </c>
      <c r="D6875" s="2" t="str">
        <f ca="1">IFERROR(__xludf.DUMMYFUNCTION("""COMPUTED_VALUE"""),"Dubai&gt;Majan&gt;Deansgate by ADE")</f>
        <v>Dubai&gt;Majan&gt;Deansgate by ADE</v>
      </c>
      <c r="E6875" s="2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</row>
    <row r="6876" spans="1:26" ht="16.5" x14ac:dyDescent="0.35">
      <c r="A6876" s="2" t="str">
        <f ca="1">IFERROR(__xludf.DUMMYFUNCTION("""COMPUTED_VALUE"""),"Dubai")</f>
        <v>Dubai</v>
      </c>
      <c r="B6876" s="2" t="str">
        <f ca="1">IFERROR(__xludf.DUMMYFUNCTION("""COMPUTED_VALUE"""),"Vincitore Wellness Estate Tower B")</f>
        <v>Vincitore Wellness Estate Tower B</v>
      </c>
      <c r="C6876" s="2" t="str">
        <f ca="1">IFERROR(__xludf.DUMMYFUNCTION("""COMPUTED_VALUE"""),"Building")</f>
        <v>Building</v>
      </c>
      <c r="D6876" s="2" t="str">
        <f ca="1">IFERROR(__xludf.DUMMYFUNCTION("""COMPUTED_VALUE"""),"Dubai&gt;Majan&gt;Vincitore Wellness Estate&gt;Vincitore Wellness Estate Tower B")</f>
        <v>Dubai&gt;Majan&gt;Vincitore Wellness Estate&gt;Vincitore Wellness Estate Tower B</v>
      </c>
      <c r="E6876" s="2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</row>
    <row r="6877" spans="1:26" ht="16.5" x14ac:dyDescent="0.35">
      <c r="A6877" s="2" t="str">
        <f ca="1">IFERROR(__xludf.DUMMYFUNCTION("""COMPUTED_VALUE"""),"Dubai")</f>
        <v>Dubai</v>
      </c>
      <c r="B6877" s="2" t="str">
        <f ca="1">IFERROR(__xludf.DUMMYFUNCTION("""COMPUTED_VALUE"""),"Skyscape Altius")</f>
        <v>Skyscape Altius</v>
      </c>
      <c r="C6877" s="2" t="str">
        <f ca="1">IFERROR(__xludf.DUMMYFUNCTION("""COMPUTED_VALUE"""),"Building")</f>
        <v>Building</v>
      </c>
      <c r="D6877" s="2" t="str">
        <f ca="1">IFERROR(__xludf.DUMMYFUNCTION("""COMPUTED_VALUE"""),"Dubai&gt;Sobha Hartland 2&gt;Skyscape&gt;Skyscape Altius")</f>
        <v>Dubai&gt;Sobha Hartland 2&gt;Skyscape&gt;Skyscape Altius</v>
      </c>
      <c r="E6877" s="2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</row>
    <row r="6878" spans="1:26" ht="16.5" x14ac:dyDescent="0.35">
      <c r="A6878" s="2" t="str">
        <f ca="1">IFERROR(__xludf.DUMMYFUNCTION("""COMPUTED_VALUE"""),"Dubai")</f>
        <v>Dubai</v>
      </c>
      <c r="B6878" s="2" t="str">
        <f ca="1">IFERROR(__xludf.DUMMYFUNCTION("""COMPUTED_VALUE"""),"Glitz 1")</f>
        <v>Glitz 1</v>
      </c>
      <c r="C6878" s="2" t="str">
        <f ca="1">IFERROR(__xludf.DUMMYFUNCTION("""COMPUTED_VALUE"""),"Building")</f>
        <v>Building</v>
      </c>
      <c r="D6878" s="2" t="str">
        <f ca="1">IFERROR(__xludf.DUMMYFUNCTION("""COMPUTED_VALUE"""),"Dubai&gt;Dubai Studio City&gt;Glitz&gt;Glitz 1")</f>
        <v>Dubai&gt;Dubai Studio City&gt;Glitz&gt;Glitz 1</v>
      </c>
      <c r="E6878" s="2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</row>
    <row r="6879" spans="1:26" ht="16.5" x14ac:dyDescent="0.35">
      <c r="A6879" s="2" t="str">
        <f ca="1">IFERROR(__xludf.DUMMYFUNCTION("""COMPUTED_VALUE"""),"Dubai")</f>
        <v>Dubai</v>
      </c>
      <c r="B6879" s="2" t="str">
        <f ca="1">IFERROR(__xludf.DUMMYFUNCTION("""COMPUTED_VALUE"""),"Al Matter Building")</f>
        <v>Al Matter Building</v>
      </c>
      <c r="C6879" s="2" t="str">
        <f ca="1">IFERROR(__xludf.DUMMYFUNCTION("""COMPUTED_VALUE"""),"Building")</f>
        <v>Building</v>
      </c>
      <c r="D6879" s="2" t="str">
        <f ca="1">IFERROR(__xludf.DUMMYFUNCTION("""COMPUTED_VALUE"""),"Dubai&gt;Dubai Studio City&gt;Al Matter Building")</f>
        <v>Dubai&gt;Dubai Studio City&gt;Al Matter Building</v>
      </c>
      <c r="E6879" s="2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</row>
    <row r="6880" spans="1:26" ht="16.5" x14ac:dyDescent="0.35">
      <c r="A6880" s="2" t="str">
        <f ca="1">IFERROR(__xludf.DUMMYFUNCTION("""COMPUTED_VALUE"""),"Dubai")</f>
        <v>Dubai</v>
      </c>
      <c r="B6880" s="2" t="str">
        <f ca="1">IFERROR(__xludf.DUMMYFUNCTION("""COMPUTED_VALUE"""),"Kensington Waters Tower A")</f>
        <v>Kensington Waters Tower A</v>
      </c>
      <c r="C6880" s="2" t="str">
        <f ca="1">IFERROR(__xludf.DUMMYFUNCTION("""COMPUTED_VALUE"""),"Building")</f>
        <v>Building</v>
      </c>
      <c r="D6880" s="2" t="str">
        <f ca="1">IFERROR(__xludf.DUMMYFUNCTION("""COMPUTED_VALUE"""),"Dubai&gt;Sobha Hartland&gt;Kensington Waters&gt;Kensington Waters Tower A")</f>
        <v>Dubai&gt;Sobha Hartland&gt;Kensington Waters&gt;Kensington Waters Tower A</v>
      </c>
      <c r="E6880" s="2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</row>
    <row r="6881" spans="1:26" ht="16.5" x14ac:dyDescent="0.35">
      <c r="A6881" s="2" t="str">
        <f ca="1">IFERROR(__xludf.DUMMYFUNCTION("""COMPUTED_VALUE"""),"Dubai")</f>
        <v>Dubai</v>
      </c>
      <c r="B6881" s="2" t="str">
        <f ca="1">IFERROR(__xludf.DUMMYFUNCTION("""COMPUTED_VALUE"""),"Sobha Creek Vistas Heights Tower B")</f>
        <v>Sobha Creek Vistas Heights Tower B</v>
      </c>
      <c r="C6881" s="2" t="str">
        <f ca="1">IFERROR(__xludf.DUMMYFUNCTION("""COMPUTED_VALUE"""),"Building")</f>
        <v>Building</v>
      </c>
      <c r="D6881" s="2" t="str">
        <f ca="1">IFERROR(__xludf.DUMMYFUNCTION("""COMPUTED_VALUE"""),"Dubai&gt;Sobha Hartland&gt;Sobha Creek Vistas Heights&gt;Sobha Creek Vistas Heights Tower B")</f>
        <v>Dubai&gt;Sobha Hartland&gt;Sobha Creek Vistas Heights&gt;Sobha Creek Vistas Heights Tower B</v>
      </c>
      <c r="E6881" s="2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</row>
    <row r="6882" spans="1:26" ht="16.5" x14ac:dyDescent="0.35">
      <c r="A6882" s="2" t="str">
        <f ca="1">IFERROR(__xludf.DUMMYFUNCTION("""COMPUTED_VALUE"""),"Dubai")</f>
        <v>Dubai</v>
      </c>
      <c r="B6882" s="2" t="str">
        <f ca="1">IFERROR(__xludf.DUMMYFUNCTION("""COMPUTED_VALUE"""),"Residences 4")</f>
        <v>Residences 4</v>
      </c>
      <c r="C6882" s="2" t="str">
        <f ca="1">IFERROR(__xludf.DUMMYFUNCTION("""COMPUTED_VALUE"""),"Cluster")</f>
        <v>Cluster</v>
      </c>
      <c r="D6882" s="2" t="str">
        <f ca="1">IFERROR(__xludf.DUMMYFUNCTION("""COMPUTED_VALUE"""),"Dubai&gt;Expo City&gt;Expo Village&gt;Residences 4")</f>
        <v>Dubai&gt;Expo City&gt;Expo Village&gt;Residences 4</v>
      </c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</row>
    <row r="6883" spans="1:26" ht="16.5" x14ac:dyDescent="0.35">
      <c r="A6883" s="2" t="str">
        <f ca="1">IFERROR(__xludf.DUMMYFUNCTION("""COMPUTED_VALUE"""),"Dubai")</f>
        <v>Dubai</v>
      </c>
      <c r="B6883" s="2" t="str">
        <f ca="1">IFERROR(__xludf.DUMMYFUNCTION("""COMPUTED_VALUE"""),"Terra Gardens Building 1")</f>
        <v>Terra Gardens Building 1</v>
      </c>
      <c r="C6883" s="2" t="str">
        <f ca="1">IFERROR(__xludf.DUMMYFUNCTION("""COMPUTED_VALUE"""),"Building")</f>
        <v>Building</v>
      </c>
      <c r="D6883" s="2" t="str">
        <f ca="1">IFERROR(__xludf.DUMMYFUNCTION("""COMPUTED_VALUE"""),"Dubai&gt;Expo City&gt;Terra Gardens&gt;Terra Gardens Building 1")</f>
        <v>Dubai&gt;Expo City&gt;Terra Gardens&gt;Terra Gardens Building 1</v>
      </c>
      <c r="E6883" s="2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</row>
    <row r="6884" spans="1:26" ht="16.5" x14ac:dyDescent="0.35">
      <c r="A6884" s="2" t="str">
        <f ca="1">IFERROR(__xludf.DUMMYFUNCTION("""COMPUTED_VALUE"""),"Dubai")</f>
        <v>Dubai</v>
      </c>
      <c r="B6884" s="2" t="str">
        <f ca="1">IFERROR(__xludf.DUMMYFUNCTION("""COMPUTED_VALUE"""),"Ferns")</f>
        <v>Ferns</v>
      </c>
      <c r="C6884" s="2" t="str">
        <f ca="1">IFERROR(__xludf.DUMMYFUNCTION("""COMPUTED_VALUE"""),"Neighbourhood")</f>
        <v>Neighbourhood</v>
      </c>
      <c r="D6884" s="2" t="str">
        <f ca="1">IFERROR(__xludf.DUMMYFUNCTION("""COMPUTED_VALUE"""),"Dubai&gt;Haven by Aldar&gt;Ferns")</f>
        <v>Dubai&gt;Haven by Aldar&gt;Ferns</v>
      </c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</row>
    <row r="6885" spans="1:26" ht="16.5" x14ac:dyDescent="0.35">
      <c r="A6885" s="2" t="str">
        <f ca="1">IFERROR(__xludf.DUMMYFUNCTION("""COMPUTED_VALUE"""),"Dubai")</f>
        <v>Dubai</v>
      </c>
      <c r="B6885" s="2" t="str">
        <f ca="1">IFERROR(__xludf.DUMMYFUNCTION("""COMPUTED_VALUE"""),"Athlon by Aldar")</f>
        <v>Athlon by Aldar</v>
      </c>
      <c r="C6885" s="2" t="str">
        <f ca="1">IFERROR(__xludf.DUMMYFUNCTION("""COMPUTED_VALUE"""),"Neighbourhood")</f>
        <v>Neighbourhood</v>
      </c>
      <c r="D6885" s="2" t="str">
        <f ca="1">IFERROR(__xludf.DUMMYFUNCTION("""COMPUTED_VALUE"""),"Dubai&gt;Athlon by Aldar")</f>
        <v>Dubai&gt;Athlon by Aldar</v>
      </c>
      <c r="E6885" s="2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</row>
    <row r="6886" spans="1:26" ht="16.5" x14ac:dyDescent="0.35">
      <c r="A6886" s="2" t="str">
        <f ca="1">IFERROR(__xludf.DUMMYFUNCTION("""COMPUTED_VALUE"""),"Dubai")</f>
        <v>Dubai</v>
      </c>
      <c r="B6886" s="2" t="str">
        <f ca="1">IFERROR(__xludf.DUMMYFUNCTION("""COMPUTED_VALUE"""),"Cilia Building 1")</f>
        <v>Cilia Building 1</v>
      </c>
      <c r="C6886" s="2" t="str">
        <f ca="1">IFERROR(__xludf.DUMMYFUNCTION("""COMPUTED_VALUE"""),"Building")</f>
        <v>Building</v>
      </c>
      <c r="D6886" s="2" t="str">
        <f ca="1">IFERROR(__xludf.DUMMYFUNCTION("""COMPUTED_VALUE"""),"Dubai&gt;Ghaf Woods&gt;Cilia&gt;Cilia Building 1")</f>
        <v>Dubai&gt;Ghaf Woods&gt;Cilia&gt;Cilia Building 1</v>
      </c>
      <c r="E6886" s="2"/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</row>
    <row r="6887" spans="1:26" ht="16.5" x14ac:dyDescent="0.35">
      <c r="A6887" s="2" t="str">
        <f ca="1">IFERROR(__xludf.DUMMYFUNCTION("""COMPUTED_VALUE"""),"Dubai")</f>
        <v>Dubai</v>
      </c>
      <c r="B6887" s="2" t="str">
        <f ca="1">IFERROR(__xludf.DUMMYFUNCTION("""COMPUTED_VALUE"""),"Bora Bora 1")</f>
        <v>Bora Bora 1</v>
      </c>
      <c r="C6887" s="2" t="str">
        <f ca="1">IFERROR(__xludf.DUMMYFUNCTION("""COMPUTED_VALUE"""),"Neighbourhood")</f>
        <v>Neighbourhood</v>
      </c>
      <c r="D6887" s="2" t="str">
        <f ca="1">IFERROR(__xludf.DUMMYFUNCTION("""COMPUTED_VALUE"""),"Dubai&gt;DAMAC Islands&gt;Bora Bora 1")</f>
        <v>Dubai&gt;DAMAC Islands&gt;Bora Bora 1</v>
      </c>
      <c r="E6887" s="2"/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</row>
    <row r="6888" spans="1:26" ht="16.5" x14ac:dyDescent="0.35">
      <c r="A6888" s="2" t="str">
        <f ca="1">IFERROR(__xludf.DUMMYFUNCTION("""COMPUTED_VALUE"""),"Dubai")</f>
        <v>Dubai</v>
      </c>
      <c r="B6888" s="2" t="str">
        <f ca="1">IFERROR(__xludf.DUMMYFUNCTION("""COMPUTED_VALUE"""),"Rimal 2")</f>
        <v>Rimal 2</v>
      </c>
      <c r="C6888" s="2" t="str">
        <f ca="1">IFERROR(__xludf.DUMMYFUNCTION("""COMPUTED_VALUE"""),"Building")</f>
        <v>Building</v>
      </c>
      <c r="D6888" s="2" t="str">
        <f ca="1">IFERROR(__xludf.DUMMYFUNCTION("""COMPUTED_VALUE"""),"Dubai&gt;Jumeirah Beach Residence (JBR)&gt;Rimal&gt;Rimal 2")</f>
        <v>Dubai&gt;Jumeirah Beach Residence (JBR)&gt;Rimal&gt;Rimal 2</v>
      </c>
      <c r="E6888" s="2"/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</row>
    <row r="6889" spans="1:26" ht="16.5" x14ac:dyDescent="0.35">
      <c r="A6889" s="2" t="str">
        <f ca="1">IFERROR(__xludf.DUMMYFUNCTION("""COMPUTED_VALUE"""),"Dubai")</f>
        <v>Dubai</v>
      </c>
      <c r="B6889" s="2" t="str">
        <f ca="1">IFERROR(__xludf.DUMMYFUNCTION("""COMPUTED_VALUE"""),"Hilton Dubai The Walk")</f>
        <v>Hilton Dubai The Walk</v>
      </c>
      <c r="C6889" s="2" t="str">
        <f ca="1">IFERROR(__xludf.DUMMYFUNCTION("""COMPUTED_VALUE"""),"Building")</f>
        <v>Building</v>
      </c>
      <c r="D6889" s="2" t="str">
        <f ca="1">IFERROR(__xludf.DUMMYFUNCTION("""COMPUTED_VALUE"""),"Dubai&gt;Jumeirah Beach Residence (JBR)&gt;Hilton Dubai The Walk")</f>
        <v>Dubai&gt;Jumeirah Beach Residence (JBR)&gt;Hilton Dubai The Walk</v>
      </c>
      <c r="E6889" s="2"/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</row>
    <row r="6890" spans="1:26" ht="16.5" x14ac:dyDescent="0.35">
      <c r="A6890" s="2" t="str">
        <f ca="1">IFERROR(__xludf.DUMMYFUNCTION("""COMPUTED_VALUE"""),"Dubai")</f>
        <v>Dubai</v>
      </c>
      <c r="B6890" s="2" t="str">
        <f ca="1">IFERROR(__xludf.DUMMYFUNCTION("""COMPUTED_VALUE"""),"Future Residence")</f>
        <v>Future Residence</v>
      </c>
      <c r="C6890" s="2" t="str">
        <f ca="1">IFERROR(__xludf.DUMMYFUNCTION("""COMPUTED_VALUE"""),"Building")</f>
        <v>Building</v>
      </c>
      <c r="D6890" s="2" t="str">
        <f ca="1">IFERROR(__xludf.DUMMYFUNCTION("""COMPUTED_VALUE"""),"Dubai&gt;Meydan Horizon&gt;Future Residence")</f>
        <v>Dubai&gt;Meydan Horizon&gt;Future Residence</v>
      </c>
      <c r="E6890" s="2"/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</row>
    <row r="6891" spans="1:26" ht="16.5" x14ac:dyDescent="0.35">
      <c r="A6891" s="2" t="str">
        <f ca="1">IFERROR(__xludf.DUMMYFUNCTION("""COMPUTED_VALUE"""),"Dubai")</f>
        <v>Dubai</v>
      </c>
      <c r="B6891" s="2" t="str">
        <f ca="1">IFERROR(__xludf.DUMMYFUNCTION("""COMPUTED_VALUE"""),"Block C")</f>
        <v>Block C</v>
      </c>
      <c r="C6891" s="2" t="str">
        <f ca="1">IFERROR(__xludf.DUMMYFUNCTION("""COMPUTED_VALUE"""),"Neighbourhood")</f>
        <v>Neighbourhood</v>
      </c>
      <c r="D6891" s="2" t="str">
        <f ca="1">IFERROR(__xludf.DUMMYFUNCTION("""COMPUTED_VALUE"""),"Dubai&gt;Al Wasl&gt;Dar Wasl&gt;Block C")</f>
        <v>Dubai&gt;Al Wasl&gt;Dar Wasl&gt;Block C</v>
      </c>
      <c r="E6891" s="2"/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</row>
    <row r="6892" spans="1:26" ht="16.5" x14ac:dyDescent="0.35">
      <c r="A6892" s="2" t="str">
        <f ca="1">IFERROR(__xludf.DUMMYFUNCTION("""COMPUTED_VALUE"""),"Dubai")</f>
        <v>Dubai</v>
      </c>
      <c r="B6892" s="2" t="str">
        <f ca="1">IFERROR(__xludf.DUMMYFUNCTION("""COMPUTED_VALUE"""),"Laurel")</f>
        <v>Laurel</v>
      </c>
      <c r="C6892" s="2" t="str">
        <f ca="1">IFERROR(__xludf.DUMMYFUNCTION("""COMPUTED_VALUE"""),"Building")</f>
        <v>Building</v>
      </c>
      <c r="D6892" s="2" t="str">
        <f ca="1">IFERROR(__xludf.DUMMYFUNCTION("""COMPUTED_VALUE"""),"Dubai&gt;Al Wasl&gt;City Walk&gt;Central Park&gt;Laurel")</f>
        <v>Dubai&gt;Al Wasl&gt;City Walk&gt;Central Park&gt;Laurel</v>
      </c>
      <c r="E6892" s="2"/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</row>
    <row r="6893" spans="1:26" ht="16.5" x14ac:dyDescent="0.35">
      <c r="A6893" s="2" t="str">
        <f ca="1">IFERROR(__xludf.DUMMYFUNCTION("""COMPUTED_VALUE"""),"Dubai")</f>
        <v>Dubai</v>
      </c>
      <c r="B6893" s="2" t="str">
        <f ca="1">IFERROR(__xludf.DUMMYFUNCTION("""COMPUTED_VALUE"""),"Verve")</f>
        <v>Verve</v>
      </c>
      <c r="C6893" s="2" t="str">
        <f ca="1">IFERROR(__xludf.DUMMYFUNCTION("""COMPUTED_VALUE"""),"Cluster")</f>
        <v>Cluster</v>
      </c>
      <c r="D6893" s="2" t="str">
        <f ca="1">IFERROR(__xludf.DUMMYFUNCTION("""COMPUTED_VALUE"""),"Dubai&gt;Al Wasl&gt;City Walk&gt;Verve")</f>
        <v>Dubai&gt;Al Wasl&gt;City Walk&gt;Verve</v>
      </c>
      <c r="E6893" s="2"/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</row>
    <row r="6894" spans="1:26" ht="16.5" x14ac:dyDescent="0.35">
      <c r="A6894" s="2" t="str">
        <f ca="1">IFERROR(__xludf.DUMMYFUNCTION("""COMPUTED_VALUE"""),"Dubai")</f>
        <v>Dubai</v>
      </c>
      <c r="B6894" s="2" t="str">
        <f ca="1">IFERROR(__xludf.DUMMYFUNCTION("""COMPUTED_VALUE"""),"Safa One Tower B")</f>
        <v>Safa One Tower B</v>
      </c>
      <c r="C6894" s="2" t="str">
        <f ca="1">IFERROR(__xludf.DUMMYFUNCTION("""COMPUTED_VALUE"""),"Building")</f>
        <v>Building</v>
      </c>
      <c r="D6894" s="2" t="str">
        <f ca="1">IFERROR(__xludf.DUMMYFUNCTION("""COMPUTED_VALUE"""),"Dubai&gt;Al Wasl&gt;Safa One by De Grisogono&gt;Safa One Tower B")</f>
        <v>Dubai&gt;Al Wasl&gt;Safa One by De Grisogono&gt;Safa One Tower B</v>
      </c>
      <c r="E6894" s="2"/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</row>
    <row r="6895" spans="1:26" ht="16.5" x14ac:dyDescent="0.35">
      <c r="A6895" s="2" t="str">
        <f ca="1">IFERROR(__xludf.DUMMYFUNCTION("""COMPUTED_VALUE"""),"Dubai")</f>
        <v>Dubai</v>
      </c>
      <c r="B6895" s="2" t="str">
        <f ca="1">IFERROR(__xludf.DUMMYFUNCTION("""COMPUTED_VALUE"""),"Resortz Residence Block 1")</f>
        <v>Resortz Residence Block 1</v>
      </c>
      <c r="C6895" s="2" t="str">
        <f ca="1">IFERROR(__xludf.DUMMYFUNCTION("""COMPUTED_VALUE"""),"Building")</f>
        <v>Building</v>
      </c>
      <c r="D6895" s="2" t="str">
        <f ca="1">IFERROR(__xludf.DUMMYFUNCTION("""COMPUTED_VALUE"""),"Dubai&gt;Arjan&gt;Resortz by Danube&gt;Resortz Residence Block 1")</f>
        <v>Dubai&gt;Arjan&gt;Resortz by Danube&gt;Resortz Residence Block 1</v>
      </c>
      <c r="E6895" s="2"/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</row>
    <row r="6896" spans="1:26" ht="16.5" x14ac:dyDescent="0.35">
      <c r="A6896" s="2" t="str">
        <f ca="1">IFERROR(__xludf.DUMMYFUNCTION("""COMPUTED_VALUE"""),"Dubai")</f>
        <v>Dubai</v>
      </c>
      <c r="B6896" s="2" t="str">
        <f ca="1">IFERROR(__xludf.DUMMYFUNCTION("""COMPUTED_VALUE"""),"Joya Blanca Residences")</f>
        <v>Joya Blanca Residences</v>
      </c>
      <c r="C6896" s="2" t="str">
        <f ca="1">IFERROR(__xludf.DUMMYFUNCTION("""COMPUTED_VALUE"""),"Building")</f>
        <v>Building</v>
      </c>
      <c r="D6896" s="2" t="str">
        <f ca="1">IFERROR(__xludf.DUMMYFUNCTION("""COMPUTED_VALUE"""),"Dubai&gt;Arjan&gt;Joya Blanca Residences")</f>
        <v>Dubai&gt;Arjan&gt;Joya Blanca Residences</v>
      </c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</row>
    <row r="6897" spans="1:26" ht="16.5" x14ac:dyDescent="0.35">
      <c r="A6897" s="2" t="str">
        <f ca="1">IFERROR(__xludf.DUMMYFUNCTION("""COMPUTED_VALUE"""),"Dubai")</f>
        <v>Dubai</v>
      </c>
      <c r="B6897" s="2" t="str">
        <f ca="1">IFERROR(__xludf.DUMMYFUNCTION("""COMPUTED_VALUE"""),"Lincoln Park B")</f>
        <v>Lincoln Park B</v>
      </c>
      <c r="C6897" s="2" t="str">
        <f ca="1">IFERROR(__xludf.DUMMYFUNCTION("""COMPUTED_VALUE"""),"Building")</f>
        <v>Building</v>
      </c>
      <c r="D6897" s="2" t="str">
        <f ca="1">IFERROR(__xludf.DUMMYFUNCTION("""COMPUTED_VALUE"""),"Dubai&gt;Arjan&gt;Lincoln Park&gt;Lincoln Park B")</f>
        <v>Dubai&gt;Arjan&gt;Lincoln Park&gt;Lincoln Park B</v>
      </c>
      <c r="E6897" s="2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</row>
    <row r="6898" spans="1:26" ht="16.5" x14ac:dyDescent="0.35">
      <c r="A6898" s="2" t="str">
        <f ca="1">IFERROR(__xludf.DUMMYFUNCTION("""COMPUTED_VALUE"""),"Dubai")</f>
        <v>Dubai</v>
      </c>
      <c r="B6898" s="2" t="str">
        <f ca="1">IFERROR(__xludf.DUMMYFUNCTION("""COMPUTED_VALUE"""),"Torino by ORO24")</f>
        <v>Torino by ORO24</v>
      </c>
      <c r="C6898" s="2" t="str">
        <f ca="1">IFERROR(__xludf.DUMMYFUNCTION("""COMPUTED_VALUE"""),"Cluster")</f>
        <v>Cluster</v>
      </c>
      <c r="D6898" s="2" t="str">
        <f ca="1">IFERROR(__xludf.DUMMYFUNCTION("""COMPUTED_VALUE"""),"Dubai&gt;Arjan&gt;Torino by ORO24")</f>
        <v>Dubai&gt;Arjan&gt;Torino by ORO24</v>
      </c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</row>
    <row r="6899" spans="1:26" ht="16.5" x14ac:dyDescent="0.35">
      <c r="A6899" s="2" t="str">
        <f ca="1">IFERROR(__xludf.DUMMYFUNCTION("""COMPUTED_VALUE"""),"Dubai")</f>
        <v>Dubai</v>
      </c>
      <c r="B6899" s="2" t="str">
        <f ca="1">IFERROR(__xludf.DUMMYFUNCTION("""COMPUTED_VALUE"""),"Flamingo Z2 Tower")</f>
        <v>Flamingo Z2 Tower</v>
      </c>
      <c r="C6899" s="2" t="str">
        <f ca="1">IFERROR(__xludf.DUMMYFUNCTION("""COMPUTED_VALUE"""),"Building")</f>
        <v>Building</v>
      </c>
      <c r="D6899" s="2" t="str">
        <f ca="1">IFERROR(__xludf.DUMMYFUNCTION("""COMPUTED_VALUE"""),"Dubai&gt;Arjan&gt;Flamingo Z2 Tower")</f>
        <v>Dubai&gt;Arjan&gt;Flamingo Z2 Tower</v>
      </c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</row>
    <row r="6900" spans="1:26" ht="16.5" x14ac:dyDescent="0.35">
      <c r="A6900" s="2" t="str">
        <f ca="1">IFERROR(__xludf.DUMMYFUNCTION("""COMPUTED_VALUE"""),"Dubai")</f>
        <v>Dubai</v>
      </c>
      <c r="B6900" s="2" t="str">
        <f ca="1">IFERROR(__xludf.DUMMYFUNCTION("""COMPUTED_VALUE"""),"Miracle Hills 2")</f>
        <v>Miracle Hills 2</v>
      </c>
      <c r="C6900" s="2" t="str">
        <f ca="1">IFERROR(__xludf.DUMMYFUNCTION("""COMPUTED_VALUE"""),"Building")</f>
        <v>Building</v>
      </c>
      <c r="D6900" s="2" t="str">
        <f ca="1">IFERROR(__xludf.DUMMYFUNCTION("""COMPUTED_VALUE"""),"Dubai&gt;Arjan&gt;Miracle Hills 2")</f>
        <v>Dubai&gt;Arjan&gt;Miracle Hills 2</v>
      </c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</row>
    <row r="6901" spans="1:26" ht="16.5" x14ac:dyDescent="0.35">
      <c r="A6901" s="2" t="str">
        <f ca="1">IFERROR(__xludf.DUMMYFUNCTION("""COMPUTED_VALUE"""),"Dubai")</f>
        <v>Dubai</v>
      </c>
      <c r="B6901" s="2" t="str">
        <f ca="1">IFERROR(__xludf.DUMMYFUNCTION("""COMPUTED_VALUE"""),"The LX by Mulk")</f>
        <v>The LX by Mulk</v>
      </c>
      <c r="C6901" s="2" t="str">
        <f ca="1">IFERROR(__xludf.DUMMYFUNCTION("""COMPUTED_VALUE"""),"Building")</f>
        <v>Building</v>
      </c>
      <c r="D6901" s="2" t="str">
        <f ca="1">IFERROR(__xludf.DUMMYFUNCTION("""COMPUTED_VALUE"""),"Dubai&gt;Arjan&gt;The LX by Mulk")</f>
        <v>Dubai&gt;Arjan&gt;The LX by Mulk</v>
      </c>
      <c r="E6901" s="2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</row>
    <row r="6902" spans="1:26" ht="16.5" x14ac:dyDescent="0.35">
      <c r="A6902" s="2" t="str">
        <f ca="1">IFERROR(__xludf.DUMMYFUNCTION("""COMPUTED_VALUE"""),"Dubai")</f>
        <v>Dubai</v>
      </c>
      <c r="B6902" s="2" t="str">
        <f ca="1">IFERROR(__xludf.DUMMYFUNCTION("""COMPUTED_VALUE"""),"H Residence")</f>
        <v>H Residence</v>
      </c>
      <c r="C6902" s="2" t="str">
        <f ca="1">IFERROR(__xludf.DUMMYFUNCTION("""COMPUTED_VALUE"""),"Building")</f>
        <v>Building</v>
      </c>
      <c r="D6902" s="2" t="str">
        <f ca="1">IFERROR(__xludf.DUMMYFUNCTION("""COMPUTED_VALUE"""),"Dubai&gt;Al Safa&gt;Al Safa 1&gt;H Residence")</f>
        <v>Dubai&gt;Al Safa&gt;Al Safa 1&gt;H Residence</v>
      </c>
      <c r="E6902" s="2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</row>
    <row r="6903" spans="1:26" ht="16.5" x14ac:dyDescent="0.35">
      <c r="A6903" s="2" t="str">
        <f ca="1">IFERROR(__xludf.DUMMYFUNCTION("""COMPUTED_VALUE"""),"Abu Dhabi")</f>
        <v>Abu Dhabi</v>
      </c>
      <c r="B6903" s="2" t="str">
        <f ca="1">IFERROR(__xludf.DUMMYFUNCTION("""COMPUTED_VALUE"""),"Al Dhafrah")</f>
        <v>Al Dhafrah</v>
      </c>
      <c r="C6903" s="2" t="str">
        <f ca="1">IFERROR(__xludf.DUMMYFUNCTION("""COMPUTED_VALUE"""),"Neighbourhood")</f>
        <v>Neighbourhood</v>
      </c>
      <c r="D6903" s="2" t="str">
        <f ca="1">IFERROR(__xludf.DUMMYFUNCTION("""COMPUTED_VALUE"""),"Abu Dhabi&gt;Al Dhafrah")</f>
        <v>Abu Dhabi&gt;Al Dhafrah</v>
      </c>
      <c r="E6903" s="2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</row>
    <row r="6904" spans="1:26" ht="16.5" x14ac:dyDescent="0.35">
      <c r="A6904" s="2" t="str">
        <f ca="1">IFERROR(__xludf.DUMMYFUNCTION("""COMPUTED_VALUE"""),"Abu Dhabi")</f>
        <v>Abu Dhabi</v>
      </c>
      <c r="B6904" s="2" t="str">
        <f ca="1">IFERROR(__xludf.DUMMYFUNCTION("""COMPUTED_VALUE"""),"Al Nahdah")</f>
        <v>Al Nahdah</v>
      </c>
      <c r="C6904" s="2" t="str">
        <f ca="1">IFERROR(__xludf.DUMMYFUNCTION("""COMPUTED_VALUE"""),"Neighbourhood")</f>
        <v>Neighbourhood</v>
      </c>
      <c r="D6904" s="2" t="str">
        <f ca="1">IFERROR(__xludf.DUMMYFUNCTION("""COMPUTED_VALUE"""),"Abu Dhabi&gt;Al Nahdah")</f>
        <v>Abu Dhabi&gt;Al Nahdah</v>
      </c>
      <c r="E6904" s="2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</row>
    <row r="6905" spans="1:26" ht="16.5" x14ac:dyDescent="0.35">
      <c r="A6905" s="2" t="str">
        <f ca="1">IFERROR(__xludf.DUMMYFUNCTION("""COMPUTED_VALUE"""),"Abu Dhabi")</f>
        <v>Abu Dhabi</v>
      </c>
      <c r="B6905" s="2" t="str">
        <f ca="1">IFERROR(__xludf.DUMMYFUNCTION("""COMPUTED_VALUE"""),"Al Rahma Tower")</f>
        <v>Al Rahma Tower</v>
      </c>
      <c r="C6905" s="2" t="str">
        <f ca="1">IFERROR(__xludf.DUMMYFUNCTION("""COMPUTED_VALUE"""),"Building")</f>
        <v>Building</v>
      </c>
      <c r="D6905" s="2" t="str">
        <f ca="1">IFERROR(__xludf.DUMMYFUNCTION("""COMPUTED_VALUE"""),"Abu Dhabi&gt;Al Wahdah&gt;Al Rahma Tower")</f>
        <v>Abu Dhabi&gt;Al Wahdah&gt;Al Rahma Tower</v>
      </c>
      <c r="E6905" s="2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</row>
    <row r="6906" spans="1:26" ht="16.5" x14ac:dyDescent="0.35">
      <c r="A6906" s="2" t="str">
        <f ca="1">IFERROR(__xludf.DUMMYFUNCTION("""COMPUTED_VALUE"""),"Abu Dhabi")</f>
        <v>Abu Dhabi</v>
      </c>
      <c r="B6906" s="2" t="str">
        <f ca="1">IFERROR(__xludf.DUMMYFUNCTION("""COMPUTED_VALUE"""),"Al Khaili Tower")</f>
        <v>Al Khaili Tower</v>
      </c>
      <c r="C6906" s="2" t="str">
        <f ca="1">IFERROR(__xludf.DUMMYFUNCTION("""COMPUTED_VALUE"""),"Building")</f>
        <v>Building</v>
      </c>
      <c r="D6906" s="2" t="str">
        <f ca="1">IFERROR(__xludf.DUMMYFUNCTION("""COMPUTED_VALUE"""),"Abu Dhabi&gt;Tourist Club Area (TCA)&gt;Al Khaili Tower")</f>
        <v>Abu Dhabi&gt;Tourist Club Area (TCA)&gt;Al Khaili Tower</v>
      </c>
      <c r="E6906" s="2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</row>
    <row r="6907" spans="1:26" ht="16.5" x14ac:dyDescent="0.35">
      <c r="A6907" s="2" t="str">
        <f ca="1">IFERROR(__xludf.DUMMYFUNCTION("""COMPUTED_VALUE"""),"Abu Dhabi")</f>
        <v>Abu Dhabi</v>
      </c>
      <c r="B6907" s="2" t="str">
        <f ca="1">IFERROR(__xludf.DUMMYFUNCTION("""COMPUTED_VALUE"""),"Madinat Zayed Western Region")</f>
        <v>Madinat Zayed Western Region</v>
      </c>
      <c r="C6907" s="2" t="str">
        <f ca="1">IFERROR(__xludf.DUMMYFUNCTION("""COMPUTED_VALUE"""),"Neighbourhood")</f>
        <v>Neighbourhood</v>
      </c>
      <c r="D6907" s="2" t="str">
        <f ca="1">IFERROR(__xludf.DUMMYFUNCTION("""COMPUTED_VALUE"""),"Abu Dhabi&gt;Madinat Zayed Western Region")</f>
        <v>Abu Dhabi&gt;Madinat Zayed Western Region</v>
      </c>
      <c r="E6907" s="2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</row>
    <row r="6908" spans="1:26" ht="16.5" x14ac:dyDescent="0.35">
      <c r="A6908" s="2" t="str">
        <f ca="1">IFERROR(__xludf.DUMMYFUNCTION("""COMPUTED_VALUE"""),"Abu Dhabi")</f>
        <v>Abu Dhabi</v>
      </c>
      <c r="B6908" s="2" t="str">
        <f ca="1">IFERROR(__xludf.DUMMYFUNCTION("""COMPUTED_VALUE"""),"Shaden")</f>
        <v>Shaden</v>
      </c>
      <c r="C6908" s="2" t="str">
        <f ca="1">IFERROR(__xludf.DUMMYFUNCTION("""COMPUTED_VALUE"""),"Neighbourhood")</f>
        <v>Neighbourhood</v>
      </c>
      <c r="D6908" s="2" t="str">
        <f ca="1">IFERROR(__xludf.DUMMYFUNCTION("""COMPUTED_VALUE"""),"Abu Dhabi&gt;Al Jurf&gt;Al Jurf Gardens&gt;Shaden")</f>
        <v>Abu Dhabi&gt;Al Jurf&gt;Al Jurf Gardens&gt;Shaden</v>
      </c>
      <c r="E6908" s="2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</row>
    <row r="6909" spans="1:26" ht="16.5" x14ac:dyDescent="0.35">
      <c r="A6909" s="2" t="str">
        <f ca="1">IFERROR(__xludf.DUMMYFUNCTION("""COMPUTED_VALUE"""),"Abu Dhabi")</f>
        <v>Abu Dhabi</v>
      </c>
      <c r="B6909" s="2" t="str">
        <f ca="1">IFERROR(__xludf.DUMMYFUNCTION("""COMPUTED_VALUE"""),"Lake View Tower")</f>
        <v>Lake View Tower</v>
      </c>
      <c r="C6909" s="2"/>
      <c r="D6909" s="2" t="str">
        <f ca="1">IFERROR(__xludf.DUMMYFUNCTION("""COMPUTED_VALUE"""),"Abu Dhabi&gt;Corniche Area&gt;Lake View Tower")</f>
        <v>Abu Dhabi&gt;Corniche Area&gt;Lake View Tower</v>
      </c>
      <c r="E6909" s="2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</row>
    <row r="6910" spans="1:26" ht="16.5" x14ac:dyDescent="0.35">
      <c r="A6910" s="2" t="str">
        <f ca="1">IFERROR(__xludf.DUMMYFUNCTION("""COMPUTED_VALUE"""),"Abu Dhabi")</f>
        <v>Abu Dhabi</v>
      </c>
      <c r="B6910" s="2" t="str">
        <f ca="1">IFERROR(__xludf.DUMMYFUNCTION("""COMPUTED_VALUE"""),"Al Marjan Tower")</f>
        <v>Al Marjan Tower</v>
      </c>
      <c r="C6910" s="2" t="str">
        <f ca="1">IFERROR(__xludf.DUMMYFUNCTION("""COMPUTED_VALUE"""),"Building")</f>
        <v>Building</v>
      </c>
      <c r="D6910" s="2" t="str">
        <f ca="1">IFERROR(__xludf.DUMMYFUNCTION("""COMPUTED_VALUE"""),"Abu Dhabi&gt;Al Falah Street&gt;Al Marjan Tower")</f>
        <v>Abu Dhabi&gt;Al Falah Street&gt;Al Marjan Tower</v>
      </c>
      <c r="E6910" s="2"/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</row>
    <row r="6911" spans="1:26" ht="16.5" x14ac:dyDescent="0.35">
      <c r="A6911" s="2" t="str">
        <f ca="1">IFERROR(__xludf.DUMMYFUNCTION("""COMPUTED_VALUE"""),"Abu Dhabi")</f>
        <v>Abu Dhabi</v>
      </c>
      <c r="B6911" s="2" t="str">
        <f ca="1">IFERROR(__xludf.DUMMYFUNCTION("""COMPUTED_VALUE"""),"Khalifa Park")</f>
        <v>Khalifa Park</v>
      </c>
      <c r="C6911" s="2" t="str">
        <f ca="1">IFERROR(__xludf.DUMMYFUNCTION("""COMPUTED_VALUE"""),"Neighbourhood")</f>
        <v>Neighbourhood</v>
      </c>
      <c r="D6911" s="2" t="str">
        <f ca="1">IFERROR(__xludf.DUMMYFUNCTION("""COMPUTED_VALUE"""),"Abu Dhabi&gt;Eastern Road&gt;Khalifa Park")</f>
        <v>Abu Dhabi&gt;Eastern Road&gt;Khalifa Park</v>
      </c>
      <c r="E6911" s="2"/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</row>
    <row r="6912" spans="1:26" ht="16.5" x14ac:dyDescent="0.35">
      <c r="A6912" s="2" t="str">
        <f ca="1">IFERROR(__xludf.DUMMYFUNCTION("""COMPUTED_VALUE"""),"Abu Dhabi")</f>
        <v>Abu Dhabi</v>
      </c>
      <c r="B6912" s="2" t="str">
        <f ca="1">IFERROR(__xludf.DUMMYFUNCTION("""COMPUTED_VALUE"""),"Marabe Al Dhafra")</f>
        <v>Marabe Al Dhafra</v>
      </c>
      <c r="C6912" s="2"/>
      <c r="D6912" s="2" t="str">
        <f ca="1">IFERROR(__xludf.DUMMYFUNCTION("""COMPUTED_VALUE"""),"Abu Dhabi&gt;Madinat Zayed&gt;Marabe Al Dhafra")</f>
        <v>Abu Dhabi&gt;Madinat Zayed&gt;Marabe Al Dhafra</v>
      </c>
      <c r="E6912" s="2"/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</row>
    <row r="6913" spans="1:26" ht="16.5" x14ac:dyDescent="0.35">
      <c r="A6913" s="2" t="str">
        <f ca="1">IFERROR(__xludf.DUMMYFUNCTION("""COMPUTED_VALUE"""),"Abu Dhabi")</f>
        <v>Abu Dhabi</v>
      </c>
      <c r="B6913" s="2" t="str">
        <f ca="1">IFERROR(__xludf.DUMMYFUNCTION("""COMPUTED_VALUE"""),"Nahil Building")</f>
        <v>Nahil Building</v>
      </c>
      <c r="C6913" s="2" t="str">
        <f ca="1">IFERROR(__xludf.DUMMYFUNCTION("""COMPUTED_VALUE"""),"Building")</f>
        <v>Building</v>
      </c>
      <c r="D6913" s="2" t="str">
        <f ca="1">IFERROR(__xludf.DUMMYFUNCTION("""COMPUTED_VALUE"""),"Abu Dhabi&gt;Zayed Sports City&gt;Nahil Building")</f>
        <v>Abu Dhabi&gt;Zayed Sports City&gt;Nahil Building</v>
      </c>
      <c r="E6913" s="2"/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</row>
    <row r="6914" spans="1:26" ht="16.5" x14ac:dyDescent="0.35">
      <c r="A6914" s="2" t="str">
        <f ca="1">IFERROR(__xludf.DUMMYFUNCTION("""COMPUTED_VALUE"""),"Abu Dhabi")</f>
        <v>Abu Dhabi</v>
      </c>
      <c r="B6914" s="2" t="str">
        <f ca="1">IFERROR(__xludf.DUMMYFUNCTION("""COMPUTED_VALUE"""),"MSH7")</f>
        <v>MSH7</v>
      </c>
      <c r="C6914" s="2" t="str">
        <f ca="1">IFERROR(__xludf.DUMMYFUNCTION("""COMPUTED_VALUE"""),"Neighbourhood")</f>
        <v>Neighbourhood</v>
      </c>
      <c r="D6914" s="2" t="str">
        <f ca="1">IFERROR(__xludf.DUMMYFUNCTION("""COMPUTED_VALUE"""),"Abu Dhabi&gt;Shakhbout City&gt;MSH7")</f>
        <v>Abu Dhabi&gt;Shakhbout City&gt;MSH7</v>
      </c>
      <c r="E6914" s="2"/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</row>
    <row r="6915" spans="1:26" ht="16.5" x14ac:dyDescent="0.35">
      <c r="A6915" s="2" t="str">
        <f ca="1">IFERROR(__xludf.DUMMYFUNCTION("""COMPUTED_VALUE"""),"Abu Dhabi")</f>
        <v>Abu Dhabi</v>
      </c>
      <c r="B6915" s="2" t="str">
        <f ca="1">IFERROR(__xludf.DUMMYFUNCTION("""COMPUTED_VALUE"""),"MSH39")</f>
        <v>MSH39</v>
      </c>
      <c r="C6915" s="2" t="str">
        <f ca="1">IFERROR(__xludf.DUMMYFUNCTION("""COMPUTED_VALUE"""),"Neighbourhood")</f>
        <v>Neighbourhood</v>
      </c>
      <c r="D6915" s="2" t="str">
        <f ca="1">IFERROR(__xludf.DUMMYFUNCTION("""COMPUTED_VALUE"""),"Abu Dhabi&gt;Shakhbout City&gt;MSH39")</f>
        <v>Abu Dhabi&gt;Shakhbout City&gt;MSH39</v>
      </c>
      <c r="E6915" s="2"/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</row>
    <row r="6916" spans="1:26" ht="16.5" x14ac:dyDescent="0.35">
      <c r="A6916" s="2" t="str">
        <f ca="1">IFERROR(__xludf.DUMMYFUNCTION("""COMPUTED_VALUE"""),"Abu Dhabi")</f>
        <v>Abu Dhabi</v>
      </c>
      <c r="B6916" s="2" t="str">
        <f ca="1">IFERROR(__xludf.DUMMYFUNCTION("""COMPUTED_VALUE"""),"Wahat Yas")</f>
        <v>Wahat Yas</v>
      </c>
      <c r="C6916" s="2" t="str">
        <f ca="1">IFERROR(__xludf.DUMMYFUNCTION("""COMPUTED_VALUE"""),"Neighbourhood")</f>
        <v>Neighbourhood</v>
      </c>
      <c r="D6916" s="2" t="str">
        <f ca="1">IFERROR(__xludf.DUMMYFUNCTION("""COMPUTED_VALUE"""),"Abu Dhabi&gt;Al Bahia&gt;Wahat Yas")</f>
        <v>Abu Dhabi&gt;Al Bahia&gt;Wahat Yas</v>
      </c>
      <c r="E6916" s="2"/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</row>
    <row r="6917" spans="1:26" ht="16.5" x14ac:dyDescent="0.35">
      <c r="A6917" s="2" t="str">
        <f ca="1">IFERROR(__xludf.DUMMYFUNCTION("""COMPUTED_VALUE"""),"Abu Dhabi")</f>
        <v>Abu Dhabi</v>
      </c>
      <c r="B6917" s="2" t="str">
        <f ca="1">IFERROR(__xludf.DUMMYFUNCTION("""COMPUTED_VALUE"""),"Eastern Mangrove Promenade 1")</f>
        <v>Eastern Mangrove Promenade 1</v>
      </c>
      <c r="C6917" s="2" t="str">
        <f ca="1">IFERROR(__xludf.DUMMYFUNCTION("""COMPUTED_VALUE"""),"Building")</f>
        <v>Building</v>
      </c>
      <c r="D6917" s="2" t="str">
        <f ca="1">IFERROR(__xludf.DUMMYFUNCTION("""COMPUTED_VALUE"""),"Abu Dhabi&gt;Al Zahraa&gt;Eastern Mangroves Complex&gt;Eastern Mangrove Promenade 1")</f>
        <v>Abu Dhabi&gt;Al Zahraa&gt;Eastern Mangroves Complex&gt;Eastern Mangrove Promenade 1</v>
      </c>
      <c r="E6917" s="2"/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</row>
    <row r="6918" spans="1:26" ht="16.5" x14ac:dyDescent="0.35">
      <c r="A6918" s="2" t="str">
        <f ca="1">IFERROR(__xludf.DUMMYFUNCTION("""COMPUTED_VALUE"""),"Abu Dhabi")</f>
        <v>Abu Dhabi</v>
      </c>
      <c r="B6918" s="2" t="str">
        <f ca="1">IFERROR(__xludf.DUMMYFUNCTION("""COMPUTED_VALUE"""),"Building 2")</f>
        <v>Building 2</v>
      </c>
      <c r="C6918" s="2" t="str">
        <f ca="1">IFERROR(__xludf.DUMMYFUNCTION("""COMPUTED_VALUE"""),"Building")</f>
        <v>Building</v>
      </c>
      <c r="D6918" s="2" t="str">
        <f ca="1">IFERROR(__xludf.DUMMYFUNCTION("""COMPUTED_VALUE"""),"Abu Dhabi&gt;Zayed City&gt;City Gate Towers&gt;Building 2")</f>
        <v>Abu Dhabi&gt;Zayed City&gt;City Gate Towers&gt;Building 2</v>
      </c>
      <c r="E6918" s="2"/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</row>
    <row r="6919" spans="1:26" ht="16.5" x14ac:dyDescent="0.35">
      <c r="A6919" s="2" t="str">
        <f ca="1">IFERROR(__xludf.DUMMYFUNCTION("""COMPUTED_VALUE"""),"Abu Dhabi")</f>
        <v>Abu Dhabi</v>
      </c>
      <c r="B6919" s="2" t="str">
        <f ca="1">IFERROR(__xludf.DUMMYFUNCTION("""COMPUTED_VALUE"""),"Al Marsa Villas")</f>
        <v>Al Marsa Villas</v>
      </c>
      <c r="C6919" s="2" t="str">
        <f ca="1">IFERROR(__xludf.DUMMYFUNCTION("""COMPUTED_VALUE"""),"Neighbourhood")</f>
        <v>Neighbourhood</v>
      </c>
      <c r="D6919" s="2" t="str">
        <f ca="1">IFERROR(__xludf.DUMMYFUNCTION("""COMPUTED_VALUE"""),"Abu Dhabi&gt;Fahid Island&gt;Al Marsa Villas")</f>
        <v>Abu Dhabi&gt;Fahid Island&gt;Al Marsa Villas</v>
      </c>
      <c r="E6919" s="2"/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</row>
    <row r="6920" spans="1:26" ht="16.5" x14ac:dyDescent="0.35">
      <c r="A6920" s="2" t="str">
        <f ca="1">IFERROR(__xludf.DUMMYFUNCTION("""COMPUTED_VALUE"""),"Abu Dhabi")</f>
        <v>Abu Dhabi</v>
      </c>
      <c r="B6920" s="2" t="str">
        <f ca="1">IFERROR(__xludf.DUMMYFUNCTION("""COMPUTED_VALUE"""),"The District Tower C")</f>
        <v>The District Tower C</v>
      </c>
      <c r="C6920" s="2" t="str">
        <f ca="1">IFERROR(__xludf.DUMMYFUNCTION("""COMPUTED_VALUE"""),"Building")</f>
        <v>Building</v>
      </c>
      <c r="D6920" s="2" t="str">
        <f ca="1">IFERROR(__xludf.DUMMYFUNCTION("""COMPUTED_VALUE"""),"Abu Dhabi&gt;Al Reem Island&gt;Tamouh&gt;The District&gt;The District Tower C")</f>
        <v>Abu Dhabi&gt;Al Reem Island&gt;Tamouh&gt;The District&gt;The District Tower C</v>
      </c>
      <c r="E6920" s="2"/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</row>
    <row r="6921" spans="1:26" ht="16.5" x14ac:dyDescent="0.35">
      <c r="A6921" s="2" t="str">
        <f ca="1">IFERROR(__xludf.DUMMYFUNCTION("""COMPUTED_VALUE"""),"Abu Dhabi")</f>
        <v>Abu Dhabi</v>
      </c>
      <c r="B6921" s="2" t="str">
        <f ca="1">IFERROR(__xludf.DUMMYFUNCTION("""COMPUTED_VALUE"""),"Najmat C10 Tower")</f>
        <v>Najmat C10 Tower</v>
      </c>
      <c r="C6921" s="2" t="str">
        <f ca="1">IFERROR(__xludf.DUMMYFUNCTION("""COMPUTED_VALUE"""),"Building")</f>
        <v>Building</v>
      </c>
      <c r="D6921" s="2" t="str">
        <f ca="1">IFERROR(__xludf.DUMMYFUNCTION("""COMPUTED_VALUE"""),"Abu Dhabi&gt;Al Reem Island&gt;Najmat Abu Dhabi&gt;Najmat C10 Tower")</f>
        <v>Abu Dhabi&gt;Al Reem Island&gt;Najmat Abu Dhabi&gt;Najmat C10 Tower</v>
      </c>
      <c r="E6921" s="2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</row>
    <row r="6922" spans="1:26" ht="16.5" x14ac:dyDescent="0.35">
      <c r="A6922" s="2" t="str">
        <f ca="1">IFERROR(__xludf.DUMMYFUNCTION("""COMPUTED_VALUE"""),"Abu Dhabi")</f>
        <v>Abu Dhabi</v>
      </c>
      <c r="B6922" s="2" t="str">
        <f ca="1">IFERROR(__xludf.DUMMYFUNCTION("""COMPUTED_VALUE"""),"Park View Tower")</f>
        <v>Park View Tower</v>
      </c>
      <c r="C6922" s="2" t="str">
        <f ca="1">IFERROR(__xludf.DUMMYFUNCTION("""COMPUTED_VALUE"""),"Building")</f>
        <v>Building</v>
      </c>
      <c r="D6922" s="2" t="str">
        <f ca="1">IFERROR(__xludf.DUMMYFUNCTION("""COMPUTED_VALUE"""),"Abu Dhabi&gt;Al Reem Island&gt;Shams Abu Dhabi&gt;Park View Tower")</f>
        <v>Abu Dhabi&gt;Al Reem Island&gt;Shams Abu Dhabi&gt;Park View Tower</v>
      </c>
      <c r="E6922" s="2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</row>
    <row r="6923" spans="1:26" ht="16.5" x14ac:dyDescent="0.35">
      <c r="A6923" s="2" t="str">
        <f ca="1">IFERROR(__xludf.DUMMYFUNCTION("""COMPUTED_VALUE"""),"Abu Dhabi")</f>
        <v>Abu Dhabi</v>
      </c>
      <c r="B6923" s="2" t="str">
        <f ca="1">IFERROR(__xludf.DUMMYFUNCTION("""COMPUTED_VALUE"""),"The Boardwalk Residence")</f>
        <v>The Boardwalk Residence</v>
      </c>
      <c r="C6923" s="2" t="str">
        <f ca="1">IFERROR(__xludf.DUMMYFUNCTION("""COMPUTED_VALUE"""),"Building")</f>
        <v>Building</v>
      </c>
      <c r="D6923" s="2" t="str">
        <f ca="1">IFERROR(__xludf.DUMMYFUNCTION("""COMPUTED_VALUE"""),"Abu Dhabi&gt;Al Reem Island&gt;Shams Abu Dhabi&gt;The Boardwalk Residence")</f>
        <v>Abu Dhabi&gt;Al Reem Island&gt;Shams Abu Dhabi&gt;The Boardwalk Residence</v>
      </c>
      <c r="E6923" s="2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</row>
    <row r="6924" spans="1:26" ht="16.5" x14ac:dyDescent="0.35">
      <c r="A6924" s="2" t="str">
        <f ca="1">IFERROR(__xludf.DUMMYFUNCTION("""COMPUTED_VALUE"""),"Abu Dhabi")</f>
        <v>Abu Dhabi</v>
      </c>
      <c r="B6924" s="2" t="str">
        <f ca="1">IFERROR(__xludf.DUMMYFUNCTION("""COMPUTED_VALUE"""),"Horizon Towers")</f>
        <v>Horizon Towers</v>
      </c>
      <c r="C6924" s="2" t="str">
        <f ca="1">IFERROR(__xludf.DUMMYFUNCTION("""COMPUTED_VALUE"""),"Building")</f>
        <v>Building</v>
      </c>
      <c r="D6924" s="2" t="str">
        <f ca="1">IFERROR(__xludf.DUMMYFUNCTION("""COMPUTED_VALUE"""),"Abu Dhabi&gt;Al Reem Island&gt;City of Lights&gt;Horizon Towers")</f>
        <v>Abu Dhabi&gt;Al Reem Island&gt;City of Lights&gt;Horizon Towers</v>
      </c>
      <c r="E6924" s="2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</row>
    <row r="6925" spans="1:26" ht="16.5" x14ac:dyDescent="0.35">
      <c r="A6925" s="2" t="str">
        <f ca="1">IFERROR(__xludf.DUMMYFUNCTION("""COMPUTED_VALUE"""),"Abu Dhabi")</f>
        <v>Abu Dhabi</v>
      </c>
      <c r="B6925" s="2" t="str">
        <f ca="1">IFERROR(__xludf.DUMMYFUNCTION("""COMPUTED_VALUE"""),"Hydra Platinum Tower")</f>
        <v>Hydra Platinum Tower</v>
      </c>
      <c r="C6925" s="2" t="str">
        <f ca="1">IFERROR(__xludf.DUMMYFUNCTION("""COMPUTED_VALUE"""),"Building")</f>
        <v>Building</v>
      </c>
      <c r="D6925" s="2" t="str">
        <f ca="1">IFERROR(__xludf.DUMMYFUNCTION("""COMPUTED_VALUE"""),"Abu Dhabi&gt;Al Reem Island&gt;Hydra Platinum Tower")</f>
        <v>Abu Dhabi&gt;Al Reem Island&gt;Hydra Platinum Tower</v>
      </c>
      <c r="E6925" s="2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</row>
    <row r="6926" spans="1:26" ht="16.5" x14ac:dyDescent="0.35">
      <c r="A6926" s="2" t="str">
        <f ca="1">IFERROR(__xludf.DUMMYFUNCTION("""COMPUTED_VALUE"""),"Abu Dhabi")</f>
        <v>Abu Dhabi</v>
      </c>
      <c r="B6926" s="2" t="str">
        <f ca="1">IFERROR(__xludf.DUMMYFUNCTION("""COMPUTED_VALUE"""),"Tower A")</f>
        <v>Tower A</v>
      </c>
      <c r="C6926" s="2" t="str">
        <f ca="1">IFERROR(__xludf.DUMMYFUNCTION("""COMPUTED_VALUE"""),"Building")</f>
        <v>Building</v>
      </c>
      <c r="D6926" s="2" t="str">
        <f ca="1">IFERROR(__xludf.DUMMYFUNCTION("""COMPUTED_VALUE"""),"Abu Dhabi&gt;Al Reem Island&gt;Marlin&gt;Tower A")</f>
        <v>Abu Dhabi&gt;Al Reem Island&gt;Marlin&gt;Tower A</v>
      </c>
      <c r="E6926" s="2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</row>
    <row r="6927" spans="1:26" ht="16.5" x14ac:dyDescent="0.35">
      <c r="A6927" s="2" t="str">
        <f ca="1">IFERROR(__xludf.DUMMYFUNCTION("""COMPUTED_VALUE"""),"Abu Dhabi")</f>
        <v>Abu Dhabi</v>
      </c>
      <c r="B6927" s="2" t="str">
        <f ca="1">IFERROR(__xludf.DUMMYFUNCTION("""COMPUTED_VALUE"""),"Liwa Centre")</f>
        <v>Liwa Centre</v>
      </c>
      <c r="C6927" s="2" t="str">
        <f ca="1">IFERROR(__xludf.DUMMYFUNCTION("""COMPUTED_VALUE"""),"Cluster")</f>
        <v>Cluster</v>
      </c>
      <c r="D6927" s="2" t="str">
        <f ca="1">IFERROR(__xludf.DUMMYFUNCTION("""COMPUTED_VALUE"""),"Abu Dhabi&gt;Hamdan Street&gt;Liwa Centre")</f>
        <v>Abu Dhabi&gt;Hamdan Street&gt;Liwa Centre</v>
      </c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</row>
    <row r="6928" spans="1:26" ht="16.5" x14ac:dyDescent="0.35">
      <c r="A6928" s="2" t="str">
        <f ca="1">IFERROR(__xludf.DUMMYFUNCTION("""COMPUTED_VALUE"""),"Abu Dhabi")</f>
        <v>Abu Dhabi</v>
      </c>
      <c r="B6928" s="2" t="str">
        <f ca="1">IFERROR(__xludf.DUMMYFUNCTION("""COMPUTED_VALUE"""),"Mubarak Bin Mohammed Street")</f>
        <v>Mubarak Bin Mohammed Street</v>
      </c>
      <c r="C6928" s="2"/>
      <c r="D6928" s="2" t="str">
        <f ca="1">IFERROR(__xludf.DUMMYFUNCTION("""COMPUTED_VALUE"""),"Abu Dhabi&gt;Al Khalidiyah&gt;Mubarak Bin Mohammed Street")</f>
        <v>Abu Dhabi&gt;Al Khalidiyah&gt;Mubarak Bin Mohammed Street</v>
      </c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</row>
    <row r="6929" spans="1:26" ht="16.5" x14ac:dyDescent="0.35">
      <c r="A6929" s="2" t="str">
        <f ca="1">IFERROR(__xludf.DUMMYFUNCTION("""COMPUTED_VALUE"""),"Abu Dhabi")</f>
        <v>Abu Dhabi</v>
      </c>
      <c r="B6929" s="2" t="str">
        <f ca="1">IFERROR(__xludf.DUMMYFUNCTION("""COMPUTED_VALUE"""),"GEMS American Academy Abu Dhabi")</f>
        <v>GEMS American Academy Abu Dhabi</v>
      </c>
      <c r="C6929" s="2" t="str">
        <f ca="1">IFERROR(__xludf.DUMMYFUNCTION("""COMPUTED_VALUE"""),"School")</f>
        <v>School</v>
      </c>
      <c r="D6929" s="2" t="str">
        <f ca="1">IFERROR(__xludf.DUMMYFUNCTION("""COMPUTED_VALUE"""),"Abu Dhabi&gt;Khalifa City&gt;GEMS American Academy Abu Dhabi")</f>
        <v>Abu Dhabi&gt;Khalifa City&gt;GEMS American Academy Abu Dhabi</v>
      </c>
      <c r="E6929" s="2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</row>
    <row r="6930" spans="1:26" ht="16.5" x14ac:dyDescent="0.35">
      <c r="A6930" s="2" t="str">
        <f ca="1">IFERROR(__xludf.DUMMYFUNCTION("""COMPUTED_VALUE"""),"Abu Dhabi")</f>
        <v>Abu Dhabi</v>
      </c>
      <c r="B6930" s="2" t="str">
        <f ca="1">IFERROR(__xludf.DUMMYFUNCTION("""COMPUTED_VALUE"""),"SE36")</f>
        <v>SE36</v>
      </c>
      <c r="C6930" s="2" t="str">
        <f ca="1">IFERROR(__xludf.DUMMYFUNCTION("""COMPUTED_VALUE"""),"Neighbourhood")</f>
        <v>Neighbourhood</v>
      </c>
      <c r="D6930" s="2" t="str">
        <f ca="1">IFERROR(__xludf.DUMMYFUNCTION("""COMPUTED_VALUE"""),"Abu Dhabi&gt;Khalifa City&gt;SE36")</f>
        <v>Abu Dhabi&gt;Khalifa City&gt;SE36</v>
      </c>
      <c r="E6930" s="2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</row>
    <row r="6931" spans="1:26" ht="16.5" x14ac:dyDescent="0.35">
      <c r="A6931" s="2" t="str">
        <f ca="1">IFERROR(__xludf.DUMMYFUNCTION("""COMPUTED_VALUE"""),"Abu Dhabi")</f>
        <v>Abu Dhabi</v>
      </c>
      <c r="B6931" s="2" t="str">
        <f ca="1">IFERROR(__xludf.DUMMYFUNCTION("""COMPUTED_VALUE"""),"Al Istiqlal Street")</f>
        <v>Al Istiqlal Street</v>
      </c>
      <c r="C6931" s="2"/>
      <c r="D6931" s="2" t="str">
        <f ca="1">IFERROR(__xludf.DUMMYFUNCTION("""COMPUTED_VALUE"""),"Abu Dhabi&gt;Al Markaziya&gt;Al Istiqlal Street")</f>
        <v>Abu Dhabi&gt;Al Markaziya&gt;Al Istiqlal Street</v>
      </c>
      <c r="E6931" s="2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</row>
    <row r="6932" spans="1:26" ht="16.5" x14ac:dyDescent="0.35">
      <c r="A6932" s="2" t="str">
        <f ca="1">IFERROR(__xludf.DUMMYFUNCTION("""COMPUTED_VALUE"""),"Abu Dhabi")</f>
        <v>Abu Dhabi</v>
      </c>
      <c r="B6932" s="2" t="str">
        <f ca="1">IFERROR(__xludf.DUMMYFUNCTION("""COMPUTED_VALUE"""),"Al Khaleej Village")</f>
        <v>Al Khaleej Village</v>
      </c>
      <c r="C6932" s="2" t="str">
        <f ca="1">IFERROR(__xludf.DUMMYFUNCTION("""COMPUTED_VALUE"""),"Neighbourhood")</f>
        <v>Neighbourhood</v>
      </c>
      <c r="D6932" s="2" t="str">
        <f ca="1">IFERROR(__xludf.DUMMYFUNCTION("""COMPUTED_VALUE"""),"Abu Dhabi&gt;Al Ghadeer&gt;Al Khaleej Village")</f>
        <v>Abu Dhabi&gt;Al Ghadeer&gt;Al Khaleej Village</v>
      </c>
      <c r="E6932" s="2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</row>
    <row r="6933" spans="1:26" ht="16.5" x14ac:dyDescent="0.35">
      <c r="A6933" s="2" t="str">
        <f ca="1">IFERROR(__xludf.DUMMYFUNCTION("""COMPUTED_VALUE"""),"Abu Dhabi")</f>
        <v>Abu Dhabi</v>
      </c>
      <c r="B6933" s="2" t="str">
        <f ca="1">IFERROR(__xludf.DUMMYFUNCTION("""COMPUTED_VALUE"""),"Turquoise")</f>
        <v>Turquoise</v>
      </c>
      <c r="C6933" s="2" t="str">
        <f ca="1">IFERROR(__xludf.DUMMYFUNCTION("""COMPUTED_VALUE"""),"Building")</f>
        <v>Building</v>
      </c>
      <c r="D6933" s="2" t="str">
        <f ca="1">IFERROR(__xludf.DUMMYFUNCTION("""COMPUTED_VALUE"""),"Abu Dhabi&gt;Saadiyat Island&gt;Saadiyat Cultural District&gt;Mamsha Al Saadiyat&gt;Turquoise")</f>
        <v>Abu Dhabi&gt;Saadiyat Island&gt;Saadiyat Cultural District&gt;Mamsha Al Saadiyat&gt;Turquoise</v>
      </c>
      <c r="E6933" s="2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</row>
    <row r="6934" spans="1:26" ht="16.5" x14ac:dyDescent="0.35">
      <c r="A6934" s="2" t="str">
        <f ca="1">IFERROR(__xludf.DUMMYFUNCTION("""COMPUTED_VALUE"""),"Abu Dhabi")</f>
        <v>Abu Dhabi</v>
      </c>
      <c r="B6934" s="2" t="str">
        <f ca="1">IFERROR(__xludf.DUMMYFUNCTION("""COMPUTED_VALUE"""),"Saadiyat Lagoons")</f>
        <v>Saadiyat Lagoons</v>
      </c>
      <c r="C6934" s="2" t="str">
        <f ca="1">IFERROR(__xludf.DUMMYFUNCTION("""COMPUTED_VALUE"""),"Neighbourhood")</f>
        <v>Neighbourhood</v>
      </c>
      <c r="D6934" s="2" t="str">
        <f ca="1">IFERROR(__xludf.DUMMYFUNCTION("""COMPUTED_VALUE"""),"Abu Dhabi&gt;Saadiyat Island&gt;Saadiyat Lagoons")</f>
        <v>Abu Dhabi&gt;Saadiyat Island&gt;Saadiyat Lagoons</v>
      </c>
      <c r="E6934" s="2"/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</row>
    <row r="6935" spans="1:26" ht="16.5" x14ac:dyDescent="0.35">
      <c r="A6935" s="2" t="str">
        <f ca="1">IFERROR(__xludf.DUMMYFUNCTION("""COMPUTED_VALUE"""),"Abu Dhabi")</f>
        <v>Abu Dhabi</v>
      </c>
      <c r="B6935" s="2" t="str">
        <f ca="1">IFERROR(__xludf.DUMMYFUNCTION("""COMPUTED_VALUE"""),"St Regis Residences Block 6")</f>
        <v>St Regis Residences Block 6</v>
      </c>
      <c r="C6935" s="2" t="str">
        <f ca="1">IFERROR(__xludf.DUMMYFUNCTION("""COMPUTED_VALUE"""),"Building")</f>
        <v>Building</v>
      </c>
      <c r="D6935" s="2" t="str">
        <f ca="1">IFERROR(__xludf.DUMMYFUNCTION("""COMPUTED_VALUE"""),"Abu Dhabi&gt;Saadiyat Island&gt;Saadiyat Beach&gt;Saadiyat St Regis Residences&gt;St Regis Residences Block 6")</f>
        <v>Abu Dhabi&gt;Saadiyat Island&gt;Saadiyat Beach&gt;Saadiyat St Regis Residences&gt;St Regis Residences Block 6</v>
      </c>
      <c r="E6935" s="2"/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</row>
    <row r="6936" spans="1:26" ht="16.5" x14ac:dyDescent="0.35">
      <c r="A6936" s="2" t="str">
        <f ca="1">IFERROR(__xludf.DUMMYFUNCTION("""COMPUTED_VALUE"""),"Abu Dhabi")</f>
        <v>Abu Dhabi</v>
      </c>
      <c r="B6936" s="2" t="str">
        <f ca="1">IFERROR(__xludf.DUMMYFUNCTION("""COMPUTED_VALUE"""),"SHK Wadeema")</f>
        <v>SHK Wadeema</v>
      </c>
      <c r="C6936" s="2" t="str">
        <f ca="1">IFERROR(__xludf.DUMMYFUNCTION("""COMPUTED_VALUE"""),"Building")</f>
        <v>Building</v>
      </c>
      <c r="D6936" s="2" t="str">
        <f ca="1">IFERROR(__xludf.DUMMYFUNCTION("""COMPUTED_VALUE"""),"Abu Dhabi&gt;Al Raha Beach&gt;SHK Wadeema")</f>
        <v>Abu Dhabi&gt;Al Raha Beach&gt;SHK Wadeema</v>
      </c>
      <c r="E6936" s="2"/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</row>
    <row r="6937" spans="1:26" ht="16.5" x14ac:dyDescent="0.35">
      <c r="A6937" s="2" t="str">
        <f ca="1">IFERROR(__xludf.DUMMYFUNCTION("""COMPUTED_VALUE"""),"Abu Dhabi")</f>
        <v>Abu Dhabi</v>
      </c>
      <c r="B6937" s="2" t="str">
        <f ca="1">IFERROR(__xludf.DUMMYFUNCTION("""COMPUTED_VALUE"""),"Al Naseem")</f>
        <v>Al Naseem</v>
      </c>
      <c r="C6937" s="2" t="str">
        <f ca="1">IFERROR(__xludf.DUMMYFUNCTION("""COMPUTED_VALUE"""),"Cluster")</f>
        <v>Cluster</v>
      </c>
      <c r="D6937" s="2" t="str">
        <f ca="1">IFERROR(__xludf.DUMMYFUNCTION("""COMPUTED_VALUE"""),"Abu Dhabi&gt;Al Raha Beach&gt;Al Bandar&gt;Al Naseem")</f>
        <v>Abu Dhabi&gt;Al Raha Beach&gt;Al Bandar&gt;Al Naseem</v>
      </c>
      <c r="E6937" s="2"/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</row>
    <row r="6938" spans="1:26" ht="16.5" x14ac:dyDescent="0.35">
      <c r="A6938" s="2" t="str">
        <f ca="1">IFERROR(__xludf.DUMMYFUNCTION("""COMPUTED_VALUE"""),"Abu Dhabi")</f>
        <v>Abu Dhabi</v>
      </c>
      <c r="B6938" s="2" t="str">
        <f ca="1">IFERROR(__xludf.DUMMYFUNCTION("""COMPUTED_VALUE"""),"P-618")</f>
        <v>P-618</v>
      </c>
      <c r="C6938" s="2" t="str">
        <f ca="1">IFERROR(__xludf.DUMMYFUNCTION("""COMPUTED_VALUE"""),"Building")</f>
        <v>Building</v>
      </c>
      <c r="D6938" s="2" t="str">
        <f ca="1">IFERROR(__xludf.DUMMYFUNCTION("""COMPUTED_VALUE"""),"Abu Dhabi&gt;Al Raha Beach&gt;Al Dana&gt;P-618")</f>
        <v>Abu Dhabi&gt;Al Raha Beach&gt;Al Dana&gt;P-618</v>
      </c>
      <c r="E6938" s="2"/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</row>
    <row r="6939" spans="1:26" ht="16.5" x14ac:dyDescent="0.35">
      <c r="A6939" s="2" t="str">
        <f ca="1">IFERROR(__xludf.DUMMYFUNCTION("""COMPUTED_VALUE"""),"Abu Dhabi")</f>
        <v>Abu Dhabi</v>
      </c>
      <c r="B6939" s="2" t="str">
        <f ca="1">IFERROR(__xludf.DUMMYFUNCTION("""COMPUTED_VALUE"""),"P-693")</f>
        <v>P-693</v>
      </c>
      <c r="C6939" s="2" t="str">
        <f ca="1">IFERROR(__xludf.DUMMYFUNCTION("""COMPUTED_VALUE"""),"Building")</f>
        <v>Building</v>
      </c>
      <c r="D6939" s="2" t="str">
        <f ca="1">IFERROR(__xludf.DUMMYFUNCTION("""COMPUTED_VALUE"""),"Abu Dhabi&gt;Al Raha Beach&gt;P-693")</f>
        <v>Abu Dhabi&gt;Al Raha Beach&gt;P-693</v>
      </c>
      <c r="E6939" s="2"/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</row>
    <row r="6940" spans="1:26" ht="16.5" x14ac:dyDescent="0.35">
      <c r="A6940" s="2" t="str">
        <f ca="1">IFERROR(__xludf.DUMMYFUNCTION("""COMPUTED_VALUE"""),"Abu Dhabi")</f>
        <v>Abu Dhabi</v>
      </c>
      <c r="B6940" s="2" t="str">
        <f ca="1">IFERROR(__xludf.DUMMYFUNCTION("""COMPUTED_VALUE"""),"Habib Bank Tower")</f>
        <v>Habib Bank Tower</v>
      </c>
      <c r="C6940" s="2" t="str">
        <f ca="1">IFERROR(__xludf.DUMMYFUNCTION("""COMPUTED_VALUE"""),"Building")</f>
        <v>Building</v>
      </c>
      <c r="D6940" s="2" t="str">
        <f ca="1">IFERROR(__xludf.DUMMYFUNCTION("""COMPUTED_VALUE"""),"Abu Dhabi&gt;Al Muroor&gt;Habib Bank Tower")</f>
        <v>Abu Dhabi&gt;Al Muroor&gt;Habib Bank Tower</v>
      </c>
      <c r="E6940" s="2"/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</row>
    <row r="6941" spans="1:26" ht="16.5" x14ac:dyDescent="0.35">
      <c r="A6941" s="2" t="str">
        <f ca="1">IFERROR(__xludf.DUMMYFUNCTION("""COMPUTED_VALUE"""),"Abu Dhabi")</f>
        <v>Abu Dhabi</v>
      </c>
      <c r="B6941" s="2" t="str">
        <f ca="1">IFERROR(__xludf.DUMMYFUNCTION("""COMPUTED_VALUE"""),"Good Will Children Private School, Abu Dhabi")</f>
        <v>Good Will Children Private School, Abu Dhabi</v>
      </c>
      <c r="C6941" s="2" t="str">
        <f ca="1">IFERROR(__xludf.DUMMYFUNCTION("""COMPUTED_VALUE"""),"School")</f>
        <v>School</v>
      </c>
      <c r="D6941" s="2" t="str">
        <f ca="1">IFERROR(__xludf.DUMMYFUNCTION("""COMPUTED_VALUE"""),"Abu Dhabi&gt;Mohamed Bin Zayed City&gt;Good Will Children Private School, Abu Dhabi")</f>
        <v>Abu Dhabi&gt;Mohamed Bin Zayed City&gt;Good Will Children Private School, Abu Dhabi</v>
      </c>
      <c r="E6941" s="2"/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</row>
    <row r="6942" spans="1:26" ht="16.5" x14ac:dyDescent="0.35">
      <c r="A6942" s="2" t="str">
        <f ca="1">IFERROR(__xludf.DUMMYFUNCTION("""COMPUTED_VALUE"""),"Abu Dhabi")</f>
        <v>Abu Dhabi</v>
      </c>
      <c r="B6942" s="2" t="str">
        <f ca="1">IFERROR(__xludf.DUMMYFUNCTION("""COMPUTED_VALUE"""),"Zone 21")</f>
        <v>Zone 21</v>
      </c>
      <c r="C6942" s="2" t="str">
        <f ca="1">IFERROR(__xludf.DUMMYFUNCTION("""COMPUTED_VALUE"""),"Neighbourhood")</f>
        <v>Neighbourhood</v>
      </c>
      <c r="D6942" s="2" t="str">
        <f ca="1">IFERROR(__xludf.DUMMYFUNCTION("""COMPUTED_VALUE"""),"Abu Dhabi&gt;Mohamed Bin Zayed City&gt;Zone 21")</f>
        <v>Abu Dhabi&gt;Mohamed Bin Zayed City&gt;Zone 21</v>
      </c>
      <c r="E6942" s="2"/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</row>
    <row r="6943" spans="1:26" ht="16.5" x14ac:dyDescent="0.35">
      <c r="A6943" s="2" t="str">
        <f ca="1">IFERROR(__xludf.DUMMYFUNCTION("""COMPUTED_VALUE"""),"Abu Dhabi")</f>
        <v>Abu Dhabi</v>
      </c>
      <c r="B6943" s="2" t="str">
        <f ca="1">IFERROR(__xludf.DUMMYFUNCTION("""COMPUTED_VALUE"""),"Maple Bear Nursery Al Reef")</f>
        <v>Maple Bear Nursery Al Reef</v>
      </c>
      <c r="C6943" s="2" t="str">
        <f ca="1">IFERROR(__xludf.DUMMYFUNCTION("""COMPUTED_VALUE"""),"Nursery")</f>
        <v>Nursery</v>
      </c>
      <c r="D6943" s="2" t="str">
        <f ca="1">IFERROR(__xludf.DUMMYFUNCTION("""COMPUTED_VALUE"""),"Abu Dhabi&gt;Al Reef&gt;Maple Bear Nursery Al Reef")</f>
        <v>Abu Dhabi&gt;Al Reef&gt;Maple Bear Nursery Al Reef</v>
      </c>
      <c r="E6943" s="2"/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</row>
    <row r="6944" spans="1:26" ht="16.5" x14ac:dyDescent="0.35">
      <c r="A6944" s="2" t="str">
        <f ca="1">IFERROR(__xludf.DUMMYFUNCTION("""COMPUTED_VALUE"""),"Abu Dhabi")</f>
        <v>Abu Dhabi</v>
      </c>
      <c r="B6944" s="2" t="str">
        <f ca="1">IFERROR(__xludf.DUMMYFUNCTION("""COMPUTED_VALUE"""),"Building 12")</f>
        <v>Building 12</v>
      </c>
      <c r="C6944" s="2" t="str">
        <f ca="1">IFERROR(__xludf.DUMMYFUNCTION("""COMPUTED_VALUE"""),"Building")</f>
        <v>Building</v>
      </c>
      <c r="D6944" s="2" t="str">
        <f ca="1">IFERROR(__xludf.DUMMYFUNCTION("""COMPUTED_VALUE"""),"Abu Dhabi&gt;Al Reef&gt;Al Reef Downtown&gt;Building 12")</f>
        <v>Abu Dhabi&gt;Al Reef&gt;Al Reef Downtown&gt;Building 12</v>
      </c>
      <c r="E6944" s="2"/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</row>
    <row r="6945" spans="1:26" ht="16.5" x14ac:dyDescent="0.35">
      <c r="A6945" s="2" t="str">
        <f ca="1">IFERROR(__xludf.DUMMYFUNCTION("""COMPUTED_VALUE"""),"Abu Dhabi")</f>
        <v>Abu Dhabi</v>
      </c>
      <c r="B6945" s="2" t="str">
        <f ca="1">IFERROR(__xludf.DUMMYFUNCTION("""COMPUTED_VALUE"""),"Zone 9")</f>
        <v>Zone 9</v>
      </c>
      <c r="C6945" s="2" t="str">
        <f ca="1">IFERROR(__xludf.DUMMYFUNCTION("""COMPUTED_VALUE"""),"Neighbourhood")</f>
        <v>Neighbourhood</v>
      </c>
      <c r="D6945" s="2" t="str">
        <f ca="1">IFERROR(__xludf.DUMMYFUNCTION("""COMPUTED_VALUE"""),"Abu Dhabi&gt;Hydra Village&gt;Zone 9")</f>
        <v>Abu Dhabi&gt;Hydra Village&gt;Zone 9</v>
      </c>
      <c r="E6945" s="2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</row>
    <row r="6946" spans="1:26" ht="16.5" x14ac:dyDescent="0.35">
      <c r="A6946" s="2" t="str">
        <f ca="1">IFERROR(__xludf.DUMMYFUNCTION("""COMPUTED_VALUE"""),"Abu Dhabi")</f>
        <v>Abu Dhabi</v>
      </c>
      <c r="B6946" s="2" t="str">
        <f ca="1">IFERROR(__xludf.DUMMYFUNCTION("""COMPUTED_VALUE"""),"Capital Centre")</f>
        <v>Capital Centre</v>
      </c>
      <c r="C6946" s="2" t="str">
        <f ca="1">IFERROR(__xludf.DUMMYFUNCTION("""COMPUTED_VALUE"""),"Neighbourhood")</f>
        <v>Neighbourhood</v>
      </c>
      <c r="D6946" s="2" t="str">
        <f ca="1">IFERROR(__xludf.DUMMYFUNCTION("""COMPUTED_VALUE"""),"Abu Dhabi&gt;Capital Centre")</f>
        <v>Abu Dhabi&gt;Capital Centre</v>
      </c>
      <c r="E6946" s="2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</row>
    <row r="6947" spans="1:26" ht="16.5" x14ac:dyDescent="0.35">
      <c r="A6947" s="2" t="str">
        <f ca="1">IFERROR(__xludf.DUMMYFUNCTION("""COMPUTED_VALUE"""),"Abu Dhabi")</f>
        <v>Abu Dhabi</v>
      </c>
      <c r="B6947" s="2" t="str">
        <f ca="1">IFERROR(__xludf.DUMMYFUNCTION("""COMPUTED_VALUE"""),"Bayn by Ora")</f>
        <v>Bayn by Ora</v>
      </c>
      <c r="C6947" s="2" t="str">
        <f ca="1">IFERROR(__xludf.DUMMYFUNCTION("""COMPUTED_VALUE"""),"Neighbourhood")</f>
        <v>Neighbourhood</v>
      </c>
      <c r="D6947" s="2" t="str">
        <f ca="1">IFERROR(__xludf.DUMMYFUNCTION("""COMPUTED_VALUE"""),"Abu Dhabi&gt;Ghantoot&gt;Bayn by Ora")</f>
        <v>Abu Dhabi&gt;Ghantoot&gt;Bayn by Ora</v>
      </c>
      <c r="E6947" s="2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</row>
    <row r="6948" spans="1:26" ht="16.5" x14ac:dyDescent="0.35">
      <c r="A6948" s="2" t="str">
        <f ca="1">IFERROR(__xludf.DUMMYFUNCTION("""COMPUTED_VALUE"""),"Abu Dhabi")</f>
        <v>Abu Dhabi</v>
      </c>
      <c r="B6948" s="2" t="str">
        <f ca="1">IFERROR(__xludf.DUMMYFUNCTION("""COMPUTED_VALUE"""),"Mayan 4")</f>
        <v>Mayan 4</v>
      </c>
      <c r="C6948" s="2" t="str">
        <f ca="1">IFERROR(__xludf.DUMMYFUNCTION("""COMPUTED_VALUE"""),"Building")</f>
        <v>Building</v>
      </c>
      <c r="D6948" s="2" t="str">
        <f ca="1">IFERROR(__xludf.DUMMYFUNCTION("""COMPUTED_VALUE"""),"Abu Dhabi&gt;Yas Island&gt;Mayan&gt;Mayan 4")</f>
        <v>Abu Dhabi&gt;Yas Island&gt;Mayan&gt;Mayan 4</v>
      </c>
      <c r="E6948" s="2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</row>
    <row r="6949" spans="1:26" ht="16.5" x14ac:dyDescent="0.35">
      <c r="A6949" s="2" t="str">
        <f ca="1">IFERROR(__xludf.DUMMYFUNCTION("""COMPUTED_VALUE"""),"Abu Dhabi")</f>
        <v>Abu Dhabi</v>
      </c>
      <c r="B6949" s="2" t="str">
        <f ca="1">IFERROR(__xludf.DUMMYFUNCTION("""COMPUTED_VALUE"""),"Sea La Vie Tower 3")</f>
        <v>Sea La Vie Tower 3</v>
      </c>
      <c r="C6949" s="2" t="str">
        <f ca="1">IFERROR(__xludf.DUMMYFUNCTION("""COMPUTED_VALUE"""),"Building")</f>
        <v>Building</v>
      </c>
      <c r="D6949" s="2" t="str">
        <f ca="1">IFERROR(__xludf.DUMMYFUNCTION("""COMPUTED_VALUE"""),"Abu Dhabi&gt;Yas Island&gt;Sea La Vie&gt;Sea La Vie Tower 3")</f>
        <v>Abu Dhabi&gt;Yas Island&gt;Sea La Vie&gt;Sea La Vie Tower 3</v>
      </c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</row>
    <row r="6950" spans="1:26" ht="16.5" x14ac:dyDescent="0.35">
      <c r="A6950" s="2" t="str">
        <f ca="1">IFERROR(__xludf.DUMMYFUNCTION("""COMPUTED_VALUE"""),"Abu Dhabi")</f>
        <v>Abu Dhabi</v>
      </c>
      <c r="B6950" s="2" t="str">
        <f ca="1">IFERROR(__xludf.DUMMYFUNCTION("""COMPUTED_VALUE"""),"Al Adlah")</f>
        <v>Al Adlah</v>
      </c>
      <c r="C6950" s="2" t="str">
        <f ca="1">IFERROR(__xludf.DUMMYFUNCTION("""COMPUTED_VALUE"""),"Neighbourhood")</f>
        <v>Neighbourhood</v>
      </c>
      <c r="D6950" s="2" t="str">
        <f ca="1">IFERROR(__xludf.DUMMYFUNCTION("""COMPUTED_VALUE"""),"Abu Dhabi&gt;Al Adlah")</f>
        <v>Abu Dhabi&gt;Al Adlah</v>
      </c>
      <c r="E6950" s="2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</row>
    <row r="6951" spans="1:26" ht="16.5" x14ac:dyDescent="0.35">
      <c r="A6951" s="2" t="str">
        <f ca="1">IFERROR(__xludf.DUMMYFUNCTION("""COMPUTED_VALUE"""),"Ajman")</f>
        <v>Ajman</v>
      </c>
      <c r="B6951" s="2" t="str">
        <f ca="1">IFERROR(__xludf.DUMMYFUNCTION("""COMPUTED_VALUE"""),"Al Amerah")</f>
        <v>Al Amerah</v>
      </c>
      <c r="C6951" s="2" t="str">
        <f ca="1">IFERROR(__xludf.DUMMYFUNCTION("""COMPUTED_VALUE"""),"Neighbourhood")</f>
        <v>Neighbourhood</v>
      </c>
      <c r="D6951" s="2" t="str">
        <f ca="1">IFERROR(__xludf.DUMMYFUNCTION("""COMPUTED_VALUE"""),"Ajman&gt;Al Amerah")</f>
        <v>Ajman&gt;Al Amerah</v>
      </c>
      <c r="E6951" s="2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</row>
    <row r="6952" spans="1:26" ht="16.5" x14ac:dyDescent="0.35">
      <c r="A6952" s="2" t="str">
        <f ca="1">IFERROR(__xludf.DUMMYFUNCTION("""COMPUTED_VALUE"""),"Ajman")</f>
        <v>Ajman</v>
      </c>
      <c r="B6952" s="2" t="str">
        <f ca="1">IFERROR(__xludf.DUMMYFUNCTION("""COMPUTED_VALUE"""),"Paradise Lakes B5")</f>
        <v>Paradise Lakes B5</v>
      </c>
      <c r="C6952" s="2" t="str">
        <f ca="1">IFERROR(__xludf.DUMMYFUNCTION("""COMPUTED_VALUE"""),"Building")</f>
        <v>Building</v>
      </c>
      <c r="D6952" s="2" t="str">
        <f ca="1">IFERROR(__xludf.DUMMYFUNCTION("""COMPUTED_VALUE"""),"Ajman&gt;Emirates City&gt;Paradise Lakes&gt;Paradise Lakes B5")</f>
        <v>Ajman&gt;Emirates City&gt;Paradise Lakes&gt;Paradise Lakes B5</v>
      </c>
      <c r="E6952" s="2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</row>
    <row r="6953" spans="1:26" ht="16.5" x14ac:dyDescent="0.35">
      <c r="A6953" s="2" t="str">
        <f ca="1">IFERROR(__xludf.DUMMYFUNCTION("""COMPUTED_VALUE"""),"Ajman")</f>
        <v>Ajman</v>
      </c>
      <c r="B6953" s="2" t="str">
        <f ca="1">IFERROR(__xludf.DUMMYFUNCTION("""COMPUTED_VALUE"""),"Chapal The Glory")</f>
        <v>Chapal The Glory</v>
      </c>
      <c r="C6953" s="2" t="str">
        <f ca="1">IFERROR(__xludf.DUMMYFUNCTION("""COMPUTED_VALUE"""),"Building")</f>
        <v>Building</v>
      </c>
      <c r="D6953" s="2" t="str">
        <f ca="1">IFERROR(__xludf.DUMMYFUNCTION("""COMPUTED_VALUE"""),"Ajman&gt;Emirates City&gt;Chapal The Glory")</f>
        <v>Ajman&gt;Emirates City&gt;Chapal The Glory</v>
      </c>
      <c r="E6953" s="2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</row>
    <row r="6954" spans="1:26" ht="16.5" x14ac:dyDescent="0.35">
      <c r="A6954" s="2" t="str">
        <f ca="1">IFERROR(__xludf.DUMMYFUNCTION("""COMPUTED_VALUE"""),"Ajman")</f>
        <v>Ajman</v>
      </c>
      <c r="B6954" s="2" t="str">
        <f ca="1">IFERROR(__xludf.DUMMYFUNCTION("""COMPUTED_VALUE"""),"Ajman Modern School")</f>
        <v>Ajman Modern School</v>
      </c>
      <c r="C6954" s="2" t="str">
        <f ca="1">IFERROR(__xludf.DUMMYFUNCTION("""COMPUTED_VALUE"""),"School")</f>
        <v>School</v>
      </c>
      <c r="D6954" s="2" t="str">
        <f ca="1">IFERROR(__xludf.DUMMYFUNCTION("""COMPUTED_VALUE"""),"Ajman&gt;Al Jurf&gt;Al Jurf 2&gt;Ajman Modern School")</f>
        <v>Ajman&gt;Al Jurf&gt;Al Jurf 2&gt;Ajman Modern School</v>
      </c>
      <c r="E6954" s="2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</row>
    <row r="6955" spans="1:26" ht="16.5" x14ac:dyDescent="0.35">
      <c r="A6955" s="2" t="str">
        <f ca="1">IFERROR(__xludf.DUMMYFUNCTION("""COMPUTED_VALUE"""),"Ajman")</f>
        <v>Ajman</v>
      </c>
      <c r="B6955" s="2" t="str">
        <f ca="1">IFERROR(__xludf.DUMMYFUNCTION("""COMPUTED_VALUE"""),"Ajman Pearl Towers")</f>
        <v>Ajman Pearl Towers</v>
      </c>
      <c r="C6955" s="2"/>
      <c r="D6955" s="2" t="str">
        <f ca="1">IFERROR(__xludf.DUMMYFUNCTION("""COMPUTED_VALUE"""),"Ajman&gt;Ajman Downtown&gt;Ajman Pearl Towers")</f>
        <v>Ajman&gt;Ajman Downtown&gt;Ajman Pearl Towers</v>
      </c>
      <c r="E6955" s="2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</row>
    <row r="6956" spans="1:26" ht="16.5" x14ac:dyDescent="0.35">
      <c r="A6956" s="2" t="str">
        <f ca="1">IFERROR(__xludf.DUMMYFUNCTION("""COMPUTED_VALUE"""),"Ajman")</f>
        <v>Ajman</v>
      </c>
      <c r="B6956" s="2" t="str">
        <f ca="1">IFERROR(__xludf.DUMMYFUNCTION("""COMPUTED_VALUE"""),"Oasis Tower 3")</f>
        <v>Oasis Tower 3</v>
      </c>
      <c r="C6956" s="2" t="str">
        <f ca="1">IFERROR(__xludf.DUMMYFUNCTION("""COMPUTED_VALUE"""),"Building")</f>
        <v>Building</v>
      </c>
      <c r="D6956" s="2" t="str">
        <f ca="1">IFERROR(__xludf.DUMMYFUNCTION("""COMPUTED_VALUE"""),"Ajman&gt;Al Rashidiya&gt;Al Rashidiya 1&gt;Oasis Towers&gt;Oasis Tower 3")</f>
        <v>Ajman&gt;Al Rashidiya&gt;Al Rashidiya 1&gt;Oasis Towers&gt;Oasis Tower 3</v>
      </c>
      <c r="E6956" s="2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</row>
    <row r="6957" spans="1:26" ht="16.5" x14ac:dyDescent="0.35">
      <c r="A6957" s="2" t="str">
        <f ca="1">IFERROR(__xludf.DUMMYFUNCTION("""COMPUTED_VALUE"""),"Ajman")</f>
        <v>Ajman</v>
      </c>
      <c r="B6957" s="2" t="str">
        <f ca="1">IFERROR(__xludf.DUMMYFUNCTION("""COMPUTED_VALUE"""),"Ajman One Tower 6")</f>
        <v>Ajman One Tower 6</v>
      </c>
      <c r="C6957" s="2"/>
      <c r="D6957" s="2" t="str">
        <f ca="1">IFERROR(__xludf.DUMMYFUNCTION("""COMPUTED_VALUE"""),"Ajman&gt;Al Rashidiya&gt;Al Rashidiya 3&gt;Ajman One Towers&gt;Ajman One Tower 6")</f>
        <v>Ajman&gt;Al Rashidiya&gt;Al Rashidiya 3&gt;Ajman One Towers&gt;Ajman One Tower 6</v>
      </c>
      <c r="E6957" s="2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</row>
    <row r="6958" spans="1:26" ht="16.5" x14ac:dyDescent="0.35">
      <c r="A6958" s="2" t="str">
        <f ca="1">IFERROR(__xludf.DUMMYFUNCTION("""COMPUTED_VALUE"""),"Ajman")</f>
        <v>Ajman</v>
      </c>
      <c r="B6958" s="2" t="str">
        <f ca="1">IFERROR(__xludf.DUMMYFUNCTION("""COMPUTED_VALUE"""),"Qudrat Building")</f>
        <v>Qudrat Building</v>
      </c>
      <c r="C6958" s="2"/>
      <c r="D6958" s="2" t="str">
        <f ca="1">IFERROR(__xludf.DUMMYFUNCTION("""COMPUTED_VALUE"""),"Ajman&gt;Al Mowaihat&gt;Al Mowaihat 3&gt;Qudrat Building")</f>
        <v>Ajman&gt;Al Mowaihat&gt;Al Mowaihat 3&gt;Qudrat Building</v>
      </c>
      <c r="E6958" s="2"/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</row>
    <row r="6959" spans="1:26" ht="16.5" x14ac:dyDescent="0.35">
      <c r="A6959" s="2" t="str">
        <f ca="1">IFERROR(__xludf.DUMMYFUNCTION("""COMPUTED_VALUE"""),"Ajman")</f>
        <v>Ajman</v>
      </c>
      <c r="B6959" s="2" t="str">
        <f ca="1">IFERROR(__xludf.DUMMYFUNCTION("""COMPUTED_VALUE"""),"Al Hamidiya 1")</f>
        <v>Al Hamidiya 1</v>
      </c>
      <c r="C6959" s="2" t="str">
        <f ca="1">IFERROR(__xludf.DUMMYFUNCTION("""COMPUTED_VALUE"""),"Neighbourhood")</f>
        <v>Neighbourhood</v>
      </c>
      <c r="D6959" s="2" t="str">
        <f ca="1">IFERROR(__xludf.DUMMYFUNCTION("""COMPUTED_VALUE"""),"Ajman&gt;Al Hamidiyah&gt;Al Hamidiya 1")</f>
        <v>Ajman&gt;Al Hamidiyah&gt;Al Hamidiya 1</v>
      </c>
      <c r="E6959" s="2"/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</row>
    <row r="6960" spans="1:26" ht="16.5" x14ac:dyDescent="0.35">
      <c r="A6960" s="2" t="str">
        <f ca="1">IFERROR(__xludf.DUMMYFUNCTION("""COMPUTED_VALUE"""),"Ajman")</f>
        <v>Ajman</v>
      </c>
      <c r="B6960" s="2" t="str">
        <f ca="1">IFERROR(__xludf.DUMMYFUNCTION("""COMPUTED_VALUE"""),"Al Alia")</f>
        <v>Al Alia</v>
      </c>
      <c r="C6960" s="2" t="str">
        <f ca="1">IFERROR(__xludf.DUMMYFUNCTION("""COMPUTED_VALUE"""),"Neighbourhood")</f>
        <v>Neighbourhood</v>
      </c>
      <c r="D6960" s="2" t="str">
        <f ca="1">IFERROR(__xludf.DUMMYFUNCTION("""COMPUTED_VALUE"""),"Ajman&gt;Al Alia")</f>
        <v>Ajman&gt;Al Alia</v>
      </c>
      <c r="E6960" s="2"/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</row>
    <row r="6961" spans="1:26" ht="16.5" x14ac:dyDescent="0.35">
      <c r="A6961" s="2" t="str">
        <f ca="1">IFERROR(__xludf.DUMMYFUNCTION("""COMPUTED_VALUE"""),"Ajman")</f>
        <v>Ajman</v>
      </c>
      <c r="B6961" s="2" t="str">
        <f ca="1">IFERROR(__xludf.DUMMYFUNCTION("""COMPUTED_VALUE"""),"Geepas Building 1")</f>
        <v>Geepas Building 1</v>
      </c>
      <c r="C6961" s="2" t="str">
        <f ca="1">IFERROR(__xludf.DUMMYFUNCTION("""COMPUTED_VALUE"""),"Building")</f>
        <v>Building</v>
      </c>
      <c r="D6961" s="2" t="str">
        <f ca="1">IFERROR(__xludf.DUMMYFUNCTION("""COMPUTED_VALUE"""),"Ajman&gt;Al Nakhil&gt;Geepas Building 1")</f>
        <v>Ajman&gt;Al Nakhil&gt;Geepas Building 1</v>
      </c>
      <c r="E6961" s="2"/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</row>
    <row r="6962" spans="1:26" ht="16.5" x14ac:dyDescent="0.35">
      <c r="A6962" s="2" t="str">
        <f ca="1">IFERROR(__xludf.DUMMYFUNCTION("""COMPUTED_VALUE"""),"Ajman")</f>
        <v>Ajman</v>
      </c>
      <c r="B6962" s="2" t="str">
        <f ca="1">IFERROR(__xludf.DUMMYFUNCTION("""COMPUTED_VALUE"""),"Etihad Tower")</f>
        <v>Etihad Tower</v>
      </c>
      <c r="C6962" s="2" t="str">
        <f ca="1">IFERROR(__xludf.DUMMYFUNCTION("""COMPUTED_VALUE"""),"Building")</f>
        <v>Building</v>
      </c>
      <c r="D6962" s="2" t="str">
        <f ca="1">IFERROR(__xludf.DUMMYFUNCTION("""COMPUTED_VALUE"""),"Ajman&gt;Al Owan&gt;Etihad Tower")</f>
        <v>Ajman&gt;Al Owan&gt;Etihad Tower</v>
      </c>
      <c r="E6962" s="2"/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</row>
    <row r="6963" spans="1:26" ht="16.5" x14ac:dyDescent="0.35">
      <c r="A6963" s="2" t="str">
        <f ca="1">IFERROR(__xludf.DUMMYFUNCTION("""COMPUTED_VALUE"""),"Ajman")</f>
        <v>Ajman</v>
      </c>
      <c r="B6963" s="2" t="str">
        <f ca="1">IFERROR(__xludf.DUMMYFUNCTION("""COMPUTED_VALUE"""),"Palm 2 Time Residence")</f>
        <v>Palm 2 Time Residence</v>
      </c>
      <c r="C6963" s="2" t="str">
        <f ca="1">IFERROR(__xludf.DUMMYFUNCTION("""COMPUTED_VALUE"""),"Building")</f>
        <v>Building</v>
      </c>
      <c r="D6963" s="2" t="str">
        <f ca="1">IFERROR(__xludf.DUMMYFUNCTION("""COMPUTED_VALUE"""),"Ajman&gt;Al Nuaimiya&gt;Al Nuaimiya 1&gt;Palm 2 Time Residence")</f>
        <v>Ajman&gt;Al Nuaimiya&gt;Al Nuaimiya 1&gt;Palm 2 Time Residence</v>
      </c>
      <c r="E6963" s="2"/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</row>
    <row r="6964" spans="1:26" ht="16.5" x14ac:dyDescent="0.35">
      <c r="A6964" s="2" t="str">
        <f ca="1">IFERROR(__xludf.DUMMYFUNCTION("""COMPUTED_VALUE"""),"Ajman")</f>
        <v>Ajman</v>
      </c>
      <c r="B6964" s="2" t="str">
        <f ca="1">IFERROR(__xludf.DUMMYFUNCTION("""COMPUTED_VALUE"""),"The Cavendish Apartments")</f>
        <v>The Cavendish Apartments</v>
      </c>
      <c r="C6964" s="2" t="str">
        <f ca="1">IFERROR(__xludf.DUMMYFUNCTION("""COMPUTED_VALUE"""),"Building")</f>
        <v>Building</v>
      </c>
      <c r="D6964" s="2" t="str">
        <f ca="1">IFERROR(__xludf.DUMMYFUNCTION("""COMPUTED_VALUE"""),"Ajman&gt;Awali City&gt;The Cavendish Apartments")</f>
        <v>Ajman&gt;Awali City&gt;The Cavendish Apartments</v>
      </c>
      <c r="E6964" s="2"/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</row>
    <row r="6965" spans="1:26" ht="16.5" x14ac:dyDescent="0.35">
      <c r="A6965" s="2" t="str">
        <f ca="1">IFERROR(__xludf.DUMMYFUNCTION("""COMPUTED_VALUE"""),"Sharjah")</f>
        <v>Sharjah</v>
      </c>
      <c r="B6965" s="2" t="str">
        <f ca="1">IFERROR(__xludf.DUMMYFUNCTION("""COMPUTED_VALUE"""),"Al Yarmook")</f>
        <v>Al Yarmook</v>
      </c>
      <c r="C6965" s="2" t="str">
        <f ca="1">IFERROR(__xludf.DUMMYFUNCTION("""COMPUTED_VALUE"""),"Building")</f>
        <v>Building</v>
      </c>
      <c r="D6965" s="2" t="str">
        <f ca="1">IFERROR(__xludf.DUMMYFUNCTION("""COMPUTED_VALUE"""),"Sharjah&gt;Al Nahda (Sharjah)&gt;Al Yarmook")</f>
        <v>Sharjah&gt;Al Nahda (Sharjah)&gt;Al Yarmook</v>
      </c>
      <c r="E6965" s="2"/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</row>
    <row r="6966" spans="1:26" ht="16.5" x14ac:dyDescent="0.35">
      <c r="A6966" s="2" t="str">
        <f ca="1">IFERROR(__xludf.DUMMYFUNCTION("""COMPUTED_VALUE"""),"Sharjah")</f>
        <v>Sharjah</v>
      </c>
      <c r="B6966" s="2" t="str">
        <f ca="1">IFERROR(__xludf.DUMMYFUNCTION("""COMPUTED_VALUE"""),"Al Nahda Towers")</f>
        <v>Al Nahda Towers</v>
      </c>
      <c r="C6966" s="2"/>
      <c r="D6966" s="2" t="str">
        <f ca="1">IFERROR(__xludf.DUMMYFUNCTION("""COMPUTED_VALUE"""),"Sharjah&gt;Al Nahda (Sharjah)&gt;Al Nahda Towers")</f>
        <v>Sharjah&gt;Al Nahda (Sharjah)&gt;Al Nahda Towers</v>
      </c>
      <c r="E6966" s="2"/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</row>
    <row r="6967" spans="1:26" ht="16.5" x14ac:dyDescent="0.35">
      <c r="A6967" s="2" t="str">
        <f ca="1">IFERROR(__xludf.DUMMYFUNCTION("""COMPUTED_VALUE"""),"Sharjah")</f>
        <v>Sharjah</v>
      </c>
      <c r="B6967" s="2" t="str">
        <f ca="1">IFERROR(__xludf.DUMMYFUNCTION("""COMPUTED_VALUE"""),"Al Roda Tower 2")</f>
        <v>Al Roda Tower 2</v>
      </c>
      <c r="C6967" s="2"/>
      <c r="D6967" s="2" t="str">
        <f ca="1">IFERROR(__xludf.DUMMYFUNCTION("""COMPUTED_VALUE"""),"Sharjah&gt;Al Nahda (Sharjah)&gt;Al Roda Tower 2")</f>
        <v>Sharjah&gt;Al Nahda (Sharjah)&gt;Al Roda Tower 2</v>
      </c>
      <c r="E6967" s="2"/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</row>
    <row r="6968" spans="1:26" ht="16.5" x14ac:dyDescent="0.35">
      <c r="A6968" s="2" t="str">
        <f ca="1">IFERROR(__xludf.DUMMYFUNCTION("""COMPUTED_VALUE"""),"Sharjah")</f>
        <v>Sharjah</v>
      </c>
      <c r="B6968" s="2" t="str">
        <f ca="1">IFERROR(__xludf.DUMMYFUNCTION("""COMPUTED_VALUE"""),"Pavalion")</f>
        <v>Pavalion</v>
      </c>
      <c r="C6968" s="2"/>
      <c r="D6968" s="2" t="str">
        <f ca="1">IFERROR(__xludf.DUMMYFUNCTION("""COMPUTED_VALUE"""),"Sharjah&gt;Al Nahda (Sharjah)&gt;Pavalion")</f>
        <v>Sharjah&gt;Al Nahda (Sharjah)&gt;Pavalion</v>
      </c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</row>
    <row r="6969" spans="1:26" ht="16.5" x14ac:dyDescent="0.35">
      <c r="A6969" s="2" t="str">
        <f ca="1">IFERROR(__xludf.DUMMYFUNCTION("""COMPUTED_VALUE"""),"Sharjah")</f>
        <v>Sharjah</v>
      </c>
      <c r="B6969" s="2" t="str">
        <f ca="1">IFERROR(__xludf.DUMMYFUNCTION("""COMPUTED_VALUE"""),"Delta Tower")</f>
        <v>Delta Tower</v>
      </c>
      <c r="C6969" s="2" t="str">
        <f ca="1">IFERROR(__xludf.DUMMYFUNCTION("""COMPUTED_VALUE"""),"Building")</f>
        <v>Building</v>
      </c>
      <c r="D6969" s="2" t="str">
        <f ca="1">IFERROR(__xludf.DUMMYFUNCTION("""COMPUTED_VALUE"""),"Sharjah&gt;Al Nahda (Sharjah)&gt;Delta Tower")</f>
        <v>Sharjah&gt;Al Nahda (Sharjah)&gt;Delta Tower</v>
      </c>
      <c r="E6969" s="2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</row>
    <row r="6970" spans="1:26" ht="16.5" x14ac:dyDescent="0.35">
      <c r="A6970" s="2" t="str">
        <f ca="1">IFERROR(__xludf.DUMMYFUNCTION("""COMPUTED_VALUE"""),"Sharjah")</f>
        <v>Sharjah</v>
      </c>
      <c r="B6970" s="2" t="str">
        <f ca="1">IFERROR(__xludf.DUMMYFUNCTION("""COMPUTED_VALUE"""),"Misk 2")</f>
        <v>Misk 2</v>
      </c>
      <c r="C6970" s="2" t="str">
        <f ca="1">IFERROR(__xludf.DUMMYFUNCTION("""COMPUTED_VALUE"""),"Building")</f>
        <v>Building</v>
      </c>
      <c r="D6970" s="2" t="str">
        <f ca="1">IFERROR(__xludf.DUMMYFUNCTION("""COMPUTED_VALUE"""),"Sharjah&gt;Aljada&gt;Misk Apartments&gt;Misk 2")</f>
        <v>Sharjah&gt;Aljada&gt;Misk Apartments&gt;Misk 2</v>
      </c>
      <c r="E6970" s="2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</row>
    <row r="6971" spans="1:26" ht="16.5" x14ac:dyDescent="0.35">
      <c r="A6971" s="2" t="str">
        <f ca="1">IFERROR(__xludf.DUMMYFUNCTION("""COMPUTED_VALUE"""),"Sharjah")</f>
        <v>Sharjah</v>
      </c>
      <c r="B6971" s="2" t="str">
        <f ca="1">IFERROR(__xludf.DUMMYFUNCTION("""COMPUTED_VALUE"""),"The Boulevard")</f>
        <v>The Boulevard</v>
      </c>
      <c r="C6971" s="2" t="str">
        <f ca="1">IFERROR(__xludf.DUMMYFUNCTION("""COMPUTED_VALUE"""),"Cluster")</f>
        <v>Cluster</v>
      </c>
      <c r="D6971" s="2" t="str">
        <f ca="1">IFERROR(__xludf.DUMMYFUNCTION("""COMPUTED_VALUE"""),"Sharjah&gt;Aljada&gt;Naseej District&gt;The Boulevard")</f>
        <v>Sharjah&gt;Aljada&gt;Naseej District&gt;The Boulevard</v>
      </c>
      <c r="E6971" s="2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</row>
    <row r="6972" spans="1:26" ht="16.5" x14ac:dyDescent="0.35">
      <c r="A6972" s="2" t="str">
        <f ca="1">IFERROR(__xludf.DUMMYFUNCTION("""COMPUTED_VALUE"""),"Sharjah")</f>
        <v>Sharjah</v>
      </c>
      <c r="B6972" s="2" t="str">
        <f ca="1">IFERROR(__xludf.DUMMYFUNCTION("""COMPUTED_VALUE"""),"Nasaq 6")</f>
        <v>Nasaq 6</v>
      </c>
      <c r="C6972" s="2" t="str">
        <f ca="1">IFERROR(__xludf.DUMMYFUNCTION("""COMPUTED_VALUE"""),"Building")</f>
        <v>Building</v>
      </c>
      <c r="D6972" s="2" t="str">
        <f ca="1">IFERROR(__xludf.DUMMYFUNCTION("""COMPUTED_VALUE"""),"Sharjah&gt;Aljada&gt;Nasaq&gt;Nasaq 6")</f>
        <v>Sharjah&gt;Aljada&gt;Nasaq&gt;Nasaq 6</v>
      </c>
      <c r="E6972" s="2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</row>
    <row r="6973" spans="1:26" ht="16.5" x14ac:dyDescent="0.35">
      <c r="A6973" s="2" t="str">
        <f ca="1">IFERROR(__xludf.DUMMYFUNCTION("""COMPUTED_VALUE"""),"Sharjah")</f>
        <v>Sharjah</v>
      </c>
      <c r="B6973" s="2" t="str">
        <f ca="1">IFERROR(__xludf.DUMMYFUNCTION("""COMPUTED_VALUE"""),"Rodhat Al Qrt")</f>
        <v>Rodhat Al Qrt</v>
      </c>
      <c r="C6973" s="2" t="str">
        <f ca="1">IFERROR(__xludf.DUMMYFUNCTION("""COMPUTED_VALUE"""),"Neighbourhood")</f>
        <v>Neighbourhood</v>
      </c>
      <c r="D6973" s="2" t="str">
        <f ca="1">IFERROR(__xludf.DUMMYFUNCTION("""COMPUTED_VALUE"""),"Sharjah&gt;Rodhat Al Qrt")</f>
        <v>Sharjah&gt;Rodhat Al Qrt</v>
      </c>
      <c r="E6973" s="2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</row>
    <row r="6974" spans="1:26" ht="16.5" x14ac:dyDescent="0.35">
      <c r="A6974" s="2" t="str">
        <f ca="1">IFERROR(__xludf.DUMMYFUNCTION("""COMPUTED_VALUE"""),"Sharjah")</f>
        <v>Sharjah</v>
      </c>
      <c r="B6974" s="2" t="str">
        <f ca="1">IFERROR(__xludf.DUMMYFUNCTION("""COMPUTED_VALUE"""),"Al Marwa 2 Building")</f>
        <v>Al Marwa 2 Building</v>
      </c>
      <c r="C6974" s="2"/>
      <c r="D6974" s="2" t="str">
        <f ca="1">IFERROR(__xludf.DUMMYFUNCTION("""COMPUTED_VALUE"""),"Sharjah&gt;Abu Shagara&gt;Al Marwa 2 Building")</f>
        <v>Sharjah&gt;Abu Shagara&gt;Al Marwa 2 Building</v>
      </c>
      <c r="E6974" s="2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</row>
    <row r="6975" spans="1:26" ht="16.5" x14ac:dyDescent="0.35">
      <c r="A6975" s="2" t="str">
        <f ca="1">IFERROR(__xludf.DUMMYFUNCTION("""COMPUTED_VALUE"""),"Sharjah")</f>
        <v>Sharjah</v>
      </c>
      <c r="B6975" s="2" t="str">
        <f ca="1">IFERROR(__xludf.DUMMYFUNCTION("""COMPUTED_VALUE"""),"Sunset Tower")</f>
        <v>Sunset Tower</v>
      </c>
      <c r="C6975" s="2" t="str">
        <f ca="1">IFERROR(__xludf.DUMMYFUNCTION("""COMPUTED_VALUE"""),"Building")</f>
        <v>Building</v>
      </c>
      <c r="D6975" s="2" t="str">
        <f ca="1">IFERROR(__xludf.DUMMYFUNCTION("""COMPUTED_VALUE"""),"Sharjah&gt;Al Mamzar&gt;Sunset Tower")</f>
        <v>Sharjah&gt;Al Mamzar&gt;Sunset Tower</v>
      </c>
      <c r="E6975" s="2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</row>
    <row r="6976" spans="1:26" ht="16.5" x14ac:dyDescent="0.35">
      <c r="A6976" s="2" t="str">
        <f ca="1">IFERROR(__xludf.DUMMYFUNCTION("""COMPUTED_VALUE"""),"Sharjah")</f>
        <v>Sharjah</v>
      </c>
      <c r="B6976" s="2" t="str">
        <f ca="1">IFERROR(__xludf.DUMMYFUNCTION("""COMPUTED_VALUE"""),"Al Ramla West")</f>
        <v>Al Ramla West</v>
      </c>
      <c r="C6976" s="2"/>
      <c r="D6976" s="2" t="str">
        <f ca="1">IFERROR(__xludf.DUMMYFUNCTION("""COMPUTED_VALUE"""),"Sharjah&gt;Al Ramla&gt;Al Ramla West")</f>
        <v>Sharjah&gt;Al Ramla&gt;Al Ramla West</v>
      </c>
      <c r="E6976" s="2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</row>
    <row r="6977" spans="1:26" ht="16.5" x14ac:dyDescent="0.35">
      <c r="A6977" s="2" t="str">
        <f ca="1">IFERROR(__xludf.DUMMYFUNCTION("""COMPUTED_VALUE"""),"Sharjah")</f>
        <v>Sharjah</v>
      </c>
      <c r="B6977" s="2" t="str">
        <f ca="1">IFERROR(__xludf.DUMMYFUNCTION("""COMPUTED_VALUE"""),"Areej")</f>
        <v>Areej</v>
      </c>
      <c r="C6977" s="2"/>
      <c r="D6977" s="2" t="str">
        <f ca="1">IFERROR(__xludf.DUMMYFUNCTION("""COMPUTED_VALUE"""),"Sharjah&gt;Tilal City&gt;Areej")</f>
        <v>Sharjah&gt;Tilal City&gt;Areej</v>
      </c>
      <c r="E6977" s="2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</row>
    <row r="6978" spans="1:26" ht="16.5" x14ac:dyDescent="0.35">
      <c r="A6978" s="2" t="str">
        <f ca="1">IFERROR(__xludf.DUMMYFUNCTION("""COMPUTED_VALUE"""),"Sharjah")</f>
        <v>Sharjah</v>
      </c>
      <c r="B6978" s="2" t="str">
        <f ca="1">IFERROR(__xludf.DUMMYFUNCTION("""COMPUTED_VALUE"""),"Big Ben English Nursery")</f>
        <v>Big Ben English Nursery</v>
      </c>
      <c r="C6978" s="2" t="str">
        <f ca="1">IFERROR(__xludf.DUMMYFUNCTION("""COMPUTED_VALUE"""),"Nursery")</f>
        <v>Nursery</v>
      </c>
      <c r="D6978" s="2" t="str">
        <f ca="1">IFERROR(__xludf.DUMMYFUNCTION("""COMPUTED_VALUE"""),"Sharjah&gt;Al Sabkha&gt;Big Ben English Nursery")</f>
        <v>Sharjah&gt;Al Sabkha&gt;Big Ben English Nursery</v>
      </c>
      <c r="E6978" s="2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</row>
    <row r="6979" spans="1:26" ht="16.5" x14ac:dyDescent="0.35">
      <c r="A6979" s="2" t="str">
        <f ca="1">IFERROR(__xludf.DUMMYFUNCTION("""COMPUTED_VALUE"""),"Sharjah")</f>
        <v>Sharjah</v>
      </c>
      <c r="B6979" s="2" t="str">
        <f ca="1">IFERROR(__xludf.DUMMYFUNCTION("""COMPUTED_VALUE"""),"Dar Al Musala Building")</f>
        <v>Dar Al Musala Building</v>
      </c>
      <c r="C6979" s="2"/>
      <c r="D6979" s="2" t="str">
        <f ca="1">IFERROR(__xludf.DUMMYFUNCTION("""COMPUTED_VALUE"""),"Sharjah&gt;Al Musalla&gt;Dar Al Musala Building")</f>
        <v>Sharjah&gt;Al Musalla&gt;Dar Al Musala Building</v>
      </c>
      <c r="E6979" s="2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</row>
    <row r="6980" spans="1:26" ht="16.5" x14ac:dyDescent="0.35">
      <c r="A6980" s="2" t="str">
        <f ca="1">IFERROR(__xludf.DUMMYFUNCTION("""COMPUTED_VALUE"""),"Sharjah")</f>
        <v>Sharjah</v>
      </c>
      <c r="B6980" s="2" t="str">
        <f ca="1">IFERROR(__xludf.DUMMYFUNCTION("""COMPUTED_VALUE"""),"Dasman")</f>
        <v>Dasman</v>
      </c>
      <c r="C6980" s="2" t="str">
        <f ca="1">IFERROR(__xludf.DUMMYFUNCTION("""COMPUTED_VALUE"""),"Neighbourhood")</f>
        <v>Neighbourhood</v>
      </c>
      <c r="D6980" s="2" t="str">
        <f ca="1">IFERROR(__xludf.DUMMYFUNCTION("""COMPUTED_VALUE"""),"Sharjah&gt;Dasman")</f>
        <v>Sharjah&gt;Dasman</v>
      </c>
      <c r="E6980" s="2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</row>
    <row r="6981" spans="1:26" ht="16.5" x14ac:dyDescent="0.35">
      <c r="A6981" s="2" t="str">
        <f ca="1">IFERROR(__xludf.DUMMYFUNCTION("""COMPUTED_VALUE"""),"Sharjah")</f>
        <v>Sharjah</v>
      </c>
      <c r="B6981" s="2" t="str">
        <f ca="1">IFERROR(__xludf.DUMMYFUNCTION("""COMPUTED_VALUE"""),"Orient Building")</f>
        <v>Orient Building</v>
      </c>
      <c r="C6981" s="2"/>
      <c r="D6981" s="2" t="str">
        <f ca="1">IFERROR(__xludf.DUMMYFUNCTION("""COMPUTED_VALUE"""),"Sharjah&gt;Al Mareija&gt;Orient Building")</f>
        <v>Sharjah&gt;Al Mareija&gt;Orient Building</v>
      </c>
      <c r="E6981" s="2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</row>
    <row r="6982" spans="1:26" ht="16.5" x14ac:dyDescent="0.35">
      <c r="A6982" s="2" t="str">
        <f ca="1">IFERROR(__xludf.DUMMYFUNCTION("""COMPUTED_VALUE"""),"Sharjah")</f>
        <v>Sharjah</v>
      </c>
      <c r="B6982" s="2" t="str">
        <f ca="1">IFERROR(__xludf.DUMMYFUNCTION("""COMPUTED_VALUE"""),"Blue Waves")</f>
        <v>Blue Waves</v>
      </c>
      <c r="C6982" s="2" t="str">
        <f ca="1">IFERROR(__xludf.DUMMYFUNCTION("""COMPUTED_VALUE"""),"Building")</f>
        <v>Building</v>
      </c>
      <c r="D6982" s="2" t="str">
        <f ca="1">IFERROR(__xludf.DUMMYFUNCTION("""COMPUTED_VALUE"""),"Sharjah&gt;Ajmal Makan City - Sharjah Waterfront&gt;Blue Waves")</f>
        <v>Sharjah&gt;Ajmal Makan City - Sharjah Waterfront&gt;Blue Waves</v>
      </c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</row>
    <row r="6983" spans="1:26" ht="16.5" x14ac:dyDescent="0.35">
      <c r="A6983" s="2" t="str">
        <f ca="1">IFERROR(__xludf.DUMMYFUNCTION("""COMPUTED_VALUE"""),"Sharjah")</f>
        <v>Sharjah</v>
      </c>
      <c r="B6983" s="2" t="str">
        <f ca="1">IFERROR(__xludf.DUMMYFUNCTION("""COMPUTED_VALUE"""),"Awqaf Building")</f>
        <v>Awqaf Building</v>
      </c>
      <c r="C6983" s="2" t="str">
        <f ca="1">IFERROR(__xludf.DUMMYFUNCTION("""COMPUTED_VALUE"""),"Building")</f>
        <v>Building</v>
      </c>
      <c r="D6983" s="2" t="str">
        <f ca="1">IFERROR(__xludf.DUMMYFUNCTION("""COMPUTED_VALUE"""),"Sharjah&gt;Al Mahatah&gt;Awqaf Building")</f>
        <v>Sharjah&gt;Al Mahatah&gt;Awqaf Building</v>
      </c>
      <c r="E6983" s="2"/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</row>
    <row r="6984" spans="1:26" ht="16.5" x14ac:dyDescent="0.35">
      <c r="A6984" s="2" t="str">
        <f ca="1">IFERROR(__xludf.DUMMYFUNCTION("""COMPUTED_VALUE"""),"Sharjah")</f>
        <v>Sharjah</v>
      </c>
      <c r="B6984" s="2" t="str">
        <f ca="1">IFERROR(__xludf.DUMMYFUNCTION("""COMPUTED_VALUE"""),"SIB Tower")</f>
        <v>SIB Tower</v>
      </c>
      <c r="C6984" s="2"/>
      <c r="D6984" s="2" t="str">
        <f ca="1">IFERROR(__xludf.DUMMYFUNCTION("""COMPUTED_VALUE"""),"Sharjah&gt;Al Khan&gt;SIB Tower")</f>
        <v>Sharjah&gt;Al Khan&gt;SIB Tower</v>
      </c>
      <c r="E6984" s="2"/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</row>
    <row r="6985" spans="1:26" ht="16.5" x14ac:dyDescent="0.35">
      <c r="A6985" s="2" t="str">
        <f ca="1">IFERROR(__xludf.DUMMYFUNCTION("""COMPUTED_VALUE"""),"Sharjah")</f>
        <v>Sharjah</v>
      </c>
      <c r="B6985" s="2" t="str">
        <f ca="1">IFERROR(__xludf.DUMMYFUNCTION("""COMPUTED_VALUE"""),"Al Seer Tower")</f>
        <v>Al Seer Tower</v>
      </c>
      <c r="C6985" s="2"/>
      <c r="D6985" s="2" t="str">
        <f ca="1">IFERROR(__xludf.DUMMYFUNCTION("""COMPUTED_VALUE"""),"Sharjah&gt;Al Khan&gt;Al Seer Tower")</f>
        <v>Sharjah&gt;Al Khan&gt;Al Seer Tower</v>
      </c>
      <c r="E6985" s="2"/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</row>
    <row r="6986" spans="1:26" ht="16.5" x14ac:dyDescent="0.35">
      <c r="A6986" s="2" t="str">
        <f ca="1">IFERROR(__xludf.DUMMYFUNCTION("""COMPUTED_VALUE"""),"Sharjah")</f>
        <v>Sharjah</v>
      </c>
      <c r="B6986" s="2" t="str">
        <f ca="1">IFERROR(__xludf.DUMMYFUNCTION("""COMPUTED_VALUE"""),"Crystal Residences Tower B")</f>
        <v>Crystal Residences Tower B</v>
      </c>
      <c r="C6986" s="2" t="str">
        <f ca="1">IFERROR(__xludf.DUMMYFUNCTION("""COMPUTED_VALUE"""),"Building")</f>
        <v>Building</v>
      </c>
      <c r="D6986" s="2" t="str">
        <f ca="1">IFERROR(__xludf.DUMMYFUNCTION("""COMPUTED_VALUE"""),"Sharjah&gt;Al Khan&gt;Maryam Island&gt;Crystal Residences&gt;Crystal Residences Tower B")</f>
        <v>Sharjah&gt;Al Khan&gt;Maryam Island&gt;Crystal Residences&gt;Crystal Residences Tower B</v>
      </c>
      <c r="E6986" s="2"/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</row>
    <row r="6987" spans="1:26" ht="16.5" x14ac:dyDescent="0.35">
      <c r="A6987" s="2" t="str">
        <f ca="1">IFERROR(__xludf.DUMMYFUNCTION("""COMPUTED_VALUE"""),"Sharjah")</f>
        <v>Sharjah</v>
      </c>
      <c r="B6987" s="2" t="str">
        <f ca="1">IFERROR(__xludf.DUMMYFUNCTION("""COMPUTED_VALUE"""),"Aryana Hotel")</f>
        <v>Aryana Hotel</v>
      </c>
      <c r="C6987" s="2" t="str">
        <f ca="1">IFERROR(__xludf.DUMMYFUNCTION("""COMPUTED_VALUE"""),"Building")</f>
        <v>Building</v>
      </c>
      <c r="D6987" s="2" t="str">
        <f ca="1">IFERROR(__xludf.DUMMYFUNCTION("""COMPUTED_VALUE"""),"Sharjah&gt;Al Khan&gt;Aryana Hotel")</f>
        <v>Sharjah&gt;Al Khan&gt;Aryana Hotel</v>
      </c>
      <c r="E6987" s="2"/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</row>
    <row r="6988" spans="1:26" ht="16.5" x14ac:dyDescent="0.35">
      <c r="A6988" s="2" t="str">
        <f ca="1">IFERROR(__xludf.DUMMYFUNCTION("""COMPUTED_VALUE"""),"Sharjah")</f>
        <v>Sharjah</v>
      </c>
      <c r="B6988" s="2" t="str">
        <f ca="1">IFERROR(__xludf.DUMMYFUNCTION("""COMPUTED_VALUE"""),"Al Telal Building")</f>
        <v>Al Telal Building</v>
      </c>
      <c r="C6988" s="2"/>
      <c r="D6988" s="2" t="str">
        <f ca="1">IFERROR(__xludf.DUMMYFUNCTION("""COMPUTED_VALUE"""),"Sharjah&gt;Al Majaz&gt;Al Majaz 2&gt;Al Telal Building")</f>
        <v>Sharjah&gt;Al Majaz&gt;Al Majaz 2&gt;Al Telal Building</v>
      </c>
      <c r="E6988" s="2"/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</row>
    <row r="6989" spans="1:26" ht="16.5" x14ac:dyDescent="0.35">
      <c r="A6989" s="2" t="str">
        <f ca="1">IFERROR(__xludf.DUMMYFUNCTION("""COMPUTED_VALUE"""),"Sharjah")</f>
        <v>Sharjah</v>
      </c>
      <c r="B6989" s="2" t="str">
        <f ca="1">IFERROR(__xludf.DUMMYFUNCTION("""COMPUTED_VALUE"""),"Al Yasat Tower")</f>
        <v>Al Yasat Tower</v>
      </c>
      <c r="C6989" s="2"/>
      <c r="D6989" s="2" t="str">
        <f ca="1">IFERROR(__xludf.DUMMYFUNCTION("""COMPUTED_VALUE"""),"Sharjah&gt;Al Majaz&gt;Al Majaz 2&gt;Al Yasat Tower")</f>
        <v>Sharjah&gt;Al Majaz&gt;Al Majaz 2&gt;Al Yasat Tower</v>
      </c>
      <c r="E6989" s="2"/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</row>
    <row r="6990" spans="1:26" ht="16.5" x14ac:dyDescent="0.35">
      <c r="A6990" s="2" t="str">
        <f ca="1">IFERROR(__xludf.DUMMYFUNCTION("""COMPUTED_VALUE"""),"Sharjah")</f>
        <v>Sharjah</v>
      </c>
      <c r="B6990" s="2" t="str">
        <f ca="1">IFERROR(__xludf.DUMMYFUNCTION("""COMPUTED_VALUE"""),"Zahrata Al Majaz")</f>
        <v>Zahrata Al Majaz</v>
      </c>
      <c r="C6990" s="2"/>
      <c r="D6990" s="2" t="str">
        <f ca="1">IFERROR(__xludf.DUMMYFUNCTION("""COMPUTED_VALUE"""),"Sharjah&gt;Al Majaz&gt;Al Majaz 2&gt;Zahrata Al Majaz")</f>
        <v>Sharjah&gt;Al Majaz&gt;Al Majaz 2&gt;Zahrata Al Majaz</v>
      </c>
      <c r="E6990" s="2"/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</row>
    <row r="6991" spans="1:26" ht="16.5" x14ac:dyDescent="0.35">
      <c r="A6991" s="2" t="str">
        <f ca="1">IFERROR(__xludf.DUMMYFUNCTION("""COMPUTED_VALUE"""),"Sharjah")</f>
        <v>Sharjah</v>
      </c>
      <c r="B6991" s="2" t="str">
        <f ca="1">IFERROR(__xludf.DUMMYFUNCTION("""COMPUTED_VALUE"""),"Al Kaitoob Building")</f>
        <v>Al Kaitoob Building</v>
      </c>
      <c r="C6991" s="2"/>
      <c r="D6991" s="2" t="str">
        <f ca="1">IFERROR(__xludf.DUMMYFUNCTION("""COMPUTED_VALUE"""),"Sharjah&gt;Al Majaz&gt;Al Majaz 3&gt;Al Kaitoob Building")</f>
        <v>Sharjah&gt;Al Majaz&gt;Al Majaz 3&gt;Al Kaitoob Building</v>
      </c>
      <c r="E6991" s="2"/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</row>
    <row r="6992" spans="1:26" ht="16.5" x14ac:dyDescent="0.35">
      <c r="A6992" s="2" t="str">
        <f ca="1">IFERROR(__xludf.DUMMYFUNCTION("""COMPUTED_VALUE"""),"Sharjah")</f>
        <v>Sharjah</v>
      </c>
      <c r="B6992" s="2" t="str">
        <f ca="1">IFERROR(__xludf.DUMMYFUNCTION("""COMPUTED_VALUE"""),"Crescent House")</f>
        <v>Crescent House</v>
      </c>
      <c r="C6992" s="2"/>
      <c r="D6992" s="2" t="str">
        <f ca="1">IFERROR(__xludf.DUMMYFUNCTION("""COMPUTED_VALUE"""),"Sharjah&gt;Al Majaz&gt;Al Majaz 3&gt;Crescent House")</f>
        <v>Sharjah&gt;Al Majaz&gt;Al Majaz 3&gt;Crescent House</v>
      </c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</row>
    <row r="6993" spans="1:26" ht="16.5" x14ac:dyDescent="0.35">
      <c r="A6993" s="2" t="str">
        <f ca="1">IFERROR(__xludf.DUMMYFUNCTION("""COMPUTED_VALUE"""),"Sharjah")</f>
        <v>Sharjah</v>
      </c>
      <c r="B6993" s="2" t="str">
        <f ca="1">IFERROR(__xludf.DUMMYFUNCTION("""COMPUTED_VALUE"""),"Kakoli Building 1")</f>
        <v>Kakoli Building 1</v>
      </c>
      <c r="C6993" s="2" t="str">
        <f ca="1">IFERROR(__xludf.DUMMYFUNCTION("""COMPUTED_VALUE"""),"Building")</f>
        <v>Building</v>
      </c>
      <c r="D6993" s="2" t="str">
        <f ca="1">IFERROR(__xludf.DUMMYFUNCTION("""COMPUTED_VALUE"""),"Sharjah&gt;Al Majaz&gt;Al Majaz 3&gt;Kakoli Building 1")</f>
        <v>Sharjah&gt;Al Majaz&gt;Al Majaz 3&gt;Kakoli Building 1</v>
      </c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</row>
    <row r="6994" spans="1:26" ht="16.5" x14ac:dyDescent="0.35">
      <c r="A6994" s="2" t="str">
        <f ca="1">IFERROR(__xludf.DUMMYFUNCTION("""COMPUTED_VALUE"""),"Sharjah")</f>
        <v>Sharjah</v>
      </c>
      <c r="B6994" s="2" t="str">
        <f ca="1">IFERROR(__xludf.DUMMYFUNCTION("""COMPUTED_VALUE"""),"Marbella Resort")</f>
        <v>Marbella Resort</v>
      </c>
      <c r="C6994" s="2"/>
      <c r="D6994" s="2" t="str">
        <f ca="1">IFERROR(__xludf.DUMMYFUNCTION("""COMPUTED_VALUE"""),"Sharjah&gt;Al Majaz&gt;Al Majaz 1&gt;Marbella Resort")</f>
        <v>Sharjah&gt;Al Majaz&gt;Al Majaz 1&gt;Marbella Resort</v>
      </c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</row>
    <row r="6995" spans="1:26" ht="16.5" x14ac:dyDescent="0.35">
      <c r="A6995" s="2" t="str">
        <f ca="1">IFERROR(__xludf.DUMMYFUNCTION("""COMPUTED_VALUE"""),"Sharjah")</f>
        <v>Sharjah</v>
      </c>
      <c r="B6995" s="2" t="str">
        <f ca="1">IFERROR(__xludf.DUMMYFUNCTION("""COMPUTED_VALUE"""),"Khalid Bin Sultan City")</f>
        <v>Khalid Bin Sultan City</v>
      </c>
      <c r="C6995" s="2" t="str">
        <f ca="1">IFERROR(__xludf.DUMMYFUNCTION("""COMPUTED_VALUE"""),"Neighbourhood")</f>
        <v>Neighbourhood</v>
      </c>
      <c r="D6995" s="2" t="str">
        <f ca="1">IFERROR(__xludf.DUMMYFUNCTION("""COMPUTED_VALUE"""),"Sharjah&gt;Rodhat Al Sidir&gt;Khalid Bin Sultan City")</f>
        <v>Sharjah&gt;Rodhat Al Sidir&gt;Khalid Bin Sultan City</v>
      </c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</row>
    <row r="6996" spans="1:26" ht="16.5" x14ac:dyDescent="0.35">
      <c r="A6996" s="2" t="str">
        <f ca="1">IFERROR(__xludf.DUMMYFUNCTION("""COMPUTED_VALUE"""),"Sharjah")</f>
        <v>Sharjah</v>
      </c>
      <c r="B6996" s="2" t="str">
        <f ca="1">IFERROR(__xludf.DUMMYFUNCTION("""COMPUTED_VALUE"""),"Tiger 2 Building")</f>
        <v>Tiger 2 Building</v>
      </c>
      <c r="C6996" s="2"/>
      <c r="D6996" s="2" t="str">
        <f ca="1">IFERROR(__xludf.DUMMYFUNCTION("""COMPUTED_VALUE"""),"Sharjah&gt;Al Taawun&gt;Tiger 2 Building")</f>
        <v>Sharjah&gt;Al Taawun&gt;Tiger 2 Building</v>
      </c>
      <c r="E6996" s="2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</row>
    <row r="6997" spans="1:26" ht="16.5" x14ac:dyDescent="0.35">
      <c r="A6997" s="2" t="str">
        <f ca="1">IFERROR(__xludf.DUMMYFUNCTION("""COMPUTED_VALUE"""),"Sharjah")</f>
        <v>Sharjah</v>
      </c>
      <c r="B6997" s="2" t="str">
        <f ca="1">IFERROR(__xludf.DUMMYFUNCTION("""COMPUTED_VALUE"""),"Al Quds Building")</f>
        <v>Al Quds Building</v>
      </c>
      <c r="C6997" s="2" t="str">
        <f ca="1">IFERROR(__xludf.DUMMYFUNCTION("""COMPUTED_VALUE"""),"Building")</f>
        <v>Building</v>
      </c>
      <c r="D6997" s="2" t="str">
        <f ca="1">IFERROR(__xludf.DUMMYFUNCTION("""COMPUTED_VALUE"""),"Sharjah&gt;Al Qasimia&gt;Al Nad&gt;Al Quds Building")</f>
        <v>Sharjah&gt;Al Qasimia&gt;Al Nad&gt;Al Quds Building</v>
      </c>
      <c r="E6997" s="2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</row>
    <row r="6998" spans="1:26" ht="16.5" x14ac:dyDescent="0.35">
      <c r="A6998" s="2" t="str">
        <f ca="1">IFERROR(__xludf.DUMMYFUNCTION("""COMPUTED_VALUE"""),"Sharjah")</f>
        <v>Sharjah</v>
      </c>
      <c r="B6998" s="2" t="str">
        <f ca="1">IFERROR(__xludf.DUMMYFUNCTION("""COMPUTED_VALUE"""),"Al Maitha Tower 1")</f>
        <v>Al Maitha Tower 1</v>
      </c>
      <c r="C6998" s="2"/>
      <c r="D6998" s="2" t="str">
        <f ca="1">IFERROR(__xludf.DUMMYFUNCTION("""COMPUTED_VALUE"""),"Sharjah&gt;Al Qasimia&gt;Al Nad&gt;Al Maitha Tower 1")</f>
        <v>Sharjah&gt;Al Qasimia&gt;Al Nad&gt;Al Maitha Tower 1</v>
      </c>
      <c r="E6998" s="2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</row>
    <row r="6999" spans="1:26" ht="16.5" x14ac:dyDescent="0.35">
      <c r="A6999" s="2" t="str">
        <f ca="1">IFERROR(__xludf.DUMMYFUNCTION("""COMPUTED_VALUE"""),"Sharjah")</f>
        <v>Sharjah</v>
      </c>
      <c r="B6999" s="2" t="str">
        <f ca="1">IFERROR(__xludf.DUMMYFUNCTION("""COMPUTED_VALUE"""),"Luluwa Building")</f>
        <v>Luluwa Building</v>
      </c>
      <c r="C6999" s="2"/>
      <c r="D6999" s="2" t="str">
        <f ca="1">IFERROR(__xludf.DUMMYFUNCTION("""COMPUTED_VALUE"""),"Sharjah&gt;Al Qasimia&gt;Al Nad&gt;Luluwa Building")</f>
        <v>Sharjah&gt;Al Qasimia&gt;Al Nad&gt;Luluwa Building</v>
      </c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</row>
    <row r="7000" spans="1:26" ht="16.5" x14ac:dyDescent="0.35">
      <c r="A7000" s="2" t="str">
        <f ca="1">IFERROR(__xludf.DUMMYFUNCTION("""COMPUTED_VALUE"""),"Sharjah")</f>
        <v>Sharjah</v>
      </c>
      <c r="B7000" s="2" t="str">
        <f ca="1">IFERROR(__xludf.DUMMYFUNCTION("""COMPUTED_VALUE"""),"Kojak Building")</f>
        <v>Kojak Building</v>
      </c>
      <c r="C7000" s="2"/>
      <c r="D7000" s="2" t="str">
        <f ca="1">IFERROR(__xludf.DUMMYFUNCTION("""COMPUTED_VALUE"""),"Sharjah&gt;Al Qasimia&gt;Kojak Building")</f>
        <v>Sharjah&gt;Al Qasimia&gt;Kojak Building</v>
      </c>
      <c r="E7000" s="2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</row>
    <row r="7001" spans="1:26" ht="16.5" x14ac:dyDescent="0.35">
      <c r="A7001" s="2" t="str">
        <f ca="1">IFERROR(__xludf.DUMMYFUNCTION("""COMPUTED_VALUE"""),"Sharjah")</f>
        <v>Sharjah</v>
      </c>
      <c r="B7001" s="2" t="str">
        <f ca="1">IFERROR(__xludf.DUMMYFUNCTION("""COMPUTED_VALUE"""),"Apsara Building")</f>
        <v>Apsara Building</v>
      </c>
      <c r="C7001" s="2"/>
      <c r="D7001" s="2" t="str">
        <f ca="1">IFERROR(__xludf.DUMMYFUNCTION("""COMPUTED_VALUE"""),"Sharjah&gt;Al Nabba&gt;Apsara Building")</f>
        <v>Sharjah&gt;Al Nabba&gt;Apsara Building</v>
      </c>
      <c r="E7001" s="2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</row>
    <row r="7002" spans="1:26" ht="16.5" x14ac:dyDescent="0.35">
      <c r="A7002" s="2" t="str">
        <f ca="1">IFERROR(__xludf.DUMMYFUNCTION("""COMPUTED_VALUE"""),"Sharjah")</f>
        <v>Sharjah</v>
      </c>
      <c r="B7002" s="2" t="str">
        <f ca="1">IFERROR(__xludf.DUMMYFUNCTION("""COMPUTED_VALUE"""),"Industrial Area 10")</f>
        <v>Industrial Area 10</v>
      </c>
      <c r="C7002" s="2" t="str">
        <f ca="1">IFERROR(__xludf.DUMMYFUNCTION("""COMPUTED_VALUE"""),"Neighbourhood")</f>
        <v>Neighbourhood</v>
      </c>
      <c r="D7002" s="2" t="str">
        <f ca="1">IFERROR(__xludf.DUMMYFUNCTION("""COMPUTED_VALUE"""),"Sharjah&gt;Industrial Area&gt;Industrial Area 10")</f>
        <v>Sharjah&gt;Industrial Area&gt;Industrial Area 10</v>
      </c>
      <c r="E7002" s="2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</row>
    <row r="7003" spans="1:26" ht="16.5" x14ac:dyDescent="0.35">
      <c r="A7003" s="2" t="str">
        <f ca="1">IFERROR(__xludf.DUMMYFUNCTION("""COMPUTED_VALUE"""),"Sharjah")</f>
        <v>Sharjah</v>
      </c>
      <c r="B7003" s="2" t="str">
        <f ca="1">IFERROR(__xludf.DUMMYFUNCTION("""COMPUTED_VALUE"""),"Sama Residence")</f>
        <v>Sama Residence</v>
      </c>
      <c r="C7003" s="2" t="str">
        <f ca="1">IFERROR(__xludf.DUMMYFUNCTION("""COMPUTED_VALUE"""),"Building")</f>
        <v>Building</v>
      </c>
      <c r="D7003" s="2" t="str">
        <f ca="1">IFERROR(__xludf.DUMMYFUNCTION("""COMPUTED_VALUE"""),"Sharjah&gt;Muwaileh&gt;Al Mamsha&gt;Souks Residential&gt;Sama Residence")</f>
        <v>Sharjah&gt;Muwaileh&gt;Al Mamsha&gt;Souks Residential&gt;Sama Residence</v>
      </c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</row>
    <row r="7004" spans="1:26" ht="16.5" x14ac:dyDescent="0.35">
      <c r="A7004" s="2" t="str">
        <f ca="1">IFERROR(__xludf.DUMMYFUNCTION("""COMPUTED_VALUE"""),"Sharjah")</f>
        <v>Sharjah</v>
      </c>
      <c r="B7004" s="2" t="str">
        <f ca="1">IFERROR(__xludf.DUMMYFUNCTION("""COMPUTED_VALUE"""),"Nama 3")</f>
        <v>Nama 3</v>
      </c>
      <c r="C7004" s="2" t="str">
        <f ca="1">IFERROR(__xludf.DUMMYFUNCTION("""COMPUTED_VALUE"""),"Building")</f>
        <v>Building</v>
      </c>
      <c r="D7004" s="2" t="str">
        <f ca="1">IFERROR(__xludf.DUMMYFUNCTION("""COMPUTED_VALUE"""),"Sharjah&gt;Muwaileh&gt;Al Mamsha&gt;Raseel&gt;Nama 3")</f>
        <v>Sharjah&gt;Muwaileh&gt;Al Mamsha&gt;Raseel&gt;Nama 3</v>
      </c>
      <c r="E7004" s="2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</row>
    <row r="7005" spans="1:26" ht="16.5" x14ac:dyDescent="0.35">
      <c r="A7005" s="2" t="str">
        <f ca="1">IFERROR(__xludf.DUMMYFUNCTION("""COMPUTED_VALUE"""),"Sharjah")</f>
        <v>Sharjah</v>
      </c>
      <c r="B7005" s="2" t="str">
        <f ca="1">IFERROR(__xludf.DUMMYFUNCTION("""COMPUTED_VALUE"""),"Zohour 4")</f>
        <v>Zohour 4</v>
      </c>
      <c r="C7005" s="2" t="str">
        <f ca="1">IFERROR(__xludf.DUMMYFUNCTION("""COMPUTED_VALUE"""),"Building")</f>
        <v>Building</v>
      </c>
      <c r="D7005" s="2" t="str">
        <f ca="1">IFERROR(__xludf.DUMMYFUNCTION("""COMPUTED_VALUE"""),"Sharjah&gt;Muwaileh&gt;Al Zahia&gt;UpTown Al Zahia&gt;Zohour&gt;Zohour 4")</f>
        <v>Sharjah&gt;Muwaileh&gt;Al Zahia&gt;UpTown Al Zahia&gt;Zohour&gt;Zohour 4</v>
      </c>
      <c r="E7005" s="2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</row>
    <row r="7006" spans="1:26" ht="16.5" x14ac:dyDescent="0.35">
      <c r="A7006" s="2" t="str">
        <f ca="1">IFERROR(__xludf.DUMMYFUNCTION("""COMPUTED_VALUE"""),"Sharjah")</f>
        <v>Sharjah</v>
      </c>
      <c r="B7006" s="2" t="str">
        <f ca="1">IFERROR(__xludf.DUMMYFUNCTION("""COMPUTED_VALUE"""),"Fire Station Road")</f>
        <v>Fire Station Road</v>
      </c>
      <c r="C7006" s="2"/>
      <c r="D7006" s="2" t="str">
        <f ca="1">IFERROR(__xludf.DUMMYFUNCTION("""COMPUTED_VALUE"""),"Sharjah&gt;Muwaileh Commercial&gt;Fire Station Road")</f>
        <v>Sharjah&gt;Muwaileh Commercial&gt;Fire Station Road</v>
      </c>
      <c r="E7006" s="2"/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</row>
    <row r="7007" spans="1:26" ht="16.5" x14ac:dyDescent="0.35">
      <c r="A7007" s="2" t="str">
        <f ca="1">IFERROR(__xludf.DUMMYFUNCTION("""COMPUTED_VALUE"""),"Sharjah")</f>
        <v>Sharjah</v>
      </c>
      <c r="B7007" s="2" t="str">
        <f ca="1">IFERROR(__xludf.DUMMYFUNCTION("""COMPUTED_VALUE"""),"Eisa Building")</f>
        <v>Eisa Building</v>
      </c>
      <c r="C7007" s="2" t="str">
        <f ca="1">IFERROR(__xludf.DUMMYFUNCTION("""COMPUTED_VALUE"""),"Building")</f>
        <v>Building</v>
      </c>
      <c r="D7007" s="2" t="str">
        <f ca="1">IFERROR(__xludf.DUMMYFUNCTION("""COMPUTED_VALUE"""),"Sharjah&gt;Muwaileh Commercial&gt;Eisa Building")</f>
        <v>Sharjah&gt;Muwaileh Commercial&gt;Eisa Building</v>
      </c>
      <c r="E7007" s="2"/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</row>
    <row r="7008" spans="1:26" ht="16.5" x14ac:dyDescent="0.35">
      <c r="A7008" s="2" t="str">
        <f ca="1">IFERROR(__xludf.DUMMYFUNCTION("""COMPUTED_VALUE"""),"Sharjah")</f>
        <v>Sharjah</v>
      </c>
      <c r="B7008" s="2" t="str">
        <f ca="1">IFERROR(__xludf.DUMMYFUNCTION("""COMPUTED_VALUE"""),"Building 6127")</f>
        <v>Building 6127</v>
      </c>
      <c r="C7008" s="2" t="str">
        <f ca="1">IFERROR(__xludf.DUMMYFUNCTION("""COMPUTED_VALUE"""),"Building")</f>
        <v>Building</v>
      </c>
      <c r="D7008" s="2" t="str">
        <f ca="1">IFERROR(__xludf.DUMMYFUNCTION("""COMPUTED_VALUE"""),"Sharjah&gt;Muwaileh Commercial&gt;Building 6127")</f>
        <v>Sharjah&gt;Muwaileh Commercial&gt;Building 6127</v>
      </c>
      <c r="E7008" s="2"/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</row>
    <row r="7009" spans="1:26" ht="16.5" x14ac:dyDescent="0.35">
      <c r="A7009" s="2" t="str">
        <f ca="1">IFERROR(__xludf.DUMMYFUNCTION("""COMPUTED_VALUE"""),"Al Ain")</f>
        <v>Al Ain</v>
      </c>
      <c r="B7009" s="2" t="str">
        <f ca="1">IFERROR(__xludf.DUMMYFUNCTION("""COMPUTED_VALUE"""),"Al Ain Oasis Villas")</f>
        <v>Al Ain Oasis Villas</v>
      </c>
      <c r="C7009" s="2" t="str">
        <f ca="1">IFERROR(__xludf.DUMMYFUNCTION("""COMPUTED_VALUE"""),"Neighbourhood")</f>
        <v>Neighbourhood</v>
      </c>
      <c r="D7009" s="2" t="str">
        <f ca="1">IFERROR(__xludf.DUMMYFUNCTION("""COMPUTED_VALUE"""),"Al Ain&gt;Asharij&gt;Bida Bin Ammar&gt;Al Ain Oasis Villas")</f>
        <v>Al Ain&gt;Asharij&gt;Bida Bin Ammar&gt;Al Ain Oasis Villas</v>
      </c>
      <c r="E7009" s="2"/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</row>
    <row r="7010" spans="1:26" ht="16.5" x14ac:dyDescent="0.35">
      <c r="A7010" s="2" t="str">
        <f ca="1">IFERROR(__xludf.DUMMYFUNCTION("""COMPUTED_VALUE"""),"Al Ain")</f>
        <v>Al Ain</v>
      </c>
      <c r="B7010" s="2" t="str">
        <f ca="1">IFERROR(__xludf.DUMMYFUNCTION("""COMPUTED_VALUE"""),"Al Reem Complex Block C")</f>
        <v>Al Reem Complex Block C</v>
      </c>
      <c r="C7010" s="2" t="str">
        <f ca="1">IFERROR(__xludf.DUMMYFUNCTION("""COMPUTED_VALUE"""),"Building")</f>
        <v>Building</v>
      </c>
      <c r="D7010" s="2" t="str">
        <f ca="1">IFERROR(__xludf.DUMMYFUNCTION("""COMPUTED_VALUE"""),"Al Ain&gt;Central District&gt;Al Rubainah&gt;Al Reem Complex&gt;Al Reem Complex Block C")</f>
        <v>Al Ain&gt;Central District&gt;Al Rubainah&gt;Al Reem Complex&gt;Al Reem Complex Block C</v>
      </c>
      <c r="E7010" s="2"/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</row>
    <row r="7011" spans="1:26" ht="16.5" x14ac:dyDescent="0.35">
      <c r="A7011" s="2" t="str">
        <f ca="1">IFERROR(__xludf.DUMMYFUNCTION("""COMPUTED_VALUE"""),"Al Ain")</f>
        <v>Al Ain</v>
      </c>
      <c r="B7011" s="2" t="str">
        <f ca="1">IFERROR(__xludf.DUMMYFUNCTION("""COMPUTED_VALUE"""),"Al Meryal")</f>
        <v>Al Meryal</v>
      </c>
      <c r="C7011" s="2" t="str">
        <f ca="1">IFERROR(__xludf.DUMMYFUNCTION("""COMPUTED_VALUE"""),"Neighbourhood")</f>
        <v>Neighbourhood</v>
      </c>
      <c r="D7011" s="2" t="str">
        <f ca="1">IFERROR(__xludf.DUMMYFUNCTION("""COMPUTED_VALUE"""),"Al Ain&gt;Al Khibeesi&gt;Al Meryal")</f>
        <v>Al Ain&gt;Al Khibeesi&gt;Al Meryal</v>
      </c>
      <c r="E7011" s="2"/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</row>
    <row r="7012" spans="1:26" ht="16.5" x14ac:dyDescent="0.35">
      <c r="A7012" s="2" t="str">
        <f ca="1">IFERROR(__xludf.DUMMYFUNCTION("""COMPUTED_VALUE"""),"Al Ain")</f>
        <v>Al Ain</v>
      </c>
      <c r="B7012" s="2" t="str">
        <f ca="1">IFERROR(__xludf.DUMMYFUNCTION("""COMPUTED_VALUE"""),"Ghafat Al Shwaihi")</f>
        <v>Ghafat Al Shwaihi</v>
      </c>
      <c r="C7012" s="2" t="str">
        <f ca="1">IFERROR(__xludf.DUMMYFUNCTION("""COMPUTED_VALUE"""),"Neighbourhood")</f>
        <v>Neighbourhood</v>
      </c>
      <c r="D7012" s="2" t="str">
        <f ca="1">IFERROR(__xludf.DUMMYFUNCTION("""COMPUTED_VALUE"""),"Al Ain&gt;Al Bateen&gt;Ghafat Al Shwaihi")</f>
        <v>Al Ain&gt;Al Bateen&gt;Ghafat Al Shwaihi</v>
      </c>
      <c r="E7012" s="2"/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</row>
    <row r="7013" spans="1:26" ht="16.5" x14ac:dyDescent="0.35">
      <c r="A7013" s="2" t="str">
        <f ca="1">IFERROR(__xludf.DUMMYFUNCTION("""COMPUTED_VALUE"""),"Al Ain")</f>
        <v>Al Ain</v>
      </c>
      <c r="B7013" s="2" t="str">
        <f ca="1">IFERROR(__xludf.DUMMYFUNCTION("""COMPUTED_VALUE"""),"Emirates Falcon International Private School")</f>
        <v>Emirates Falcon International Private School</v>
      </c>
      <c r="C7013" s="2" t="str">
        <f ca="1">IFERROR(__xludf.DUMMYFUNCTION("""COMPUTED_VALUE"""),"School")</f>
        <v>School</v>
      </c>
      <c r="D7013" s="2" t="str">
        <f ca="1">IFERROR(__xludf.DUMMYFUNCTION("""COMPUTED_VALUE"""),"Al Ain&gt;Falaj Hazzaa&gt;Emirates Falcon International Private School")</f>
        <v>Al Ain&gt;Falaj Hazzaa&gt;Emirates Falcon International Private School</v>
      </c>
      <c r="E7013" s="2"/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</row>
    <row r="7014" spans="1:26" ht="16.5" x14ac:dyDescent="0.35">
      <c r="A7014" s="2" t="str">
        <f ca="1">IFERROR(__xludf.DUMMYFUNCTION("""COMPUTED_VALUE"""),"Al Ain")</f>
        <v>Al Ain</v>
      </c>
      <c r="B7014" s="2" t="str">
        <f ca="1">IFERROR(__xludf.DUMMYFUNCTION("""COMPUTED_VALUE"""),"Al Markhaniyyah")</f>
        <v>Al Markhaniyyah</v>
      </c>
      <c r="C7014" s="2" t="str">
        <f ca="1">IFERROR(__xludf.DUMMYFUNCTION("""COMPUTED_VALUE"""),"Neighbourhood")</f>
        <v>Neighbourhood</v>
      </c>
      <c r="D7014" s="2" t="str">
        <f ca="1">IFERROR(__xludf.DUMMYFUNCTION("""COMPUTED_VALUE"""),"Al Ain&gt;Al Markhaniyyah")</f>
        <v>Al Ain&gt;Al Markhaniyyah</v>
      </c>
      <c r="E7014" s="2"/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</row>
    <row r="7015" spans="1:26" ht="16.5" x14ac:dyDescent="0.35">
      <c r="A7015" s="2" t="str">
        <f ca="1">IFERROR(__xludf.DUMMYFUNCTION("""COMPUTED_VALUE"""),"Ras Al Khaimah")</f>
        <v>Ras Al Khaimah</v>
      </c>
      <c r="B7015" s="2" t="str">
        <f ca="1">IFERROR(__xludf.DUMMYFUNCTION("""COMPUTED_VALUE"""),"Rak City")</f>
        <v>Rak City</v>
      </c>
      <c r="C7015" s="2" t="str">
        <f ca="1">IFERROR(__xludf.DUMMYFUNCTION("""COMPUTED_VALUE"""),"Neighbourhood")</f>
        <v>Neighbourhood</v>
      </c>
      <c r="D7015" s="2" t="str">
        <f ca="1">IFERROR(__xludf.DUMMYFUNCTION("""COMPUTED_VALUE"""),"Ras Al Khaimah&gt;Rak City")</f>
        <v>Ras Al Khaimah&gt;Rak City</v>
      </c>
      <c r="E7015" s="2"/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</row>
    <row r="7016" spans="1:26" ht="16.5" x14ac:dyDescent="0.35">
      <c r="A7016" s="2" t="str">
        <f ca="1">IFERROR(__xludf.DUMMYFUNCTION("""COMPUTED_VALUE"""),"Ras Al Khaimah")</f>
        <v>Ras Al Khaimah</v>
      </c>
      <c r="B7016" s="2" t="str">
        <f ca="1">IFERROR(__xludf.DUMMYFUNCTION("""COMPUTED_VALUE"""),"Granada II")</f>
        <v>Granada II</v>
      </c>
      <c r="C7016" s="2" t="str">
        <f ca="1">IFERROR(__xludf.DUMMYFUNCTION("""COMPUTED_VALUE"""),"Neighbourhood")</f>
        <v>Neighbourhood</v>
      </c>
      <c r="D7016" s="2" t="str">
        <f ca="1">IFERROR(__xludf.DUMMYFUNCTION("""COMPUTED_VALUE"""),"Ras Al Khaimah&gt;Mina Al Arab&gt;Granada II")</f>
        <v>Ras Al Khaimah&gt;Mina Al Arab&gt;Granada II</v>
      </c>
      <c r="E7016" s="2"/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</row>
    <row r="7017" spans="1:26" ht="16.5" x14ac:dyDescent="0.35">
      <c r="A7017" s="2" t="str">
        <f ca="1">IFERROR(__xludf.DUMMYFUNCTION("""COMPUTED_VALUE"""),"Ras Al Khaimah")</f>
        <v>Ras Al Khaimah</v>
      </c>
      <c r="B7017" s="2" t="str">
        <f ca="1">IFERROR(__xludf.DUMMYFUNCTION("""COMPUTED_VALUE"""),"Nobu Residences")</f>
        <v>Nobu Residences</v>
      </c>
      <c r="C7017" s="2" t="str">
        <f ca="1">IFERROR(__xludf.DUMMYFUNCTION("""COMPUTED_VALUE"""),"Building")</f>
        <v>Building</v>
      </c>
      <c r="D7017" s="2" t="str">
        <f ca="1">IFERROR(__xludf.DUMMYFUNCTION("""COMPUTED_VALUE"""),"Ras Al Khaimah&gt;Al Marjan Island&gt;Nobu Residences")</f>
        <v>Ras Al Khaimah&gt;Al Marjan Island&gt;Nobu Residences</v>
      </c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</row>
    <row r="7018" spans="1:26" ht="16.5" x14ac:dyDescent="0.35">
      <c r="A7018" s="2" t="str">
        <f ca="1">IFERROR(__xludf.DUMMYFUNCTION("""COMPUTED_VALUE"""),"Ras Al Khaimah")</f>
        <v>Ras Al Khaimah</v>
      </c>
      <c r="B7018" s="2" t="str">
        <f ca="1">IFERROR(__xludf.DUMMYFUNCTION("""COMPUTED_VALUE"""),"Costa Mare Tower 3")</f>
        <v>Costa Mare Tower 3</v>
      </c>
      <c r="C7018" s="2" t="str">
        <f ca="1">IFERROR(__xludf.DUMMYFUNCTION("""COMPUTED_VALUE"""),"Building")</f>
        <v>Building</v>
      </c>
      <c r="D7018" s="2" t="str">
        <f ca="1">IFERROR(__xludf.DUMMYFUNCTION("""COMPUTED_VALUE"""),"Ras Al Khaimah&gt;Al Marjan Island&gt;Costa Mare&gt;Costa Mare Tower 3")</f>
        <v>Ras Al Khaimah&gt;Al Marjan Island&gt;Costa Mare&gt;Costa Mare Tower 3</v>
      </c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</row>
    <row r="7019" spans="1:26" ht="16.5" x14ac:dyDescent="0.35">
      <c r="A7019" s="2" t="str">
        <f ca="1">IFERROR(__xludf.DUMMYFUNCTION("""COMPUTED_VALUE"""),"Ras Al Khaimah")</f>
        <v>Ras Al Khaimah</v>
      </c>
      <c r="B7019" s="2" t="str">
        <f ca="1">IFERROR(__xludf.DUMMYFUNCTION("""COMPUTED_VALUE"""),"Marina Apartment H")</f>
        <v>Marina Apartment H</v>
      </c>
      <c r="C7019" s="2" t="str">
        <f ca="1">IFERROR(__xludf.DUMMYFUNCTION("""COMPUTED_VALUE"""),"Building")</f>
        <v>Building</v>
      </c>
      <c r="D7019" s="2" t="str">
        <f ca="1">IFERROR(__xludf.DUMMYFUNCTION("""COMPUTED_VALUE"""),"Ras Al Khaimah&gt;Al Hamra Village&gt;Al Hamra Marina Residences&gt;Marina Apartment H")</f>
        <v>Ras Al Khaimah&gt;Al Hamra Village&gt;Al Hamra Marina Residences&gt;Marina Apartment H</v>
      </c>
      <c r="E7019" s="2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</row>
    <row r="7020" spans="1:26" ht="16.5" x14ac:dyDescent="0.35">
      <c r="A7020" s="2" t="str">
        <f ca="1">IFERROR(__xludf.DUMMYFUNCTION("""COMPUTED_VALUE"""),"Ras Al Khaimah")</f>
        <v>Ras Al Khaimah</v>
      </c>
      <c r="B7020" s="2" t="str">
        <f ca="1">IFERROR(__xludf.DUMMYFUNCTION("""COMPUTED_VALUE"""),"Al Nakheel")</f>
        <v>Al Nakheel</v>
      </c>
      <c r="C7020" s="2" t="str">
        <f ca="1">IFERROR(__xludf.DUMMYFUNCTION("""COMPUTED_VALUE"""),"Neighbourhood")</f>
        <v>Neighbourhood</v>
      </c>
      <c r="D7020" s="2" t="str">
        <f ca="1">IFERROR(__xludf.DUMMYFUNCTION("""COMPUTED_VALUE"""),"Ras Al Khaimah&gt;Al Nakheel")</f>
        <v>Ras Al Khaimah&gt;Al Nakheel</v>
      </c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</row>
    <row r="7021" spans="1:26" ht="16.5" x14ac:dyDescent="0.35">
      <c r="A7021" s="2" t="str">
        <f ca="1">IFERROR(__xludf.DUMMYFUNCTION("""COMPUTED_VALUE"""),"Ras Al Khaimah")</f>
        <v>Ras Al Khaimah</v>
      </c>
      <c r="B7021" s="2" t="str">
        <f ca="1">IFERROR(__xludf.DUMMYFUNCTION("""COMPUTED_VALUE"""),"Ras Al Khaimah Creek")</f>
        <v>Ras Al Khaimah Creek</v>
      </c>
      <c r="C7021" s="2" t="str">
        <f ca="1">IFERROR(__xludf.DUMMYFUNCTION("""COMPUTED_VALUE"""),"Neighbourhood")</f>
        <v>Neighbourhood</v>
      </c>
      <c r="D7021" s="2" t="str">
        <f ca="1">IFERROR(__xludf.DUMMYFUNCTION("""COMPUTED_VALUE"""),"Ras Al Khaimah&gt;Ras Al Khaimah Creek")</f>
        <v>Ras Al Khaimah&gt;Ras Al Khaimah Creek</v>
      </c>
      <c r="E7021" s="2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</row>
    <row r="7022" spans="1:26" ht="16.5" x14ac:dyDescent="0.35">
      <c r="A7022" s="2" t="str">
        <f ca="1">IFERROR(__xludf.DUMMYFUNCTION("""COMPUTED_VALUE"""),"Ras Al Khaimah")</f>
        <v>Ras Al Khaimah</v>
      </c>
      <c r="B7022" s="2" t="str">
        <f ca="1">IFERROR(__xludf.DUMMYFUNCTION("""COMPUTED_VALUE"""),"Ghobash Building")</f>
        <v>Ghobash Building</v>
      </c>
      <c r="C7022" s="2" t="str">
        <f ca="1">IFERROR(__xludf.DUMMYFUNCTION("""COMPUTED_VALUE"""),"Building")</f>
        <v>Building</v>
      </c>
      <c r="D7022" s="2" t="str">
        <f ca="1">IFERROR(__xludf.DUMMYFUNCTION("""COMPUTED_VALUE"""),"Ras Al Khaimah&gt;Al Seer&gt;Ghobash Building")</f>
        <v>Ras Al Khaimah&gt;Al Seer&gt;Ghobash Building</v>
      </c>
      <c r="E7022" s="2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</row>
    <row r="7023" spans="1:26" ht="16.5" x14ac:dyDescent="0.35">
      <c r="A7023" s="2" t="str">
        <f ca="1">IFERROR(__xludf.DUMMYFUNCTION("""COMPUTED_VALUE"""),"Ras Al Khaimah")</f>
        <v>Ras Al Khaimah</v>
      </c>
      <c r="B7023" s="2" t="str">
        <f ca="1">IFERROR(__xludf.DUMMYFUNCTION("""COMPUTED_VALUE"""),"Seih Al Uraibi")</f>
        <v>Seih Al Uraibi</v>
      </c>
      <c r="C7023" s="2" t="str">
        <f ca="1">IFERROR(__xludf.DUMMYFUNCTION("""COMPUTED_VALUE"""),"Neighbourhood")</f>
        <v>Neighbourhood</v>
      </c>
      <c r="D7023" s="2" t="str">
        <f ca="1">IFERROR(__xludf.DUMMYFUNCTION("""COMPUTED_VALUE"""),"Ras Al Khaimah&gt;Seih Al Uraibi")</f>
        <v>Ras Al Khaimah&gt;Seih Al Uraibi</v>
      </c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</row>
    <row r="7024" spans="1:26" ht="16.5" x14ac:dyDescent="0.35">
      <c r="A7024" s="2" t="str">
        <f ca="1">IFERROR(__xludf.DUMMYFUNCTION("""COMPUTED_VALUE"""),"Ras Al Khaimah")</f>
        <v>Ras Al Khaimah</v>
      </c>
      <c r="B7024" s="2" t="str">
        <f ca="1">IFERROR(__xludf.DUMMYFUNCTION("""COMPUTED_VALUE"""),"Beach District")</f>
        <v>Beach District</v>
      </c>
      <c r="C7024" s="2" t="str">
        <f ca="1">IFERROR(__xludf.DUMMYFUNCTION("""COMPUTED_VALUE"""),"Building")</f>
        <v>Building</v>
      </c>
      <c r="D7024" s="2" t="str">
        <f ca="1">IFERROR(__xludf.DUMMYFUNCTION("""COMPUTED_VALUE"""),"Ras Al Khaimah&gt;Nad Al Sili&gt;Beach District")</f>
        <v>Ras Al Khaimah&gt;Nad Al Sili&gt;Beach District</v>
      </c>
      <c r="E7024" s="2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</row>
    <row r="7025" spans="1:26" ht="16.5" x14ac:dyDescent="0.35">
      <c r="A7025" s="2" t="str">
        <f ca="1">IFERROR(__xludf.DUMMYFUNCTION("""COMPUTED_VALUE"""),"Umm Al Quwain")</f>
        <v>Umm Al Quwain</v>
      </c>
      <c r="B7025" s="2" t="str">
        <f ca="1">IFERROR(__xludf.DUMMYFUNCTION("""COMPUTED_VALUE"""),"Al Humrah C")</f>
        <v>Al Humrah C</v>
      </c>
      <c r="C7025" s="2"/>
      <c r="D7025" s="2" t="str">
        <f ca="1">IFERROR(__xludf.DUMMYFUNCTION("""COMPUTED_VALUE"""),"Umm Al Quwain&gt;Al Humrah&gt;Al Humrah C")</f>
        <v>Umm Al Quwain&gt;Al Humrah&gt;Al Humrah C</v>
      </c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</row>
    <row r="7026" spans="1:26" ht="16.5" x14ac:dyDescent="0.35">
      <c r="A7026" s="2" t="str">
        <f ca="1">IFERROR(__xludf.DUMMYFUNCTION("""COMPUTED_VALUE"""),"Umm Al Quwain")</f>
        <v>Umm Al Quwain</v>
      </c>
      <c r="B7026" s="2" t="str">
        <f ca="1">IFERROR(__xludf.DUMMYFUNCTION("""COMPUTED_VALUE"""),"Sobha Siniya Island")</f>
        <v>Sobha Siniya Island</v>
      </c>
      <c r="C7026" s="2" t="str">
        <f ca="1">IFERROR(__xludf.DUMMYFUNCTION("""COMPUTED_VALUE"""),"Neighbourhood")</f>
        <v>Neighbourhood</v>
      </c>
      <c r="D7026" s="2" t="str">
        <f ca="1">IFERROR(__xludf.DUMMYFUNCTION("""COMPUTED_VALUE"""),"Umm Al Quwain&gt;Al Seanneeah&gt;Sobha Siniya Island")</f>
        <v>Umm Al Quwain&gt;Al Seanneeah&gt;Sobha Siniya Island</v>
      </c>
      <c r="E7026" s="2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</row>
    <row r="7027" spans="1:26" ht="16.5" x14ac:dyDescent="0.35">
      <c r="A7027" s="2" t="str">
        <f ca="1">IFERROR(__xludf.DUMMYFUNCTION("""COMPUTED_VALUE"""),"Umm Al Quwain")</f>
        <v>Umm Al Quwain</v>
      </c>
      <c r="B7027" s="2" t="str">
        <f ca="1">IFERROR(__xludf.DUMMYFUNCTION("""COMPUTED_VALUE"""),"Pierside Marina Residence Tower B")</f>
        <v>Pierside Marina Residence Tower B</v>
      </c>
      <c r="C7027" s="2" t="str">
        <f ca="1">IFERROR(__xludf.DUMMYFUNCTION("""COMPUTED_VALUE"""),"Building")</f>
        <v>Building</v>
      </c>
      <c r="D7027" s="2" t="str">
        <f ca="1">IFERROR(__xludf.DUMMYFUNCTION("""COMPUTED_VALUE"""),"Umm Al Quwain&gt;Al Seanneeah&gt;Sobha Siniya Island&gt;Pierside Marina Residence&gt;Pierside Marina Residence Tower B")</f>
        <v>Umm Al Quwain&gt;Al Seanneeah&gt;Sobha Siniya Island&gt;Pierside Marina Residence&gt;Pierside Marina Residence Tower B</v>
      </c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</row>
    <row r="7028" spans="1:26" ht="16.5" x14ac:dyDescent="0.35">
      <c r="A7028" s="2" t="str">
        <f ca="1">IFERROR(__xludf.DUMMYFUNCTION("""COMPUTED_VALUE"""),"Fujairah")</f>
        <v>Fujairah</v>
      </c>
      <c r="B7028" s="2" t="str">
        <f ca="1">IFERROR(__xludf.DUMMYFUNCTION("""COMPUTED_VALUE"""),"GEMS Winchester School Fujairah")</f>
        <v>GEMS Winchester School Fujairah</v>
      </c>
      <c r="C7028" s="2" t="str">
        <f ca="1">IFERROR(__xludf.DUMMYFUNCTION("""COMPUTED_VALUE"""),"School")</f>
        <v>School</v>
      </c>
      <c r="D7028" s="2" t="str">
        <f ca="1">IFERROR(__xludf.DUMMYFUNCTION("""COMPUTED_VALUE"""),"Fujairah&gt;GEMS Winchester School Fujairah")</f>
        <v>Fujairah&gt;GEMS Winchester School Fujairah</v>
      </c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</row>
    <row r="7029" spans="1:26" ht="16.5" x14ac:dyDescent="0.35">
      <c r="A7029" s="2" t="str">
        <f ca="1">IFERROR(__xludf.DUMMYFUNCTION("""COMPUTED_VALUE"""),"Fujairah")</f>
        <v>Fujairah</v>
      </c>
      <c r="B7029" s="2" t="str">
        <f ca="1">IFERROR(__xludf.DUMMYFUNCTION("""COMPUTED_VALUE"""),"Naseem Al Bahr Villas")</f>
        <v>Naseem Al Bahr Villas</v>
      </c>
      <c r="C7029" s="2" t="str">
        <f ca="1">IFERROR(__xludf.DUMMYFUNCTION("""COMPUTED_VALUE"""),"Neighbourhood")</f>
        <v>Neighbourhood</v>
      </c>
      <c r="D7029" s="2" t="str">
        <f ca="1">IFERROR(__xludf.DUMMYFUNCTION("""COMPUTED_VALUE"""),"Fujairah&gt;Al Faseel Area&gt;Naseem Al Bahr Villas")</f>
        <v>Fujairah&gt;Al Faseel Area&gt;Naseem Al Bahr Villas</v>
      </c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</row>
    <row r="7030" spans="1:26" ht="16.5" x14ac:dyDescent="0.35">
      <c r="A7030" s="2" t="str">
        <f ca="1">IFERROR(__xludf.DUMMYFUNCTION("""COMPUTED_VALUE"""),"Fujairah")</f>
        <v>Fujairah</v>
      </c>
      <c r="B7030" s="2" t="str">
        <f ca="1">IFERROR(__xludf.DUMMYFUNCTION("""COMPUTED_VALUE"""),"Siji")</f>
        <v>Siji</v>
      </c>
      <c r="C7030" s="2" t="str">
        <f ca="1">IFERROR(__xludf.DUMMYFUNCTION("""COMPUTED_VALUE"""),"Neighbourhood")</f>
        <v>Neighbourhood</v>
      </c>
      <c r="D7030" s="2" t="str">
        <f ca="1">IFERROR(__xludf.DUMMYFUNCTION("""COMPUTED_VALUE"""),"Fujairah&gt;Siji")</f>
        <v>Fujairah&gt;Siji</v>
      </c>
      <c r="E7030" s="2"/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</row>
    <row r="7031" spans="1:26" ht="16.5" x14ac:dyDescent="0.35">
      <c r="A7031" s="2" t="str">
        <f ca="1">IFERROR(__xludf.DUMMYFUNCTION("""COMPUTED_VALUE"""),"Dubai")</f>
        <v>Dubai</v>
      </c>
      <c r="B7031" s="2" t="str">
        <f ca="1">IFERROR(__xludf.DUMMYFUNCTION("""COMPUTED_VALUE"""),"Rukan Residence")</f>
        <v>Rukan Residence</v>
      </c>
      <c r="C7031" s="2" t="str">
        <f ca="1">IFERROR(__xludf.DUMMYFUNCTION("""COMPUTED_VALUE"""),"Building")</f>
        <v>Building</v>
      </c>
      <c r="D7031" s="2" t="str">
        <f ca="1">IFERROR(__xludf.DUMMYFUNCTION("""COMPUTED_VALUE"""),"Dubai&gt;Dubailand&gt;Rukan&gt;Rukan Residence")</f>
        <v>Dubai&gt;Dubailand&gt;Rukan&gt;Rukan Residence</v>
      </c>
      <c r="E7031" s="2"/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</row>
    <row r="7032" spans="1:26" ht="16.5" x14ac:dyDescent="0.35">
      <c r="A7032" s="2" t="str">
        <f ca="1">IFERROR(__xludf.DUMMYFUNCTION("""COMPUTED_VALUE"""),"Dubai")</f>
        <v>Dubai</v>
      </c>
      <c r="B7032" s="2" t="str">
        <f ca="1">IFERROR(__xludf.DUMMYFUNCTION("""COMPUTED_VALUE"""),"Al Rawdah Building")</f>
        <v>Al Rawdah Building</v>
      </c>
      <c r="C7032" s="2" t="str">
        <f ca="1">IFERROR(__xludf.DUMMYFUNCTION("""COMPUTED_VALUE"""),"Building")</f>
        <v>Building</v>
      </c>
      <c r="D7032" s="2" t="str">
        <f ca="1">IFERROR(__xludf.DUMMYFUNCTION("""COMPUTED_VALUE"""),"Dubai&gt;Dubailand&gt;Al Rawdah Building")</f>
        <v>Dubai&gt;Dubailand&gt;Al Rawdah Building</v>
      </c>
      <c r="E7032" s="2"/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</row>
    <row r="7033" spans="1:26" ht="16.5" x14ac:dyDescent="0.35">
      <c r="A7033" s="2" t="str">
        <f ca="1">IFERROR(__xludf.DUMMYFUNCTION("""COMPUTED_VALUE"""),"Dubai")</f>
        <v>Dubai</v>
      </c>
      <c r="B7033" s="2" t="str">
        <f ca="1">IFERROR(__xludf.DUMMYFUNCTION("""COMPUTED_VALUE"""),"The Apartments Dubai World Trade Centre B")</f>
        <v>The Apartments Dubai World Trade Centre B</v>
      </c>
      <c r="C7033" s="2" t="str">
        <f ca="1">IFERROR(__xludf.DUMMYFUNCTION("""COMPUTED_VALUE"""),"Building")</f>
        <v>Building</v>
      </c>
      <c r="D7033" s="2" t="str">
        <f ca="1">IFERROR(__xludf.DUMMYFUNCTION("""COMPUTED_VALUE"""),"Dubai&gt;World Trade Centre&gt;The Apartments Dubai World Trade Centre&gt;The Apartments Dubai World Trade Centre B")</f>
        <v>Dubai&gt;World Trade Centre&gt;The Apartments Dubai World Trade Centre&gt;The Apartments Dubai World Trade Centre B</v>
      </c>
      <c r="E7033" s="2"/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</row>
    <row r="7034" spans="1:26" ht="16.5" x14ac:dyDescent="0.35">
      <c r="A7034" s="2" t="str">
        <f ca="1">IFERROR(__xludf.DUMMYFUNCTION("""COMPUTED_VALUE"""),"Dubai")</f>
        <v>Dubai</v>
      </c>
      <c r="B7034" s="2" t="str">
        <f ca="1">IFERROR(__xludf.DUMMYFUNCTION("""COMPUTED_VALUE"""),"Bin Thani Residence")</f>
        <v>Bin Thani Residence</v>
      </c>
      <c r="C7034" s="2" t="str">
        <f ca="1">IFERROR(__xludf.DUMMYFUNCTION("""COMPUTED_VALUE"""),"Building")</f>
        <v>Building</v>
      </c>
      <c r="D7034" s="2" t="str">
        <f ca="1">IFERROR(__xludf.DUMMYFUNCTION("""COMPUTED_VALUE"""),"Dubai&gt;Al Qusais&gt;Al Qusais Residential Area&gt;Al Qusais 2&gt;Bin Thani Residence")</f>
        <v>Dubai&gt;Al Qusais&gt;Al Qusais Residential Area&gt;Al Qusais 2&gt;Bin Thani Residence</v>
      </c>
      <c r="E7034" s="2"/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</row>
    <row r="7035" spans="1:26" ht="16.5" x14ac:dyDescent="0.35">
      <c r="A7035" s="2" t="str">
        <f ca="1">IFERROR(__xludf.DUMMYFUNCTION("""COMPUTED_VALUE"""),"Dubai")</f>
        <v>Dubai</v>
      </c>
      <c r="B7035" s="2" t="str">
        <f ca="1">IFERROR(__xludf.DUMMYFUNCTION("""COMPUTED_VALUE"""),"Chubby Cheeks Al Qusais")</f>
        <v>Chubby Cheeks Al Qusais</v>
      </c>
      <c r="C7035" s="2" t="str">
        <f ca="1">IFERROR(__xludf.DUMMYFUNCTION("""COMPUTED_VALUE"""),"Nursery")</f>
        <v>Nursery</v>
      </c>
      <c r="D7035" s="2" t="str">
        <f ca="1">IFERROR(__xludf.DUMMYFUNCTION("""COMPUTED_VALUE"""),"Dubai&gt;Al Qusais&gt;Al Qusais Residential Area&gt;Al Qusais 1&gt;Chubby Cheeks Al Qusais")</f>
        <v>Dubai&gt;Al Qusais&gt;Al Qusais Residential Area&gt;Al Qusais 1&gt;Chubby Cheeks Al Qusais</v>
      </c>
      <c r="E7035" s="2"/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</row>
    <row r="7036" spans="1:26" ht="16.5" x14ac:dyDescent="0.35">
      <c r="A7036" s="2" t="str">
        <f ca="1">IFERROR(__xludf.DUMMYFUNCTION("""COMPUTED_VALUE"""),"Dubai")</f>
        <v>Dubai</v>
      </c>
      <c r="B7036" s="2" t="str">
        <f ca="1">IFERROR(__xludf.DUMMYFUNCTION("""COMPUTED_VALUE"""),"Jscom Tower")</f>
        <v>Jscom Tower</v>
      </c>
      <c r="C7036" s="2" t="str">
        <f ca="1">IFERROR(__xludf.DUMMYFUNCTION("""COMPUTED_VALUE"""),"Building")</f>
        <v>Building</v>
      </c>
      <c r="D7036" s="2" t="str">
        <f ca="1">IFERROR(__xludf.DUMMYFUNCTION("""COMPUTED_VALUE"""),"Dubai&gt;Al Qusais&gt;Al Qusais Residential Area&gt;Al Qusais 1&gt;Jscom Tower")</f>
        <v>Dubai&gt;Al Qusais&gt;Al Qusais Residential Area&gt;Al Qusais 1&gt;Jscom Tower</v>
      </c>
      <c r="E7036" s="2"/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</row>
    <row r="7037" spans="1:26" ht="16.5" x14ac:dyDescent="0.35">
      <c r="A7037" s="2" t="str">
        <f ca="1">IFERROR(__xludf.DUMMYFUNCTION("""COMPUTED_VALUE"""),"Dubai")</f>
        <v>Dubai</v>
      </c>
      <c r="B7037" s="2" t="str">
        <f ca="1">IFERROR(__xludf.DUMMYFUNCTION("""COMPUTED_VALUE"""),"Gayath Building Block B")</f>
        <v>Gayath Building Block B</v>
      </c>
      <c r="C7037" s="2" t="str">
        <f ca="1">IFERROR(__xludf.DUMMYFUNCTION("""COMPUTED_VALUE"""),"Building")</f>
        <v>Building</v>
      </c>
      <c r="D7037" s="2" t="str">
        <f ca="1">IFERROR(__xludf.DUMMYFUNCTION("""COMPUTED_VALUE"""),"Dubai&gt;Al Qusais&gt;Al Qusais Industrial Area&gt;Al Qusais Industrial 4&gt;Gayath Building&gt;Gayath Building Block B")</f>
        <v>Dubai&gt;Al Qusais&gt;Al Qusais Industrial Area&gt;Al Qusais Industrial 4&gt;Gayath Building&gt;Gayath Building Block B</v>
      </c>
      <c r="E7037" s="2"/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</row>
    <row r="7038" spans="1:26" ht="16.5" x14ac:dyDescent="0.35">
      <c r="A7038" s="2" t="str">
        <f ca="1">IFERROR(__xludf.DUMMYFUNCTION("""COMPUTED_VALUE"""),"Dubai")</f>
        <v>Dubai</v>
      </c>
      <c r="B7038" s="2" t="str">
        <f ca="1">IFERROR(__xludf.DUMMYFUNCTION("""COMPUTED_VALUE"""),"Acacia")</f>
        <v>Acacia</v>
      </c>
      <c r="C7038" s="2" t="str">
        <f ca="1">IFERROR(__xludf.DUMMYFUNCTION("""COMPUTED_VALUE"""),"Cluster")</f>
        <v>Cluster</v>
      </c>
      <c r="D7038" s="2" t="str">
        <f ca="1">IFERROR(__xludf.DUMMYFUNCTION("""COMPUTED_VALUE"""),"Dubai&gt;Dubai Hills Estate&gt;Park Heights&gt;Acacia")</f>
        <v>Dubai&gt;Dubai Hills Estate&gt;Park Heights&gt;Acacia</v>
      </c>
      <c r="E7038" s="2"/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</row>
    <row r="7039" spans="1:26" ht="16.5" x14ac:dyDescent="0.35">
      <c r="A7039" s="2" t="str">
        <f ca="1">IFERROR(__xludf.DUMMYFUNCTION("""COMPUTED_VALUE"""),"Dubai")</f>
        <v>Dubai</v>
      </c>
      <c r="B7039" s="2" t="str">
        <f ca="1">IFERROR(__xludf.DUMMYFUNCTION("""COMPUTED_VALUE"""),"Collective 2.0")</f>
        <v>Collective 2.0</v>
      </c>
      <c r="C7039" s="2" t="str">
        <f ca="1">IFERROR(__xludf.DUMMYFUNCTION("""COMPUTED_VALUE"""),"Cluster")</f>
        <v>Cluster</v>
      </c>
      <c r="D7039" s="2" t="str">
        <f ca="1">IFERROR(__xludf.DUMMYFUNCTION("""COMPUTED_VALUE"""),"Dubai&gt;Dubai Hills Estate&gt;Collective 2.0")</f>
        <v>Dubai&gt;Dubai Hills Estate&gt;Collective 2.0</v>
      </c>
      <c r="E7039" s="2"/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</row>
    <row r="7040" spans="1:26" ht="16.5" x14ac:dyDescent="0.35">
      <c r="A7040" s="2" t="str">
        <f ca="1">IFERROR(__xludf.DUMMYFUNCTION("""COMPUTED_VALUE"""),"Dubai")</f>
        <v>Dubai</v>
      </c>
      <c r="B7040" s="2" t="str">
        <f ca="1">IFERROR(__xludf.DUMMYFUNCTION("""COMPUTED_VALUE"""),"Golf Place I")</f>
        <v>Golf Place I</v>
      </c>
      <c r="C7040" s="2" t="str">
        <f ca="1">IFERROR(__xludf.DUMMYFUNCTION("""COMPUTED_VALUE"""),"Neighbourhood")</f>
        <v>Neighbourhood</v>
      </c>
      <c r="D7040" s="2" t="str">
        <f ca="1">IFERROR(__xludf.DUMMYFUNCTION("""COMPUTED_VALUE"""),"Dubai&gt;Dubai Hills Estate&gt;Golf Place I")</f>
        <v>Dubai&gt;Dubai Hills Estate&gt;Golf Place I</v>
      </c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</row>
    <row r="7041" spans="1:26" ht="16.5" x14ac:dyDescent="0.35">
      <c r="A7041" s="2" t="str">
        <f ca="1">IFERROR(__xludf.DUMMYFUNCTION("""COMPUTED_VALUE"""),"Dubai")</f>
        <v>Dubai</v>
      </c>
      <c r="B7041" s="2" t="str">
        <f ca="1">IFERROR(__xludf.DUMMYFUNCTION("""COMPUTED_VALUE"""),"Socio")</f>
        <v>Socio</v>
      </c>
      <c r="C7041" s="2" t="str">
        <f ca="1">IFERROR(__xludf.DUMMYFUNCTION("""COMPUTED_VALUE"""),"Cluster")</f>
        <v>Cluster</v>
      </c>
      <c r="D7041" s="2" t="str">
        <f ca="1">IFERROR(__xludf.DUMMYFUNCTION("""COMPUTED_VALUE"""),"Dubai&gt;Dubai Hills Estate&gt;Socio")</f>
        <v>Dubai&gt;Dubai Hills Estate&gt;Socio</v>
      </c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</row>
    <row r="7042" spans="1:26" ht="16.5" x14ac:dyDescent="0.35">
      <c r="A7042" s="2" t="str">
        <f ca="1">IFERROR(__xludf.DUMMYFUNCTION("""COMPUTED_VALUE"""),"Dubai")</f>
        <v>Dubai</v>
      </c>
      <c r="B7042" s="2" t="str">
        <f ca="1">IFERROR(__xludf.DUMMYFUNCTION("""COMPUTED_VALUE"""),"Hillsedge Tower B")</f>
        <v>Hillsedge Tower B</v>
      </c>
      <c r="C7042" s="2" t="str">
        <f ca="1">IFERROR(__xludf.DUMMYFUNCTION("""COMPUTED_VALUE"""),"Building")</f>
        <v>Building</v>
      </c>
      <c r="D7042" s="2" t="str">
        <f ca="1">IFERROR(__xludf.DUMMYFUNCTION("""COMPUTED_VALUE"""),"Dubai&gt;Dubai Hills Estate&gt;Hillsedge&gt;Hillsedge Tower B")</f>
        <v>Dubai&gt;Dubai Hills Estate&gt;Hillsedge&gt;Hillsedge Tower B</v>
      </c>
      <c r="E7042" s="2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</row>
    <row r="7043" spans="1:26" ht="16.5" x14ac:dyDescent="0.35">
      <c r="A7043" s="2" t="str">
        <f ca="1">IFERROR(__xludf.DUMMYFUNCTION("""COMPUTED_VALUE"""),"Dubai")</f>
        <v>Dubai</v>
      </c>
      <c r="B7043" s="2" t="str">
        <f ca="1">IFERROR(__xludf.DUMMYFUNCTION("""COMPUTED_VALUE"""),"Manazil Al Muraqqabat 02")</f>
        <v>Manazil Al Muraqqabat 02</v>
      </c>
      <c r="C7043" s="2" t="str">
        <f ca="1">IFERROR(__xludf.DUMMYFUNCTION("""COMPUTED_VALUE"""),"Building")</f>
        <v>Building</v>
      </c>
      <c r="D7043" s="2" t="str">
        <f ca="1">IFERROR(__xludf.DUMMYFUNCTION("""COMPUTED_VALUE"""),"Dubai&gt;Deira&gt;Al Muraqqabat&gt;Manazil Al Muraqqabat 02")</f>
        <v>Dubai&gt;Deira&gt;Al Muraqqabat&gt;Manazil Al Muraqqabat 02</v>
      </c>
      <c r="E7043" s="2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</row>
    <row r="7044" spans="1:26" ht="16.5" x14ac:dyDescent="0.35">
      <c r="A7044" s="2" t="str">
        <f ca="1">IFERROR(__xludf.DUMMYFUNCTION("""COMPUTED_VALUE"""),"Dubai")</f>
        <v>Dubai</v>
      </c>
      <c r="B7044" s="2" t="str">
        <f ca="1">IFERROR(__xludf.DUMMYFUNCTION("""COMPUTED_VALUE"""),"Clock Plaza Building")</f>
        <v>Clock Plaza Building</v>
      </c>
      <c r="C7044" s="2" t="str">
        <f ca="1">IFERROR(__xludf.DUMMYFUNCTION("""COMPUTED_VALUE"""),"Building")</f>
        <v>Building</v>
      </c>
      <c r="D7044" s="2" t="str">
        <f ca="1">IFERROR(__xludf.DUMMYFUNCTION("""COMPUTED_VALUE"""),"Dubai&gt;Deira&gt;Al Muraqqabat&gt;Clock Plaza Building")</f>
        <v>Dubai&gt;Deira&gt;Al Muraqqabat&gt;Clock Plaza Building</v>
      </c>
      <c r="E7044" s="2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</row>
    <row r="7045" spans="1:26" ht="16.5" x14ac:dyDescent="0.35">
      <c r="A7045" s="2" t="str">
        <f ca="1">IFERROR(__xludf.DUMMYFUNCTION("""COMPUTED_VALUE"""),"Dubai")</f>
        <v>Dubai</v>
      </c>
      <c r="B7045" s="2" t="str">
        <f ca="1">IFERROR(__xludf.DUMMYFUNCTION("""COMPUTED_VALUE"""),"MM Towers")</f>
        <v>MM Towers</v>
      </c>
      <c r="C7045" s="2" t="str">
        <f ca="1">IFERROR(__xludf.DUMMYFUNCTION("""COMPUTED_VALUE"""),"Building")</f>
        <v>Building</v>
      </c>
      <c r="D7045" s="2" t="str">
        <f ca="1">IFERROR(__xludf.DUMMYFUNCTION("""COMPUTED_VALUE"""),"Dubai&gt;Deira&gt;Riggat Al Buteen&gt;MM Towers")</f>
        <v>Dubai&gt;Deira&gt;Riggat Al Buteen&gt;MM Towers</v>
      </c>
      <c r="E7045" s="2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</row>
    <row r="7046" spans="1:26" ht="16.5" x14ac:dyDescent="0.35">
      <c r="A7046" s="2" t="str">
        <f ca="1">IFERROR(__xludf.DUMMYFUNCTION("""COMPUTED_VALUE"""),"Dubai")</f>
        <v>Dubai</v>
      </c>
      <c r="B7046" s="2" t="str">
        <f ca="1">IFERROR(__xludf.DUMMYFUNCTION("""COMPUTED_VALUE"""),"The A.B. Plaza 2")</f>
        <v>The A.B. Plaza 2</v>
      </c>
      <c r="C7046" s="2" t="str">
        <f ca="1">IFERROR(__xludf.DUMMYFUNCTION("""COMPUTED_VALUE"""),"Building")</f>
        <v>Building</v>
      </c>
      <c r="D7046" s="2" t="str">
        <f ca="1">IFERROR(__xludf.DUMMYFUNCTION("""COMPUTED_VALUE"""),"Dubai&gt;Deira&gt;Hor Al Anz&gt;The A.B. Plaza 2")</f>
        <v>Dubai&gt;Deira&gt;Hor Al Anz&gt;The A.B. Plaza 2</v>
      </c>
      <c r="E7046" s="2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</row>
    <row r="7047" spans="1:26" ht="16.5" x14ac:dyDescent="0.35">
      <c r="A7047" s="2" t="str">
        <f ca="1">IFERROR(__xludf.DUMMYFUNCTION("""COMPUTED_VALUE"""),"Dubai")</f>
        <v>Dubai</v>
      </c>
      <c r="B7047" s="2" t="str">
        <f ca="1">IFERROR(__xludf.DUMMYFUNCTION("""COMPUTED_VALUE"""),"Mohamed Saif Abdullah Al Neyadi Building")</f>
        <v>Mohamed Saif Abdullah Al Neyadi Building</v>
      </c>
      <c r="C7047" s="2" t="str">
        <f ca="1">IFERROR(__xludf.DUMMYFUNCTION("""COMPUTED_VALUE"""),"Building")</f>
        <v>Building</v>
      </c>
      <c r="D7047" s="2" t="str">
        <f ca="1">IFERROR(__xludf.DUMMYFUNCTION("""COMPUTED_VALUE"""),"Dubai&gt;Deira&gt;Hor Al Anz&gt;Mohamed Saif Abdullah Al Neyadi Building")</f>
        <v>Dubai&gt;Deira&gt;Hor Al Anz&gt;Mohamed Saif Abdullah Al Neyadi Building</v>
      </c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</row>
    <row r="7048" spans="1:26" ht="16.5" x14ac:dyDescent="0.35">
      <c r="A7048" s="2" t="str">
        <f ca="1">IFERROR(__xludf.DUMMYFUNCTION("""COMPUTED_VALUE"""),"Dubai")</f>
        <v>Dubai</v>
      </c>
      <c r="B7048" s="2" t="str">
        <f ca="1">IFERROR(__xludf.DUMMYFUNCTION("""COMPUTED_VALUE"""),"Block D Building")</f>
        <v>Block D Building</v>
      </c>
      <c r="C7048" s="2" t="str">
        <f ca="1">IFERROR(__xludf.DUMMYFUNCTION("""COMPUTED_VALUE"""),"Building")</f>
        <v>Building</v>
      </c>
      <c r="D7048" s="2" t="str">
        <f ca="1">IFERROR(__xludf.DUMMYFUNCTION("""COMPUTED_VALUE"""),"Dubai&gt;Deira&gt;Al Muteena&gt;Block D Building")</f>
        <v>Dubai&gt;Deira&gt;Al Muteena&gt;Block D Building</v>
      </c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</row>
    <row r="7049" spans="1:26" ht="16.5" x14ac:dyDescent="0.35">
      <c r="A7049" s="2" t="str">
        <f ca="1">IFERROR(__xludf.DUMMYFUNCTION("""COMPUTED_VALUE"""),"Dubai")</f>
        <v>Dubai</v>
      </c>
      <c r="B7049" s="2" t="str">
        <f ca="1">IFERROR(__xludf.DUMMYFUNCTION("""COMPUTED_VALUE"""),"Al Ghurair Apartments")</f>
        <v>Al Ghurair Apartments</v>
      </c>
      <c r="C7049" s="2" t="str">
        <f ca="1">IFERROR(__xludf.DUMMYFUNCTION("""COMPUTED_VALUE"""),"Building")</f>
        <v>Building</v>
      </c>
      <c r="D7049" s="2" t="str">
        <f ca="1">IFERROR(__xludf.DUMMYFUNCTION("""COMPUTED_VALUE"""),"Dubai&gt;Deira&gt;Al Rigga&gt;Al Ghurair Apartments")</f>
        <v>Dubai&gt;Deira&gt;Al Rigga&gt;Al Ghurair Apartments</v>
      </c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</row>
    <row r="7050" spans="1:26" ht="16.5" x14ac:dyDescent="0.35">
      <c r="A7050" s="2" t="str">
        <f ca="1">IFERROR(__xludf.DUMMYFUNCTION("""COMPUTED_VALUE"""),"Dubai")</f>
        <v>Dubai</v>
      </c>
      <c r="B7050" s="2" t="str">
        <f ca="1">IFERROR(__xludf.DUMMYFUNCTION("""COMPUTED_VALUE"""),"Hind Plaza")</f>
        <v>Hind Plaza</v>
      </c>
      <c r="C7050" s="2" t="str">
        <f ca="1">IFERROR(__xludf.DUMMYFUNCTION("""COMPUTED_VALUE"""),"Cluster")</f>
        <v>Cluster</v>
      </c>
      <c r="D7050" s="2" t="str">
        <f ca="1">IFERROR(__xludf.DUMMYFUNCTION("""COMPUTED_VALUE"""),"Dubai&gt;Deira&gt;Deira Enrichment Project&gt;Hind Plaza")</f>
        <v>Dubai&gt;Deira&gt;Deira Enrichment Project&gt;Hind Plaza</v>
      </c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</row>
    <row r="7051" spans="1:26" ht="16.5" x14ac:dyDescent="0.35">
      <c r="A7051" s="2" t="str">
        <f ca="1">IFERROR(__xludf.DUMMYFUNCTION("""COMPUTED_VALUE"""),"Dubai")</f>
        <v>Dubai</v>
      </c>
      <c r="B7051" s="2" t="str">
        <f ca="1">IFERROR(__xludf.DUMMYFUNCTION("""COMPUTED_VALUE"""),"Abdulwahed Bin Shabib Building 11")</f>
        <v>Abdulwahed Bin Shabib Building 11</v>
      </c>
      <c r="C7051" s="2" t="str">
        <f ca="1">IFERROR(__xludf.DUMMYFUNCTION("""COMPUTED_VALUE"""),"Building")</f>
        <v>Building</v>
      </c>
      <c r="D7051" s="2" t="str">
        <f ca="1">IFERROR(__xludf.DUMMYFUNCTION("""COMPUTED_VALUE"""),"Dubai&gt;Deira&gt;Naif&gt;Abdulwahed Bin Shabib Building 11")</f>
        <v>Dubai&gt;Deira&gt;Naif&gt;Abdulwahed Bin Shabib Building 11</v>
      </c>
      <c r="E7051" s="2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</row>
    <row r="7052" spans="1:26" ht="16.5" x14ac:dyDescent="0.35">
      <c r="A7052" s="2" t="str">
        <f ca="1">IFERROR(__xludf.DUMMYFUNCTION("""COMPUTED_VALUE"""),"Dubai")</f>
        <v>Dubai</v>
      </c>
      <c r="B7052" s="2" t="str">
        <f ca="1">IFERROR(__xludf.DUMMYFUNCTION("""COMPUTED_VALUE"""),"Abraj Center")</f>
        <v>Abraj Center</v>
      </c>
      <c r="C7052" s="2" t="str">
        <f ca="1">IFERROR(__xludf.DUMMYFUNCTION("""COMPUTED_VALUE"""),"Building")</f>
        <v>Building</v>
      </c>
      <c r="D7052" s="2" t="str">
        <f ca="1">IFERROR(__xludf.DUMMYFUNCTION("""COMPUTED_VALUE"""),"Dubai&gt;Deira&gt;Naif&gt;Abraj Center")</f>
        <v>Dubai&gt;Deira&gt;Naif&gt;Abraj Center</v>
      </c>
      <c r="E7052" s="2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</row>
    <row r="7053" spans="1:26" ht="16.5" x14ac:dyDescent="0.35">
      <c r="A7053" s="2" t="str">
        <f ca="1">IFERROR(__xludf.DUMMYFUNCTION("""COMPUTED_VALUE"""),"Dubai")</f>
        <v>Dubai</v>
      </c>
      <c r="B7053" s="2" t="str">
        <f ca="1">IFERROR(__xludf.DUMMYFUNCTION("""COMPUTED_VALUE"""),"Abdulwahed Bin Shabib Proptery 153 Building")</f>
        <v>Abdulwahed Bin Shabib Proptery 153 Building</v>
      </c>
      <c r="C7053" s="2" t="str">
        <f ca="1">IFERROR(__xludf.DUMMYFUNCTION("""COMPUTED_VALUE"""),"Building")</f>
        <v>Building</v>
      </c>
      <c r="D7053" s="2" t="str">
        <f ca="1">IFERROR(__xludf.DUMMYFUNCTION("""COMPUTED_VALUE"""),"Dubai&gt;Deira&gt;Al Murar&gt;Abdulwahed Bin Shabib Proptery 153 Building")</f>
        <v>Dubai&gt;Deira&gt;Al Murar&gt;Abdulwahed Bin Shabib Proptery 153 Building</v>
      </c>
      <c r="E7053" s="2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</row>
    <row r="7054" spans="1:26" ht="16.5" x14ac:dyDescent="0.35">
      <c r="A7054" s="2" t="str">
        <f ca="1">IFERROR(__xludf.DUMMYFUNCTION("""COMPUTED_VALUE"""),"Dubai")</f>
        <v>Dubai</v>
      </c>
      <c r="B7054" s="2" t="str">
        <f ca="1">IFERROR(__xludf.DUMMYFUNCTION("""COMPUTED_VALUE"""),"Al Daghaya")</f>
        <v>Al Daghaya</v>
      </c>
      <c r="C7054" s="2" t="str">
        <f ca="1">IFERROR(__xludf.DUMMYFUNCTION("""COMPUTED_VALUE"""),"Neighbourhood")</f>
        <v>Neighbourhood</v>
      </c>
      <c r="D7054" s="2" t="str">
        <f ca="1">IFERROR(__xludf.DUMMYFUNCTION("""COMPUTED_VALUE"""),"Dubai&gt;Deira&gt;Al Daghaya")</f>
        <v>Dubai&gt;Deira&gt;Al Daghaya</v>
      </c>
      <c r="E7054" s="2"/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</row>
    <row r="7055" spans="1:26" ht="16.5" x14ac:dyDescent="0.35">
      <c r="A7055" s="2" t="str">
        <f ca="1">IFERROR(__xludf.DUMMYFUNCTION("""COMPUTED_VALUE"""),"Dubai")</f>
        <v>Dubai</v>
      </c>
      <c r="B7055" s="2" t="str">
        <f ca="1">IFERROR(__xludf.DUMMYFUNCTION("""COMPUTED_VALUE"""),"Centurion Star B")</f>
        <v>Centurion Star B</v>
      </c>
      <c r="C7055" s="2" t="str">
        <f ca="1">IFERROR(__xludf.DUMMYFUNCTION("""COMPUTED_VALUE"""),"Building")</f>
        <v>Building</v>
      </c>
      <c r="D7055" s="2" t="str">
        <f ca="1">IFERROR(__xludf.DUMMYFUNCTION("""COMPUTED_VALUE"""),"Dubai&gt;Deira&gt;Port Saeed&gt;Centurion Star&gt;Centurion Star B")</f>
        <v>Dubai&gt;Deira&gt;Port Saeed&gt;Centurion Star&gt;Centurion Star B</v>
      </c>
      <c r="E7055" s="2"/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</row>
    <row r="7056" spans="1:26" ht="16.5" x14ac:dyDescent="0.35">
      <c r="A7056" s="2" t="str">
        <f ca="1">IFERROR(__xludf.DUMMYFUNCTION("""COMPUTED_VALUE"""),"Dubai")</f>
        <v>Dubai</v>
      </c>
      <c r="B7056" s="2" t="str">
        <f ca="1">IFERROR(__xludf.DUMMYFUNCTION("""COMPUTED_VALUE"""),"Naima Juma Matar W.O. Ali Mubarak Ali Al Soori Building")</f>
        <v>Naima Juma Matar W.O. Ali Mubarak Ali Al Soori Building</v>
      </c>
      <c r="C7056" s="2" t="str">
        <f ca="1">IFERROR(__xludf.DUMMYFUNCTION("""COMPUTED_VALUE"""),"Building")</f>
        <v>Building</v>
      </c>
      <c r="D7056" s="2" t="str">
        <f ca="1">IFERROR(__xludf.DUMMYFUNCTION("""COMPUTED_VALUE"""),"Dubai&gt;Deira&gt;Port Saeed&gt;Naima Juma Matar W.O. Ali Mubarak Ali Al Soori Building")</f>
        <v>Dubai&gt;Deira&gt;Port Saeed&gt;Naima Juma Matar W.O. Ali Mubarak Ali Al Soori Building</v>
      </c>
      <c r="E7056" s="2"/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</row>
    <row r="7057" spans="1:26" ht="16.5" x14ac:dyDescent="0.35">
      <c r="A7057" s="2" t="str">
        <f ca="1">IFERROR(__xludf.DUMMYFUNCTION("""COMPUTED_VALUE"""),"Dubai")</f>
        <v>Dubai</v>
      </c>
      <c r="B7057" s="2" t="str">
        <f ca="1">IFERROR(__xludf.DUMMYFUNCTION("""COMPUTED_VALUE"""),"The Pad")</f>
        <v>The Pad</v>
      </c>
      <c r="C7057" s="2" t="str">
        <f ca="1">IFERROR(__xludf.DUMMYFUNCTION("""COMPUTED_VALUE"""),"Building")</f>
        <v>Building</v>
      </c>
      <c r="D7057" s="2" t="str">
        <f ca="1">IFERROR(__xludf.DUMMYFUNCTION("""COMPUTED_VALUE"""),"Dubai&gt;Business Bay&gt;The Pad")</f>
        <v>Dubai&gt;Business Bay&gt;The Pad</v>
      </c>
      <c r="E7057" s="2"/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</row>
    <row r="7058" spans="1:26" ht="16.5" x14ac:dyDescent="0.35">
      <c r="A7058" s="2" t="str">
        <f ca="1">IFERROR(__xludf.DUMMYFUNCTION("""COMPUTED_VALUE"""),"Dubai")</f>
        <v>Dubai</v>
      </c>
      <c r="B7058" s="2" t="str">
        <f ca="1">IFERROR(__xludf.DUMMYFUNCTION("""COMPUTED_VALUE"""),"Capital Bay Towers")</f>
        <v>Capital Bay Towers</v>
      </c>
      <c r="C7058" s="2" t="str">
        <f ca="1">IFERROR(__xludf.DUMMYFUNCTION("""COMPUTED_VALUE"""),"Cluster")</f>
        <v>Cluster</v>
      </c>
      <c r="D7058" s="2" t="str">
        <f ca="1">IFERROR(__xludf.DUMMYFUNCTION("""COMPUTED_VALUE"""),"Dubai&gt;Business Bay&gt;Capital Bay Towers")</f>
        <v>Dubai&gt;Business Bay&gt;Capital Bay Towers</v>
      </c>
      <c r="E7058" s="2"/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</row>
    <row r="7059" spans="1:26" ht="16.5" x14ac:dyDescent="0.35">
      <c r="A7059" s="2" t="str">
        <f ca="1">IFERROR(__xludf.DUMMYFUNCTION("""COMPUTED_VALUE"""),"Dubai")</f>
        <v>Dubai</v>
      </c>
      <c r="B7059" s="2" t="str">
        <f ca="1">IFERROR(__xludf.DUMMYFUNCTION("""COMPUTED_VALUE"""),"Vezul Tower")</f>
        <v>Vezul Tower</v>
      </c>
      <c r="C7059" s="2" t="str">
        <f ca="1">IFERROR(__xludf.DUMMYFUNCTION("""COMPUTED_VALUE"""),"Building")</f>
        <v>Building</v>
      </c>
      <c r="D7059" s="2" t="str">
        <f ca="1">IFERROR(__xludf.DUMMYFUNCTION("""COMPUTED_VALUE"""),"Dubai&gt;Business Bay&gt;Vezul Tower")</f>
        <v>Dubai&gt;Business Bay&gt;Vezul Tower</v>
      </c>
      <c r="E7059" s="2"/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</row>
    <row r="7060" spans="1:26" ht="16.5" x14ac:dyDescent="0.35">
      <c r="A7060" s="2" t="str">
        <f ca="1">IFERROR(__xludf.DUMMYFUNCTION("""COMPUTED_VALUE"""),"Dubai")</f>
        <v>Dubai</v>
      </c>
      <c r="B7060" s="2" t="str">
        <f ca="1">IFERROR(__xludf.DUMMYFUNCTION("""COMPUTED_VALUE"""),"Silver Tower Business Bay")</f>
        <v>Silver Tower Business Bay</v>
      </c>
      <c r="C7060" s="2" t="str">
        <f ca="1">IFERROR(__xludf.DUMMYFUNCTION("""COMPUTED_VALUE"""),"Building")</f>
        <v>Building</v>
      </c>
      <c r="D7060" s="2" t="str">
        <f ca="1">IFERROR(__xludf.DUMMYFUNCTION("""COMPUTED_VALUE"""),"Dubai&gt;Business Bay&gt;Silver Tower Business Bay")</f>
        <v>Dubai&gt;Business Bay&gt;Silver Tower Business Bay</v>
      </c>
      <c r="E7060" s="2"/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</row>
    <row r="7061" spans="1:26" ht="16.5" x14ac:dyDescent="0.35">
      <c r="A7061" s="2" t="str">
        <f ca="1">IFERROR(__xludf.DUMMYFUNCTION("""COMPUTED_VALUE"""),"Dubai")</f>
        <v>Dubai</v>
      </c>
      <c r="B7061" s="2" t="str">
        <f ca="1">IFERROR(__xludf.DUMMYFUNCTION("""COMPUTED_VALUE"""),"Falcon Tower")</f>
        <v>Falcon Tower</v>
      </c>
      <c r="C7061" s="2" t="str">
        <f ca="1">IFERROR(__xludf.DUMMYFUNCTION("""COMPUTED_VALUE"""),"Building")</f>
        <v>Building</v>
      </c>
      <c r="D7061" s="2" t="str">
        <f ca="1">IFERROR(__xludf.DUMMYFUNCTION("""COMPUTED_VALUE"""),"Dubai&gt;Business Bay&gt;Falcon Tower")</f>
        <v>Dubai&gt;Business Bay&gt;Falcon Tower</v>
      </c>
      <c r="E7061" s="2"/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</row>
    <row r="7062" spans="1:26" ht="16.5" x14ac:dyDescent="0.35">
      <c r="A7062" s="2" t="str">
        <f ca="1">IFERROR(__xludf.DUMMYFUNCTION("""COMPUTED_VALUE"""),"Dubai")</f>
        <v>Dubai</v>
      </c>
      <c r="B7062" s="2" t="str">
        <f ca="1">IFERROR(__xludf.DUMMYFUNCTION("""COMPUTED_VALUE"""),"Iris Bay")</f>
        <v>Iris Bay</v>
      </c>
      <c r="C7062" s="2" t="str">
        <f ca="1">IFERROR(__xludf.DUMMYFUNCTION("""COMPUTED_VALUE"""),"Building")</f>
        <v>Building</v>
      </c>
      <c r="D7062" s="2" t="str">
        <f ca="1">IFERROR(__xludf.DUMMYFUNCTION("""COMPUTED_VALUE"""),"Dubai&gt;Business Bay&gt;Iris Bay")</f>
        <v>Dubai&gt;Business Bay&gt;Iris Bay</v>
      </c>
      <c r="E7062" s="2"/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</row>
    <row r="7063" spans="1:26" ht="16.5" x14ac:dyDescent="0.35">
      <c r="A7063" s="2" t="str">
        <f ca="1">IFERROR(__xludf.DUMMYFUNCTION("""COMPUTED_VALUE"""),"Dubai")</f>
        <v>Dubai</v>
      </c>
      <c r="B7063" s="2" t="str">
        <f ca="1">IFERROR(__xludf.DUMMYFUNCTION("""COMPUTED_VALUE"""),"Canal Heights 2")</f>
        <v>Canal Heights 2</v>
      </c>
      <c r="C7063" s="2" t="str">
        <f ca="1">IFERROR(__xludf.DUMMYFUNCTION("""COMPUTED_VALUE"""),"Building")</f>
        <v>Building</v>
      </c>
      <c r="D7063" s="2" t="str">
        <f ca="1">IFERROR(__xludf.DUMMYFUNCTION("""COMPUTED_VALUE"""),"Dubai&gt;Business Bay&gt;Canal Heights 2")</f>
        <v>Dubai&gt;Business Bay&gt;Canal Heights 2</v>
      </c>
      <c r="E7063" s="2"/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</row>
    <row r="7064" spans="1:26" ht="16.5" x14ac:dyDescent="0.35">
      <c r="A7064" s="2" t="str">
        <f ca="1">IFERROR(__xludf.DUMMYFUNCTION("""COMPUTED_VALUE"""),"Dubai")</f>
        <v>Dubai</v>
      </c>
      <c r="B7064" s="2" t="str">
        <f ca="1">IFERROR(__xludf.DUMMYFUNCTION("""COMPUTED_VALUE"""),"Peninsula")</f>
        <v>Peninsula</v>
      </c>
      <c r="C7064" s="2" t="str">
        <f ca="1">IFERROR(__xludf.DUMMYFUNCTION("""COMPUTED_VALUE"""),"Neighbourhood")</f>
        <v>Neighbourhood</v>
      </c>
      <c r="D7064" s="2" t="str">
        <f ca="1">IFERROR(__xludf.DUMMYFUNCTION("""COMPUTED_VALUE"""),"Dubai&gt;Business Bay&gt;Peninsula")</f>
        <v>Dubai&gt;Business Bay&gt;Peninsula</v>
      </c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</row>
    <row r="7065" spans="1:26" ht="16.5" x14ac:dyDescent="0.35">
      <c r="A7065" s="2" t="str">
        <f ca="1">IFERROR(__xludf.DUMMYFUNCTION("""COMPUTED_VALUE"""),"Dubai")</f>
        <v>Dubai</v>
      </c>
      <c r="B7065" s="2" t="str">
        <f ca="1">IFERROR(__xludf.DUMMYFUNCTION("""COMPUTED_VALUE"""),"Velor Tower")</f>
        <v>Velor Tower</v>
      </c>
      <c r="C7065" s="2" t="str">
        <f ca="1">IFERROR(__xludf.DUMMYFUNCTION("""COMPUTED_VALUE"""),"Building")</f>
        <v>Building</v>
      </c>
      <c r="D7065" s="2" t="str">
        <f ca="1">IFERROR(__xludf.DUMMYFUNCTION("""COMPUTED_VALUE"""),"Dubai&gt;Business Bay&gt;Velor Tower")</f>
        <v>Dubai&gt;Business Bay&gt;Velor Tower</v>
      </c>
      <c r="E7065" s="2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</row>
    <row r="7066" spans="1:26" ht="16.5" x14ac:dyDescent="0.35">
      <c r="A7066" s="2" t="str">
        <f ca="1">IFERROR(__xludf.DUMMYFUNCTION("""COMPUTED_VALUE"""),"Dubai")</f>
        <v>Dubai</v>
      </c>
      <c r="B7066" s="2" t="str">
        <f ca="1">IFERROR(__xludf.DUMMYFUNCTION("""COMPUTED_VALUE"""),"The Imperial Residence C")</f>
        <v>The Imperial Residence C</v>
      </c>
      <c r="C7066" s="2" t="str">
        <f ca="1">IFERROR(__xludf.DUMMYFUNCTION("""COMPUTED_VALUE"""),"Building")</f>
        <v>Building</v>
      </c>
      <c r="D7066" s="2" t="str">
        <f ca="1">IFERROR(__xludf.DUMMYFUNCTION("""COMPUTED_VALUE"""),"Dubai&gt;Jumeirah Village Triangle (JVT)&gt;JVT District 5&gt;The Imperial Residence&gt;The Imperial Residence C")</f>
        <v>Dubai&gt;Jumeirah Village Triangle (JVT)&gt;JVT District 5&gt;The Imperial Residence&gt;The Imperial Residence C</v>
      </c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</row>
    <row r="7067" spans="1:26" ht="16.5" x14ac:dyDescent="0.35">
      <c r="A7067" s="2" t="str">
        <f ca="1">IFERROR(__xludf.DUMMYFUNCTION("""COMPUTED_VALUE"""),"Dubai")</f>
        <v>Dubai</v>
      </c>
      <c r="B7067" s="2" t="str">
        <f ca="1">IFERROR(__xludf.DUMMYFUNCTION("""COMPUTED_VALUE"""),"District 8O")</f>
        <v>District 8O</v>
      </c>
      <c r="C7067" s="2" t="str">
        <f ca="1">IFERROR(__xludf.DUMMYFUNCTION("""COMPUTED_VALUE"""),"Neighbourhood")</f>
        <v>Neighbourhood</v>
      </c>
      <c r="D7067" s="2" t="str">
        <f ca="1">IFERROR(__xludf.DUMMYFUNCTION("""COMPUTED_VALUE"""),"Dubai&gt;Jumeirah Village Triangle (JVT)&gt;JVT District 8&gt;District 8O")</f>
        <v>Dubai&gt;Jumeirah Village Triangle (JVT)&gt;JVT District 8&gt;District 8O</v>
      </c>
      <c r="E7067" s="2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</row>
    <row r="7068" spans="1:26" ht="16.5" x14ac:dyDescent="0.35">
      <c r="A7068" s="2" t="str">
        <f ca="1">IFERROR(__xludf.DUMMYFUNCTION("""COMPUTED_VALUE"""),"Dubai")</f>
        <v>Dubai</v>
      </c>
      <c r="B7068" s="2" t="str">
        <f ca="1">IFERROR(__xludf.DUMMYFUNCTION("""COMPUTED_VALUE"""),"Cloud Tower")</f>
        <v>Cloud Tower</v>
      </c>
      <c r="C7068" s="2" t="str">
        <f ca="1">IFERROR(__xludf.DUMMYFUNCTION("""COMPUTED_VALUE"""),"Cluster")</f>
        <v>Cluster</v>
      </c>
      <c r="D7068" s="2" t="str">
        <f ca="1">IFERROR(__xludf.DUMMYFUNCTION("""COMPUTED_VALUE"""),"Dubai&gt;Jumeirah Village Triangle (JVT)&gt;JVT District 2&gt;Cloud Tower")</f>
        <v>Dubai&gt;Jumeirah Village Triangle (JVT)&gt;JVT District 2&gt;Cloud Tower</v>
      </c>
      <c r="E7068" s="2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</row>
    <row r="7069" spans="1:26" ht="16.5" x14ac:dyDescent="0.35">
      <c r="A7069" s="2" t="str">
        <f ca="1">IFERROR(__xludf.DUMMYFUNCTION("""COMPUTED_VALUE"""),"Dubai")</f>
        <v>Dubai</v>
      </c>
      <c r="B7069" s="2" t="str">
        <f ca="1">IFERROR(__xludf.DUMMYFUNCTION("""COMPUTED_VALUE"""),"District 7F")</f>
        <v>District 7F</v>
      </c>
      <c r="C7069" s="2" t="str">
        <f ca="1">IFERROR(__xludf.DUMMYFUNCTION("""COMPUTED_VALUE"""),"Neighbourhood")</f>
        <v>Neighbourhood</v>
      </c>
      <c r="D7069" s="2" t="str">
        <f ca="1">IFERROR(__xludf.DUMMYFUNCTION("""COMPUTED_VALUE"""),"Dubai&gt;Jumeirah Village Triangle (JVT)&gt;JVT District 7&gt;District 7F")</f>
        <v>Dubai&gt;Jumeirah Village Triangle (JVT)&gt;JVT District 7&gt;District 7F</v>
      </c>
      <c r="E7069" s="2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</row>
    <row r="7070" spans="1:26" ht="16.5" x14ac:dyDescent="0.35">
      <c r="A7070" s="2" t="str">
        <f ca="1">IFERROR(__xludf.DUMMYFUNCTION("""COMPUTED_VALUE"""),"Dubai")</f>
        <v>Dubai</v>
      </c>
      <c r="B7070" s="2" t="str">
        <f ca="1">IFERROR(__xludf.DUMMYFUNCTION("""COMPUTED_VALUE"""),"District 4B")</f>
        <v>District 4B</v>
      </c>
      <c r="C7070" s="2" t="str">
        <f ca="1">IFERROR(__xludf.DUMMYFUNCTION("""COMPUTED_VALUE"""),"Neighbourhood")</f>
        <v>Neighbourhood</v>
      </c>
      <c r="D7070" s="2" t="str">
        <f ca="1">IFERROR(__xludf.DUMMYFUNCTION("""COMPUTED_VALUE"""),"Dubai&gt;Jumeirah Village Triangle (JVT)&gt;JVT District 4&gt;District 4B")</f>
        <v>Dubai&gt;Jumeirah Village Triangle (JVT)&gt;JVT District 4&gt;District 4B</v>
      </c>
      <c r="E7070" s="2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</row>
    <row r="7071" spans="1:26" ht="16.5" x14ac:dyDescent="0.35">
      <c r="A7071" s="2" t="str">
        <f ca="1">IFERROR(__xludf.DUMMYFUNCTION("""COMPUTED_VALUE"""),"Dubai")</f>
        <v>Dubai</v>
      </c>
      <c r="B7071" s="2" t="str">
        <f ca="1">IFERROR(__xludf.DUMMYFUNCTION("""COMPUTED_VALUE"""),"Park Inn by Radisson")</f>
        <v>Park Inn by Radisson</v>
      </c>
      <c r="C7071" s="2" t="str">
        <f ca="1">IFERROR(__xludf.DUMMYFUNCTION("""COMPUTED_VALUE"""),"Building")</f>
        <v>Building</v>
      </c>
      <c r="D7071" s="2" t="str">
        <f ca="1">IFERROR(__xludf.DUMMYFUNCTION("""COMPUTED_VALUE"""),"Dubai&gt;Jumeirah Village Triangle (JVT)&gt;JVT District 3&gt;Park Inn by Radisson")</f>
        <v>Dubai&gt;Jumeirah Village Triangle (JVT)&gt;JVT District 3&gt;Park Inn by Radisson</v>
      </c>
      <c r="E7071" s="2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</row>
    <row r="7072" spans="1:26" ht="16.5" x14ac:dyDescent="0.35">
      <c r="A7072" s="2" t="str">
        <f ca="1">IFERROR(__xludf.DUMMYFUNCTION("""COMPUTED_VALUE"""),"Dubai")</f>
        <v>Dubai</v>
      </c>
      <c r="B7072" s="2" t="str">
        <f ca="1">IFERROR(__xludf.DUMMYFUNCTION("""COMPUTED_VALUE"""),"Al Ramth 45")</f>
        <v>Al Ramth 45</v>
      </c>
      <c r="C7072" s="2" t="str">
        <f ca="1">IFERROR(__xludf.DUMMYFUNCTION("""COMPUTED_VALUE"""),"Building")</f>
        <v>Building</v>
      </c>
      <c r="D7072" s="2" t="str">
        <f ca="1">IFERROR(__xludf.DUMMYFUNCTION("""COMPUTED_VALUE"""),"Dubai&gt;Remraam&gt;Al Ramth&gt;Al Ramth 45")</f>
        <v>Dubai&gt;Remraam&gt;Al Ramth&gt;Al Ramth 45</v>
      </c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</row>
    <row r="7073" spans="1:26" ht="16.5" x14ac:dyDescent="0.35">
      <c r="A7073" s="2" t="str">
        <f ca="1">IFERROR(__xludf.DUMMYFUNCTION("""COMPUTED_VALUE"""),"Dubai")</f>
        <v>Dubai</v>
      </c>
      <c r="B7073" s="2" t="str">
        <f ca="1">IFERROR(__xludf.DUMMYFUNCTION("""COMPUTED_VALUE"""),"Al Ramth 18")</f>
        <v>Al Ramth 18</v>
      </c>
      <c r="C7073" s="2" t="str">
        <f ca="1">IFERROR(__xludf.DUMMYFUNCTION("""COMPUTED_VALUE"""),"Building")</f>
        <v>Building</v>
      </c>
      <c r="D7073" s="2" t="str">
        <f ca="1">IFERROR(__xludf.DUMMYFUNCTION("""COMPUTED_VALUE"""),"Dubai&gt;Remraam&gt;Al Ramth&gt;Al Ramth 18")</f>
        <v>Dubai&gt;Remraam&gt;Al Ramth&gt;Al Ramth 18</v>
      </c>
      <c r="E7073" s="2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</row>
    <row r="7074" spans="1:26" ht="16.5" x14ac:dyDescent="0.35">
      <c r="A7074" s="2" t="str">
        <f ca="1">IFERROR(__xludf.DUMMYFUNCTION("""COMPUTED_VALUE"""),"Dubai")</f>
        <v>Dubai</v>
      </c>
      <c r="B7074" s="2" t="str">
        <f ca="1">IFERROR(__xludf.DUMMYFUNCTION("""COMPUTED_VALUE"""),"Al Thamam 15")</f>
        <v>Al Thamam 15</v>
      </c>
      <c r="C7074" s="2" t="str">
        <f ca="1">IFERROR(__xludf.DUMMYFUNCTION("""COMPUTED_VALUE"""),"Building")</f>
        <v>Building</v>
      </c>
      <c r="D7074" s="2" t="str">
        <f ca="1">IFERROR(__xludf.DUMMYFUNCTION("""COMPUTED_VALUE"""),"Dubai&gt;Remraam&gt;Al Thamam&gt;Al Thamam 15")</f>
        <v>Dubai&gt;Remraam&gt;Al Thamam&gt;Al Thamam 15</v>
      </c>
      <c r="E7074" s="2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</row>
    <row r="7075" spans="1:26" ht="16.5" x14ac:dyDescent="0.35">
      <c r="A7075" s="2" t="str">
        <f ca="1">IFERROR(__xludf.DUMMYFUNCTION("""COMPUTED_VALUE"""),"Dubai")</f>
        <v>Dubai</v>
      </c>
      <c r="B7075" s="2" t="str">
        <f ca="1">IFERROR(__xludf.DUMMYFUNCTION("""COMPUTED_VALUE"""),"Exotica by Al Marina")</f>
        <v>Exotica by Al Marina</v>
      </c>
      <c r="C7075" s="2" t="str">
        <f ca="1">IFERROR(__xludf.DUMMYFUNCTION("""COMPUTED_VALUE"""),"Building")</f>
        <v>Building</v>
      </c>
      <c r="D7075" s="2" t="str">
        <f ca="1">IFERROR(__xludf.DUMMYFUNCTION("""COMPUTED_VALUE"""),"Dubai&gt;Jumeirah Village Circle (JVC)&gt;JVC District 17&gt;Exotica by Al Marina")</f>
        <v>Dubai&gt;Jumeirah Village Circle (JVC)&gt;JVC District 17&gt;Exotica by Al Marina</v>
      </c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</row>
    <row r="7076" spans="1:26" ht="16.5" x14ac:dyDescent="0.35">
      <c r="A7076" s="2" t="str">
        <f ca="1">IFERROR(__xludf.DUMMYFUNCTION("""COMPUTED_VALUE"""),"Dubai")</f>
        <v>Dubai</v>
      </c>
      <c r="B7076" s="2" t="str">
        <f ca="1">IFERROR(__xludf.DUMMYFUNCTION("""COMPUTED_VALUE"""),"Roxana Residence B")</f>
        <v>Roxana Residence B</v>
      </c>
      <c r="C7076" s="2" t="str">
        <f ca="1">IFERROR(__xludf.DUMMYFUNCTION("""COMPUTED_VALUE"""),"Building")</f>
        <v>Building</v>
      </c>
      <c r="D7076" s="2" t="str">
        <f ca="1">IFERROR(__xludf.DUMMYFUNCTION("""COMPUTED_VALUE"""),"Dubai&gt;Jumeirah Village Circle (JVC)&gt;JVC District 12&gt;Roxana Residences&gt;Roxana Residence B")</f>
        <v>Dubai&gt;Jumeirah Village Circle (JVC)&gt;JVC District 12&gt;Roxana Residences&gt;Roxana Residence B</v>
      </c>
      <c r="E7076" s="2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</row>
    <row r="7077" spans="1:26" ht="16.5" x14ac:dyDescent="0.35">
      <c r="A7077" s="2" t="str">
        <f ca="1">IFERROR(__xludf.DUMMYFUNCTION("""COMPUTED_VALUE"""),"Dubai")</f>
        <v>Dubai</v>
      </c>
      <c r="B7077" s="2" t="str">
        <f ca="1">IFERROR(__xludf.DUMMYFUNCTION("""COMPUTED_VALUE"""),"Westar Azure")</f>
        <v>Westar Azure</v>
      </c>
      <c r="C7077" s="2" t="str">
        <f ca="1">IFERROR(__xludf.DUMMYFUNCTION("""COMPUTED_VALUE"""),"Building")</f>
        <v>Building</v>
      </c>
      <c r="D7077" s="2" t="str">
        <f ca="1">IFERROR(__xludf.DUMMYFUNCTION("""COMPUTED_VALUE"""),"Dubai&gt;Jumeirah Village Circle (JVC)&gt;JVC District 12&gt;Westar Azure")</f>
        <v>Dubai&gt;Jumeirah Village Circle (JVC)&gt;JVC District 12&gt;Westar Azure</v>
      </c>
      <c r="E7077" s="2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</row>
    <row r="7078" spans="1:26" ht="16.5" x14ac:dyDescent="0.35">
      <c r="A7078" s="2" t="str">
        <f ca="1">IFERROR(__xludf.DUMMYFUNCTION("""COMPUTED_VALUE"""),"Dubai")</f>
        <v>Dubai</v>
      </c>
      <c r="B7078" s="2" t="str">
        <f ca="1">IFERROR(__xludf.DUMMYFUNCTION("""COMPUTED_VALUE"""),"Binghatti Aurora")</f>
        <v>Binghatti Aurora</v>
      </c>
      <c r="C7078" s="2" t="str">
        <f ca="1">IFERROR(__xludf.DUMMYFUNCTION("""COMPUTED_VALUE"""),"Building")</f>
        <v>Building</v>
      </c>
      <c r="D7078" s="2" t="str">
        <f ca="1">IFERROR(__xludf.DUMMYFUNCTION("""COMPUTED_VALUE"""),"Dubai&gt;Jumeirah Village Circle (JVC)&gt;JVC District 12&gt;Binghatti Aurora")</f>
        <v>Dubai&gt;Jumeirah Village Circle (JVC)&gt;JVC District 12&gt;Binghatti Aurora</v>
      </c>
      <c r="E7078" s="2"/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</row>
    <row r="7079" spans="1:26" ht="16.5" x14ac:dyDescent="0.35">
      <c r="A7079" s="2" t="str">
        <f ca="1">IFERROR(__xludf.DUMMYFUNCTION("""COMPUTED_VALUE"""),"Dubai")</f>
        <v>Dubai</v>
      </c>
      <c r="B7079" s="2" t="str">
        <f ca="1">IFERROR(__xludf.DUMMYFUNCTION("""COMPUTED_VALUE"""),"Lucky 1 Residences")</f>
        <v>Lucky 1 Residences</v>
      </c>
      <c r="C7079" s="2" t="str">
        <f ca="1">IFERROR(__xludf.DUMMYFUNCTION("""COMPUTED_VALUE"""),"Building")</f>
        <v>Building</v>
      </c>
      <c r="D7079" s="2" t="str">
        <f ca="1">IFERROR(__xludf.DUMMYFUNCTION("""COMPUTED_VALUE"""),"Dubai&gt;Jumeirah Village Circle (JVC)&gt;JVC District 13&gt;Lucky 1 Residences")</f>
        <v>Dubai&gt;Jumeirah Village Circle (JVC)&gt;JVC District 13&gt;Lucky 1 Residences</v>
      </c>
      <c r="E7079" s="2"/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</row>
    <row r="7080" spans="1:26" ht="16.5" x14ac:dyDescent="0.35">
      <c r="A7080" s="2" t="str">
        <f ca="1">IFERROR(__xludf.DUMMYFUNCTION("""COMPUTED_VALUE"""),"Dubai")</f>
        <v>Dubai</v>
      </c>
      <c r="B7080" s="2" t="str">
        <f ca="1">IFERROR(__xludf.DUMMYFUNCTION("""COMPUTED_VALUE"""),"Remal Tower")</f>
        <v>Remal Tower</v>
      </c>
      <c r="C7080" s="2" t="str">
        <f ca="1">IFERROR(__xludf.DUMMYFUNCTION("""COMPUTED_VALUE"""),"Building")</f>
        <v>Building</v>
      </c>
      <c r="D7080" s="2" t="str">
        <f ca="1">IFERROR(__xludf.DUMMYFUNCTION("""COMPUTED_VALUE"""),"Dubai&gt;Jumeirah Village Circle (JVC)&gt;JVC District 13&gt;Remal Tower")</f>
        <v>Dubai&gt;Jumeirah Village Circle (JVC)&gt;JVC District 13&gt;Remal Tower</v>
      </c>
      <c r="E7080" s="2"/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</row>
    <row r="7081" spans="1:26" ht="16.5" x14ac:dyDescent="0.35">
      <c r="A7081" s="2" t="str">
        <f ca="1">IFERROR(__xludf.DUMMYFUNCTION("""COMPUTED_VALUE"""),"Dubai")</f>
        <v>Dubai</v>
      </c>
      <c r="B7081" s="2" t="str">
        <f ca="1">IFERROR(__xludf.DUMMYFUNCTION("""COMPUTED_VALUE"""),"Binghatti Circle")</f>
        <v>Binghatti Circle</v>
      </c>
      <c r="C7081" s="2" t="str">
        <f ca="1">IFERROR(__xludf.DUMMYFUNCTION("""COMPUTED_VALUE"""),"Building")</f>
        <v>Building</v>
      </c>
      <c r="D7081" s="2" t="str">
        <f ca="1">IFERROR(__xludf.DUMMYFUNCTION("""COMPUTED_VALUE"""),"Dubai&gt;Jumeirah Village Circle (JVC)&gt;JVC District 13&gt;Binghatti Circle")</f>
        <v>Dubai&gt;Jumeirah Village Circle (JVC)&gt;JVC District 13&gt;Binghatti Circle</v>
      </c>
      <c r="E7081" s="2"/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</row>
    <row r="7082" spans="1:26" ht="16.5" x14ac:dyDescent="0.35">
      <c r="A7082" s="2" t="str">
        <f ca="1">IFERROR(__xludf.DUMMYFUNCTION("""COMPUTED_VALUE"""),"Dubai")</f>
        <v>Dubai</v>
      </c>
      <c r="B7082" s="2" t="str">
        <f ca="1">IFERROR(__xludf.DUMMYFUNCTION("""COMPUTED_VALUE"""),"JSS International School")</f>
        <v>JSS International School</v>
      </c>
      <c r="C7082" s="2" t="str">
        <f ca="1">IFERROR(__xludf.DUMMYFUNCTION("""COMPUTED_VALUE"""),"School")</f>
        <v>School</v>
      </c>
      <c r="D7082" s="2" t="str">
        <f ca="1">IFERROR(__xludf.DUMMYFUNCTION("""COMPUTED_VALUE"""),"Dubai&gt;Jumeirah Village Circle (JVC)&gt;JVC District 10&gt;JSS International School")</f>
        <v>Dubai&gt;Jumeirah Village Circle (JVC)&gt;JVC District 10&gt;JSS International School</v>
      </c>
      <c r="E7082" s="2"/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</row>
    <row r="7083" spans="1:26" ht="16.5" x14ac:dyDescent="0.35">
      <c r="A7083" s="2" t="str">
        <f ca="1">IFERROR(__xludf.DUMMYFUNCTION("""COMPUTED_VALUE"""),"Dubai")</f>
        <v>Dubai</v>
      </c>
      <c r="B7083" s="2" t="str">
        <f ca="1">IFERROR(__xludf.DUMMYFUNCTION("""COMPUTED_VALUE"""),"The Habitat")</f>
        <v>The Habitat</v>
      </c>
      <c r="C7083" s="2" t="str">
        <f ca="1">IFERROR(__xludf.DUMMYFUNCTION("""COMPUTED_VALUE"""),"Neighbourhood")</f>
        <v>Neighbourhood</v>
      </c>
      <c r="D7083" s="2" t="str">
        <f ca="1">IFERROR(__xludf.DUMMYFUNCTION("""COMPUTED_VALUE"""),"Dubai&gt;Jumeirah Village Circle (JVC)&gt;JVC District 10&gt;The Habitat")</f>
        <v>Dubai&gt;Jumeirah Village Circle (JVC)&gt;JVC District 10&gt;The Habitat</v>
      </c>
      <c r="E7083" s="2"/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</row>
    <row r="7084" spans="1:26" ht="16.5" x14ac:dyDescent="0.35">
      <c r="A7084" s="2" t="str">
        <f ca="1">IFERROR(__xludf.DUMMYFUNCTION("""COMPUTED_VALUE"""),"Dubai")</f>
        <v>Dubai</v>
      </c>
      <c r="B7084" s="2" t="str">
        <f ca="1">IFERROR(__xludf.DUMMYFUNCTION("""COMPUTED_VALUE"""),"Le Grand Chateau C")</f>
        <v>Le Grand Chateau C</v>
      </c>
      <c r="C7084" s="2" t="str">
        <f ca="1">IFERROR(__xludf.DUMMYFUNCTION("""COMPUTED_VALUE"""),"Building")</f>
        <v>Building</v>
      </c>
      <c r="D7084" s="2" t="str">
        <f ca="1">IFERROR(__xludf.DUMMYFUNCTION("""COMPUTED_VALUE"""),"Dubai&gt;Jumeirah Village Circle (JVC)&gt;JVC District 10&gt;Le Grand Chateau&gt;Le Grand Chateau C")</f>
        <v>Dubai&gt;Jumeirah Village Circle (JVC)&gt;JVC District 10&gt;Le Grand Chateau&gt;Le Grand Chateau C</v>
      </c>
      <c r="E7084" s="2"/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</row>
    <row r="7085" spans="1:26" ht="16.5" x14ac:dyDescent="0.35">
      <c r="A7085" s="2" t="str">
        <f ca="1">IFERROR(__xludf.DUMMYFUNCTION("""COMPUTED_VALUE"""),"Dubai")</f>
        <v>Dubai</v>
      </c>
      <c r="B7085" s="2" t="str">
        <f ca="1">IFERROR(__xludf.DUMMYFUNCTION("""COMPUTED_VALUE"""),"Jasmine Homes")</f>
        <v>Jasmine Homes</v>
      </c>
      <c r="C7085" s="2" t="str">
        <f ca="1">IFERROR(__xludf.DUMMYFUNCTION("""COMPUTED_VALUE"""),"Neighbourhood")</f>
        <v>Neighbourhood</v>
      </c>
      <c r="D7085" s="2" t="str">
        <f ca="1">IFERROR(__xludf.DUMMYFUNCTION("""COMPUTED_VALUE"""),"Dubai&gt;Jumeirah Village Circle (JVC)&gt;JVC District 10&gt;Jasmine Homes")</f>
        <v>Dubai&gt;Jumeirah Village Circle (JVC)&gt;JVC District 10&gt;Jasmine Homes</v>
      </c>
      <c r="E7085" s="2"/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</row>
    <row r="7086" spans="1:26" ht="16.5" x14ac:dyDescent="0.35">
      <c r="A7086" s="2" t="str">
        <f ca="1">IFERROR(__xludf.DUMMYFUNCTION("""COMPUTED_VALUE"""),"Dubai")</f>
        <v>Dubai</v>
      </c>
      <c r="B7086" s="2" t="str">
        <f ca="1">IFERROR(__xludf.DUMMYFUNCTION("""COMPUTED_VALUE"""),"May Residence Tower 2")</f>
        <v>May Residence Tower 2</v>
      </c>
      <c r="C7086" s="2" t="str">
        <f ca="1">IFERROR(__xludf.DUMMYFUNCTION("""COMPUTED_VALUE"""),"Building")</f>
        <v>Building</v>
      </c>
      <c r="D7086" s="2" t="str">
        <f ca="1">IFERROR(__xludf.DUMMYFUNCTION("""COMPUTED_VALUE"""),"Dubai&gt;Jumeirah Village Circle (JVC)&gt;JVC District 10&gt;May Residence&gt;May Residence Tower 2")</f>
        <v>Dubai&gt;Jumeirah Village Circle (JVC)&gt;JVC District 10&gt;May Residence&gt;May Residence Tower 2</v>
      </c>
      <c r="E7086" s="2"/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</row>
    <row r="7087" spans="1:26" ht="16.5" x14ac:dyDescent="0.35">
      <c r="A7087" s="2" t="str">
        <f ca="1">IFERROR(__xludf.DUMMYFUNCTION("""COMPUTED_VALUE"""),"Dubai")</f>
        <v>Dubai</v>
      </c>
      <c r="B7087" s="2" t="str">
        <f ca="1">IFERROR(__xludf.DUMMYFUNCTION("""COMPUTED_VALUE"""),"Summer 1 Block A")</f>
        <v>Summer 1 Block A</v>
      </c>
      <c r="C7087" s="2" t="str">
        <f ca="1">IFERROR(__xludf.DUMMYFUNCTION("""COMPUTED_VALUE"""),"Building")</f>
        <v>Building</v>
      </c>
      <c r="D7087" s="2" t="str">
        <f ca="1">IFERROR(__xludf.DUMMYFUNCTION("""COMPUTED_VALUE"""),"Dubai&gt;Jumeirah Village Circle (JVC)&gt;JVC District 15&gt;Seasons Community&gt;Summer&gt;Summer 1 Block A")</f>
        <v>Dubai&gt;Jumeirah Village Circle (JVC)&gt;JVC District 15&gt;Seasons Community&gt;Summer&gt;Summer 1 Block A</v>
      </c>
      <c r="E7087" s="2"/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</row>
    <row r="7088" spans="1:26" ht="16.5" x14ac:dyDescent="0.35">
      <c r="A7088" s="2" t="str">
        <f ca="1">IFERROR(__xludf.DUMMYFUNCTION("""COMPUTED_VALUE"""),"Dubai")</f>
        <v>Dubai</v>
      </c>
      <c r="B7088" s="2" t="str">
        <f ca="1">IFERROR(__xludf.DUMMYFUNCTION("""COMPUTED_VALUE"""),"Garden Lane Villas")</f>
        <v>Garden Lane Villas</v>
      </c>
      <c r="C7088" s="2" t="str">
        <f ca="1">IFERROR(__xludf.DUMMYFUNCTION("""COMPUTED_VALUE"""),"Neighbourhood")</f>
        <v>Neighbourhood</v>
      </c>
      <c r="D7088" s="2" t="str">
        <f ca="1">IFERROR(__xludf.DUMMYFUNCTION("""COMPUTED_VALUE"""),"Dubai&gt;Jumeirah Village Circle (JVC)&gt;JVC District 15&gt;Garden Lane Villas")</f>
        <v>Dubai&gt;Jumeirah Village Circle (JVC)&gt;JVC District 15&gt;Garden Lane Villas</v>
      </c>
      <c r="E7088" s="2"/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</row>
    <row r="7089" spans="1:26" ht="16.5" x14ac:dyDescent="0.35">
      <c r="A7089" s="2" t="str">
        <f ca="1">IFERROR(__xludf.DUMMYFUNCTION("""COMPUTED_VALUE"""),"Dubai")</f>
        <v>Dubai</v>
      </c>
      <c r="B7089" s="2" t="str">
        <f ca="1">IFERROR(__xludf.DUMMYFUNCTION("""COMPUTED_VALUE"""),"Trevino")</f>
        <v>Trevino</v>
      </c>
      <c r="C7089" s="2" t="str">
        <f ca="1">IFERROR(__xludf.DUMMYFUNCTION("""COMPUTED_VALUE"""),"Building")</f>
        <v>Building</v>
      </c>
      <c r="D7089" s="2" t="str">
        <f ca="1">IFERROR(__xludf.DUMMYFUNCTION("""COMPUTED_VALUE"""),"Dubai&gt;Jumeirah Village Circle (JVC)&gt;JVC District 15&gt;Trevino")</f>
        <v>Dubai&gt;Jumeirah Village Circle (JVC)&gt;JVC District 15&gt;Trevino</v>
      </c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</row>
    <row r="7090" spans="1:26" ht="16.5" x14ac:dyDescent="0.35">
      <c r="A7090" s="2" t="str">
        <f ca="1">IFERROR(__xludf.DUMMYFUNCTION("""COMPUTED_VALUE"""),"Dubai")</f>
        <v>Dubai</v>
      </c>
      <c r="B7090" s="2" t="str">
        <f ca="1">IFERROR(__xludf.DUMMYFUNCTION("""COMPUTED_VALUE"""),"Mirabella 1")</f>
        <v>Mirabella 1</v>
      </c>
      <c r="C7090" s="2" t="str">
        <f ca="1">IFERROR(__xludf.DUMMYFUNCTION("""COMPUTED_VALUE"""),"Neighbourhood")</f>
        <v>Neighbourhood</v>
      </c>
      <c r="D7090" s="2" t="str">
        <f ca="1">IFERROR(__xludf.DUMMYFUNCTION("""COMPUTED_VALUE"""),"Dubai&gt;Jumeirah Village Circle (JVC)&gt;JVC District 11&gt;Mirabella 1")</f>
        <v>Dubai&gt;Jumeirah Village Circle (JVC)&gt;JVC District 11&gt;Mirabella 1</v>
      </c>
      <c r="E7090" s="2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</row>
    <row r="7091" spans="1:26" ht="16.5" x14ac:dyDescent="0.35">
      <c r="A7091" s="2" t="str">
        <f ca="1">IFERROR(__xludf.DUMMYFUNCTION("""COMPUTED_VALUE"""),"Dubai")</f>
        <v>Dubai</v>
      </c>
      <c r="B7091" s="2" t="str">
        <f ca="1">IFERROR(__xludf.DUMMYFUNCTION("""COMPUTED_VALUE"""),"Building 1")</f>
        <v>Building 1</v>
      </c>
      <c r="C7091" s="2" t="str">
        <f ca="1">IFERROR(__xludf.DUMMYFUNCTION("""COMPUTED_VALUE"""),"Building")</f>
        <v>Building</v>
      </c>
      <c r="D7091" s="2" t="str">
        <f ca="1">IFERROR(__xludf.DUMMYFUNCTION("""COMPUTED_VALUE"""),"Dubai&gt;Jumeirah Village Circle (JVC)&gt;JVC District 11&gt;Elitz by Danube&gt;Building 1")</f>
        <v>Dubai&gt;Jumeirah Village Circle (JVC)&gt;JVC District 11&gt;Elitz by Danube&gt;Building 1</v>
      </c>
      <c r="E7091" s="2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</row>
    <row r="7092" spans="1:26" ht="16.5" x14ac:dyDescent="0.35">
      <c r="A7092" s="2" t="str">
        <f ca="1">IFERROR(__xludf.DUMMYFUNCTION("""COMPUTED_VALUE"""),"Dubai")</f>
        <v>Dubai</v>
      </c>
      <c r="B7092" s="2" t="str">
        <f ca="1">IFERROR(__xludf.DUMMYFUNCTION("""COMPUTED_VALUE"""),"Park Lane 2 by Heilbronn")</f>
        <v>Park Lane 2 by Heilbronn</v>
      </c>
      <c r="C7092" s="2" t="str">
        <f ca="1">IFERROR(__xludf.DUMMYFUNCTION("""COMPUTED_VALUE"""),"Building")</f>
        <v>Building</v>
      </c>
      <c r="D7092" s="2" t="str">
        <f ca="1">IFERROR(__xludf.DUMMYFUNCTION("""COMPUTED_VALUE"""),"Dubai&gt;Jumeirah Village Circle (JVC)&gt;JVC District 11&gt;Park Lane 2 by Heilbronn")</f>
        <v>Dubai&gt;Jumeirah Village Circle (JVC)&gt;JVC District 11&gt;Park Lane 2 by Heilbronn</v>
      </c>
      <c r="E7092" s="2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</row>
    <row r="7093" spans="1:26" ht="16.5" x14ac:dyDescent="0.35">
      <c r="A7093" s="2" t="str">
        <f ca="1">IFERROR(__xludf.DUMMYFUNCTION("""COMPUTED_VALUE"""),"Dubai")</f>
        <v>Dubai</v>
      </c>
      <c r="B7093" s="2" t="str">
        <f ca="1">IFERROR(__xludf.DUMMYFUNCTION("""COMPUTED_VALUE"""),"Sandoval Garden Block A")</f>
        <v>Sandoval Garden Block A</v>
      </c>
      <c r="C7093" s="2" t="str">
        <f ca="1">IFERROR(__xludf.DUMMYFUNCTION("""COMPUTED_VALUE"""),"Building")</f>
        <v>Building</v>
      </c>
      <c r="D7093" s="2" t="str">
        <f ca="1">IFERROR(__xludf.DUMMYFUNCTION("""COMPUTED_VALUE"""),"Dubai&gt;Jumeirah Village Circle (JVC)&gt;JVC District 14&gt;Sandoval Garden&gt;Sandoval Garden Block A")</f>
        <v>Dubai&gt;Jumeirah Village Circle (JVC)&gt;JVC District 14&gt;Sandoval Garden&gt;Sandoval Garden Block A</v>
      </c>
      <c r="E7093" s="2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</row>
    <row r="7094" spans="1:26" ht="16.5" x14ac:dyDescent="0.35">
      <c r="A7094" s="2" t="str">
        <f ca="1">IFERROR(__xludf.DUMMYFUNCTION("""COMPUTED_VALUE"""),"Dubai")</f>
        <v>Dubai</v>
      </c>
      <c r="B7094" s="2" t="str">
        <f ca="1">IFERROR(__xludf.DUMMYFUNCTION("""COMPUTED_VALUE"""),"Diamond Views 1 Block B")</f>
        <v>Diamond Views 1 Block B</v>
      </c>
      <c r="C7094" s="2" t="str">
        <f ca="1">IFERROR(__xludf.DUMMYFUNCTION("""COMPUTED_VALUE"""),"Building")</f>
        <v>Building</v>
      </c>
      <c r="D7094" s="2" t="str">
        <f ca="1">IFERROR(__xludf.DUMMYFUNCTION("""COMPUTED_VALUE"""),"Dubai&gt;Jumeirah Village Circle (JVC)&gt;JVC District 14&gt;Diamond Views 1&gt;Diamond Views 1 Block B")</f>
        <v>Dubai&gt;Jumeirah Village Circle (JVC)&gt;JVC District 14&gt;Diamond Views 1&gt;Diamond Views 1 Block B</v>
      </c>
      <c r="E7094" s="2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</row>
    <row r="7095" spans="1:26" ht="16.5" x14ac:dyDescent="0.35">
      <c r="A7095" s="2" t="str">
        <f ca="1">IFERROR(__xludf.DUMMYFUNCTION("""COMPUTED_VALUE"""),"Dubai")</f>
        <v>Dubai</v>
      </c>
      <c r="B7095" s="2" t="str">
        <f ca="1">IFERROR(__xludf.DUMMYFUNCTION("""COMPUTED_VALUE"""),"Hyati Residence Townhouses")</f>
        <v>Hyati Residence Townhouses</v>
      </c>
      <c r="C7095" s="2" t="str">
        <f ca="1">IFERROR(__xludf.DUMMYFUNCTION("""COMPUTED_VALUE"""),"Neighbourhood")</f>
        <v>Neighbourhood</v>
      </c>
      <c r="D7095" s="2" t="str">
        <f ca="1">IFERROR(__xludf.DUMMYFUNCTION("""COMPUTED_VALUE"""),"Dubai&gt;Jumeirah Village Circle (JVC)&gt;JVC District 14&gt;Hyati Residence Townhouses")</f>
        <v>Dubai&gt;Jumeirah Village Circle (JVC)&gt;JVC District 14&gt;Hyati Residence Townhouses</v>
      </c>
      <c r="E7095" s="2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</row>
    <row r="7096" spans="1:26" ht="16.5" x14ac:dyDescent="0.35">
      <c r="A7096" s="2" t="str">
        <f ca="1">IFERROR(__xludf.DUMMYFUNCTION("""COMPUTED_VALUE"""),"Dubai")</f>
        <v>Dubai</v>
      </c>
      <c r="B7096" s="2" t="str">
        <f ca="1">IFERROR(__xludf.DUMMYFUNCTION("""COMPUTED_VALUE"""),"Al Maha Residences")</f>
        <v>Al Maha Residences</v>
      </c>
      <c r="C7096" s="2" t="str">
        <f ca="1">IFERROR(__xludf.DUMMYFUNCTION("""COMPUTED_VALUE"""),"Building")</f>
        <v>Building</v>
      </c>
      <c r="D7096" s="2" t="str">
        <f ca="1">IFERROR(__xludf.DUMMYFUNCTION("""COMPUTED_VALUE"""),"Dubai&gt;Dubai Land Residence Complex&gt;Al Maha Residences")</f>
        <v>Dubai&gt;Dubai Land Residence Complex&gt;Al Maha Residences</v>
      </c>
      <c r="E7096" s="2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</row>
    <row r="7097" spans="1:26" ht="16.5" x14ac:dyDescent="0.35">
      <c r="A7097" s="2" t="str">
        <f ca="1">IFERROR(__xludf.DUMMYFUNCTION("""COMPUTED_VALUE"""),"Dubai")</f>
        <v>Dubai</v>
      </c>
      <c r="B7097" s="2" t="str">
        <f ca="1">IFERROR(__xludf.DUMMYFUNCTION("""COMPUTED_VALUE"""),"Shorooq Land 2")</f>
        <v>Shorooq Land 2</v>
      </c>
      <c r="C7097" s="2" t="str">
        <f ca="1">IFERROR(__xludf.DUMMYFUNCTION("""COMPUTED_VALUE"""),"Building")</f>
        <v>Building</v>
      </c>
      <c r="D7097" s="2" t="str">
        <f ca="1">IFERROR(__xludf.DUMMYFUNCTION("""COMPUTED_VALUE"""),"Dubai&gt;Dubai Land Residence Complex&gt;Shorooq Land 2")</f>
        <v>Dubai&gt;Dubai Land Residence Complex&gt;Shorooq Land 2</v>
      </c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</row>
    <row r="7098" spans="1:26" ht="16.5" x14ac:dyDescent="0.35">
      <c r="A7098" s="2" t="str">
        <f ca="1">IFERROR(__xludf.DUMMYFUNCTION("""COMPUTED_VALUE"""),"Dubai")</f>
        <v>Dubai</v>
      </c>
      <c r="B7098" s="2" t="str">
        <f ca="1">IFERROR(__xludf.DUMMYFUNCTION("""COMPUTED_VALUE"""),"Peace Lagoons by Peace Homes")</f>
        <v>Peace Lagoons by Peace Homes</v>
      </c>
      <c r="C7098" s="2" t="str">
        <f ca="1">IFERROR(__xludf.DUMMYFUNCTION("""COMPUTED_VALUE"""),"Building")</f>
        <v>Building</v>
      </c>
      <c r="D7098" s="2" t="str">
        <f ca="1">IFERROR(__xludf.DUMMYFUNCTION("""COMPUTED_VALUE"""),"Dubai&gt;Dubai Land Residence Complex&gt;Peace Lagoons by Peace Homes")</f>
        <v>Dubai&gt;Dubai Land Residence Complex&gt;Peace Lagoons by Peace Homes</v>
      </c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</row>
    <row r="7099" spans="1:26" ht="16.5" x14ac:dyDescent="0.35">
      <c r="A7099" s="2" t="str">
        <f ca="1">IFERROR(__xludf.DUMMYFUNCTION("""COMPUTED_VALUE"""),"Dubai")</f>
        <v>Dubai</v>
      </c>
      <c r="B7099" s="2" t="str">
        <f ca="1">IFERROR(__xludf.DUMMYFUNCTION("""COMPUTED_VALUE"""),"Cove Boulevard by Imtiaz")</f>
        <v>Cove Boulevard by Imtiaz</v>
      </c>
      <c r="C7099" s="2" t="str">
        <f ca="1">IFERROR(__xludf.DUMMYFUNCTION("""COMPUTED_VALUE"""),"Building")</f>
        <v>Building</v>
      </c>
      <c r="D7099" s="2" t="str">
        <f ca="1">IFERROR(__xludf.DUMMYFUNCTION("""COMPUTED_VALUE"""),"Dubai&gt;Dubai Land Residence Complex&gt;Cove Boulevard by Imtiaz")</f>
        <v>Dubai&gt;Dubai Land Residence Complex&gt;Cove Boulevard by Imtiaz</v>
      </c>
      <c r="E7099" s="2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</row>
    <row r="7100" spans="1:26" ht="16.5" x14ac:dyDescent="0.35">
      <c r="A7100" s="2" t="str">
        <f ca="1">IFERROR(__xludf.DUMMYFUNCTION("""COMPUTED_VALUE"""),"Dubai")</f>
        <v>Dubai</v>
      </c>
      <c r="B7100" s="2" t="str">
        <f ca="1">IFERROR(__xludf.DUMMYFUNCTION("""COMPUTED_VALUE"""),"Celia Homes")</f>
        <v>Celia Homes</v>
      </c>
      <c r="C7100" s="2" t="str">
        <f ca="1">IFERROR(__xludf.DUMMYFUNCTION("""COMPUTED_VALUE"""),"Building")</f>
        <v>Building</v>
      </c>
      <c r="D7100" s="2" t="str">
        <f ca="1">IFERROR(__xludf.DUMMYFUNCTION("""COMPUTED_VALUE"""),"Dubai&gt;Dubai Land Residence Complex&gt;Celia Homes")</f>
        <v>Dubai&gt;Dubai Land Residence Complex&gt;Celia Homes</v>
      </c>
      <c r="E7100" s="2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</row>
    <row r="7101" spans="1:26" ht="16.5" x14ac:dyDescent="0.35">
      <c r="A7101" s="2" t="str">
        <f ca="1">IFERROR(__xludf.DUMMYFUNCTION("""COMPUTED_VALUE"""),"Dubai")</f>
        <v>Dubai</v>
      </c>
      <c r="B7101" s="2" t="str">
        <f ca="1">IFERROR(__xludf.DUMMYFUNCTION("""COMPUTED_VALUE"""),"Janayen Avenue A")</f>
        <v>Janayen Avenue A</v>
      </c>
      <c r="C7101" s="2" t="str">
        <f ca="1">IFERROR(__xludf.DUMMYFUNCTION("""COMPUTED_VALUE"""),"Building")</f>
        <v>Building</v>
      </c>
      <c r="D7101" s="2" t="str">
        <f ca="1">IFERROR(__xludf.DUMMYFUNCTION("""COMPUTED_VALUE"""),"Dubai&gt;Mirdif&gt;Mirdif Hills&gt;Janayen Avenue&gt;Janayen Avenue A")</f>
        <v>Dubai&gt;Mirdif&gt;Mirdif Hills&gt;Janayen Avenue&gt;Janayen Avenue A</v>
      </c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</row>
    <row r="7102" spans="1:26" ht="16.5" x14ac:dyDescent="0.35">
      <c r="A7102" s="2" t="str">
        <f ca="1">IFERROR(__xludf.DUMMYFUNCTION("""COMPUTED_VALUE"""),"Dubai")</f>
        <v>Dubai</v>
      </c>
      <c r="B7102" s="2" t="str">
        <f ca="1">IFERROR(__xludf.DUMMYFUNCTION("""COMPUTED_VALUE"""),"Mirdif Building No. 73")</f>
        <v>Mirdif Building No. 73</v>
      </c>
      <c r="C7102" s="2" t="str">
        <f ca="1">IFERROR(__xludf.DUMMYFUNCTION("""COMPUTED_VALUE"""),"Building")</f>
        <v>Building</v>
      </c>
      <c r="D7102" s="2" t="str">
        <f ca="1">IFERROR(__xludf.DUMMYFUNCTION("""COMPUTED_VALUE"""),"Dubai&gt;Mirdif&gt;Mirdif Building No. 73")</f>
        <v>Dubai&gt;Mirdif&gt;Mirdif Building No. 73</v>
      </c>
      <c r="E7102" s="2"/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</row>
    <row r="7103" spans="1:26" ht="16.5" x14ac:dyDescent="0.35">
      <c r="A7103" s="2" t="str">
        <f ca="1">IFERROR(__xludf.DUMMYFUNCTION("""COMPUTED_VALUE"""),"Dubai")</f>
        <v>Dubai</v>
      </c>
      <c r="B7103" s="2" t="str">
        <f ca="1">IFERROR(__xludf.DUMMYFUNCTION("""COMPUTED_VALUE"""),"Hattan 1")</f>
        <v>Hattan 1</v>
      </c>
      <c r="C7103" s="2" t="str">
        <f ca="1">IFERROR(__xludf.DUMMYFUNCTION("""COMPUTED_VALUE"""),"Neighbourhood")</f>
        <v>Neighbourhood</v>
      </c>
      <c r="D7103" s="2" t="str">
        <f ca="1">IFERROR(__xludf.DUMMYFUNCTION("""COMPUTED_VALUE"""),"Dubai&gt;The Lakes&gt;Hattan&gt;Hattan 1")</f>
        <v>Dubai&gt;The Lakes&gt;Hattan&gt;Hattan 1</v>
      </c>
      <c r="E7103" s="2"/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</row>
    <row r="7104" spans="1:26" ht="16.5" x14ac:dyDescent="0.35">
      <c r="A7104" s="2" t="str">
        <f ca="1">IFERROR(__xludf.DUMMYFUNCTION("""COMPUTED_VALUE"""),"Dubai")</f>
        <v>Dubai</v>
      </c>
      <c r="B7104" s="2" t="str">
        <f ca="1">IFERROR(__xludf.DUMMYFUNCTION("""COMPUTED_VALUE"""),"Garhoud Star Building")</f>
        <v>Garhoud Star Building</v>
      </c>
      <c r="C7104" s="2" t="str">
        <f ca="1">IFERROR(__xludf.DUMMYFUNCTION("""COMPUTED_VALUE"""),"Building")</f>
        <v>Building</v>
      </c>
      <c r="D7104" s="2" t="str">
        <f ca="1">IFERROR(__xludf.DUMMYFUNCTION("""COMPUTED_VALUE"""),"Dubai&gt;Al Garhoud&gt;Garhoud Star Building")</f>
        <v>Dubai&gt;Al Garhoud&gt;Garhoud Star Building</v>
      </c>
      <c r="E7104" s="2"/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</row>
    <row r="7105" spans="1:26" ht="16.5" x14ac:dyDescent="0.35">
      <c r="A7105" s="2" t="str">
        <f ca="1">IFERROR(__xludf.DUMMYFUNCTION("""COMPUTED_VALUE"""),"Dubai")</f>
        <v>Dubai</v>
      </c>
      <c r="B7105" s="2" t="str">
        <f ca="1">IFERROR(__xludf.DUMMYFUNCTION("""COMPUTED_VALUE"""),"Al Huda Building")</f>
        <v>Al Huda Building</v>
      </c>
      <c r="C7105" s="2" t="str">
        <f ca="1">IFERROR(__xludf.DUMMYFUNCTION("""COMPUTED_VALUE"""),"Building")</f>
        <v>Building</v>
      </c>
      <c r="D7105" s="2" t="str">
        <f ca="1">IFERROR(__xludf.DUMMYFUNCTION("""COMPUTED_VALUE"""),"Dubai&gt;Al Garhoud&gt;Al Huda Building")</f>
        <v>Dubai&gt;Al Garhoud&gt;Al Huda Building</v>
      </c>
      <c r="E7105" s="2"/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</row>
    <row r="7106" spans="1:26" ht="16.5" x14ac:dyDescent="0.35">
      <c r="A7106" s="2" t="str">
        <f ca="1">IFERROR(__xludf.DUMMYFUNCTION("""COMPUTED_VALUE"""),"Dubai")</f>
        <v>Dubai</v>
      </c>
      <c r="B7106" s="2" t="str">
        <f ca="1">IFERROR(__xludf.DUMMYFUNCTION("""COMPUTED_VALUE"""),"Cluster 8")</f>
        <v>Cluster 8</v>
      </c>
      <c r="C7106" s="2" t="str">
        <f ca="1">IFERROR(__xludf.DUMMYFUNCTION("""COMPUTED_VALUE"""),"Neighbourhood")</f>
        <v>Neighbourhood</v>
      </c>
      <c r="D7106" s="2" t="str">
        <f ca="1">IFERROR(__xludf.DUMMYFUNCTION("""COMPUTED_VALUE"""),"Dubai&gt;Jumeirah Islands&gt;Cluster 8")</f>
        <v>Dubai&gt;Jumeirah Islands&gt;Cluster 8</v>
      </c>
      <c r="E7106" s="2"/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</row>
    <row r="7107" spans="1:26" ht="16.5" x14ac:dyDescent="0.35">
      <c r="A7107" s="2" t="str">
        <f ca="1">IFERROR(__xludf.DUMMYFUNCTION("""COMPUTED_VALUE"""),"Dubai")</f>
        <v>Dubai</v>
      </c>
      <c r="B7107" s="2" t="str">
        <f ca="1">IFERROR(__xludf.DUMMYFUNCTION("""COMPUTED_VALUE"""),"Cluster 40")</f>
        <v>Cluster 40</v>
      </c>
      <c r="C7107" s="2" t="str">
        <f ca="1">IFERROR(__xludf.DUMMYFUNCTION("""COMPUTED_VALUE"""),"Neighbourhood")</f>
        <v>Neighbourhood</v>
      </c>
      <c r="D7107" s="2" t="str">
        <f ca="1">IFERROR(__xludf.DUMMYFUNCTION("""COMPUTED_VALUE"""),"Dubai&gt;Jumeirah Islands&gt;Cluster 40")</f>
        <v>Dubai&gt;Jumeirah Islands&gt;Cluster 40</v>
      </c>
      <c r="E7107" s="2"/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</row>
    <row r="7108" spans="1:26" ht="16.5" x14ac:dyDescent="0.35">
      <c r="A7108" s="2" t="str">
        <f ca="1">IFERROR(__xludf.DUMMYFUNCTION("""COMPUTED_VALUE"""),"Dubai")</f>
        <v>Dubai</v>
      </c>
      <c r="B7108" s="2" t="str">
        <f ca="1">IFERROR(__xludf.DUMMYFUNCTION("""COMPUTED_VALUE"""),"Garden East Apartments")</f>
        <v>Garden East Apartments</v>
      </c>
      <c r="C7108" s="2" t="str">
        <f ca="1">IFERROR(__xludf.DUMMYFUNCTION("""COMPUTED_VALUE"""),"Cluster")</f>
        <v>Cluster</v>
      </c>
      <c r="D7108" s="2" t="str">
        <f ca="1">IFERROR(__xludf.DUMMYFUNCTION("""COMPUTED_VALUE"""),"Dubai&gt;Green Community&gt;Garden East Apartments")</f>
        <v>Dubai&gt;Green Community&gt;Garden East Apartments</v>
      </c>
      <c r="E7108" s="2"/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</row>
    <row r="7109" spans="1:26" ht="16.5" x14ac:dyDescent="0.35">
      <c r="A7109" s="2" t="str">
        <f ca="1">IFERROR(__xludf.DUMMYFUNCTION("""COMPUTED_VALUE"""),"Dubai")</f>
        <v>Dubai</v>
      </c>
      <c r="B7109" s="2" t="str">
        <f ca="1">IFERROR(__xludf.DUMMYFUNCTION("""COMPUTED_VALUE"""),"Al Asmawi Building")</f>
        <v>Al Asmawi Building</v>
      </c>
      <c r="C7109" s="2" t="str">
        <f ca="1">IFERROR(__xludf.DUMMYFUNCTION("""COMPUTED_VALUE"""),"Building")</f>
        <v>Building</v>
      </c>
      <c r="D7109" s="2" t="str">
        <f ca="1">IFERROR(__xludf.DUMMYFUNCTION("""COMPUTED_VALUE"""),"Dubai&gt;Green Community&gt;Al Asmawi Building")</f>
        <v>Dubai&gt;Green Community&gt;Al Asmawi Building</v>
      </c>
      <c r="E7109" s="2"/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</row>
    <row r="7110" spans="1:26" ht="16.5" x14ac:dyDescent="0.35">
      <c r="A7110" s="2" t="str">
        <f ca="1">IFERROR(__xludf.DUMMYFUNCTION("""COMPUTED_VALUE"""),"Dubai")</f>
        <v>Dubai</v>
      </c>
      <c r="B7110" s="2" t="str">
        <f ca="1">IFERROR(__xludf.DUMMYFUNCTION("""COMPUTED_VALUE"""),"Elite Sports Residence")</f>
        <v>Elite Sports Residence</v>
      </c>
      <c r="C7110" s="2" t="str">
        <f ca="1">IFERROR(__xludf.DUMMYFUNCTION("""COMPUTED_VALUE"""),"Cluster")</f>
        <v>Cluster</v>
      </c>
      <c r="D7110" s="2" t="str">
        <f ca="1">IFERROR(__xludf.DUMMYFUNCTION("""COMPUTED_VALUE"""),"Dubai&gt;Dubai Sports City&gt;Elite Sports Residence")</f>
        <v>Dubai&gt;Dubai Sports City&gt;Elite Sports Residence</v>
      </c>
      <c r="E7110" s="2"/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</row>
    <row r="7111" spans="1:26" ht="16.5" x14ac:dyDescent="0.35">
      <c r="A7111" s="2" t="str">
        <f ca="1">IFERROR(__xludf.DUMMYFUNCTION("""COMPUTED_VALUE"""),"Dubai")</f>
        <v>Dubai</v>
      </c>
      <c r="B7111" s="2" t="str">
        <f ca="1">IFERROR(__xludf.DUMMYFUNCTION("""COMPUTED_VALUE"""),"Kensington Royale")</f>
        <v>Kensington Royale</v>
      </c>
      <c r="C7111" s="2" t="str">
        <f ca="1">IFERROR(__xludf.DUMMYFUNCTION("""COMPUTED_VALUE"""),"Building")</f>
        <v>Building</v>
      </c>
      <c r="D7111" s="2" t="str">
        <f ca="1">IFERROR(__xludf.DUMMYFUNCTION("""COMPUTED_VALUE"""),"Dubai&gt;Dubai Sports City&gt;Kensington Royale")</f>
        <v>Dubai&gt;Dubai Sports City&gt;Kensington Royale</v>
      </c>
      <c r="E7111" s="2"/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</row>
    <row r="7112" spans="1:26" ht="16.5" x14ac:dyDescent="0.35">
      <c r="A7112" s="2" t="str">
        <f ca="1">IFERROR(__xludf.DUMMYFUNCTION("""COMPUTED_VALUE"""),"Dubai")</f>
        <v>Dubai</v>
      </c>
      <c r="B7112" s="2" t="str">
        <f ca="1">IFERROR(__xludf.DUMMYFUNCTION("""COMPUTED_VALUE"""),"Oasis Tower 2")</f>
        <v>Oasis Tower 2</v>
      </c>
      <c r="C7112" s="2" t="str">
        <f ca="1">IFERROR(__xludf.DUMMYFUNCTION("""COMPUTED_VALUE"""),"Building")</f>
        <v>Building</v>
      </c>
      <c r="D7112" s="2" t="str">
        <f ca="1">IFERROR(__xludf.DUMMYFUNCTION("""COMPUTED_VALUE"""),"Dubai&gt;Dubai Sports City&gt;Oasis Tower 2")</f>
        <v>Dubai&gt;Dubai Sports City&gt;Oasis Tower 2</v>
      </c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</row>
    <row r="7113" spans="1:26" ht="16.5" x14ac:dyDescent="0.35">
      <c r="A7113" s="2" t="str">
        <f ca="1">IFERROR(__xludf.DUMMYFUNCTION("""COMPUTED_VALUE"""),"Dubai")</f>
        <v>Dubai</v>
      </c>
      <c r="B7113" s="2" t="str">
        <f ca="1">IFERROR(__xludf.DUMMYFUNCTION("""COMPUTED_VALUE"""),"Sportz By Danube")</f>
        <v>Sportz By Danube</v>
      </c>
      <c r="C7113" s="2" t="str">
        <f ca="1">IFERROR(__xludf.DUMMYFUNCTION("""COMPUTED_VALUE"""),"Cluster")</f>
        <v>Cluster</v>
      </c>
      <c r="D7113" s="2" t="str">
        <f ca="1">IFERROR(__xludf.DUMMYFUNCTION("""COMPUTED_VALUE"""),"Dubai&gt;Dubai Sports City&gt;Sportz By Danube")</f>
        <v>Dubai&gt;Dubai Sports City&gt;Sportz By Danube</v>
      </c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</row>
    <row r="7114" spans="1:26" ht="16.5" x14ac:dyDescent="0.35">
      <c r="A7114" s="2" t="str">
        <f ca="1">IFERROR(__xludf.DUMMYFUNCTION("""COMPUTED_VALUE"""),"Dubai")</f>
        <v>Dubai</v>
      </c>
      <c r="B7114" s="2" t="str">
        <f ca="1">IFERROR(__xludf.DUMMYFUNCTION("""COMPUTED_VALUE"""),"API Residency")</f>
        <v>API Residency</v>
      </c>
      <c r="C7114" s="2" t="str">
        <f ca="1">IFERROR(__xludf.DUMMYFUNCTION("""COMPUTED_VALUE"""),"Building")</f>
        <v>Building</v>
      </c>
      <c r="D7114" s="2" t="str">
        <f ca="1">IFERROR(__xludf.DUMMYFUNCTION("""COMPUTED_VALUE"""),"Dubai&gt;Al Nahda (Dubai)&gt;Al Nahda 1&gt;API Residency")</f>
        <v>Dubai&gt;Al Nahda (Dubai)&gt;Al Nahda 1&gt;API Residency</v>
      </c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</row>
    <row r="7115" spans="1:26" ht="16.5" x14ac:dyDescent="0.35">
      <c r="A7115" s="2" t="str">
        <f ca="1">IFERROR(__xludf.DUMMYFUNCTION("""COMPUTED_VALUE"""),"Dubai")</f>
        <v>Dubai</v>
      </c>
      <c r="B7115" s="2" t="str">
        <f ca="1">IFERROR(__xludf.DUMMYFUNCTION("""COMPUTED_VALUE"""),"Bin Juma 4")</f>
        <v>Bin Juma 4</v>
      </c>
      <c r="C7115" s="2" t="str">
        <f ca="1">IFERROR(__xludf.DUMMYFUNCTION("""COMPUTED_VALUE"""),"Building")</f>
        <v>Building</v>
      </c>
      <c r="D7115" s="2" t="str">
        <f ca="1">IFERROR(__xludf.DUMMYFUNCTION("""COMPUTED_VALUE"""),"Dubai&gt;Al Nahda (Dubai)&gt;Al Nahda 1&gt;Bin Juma&gt;Bin Juma 4")</f>
        <v>Dubai&gt;Al Nahda (Dubai)&gt;Al Nahda 1&gt;Bin Juma&gt;Bin Juma 4</v>
      </c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</row>
    <row r="7116" spans="1:26" ht="16.5" x14ac:dyDescent="0.35">
      <c r="A7116" s="2" t="str">
        <f ca="1">IFERROR(__xludf.DUMMYFUNCTION("""COMPUTED_VALUE"""),"Dubai")</f>
        <v>Dubai</v>
      </c>
      <c r="B7116" s="2" t="str">
        <f ca="1">IFERROR(__xludf.DUMMYFUNCTION("""COMPUTED_VALUE"""),"Al Shawi Building Nahda")</f>
        <v>Al Shawi Building Nahda</v>
      </c>
      <c r="C7116" s="2" t="str">
        <f ca="1">IFERROR(__xludf.DUMMYFUNCTION("""COMPUTED_VALUE"""),"Building")</f>
        <v>Building</v>
      </c>
      <c r="D7116" s="2" t="str">
        <f ca="1">IFERROR(__xludf.DUMMYFUNCTION("""COMPUTED_VALUE"""),"Dubai&gt;Al Nahda (Dubai)&gt;Al Nahda 2&gt;Al Shawi Building Nahda")</f>
        <v>Dubai&gt;Al Nahda (Dubai)&gt;Al Nahda 2&gt;Al Shawi Building Nahda</v>
      </c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</row>
    <row r="7117" spans="1:26" ht="16.5" x14ac:dyDescent="0.35">
      <c r="A7117" s="2" t="str">
        <f ca="1">IFERROR(__xludf.DUMMYFUNCTION("""COMPUTED_VALUE"""),"Dubai")</f>
        <v>Dubai</v>
      </c>
      <c r="B7117" s="2" t="str">
        <f ca="1">IFERROR(__xludf.DUMMYFUNCTION("""COMPUTED_VALUE"""),"Al Shamsi Building")</f>
        <v>Al Shamsi Building</v>
      </c>
      <c r="C7117" s="2" t="str">
        <f ca="1">IFERROR(__xludf.DUMMYFUNCTION("""COMPUTED_VALUE"""),"Building")</f>
        <v>Building</v>
      </c>
      <c r="D7117" s="2" t="str">
        <f ca="1">IFERROR(__xludf.DUMMYFUNCTION("""COMPUTED_VALUE"""),"Dubai&gt;Al Nahda (Dubai)&gt;Al Nahda 2&gt;Al Shamsi Building")</f>
        <v>Dubai&gt;Al Nahda (Dubai)&gt;Al Nahda 2&gt;Al Shamsi Building</v>
      </c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</row>
    <row r="7118" spans="1:26" ht="16.5" x14ac:dyDescent="0.35">
      <c r="A7118" s="2" t="str">
        <f ca="1">IFERROR(__xludf.DUMMYFUNCTION("""COMPUTED_VALUE"""),"Dubai")</f>
        <v>Dubai</v>
      </c>
      <c r="B7118" s="2" t="str">
        <f ca="1">IFERROR(__xludf.DUMMYFUNCTION("""COMPUTED_VALUE"""),"Comfort Residence")</f>
        <v>Comfort Residence</v>
      </c>
      <c r="C7118" s="2" t="str">
        <f ca="1">IFERROR(__xludf.DUMMYFUNCTION("""COMPUTED_VALUE"""),"Building")</f>
        <v>Building</v>
      </c>
      <c r="D7118" s="2" t="str">
        <f ca="1">IFERROR(__xludf.DUMMYFUNCTION("""COMPUTED_VALUE"""),"Dubai&gt;Al Nahda (Dubai)&gt;Al Nahda 2&gt;Comfort Residence")</f>
        <v>Dubai&gt;Al Nahda (Dubai)&gt;Al Nahda 2&gt;Comfort Residence</v>
      </c>
      <c r="E7118" s="2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</row>
    <row r="7119" spans="1:26" ht="16.5" x14ac:dyDescent="0.35">
      <c r="A7119" s="2" t="str">
        <f ca="1">IFERROR(__xludf.DUMMYFUNCTION("""COMPUTED_VALUE"""),"Dubai")</f>
        <v>Dubai</v>
      </c>
      <c r="B7119" s="2" t="str">
        <f ca="1">IFERROR(__xludf.DUMMYFUNCTION("""COMPUTED_VALUE"""),"Al Bahri Building")</f>
        <v>Al Bahri Building</v>
      </c>
      <c r="C7119" s="2" t="str">
        <f ca="1">IFERROR(__xludf.DUMMYFUNCTION("""COMPUTED_VALUE"""),"Building")</f>
        <v>Building</v>
      </c>
      <c r="D7119" s="2" t="str">
        <f ca="1">IFERROR(__xludf.DUMMYFUNCTION("""COMPUTED_VALUE"""),"Dubai&gt;Al Nahda (Dubai)&gt;Al Nahda 2&gt;Al Bahri Building")</f>
        <v>Dubai&gt;Al Nahda (Dubai)&gt;Al Nahda 2&gt;Al Bahri Building</v>
      </c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</row>
    <row r="7120" spans="1:26" ht="16.5" x14ac:dyDescent="0.35">
      <c r="A7120" s="2" t="str">
        <f ca="1">IFERROR(__xludf.DUMMYFUNCTION("""COMPUTED_VALUE"""),"Dubai")</f>
        <v>Dubai</v>
      </c>
      <c r="B7120" s="2" t="str">
        <f ca="1">IFERROR(__xludf.DUMMYFUNCTION("""COMPUTED_VALUE"""),"Sunrise Living")</f>
        <v>Sunrise Living</v>
      </c>
      <c r="C7120" s="2" t="str">
        <f ca="1">IFERROR(__xludf.DUMMYFUNCTION("""COMPUTED_VALUE"""),"Neighbourhood")</f>
        <v>Neighbourhood</v>
      </c>
      <c r="D7120" s="2" t="str">
        <f ca="1">IFERROR(__xludf.DUMMYFUNCTION("""COMPUTED_VALUE"""),"Dubai&gt;Jumeirah Park&gt;District 6&gt;Sunrise Living")</f>
        <v>Dubai&gt;Jumeirah Park&gt;District 6&gt;Sunrise Living</v>
      </c>
      <c r="E7120" s="2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</row>
    <row r="7121" spans="1:26" ht="16.5" x14ac:dyDescent="0.35">
      <c r="A7121" s="2" t="str">
        <f ca="1">IFERROR(__xludf.DUMMYFUNCTION("""COMPUTED_VALUE"""),"Dubai")</f>
        <v>Dubai</v>
      </c>
      <c r="B7121" s="2" t="str">
        <f ca="1">IFERROR(__xludf.DUMMYFUNCTION("""COMPUTED_VALUE"""),"Lagoon Views 1 Tower B")</f>
        <v>Lagoon Views 1 Tower B</v>
      </c>
      <c r="C7121" s="2" t="str">
        <f ca="1">IFERROR(__xludf.DUMMYFUNCTION("""COMPUTED_VALUE"""),"Building")</f>
        <v>Building</v>
      </c>
      <c r="D7121" s="2" t="str">
        <f ca="1">IFERROR(__xludf.DUMMYFUNCTION("""COMPUTED_VALUE"""),"Dubai&gt;DAMAC Lagoons&gt;Lagoon Views&gt;Lagoon Views 1 Tower B")</f>
        <v>Dubai&gt;DAMAC Lagoons&gt;Lagoon Views&gt;Lagoon Views 1 Tower B</v>
      </c>
      <c r="E7121" s="2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</row>
    <row r="7122" spans="1:26" ht="16.5" x14ac:dyDescent="0.35">
      <c r="A7122" s="2" t="str">
        <f ca="1">IFERROR(__xludf.DUMMYFUNCTION("""COMPUTED_VALUE"""),"Dubai")</f>
        <v>Dubai</v>
      </c>
      <c r="B7122" s="2" t="str">
        <f ca="1">IFERROR(__xludf.DUMMYFUNCTION("""COMPUTED_VALUE"""),"Liwan Gate 1")</f>
        <v>Liwan Gate 1</v>
      </c>
      <c r="C7122" s="2" t="str">
        <f ca="1">IFERROR(__xludf.DUMMYFUNCTION("""COMPUTED_VALUE"""),"Building")</f>
        <v>Building</v>
      </c>
      <c r="D7122" s="2" t="str">
        <f ca="1">IFERROR(__xludf.DUMMYFUNCTION("""COMPUTED_VALUE"""),"Dubai&gt;Liwan 2&gt;Liwan Gate&gt;Liwan Gate 1")</f>
        <v>Dubai&gt;Liwan 2&gt;Liwan Gate&gt;Liwan Gate 1</v>
      </c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</row>
    <row r="7123" spans="1:26" ht="16.5" x14ac:dyDescent="0.35">
      <c r="A7123" s="2" t="str">
        <f ca="1">IFERROR(__xludf.DUMMYFUNCTION("""COMPUTED_VALUE"""),"Dubai")</f>
        <v>Dubai</v>
      </c>
      <c r="B7123" s="2" t="str">
        <f ca="1">IFERROR(__xludf.DUMMYFUNCTION("""COMPUTED_VALUE"""),"Al Fawaz Residence")</f>
        <v>Al Fawaz Residence</v>
      </c>
      <c r="C7123" s="2" t="str">
        <f ca="1">IFERROR(__xludf.DUMMYFUNCTION("""COMPUTED_VALUE"""),"Building")</f>
        <v>Building</v>
      </c>
      <c r="D7123" s="2" t="str">
        <f ca="1">IFERROR(__xludf.DUMMYFUNCTION("""COMPUTED_VALUE"""),"Dubai&gt;Liwan 2&gt;Al Fawaz Residence")</f>
        <v>Dubai&gt;Liwan 2&gt;Al Fawaz Residence</v>
      </c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</row>
    <row r="7124" spans="1:26" ht="16.5" x14ac:dyDescent="0.35">
      <c r="A7124" s="2" t="str">
        <f ca="1">IFERROR(__xludf.DUMMYFUNCTION("""COMPUTED_VALUE"""),"Dubai")</f>
        <v>Dubai</v>
      </c>
      <c r="B7124" s="2" t="str">
        <f ca="1">IFERROR(__xludf.DUMMYFUNCTION("""COMPUTED_VALUE"""),"Arenco Building Block 3")</f>
        <v>Arenco Building Block 3</v>
      </c>
      <c r="C7124" s="2" t="str">
        <f ca="1">IFERROR(__xludf.DUMMYFUNCTION("""COMPUTED_VALUE"""),"Building")</f>
        <v>Building</v>
      </c>
      <c r="D7124" s="2" t="str">
        <f ca="1">IFERROR(__xludf.DUMMYFUNCTION("""COMPUTED_VALUE"""),"Dubai&gt;Dubai Investment Park (DIP)&gt;Dubai Investment Park 1&gt;Arenco Offices&gt;Arenco Building Block 3")</f>
        <v>Dubai&gt;Dubai Investment Park (DIP)&gt;Dubai Investment Park 1&gt;Arenco Offices&gt;Arenco Building Block 3</v>
      </c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</row>
    <row r="7125" spans="1:26" ht="16.5" x14ac:dyDescent="0.35">
      <c r="A7125" s="2" t="str">
        <f ca="1">IFERROR(__xludf.DUMMYFUNCTION("""COMPUTED_VALUE"""),"Dubai")</f>
        <v>Dubai</v>
      </c>
      <c r="B7125" s="2" t="str">
        <f ca="1">IFERROR(__xludf.DUMMYFUNCTION("""COMPUTED_VALUE"""),"Deco Emirates 1")</f>
        <v>Deco Emirates 1</v>
      </c>
      <c r="C7125" s="2" t="str">
        <f ca="1">IFERROR(__xludf.DUMMYFUNCTION("""COMPUTED_VALUE"""),"Building")</f>
        <v>Building</v>
      </c>
      <c r="D7125" s="2" t="str">
        <f ca="1">IFERROR(__xludf.DUMMYFUNCTION("""COMPUTED_VALUE"""),"Dubai&gt;Dubai Investment Park (DIP)&gt;Dubai Investment Park 1&gt;Deco Emirates 1")</f>
        <v>Dubai&gt;Dubai Investment Park (DIP)&gt;Dubai Investment Park 1&gt;Deco Emirates 1</v>
      </c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</row>
    <row r="7126" spans="1:26" ht="16.5" x14ac:dyDescent="0.35">
      <c r="A7126" s="2" t="str">
        <f ca="1">IFERROR(__xludf.DUMMYFUNCTION("""COMPUTED_VALUE"""),"Dubai")</f>
        <v>Dubai</v>
      </c>
      <c r="B7126" s="2" t="str">
        <f ca="1">IFERROR(__xludf.DUMMYFUNCTION("""COMPUTED_VALUE"""),"Junior 2 Labour Camp")</f>
        <v>Junior 2 Labour Camp</v>
      </c>
      <c r="C7126" s="2" t="str">
        <f ca="1">IFERROR(__xludf.DUMMYFUNCTION("""COMPUTED_VALUE"""),"Building")</f>
        <v>Building</v>
      </c>
      <c r="D7126" s="2" t="str">
        <f ca="1">IFERROR(__xludf.DUMMYFUNCTION("""COMPUTED_VALUE"""),"Dubai&gt;Dubai Investment Park (DIP)&gt;Dubai Investment Park 1&gt;Junior Labour Camp&gt;Junior 2 Labour Camp")</f>
        <v>Dubai&gt;Dubai Investment Park (DIP)&gt;Dubai Investment Park 1&gt;Junior Labour Camp&gt;Junior 2 Labour Camp</v>
      </c>
      <c r="E7126" s="2"/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</row>
    <row r="7127" spans="1:26" ht="16.5" x14ac:dyDescent="0.35">
      <c r="A7127" s="2" t="str">
        <f ca="1">IFERROR(__xludf.DUMMYFUNCTION("""COMPUTED_VALUE"""),"Dubai")</f>
        <v>Dubai</v>
      </c>
      <c r="B7127" s="2" t="str">
        <f ca="1">IFERROR(__xludf.DUMMYFUNCTION("""COMPUTED_VALUE"""),"Courtyard The Village")</f>
        <v>Courtyard The Village</v>
      </c>
      <c r="C7127" s="2" t="str">
        <f ca="1">IFERROR(__xludf.DUMMYFUNCTION("""COMPUTED_VALUE"""),"Building")</f>
        <v>Building</v>
      </c>
      <c r="D7127" s="2" t="str">
        <f ca="1">IFERROR(__xludf.DUMMYFUNCTION("""COMPUTED_VALUE"""),"Dubai&gt;Dubai Investment Park (DIP)&gt;The Village&gt;Courtyard The Village")</f>
        <v>Dubai&gt;Dubai Investment Park (DIP)&gt;The Village&gt;Courtyard The Village</v>
      </c>
      <c r="E7127" s="2"/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</row>
    <row r="7128" spans="1:26" ht="16.5" x14ac:dyDescent="0.35">
      <c r="A7128" s="2" t="str">
        <f ca="1">IFERROR(__xludf.DUMMYFUNCTION("""COMPUTED_VALUE"""),"Dubai")</f>
        <v>Dubai</v>
      </c>
      <c r="B7128" s="2" t="str">
        <f ca="1">IFERROR(__xludf.DUMMYFUNCTION("""COMPUTED_VALUE"""),"B13")</f>
        <v>B13</v>
      </c>
      <c r="C7128" s="2" t="str">
        <f ca="1">IFERROR(__xludf.DUMMYFUNCTION("""COMPUTED_VALUE"""),"Building")</f>
        <v>Building</v>
      </c>
      <c r="D7128" s="2" t="str">
        <f ca="1">IFERROR(__xludf.DUMMYFUNCTION("""COMPUTED_VALUE"""),"Dubai&gt;Dubai Investment Park (DIP)&gt;Dubai Investment Park 2&gt;Dunes Village&gt;B13")</f>
        <v>Dubai&gt;Dubai Investment Park (DIP)&gt;Dubai Investment Park 2&gt;Dunes Village&gt;B13</v>
      </c>
      <c r="E7128" s="2"/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</row>
    <row r="7129" spans="1:26" ht="16.5" x14ac:dyDescent="0.35">
      <c r="A7129" s="2" t="str">
        <f ca="1">IFERROR(__xludf.DUMMYFUNCTION("""COMPUTED_VALUE"""),"Dubai")</f>
        <v>Dubai</v>
      </c>
      <c r="B7129" s="2" t="str">
        <f ca="1">IFERROR(__xludf.DUMMYFUNCTION("""COMPUTED_VALUE"""),"Imperial Residences (DIP)")</f>
        <v>Imperial Residences (DIP)</v>
      </c>
      <c r="C7129" s="2" t="str">
        <f ca="1">IFERROR(__xludf.DUMMYFUNCTION("""COMPUTED_VALUE"""),"Cluster")</f>
        <v>Cluster</v>
      </c>
      <c r="D7129" s="2" t="str">
        <f ca="1">IFERROR(__xludf.DUMMYFUNCTION("""COMPUTED_VALUE"""),"Dubai&gt;Dubai Investment Park (DIP)&gt;Imperial Residences (DIP)")</f>
        <v>Dubai&gt;Dubai Investment Park (DIP)&gt;Imperial Residences (DIP)</v>
      </c>
      <c r="E7129" s="2"/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</row>
    <row r="7130" spans="1:26" ht="16.5" x14ac:dyDescent="0.35">
      <c r="A7130" s="2" t="str">
        <f ca="1">IFERROR(__xludf.DUMMYFUNCTION("""COMPUTED_VALUE"""),"Dubai")</f>
        <v>Dubai</v>
      </c>
      <c r="B7130" s="2" t="str">
        <f ca="1">IFERROR(__xludf.DUMMYFUNCTION("""COMPUTED_VALUE"""),"Montura 2")</f>
        <v>Montura 2</v>
      </c>
      <c r="C7130" s="2" t="str">
        <f ca="1">IFERROR(__xludf.DUMMYFUNCTION("""COMPUTED_VALUE"""),"Neighbourhood")</f>
        <v>Neighbourhood</v>
      </c>
      <c r="D7130" s="2" t="str">
        <f ca="1">IFERROR(__xludf.DUMMYFUNCTION("""COMPUTED_VALUE"""),"Dubai&gt;Dubai Investment Park (DIP)&gt;Grand Polo Club &amp; Resort&gt;Montura 2")</f>
        <v>Dubai&gt;Dubai Investment Park (DIP)&gt;Grand Polo Club &amp; Resort&gt;Montura 2</v>
      </c>
      <c r="E7130" s="2"/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</row>
    <row r="7131" spans="1:26" ht="16.5" x14ac:dyDescent="0.35">
      <c r="A7131" s="2" t="str">
        <f ca="1">IFERROR(__xludf.DUMMYFUNCTION("""COMPUTED_VALUE"""),"Dubai")</f>
        <v>Dubai</v>
      </c>
      <c r="B7131" s="2" t="str">
        <f ca="1">IFERROR(__xludf.DUMMYFUNCTION("""COMPUTED_VALUE"""),"Sanali Flamingo Tower")</f>
        <v>Sanali Flamingo Tower</v>
      </c>
      <c r="C7131" s="2" t="str">
        <f ca="1">IFERROR(__xludf.DUMMYFUNCTION("""COMPUTED_VALUE"""),"Building")</f>
        <v>Building</v>
      </c>
      <c r="D7131" s="2" t="str">
        <f ca="1">IFERROR(__xludf.DUMMYFUNCTION("""COMPUTED_VALUE"""),"Dubai&gt;Majan&gt;Sanali Flamingo Tower")</f>
        <v>Dubai&gt;Majan&gt;Sanali Flamingo Tower</v>
      </c>
      <c r="E7131" s="2"/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</row>
    <row r="7132" spans="1:26" ht="16.5" x14ac:dyDescent="0.35">
      <c r="A7132" s="2" t="str">
        <f ca="1">IFERROR(__xludf.DUMMYFUNCTION("""COMPUTED_VALUE"""),"Dubai")</f>
        <v>Dubai</v>
      </c>
      <c r="B7132" s="2" t="str">
        <f ca="1">IFERROR(__xludf.DUMMYFUNCTION("""COMPUTED_VALUE"""),"Celia Heights")</f>
        <v>Celia Heights</v>
      </c>
      <c r="C7132" s="2" t="str">
        <f ca="1">IFERROR(__xludf.DUMMYFUNCTION("""COMPUTED_VALUE"""),"Building")</f>
        <v>Building</v>
      </c>
      <c r="D7132" s="2" t="str">
        <f ca="1">IFERROR(__xludf.DUMMYFUNCTION("""COMPUTED_VALUE"""),"Dubai&gt;Majan&gt;Celia Heights")</f>
        <v>Dubai&gt;Majan&gt;Celia Heights</v>
      </c>
      <c r="E7132" s="2"/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</row>
    <row r="7133" spans="1:26" ht="16.5" x14ac:dyDescent="0.35">
      <c r="A7133" s="2" t="str">
        <f ca="1">IFERROR(__xludf.DUMMYFUNCTION("""COMPUTED_VALUE"""),"Dubai")</f>
        <v>Dubai</v>
      </c>
      <c r="B7133" s="2" t="str">
        <f ca="1">IFERROR(__xludf.DUMMYFUNCTION("""COMPUTED_VALUE"""),"Vincitore Wellness Estate")</f>
        <v>Vincitore Wellness Estate</v>
      </c>
      <c r="C7133" s="2" t="str">
        <f ca="1">IFERROR(__xludf.DUMMYFUNCTION("""COMPUTED_VALUE"""),"Cluster")</f>
        <v>Cluster</v>
      </c>
      <c r="D7133" s="2" t="str">
        <f ca="1">IFERROR(__xludf.DUMMYFUNCTION("""COMPUTED_VALUE"""),"Dubai&gt;Majan&gt;Vincitore Wellness Estate")</f>
        <v>Dubai&gt;Majan&gt;Vincitore Wellness Estate</v>
      </c>
      <c r="E7133" s="2"/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</row>
    <row r="7134" spans="1:26" ht="16.5" x14ac:dyDescent="0.35">
      <c r="A7134" s="2" t="str">
        <f ca="1">IFERROR(__xludf.DUMMYFUNCTION("""COMPUTED_VALUE"""),"Dubai")</f>
        <v>Dubai</v>
      </c>
      <c r="B7134" s="2" t="str">
        <f ca="1">IFERROR(__xludf.DUMMYFUNCTION("""COMPUTED_VALUE"""),"Skyscape")</f>
        <v>Skyscape</v>
      </c>
      <c r="C7134" s="2" t="str">
        <f ca="1">IFERROR(__xludf.DUMMYFUNCTION("""COMPUTED_VALUE"""),"Cluster")</f>
        <v>Cluster</v>
      </c>
      <c r="D7134" s="2" t="str">
        <f ca="1">IFERROR(__xludf.DUMMYFUNCTION("""COMPUTED_VALUE"""),"Dubai&gt;Sobha Hartland 2&gt;Skyscape")</f>
        <v>Dubai&gt;Sobha Hartland 2&gt;Skyscape</v>
      </c>
      <c r="E7134" s="2"/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</row>
    <row r="7135" spans="1:26" ht="16.5" x14ac:dyDescent="0.35">
      <c r="A7135" s="2" t="str">
        <f ca="1">IFERROR(__xludf.DUMMYFUNCTION("""COMPUTED_VALUE"""),"Dubai")</f>
        <v>Dubai</v>
      </c>
      <c r="B7135" s="2" t="str">
        <f ca="1">IFERROR(__xludf.DUMMYFUNCTION("""COMPUTED_VALUE"""),"Glitz")</f>
        <v>Glitz</v>
      </c>
      <c r="C7135" s="2" t="str">
        <f ca="1">IFERROR(__xludf.DUMMYFUNCTION("""COMPUTED_VALUE"""),"Cluster")</f>
        <v>Cluster</v>
      </c>
      <c r="D7135" s="2" t="str">
        <f ca="1">IFERROR(__xludf.DUMMYFUNCTION("""COMPUTED_VALUE"""),"Dubai&gt;Dubai Studio City&gt;Glitz")</f>
        <v>Dubai&gt;Dubai Studio City&gt;Glitz</v>
      </c>
      <c r="E7135" s="2"/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</row>
    <row r="7136" spans="1:26" ht="16.5" x14ac:dyDescent="0.35">
      <c r="A7136" s="2" t="str">
        <f ca="1">IFERROR(__xludf.DUMMYFUNCTION("""COMPUTED_VALUE"""),"Dubai")</f>
        <v>Dubai</v>
      </c>
      <c r="B7136" s="2" t="str">
        <f ca="1">IFERROR(__xludf.DUMMYFUNCTION("""COMPUTED_VALUE"""),"Ghaff Land Residence")</f>
        <v>Ghaff Land Residence</v>
      </c>
      <c r="C7136" s="2" t="str">
        <f ca="1">IFERROR(__xludf.DUMMYFUNCTION("""COMPUTED_VALUE"""),"Building")</f>
        <v>Building</v>
      </c>
      <c r="D7136" s="2" t="str">
        <f ca="1">IFERROR(__xludf.DUMMYFUNCTION("""COMPUTED_VALUE"""),"Dubai&gt;Dubai Studio City&gt;Ghaff Land Residence")</f>
        <v>Dubai&gt;Dubai Studio City&gt;Ghaff Land Residence</v>
      </c>
      <c r="E7136" s="2"/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</row>
    <row r="7137" spans="1:26" ht="16.5" x14ac:dyDescent="0.35">
      <c r="A7137" s="2" t="str">
        <f ca="1">IFERROR(__xludf.DUMMYFUNCTION("""COMPUTED_VALUE"""),"Dubai")</f>
        <v>Dubai</v>
      </c>
      <c r="B7137" s="2" t="str">
        <f ca="1">IFERROR(__xludf.DUMMYFUNCTION("""COMPUTED_VALUE"""),"Hartland Waves")</f>
        <v>Hartland Waves</v>
      </c>
      <c r="C7137" s="2" t="str">
        <f ca="1">IFERROR(__xludf.DUMMYFUNCTION("""COMPUTED_VALUE"""),"Building")</f>
        <v>Building</v>
      </c>
      <c r="D7137" s="2" t="str">
        <f ca="1">IFERROR(__xludf.DUMMYFUNCTION("""COMPUTED_VALUE"""),"Dubai&gt;Sobha Hartland&gt;Hartland Waves")</f>
        <v>Dubai&gt;Sobha Hartland&gt;Hartland Waves</v>
      </c>
      <c r="E7137" s="2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</row>
    <row r="7138" spans="1:26" ht="16.5" x14ac:dyDescent="0.35">
      <c r="A7138" s="2" t="str">
        <f ca="1">IFERROR(__xludf.DUMMYFUNCTION("""COMPUTED_VALUE"""),"Dubai")</f>
        <v>Dubai</v>
      </c>
      <c r="B7138" s="2" t="str">
        <f ca="1">IFERROR(__xludf.DUMMYFUNCTION("""COMPUTED_VALUE"""),"Sobha Creek Vistas Heights")</f>
        <v>Sobha Creek Vistas Heights</v>
      </c>
      <c r="C7138" s="2" t="str">
        <f ca="1">IFERROR(__xludf.DUMMYFUNCTION("""COMPUTED_VALUE"""),"Cluster")</f>
        <v>Cluster</v>
      </c>
      <c r="D7138" s="2" t="str">
        <f ca="1">IFERROR(__xludf.DUMMYFUNCTION("""COMPUTED_VALUE"""),"Dubai&gt;Sobha Hartland&gt;Sobha Creek Vistas Heights")</f>
        <v>Dubai&gt;Sobha Hartland&gt;Sobha Creek Vistas Heights</v>
      </c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</row>
    <row r="7139" spans="1:26" ht="16.5" x14ac:dyDescent="0.35">
      <c r="A7139" s="2" t="str">
        <f ca="1">IFERROR(__xludf.DUMMYFUNCTION("""COMPUTED_VALUE"""),"Dubai")</f>
        <v>Dubai</v>
      </c>
      <c r="B7139" s="2" t="str">
        <f ca="1">IFERROR(__xludf.DUMMYFUNCTION("""COMPUTED_VALUE"""),"Building 3D")</f>
        <v>Building 3D</v>
      </c>
      <c r="C7139" s="2" t="str">
        <f ca="1">IFERROR(__xludf.DUMMYFUNCTION("""COMPUTED_VALUE"""),"Building")</f>
        <v>Building</v>
      </c>
      <c r="D7139" s="2" t="str">
        <f ca="1">IFERROR(__xludf.DUMMYFUNCTION("""COMPUTED_VALUE"""),"Dubai&gt;Expo City&gt;Expo Village&gt;Residences 3&gt;Building 3D")</f>
        <v>Dubai&gt;Expo City&gt;Expo Village&gt;Residences 3&gt;Building 3D</v>
      </c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</row>
    <row r="7140" spans="1:26" ht="16.5" x14ac:dyDescent="0.35">
      <c r="A7140" s="2" t="str">
        <f ca="1">IFERROR(__xludf.DUMMYFUNCTION("""COMPUTED_VALUE"""),"Dubai")</f>
        <v>Dubai</v>
      </c>
      <c r="B7140" s="2" t="str">
        <f ca="1">IFERROR(__xludf.DUMMYFUNCTION("""COMPUTED_VALUE"""),"Cheval Maison - Expo City Dubai")</f>
        <v>Cheval Maison - Expo City Dubai</v>
      </c>
      <c r="C7140" s="2" t="str">
        <f ca="1">IFERROR(__xludf.DUMMYFUNCTION("""COMPUTED_VALUE"""),"Building")</f>
        <v>Building</v>
      </c>
      <c r="D7140" s="2" t="str">
        <f ca="1">IFERROR(__xludf.DUMMYFUNCTION("""COMPUTED_VALUE"""),"Dubai&gt;Expo City&gt;Cheval Maison - Expo City Dubai")</f>
        <v>Dubai&gt;Expo City&gt;Cheval Maison - Expo City Dubai</v>
      </c>
      <c r="E7140" s="2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</row>
    <row r="7141" spans="1:26" ht="16.5" x14ac:dyDescent="0.35">
      <c r="A7141" s="2" t="str">
        <f ca="1">IFERROR(__xludf.DUMMYFUNCTION("""COMPUTED_VALUE"""),"Dubai")</f>
        <v>Dubai</v>
      </c>
      <c r="B7141" s="2" t="str">
        <f ca="1">IFERROR(__xludf.DUMMYFUNCTION("""COMPUTED_VALUE"""),"Teal")</f>
        <v>Teal</v>
      </c>
      <c r="C7141" s="2" t="str">
        <f ca="1">IFERROR(__xludf.DUMMYFUNCTION("""COMPUTED_VALUE"""),"Building")</f>
        <v>Building</v>
      </c>
      <c r="D7141" s="2" t="str">
        <f ca="1">IFERROR(__xludf.DUMMYFUNCTION("""COMPUTED_VALUE"""),"Dubai&gt;Haven by Aldar&gt;Verdes by Haven&gt;Teal")</f>
        <v>Dubai&gt;Haven by Aldar&gt;Verdes by Haven&gt;Teal</v>
      </c>
      <c r="E7141" s="2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</row>
    <row r="7142" spans="1:26" ht="16.5" x14ac:dyDescent="0.35">
      <c r="A7142" s="2" t="str">
        <f ca="1">IFERROR(__xludf.DUMMYFUNCTION("""COMPUTED_VALUE"""),"Dubai")</f>
        <v>Dubai</v>
      </c>
      <c r="B7142" s="2" t="str">
        <f ca="1">IFERROR(__xludf.DUMMYFUNCTION("""COMPUTED_VALUE"""),"The Acres Estates")</f>
        <v>The Acres Estates</v>
      </c>
      <c r="C7142" s="2" t="str">
        <f ca="1">IFERROR(__xludf.DUMMYFUNCTION("""COMPUTED_VALUE"""),"Neighbourhood")</f>
        <v>Neighbourhood</v>
      </c>
      <c r="D7142" s="2" t="str">
        <f ca="1">IFERROR(__xludf.DUMMYFUNCTION("""COMPUTED_VALUE"""),"Dubai&gt;The Acres&gt;The Acres Estates")</f>
        <v>Dubai&gt;The Acres&gt;The Acres Estates</v>
      </c>
      <c r="E7142" s="2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</row>
    <row r="7143" spans="1:26" ht="16.5" x14ac:dyDescent="0.35">
      <c r="A7143" s="2" t="str">
        <f ca="1">IFERROR(__xludf.DUMMYFUNCTION("""COMPUTED_VALUE"""),"Dubai")</f>
        <v>Dubai</v>
      </c>
      <c r="B7143" s="2" t="str">
        <f ca="1">IFERROR(__xludf.DUMMYFUNCTION("""COMPUTED_VALUE"""),"Serra Building 10")</f>
        <v>Serra Building 10</v>
      </c>
      <c r="C7143" s="2" t="str">
        <f ca="1">IFERROR(__xludf.DUMMYFUNCTION("""COMPUTED_VALUE"""),"Building")</f>
        <v>Building</v>
      </c>
      <c r="D7143" s="2" t="str">
        <f ca="1">IFERROR(__xludf.DUMMYFUNCTION("""COMPUTED_VALUE"""),"Dubai&gt;Ghaf Woods&gt;Serra&gt;Serra Building 10")</f>
        <v>Dubai&gt;Ghaf Woods&gt;Serra&gt;Serra Building 10</v>
      </c>
      <c r="E7143" s="2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</row>
    <row r="7144" spans="1:26" ht="16.5" x14ac:dyDescent="0.35">
      <c r="A7144" s="2" t="str">
        <f ca="1">IFERROR(__xludf.DUMMYFUNCTION("""COMPUTED_VALUE"""),"Dubai")</f>
        <v>Dubai</v>
      </c>
      <c r="B7144" s="2" t="str">
        <f ca="1">IFERROR(__xludf.DUMMYFUNCTION("""COMPUTED_VALUE"""),"Maldives 3")</f>
        <v>Maldives 3</v>
      </c>
      <c r="C7144" s="2" t="str">
        <f ca="1">IFERROR(__xludf.DUMMYFUNCTION("""COMPUTED_VALUE"""),"Neighbourhood")</f>
        <v>Neighbourhood</v>
      </c>
      <c r="D7144" s="2" t="str">
        <f ca="1">IFERROR(__xludf.DUMMYFUNCTION("""COMPUTED_VALUE"""),"Dubai&gt;DAMAC Islands&gt;Maldives 3")</f>
        <v>Dubai&gt;DAMAC Islands&gt;Maldives 3</v>
      </c>
      <c r="E7144" s="2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</row>
    <row r="7145" spans="1:26" ht="16.5" x14ac:dyDescent="0.35">
      <c r="A7145" s="2" t="str">
        <f ca="1">IFERROR(__xludf.DUMMYFUNCTION("""COMPUTED_VALUE"""),"Dubai")</f>
        <v>Dubai</v>
      </c>
      <c r="B7145" s="2" t="str">
        <f ca="1">IFERROR(__xludf.DUMMYFUNCTION("""COMPUTED_VALUE"""),"Rimal 5")</f>
        <v>Rimal 5</v>
      </c>
      <c r="C7145" s="2" t="str">
        <f ca="1">IFERROR(__xludf.DUMMYFUNCTION("""COMPUTED_VALUE"""),"Building")</f>
        <v>Building</v>
      </c>
      <c r="D7145" s="2" t="str">
        <f ca="1">IFERROR(__xludf.DUMMYFUNCTION("""COMPUTED_VALUE"""),"Dubai&gt;Jumeirah Beach Residence (JBR)&gt;Rimal&gt;Rimal 5")</f>
        <v>Dubai&gt;Jumeirah Beach Residence (JBR)&gt;Rimal&gt;Rimal 5</v>
      </c>
      <c r="E7145" s="2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</row>
    <row r="7146" spans="1:26" ht="16.5" x14ac:dyDescent="0.35">
      <c r="A7146" s="2" t="str">
        <f ca="1">IFERROR(__xludf.DUMMYFUNCTION("""COMPUTED_VALUE"""),"Dubai")</f>
        <v>Dubai</v>
      </c>
      <c r="B7146" s="2" t="str">
        <f ca="1">IFERROR(__xludf.DUMMYFUNCTION("""COMPUTED_VALUE"""),"Amwaj Rotana")</f>
        <v>Amwaj Rotana</v>
      </c>
      <c r="C7146" s="2" t="str">
        <f ca="1">IFERROR(__xludf.DUMMYFUNCTION("""COMPUTED_VALUE"""),"Building")</f>
        <v>Building</v>
      </c>
      <c r="D7146" s="2" t="str">
        <f ca="1">IFERROR(__xludf.DUMMYFUNCTION("""COMPUTED_VALUE"""),"Dubai&gt;Jumeirah Beach Residence (JBR)&gt;Amwaj Rotana")</f>
        <v>Dubai&gt;Jumeirah Beach Residence (JBR)&gt;Amwaj Rotana</v>
      </c>
      <c r="E7146" s="2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</row>
    <row r="7147" spans="1:26" ht="16.5" x14ac:dyDescent="0.35">
      <c r="A7147" s="2" t="str">
        <f ca="1">IFERROR(__xludf.DUMMYFUNCTION("""COMPUTED_VALUE"""),"Dubai")</f>
        <v>Dubai</v>
      </c>
      <c r="B7147" s="2" t="str">
        <f ca="1">IFERROR(__xludf.DUMMYFUNCTION("""COMPUTED_VALUE"""),"Belmore Residences")</f>
        <v>Belmore Residences</v>
      </c>
      <c r="C7147" s="2" t="str">
        <f ca="1">IFERROR(__xludf.DUMMYFUNCTION("""COMPUTED_VALUE"""),"Building")</f>
        <v>Building</v>
      </c>
      <c r="D7147" s="2" t="str">
        <f ca="1">IFERROR(__xludf.DUMMYFUNCTION("""COMPUTED_VALUE"""),"Dubai&gt;Meydan Horizon&gt;Belmore Residences")</f>
        <v>Dubai&gt;Meydan Horizon&gt;Belmore Residences</v>
      </c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</row>
    <row r="7148" spans="1:26" ht="16.5" x14ac:dyDescent="0.35">
      <c r="A7148" s="2" t="str">
        <f ca="1">IFERROR(__xludf.DUMMYFUNCTION("""COMPUTED_VALUE"""),"Dubai")</f>
        <v>Dubai</v>
      </c>
      <c r="B7148" s="2" t="str">
        <f ca="1">IFERROR(__xludf.DUMMYFUNCTION("""COMPUTED_VALUE"""),"Block A")</f>
        <v>Block A</v>
      </c>
      <c r="C7148" s="2" t="str">
        <f ca="1">IFERROR(__xludf.DUMMYFUNCTION("""COMPUTED_VALUE"""),"Building")</f>
        <v>Building</v>
      </c>
      <c r="D7148" s="2" t="str">
        <f ca="1">IFERROR(__xludf.DUMMYFUNCTION("""COMPUTED_VALUE"""),"Dubai&gt;Al Wasl&gt;Dar Wasl&gt;Block A")</f>
        <v>Dubai&gt;Al Wasl&gt;Dar Wasl&gt;Block A</v>
      </c>
      <c r="E7148" s="2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</row>
    <row r="7149" spans="1:26" ht="16.5" x14ac:dyDescent="0.35">
      <c r="A7149" s="2" t="str">
        <f ca="1">IFERROR(__xludf.DUMMYFUNCTION("""COMPUTED_VALUE"""),"Dubai")</f>
        <v>Dubai</v>
      </c>
      <c r="B7149" s="2" t="str">
        <f ca="1">IFERROR(__xludf.DUMMYFUNCTION("""COMPUTED_VALUE"""),"Myrtle")</f>
        <v>Myrtle</v>
      </c>
      <c r="C7149" s="2" t="str">
        <f ca="1">IFERROR(__xludf.DUMMYFUNCTION("""COMPUTED_VALUE"""),"Building")</f>
        <v>Building</v>
      </c>
      <c r="D7149" s="2" t="str">
        <f ca="1">IFERROR(__xludf.DUMMYFUNCTION("""COMPUTED_VALUE"""),"Dubai&gt;Al Wasl&gt;City Walk&gt;Central Park&gt;Myrtle")</f>
        <v>Dubai&gt;Al Wasl&gt;City Walk&gt;Central Park&gt;Myrtle</v>
      </c>
      <c r="E7149" s="2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</row>
    <row r="7150" spans="1:26" ht="16.5" x14ac:dyDescent="0.35">
      <c r="A7150" s="2" t="str">
        <f ca="1">IFERROR(__xludf.DUMMYFUNCTION("""COMPUTED_VALUE"""),"Dubai")</f>
        <v>Dubai</v>
      </c>
      <c r="B7150" s="2" t="str">
        <f ca="1">IFERROR(__xludf.DUMMYFUNCTION("""COMPUTED_VALUE"""),"Tower A")</f>
        <v>Tower A</v>
      </c>
      <c r="C7150" s="2" t="str">
        <f ca="1">IFERROR(__xludf.DUMMYFUNCTION("""COMPUTED_VALUE"""),"Building")</f>
        <v>Building</v>
      </c>
      <c r="D7150" s="2" t="str">
        <f ca="1">IFERROR(__xludf.DUMMYFUNCTION("""COMPUTED_VALUE"""),"Dubai&gt;Al Wasl&gt;City Walk&gt;City Walk Northline 2&gt;Tower A")</f>
        <v>Dubai&gt;Al Wasl&gt;City Walk&gt;City Walk Northline 2&gt;Tower A</v>
      </c>
      <c r="E7150" s="2"/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</row>
    <row r="7151" spans="1:26" ht="16.5" x14ac:dyDescent="0.35">
      <c r="A7151" s="2" t="str">
        <f ca="1">IFERROR(__xludf.DUMMYFUNCTION("""COMPUTED_VALUE"""),"Dubai")</f>
        <v>Dubai</v>
      </c>
      <c r="B7151" s="2" t="str">
        <f ca="1">IFERROR(__xludf.DUMMYFUNCTION("""COMPUTED_VALUE"""),"Safa One by De Grisogono")</f>
        <v>Safa One by De Grisogono</v>
      </c>
      <c r="C7151" s="2" t="str">
        <f ca="1">IFERROR(__xludf.DUMMYFUNCTION("""COMPUTED_VALUE"""),"Cluster")</f>
        <v>Cluster</v>
      </c>
      <c r="D7151" s="2" t="str">
        <f ca="1">IFERROR(__xludf.DUMMYFUNCTION("""COMPUTED_VALUE"""),"Dubai&gt;Al Wasl&gt;Safa One by De Grisogono")</f>
        <v>Dubai&gt;Al Wasl&gt;Safa One by De Grisogono</v>
      </c>
      <c r="E7151" s="2"/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</row>
    <row r="7152" spans="1:26" ht="16.5" x14ac:dyDescent="0.35">
      <c r="A7152" s="2" t="str">
        <f ca="1">IFERROR(__xludf.DUMMYFUNCTION("""COMPUTED_VALUE"""),"Dubai")</f>
        <v>Dubai</v>
      </c>
      <c r="B7152" s="2" t="str">
        <f ca="1">IFERROR(__xludf.DUMMYFUNCTION("""COMPUTED_VALUE"""),"La Fontana Apartments")</f>
        <v>La Fontana Apartments</v>
      </c>
      <c r="C7152" s="2" t="str">
        <f ca="1">IFERROR(__xludf.DUMMYFUNCTION("""COMPUTED_VALUE"""),"Building")</f>
        <v>Building</v>
      </c>
      <c r="D7152" s="2" t="str">
        <f ca="1">IFERROR(__xludf.DUMMYFUNCTION("""COMPUTED_VALUE"""),"Dubai&gt;Arjan&gt;La Fontana Apartments")</f>
        <v>Dubai&gt;Arjan&gt;La Fontana Apartments</v>
      </c>
      <c r="E7152" s="2"/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</row>
    <row r="7153" spans="1:26" ht="16.5" x14ac:dyDescent="0.35">
      <c r="A7153" s="2" t="str">
        <f ca="1">IFERROR(__xludf.DUMMYFUNCTION("""COMPUTED_VALUE"""),"Dubai")</f>
        <v>Dubai</v>
      </c>
      <c r="B7153" s="2" t="str">
        <f ca="1">IFERROR(__xludf.DUMMYFUNCTION("""COMPUTED_VALUE"""),"Al Sayyah Residence F")</f>
        <v>Al Sayyah Residence F</v>
      </c>
      <c r="C7153" s="2" t="str">
        <f ca="1">IFERROR(__xludf.DUMMYFUNCTION("""COMPUTED_VALUE"""),"Building")</f>
        <v>Building</v>
      </c>
      <c r="D7153" s="2" t="str">
        <f ca="1">IFERROR(__xludf.DUMMYFUNCTION("""COMPUTED_VALUE"""),"Dubai&gt;Arjan&gt;Al Sayyah Residence&gt;Al Sayyah Residence F")</f>
        <v>Dubai&gt;Arjan&gt;Al Sayyah Residence&gt;Al Sayyah Residence F</v>
      </c>
      <c r="E7153" s="2"/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</row>
    <row r="7154" spans="1:26" ht="16.5" x14ac:dyDescent="0.35">
      <c r="A7154" s="2" t="str">
        <f ca="1">IFERROR(__xludf.DUMMYFUNCTION("""COMPUTED_VALUE"""),"Dubai")</f>
        <v>Dubai</v>
      </c>
      <c r="B7154" s="2" t="str">
        <f ca="1">IFERROR(__xludf.DUMMYFUNCTION("""COMPUTED_VALUE"""),"Lincoln Park")</f>
        <v>Lincoln Park</v>
      </c>
      <c r="C7154" s="2" t="str">
        <f ca="1">IFERROR(__xludf.DUMMYFUNCTION("""COMPUTED_VALUE"""),"Cluster")</f>
        <v>Cluster</v>
      </c>
      <c r="D7154" s="2" t="str">
        <f ca="1">IFERROR(__xludf.DUMMYFUNCTION("""COMPUTED_VALUE"""),"Dubai&gt;Arjan&gt;Lincoln Park")</f>
        <v>Dubai&gt;Arjan&gt;Lincoln Park</v>
      </c>
      <c r="E7154" s="2"/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</row>
    <row r="7155" spans="1:26" ht="16.5" x14ac:dyDescent="0.35">
      <c r="A7155" s="2" t="str">
        <f ca="1">IFERROR(__xludf.DUMMYFUNCTION("""COMPUTED_VALUE"""),"Dubai")</f>
        <v>Dubai</v>
      </c>
      <c r="B7155" s="2" t="str">
        <f ca="1">IFERROR(__xludf.DUMMYFUNCTION("""COMPUTED_VALUE"""),"The Blue Reef Al Barsha Building")</f>
        <v>The Blue Reef Al Barsha Building</v>
      </c>
      <c r="C7155" s="2" t="str">
        <f ca="1">IFERROR(__xludf.DUMMYFUNCTION("""COMPUTED_VALUE"""),"Building")</f>
        <v>Building</v>
      </c>
      <c r="D7155" s="2" t="str">
        <f ca="1">IFERROR(__xludf.DUMMYFUNCTION("""COMPUTED_VALUE"""),"Dubai&gt;Arjan&gt;The Blue Reef Al Barsha Building")</f>
        <v>Dubai&gt;Arjan&gt;The Blue Reef Al Barsha Building</v>
      </c>
      <c r="E7155" s="2"/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</row>
    <row r="7156" spans="1:26" ht="16.5" x14ac:dyDescent="0.35">
      <c r="A7156" s="2" t="str">
        <f ca="1">IFERROR(__xludf.DUMMYFUNCTION("""COMPUTED_VALUE"""),"Dubai")</f>
        <v>Dubai</v>
      </c>
      <c r="B7156" s="2" t="str">
        <f ca="1">IFERROR(__xludf.DUMMYFUNCTION("""COMPUTED_VALUE"""),"Vincitore Dolce Vita")</f>
        <v>Vincitore Dolce Vita</v>
      </c>
      <c r="C7156" s="2" t="str">
        <f ca="1">IFERROR(__xludf.DUMMYFUNCTION("""COMPUTED_VALUE"""),"Building")</f>
        <v>Building</v>
      </c>
      <c r="D7156" s="2" t="str">
        <f ca="1">IFERROR(__xludf.DUMMYFUNCTION("""COMPUTED_VALUE"""),"Dubai&gt;Arjan&gt;Vincitore Dolce Vita")</f>
        <v>Dubai&gt;Arjan&gt;Vincitore Dolce Vita</v>
      </c>
      <c r="E7156" s="2"/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</row>
    <row r="7157" spans="1:26" ht="16.5" x14ac:dyDescent="0.35">
      <c r="A7157" s="2" t="str">
        <f ca="1">IFERROR(__xludf.DUMMYFUNCTION("""COMPUTED_VALUE"""),"Dubai")</f>
        <v>Dubai</v>
      </c>
      <c r="B7157" s="2" t="str">
        <f ca="1">IFERROR(__xludf.DUMMYFUNCTION("""COMPUTED_VALUE"""),"Marquis Insignia")</f>
        <v>Marquis Insignia</v>
      </c>
      <c r="C7157" s="2" t="str">
        <f ca="1">IFERROR(__xludf.DUMMYFUNCTION("""COMPUTED_VALUE"""),"Building")</f>
        <v>Building</v>
      </c>
      <c r="D7157" s="2" t="str">
        <f ca="1">IFERROR(__xludf.DUMMYFUNCTION("""COMPUTED_VALUE"""),"Dubai&gt;Arjan&gt;Marquis Insignia")</f>
        <v>Dubai&gt;Arjan&gt;Marquis Insignia</v>
      </c>
      <c r="E7157" s="2"/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</row>
    <row r="7158" spans="1:26" ht="16.5" x14ac:dyDescent="0.35">
      <c r="A7158" s="2" t="str">
        <f ca="1">IFERROR(__xludf.DUMMYFUNCTION("""COMPUTED_VALUE"""),"Dubai")</f>
        <v>Dubai</v>
      </c>
      <c r="B7158" s="2" t="str">
        <f ca="1">IFERROR(__xludf.DUMMYFUNCTION("""COMPUTED_VALUE"""),"Auria Gardens")</f>
        <v>Auria Gardens</v>
      </c>
      <c r="C7158" s="2" t="str">
        <f ca="1">IFERROR(__xludf.DUMMYFUNCTION("""COMPUTED_VALUE"""),"Building")</f>
        <v>Building</v>
      </c>
      <c r="D7158" s="2" t="str">
        <f ca="1">IFERROR(__xludf.DUMMYFUNCTION("""COMPUTED_VALUE"""),"Dubai&gt;Arjan&gt;Auria Gardens")</f>
        <v>Dubai&gt;Arjan&gt;Auria Gardens</v>
      </c>
      <c r="E7158" s="2"/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</row>
    <row r="7159" spans="1:26" ht="16.5" x14ac:dyDescent="0.35">
      <c r="A7159" s="2" t="str">
        <f ca="1">IFERROR(__xludf.DUMMYFUNCTION("""COMPUTED_VALUE"""),"Dubai")</f>
        <v>Dubai</v>
      </c>
      <c r="B7159" s="2" t="str">
        <f ca="1">IFERROR(__xludf.DUMMYFUNCTION("""COMPUTED_VALUE"""),"Wasl Square")</f>
        <v>Wasl Square</v>
      </c>
      <c r="C7159" s="2" t="str">
        <f ca="1">IFERROR(__xludf.DUMMYFUNCTION("""COMPUTED_VALUE"""),"Building")</f>
        <v>Building</v>
      </c>
      <c r="D7159" s="2" t="str">
        <f ca="1">IFERROR(__xludf.DUMMYFUNCTION("""COMPUTED_VALUE"""),"Dubai&gt;Al Safa&gt;Al Safa 1&gt;Wasl Square")</f>
        <v>Dubai&gt;Al Safa&gt;Al Safa 1&gt;Wasl Square</v>
      </c>
      <c r="E7159" s="2"/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</row>
    <row r="7160" spans="1:26" ht="16.5" x14ac:dyDescent="0.35">
      <c r="A7160" s="2" t="str">
        <f ca="1">IFERROR(__xludf.DUMMYFUNCTION("""COMPUTED_VALUE"""),"Abu Dhabi")</f>
        <v>Abu Dhabi</v>
      </c>
      <c r="B7160" s="2" t="str">
        <f ca="1">IFERROR(__xludf.DUMMYFUNCTION("""COMPUTED_VALUE"""),"Zayed Port")</f>
        <v>Zayed Port</v>
      </c>
      <c r="C7160" s="2" t="str">
        <f ca="1">IFERROR(__xludf.DUMMYFUNCTION("""COMPUTED_VALUE"""),"Neighbourhood")</f>
        <v>Neighbourhood</v>
      </c>
      <c r="D7160" s="2" t="str">
        <f ca="1">IFERROR(__xludf.DUMMYFUNCTION("""COMPUTED_VALUE"""),"Abu Dhabi&gt;Zayed Port")</f>
        <v>Abu Dhabi&gt;Zayed Port</v>
      </c>
      <c r="E7160" s="2"/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</row>
    <row r="7161" spans="1:26" ht="16.5" x14ac:dyDescent="0.35">
      <c r="A7161" s="2" t="str">
        <f ca="1">IFERROR(__xludf.DUMMYFUNCTION("""COMPUTED_VALUE"""),"Abu Dhabi")</f>
        <v>Abu Dhabi</v>
      </c>
      <c r="B7161" s="2" t="str">
        <f ca="1">IFERROR(__xludf.DUMMYFUNCTION("""COMPUTED_VALUE"""),"Marina Office Park")</f>
        <v>Marina Office Park</v>
      </c>
      <c r="C7161" s="2" t="str">
        <f ca="1">IFERROR(__xludf.DUMMYFUNCTION("""COMPUTED_VALUE"""),"Building")</f>
        <v>Building</v>
      </c>
      <c r="D7161" s="2" t="str">
        <f ca="1">IFERROR(__xludf.DUMMYFUNCTION("""COMPUTED_VALUE"""),"Abu Dhabi&gt;Marina Village&gt;Marina Office Park")</f>
        <v>Abu Dhabi&gt;Marina Village&gt;Marina Office Park</v>
      </c>
      <c r="E7161" s="2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</row>
    <row r="7162" spans="1:26" ht="16.5" x14ac:dyDescent="0.35">
      <c r="A7162" s="2" t="str">
        <f ca="1">IFERROR(__xludf.DUMMYFUNCTION("""COMPUTED_VALUE"""),"Abu Dhabi")</f>
        <v>Abu Dhabi</v>
      </c>
      <c r="B7162" s="2" t="str">
        <f ca="1">IFERROR(__xludf.DUMMYFUNCTION("""COMPUTED_VALUE"""),"Al Dana Tower")</f>
        <v>Al Dana Tower</v>
      </c>
      <c r="C7162" s="2" t="str">
        <f ca="1">IFERROR(__xludf.DUMMYFUNCTION("""COMPUTED_VALUE"""),"Building")</f>
        <v>Building</v>
      </c>
      <c r="D7162" s="2" t="str">
        <f ca="1">IFERROR(__xludf.DUMMYFUNCTION("""COMPUTED_VALUE"""),"Abu Dhabi&gt;Al Wahdah&gt;Al Dana Tower")</f>
        <v>Abu Dhabi&gt;Al Wahdah&gt;Al Dana Tower</v>
      </c>
      <c r="E7162" s="2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</row>
    <row r="7163" spans="1:26" ht="16.5" x14ac:dyDescent="0.35">
      <c r="A7163" s="2" t="str">
        <f ca="1">IFERROR(__xludf.DUMMYFUNCTION("""COMPUTED_VALUE"""),"Abu Dhabi")</f>
        <v>Abu Dhabi</v>
      </c>
      <c r="B7163" s="2" t="str">
        <f ca="1">IFERROR(__xludf.DUMMYFUNCTION("""COMPUTED_VALUE"""),"Al Aryam Tower")</f>
        <v>Al Aryam Tower</v>
      </c>
      <c r="C7163" s="2" t="str">
        <f ca="1">IFERROR(__xludf.DUMMYFUNCTION("""COMPUTED_VALUE"""),"Building")</f>
        <v>Building</v>
      </c>
      <c r="D7163" s="2" t="str">
        <f ca="1">IFERROR(__xludf.DUMMYFUNCTION("""COMPUTED_VALUE"""),"Abu Dhabi&gt;Tourist Club Area (TCA)&gt;Al Aryam Tower")</f>
        <v>Abu Dhabi&gt;Tourist Club Area (TCA)&gt;Al Aryam Tower</v>
      </c>
      <c r="E7163" s="2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</row>
    <row r="7164" spans="1:26" ht="16.5" x14ac:dyDescent="0.35">
      <c r="A7164" s="2" t="str">
        <f ca="1">IFERROR(__xludf.DUMMYFUNCTION("""COMPUTED_VALUE"""),"Abu Dhabi")</f>
        <v>Abu Dhabi</v>
      </c>
      <c r="B7164" s="2" t="str">
        <f ca="1">IFERROR(__xludf.DUMMYFUNCTION("""COMPUTED_VALUE"""),"Hala Arjaan by Rotana Hotel Apartment")</f>
        <v>Hala Arjaan by Rotana Hotel Apartment</v>
      </c>
      <c r="C7164" s="2" t="str">
        <f ca="1">IFERROR(__xludf.DUMMYFUNCTION("""COMPUTED_VALUE"""),"Building")</f>
        <v>Building</v>
      </c>
      <c r="D7164" s="2" t="str">
        <f ca="1">IFERROR(__xludf.DUMMYFUNCTION("""COMPUTED_VALUE"""),"Abu Dhabi&gt;Al Zahiyah&gt;Hala Arjaan by Rotana Hotel Apartment")</f>
        <v>Abu Dhabi&gt;Al Zahiyah&gt;Hala Arjaan by Rotana Hotel Apartment</v>
      </c>
      <c r="E7164" s="2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</row>
    <row r="7165" spans="1:26" ht="16.5" x14ac:dyDescent="0.35">
      <c r="A7165" s="2" t="str">
        <f ca="1">IFERROR(__xludf.DUMMYFUNCTION("""COMPUTED_VALUE"""),"Abu Dhabi")</f>
        <v>Abu Dhabi</v>
      </c>
      <c r="B7165" s="2" t="str">
        <f ca="1">IFERROR(__xludf.DUMMYFUNCTION("""COMPUTED_VALUE"""),"Al Jurf Gardens")</f>
        <v>Al Jurf Gardens</v>
      </c>
      <c r="C7165" s="2" t="str">
        <f ca="1">IFERROR(__xludf.DUMMYFUNCTION("""COMPUTED_VALUE"""),"Neighbourhood")</f>
        <v>Neighbourhood</v>
      </c>
      <c r="D7165" s="2" t="str">
        <f ca="1">IFERROR(__xludf.DUMMYFUNCTION("""COMPUTED_VALUE"""),"Abu Dhabi&gt;Al Jurf&gt;Al Jurf Gardens")</f>
        <v>Abu Dhabi&gt;Al Jurf&gt;Al Jurf Gardens</v>
      </c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</row>
    <row r="7166" spans="1:26" ht="16.5" x14ac:dyDescent="0.35">
      <c r="A7166" s="2" t="str">
        <f ca="1">IFERROR(__xludf.DUMMYFUNCTION("""COMPUTED_VALUE"""),"Abu Dhabi")</f>
        <v>Abu Dhabi</v>
      </c>
      <c r="B7166" s="2" t="str">
        <f ca="1">IFERROR(__xludf.DUMMYFUNCTION("""COMPUTED_VALUE"""),"The Views Tower 1")</f>
        <v>The Views Tower 1</v>
      </c>
      <c r="C7166" s="2" t="str">
        <f ca="1">IFERROR(__xludf.DUMMYFUNCTION("""COMPUTED_VALUE"""),"Building")</f>
        <v>Building</v>
      </c>
      <c r="D7166" s="2" t="str">
        <f ca="1">IFERROR(__xludf.DUMMYFUNCTION("""COMPUTED_VALUE"""),"Abu Dhabi&gt;Corniche Area&gt;The Views At Saraya&gt;The Views Tower 1")</f>
        <v>Abu Dhabi&gt;Corniche Area&gt;The Views At Saraya&gt;The Views Tower 1</v>
      </c>
      <c r="E7166" s="2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</row>
    <row r="7167" spans="1:26" ht="16.5" x14ac:dyDescent="0.35">
      <c r="A7167" s="2" t="str">
        <f ca="1">IFERROR(__xludf.DUMMYFUNCTION("""COMPUTED_VALUE"""),"Abu Dhabi")</f>
        <v>Abu Dhabi</v>
      </c>
      <c r="B7167" s="2" t="str">
        <f ca="1">IFERROR(__xludf.DUMMYFUNCTION("""COMPUTED_VALUE"""),"Al Falah Street")</f>
        <v>Al Falah Street</v>
      </c>
      <c r="C7167" s="2" t="str">
        <f ca="1">IFERROR(__xludf.DUMMYFUNCTION("""COMPUTED_VALUE"""),"Neighbourhood")</f>
        <v>Neighbourhood</v>
      </c>
      <c r="D7167" s="2" t="str">
        <f ca="1">IFERROR(__xludf.DUMMYFUNCTION("""COMPUTED_VALUE"""),"Abu Dhabi&gt;Al Falah Street")</f>
        <v>Abu Dhabi&gt;Al Falah Street</v>
      </c>
      <c r="E7167" s="2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</row>
    <row r="7168" spans="1:26" ht="16.5" x14ac:dyDescent="0.35">
      <c r="A7168" s="2" t="str">
        <f ca="1">IFERROR(__xludf.DUMMYFUNCTION("""COMPUTED_VALUE"""),"Abu Dhabi")</f>
        <v>Abu Dhabi</v>
      </c>
      <c r="B7168" s="2" t="str">
        <f ca="1">IFERROR(__xludf.DUMMYFUNCTION("""COMPUTED_VALUE"""),"Al Karamah")</f>
        <v>Al Karamah</v>
      </c>
      <c r="C7168" s="2" t="str">
        <f ca="1">IFERROR(__xludf.DUMMYFUNCTION("""COMPUTED_VALUE"""),"Neighbourhood")</f>
        <v>Neighbourhood</v>
      </c>
      <c r="D7168" s="2" t="str">
        <f ca="1">IFERROR(__xludf.DUMMYFUNCTION("""COMPUTED_VALUE"""),"Abu Dhabi&gt;Al Karamah")</f>
        <v>Abu Dhabi&gt;Al Karamah</v>
      </c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</row>
    <row r="7169" spans="1:26" ht="16.5" x14ac:dyDescent="0.35">
      <c r="A7169" s="2" t="str">
        <f ca="1">IFERROR(__xludf.DUMMYFUNCTION("""COMPUTED_VALUE"""),"Abu Dhabi")</f>
        <v>Abu Dhabi</v>
      </c>
      <c r="B7169" s="2" t="str">
        <f ca="1">IFERROR(__xludf.DUMMYFUNCTION("""COMPUTED_VALUE"""),"GEMS Winchester School Abu Dhabi")</f>
        <v>GEMS Winchester School Abu Dhabi</v>
      </c>
      <c r="C7169" s="2" t="str">
        <f ca="1">IFERROR(__xludf.DUMMYFUNCTION("""COMPUTED_VALUE"""),"School")</f>
        <v>School</v>
      </c>
      <c r="D7169" s="2" t="str">
        <f ca="1">IFERROR(__xludf.DUMMYFUNCTION("""COMPUTED_VALUE"""),"Abu Dhabi&gt;Madinat Zayed&gt;GEMS Winchester School Abu Dhabi")</f>
        <v>Abu Dhabi&gt;Madinat Zayed&gt;GEMS Winchester School Abu Dhabi</v>
      </c>
      <c r="E7169" s="2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</row>
    <row r="7170" spans="1:26" ht="16.5" x14ac:dyDescent="0.35">
      <c r="A7170" s="2" t="str">
        <f ca="1">IFERROR(__xludf.DUMMYFUNCTION("""COMPUTED_VALUE"""),"Abu Dhabi")</f>
        <v>Abu Dhabi</v>
      </c>
      <c r="B7170" s="2" t="str">
        <f ca="1">IFERROR(__xludf.DUMMYFUNCTION("""COMPUTED_VALUE"""),"Rihan Heights Tower C")</f>
        <v>Rihan Heights Tower C</v>
      </c>
      <c r="C7170" s="2" t="str">
        <f ca="1">IFERROR(__xludf.DUMMYFUNCTION("""COMPUTED_VALUE"""),"Building")</f>
        <v>Building</v>
      </c>
      <c r="D7170" s="2" t="str">
        <f ca="1">IFERROR(__xludf.DUMMYFUNCTION("""COMPUTED_VALUE"""),"Abu Dhabi&gt;Zayed Sports City&gt;Rihan Heights Towers&gt;Rihan Heights Tower C")</f>
        <v>Abu Dhabi&gt;Zayed Sports City&gt;Rihan Heights Towers&gt;Rihan Heights Tower C</v>
      </c>
      <c r="E7170" s="2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</row>
    <row r="7171" spans="1:26" ht="16.5" x14ac:dyDescent="0.35">
      <c r="A7171" s="2" t="str">
        <f ca="1">IFERROR(__xludf.DUMMYFUNCTION("""COMPUTED_VALUE"""),"Abu Dhabi")</f>
        <v>Abu Dhabi</v>
      </c>
      <c r="B7171" s="2" t="str">
        <f ca="1">IFERROR(__xludf.DUMMYFUNCTION("""COMPUTED_VALUE"""),"MSH5")</f>
        <v>MSH5</v>
      </c>
      <c r="C7171" s="2" t="str">
        <f ca="1">IFERROR(__xludf.DUMMYFUNCTION("""COMPUTED_VALUE"""),"Neighbourhood")</f>
        <v>Neighbourhood</v>
      </c>
      <c r="D7171" s="2" t="str">
        <f ca="1">IFERROR(__xludf.DUMMYFUNCTION("""COMPUTED_VALUE"""),"Abu Dhabi&gt;Shakhbout City&gt;MSH5")</f>
        <v>Abu Dhabi&gt;Shakhbout City&gt;MSH5</v>
      </c>
      <c r="E7171" s="2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</row>
    <row r="7172" spans="1:26" ht="16.5" x14ac:dyDescent="0.35">
      <c r="A7172" s="2" t="str">
        <f ca="1">IFERROR(__xludf.DUMMYFUNCTION("""COMPUTED_VALUE"""),"Abu Dhabi")</f>
        <v>Abu Dhabi</v>
      </c>
      <c r="B7172" s="2" t="str">
        <f ca="1">IFERROR(__xludf.DUMMYFUNCTION("""COMPUTED_VALUE"""),"MSH37")</f>
        <v>MSH37</v>
      </c>
      <c r="C7172" s="2" t="str">
        <f ca="1">IFERROR(__xludf.DUMMYFUNCTION("""COMPUTED_VALUE"""),"Neighbourhood")</f>
        <v>Neighbourhood</v>
      </c>
      <c r="D7172" s="2" t="str">
        <f ca="1">IFERROR(__xludf.DUMMYFUNCTION("""COMPUTED_VALUE"""),"Abu Dhabi&gt;Shakhbout City&gt;MSH37")</f>
        <v>Abu Dhabi&gt;Shakhbout City&gt;MSH37</v>
      </c>
      <c r="E7172" s="2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</row>
    <row r="7173" spans="1:26" ht="16.5" x14ac:dyDescent="0.35">
      <c r="A7173" s="2" t="str">
        <f ca="1">IFERROR(__xludf.DUMMYFUNCTION("""COMPUTED_VALUE"""),"Abu Dhabi")</f>
        <v>Abu Dhabi</v>
      </c>
      <c r="B7173" s="2" t="str">
        <f ca="1">IFERROR(__xludf.DUMMYFUNCTION("""COMPUTED_VALUE"""),"Balghaiylam")</f>
        <v>Balghaiylam</v>
      </c>
      <c r="C7173" s="2" t="str">
        <f ca="1">IFERROR(__xludf.DUMMYFUNCTION("""COMPUTED_VALUE"""),"Neighbourhood")</f>
        <v>Neighbourhood</v>
      </c>
      <c r="D7173" s="2" t="str">
        <f ca="1">IFERROR(__xludf.DUMMYFUNCTION("""COMPUTED_VALUE"""),"Abu Dhabi&gt;Al Bahia&gt;Balghaiylam")</f>
        <v>Abu Dhabi&gt;Al Bahia&gt;Balghaiylam</v>
      </c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</row>
    <row r="7174" spans="1:26" ht="16.5" x14ac:dyDescent="0.35">
      <c r="A7174" s="2" t="str">
        <f ca="1">IFERROR(__xludf.DUMMYFUNCTION("""COMPUTED_VALUE"""),"Abu Dhabi")</f>
        <v>Abu Dhabi</v>
      </c>
      <c r="B7174" s="2" t="str">
        <f ca="1">IFERROR(__xludf.DUMMYFUNCTION("""COMPUTED_VALUE"""),"Eastern Mangroves Complex")</f>
        <v>Eastern Mangroves Complex</v>
      </c>
      <c r="C7174" s="2" t="str">
        <f ca="1">IFERROR(__xludf.DUMMYFUNCTION("""COMPUTED_VALUE"""),"Building")</f>
        <v>Building</v>
      </c>
      <c r="D7174" s="2" t="str">
        <f ca="1">IFERROR(__xludf.DUMMYFUNCTION("""COMPUTED_VALUE"""),"Abu Dhabi&gt;Al Zahraa&gt;Eastern Mangroves Complex")</f>
        <v>Abu Dhabi&gt;Al Zahraa&gt;Eastern Mangroves Complex</v>
      </c>
      <c r="E7174" s="2"/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</row>
    <row r="7175" spans="1:26" ht="16.5" x14ac:dyDescent="0.35">
      <c r="A7175" s="2" t="str">
        <f ca="1">IFERROR(__xludf.DUMMYFUNCTION("""COMPUTED_VALUE"""),"Abu Dhabi")</f>
        <v>Abu Dhabi</v>
      </c>
      <c r="B7175" s="2" t="str">
        <f ca="1">IFERROR(__xludf.DUMMYFUNCTION("""COMPUTED_VALUE"""),"City Gate Towers")</f>
        <v>City Gate Towers</v>
      </c>
      <c r="C7175" s="2" t="str">
        <f ca="1">IFERROR(__xludf.DUMMYFUNCTION("""COMPUTED_VALUE"""),"Cluster")</f>
        <v>Cluster</v>
      </c>
      <c r="D7175" s="2" t="str">
        <f ca="1">IFERROR(__xludf.DUMMYFUNCTION("""COMPUTED_VALUE"""),"Abu Dhabi&gt;Zayed City&gt;City Gate Towers")</f>
        <v>Abu Dhabi&gt;Zayed City&gt;City Gate Towers</v>
      </c>
      <c r="E7175" s="2"/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</row>
    <row r="7176" spans="1:26" ht="16.5" x14ac:dyDescent="0.35">
      <c r="A7176" s="2" t="str">
        <f ca="1">IFERROR(__xludf.DUMMYFUNCTION("""COMPUTED_VALUE"""),"Abu Dhabi")</f>
        <v>Abu Dhabi</v>
      </c>
      <c r="B7176" s="2" t="str">
        <f ca="1">IFERROR(__xludf.DUMMYFUNCTION("""COMPUTED_VALUE"""),"Al Mafraq Industrial Area")</f>
        <v>Al Mafraq Industrial Area</v>
      </c>
      <c r="C7176" s="2" t="str">
        <f ca="1">IFERROR(__xludf.DUMMYFUNCTION("""COMPUTED_VALUE"""),"Neighbourhood")</f>
        <v>Neighbourhood</v>
      </c>
      <c r="D7176" s="2" t="str">
        <f ca="1">IFERROR(__xludf.DUMMYFUNCTION("""COMPUTED_VALUE"""),"Abu Dhabi&gt;Al Mafraq Industrial Area")</f>
        <v>Abu Dhabi&gt;Al Mafraq Industrial Area</v>
      </c>
      <c r="E7176" s="2"/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</row>
    <row r="7177" spans="1:26" ht="16.5" x14ac:dyDescent="0.35">
      <c r="A7177" s="2" t="str">
        <f ca="1">IFERROR(__xludf.DUMMYFUNCTION("""COMPUTED_VALUE"""),"Abu Dhabi")</f>
        <v>Abu Dhabi</v>
      </c>
      <c r="B7177" s="2" t="str">
        <f ca="1">IFERROR(__xludf.DUMMYFUNCTION("""COMPUTED_VALUE"""),"The District Tower A")</f>
        <v>The District Tower A</v>
      </c>
      <c r="C7177" s="2" t="str">
        <f ca="1">IFERROR(__xludf.DUMMYFUNCTION("""COMPUTED_VALUE"""),"Building")</f>
        <v>Building</v>
      </c>
      <c r="D7177" s="2" t="str">
        <f ca="1">IFERROR(__xludf.DUMMYFUNCTION("""COMPUTED_VALUE"""),"Abu Dhabi&gt;Al Reem Island&gt;Tamouh&gt;The District&gt;The District Tower A")</f>
        <v>Abu Dhabi&gt;Al Reem Island&gt;Tamouh&gt;The District&gt;The District Tower A</v>
      </c>
      <c r="E7177" s="2"/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</row>
    <row r="7178" spans="1:26" ht="16.5" x14ac:dyDescent="0.35">
      <c r="A7178" s="2" t="str">
        <f ca="1">IFERROR(__xludf.DUMMYFUNCTION("""COMPUTED_VALUE"""),"Abu Dhabi")</f>
        <v>Abu Dhabi</v>
      </c>
      <c r="B7178" s="2" t="str">
        <f ca="1">IFERROR(__xludf.DUMMYFUNCTION("""COMPUTED_VALUE"""),"Najmat C01 Tower")</f>
        <v>Najmat C01 Tower</v>
      </c>
      <c r="C7178" s="2" t="str">
        <f ca="1">IFERROR(__xludf.DUMMYFUNCTION("""COMPUTED_VALUE"""),"Building")</f>
        <v>Building</v>
      </c>
      <c r="D7178" s="2" t="str">
        <f ca="1">IFERROR(__xludf.DUMMYFUNCTION("""COMPUTED_VALUE"""),"Abu Dhabi&gt;Al Reem Island&gt;Najmat Abu Dhabi&gt;Najmat Towers&gt;Najmat C01 Tower")</f>
        <v>Abu Dhabi&gt;Al Reem Island&gt;Najmat Abu Dhabi&gt;Najmat Towers&gt;Najmat C01 Tower</v>
      </c>
      <c r="E7178" s="2"/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</row>
    <row r="7179" spans="1:26" ht="16.5" x14ac:dyDescent="0.35">
      <c r="A7179" s="2" t="str">
        <f ca="1">IFERROR(__xludf.DUMMYFUNCTION("""COMPUTED_VALUE"""),"Abu Dhabi")</f>
        <v>Abu Dhabi</v>
      </c>
      <c r="B7179" s="2" t="str">
        <f ca="1">IFERROR(__xludf.DUMMYFUNCTION("""COMPUTED_VALUE"""),"Al Qurm View")</f>
        <v>Al Qurm View</v>
      </c>
      <c r="C7179" s="2" t="str">
        <f ca="1">IFERROR(__xludf.DUMMYFUNCTION("""COMPUTED_VALUE"""),"Building")</f>
        <v>Building</v>
      </c>
      <c r="D7179" s="2" t="str">
        <f ca="1">IFERROR(__xludf.DUMMYFUNCTION("""COMPUTED_VALUE"""),"Abu Dhabi&gt;Al Reem Island&gt;Shams Abu Dhabi&gt;Al Qurm View")</f>
        <v>Abu Dhabi&gt;Al Reem Island&gt;Shams Abu Dhabi&gt;Al Qurm View</v>
      </c>
      <c r="E7179" s="2"/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</row>
    <row r="7180" spans="1:26" ht="16.5" x14ac:dyDescent="0.35">
      <c r="A7180" s="2" t="str">
        <f ca="1">IFERROR(__xludf.DUMMYFUNCTION("""COMPUTED_VALUE"""),"Abu Dhabi")</f>
        <v>Abu Dhabi</v>
      </c>
      <c r="B7180" s="2" t="str">
        <f ca="1">IFERROR(__xludf.DUMMYFUNCTION("""COMPUTED_VALUE"""),"Sea View Tower")</f>
        <v>Sea View Tower</v>
      </c>
      <c r="C7180" s="2" t="str">
        <f ca="1">IFERROR(__xludf.DUMMYFUNCTION("""COMPUTED_VALUE"""),"Building")</f>
        <v>Building</v>
      </c>
      <c r="D7180" s="2" t="str">
        <f ca="1">IFERROR(__xludf.DUMMYFUNCTION("""COMPUTED_VALUE"""),"Abu Dhabi&gt;Al Reem Island&gt;Shams Abu Dhabi&gt;Sea View Tower")</f>
        <v>Abu Dhabi&gt;Al Reem Island&gt;Shams Abu Dhabi&gt;Sea View Tower</v>
      </c>
      <c r="E7180" s="2"/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</row>
    <row r="7181" spans="1:26" ht="16.5" x14ac:dyDescent="0.35">
      <c r="A7181" s="2" t="str">
        <f ca="1">IFERROR(__xludf.DUMMYFUNCTION("""COMPUTED_VALUE"""),"Abu Dhabi")</f>
        <v>Abu Dhabi</v>
      </c>
      <c r="B7181" s="2" t="str">
        <f ca="1">IFERROR(__xludf.DUMMYFUNCTION("""COMPUTED_VALUE"""),"Addax Port Office Tower")</f>
        <v>Addax Port Office Tower</v>
      </c>
      <c r="C7181" s="2" t="str">
        <f ca="1">IFERROR(__xludf.DUMMYFUNCTION("""COMPUTED_VALUE"""),"Building")</f>
        <v>Building</v>
      </c>
      <c r="D7181" s="2" t="str">
        <f ca="1">IFERROR(__xludf.DUMMYFUNCTION("""COMPUTED_VALUE"""),"Abu Dhabi&gt;Al Reem Island&gt;Addax Port&gt;Addax Port Office Tower")</f>
        <v>Abu Dhabi&gt;Al Reem Island&gt;Addax Port&gt;Addax Port Office Tower</v>
      </c>
      <c r="E7181" s="2"/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</row>
    <row r="7182" spans="1:26" ht="16.5" x14ac:dyDescent="0.35">
      <c r="A7182" s="2" t="str">
        <f ca="1">IFERROR(__xludf.DUMMYFUNCTION("""COMPUTED_VALUE"""),"Abu Dhabi")</f>
        <v>Abu Dhabi</v>
      </c>
      <c r="B7182" s="2" t="str">
        <f ca="1">IFERROR(__xludf.DUMMYFUNCTION("""COMPUTED_VALUE"""),"Hydra Hollywood Celebrity Tower")</f>
        <v>Hydra Hollywood Celebrity Tower</v>
      </c>
      <c r="C7182" s="2" t="str">
        <f ca="1">IFERROR(__xludf.DUMMYFUNCTION("""COMPUTED_VALUE"""),"Building")</f>
        <v>Building</v>
      </c>
      <c r="D7182" s="2" t="str">
        <f ca="1">IFERROR(__xludf.DUMMYFUNCTION("""COMPUTED_VALUE"""),"Abu Dhabi&gt;Al Reem Island&gt;Hydra Hollywood Celebrity Tower")</f>
        <v>Abu Dhabi&gt;Al Reem Island&gt;Hydra Hollywood Celebrity Tower</v>
      </c>
      <c r="E7182" s="2"/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</row>
    <row r="7183" spans="1:26" ht="16.5" x14ac:dyDescent="0.35">
      <c r="A7183" s="2" t="str">
        <f ca="1">IFERROR(__xludf.DUMMYFUNCTION("""COMPUTED_VALUE"""),"Abu Dhabi")</f>
        <v>Abu Dhabi</v>
      </c>
      <c r="B7183" s="2" t="str">
        <f ca="1">IFERROR(__xludf.DUMMYFUNCTION("""COMPUTED_VALUE"""),"Renad Tower")</f>
        <v>Renad Tower</v>
      </c>
      <c r="C7183" s="2" t="str">
        <f ca="1">IFERROR(__xludf.DUMMYFUNCTION("""COMPUTED_VALUE"""),"Building")</f>
        <v>Building</v>
      </c>
      <c r="D7183" s="2" t="str">
        <f ca="1">IFERROR(__xludf.DUMMYFUNCTION("""COMPUTED_VALUE"""),"Abu Dhabi&gt;Al Reem Island&gt;Renad Tower")</f>
        <v>Abu Dhabi&gt;Al Reem Island&gt;Renad Tower</v>
      </c>
      <c r="E7183" s="2"/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</row>
    <row r="7184" spans="1:26" ht="16.5" x14ac:dyDescent="0.35">
      <c r="A7184" s="2" t="str">
        <f ca="1">IFERROR(__xludf.DUMMYFUNCTION("""COMPUTED_VALUE"""),"Abu Dhabi")</f>
        <v>Abu Dhabi</v>
      </c>
      <c r="B7184" s="2" t="str">
        <f ca="1">IFERROR(__xludf.DUMMYFUNCTION("""COMPUTED_VALUE"""),"Al Masaood Tower")</f>
        <v>Al Masaood Tower</v>
      </c>
      <c r="C7184" s="2" t="str">
        <f ca="1">IFERROR(__xludf.DUMMYFUNCTION("""COMPUTED_VALUE"""),"Building")</f>
        <v>Building</v>
      </c>
      <c r="D7184" s="2" t="str">
        <f ca="1">IFERROR(__xludf.DUMMYFUNCTION("""COMPUTED_VALUE"""),"Abu Dhabi&gt;Hamdan Street&gt;Al Masaood Tower")</f>
        <v>Abu Dhabi&gt;Hamdan Street&gt;Al Masaood Tower</v>
      </c>
      <c r="E7184" s="2"/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</row>
    <row r="7185" spans="1:26" ht="16.5" x14ac:dyDescent="0.35">
      <c r="A7185" s="2" t="str">
        <f ca="1">IFERROR(__xludf.DUMMYFUNCTION("""COMPUTED_VALUE"""),"Abu Dhabi")</f>
        <v>Abu Dhabi</v>
      </c>
      <c r="B7185" s="2" t="str">
        <f ca="1">IFERROR(__xludf.DUMMYFUNCTION("""COMPUTED_VALUE"""),"Park Tower")</f>
        <v>Park Tower</v>
      </c>
      <c r="C7185" s="2" t="str">
        <f ca="1">IFERROR(__xludf.DUMMYFUNCTION("""COMPUTED_VALUE"""),"Building")</f>
        <v>Building</v>
      </c>
      <c r="D7185" s="2" t="str">
        <f ca="1">IFERROR(__xludf.DUMMYFUNCTION("""COMPUTED_VALUE"""),"Abu Dhabi&gt;Al Khalidiyah&gt;Park Tower")</f>
        <v>Abu Dhabi&gt;Al Khalidiyah&gt;Park Tower</v>
      </c>
      <c r="E7185" s="2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</row>
    <row r="7186" spans="1:26" ht="16.5" x14ac:dyDescent="0.35">
      <c r="A7186" s="2" t="str">
        <f ca="1">IFERROR(__xludf.DUMMYFUNCTION("""COMPUTED_VALUE"""),"Abu Dhabi")</f>
        <v>Abu Dhabi</v>
      </c>
      <c r="B7186" s="2" t="str">
        <f ca="1">IFERROR(__xludf.DUMMYFUNCTION("""COMPUTED_VALUE"""),"Canadian International School")</f>
        <v>Canadian International School</v>
      </c>
      <c r="C7186" s="2" t="str">
        <f ca="1">IFERROR(__xludf.DUMMYFUNCTION("""COMPUTED_VALUE"""),"School")</f>
        <v>School</v>
      </c>
      <c r="D7186" s="2" t="str">
        <f ca="1">IFERROR(__xludf.DUMMYFUNCTION("""COMPUTED_VALUE"""),"Abu Dhabi&gt;Khalifa City&gt;Canadian International School")</f>
        <v>Abu Dhabi&gt;Khalifa City&gt;Canadian International School</v>
      </c>
      <c r="E7186" s="2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</row>
    <row r="7187" spans="1:26" ht="16.5" x14ac:dyDescent="0.35">
      <c r="A7187" s="2" t="str">
        <f ca="1">IFERROR(__xludf.DUMMYFUNCTION("""COMPUTED_VALUE"""),"Abu Dhabi")</f>
        <v>Abu Dhabi</v>
      </c>
      <c r="B7187" s="2" t="str">
        <f ca="1">IFERROR(__xludf.DUMMYFUNCTION("""COMPUTED_VALUE"""),"SE39")</f>
        <v>SE39</v>
      </c>
      <c r="C7187" s="2" t="str">
        <f ca="1">IFERROR(__xludf.DUMMYFUNCTION("""COMPUTED_VALUE"""),"Neighbourhood")</f>
        <v>Neighbourhood</v>
      </c>
      <c r="D7187" s="2" t="str">
        <f ca="1">IFERROR(__xludf.DUMMYFUNCTION("""COMPUTED_VALUE"""),"Abu Dhabi&gt;Khalifa City&gt;SE39")</f>
        <v>Abu Dhabi&gt;Khalifa City&gt;SE39</v>
      </c>
      <c r="E7187" s="2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</row>
    <row r="7188" spans="1:26" ht="16.5" x14ac:dyDescent="0.35">
      <c r="A7188" s="2" t="str">
        <f ca="1">IFERROR(__xludf.DUMMYFUNCTION("""COMPUTED_VALUE"""),"Abu Dhabi")</f>
        <v>Abu Dhabi</v>
      </c>
      <c r="B7188" s="2" t="str">
        <f ca="1">IFERROR(__xludf.DUMMYFUNCTION("""COMPUTED_VALUE"""),"Al Reem Plaza")</f>
        <v>Al Reem Plaza</v>
      </c>
      <c r="C7188" s="2" t="str">
        <f ca="1">IFERROR(__xludf.DUMMYFUNCTION("""COMPUTED_VALUE"""),"Building")</f>
        <v>Building</v>
      </c>
      <c r="D7188" s="2" t="str">
        <f ca="1">IFERROR(__xludf.DUMMYFUNCTION("""COMPUTED_VALUE"""),"Abu Dhabi&gt;Al Markaziya&gt;Al Reem Plaza")</f>
        <v>Abu Dhabi&gt;Al Markaziya&gt;Al Reem Plaza</v>
      </c>
      <c r="E7188" s="2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</row>
    <row r="7189" spans="1:26" ht="16.5" x14ac:dyDescent="0.35">
      <c r="A7189" s="2" t="str">
        <f ca="1">IFERROR(__xludf.DUMMYFUNCTION("""COMPUTED_VALUE"""),"Abu Dhabi")</f>
        <v>Abu Dhabi</v>
      </c>
      <c r="B7189" s="2" t="str">
        <f ca="1">IFERROR(__xludf.DUMMYFUNCTION("""COMPUTED_VALUE"""),"Al Sabeel Building")</f>
        <v>Al Sabeel Building</v>
      </c>
      <c r="C7189" s="2" t="str">
        <f ca="1">IFERROR(__xludf.DUMMYFUNCTION("""COMPUTED_VALUE"""),"Building")</f>
        <v>Building</v>
      </c>
      <c r="D7189" s="2" t="str">
        <f ca="1">IFERROR(__xludf.DUMMYFUNCTION("""COMPUTED_VALUE"""),"Abu Dhabi&gt;Al Ghadeer&gt;Al Sabeel Building")</f>
        <v>Abu Dhabi&gt;Al Ghadeer&gt;Al Sabeel Building</v>
      </c>
      <c r="E7189" s="2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</row>
    <row r="7190" spans="1:26" ht="16.5" x14ac:dyDescent="0.35">
      <c r="A7190" s="2" t="str">
        <f ca="1">IFERROR(__xludf.DUMMYFUNCTION("""COMPUTED_VALUE"""),"Abu Dhabi")</f>
        <v>Abu Dhabi</v>
      </c>
      <c r="B7190" s="2" t="str">
        <f ca="1">IFERROR(__xludf.DUMMYFUNCTION("""COMPUTED_VALUE"""),"Azure")</f>
        <v>Azure</v>
      </c>
      <c r="C7190" s="2" t="str">
        <f ca="1">IFERROR(__xludf.DUMMYFUNCTION("""COMPUTED_VALUE"""),"Building")</f>
        <v>Building</v>
      </c>
      <c r="D7190" s="2" t="str">
        <f ca="1">IFERROR(__xludf.DUMMYFUNCTION("""COMPUTED_VALUE"""),"Abu Dhabi&gt;Saadiyat Island&gt;Saadiyat Cultural District&gt;Mamsha Al Saadiyat&gt;Azure")</f>
        <v>Abu Dhabi&gt;Saadiyat Island&gt;Saadiyat Cultural District&gt;Mamsha Al Saadiyat&gt;Azure</v>
      </c>
      <c r="E7190" s="2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</row>
    <row r="7191" spans="1:26" ht="16.5" x14ac:dyDescent="0.35">
      <c r="A7191" s="2" t="str">
        <f ca="1">IFERROR(__xludf.DUMMYFUNCTION("""COMPUTED_VALUE"""),"Abu Dhabi")</f>
        <v>Abu Dhabi</v>
      </c>
      <c r="B7191" s="2" t="str">
        <f ca="1">IFERROR(__xludf.DUMMYFUNCTION("""COMPUTED_VALUE"""),"Nasayem Tower 1")</f>
        <v>Nasayem Tower 1</v>
      </c>
      <c r="C7191" s="2" t="str">
        <f ca="1">IFERROR(__xludf.DUMMYFUNCTION("""COMPUTED_VALUE"""),"Building")</f>
        <v>Building</v>
      </c>
      <c r="D7191" s="2" t="str">
        <f ca="1">IFERROR(__xludf.DUMMYFUNCTION("""COMPUTED_VALUE"""),"Abu Dhabi&gt;Saadiyat Island&gt;Saadiyat Al Marina&gt;Nasayem Complex&gt;Nasayem Tower 1")</f>
        <v>Abu Dhabi&gt;Saadiyat Island&gt;Saadiyat Al Marina&gt;Nasayem Complex&gt;Nasayem Tower 1</v>
      </c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</row>
    <row r="7192" spans="1:26" ht="16.5" x14ac:dyDescent="0.35">
      <c r="A7192" s="2" t="str">
        <f ca="1">IFERROR(__xludf.DUMMYFUNCTION("""COMPUTED_VALUE"""),"Abu Dhabi")</f>
        <v>Abu Dhabi</v>
      </c>
      <c r="B7192" s="2" t="str">
        <f ca="1">IFERROR(__xludf.DUMMYFUNCTION("""COMPUTED_VALUE"""),"St Regis Residences Block 3")</f>
        <v>St Regis Residences Block 3</v>
      </c>
      <c r="C7192" s="2" t="str">
        <f ca="1">IFERROR(__xludf.DUMMYFUNCTION("""COMPUTED_VALUE"""),"Building")</f>
        <v>Building</v>
      </c>
      <c r="D7192" s="2" t="str">
        <f ca="1">IFERROR(__xludf.DUMMYFUNCTION("""COMPUTED_VALUE"""),"Abu Dhabi&gt;Saadiyat Island&gt;Saadiyat Beach&gt;Saadiyat St Regis Residences&gt;St Regis Residences Block 3")</f>
        <v>Abu Dhabi&gt;Saadiyat Island&gt;Saadiyat Beach&gt;Saadiyat St Regis Residences&gt;St Regis Residences Block 3</v>
      </c>
      <c r="E7192" s="2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</row>
    <row r="7193" spans="1:26" ht="16.5" x14ac:dyDescent="0.35">
      <c r="A7193" s="2" t="str">
        <f ca="1">IFERROR(__xludf.DUMMYFUNCTION("""COMPUTED_VALUE"""),"Abu Dhabi")</f>
        <v>Abu Dhabi</v>
      </c>
      <c r="B7193" s="2" t="str">
        <f ca="1">IFERROR(__xludf.DUMMYFUNCTION("""COMPUTED_VALUE"""),"Al Saada Building")</f>
        <v>Al Saada Building</v>
      </c>
      <c r="C7193" s="2" t="str">
        <f ca="1">IFERROR(__xludf.DUMMYFUNCTION("""COMPUTED_VALUE"""),"Building")</f>
        <v>Building</v>
      </c>
      <c r="D7193" s="2" t="str">
        <f ca="1">IFERROR(__xludf.DUMMYFUNCTION("""COMPUTED_VALUE"""),"Abu Dhabi&gt;Al Raha Beach&gt;Al Saada Building")</f>
        <v>Abu Dhabi&gt;Al Raha Beach&gt;Al Saada Building</v>
      </c>
      <c r="E7193" s="2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</row>
    <row r="7194" spans="1:26" ht="16.5" x14ac:dyDescent="0.35">
      <c r="A7194" s="2" t="str">
        <f ca="1">IFERROR(__xludf.DUMMYFUNCTION("""COMPUTED_VALUE"""),"Abu Dhabi")</f>
        <v>Abu Dhabi</v>
      </c>
      <c r="B7194" s="2" t="str">
        <f ca="1">IFERROR(__xludf.DUMMYFUNCTION("""COMPUTED_VALUE"""),"Al Manara")</f>
        <v>Al Manara</v>
      </c>
      <c r="C7194" s="2" t="str">
        <f ca="1">IFERROR(__xludf.DUMMYFUNCTION("""COMPUTED_VALUE"""),"Building")</f>
        <v>Building</v>
      </c>
      <c r="D7194" s="2" t="str">
        <f ca="1">IFERROR(__xludf.DUMMYFUNCTION("""COMPUTED_VALUE"""),"Abu Dhabi&gt;Al Raha Beach&gt;Al Bandar&gt;Al Manara")</f>
        <v>Abu Dhabi&gt;Al Raha Beach&gt;Al Bandar&gt;Al Manara</v>
      </c>
      <c r="E7194" s="2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</row>
    <row r="7195" spans="1:26" ht="16.5" x14ac:dyDescent="0.35">
      <c r="A7195" s="2" t="str">
        <f ca="1">IFERROR(__xludf.DUMMYFUNCTION("""COMPUTED_VALUE"""),"Abu Dhabi")</f>
        <v>Abu Dhabi</v>
      </c>
      <c r="B7195" s="2" t="str">
        <f ca="1">IFERROR(__xludf.DUMMYFUNCTION("""COMPUTED_VALUE"""),"P1186 Building")</f>
        <v>P1186 Building</v>
      </c>
      <c r="C7195" s="2" t="str">
        <f ca="1">IFERROR(__xludf.DUMMYFUNCTION("""COMPUTED_VALUE"""),"Building")</f>
        <v>Building</v>
      </c>
      <c r="D7195" s="2" t="str">
        <f ca="1">IFERROR(__xludf.DUMMYFUNCTION("""COMPUTED_VALUE"""),"Abu Dhabi&gt;Al Raha Beach&gt;Al Dana&gt;P1186 Building")</f>
        <v>Abu Dhabi&gt;Al Raha Beach&gt;Al Dana&gt;P1186 Building</v>
      </c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</row>
    <row r="7196" spans="1:26" ht="16.5" x14ac:dyDescent="0.35">
      <c r="A7196" s="2" t="str">
        <f ca="1">IFERROR(__xludf.DUMMYFUNCTION("""COMPUTED_VALUE"""),"Abu Dhabi")</f>
        <v>Abu Dhabi</v>
      </c>
      <c r="B7196" s="2" t="str">
        <f ca="1">IFERROR(__xludf.DUMMYFUNCTION("""COMPUTED_VALUE"""),"P-2846")</f>
        <v>P-2846</v>
      </c>
      <c r="C7196" s="2" t="str">
        <f ca="1">IFERROR(__xludf.DUMMYFUNCTION("""COMPUTED_VALUE"""),"Building")</f>
        <v>Building</v>
      </c>
      <c r="D7196" s="2" t="str">
        <f ca="1">IFERROR(__xludf.DUMMYFUNCTION("""COMPUTED_VALUE"""),"Abu Dhabi&gt;Al Raha Beach&gt;P-2846")</f>
        <v>Abu Dhabi&gt;Al Raha Beach&gt;P-2846</v>
      </c>
      <c r="E7196" s="2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</row>
    <row r="7197" spans="1:26" ht="16.5" x14ac:dyDescent="0.35">
      <c r="A7197" s="2" t="str">
        <f ca="1">IFERROR(__xludf.DUMMYFUNCTION("""COMPUTED_VALUE"""),"Abu Dhabi")</f>
        <v>Abu Dhabi</v>
      </c>
      <c r="B7197" s="2" t="str">
        <f ca="1">IFERROR(__xludf.DUMMYFUNCTION("""COMPUTED_VALUE"""),"Dusit Thani Abu Dhabi")</f>
        <v>Dusit Thani Abu Dhabi</v>
      </c>
      <c r="C7197" s="2" t="str">
        <f ca="1">IFERROR(__xludf.DUMMYFUNCTION("""COMPUTED_VALUE"""),"Building")</f>
        <v>Building</v>
      </c>
      <c r="D7197" s="2" t="str">
        <f ca="1">IFERROR(__xludf.DUMMYFUNCTION("""COMPUTED_VALUE"""),"Abu Dhabi&gt;Al Muroor&gt;Muroor Road&gt;Dusit Thani Abu Dhabi")</f>
        <v>Abu Dhabi&gt;Al Muroor&gt;Muroor Road&gt;Dusit Thani Abu Dhabi</v>
      </c>
      <c r="E7197" s="2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</row>
    <row r="7198" spans="1:26" ht="16.5" x14ac:dyDescent="0.35">
      <c r="A7198" s="2" t="str">
        <f ca="1">IFERROR(__xludf.DUMMYFUNCTION("""COMPUTED_VALUE"""),"Abu Dhabi")</f>
        <v>Abu Dhabi</v>
      </c>
      <c r="B7198" s="2" t="str">
        <f ca="1">IFERROR(__xludf.DUMMYFUNCTION("""COMPUTED_VALUE"""),"Sunrise English Private School, Abu Dhabi")</f>
        <v>Sunrise English Private School, Abu Dhabi</v>
      </c>
      <c r="C7198" s="2" t="str">
        <f ca="1">IFERROR(__xludf.DUMMYFUNCTION("""COMPUTED_VALUE"""),"School")</f>
        <v>School</v>
      </c>
      <c r="D7198" s="2" t="str">
        <f ca="1">IFERROR(__xludf.DUMMYFUNCTION("""COMPUTED_VALUE"""),"Abu Dhabi&gt;Mohamed Bin Zayed City&gt;Sunrise English Private School, Abu Dhabi")</f>
        <v>Abu Dhabi&gt;Mohamed Bin Zayed City&gt;Sunrise English Private School, Abu Dhabi</v>
      </c>
      <c r="E7198" s="2"/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</row>
    <row r="7199" spans="1:26" ht="16.5" x14ac:dyDescent="0.35">
      <c r="A7199" s="2" t="str">
        <f ca="1">IFERROR(__xludf.DUMMYFUNCTION("""COMPUTED_VALUE"""),"Abu Dhabi")</f>
        <v>Abu Dhabi</v>
      </c>
      <c r="B7199" s="2" t="str">
        <f ca="1">IFERROR(__xludf.DUMMYFUNCTION("""COMPUTED_VALUE"""),"Zone 4")</f>
        <v>Zone 4</v>
      </c>
      <c r="C7199" s="2" t="str">
        <f ca="1">IFERROR(__xludf.DUMMYFUNCTION("""COMPUTED_VALUE"""),"Neighbourhood")</f>
        <v>Neighbourhood</v>
      </c>
      <c r="D7199" s="2" t="str">
        <f ca="1">IFERROR(__xludf.DUMMYFUNCTION("""COMPUTED_VALUE"""),"Abu Dhabi&gt;Mohamed Bin Zayed City&gt;Zone 4")</f>
        <v>Abu Dhabi&gt;Mohamed Bin Zayed City&gt;Zone 4</v>
      </c>
      <c r="E7199" s="2"/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</row>
    <row r="7200" spans="1:26" ht="16.5" x14ac:dyDescent="0.35">
      <c r="A7200" s="2" t="str">
        <f ca="1">IFERROR(__xludf.DUMMYFUNCTION("""COMPUTED_VALUE"""),"Abu Dhabi")</f>
        <v>Abu Dhabi</v>
      </c>
      <c r="B7200" s="2" t="str">
        <f ca="1">IFERROR(__xludf.DUMMYFUNCTION("""COMPUTED_VALUE"""),"P-1617")</f>
        <v>P-1617</v>
      </c>
      <c r="C7200" s="2" t="str">
        <f ca="1">IFERROR(__xludf.DUMMYFUNCTION("""COMPUTED_VALUE"""),"Building")</f>
        <v>Building</v>
      </c>
      <c r="D7200" s="2" t="str">
        <f ca="1">IFERROR(__xludf.DUMMYFUNCTION("""COMPUTED_VALUE"""),"Abu Dhabi&gt;Mohamed Bin Zayed City&gt;P-1617")</f>
        <v>Abu Dhabi&gt;Mohamed Bin Zayed City&gt;P-1617</v>
      </c>
      <c r="E7200" s="2"/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</row>
    <row r="7201" spans="1:26" ht="16.5" x14ac:dyDescent="0.35">
      <c r="A7201" s="2" t="str">
        <f ca="1">IFERROR(__xludf.DUMMYFUNCTION("""COMPUTED_VALUE"""),"Abu Dhabi")</f>
        <v>Abu Dhabi</v>
      </c>
      <c r="B7201" s="2" t="str">
        <f ca="1">IFERROR(__xludf.DUMMYFUNCTION("""COMPUTED_VALUE"""),"Building 2")</f>
        <v>Building 2</v>
      </c>
      <c r="C7201" s="2" t="str">
        <f ca="1">IFERROR(__xludf.DUMMYFUNCTION("""COMPUTED_VALUE"""),"Building")</f>
        <v>Building</v>
      </c>
      <c r="D7201" s="2" t="str">
        <f ca="1">IFERROR(__xludf.DUMMYFUNCTION("""COMPUTED_VALUE"""),"Abu Dhabi&gt;Al Reef&gt;Al Reef Downtown&gt;Building 2")</f>
        <v>Abu Dhabi&gt;Al Reef&gt;Al Reef Downtown&gt;Building 2</v>
      </c>
      <c r="E7201" s="2"/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</row>
    <row r="7202" spans="1:26" ht="16.5" x14ac:dyDescent="0.35">
      <c r="A7202" s="2" t="str">
        <f ca="1">IFERROR(__xludf.DUMMYFUNCTION("""COMPUTED_VALUE"""),"Abu Dhabi")</f>
        <v>Abu Dhabi</v>
      </c>
      <c r="B7202" s="2" t="str">
        <f ca="1">IFERROR(__xludf.DUMMYFUNCTION("""COMPUTED_VALUE"""),"Zone 3")</f>
        <v>Zone 3</v>
      </c>
      <c r="C7202" s="2" t="str">
        <f ca="1">IFERROR(__xludf.DUMMYFUNCTION("""COMPUTED_VALUE"""),"Neighbourhood")</f>
        <v>Neighbourhood</v>
      </c>
      <c r="D7202" s="2" t="str">
        <f ca="1">IFERROR(__xludf.DUMMYFUNCTION("""COMPUTED_VALUE"""),"Abu Dhabi&gt;Hydra Village&gt;Zone 3")</f>
        <v>Abu Dhabi&gt;Hydra Village&gt;Zone 3</v>
      </c>
      <c r="E7202" s="2"/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</row>
    <row r="7203" spans="1:26" ht="16.5" x14ac:dyDescent="0.35">
      <c r="A7203" s="2" t="str">
        <f ca="1">IFERROR(__xludf.DUMMYFUNCTION("""COMPUTED_VALUE"""),"Abu Dhabi")</f>
        <v>Abu Dhabi</v>
      </c>
      <c r="B7203" s="2" t="str">
        <f ca="1">IFERROR(__xludf.DUMMYFUNCTION("""COMPUTED_VALUE"""),"API Building")</f>
        <v>API Building</v>
      </c>
      <c r="C7203" s="2" t="str">
        <f ca="1">IFERROR(__xludf.DUMMYFUNCTION("""COMPUTED_VALUE"""),"Building")</f>
        <v>Building</v>
      </c>
      <c r="D7203" s="2" t="str">
        <f ca="1">IFERROR(__xludf.DUMMYFUNCTION("""COMPUTED_VALUE"""),"Abu Dhabi&gt;Rawdhat Abu Dhabi&gt;API Building")</f>
        <v>Abu Dhabi&gt;Rawdhat Abu Dhabi&gt;API Building</v>
      </c>
      <c r="E7203" s="2"/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</row>
    <row r="7204" spans="1:26" ht="16.5" x14ac:dyDescent="0.35">
      <c r="A7204" s="2" t="str">
        <f ca="1">IFERROR(__xludf.DUMMYFUNCTION("""COMPUTED_VALUE"""),"Abu Dhabi")</f>
        <v>Abu Dhabi</v>
      </c>
      <c r="B7204" s="2" t="str">
        <f ca="1">IFERROR(__xludf.DUMMYFUNCTION("""COMPUTED_VALUE"""),"Al Markaz")</f>
        <v>Al Markaz</v>
      </c>
      <c r="C7204" s="2" t="str">
        <f ca="1">IFERROR(__xludf.DUMMYFUNCTION("""COMPUTED_VALUE"""),"Neighbourhood")</f>
        <v>Neighbourhood</v>
      </c>
      <c r="D7204" s="2" t="str">
        <f ca="1">IFERROR(__xludf.DUMMYFUNCTION("""COMPUTED_VALUE"""),"Abu Dhabi&gt;Al Markaz")</f>
        <v>Abu Dhabi&gt;Al Markaz</v>
      </c>
      <c r="E7204" s="2"/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</row>
    <row r="7205" spans="1:26" ht="16.5" x14ac:dyDescent="0.35">
      <c r="A7205" s="2" t="str">
        <f ca="1">IFERROR(__xludf.DUMMYFUNCTION("""COMPUTED_VALUE"""),"Abu Dhabi")</f>
        <v>Abu Dhabi</v>
      </c>
      <c r="B7205" s="2" t="str">
        <f ca="1">IFERROR(__xludf.DUMMYFUNCTION("""COMPUTED_VALUE"""),"Mayan 3")</f>
        <v>Mayan 3</v>
      </c>
      <c r="C7205" s="2" t="str">
        <f ca="1">IFERROR(__xludf.DUMMYFUNCTION("""COMPUTED_VALUE"""),"Building")</f>
        <v>Building</v>
      </c>
      <c r="D7205" s="2" t="str">
        <f ca="1">IFERROR(__xludf.DUMMYFUNCTION("""COMPUTED_VALUE"""),"Abu Dhabi&gt;Yas Island&gt;Mayan&gt;Mayan 3")</f>
        <v>Abu Dhabi&gt;Yas Island&gt;Mayan&gt;Mayan 3</v>
      </c>
      <c r="E7205" s="2"/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</row>
    <row r="7206" spans="1:26" ht="16.5" x14ac:dyDescent="0.35">
      <c r="A7206" s="2" t="str">
        <f ca="1">IFERROR(__xludf.DUMMYFUNCTION("""COMPUTED_VALUE"""),"Abu Dhabi")</f>
        <v>Abu Dhabi</v>
      </c>
      <c r="B7206" s="2" t="str">
        <f ca="1">IFERROR(__xludf.DUMMYFUNCTION("""COMPUTED_VALUE"""),"Sea La Vie Tower 1")</f>
        <v>Sea La Vie Tower 1</v>
      </c>
      <c r="C7206" s="2" t="str">
        <f ca="1">IFERROR(__xludf.DUMMYFUNCTION("""COMPUTED_VALUE"""),"Building")</f>
        <v>Building</v>
      </c>
      <c r="D7206" s="2" t="str">
        <f ca="1">IFERROR(__xludf.DUMMYFUNCTION("""COMPUTED_VALUE"""),"Abu Dhabi&gt;Yas Island&gt;Sea La Vie&gt;Sea La Vie Tower 1")</f>
        <v>Abu Dhabi&gt;Yas Island&gt;Sea La Vie&gt;Sea La Vie Tower 1</v>
      </c>
      <c r="E7206" s="2"/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</row>
    <row r="7207" spans="1:26" ht="16.5" x14ac:dyDescent="0.35">
      <c r="A7207" s="2" t="str">
        <f ca="1">IFERROR(__xludf.DUMMYFUNCTION("""COMPUTED_VALUE"""),"Abu Dhabi")</f>
        <v>Abu Dhabi</v>
      </c>
      <c r="B7207" s="2" t="str">
        <f ca="1">IFERROR(__xludf.DUMMYFUNCTION("""COMPUTED_VALUE"""),"Al Bahyah")</f>
        <v>Al Bahyah</v>
      </c>
      <c r="C7207" s="2" t="str">
        <f ca="1">IFERROR(__xludf.DUMMYFUNCTION("""COMPUTED_VALUE"""),"Neighbourhood")</f>
        <v>Neighbourhood</v>
      </c>
      <c r="D7207" s="2" t="str">
        <f ca="1">IFERROR(__xludf.DUMMYFUNCTION("""COMPUTED_VALUE"""),"Abu Dhabi&gt;Al Bahyah")</f>
        <v>Abu Dhabi&gt;Al Bahyah</v>
      </c>
      <c r="E7207" s="2"/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</row>
    <row r="7208" spans="1:26" ht="16.5" x14ac:dyDescent="0.35">
      <c r="A7208" s="2" t="str">
        <f ca="1">IFERROR(__xludf.DUMMYFUNCTION("""COMPUTED_VALUE"""),"Abu Dhabi")</f>
        <v>Abu Dhabi</v>
      </c>
      <c r="B7208" s="2" t="str">
        <f ca="1">IFERROR(__xludf.DUMMYFUNCTION("""COMPUTED_VALUE"""),"ICAD V")</f>
        <v>ICAD V</v>
      </c>
      <c r="C7208" s="2" t="str">
        <f ca="1">IFERROR(__xludf.DUMMYFUNCTION("""COMPUTED_VALUE"""),"Neighbourhood")</f>
        <v>Neighbourhood</v>
      </c>
      <c r="D7208" s="2" t="str">
        <f ca="1">IFERROR(__xludf.DUMMYFUNCTION("""COMPUTED_VALUE"""),"Abu Dhabi&gt;Abu Dhabi Industrial City&gt;ICAD V")</f>
        <v>Abu Dhabi&gt;Abu Dhabi Industrial City&gt;ICAD V</v>
      </c>
      <c r="E7208" s="2"/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</row>
    <row r="7209" spans="1:26" ht="16.5" x14ac:dyDescent="0.35">
      <c r="A7209" s="2" t="str">
        <f ca="1">IFERROR(__xludf.DUMMYFUNCTION("""COMPUTED_VALUE"""),"Ajman")</f>
        <v>Ajman</v>
      </c>
      <c r="B7209" s="2" t="str">
        <f ca="1">IFERROR(__xludf.DUMMYFUNCTION("""COMPUTED_VALUE"""),"Paradise Lakes B7")</f>
        <v>Paradise Lakes B7</v>
      </c>
      <c r="C7209" s="2"/>
      <c r="D7209" s="2" t="str">
        <f ca="1">IFERROR(__xludf.DUMMYFUNCTION("""COMPUTED_VALUE"""),"Ajman&gt;Emirates City&gt;Paradise Lakes&gt;Paradise Lakes B7")</f>
        <v>Ajman&gt;Emirates City&gt;Paradise Lakes&gt;Paradise Lakes B7</v>
      </c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</row>
    <row r="7210" spans="1:26" ht="16.5" x14ac:dyDescent="0.35">
      <c r="A7210" s="2" t="str">
        <f ca="1">IFERROR(__xludf.DUMMYFUNCTION("""COMPUTED_VALUE"""),"Ajman")</f>
        <v>Ajman</v>
      </c>
      <c r="B7210" s="2" t="str">
        <f ca="1">IFERROR(__xludf.DUMMYFUNCTION("""COMPUTED_VALUE"""),"Sahara Tower")</f>
        <v>Sahara Tower</v>
      </c>
      <c r="C7210" s="2" t="str">
        <f ca="1">IFERROR(__xludf.DUMMYFUNCTION("""COMPUTED_VALUE"""),"Building")</f>
        <v>Building</v>
      </c>
      <c r="D7210" s="2" t="str">
        <f ca="1">IFERROR(__xludf.DUMMYFUNCTION("""COMPUTED_VALUE"""),"Ajman&gt;Emirates City&gt;Sahara Tower")</f>
        <v>Ajman&gt;Emirates City&gt;Sahara Tower</v>
      </c>
      <c r="E7210" s="2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</row>
    <row r="7211" spans="1:26" ht="16.5" x14ac:dyDescent="0.35">
      <c r="A7211" s="2" t="str">
        <f ca="1">IFERROR(__xludf.DUMMYFUNCTION("""COMPUTED_VALUE"""),"Ajman")</f>
        <v>Ajman</v>
      </c>
      <c r="B7211" s="2" t="str">
        <f ca="1">IFERROR(__xludf.DUMMYFUNCTION("""COMPUTED_VALUE"""),"Al Jurf 3")</f>
        <v>Al Jurf 3</v>
      </c>
      <c r="C7211" s="2" t="str">
        <f ca="1">IFERROR(__xludf.DUMMYFUNCTION("""COMPUTED_VALUE"""),"Neighbourhood")</f>
        <v>Neighbourhood</v>
      </c>
      <c r="D7211" s="2" t="str">
        <f ca="1">IFERROR(__xludf.DUMMYFUNCTION("""COMPUTED_VALUE"""),"Ajman&gt;Al Jurf&gt;Al Jurf 3")</f>
        <v>Ajman&gt;Al Jurf&gt;Al Jurf 3</v>
      </c>
      <c r="E7211" s="2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</row>
    <row r="7212" spans="1:26" ht="16.5" x14ac:dyDescent="0.35">
      <c r="A7212" s="2" t="str">
        <f ca="1">IFERROR(__xludf.DUMMYFUNCTION("""COMPUTED_VALUE"""),"Ajman")</f>
        <v>Ajman</v>
      </c>
      <c r="B7212" s="2" t="str">
        <f ca="1">IFERROR(__xludf.DUMMYFUNCTION("""COMPUTED_VALUE"""),"Horizon Tower C")</f>
        <v>Horizon Tower C</v>
      </c>
      <c r="C7212" s="2"/>
      <c r="D7212" s="2" t="str">
        <f ca="1">IFERROR(__xludf.DUMMYFUNCTION("""COMPUTED_VALUE"""),"Ajman&gt;Ajman Downtown&gt;Horizon Tower&gt;Horizon Tower C")</f>
        <v>Ajman&gt;Ajman Downtown&gt;Horizon Tower&gt;Horizon Tower C</v>
      </c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</row>
    <row r="7213" spans="1:26" ht="16.5" x14ac:dyDescent="0.35">
      <c r="A7213" s="2" t="str">
        <f ca="1">IFERROR(__xludf.DUMMYFUNCTION("""COMPUTED_VALUE"""),"Ajman")</f>
        <v>Ajman</v>
      </c>
      <c r="B7213" s="2" t="str">
        <f ca="1">IFERROR(__xludf.DUMMYFUNCTION("""COMPUTED_VALUE"""),"Oasis Tower 1")</f>
        <v>Oasis Tower 1</v>
      </c>
      <c r="C7213" s="2" t="str">
        <f ca="1">IFERROR(__xludf.DUMMYFUNCTION("""COMPUTED_VALUE"""),"Building")</f>
        <v>Building</v>
      </c>
      <c r="D7213" s="2" t="str">
        <f ca="1">IFERROR(__xludf.DUMMYFUNCTION("""COMPUTED_VALUE"""),"Ajman&gt;Al Rashidiya&gt;Al Rashidiya 1&gt;Oasis Towers&gt;Oasis Tower 1")</f>
        <v>Ajman&gt;Al Rashidiya&gt;Al Rashidiya 1&gt;Oasis Towers&gt;Oasis Tower 1</v>
      </c>
      <c r="E7213" s="2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</row>
    <row r="7214" spans="1:26" ht="16.5" x14ac:dyDescent="0.35">
      <c r="A7214" s="2" t="str">
        <f ca="1">IFERROR(__xludf.DUMMYFUNCTION("""COMPUTED_VALUE"""),"Ajman")</f>
        <v>Ajman</v>
      </c>
      <c r="B7214" s="2" t="str">
        <f ca="1">IFERROR(__xludf.DUMMYFUNCTION("""COMPUTED_VALUE"""),"Ajman One Tower 4")</f>
        <v>Ajman One Tower 4</v>
      </c>
      <c r="C7214" s="2"/>
      <c r="D7214" s="2" t="str">
        <f ca="1">IFERROR(__xludf.DUMMYFUNCTION("""COMPUTED_VALUE"""),"Ajman&gt;Al Rashidiya&gt;Al Rashidiya 3&gt;Ajman One Towers&gt;Ajman One Tower 4")</f>
        <v>Ajman&gt;Al Rashidiya&gt;Al Rashidiya 3&gt;Ajman One Towers&gt;Ajman One Tower 4</v>
      </c>
      <c r="E7214" s="2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</row>
    <row r="7215" spans="1:26" ht="16.5" x14ac:dyDescent="0.35">
      <c r="A7215" s="2" t="str">
        <f ca="1">IFERROR(__xludf.DUMMYFUNCTION("""COMPUTED_VALUE"""),"Ajman")</f>
        <v>Ajman</v>
      </c>
      <c r="B7215" s="2" t="str">
        <f ca="1">IFERROR(__xludf.DUMMYFUNCTION("""COMPUTED_VALUE"""),"Al Mowaihat 2")</f>
        <v>Al Mowaihat 2</v>
      </c>
      <c r="C7215" s="2" t="str">
        <f ca="1">IFERROR(__xludf.DUMMYFUNCTION("""COMPUTED_VALUE"""),"Neighbourhood")</f>
        <v>Neighbourhood</v>
      </c>
      <c r="D7215" s="2" t="str">
        <f ca="1">IFERROR(__xludf.DUMMYFUNCTION("""COMPUTED_VALUE"""),"Ajman&gt;Al Mowaihat&gt;Al Mowaihat 2")</f>
        <v>Ajman&gt;Al Mowaihat&gt;Al Mowaihat 2</v>
      </c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</row>
    <row r="7216" spans="1:26" ht="16.5" x14ac:dyDescent="0.35">
      <c r="A7216" s="2" t="str">
        <f ca="1">IFERROR(__xludf.DUMMYFUNCTION("""COMPUTED_VALUE"""),"Ajman")</f>
        <v>Ajman</v>
      </c>
      <c r="B7216" s="2" t="str">
        <f ca="1">IFERROR(__xludf.DUMMYFUNCTION("""COMPUTED_VALUE"""),"Crown Private School")</f>
        <v>Crown Private School</v>
      </c>
      <c r="C7216" s="2" t="str">
        <f ca="1">IFERROR(__xludf.DUMMYFUNCTION("""COMPUTED_VALUE"""),"School")</f>
        <v>School</v>
      </c>
      <c r="D7216" s="2" t="str">
        <f ca="1">IFERROR(__xludf.DUMMYFUNCTION("""COMPUTED_VALUE"""),"Ajman&gt;Al Hamidiyah&gt;Crown Private School")</f>
        <v>Ajman&gt;Al Hamidiyah&gt;Crown Private School</v>
      </c>
      <c r="E7216" s="2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</row>
    <row r="7217" spans="1:26" ht="16.5" x14ac:dyDescent="0.35">
      <c r="A7217" s="2" t="str">
        <f ca="1">IFERROR(__xludf.DUMMYFUNCTION("""COMPUTED_VALUE"""),"Ajman")</f>
        <v>Ajman</v>
      </c>
      <c r="B7217" s="2" t="str">
        <f ca="1">IFERROR(__xludf.DUMMYFUNCTION("""COMPUTED_VALUE"""),"Al Ameera Village A4")</f>
        <v>Al Ameera Village A4</v>
      </c>
      <c r="C7217" s="2" t="str">
        <f ca="1">IFERROR(__xludf.DUMMYFUNCTION("""COMPUTED_VALUE"""),"Building")</f>
        <v>Building</v>
      </c>
      <c r="D7217" s="2" t="str">
        <f ca="1">IFERROR(__xludf.DUMMYFUNCTION("""COMPUTED_VALUE"""),"Ajman&gt;Al Yasmeen&gt;Al Ameera Village&gt;Al Ameera Village A4")</f>
        <v>Ajman&gt;Al Yasmeen&gt;Al Ameera Village&gt;Al Ameera Village A4</v>
      </c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</row>
    <row r="7218" spans="1:26" ht="16.5" x14ac:dyDescent="0.35">
      <c r="A7218" s="2" t="str">
        <f ca="1">IFERROR(__xludf.DUMMYFUNCTION("""COMPUTED_VALUE"""),"Ajman")</f>
        <v>Ajman</v>
      </c>
      <c r="B7218" s="2" t="str">
        <f ca="1">IFERROR(__xludf.DUMMYFUNCTION("""COMPUTED_VALUE"""),"Al Karama Building")</f>
        <v>Al Karama Building</v>
      </c>
      <c r="C7218" s="2" t="str">
        <f ca="1">IFERROR(__xludf.DUMMYFUNCTION("""COMPUTED_VALUE"""),"Building")</f>
        <v>Building</v>
      </c>
      <c r="D7218" s="2" t="str">
        <f ca="1">IFERROR(__xludf.DUMMYFUNCTION("""COMPUTED_VALUE"""),"Ajman&gt;Al Nakhil&gt;Al Karama Building")</f>
        <v>Ajman&gt;Al Nakhil&gt;Al Karama Building</v>
      </c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</row>
    <row r="7219" spans="1:26" ht="16.5" x14ac:dyDescent="0.35">
      <c r="A7219" s="2" t="str">
        <f ca="1">IFERROR(__xludf.DUMMYFUNCTION("""COMPUTED_VALUE"""),"Ajman")</f>
        <v>Ajman</v>
      </c>
      <c r="B7219" s="2" t="str">
        <f ca="1">IFERROR(__xludf.DUMMYFUNCTION("""COMPUTED_VALUE"""),"Fazan Tower")</f>
        <v>Fazan Tower</v>
      </c>
      <c r="C7219" s="2" t="str">
        <f ca="1">IFERROR(__xludf.DUMMYFUNCTION("""COMPUTED_VALUE"""),"Building")</f>
        <v>Building</v>
      </c>
      <c r="D7219" s="2" t="str">
        <f ca="1">IFERROR(__xludf.DUMMYFUNCTION("""COMPUTED_VALUE"""),"Ajman&gt;Al Owan&gt;Fazan Tower")</f>
        <v>Ajman&gt;Al Owan&gt;Fazan Tower</v>
      </c>
      <c r="E7219" s="2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</row>
    <row r="7220" spans="1:26" ht="16.5" x14ac:dyDescent="0.35">
      <c r="A7220" s="2" t="str">
        <f ca="1">IFERROR(__xludf.DUMMYFUNCTION("""COMPUTED_VALUE"""),"Ajman")</f>
        <v>Ajman</v>
      </c>
      <c r="B7220" s="2" t="str">
        <f ca="1">IFERROR(__xludf.DUMMYFUNCTION("""COMPUTED_VALUE"""),"Rital Building")</f>
        <v>Rital Building</v>
      </c>
      <c r="C7220" s="2"/>
      <c r="D7220" s="2" t="str">
        <f ca="1">IFERROR(__xludf.DUMMYFUNCTION("""COMPUTED_VALUE"""),"Ajman&gt;Al Nuaimiya&gt;Al Nuaimiya 1&gt;Rital Building")</f>
        <v>Ajman&gt;Al Nuaimiya&gt;Al Nuaimiya 1&gt;Rital Building</v>
      </c>
      <c r="E7220" s="2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</row>
    <row r="7221" spans="1:26" ht="16.5" x14ac:dyDescent="0.35">
      <c r="A7221" s="2" t="str">
        <f ca="1">IFERROR(__xludf.DUMMYFUNCTION("""COMPUTED_VALUE"""),"Ajman")</f>
        <v>Ajman</v>
      </c>
      <c r="B7221" s="2" t="str">
        <f ca="1">IFERROR(__xludf.DUMMYFUNCTION("""COMPUTED_VALUE"""),"Awali City")</f>
        <v>Awali City</v>
      </c>
      <c r="C7221" s="2" t="str">
        <f ca="1">IFERROR(__xludf.DUMMYFUNCTION("""COMPUTED_VALUE"""),"Neighbourhood")</f>
        <v>Neighbourhood</v>
      </c>
      <c r="D7221" s="2" t="str">
        <f ca="1">IFERROR(__xludf.DUMMYFUNCTION("""COMPUTED_VALUE"""),"Ajman&gt;Awali City")</f>
        <v>Ajman&gt;Awali City</v>
      </c>
      <c r="E7221" s="2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</row>
    <row r="7222" spans="1:26" ht="16.5" x14ac:dyDescent="0.35">
      <c r="A7222" s="2" t="str">
        <f ca="1">IFERROR(__xludf.DUMMYFUNCTION("""COMPUTED_VALUE"""),"Sharjah")</f>
        <v>Sharjah</v>
      </c>
      <c r="B7222" s="2" t="str">
        <f ca="1">IFERROR(__xludf.DUMMYFUNCTION("""COMPUTED_VALUE"""),"Golden Tower")</f>
        <v>Golden Tower</v>
      </c>
      <c r="C7222" s="2" t="str">
        <f ca="1">IFERROR(__xludf.DUMMYFUNCTION("""COMPUTED_VALUE"""),"Building")</f>
        <v>Building</v>
      </c>
      <c r="D7222" s="2" t="str">
        <f ca="1">IFERROR(__xludf.DUMMYFUNCTION("""COMPUTED_VALUE"""),"Sharjah&gt;Al Nahda (Sharjah)&gt;Golden Tower")</f>
        <v>Sharjah&gt;Al Nahda (Sharjah)&gt;Golden Tower</v>
      </c>
      <c r="E7222" s="2"/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</row>
    <row r="7223" spans="1:26" ht="16.5" x14ac:dyDescent="0.35">
      <c r="A7223" s="2" t="str">
        <f ca="1">IFERROR(__xludf.DUMMYFUNCTION("""COMPUTED_VALUE"""),"Sharjah")</f>
        <v>Sharjah</v>
      </c>
      <c r="B7223" s="2" t="str">
        <f ca="1">IFERROR(__xludf.DUMMYFUNCTION("""COMPUTED_VALUE"""),"Al Fahim Tower")</f>
        <v>Al Fahim Tower</v>
      </c>
      <c r="C7223" s="2"/>
      <c r="D7223" s="2" t="str">
        <f ca="1">IFERROR(__xludf.DUMMYFUNCTION("""COMPUTED_VALUE"""),"Sharjah&gt;Al Nahda (Sharjah)&gt;Al Fahim Tower")</f>
        <v>Sharjah&gt;Al Nahda (Sharjah)&gt;Al Fahim Tower</v>
      </c>
      <c r="E7223" s="2"/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</row>
    <row r="7224" spans="1:26" ht="16.5" x14ac:dyDescent="0.35">
      <c r="A7224" s="2" t="str">
        <f ca="1">IFERROR(__xludf.DUMMYFUNCTION("""COMPUTED_VALUE"""),"Sharjah")</f>
        <v>Sharjah</v>
      </c>
      <c r="B7224" s="2" t="str">
        <f ca="1">IFERROR(__xludf.DUMMYFUNCTION("""COMPUTED_VALUE"""),"Al Jawad Tower")</f>
        <v>Al Jawad Tower</v>
      </c>
      <c r="C7224" s="2"/>
      <c r="D7224" s="2" t="str">
        <f ca="1">IFERROR(__xludf.DUMMYFUNCTION("""COMPUTED_VALUE"""),"Sharjah&gt;Al Nahda (Sharjah)&gt;Al Jawad Tower")</f>
        <v>Sharjah&gt;Al Nahda (Sharjah)&gt;Al Jawad Tower</v>
      </c>
      <c r="E7224" s="2"/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</row>
    <row r="7225" spans="1:26" ht="16.5" x14ac:dyDescent="0.35">
      <c r="A7225" s="2" t="str">
        <f ca="1">IFERROR(__xludf.DUMMYFUNCTION("""COMPUTED_VALUE"""),"Sharjah")</f>
        <v>Sharjah</v>
      </c>
      <c r="B7225" s="2" t="str">
        <f ca="1">IFERROR(__xludf.DUMMYFUNCTION("""COMPUTED_VALUE"""),"Marco Tower")</f>
        <v>Marco Tower</v>
      </c>
      <c r="C7225" s="2"/>
      <c r="D7225" s="2" t="str">
        <f ca="1">IFERROR(__xludf.DUMMYFUNCTION("""COMPUTED_VALUE"""),"Sharjah&gt;Al Nahda (Sharjah)&gt;Marco Tower")</f>
        <v>Sharjah&gt;Al Nahda (Sharjah)&gt;Marco Tower</v>
      </c>
      <c r="E7225" s="2"/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</row>
    <row r="7226" spans="1:26" ht="16.5" x14ac:dyDescent="0.35">
      <c r="A7226" s="2" t="str">
        <f ca="1">IFERROR(__xludf.DUMMYFUNCTION("""COMPUTED_VALUE"""),"Sharjah")</f>
        <v>Sharjah</v>
      </c>
      <c r="B7226" s="2" t="str">
        <f ca="1">IFERROR(__xludf.DUMMYFUNCTION("""COMPUTED_VALUE"""),"Normandy 1 Building")</f>
        <v>Normandy 1 Building</v>
      </c>
      <c r="C7226" s="2" t="str">
        <f ca="1">IFERROR(__xludf.DUMMYFUNCTION("""COMPUTED_VALUE"""),"Building")</f>
        <v>Building</v>
      </c>
      <c r="D7226" s="2" t="str">
        <f ca="1">IFERROR(__xludf.DUMMYFUNCTION("""COMPUTED_VALUE"""),"Sharjah&gt;Al Nahda (Sharjah)&gt;Normandy 1 Building")</f>
        <v>Sharjah&gt;Al Nahda (Sharjah)&gt;Normandy 1 Building</v>
      </c>
      <c r="E7226" s="2"/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</row>
    <row r="7227" spans="1:26" ht="16.5" x14ac:dyDescent="0.35">
      <c r="A7227" s="2" t="str">
        <f ca="1">IFERROR(__xludf.DUMMYFUNCTION("""COMPUTED_VALUE"""),"Sharjah")</f>
        <v>Sharjah</v>
      </c>
      <c r="B7227" s="2" t="str">
        <f ca="1">IFERROR(__xludf.DUMMYFUNCTION("""COMPUTED_VALUE"""),"Misk Apartments")</f>
        <v>Misk Apartments</v>
      </c>
      <c r="C7227" s="2" t="str">
        <f ca="1">IFERROR(__xludf.DUMMYFUNCTION("""COMPUTED_VALUE"""),"Cluster")</f>
        <v>Cluster</v>
      </c>
      <c r="D7227" s="2" t="str">
        <f ca="1">IFERROR(__xludf.DUMMYFUNCTION("""COMPUTED_VALUE"""),"Sharjah&gt;Aljada&gt;Misk Apartments")</f>
        <v>Sharjah&gt;Aljada&gt;Misk Apartments</v>
      </c>
      <c r="E7227" s="2"/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</row>
    <row r="7228" spans="1:26" ht="16.5" x14ac:dyDescent="0.35">
      <c r="A7228" s="2" t="str">
        <f ca="1">IFERROR(__xludf.DUMMYFUNCTION("""COMPUTED_VALUE"""),"Sharjah")</f>
        <v>Sharjah</v>
      </c>
      <c r="B7228" s="2" t="str">
        <f ca="1">IFERROR(__xludf.DUMMYFUNCTION("""COMPUTED_VALUE"""),"Sokoon 5")</f>
        <v>Sokoon 5</v>
      </c>
      <c r="C7228" s="2" t="str">
        <f ca="1">IFERROR(__xludf.DUMMYFUNCTION("""COMPUTED_VALUE"""),"Building")</f>
        <v>Building</v>
      </c>
      <c r="D7228" s="2" t="str">
        <f ca="1">IFERROR(__xludf.DUMMYFUNCTION("""COMPUTED_VALUE"""),"Sharjah&gt;Aljada&gt;Naseej District&gt;Sokoon&gt;Sokoon 5")</f>
        <v>Sharjah&gt;Aljada&gt;Naseej District&gt;Sokoon&gt;Sokoon 5</v>
      </c>
      <c r="E7228" s="2"/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</row>
    <row r="7229" spans="1:26" ht="16.5" x14ac:dyDescent="0.35">
      <c r="A7229" s="2" t="str">
        <f ca="1">IFERROR(__xludf.DUMMYFUNCTION("""COMPUTED_VALUE"""),"Sharjah")</f>
        <v>Sharjah</v>
      </c>
      <c r="B7229" s="2" t="str">
        <f ca="1">IFERROR(__xludf.DUMMYFUNCTION("""COMPUTED_VALUE"""),"Nasaq 4")</f>
        <v>Nasaq 4</v>
      </c>
      <c r="C7229" s="2" t="str">
        <f ca="1">IFERROR(__xludf.DUMMYFUNCTION("""COMPUTED_VALUE"""),"Building")</f>
        <v>Building</v>
      </c>
      <c r="D7229" s="2" t="str">
        <f ca="1">IFERROR(__xludf.DUMMYFUNCTION("""COMPUTED_VALUE"""),"Sharjah&gt;Aljada&gt;Nasaq&gt;Nasaq 4")</f>
        <v>Sharjah&gt;Aljada&gt;Nasaq&gt;Nasaq 4</v>
      </c>
      <c r="E7229" s="2"/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</row>
    <row r="7230" spans="1:26" ht="16.5" x14ac:dyDescent="0.35">
      <c r="A7230" s="2" t="str">
        <f ca="1">IFERROR(__xludf.DUMMYFUNCTION("""COMPUTED_VALUE"""),"Sharjah")</f>
        <v>Sharjah</v>
      </c>
      <c r="B7230" s="2" t="str">
        <f ca="1">IFERROR(__xludf.DUMMYFUNCTION("""COMPUTED_VALUE"""),"Nasma Residence")</f>
        <v>Nasma Residence</v>
      </c>
      <c r="C7230" s="2" t="str">
        <f ca="1">IFERROR(__xludf.DUMMYFUNCTION("""COMPUTED_VALUE"""),"Neighbourhood")</f>
        <v>Neighbourhood</v>
      </c>
      <c r="D7230" s="2" t="str">
        <f ca="1">IFERROR(__xludf.DUMMYFUNCTION("""COMPUTED_VALUE"""),"Sharjah&gt;Al Tai&gt;Nasma Residence")</f>
        <v>Sharjah&gt;Al Tai&gt;Nasma Residence</v>
      </c>
      <c r="E7230" s="2"/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</row>
    <row r="7231" spans="1:26" ht="16.5" x14ac:dyDescent="0.35">
      <c r="A7231" s="2" t="str">
        <f ca="1">IFERROR(__xludf.DUMMYFUNCTION("""COMPUTED_VALUE"""),"Sharjah")</f>
        <v>Sharjah</v>
      </c>
      <c r="B7231" s="2" t="str">
        <f ca="1">IFERROR(__xludf.DUMMYFUNCTION("""COMPUTED_VALUE"""),"Al Khayarain Building")</f>
        <v>Al Khayarain Building</v>
      </c>
      <c r="C7231" s="2"/>
      <c r="D7231" s="2" t="str">
        <f ca="1">IFERROR(__xludf.DUMMYFUNCTION("""COMPUTED_VALUE"""),"Sharjah&gt;Abu Shagara&gt;Al Khayarain Building")</f>
        <v>Sharjah&gt;Abu Shagara&gt;Al Khayarain Building</v>
      </c>
      <c r="E7231" s="2"/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</row>
    <row r="7232" spans="1:26" ht="16.5" x14ac:dyDescent="0.35">
      <c r="A7232" s="2" t="str">
        <f ca="1">IFERROR(__xludf.DUMMYFUNCTION("""COMPUTED_VALUE"""),"Sharjah")</f>
        <v>Sharjah</v>
      </c>
      <c r="B7232" s="2" t="str">
        <f ca="1">IFERROR(__xludf.DUMMYFUNCTION("""COMPUTED_VALUE"""),"Bazza Building")</f>
        <v>Bazza Building</v>
      </c>
      <c r="C7232" s="2" t="str">
        <f ca="1">IFERROR(__xludf.DUMMYFUNCTION("""COMPUTED_VALUE"""),"Building")</f>
        <v>Building</v>
      </c>
      <c r="D7232" s="2" t="str">
        <f ca="1">IFERROR(__xludf.DUMMYFUNCTION("""COMPUTED_VALUE"""),"Sharjah&gt;Al Mamzar&gt;Bazza Building")</f>
        <v>Sharjah&gt;Al Mamzar&gt;Bazza Building</v>
      </c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</row>
    <row r="7233" spans="1:26" ht="16.5" x14ac:dyDescent="0.35">
      <c r="A7233" s="2" t="str">
        <f ca="1">IFERROR(__xludf.DUMMYFUNCTION("""COMPUTED_VALUE"""),"Sharjah")</f>
        <v>Sharjah</v>
      </c>
      <c r="B7233" s="2" t="str">
        <f ca="1">IFERROR(__xludf.DUMMYFUNCTION("""COMPUTED_VALUE"""),"Bumble Bee Nursery")</f>
        <v>Bumble Bee Nursery</v>
      </c>
      <c r="C7233" s="2" t="str">
        <f ca="1">IFERROR(__xludf.DUMMYFUNCTION("""COMPUTED_VALUE"""),"Nursery")</f>
        <v>Nursery</v>
      </c>
      <c r="D7233" s="2" t="str">
        <f ca="1">IFERROR(__xludf.DUMMYFUNCTION("""COMPUTED_VALUE"""),"Sharjah&gt;Al Ramla&gt;Bumble Bee Nursery")</f>
        <v>Sharjah&gt;Al Ramla&gt;Bumble Bee Nursery</v>
      </c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</row>
    <row r="7234" spans="1:26" ht="16.5" x14ac:dyDescent="0.35">
      <c r="A7234" s="2" t="str">
        <f ca="1">IFERROR(__xludf.DUMMYFUNCTION("""COMPUTED_VALUE"""),"Sharjah")</f>
        <v>Sharjah</v>
      </c>
      <c r="B7234" s="2" t="str">
        <f ca="1">IFERROR(__xludf.DUMMYFUNCTION("""COMPUTED_VALUE"""),"Shams")</f>
        <v>Shams</v>
      </c>
      <c r="C7234" s="2"/>
      <c r="D7234" s="2" t="str">
        <f ca="1">IFERROR(__xludf.DUMMYFUNCTION("""COMPUTED_VALUE"""),"Sharjah&gt;Tilal City&gt;Shams")</f>
        <v>Sharjah&gt;Tilal City&gt;Shams</v>
      </c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</row>
    <row r="7235" spans="1:26" ht="16.5" x14ac:dyDescent="0.35">
      <c r="A7235" s="2" t="str">
        <f ca="1">IFERROR(__xludf.DUMMYFUNCTION("""COMPUTED_VALUE"""),"Sharjah")</f>
        <v>Sharjah</v>
      </c>
      <c r="B7235" s="2" t="str">
        <f ca="1">IFERROR(__xludf.DUMMYFUNCTION("""COMPUTED_VALUE"""),"Sharjah University City")</f>
        <v>Sharjah University City</v>
      </c>
      <c r="C7235" s="2" t="str">
        <f ca="1">IFERROR(__xludf.DUMMYFUNCTION("""COMPUTED_VALUE"""),"Neighbourhood")</f>
        <v>Neighbourhood</v>
      </c>
      <c r="D7235" s="2" t="str">
        <f ca="1">IFERROR(__xludf.DUMMYFUNCTION("""COMPUTED_VALUE"""),"Sharjah&gt;Sharjah University City")</f>
        <v>Sharjah&gt;Sharjah University City</v>
      </c>
      <c r="E7235" s="2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</row>
    <row r="7236" spans="1:26" ht="16.5" x14ac:dyDescent="0.35">
      <c r="A7236" s="2" t="str">
        <f ca="1">IFERROR(__xludf.DUMMYFUNCTION("""COMPUTED_VALUE"""),"Sharjah")</f>
        <v>Sharjah</v>
      </c>
      <c r="B7236" s="2" t="str">
        <f ca="1">IFERROR(__xludf.DUMMYFUNCTION("""COMPUTED_VALUE"""),"Al Zahra Building")</f>
        <v>Al Zahra Building</v>
      </c>
      <c r="C7236" s="2"/>
      <c r="D7236" s="2" t="str">
        <f ca="1">IFERROR(__xludf.DUMMYFUNCTION("""COMPUTED_VALUE"""),"Sharjah&gt;Al Musalla&gt;Al Zahra Building")</f>
        <v>Sharjah&gt;Al Musalla&gt;Al Zahra Building</v>
      </c>
      <c r="E7236" s="2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</row>
    <row r="7237" spans="1:26" ht="16.5" x14ac:dyDescent="0.35">
      <c r="A7237" s="2" t="str">
        <f ca="1">IFERROR(__xludf.DUMMYFUNCTION("""COMPUTED_VALUE"""),"Sharjah")</f>
        <v>Sharjah</v>
      </c>
      <c r="B7237" s="2" t="str">
        <f ca="1">IFERROR(__xludf.DUMMYFUNCTION("""COMPUTED_VALUE"""),"Al Talae")</f>
        <v>Al Talae</v>
      </c>
      <c r="C7237" s="2" t="str">
        <f ca="1">IFERROR(__xludf.DUMMYFUNCTION("""COMPUTED_VALUE"""),"Neighbourhood")</f>
        <v>Neighbourhood</v>
      </c>
      <c r="D7237" s="2" t="str">
        <f ca="1">IFERROR(__xludf.DUMMYFUNCTION("""COMPUTED_VALUE"""),"Sharjah&gt;Al Talae")</f>
        <v>Sharjah&gt;Al Talae</v>
      </c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</row>
    <row r="7238" spans="1:26" ht="16.5" x14ac:dyDescent="0.35">
      <c r="A7238" s="2" t="str">
        <f ca="1">IFERROR(__xludf.DUMMYFUNCTION("""COMPUTED_VALUE"""),"Sharjah")</f>
        <v>Sharjah</v>
      </c>
      <c r="B7238" s="2" t="str">
        <f ca="1">IFERROR(__xludf.DUMMYFUNCTION("""COMPUTED_VALUE"""),"Mareja Building")</f>
        <v>Mareja Building</v>
      </c>
      <c r="C7238" s="2"/>
      <c r="D7238" s="2" t="str">
        <f ca="1">IFERROR(__xludf.DUMMYFUNCTION("""COMPUTED_VALUE"""),"Sharjah&gt;Al Mareija&gt;Mareja Building")</f>
        <v>Sharjah&gt;Al Mareija&gt;Mareja Building</v>
      </c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</row>
    <row r="7239" spans="1:26" ht="16.5" x14ac:dyDescent="0.35">
      <c r="A7239" s="2" t="str">
        <f ca="1">IFERROR(__xludf.DUMMYFUNCTION("""COMPUTED_VALUE"""),"Sharjah")</f>
        <v>Sharjah</v>
      </c>
      <c r="B7239" s="2" t="str">
        <f ca="1">IFERROR(__xludf.DUMMYFUNCTION("""COMPUTED_VALUE"""),"Sun Island")</f>
        <v>Sun Island</v>
      </c>
      <c r="C7239" s="2" t="str">
        <f ca="1">IFERROR(__xludf.DUMMYFUNCTION("""COMPUTED_VALUE"""),"Neighbourhood")</f>
        <v>Neighbourhood</v>
      </c>
      <c r="D7239" s="2" t="str">
        <f ca="1">IFERROR(__xludf.DUMMYFUNCTION("""COMPUTED_VALUE"""),"Sharjah&gt;Ajmal Makan City - Sharjah Waterfront&gt;Sun Island")</f>
        <v>Sharjah&gt;Ajmal Makan City - Sharjah Waterfront&gt;Sun Island</v>
      </c>
      <c r="E7239" s="2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</row>
    <row r="7240" spans="1:26" ht="16.5" x14ac:dyDescent="0.35">
      <c r="A7240" s="2" t="str">
        <f ca="1">IFERROR(__xludf.DUMMYFUNCTION("""COMPUTED_VALUE"""),"Sharjah")</f>
        <v>Sharjah</v>
      </c>
      <c r="B7240" s="2" t="str">
        <f ca="1">IFERROR(__xludf.DUMMYFUNCTION("""COMPUTED_VALUE"""),"Kshisha 6")</f>
        <v>Kshisha 6</v>
      </c>
      <c r="C7240" s="2" t="str">
        <f ca="1">IFERROR(__xludf.DUMMYFUNCTION("""COMPUTED_VALUE"""),"Neighbourhood")</f>
        <v>Neighbourhood</v>
      </c>
      <c r="D7240" s="2" t="str">
        <f ca="1">IFERROR(__xludf.DUMMYFUNCTION("""COMPUTED_VALUE"""),"Sharjah&gt;Al Rahmaniya&gt;Kshisha 6")</f>
        <v>Sharjah&gt;Al Rahmaniya&gt;Kshisha 6</v>
      </c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</row>
    <row r="7241" spans="1:26" ht="16.5" x14ac:dyDescent="0.35">
      <c r="A7241" s="2" t="str">
        <f ca="1">IFERROR(__xludf.DUMMYFUNCTION("""COMPUTED_VALUE"""),"Sharjah")</f>
        <v>Sharjah</v>
      </c>
      <c r="B7241" s="2" t="str">
        <f ca="1">IFERROR(__xludf.DUMMYFUNCTION("""COMPUTED_VALUE"""),"Al Saadah Tower")</f>
        <v>Al Saadah Tower</v>
      </c>
      <c r="C7241" s="2" t="str">
        <f ca="1">IFERROR(__xludf.DUMMYFUNCTION("""COMPUTED_VALUE"""),"Building")</f>
        <v>Building</v>
      </c>
      <c r="D7241" s="2" t="str">
        <f ca="1">IFERROR(__xludf.DUMMYFUNCTION("""COMPUTED_VALUE"""),"Sharjah&gt;Al Khan&gt;Al Saadah Tower")</f>
        <v>Sharjah&gt;Al Khan&gt;Al Saadah Tower</v>
      </c>
      <c r="E7241" s="2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</row>
    <row r="7242" spans="1:26" ht="16.5" x14ac:dyDescent="0.35">
      <c r="A7242" s="2" t="str">
        <f ca="1">IFERROR(__xludf.DUMMYFUNCTION("""COMPUTED_VALUE"""),"Sharjah")</f>
        <v>Sharjah</v>
      </c>
      <c r="B7242" s="2" t="str">
        <f ca="1">IFERROR(__xludf.DUMMYFUNCTION("""COMPUTED_VALUE"""),"Al Saad Tower")</f>
        <v>Al Saad Tower</v>
      </c>
      <c r="C7242" s="2"/>
      <c r="D7242" s="2" t="str">
        <f ca="1">IFERROR(__xludf.DUMMYFUNCTION("""COMPUTED_VALUE"""),"Sharjah&gt;Al Khan&gt;Al Saad Tower")</f>
        <v>Sharjah&gt;Al Khan&gt;Al Saad Tower</v>
      </c>
      <c r="E7242" s="2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</row>
    <row r="7243" spans="1:26" ht="16.5" x14ac:dyDescent="0.35">
      <c r="A7243" s="2" t="str">
        <f ca="1">IFERROR(__xludf.DUMMYFUNCTION("""COMPUTED_VALUE"""),"Sharjah")</f>
        <v>Sharjah</v>
      </c>
      <c r="B7243" s="2" t="str">
        <f ca="1">IFERROR(__xludf.DUMMYFUNCTION("""COMPUTED_VALUE"""),"Crystal Residences")</f>
        <v>Crystal Residences</v>
      </c>
      <c r="C7243" s="2" t="str">
        <f ca="1">IFERROR(__xludf.DUMMYFUNCTION("""COMPUTED_VALUE"""),"Cluster")</f>
        <v>Cluster</v>
      </c>
      <c r="D7243" s="2" t="str">
        <f ca="1">IFERROR(__xludf.DUMMYFUNCTION("""COMPUTED_VALUE"""),"Sharjah&gt;Al Khan&gt;Maryam Island&gt;Crystal Residences")</f>
        <v>Sharjah&gt;Al Khan&gt;Maryam Island&gt;Crystal Residences</v>
      </c>
      <c r="E7243" s="2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</row>
    <row r="7244" spans="1:26" ht="16.5" x14ac:dyDescent="0.35">
      <c r="A7244" s="2" t="str">
        <f ca="1">IFERROR(__xludf.DUMMYFUNCTION("""COMPUTED_VALUE"""),"Sharjah")</f>
        <v>Sharjah</v>
      </c>
      <c r="B7244" s="2" t="str">
        <f ca="1">IFERROR(__xludf.DUMMYFUNCTION("""COMPUTED_VALUE"""),"Al Zubidi Tower")</f>
        <v>Al Zubidi Tower</v>
      </c>
      <c r="C7244" s="2"/>
      <c r="D7244" s="2" t="str">
        <f ca="1">IFERROR(__xludf.DUMMYFUNCTION("""COMPUTED_VALUE"""),"Sharjah&gt;Al Khan&gt;Al Zubidi Tower")</f>
        <v>Sharjah&gt;Al Khan&gt;Al Zubidi Tower</v>
      </c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</row>
    <row r="7245" spans="1:26" ht="16.5" x14ac:dyDescent="0.35">
      <c r="A7245" s="2" t="str">
        <f ca="1">IFERROR(__xludf.DUMMYFUNCTION("""COMPUTED_VALUE"""),"Sharjah")</f>
        <v>Sharjah</v>
      </c>
      <c r="B7245" s="2" t="str">
        <f ca="1">IFERROR(__xludf.DUMMYFUNCTION("""COMPUTED_VALUE"""),"Al Majaz 2")</f>
        <v>Al Majaz 2</v>
      </c>
      <c r="C7245" s="2" t="str">
        <f ca="1">IFERROR(__xludf.DUMMYFUNCTION("""COMPUTED_VALUE"""),"Neighbourhood")</f>
        <v>Neighbourhood</v>
      </c>
      <c r="D7245" s="2" t="str">
        <f ca="1">IFERROR(__xludf.DUMMYFUNCTION("""COMPUTED_VALUE"""),"Sharjah&gt;Al Majaz&gt;Al Majaz 2")</f>
        <v>Sharjah&gt;Al Majaz&gt;Al Majaz 2</v>
      </c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</row>
    <row r="7246" spans="1:26" ht="16.5" x14ac:dyDescent="0.35">
      <c r="A7246" s="2" t="str">
        <f ca="1">IFERROR(__xludf.DUMMYFUNCTION("""COMPUTED_VALUE"""),"Sharjah")</f>
        <v>Sharjah</v>
      </c>
      <c r="B7246" s="2" t="str">
        <f ca="1">IFERROR(__xludf.DUMMYFUNCTION("""COMPUTED_VALUE"""),"Al Majaz Preimere Hotel Apartments")</f>
        <v>Al Majaz Preimere Hotel Apartments</v>
      </c>
      <c r="C7246" s="2"/>
      <c r="D7246" s="2" t="str">
        <f ca="1">IFERROR(__xludf.DUMMYFUNCTION("""COMPUTED_VALUE"""),"Sharjah&gt;Al Majaz&gt;Al Majaz 2&gt;Al Majaz Preimere Hotel Apartments")</f>
        <v>Sharjah&gt;Al Majaz&gt;Al Majaz 2&gt;Al Majaz Preimere Hotel Apartments</v>
      </c>
      <c r="E7246" s="2"/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</row>
    <row r="7247" spans="1:26" ht="16.5" x14ac:dyDescent="0.35">
      <c r="A7247" s="2" t="str">
        <f ca="1">IFERROR(__xludf.DUMMYFUNCTION("""COMPUTED_VALUE"""),"Sharjah")</f>
        <v>Sharjah</v>
      </c>
      <c r="B7247" s="2" t="str">
        <f ca="1">IFERROR(__xludf.DUMMYFUNCTION("""COMPUTED_VALUE"""),"Tuba Building")</f>
        <v>Tuba Building</v>
      </c>
      <c r="C7247" s="2"/>
      <c r="D7247" s="2" t="str">
        <f ca="1">IFERROR(__xludf.DUMMYFUNCTION("""COMPUTED_VALUE"""),"Sharjah&gt;Al Majaz&gt;Al Majaz 2&gt;Tuba Building")</f>
        <v>Sharjah&gt;Al Majaz&gt;Al Majaz 2&gt;Tuba Building</v>
      </c>
      <c r="E7247" s="2"/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</row>
    <row r="7248" spans="1:26" ht="16.5" x14ac:dyDescent="0.35">
      <c r="A7248" s="2" t="str">
        <f ca="1">IFERROR(__xludf.DUMMYFUNCTION("""COMPUTED_VALUE"""),"Sharjah")</f>
        <v>Sharjah</v>
      </c>
      <c r="B7248" s="2" t="str">
        <f ca="1">IFERROR(__xludf.DUMMYFUNCTION("""COMPUTED_VALUE"""),"Ameer Bu Khamseen Tower")</f>
        <v>Ameer Bu Khamseen Tower</v>
      </c>
      <c r="C7248" s="2" t="str">
        <f ca="1">IFERROR(__xludf.DUMMYFUNCTION("""COMPUTED_VALUE"""),"Building")</f>
        <v>Building</v>
      </c>
      <c r="D7248" s="2" t="str">
        <f ca="1">IFERROR(__xludf.DUMMYFUNCTION("""COMPUTED_VALUE"""),"Sharjah&gt;Al Majaz&gt;Al Majaz 3&gt;Ameer Bu Khamseen Tower")</f>
        <v>Sharjah&gt;Al Majaz&gt;Al Majaz 3&gt;Ameer Bu Khamseen Tower</v>
      </c>
      <c r="E7248" s="2"/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</row>
    <row r="7249" spans="1:26" ht="16.5" x14ac:dyDescent="0.35">
      <c r="A7249" s="2" t="str">
        <f ca="1">IFERROR(__xludf.DUMMYFUNCTION("""COMPUTED_VALUE"""),"Sharjah")</f>
        <v>Sharjah</v>
      </c>
      <c r="B7249" s="2" t="str">
        <f ca="1">IFERROR(__xludf.DUMMYFUNCTION("""COMPUTED_VALUE"""),"City Gate")</f>
        <v>City Gate</v>
      </c>
      <c r="C7249" s="2"/>
      <c r="D7249" s="2" t="str">
        <f ca="1">IFERROR(__xludf.DUMMYFUNCTION("""COMPUTED_VALUE"""),"Sharjah&gt;Al Majaz&gt;Al Majaz 3&gt;City Gate")</f>
        <v>Sharjah&gt;Al Majaz&gt;Al Majaz 3&gt;City Gate</v>
      </c>
      <c r="E7249" s="2"/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</row>
    <row r="7250" spans="1:26" ht="16.5" x14ac:dyDescent="0.35">
      <c r="A7250" s="2" t="str">
        <f ca="1">IFERROR(__xludf.DUMMYFUNCTION("""COMPUTED_VALUE"""),"Sharjah")</f>
        <v>Sharjah</v>
      </c>
      <c r="B7250" s="2" t="str">
        <f ca="1">IFERROR(__xludf.DUMMYFUNCTION("""COMPUTED_VALUE"""),"Zahrat Al Madaen Tower")</f>
        <v>Zahrat Al Madaen Tower</v>
      </c>
      <c r="C7250" s="2" t="str">
        <f ca="1">IFERROR(__xludf.DUMMYFUNCTION("""COMPUTED_VALUE"""),"Building")</f>
        <v>Building</v>
      </c>
      <c r="D7250" s="2" t="str">
        <f ca="1">IFERROR(__xludf.DUMMYFUNCTION("""COMPUTED_VALUE"""),"Sharjah&gt;Al Majaz&gt;Al Majaz 3&gt;Zahrat Al Madaen Tower")</f>
        <v>Sharjah&gt;Al Majaz&gt;Al Majaz 3&gt;Zahrat Al Madaen Tower</v>
      </c>
      <c r="E7250" s="2"/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</row>
    <row r="7251" spans="1:26" ht="16.5" x14ac:dyDescent="0.35">
      <c r="A7251" s="2" t="str">
        <f ca="1">IFERROR(__xludf.DUMMYFUNCTION("""COMPUTED_VALUE"""),"Sharjah")</f>
        <v>Sharjah</v>
      </c>
      <c r="B7251" s="2" t="str">
        <f ca="1">IFERROR(__xludf.DUMMYFUNCTION("""COMPUTED_VALUE"""),"Khaleel Foulathi Tower")</f>
        <v>Khaleel Foulathi Tower</v>
      </c>
      <c r="C7251" s="2" t="str">
        <f ca="1">IFERROR(__xludf.DUMMYFUNCTION("""COMPUTED_VALUE"""),"Building")</f>
        <v>Building</v>
      </c>
      <c r="D7251" s="2" t="str">
        <f ca="1">IFERROR(__xludf.DUMMYFUNCTION("""COMPUTED_VALUE"""),"Sharjah&gt;Al Majaz&gt;Al Majaz 1&gt;Khaleel Foulathi Tower")</f>
        <v>Sharjah&gt;Al Majaz&gt;Al Majaz 1&gt;Khaleel Foulathi Tower</v>
      </c>
      <c r="E7251" s="2"/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</row>
    <row r="7252" spans="1:26" ht="16.5" x14ac:dyDescent="0.35">
      <c r="A7252" s="2" t="str">
        <f ca="1">IFERROR(__xludf.DUMMYFUNCTION("""COMPUTED_VALUE"""),"Sharjah")</f>
        <v>Sharjah</v>
      </c>
      <c r="B7252" s="2" t="str">
        <f ca="1">IFERROR(__xludf.DUMMYFUNCTION("""COMPUTED_VALUE"""),"Masaar 3")</f>
        <v>Masaar 3</v>
      </c>
      <c r="C7252" s="2" t="str">
        <f ca="1">IFERROR(__xludf.DUMMYFUNCTION("""COMPUTED_VALUE"""),"Neighbourhood")</f>
        <v>Neighbourhood</v>
      </c>
      <c r="D7252" s="2" t="str">
        <f ca="1">IFERROR(__xludf.DUMMYFUNCTION("""COMPUTED_VALUE"""),"Sharjah&gt;Al Menhaz&gt;Masaar 3")</f>
        <v>Sharjah&gt;Al Menhaz&gt;Masaar 3</v>
      </c>
      <c r="E7252" s="2"/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</row>
    <row r="7253" spans="1:26" ht="16.5" x14ac:dyDescent="0.35">
      <c r="A7253" s="2" t="str">
        <f ca="1">IFERROR(__xludf.DUMMYFUNCTION("""COMPUTED_VALUE"""),"Sharjah")</f>
        <v>Sharjah</v>
      </c>
      <c r="B7253" s="2" t="str">
        <f ca="1">IFERROR(__xludf.DUMMYFUNCTION("""COMPUTED_VALUE"""),"Tiger 1 Building")</f>
        <v>Tiger 1 Building</v>
      </c>
      <c r="C7253" s="2"/>
      <c r="D7253" s="2" t="str">
        <f ca="1">IFERROR(__xludf.DUMMYFUNCTION("""COMPUTED_VALUE"""),"Sharjah&gt;Al Taawun&gt;Tiger 1 Building")</f>
        <v>Sharjah&gt;Al Taawun&gt;Tiger 1 Building</v>
      </c>
      <c r="E7253" s="2"/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</row>
    <row r="7254" spans="1:26" ht="16.5" x14ac:dyDescent="0.35">
      <c r="A7254" s="2" t="str">
        <f ca="1">IFERROR(__xludf.DUMMYFUNCTION("""COMPUTED_VALUE"""),"Sharjah")</f>
        <v>Sharjah</v>
      </c>
      <c r="B7254" s="2" t="str">
        <f ca="1">IFERROR(__xludf.DUMMYFUNCTION("""COMPUTED_VALUE"""),"Al Maged Building")</f>
        <v>Al Maged Building</v>
      </c>
      <c r="C7254" s="2" t="str">
        <f ca="1">IFERROR(__xludf.DUMMYFUNCTION("""COMPUTED_VALUE"""),"Building")</f>
        <v>Building</v>
      </c>
      <c r="D7254" s="2" t="str">
        <f ca="1">IFERROR(__xludf.DUMMYFUNCTION("""COMPUTED_VALUE"""),"Sharjah&gt;Al Qasimia&gt;Al Maged Building")</f>
        <v>Sharjah&gt;Al Qasimia&gt;Al Maged Building</v>
      </c>
      <c r="E7254" s="2"/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</row>
    <row r="7255" spans="1:26" ht="16.5" x14ac:dyDescent="0.35">
      <c r="A7255" s="2" t="str">
        <f ca="1">IFERROR(__xludf.DUMMYFUNCTION("""COMPUTED_VALUE"""),"Sharjah")</f>
        <v>Sharjah</v>
      </c>
      <c r="B7255" s="2" t="str">
        <f ca="1">IFERROR(__xludf.DUMMYFUNCTION("""COMPUTED_VALUE"""),"Zamalik Building")</f>
        <v>Zamalik Building</v>
      </c>
      <c r="C7255" s="2" t="str">
        <f ca="1">IFERROR(__xludf.DUMMYFUNCTION("""COMPUTED_VALUE"""),"Building")</f>
        <v>Building</v>
      </c>
      <c r="D7255" s="2" t="str">
        <f ca="1">IFERROR(__xludf.DUMMYFUNCTION("""COMPUTED_VALUE"""),"Sharjah&gt;Al Qasimia&gt;Al Nad&gt;Zamalik Building")</f>
        <v>Sharjah&gt;Al Qasimia&gt;Al Nad&gt;Zamalik Building</v>
      </c>
      <c r="E7255" s="2"/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</row>
    <row r="7256" spans="1:26" ht="16.5" x14ac:dyDescent="0.35">
      <c r="A7256" s="2" t="str">
        <f ca="1">IFERROR(__xludf.DUMMYFUNCTION("""COMPUTED_VALUE"""),"Sharjah")</f>
        <v>Sharjah</v>
      </c>
      <c r="B7256" s="2" t="str">
        <f ca="1">IFERROR(__xludf.DUMMYFUNCTION("""COMPUTED_VALUE"""),"Khowla Tower")</f>
        <v>Khowla Tower</v>
      </c>
      <c r="C7256" s="2"/>
      <c r="D7256" s="2" t="str">
        <f ca="1">IFERROR(__xludf.DUMMYFUNCTION("""COMPUTED_VALUE"""),"Sharjah&gt;Al Qasimia&gt;Al Nad&gt;Khowla Tower")</f>
        <v>Sharjah&gt;Al Qasimia&gt;Al Nad&gt;Khowla Tower</v>
      </c>
      <c r="E7256" s="2"/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</row>
    <row r="7257" spans="1:26" ht="16.5" x14ac:dyDescent="0.35">
      <c r="A7257" s="2" t="str">
        <f ca="1">IFERROR(__xludf.DUMMYFUNCTION("""COMPUTED_VALUE"""),"Sharjah")</f>
        <v>Sharjah</v>
      </c>
      <c r="B7257" s="2" t="str">
        <f ca="1">IFERROR(__xludf.DUMMYFUNCTION("""COMPUTED_VALUE"""),"Al Faisal 1 Building")</f>
        <v>Al Faisal 1 Building</v>
      </c>
      <c r="C7257" s="2" t="str">
        <f ca="1">IFERROR(__xludf.DUMMYFUNCTION("""COMPUTED_VALUE"""),"Building")</f>
        <v>Building</v>
      </c>
      <c r="D7257" s="2" t="str">
        <f ca="1">IFERROR(__xludf.DUMMYFUNCTION("""COMPUTED_VALUE"""),"Sharjah&gt;Al Qasimia&gt;Al Faisal 1 Building")</f>
        <v>Sharjah&gt;Al Qasimia&gt;Al Faisal 1 Building</v>
      </c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</row>
    <row r="7258" spans="1:26" ht="16.5" x14ac:dyDescent="0.35">
      <c r="A7258" s="2" t="str">
        <f ca="1">IFERROR(__xludf.DUMMYFUNCTION("""COMPUTED_VALUE"""),"Sharjah")</f>
        <v>Sharjah</v>
      </c>
      <c r="B7258" s="2" t="str">
        <f ca="1">IFERROR(__xludf.DUMMYFUNCTION("""COMPUTED_VALUE"""),"Ali ghulam Murad Ali Building")</f>
        <v>Ali ghulam Murad Ali Building</v>
      </c>
      <c r="C7258" s="2"/>
      <c r="D7258" s="2" t="str">
        <f ca="1">IFERROR(__xludf.DUMMYFUNCTION("""COMPUTED_VALUE"""),"Sharjah&gt;Al Nabba&gt;Ali ghulam Murad Ali Building")</f>
        <v>Sharjah&gt;Al Nabba&gt;Ali ghulam Murad Ali Building</v>
      </c>
      <c r="E7258" s="2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</row>
    <row r="7259" spans="1:26" ht="16.5" x14ac:dyDescent="0.35">
      <c r="A7259" s="2" t="str">
        <f ca="1">IFERROR(__xludf.DUMMYFUNCTION("""COMPUTED_VALUE"""),"Sharjah")</f>
        <v>Sharjah</v>
      </c>
      <c r="B7259" s="2" t="str">
        <f ca="1">IFERROR(__xludf.DUMMYFUNCTION("""COMPUTED_VALUE"""),"Al Mozon 4 Building")</f>
        <v>Al Mozon 4 Building</v>
      </c>
      <c r="C7259" s="2" t="str">
        <f ca="1">IFERROR(__xludf.DUMMYFUNCTION("""COMPUTED_VALUE"""),"Building")</f>
        <v>Building</v>
      </c>
      <c r="D7259" s="2" t="str">
        <f ca="1">IFERROR(__xludf.DUMMYFUNCTION("""COMPUTED_VALUE"""),"Sharjah&gt;Industrial Area&gt;Industrial Area 6&gt;Al Mozon 4 Building")</f>
        <v>Sharjah&gt;Industrial Area&gt;Industrial Area 6&gt;Al Mozon 4 Building</v>
      </c>
      <c r="E7259" s="2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</row>
    <row r="7260" spans="1:26" ht="16.5" x14ac:dyDescent="0.35">
      <c r="A7260" s="2" t="str">
        <f ca="1">IFERROR(__xludf.DUMMYFUNCTION("""COMPUTED_VALUE"""),"Sharjah")</f>
        <v>Sharjah</v>
      </c>
      <c r="B7260" s="2" t="str">
        <f ca="1">IFERROR(__xludf.DUMMYFUNCTION("""COMPUTED_VALUE"""),"Al Mamsha")</f>
        <v>Al Mamsha</v>
      </c>
      <c r="C7260" s="2" t="str">
        <f ca="1">IFERROR(__xludf.DUMMYFUNCTION("""COMPUTED_VALUE"""),"Neighbourhood")</f>
        <v>Neighbourhood</v>
      </c>
      <c r="D7260" s="2" t="str">
        <f ca="1">IFERROR(__xludf.DUMMYFUNCTION("""COMPUTED_VALUE"""),"Sharjah&gt;Muwaileh&gt;Al Mamsha")</f>
        <v>Sharjah&gt;Muwaileh&gt;Al Mamsha</v>
      </c>
      <c r="E7260" s="2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</row>
    <row r="7261" spans="1:26" ht="16.5" x14ac:dyDescent="0.35">
      <c r="A7261" s="2" t="str">
        <f ca="1">IFERROR(__xludf.DUMMYFUNCTION("""COMPUTED_VALUE"""),"Sharjah")</f>
        <v>Sharjah</v>
      </c>
      <c r="B7261" s="2" t="str">
        <f ca="1">IFERROR(__xludf.DUMMYFUNCTION("""COMPUTED_VALUE"""),"Raseel")</f>
        <v>Raseel</v>
      </c>
      <c r="C7261" s="2" t="str">
        <f ca="1">IFERROR(__xludf.DUMMYFUNCTION("""COMPUTED_VALUE"""),"Cluster")</f>
        <v>Cluster</v>
      </c>
      <c r="D7261" s="2" t="str">
        <f ca="1">IFERROR(__xludf.DUMMYFUNCTION("""COMPUTED_VALUE"""),"Sharjah&gt;Muwaileh&gt;Al Mamsha&gt;Raseel")</f>
        <v>Sharjah&gt;Muwaileh&gt;Al Mamsha&gt;Raseel</v>
      </c>
      <c r="E7261" s="2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</row>
    <row r="7262" spans="1:26" ht="16.5" x14ac:dyDescent="0.35">
      <c r="A7262" s="2" t="str">
        <f ca="1">IFERROR(__xludf.DUMMYFUNCTION("""COMPUTED_VALUE"""),"Sharjah")</f>
        <v>Sharjah</v>
      </c>
      <c r="B7262" s="2" t="str">
        <f ca="1">IFERROR(__xludf.DUMMYFUNCTION("""COMPUTED_VALUE"""),"Zohour 2")</f>
        <v>Zohour 2</v>
      </c>
      <c r="C7262" s="2" t="str">
        <f ca="1">IFERROR(__xludf.DUMMYFUNCTION("""COMPUTED_VALUE"""),"Building")</f>
        <v>Building</v>
      </c>
      <c r="D7262" s="2" t="str">
        <f ca="1">IFERROR(__xludf.DUMMYFUNCTION("""COMPUTED_VALUE"""),"Sharjah&gt;Muwaileh&gt;Al Zahia&gt;UpTown Al Zahia&gt;Zohour&gt;Zohour 2")</f>
        <v>Sharjah&gt;Muwaileh&gt;Al Zahia&gt;UpTown Al Zahia&gt;Zohour&gt;Zohour 2</v>
      </c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</row>
    <row r="7263" spans="1:26" ht="16.5" x14ac:dyDescent="0.35">
      <c r="A7263" s="2" t="str">
        <f ca="1">IFERROR(__xludf.DUMMYFUNCTION("""COMPUTED_VALUE"""),"Sharjah")</f>
        <v>Sharjah</v>
      </c>
      <c r="B7263" s="2" t="str">
        <f ca="1">IFERROR(__xludf.DUMMYFUNCTION("""COMPUTED_VALUE"""),"Rosary Private School")</f>
        <v>Rosary Private School</v>
      </c>
      <c r="C7263" s="2" t="str">
        <f ca="1">IFERROR(__xludf.DUMMYFUNCTION("""COMPUTED_VALUE"""),"School")</f>
        <v>School</v>
      </c>
      <c r="D7263" s="2" t="str">
        <f ca="1">IFERROR(__xludf.DUMMYFUNCTION("""COMPUTED_VALUE"""),"Sharjah&gt;Muwaileh Commercial&gt;Rosary Private School")</f>
        <v>Sharjah&gt;Muwaileh Commercial&gt;Rosary Private School</v>
      </c>
      <c r="E7263" s="2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</row>
    <row r="7264" spans="1:26" ht="16.5" x14ac:dyDescent="0.35">
      <c r="A7264" s="2" t="str">
        <f ca="1">IFERROR(__xludf.DUMMYFUNCTION("""COMPUTED_VALUE"""),"Sharjah")</f>
        <v>Sharjah</v>
      </c>
      <c r="B7264" s="2" t="str">
        <f ca="1">IFERROR(__xludf.DUMMYFUNCTION("""COMPUTED_VALUE"""),"Asala Building")</f>
        <v>Asala Building</v>
      </c>
      <c r="C7264" s="2" t="str">
        <f ca="1">IFERROR(__xludf.DUMMYFUNCTION("""COMPUTED_VALUE"""),"Building")</f>
        <v>Building</v>
      </c>
      <c r="D7264" s="2" t="str">
        <f ca="1">IFERROR(__xludf.DUMMYFUNCTION("""COMPUTED_VALUE"""),"Sharjah&gt;Muwaileh Commercial&gt;Asala Building")</f>
        <v>Sharjah&gt;Muwaileh Commercial&gt;Asala Building</v>
      </c>
      <c r="E7264" s="2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</row>
    <row r="7265" spans="1:26" ht="16.5" x14ac:dyDescent="0.35">
      <c r="A7265" s="2" t="str">
        <f ca="1">IFERROR(__xludf.DUMMYFUNCTION("""COMPUTED_VALUE"""),"Sharjah")</f>
        <v>Sharjah</v>
      </c>
      <c r="B7265" s="2" t="str">
        <f ca="1">IFERROR(__xludf.DUMMYFUNCTION("""COMPUTED_VALUE"""),"Building 1841")</f>
        <v>Building 1841</v>
      </c>
      <c r="C7265" s="2" t="str">
        <f ca="1">IFERROR(__xludf.DUMMYFUNCTION("""COMPUTED_VALUE"""),"Building")</f>
        <v>Building</v>
      </c>
      <c r="D7265" s="2" t="str">
        <f ca="1">IFERROR(__xludf.DUMMYFUNCTION("""COMPUTED_VALUE"""),"Sharjah&gt;Muwaileh Commercial&gt;Building 1841")</f>
        <v>Sharjah&gt;Muwaileh Commercial&gt;Building 1841</v>
      </c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</row>
    <row r="7266" spans="1:26" ht="16.5" x14ac:dyDescent="0.35">
      <c r="A7266" s="2" t="str">
        <f ca="1">IFERROR(__xludf.DUMMYFUNCTION("""COMPUTED_VALUE"""),"Al Ain")</f>
        <v>Al Ain</v>
      </c>
      <c r="B7266" s="2" t="str">
        <f ca="1">IFERROR(__xludf.DUMMYFUNCTION("""COMPUTED_VALUE"""),"Tmkn Village")</f>
        <v>Tmkn Village</v>
      </c>
      <c r="C7266" s="2"/>
      <c r="D7266" s="2" t="str">
        <f ca="1">IFERROR(__xludf.DUMMYFUNCTION("""COMPUTED_VALUE"""),"Al Ain&gt;Asharij&gt;Tmkn Village")</f>
        <v>Al Ain&gt;Asharij&gt;Tmkn Village</v>
      </c>
      <c r="E7266" s="2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</row>
    <row r="7267" spans="1:26" ht="16.5" x14ac:dyDescent="0.35">
      <c r="A7267" s="2" t="str">
        <f ca="1">IFERROR(__xludf.DUMMYFUNCTION("""COMPUTED_VALUE"""),"Al Ain")</f>
        <v>Al Ain</v>
      </c>
      <c r="B7267" s="2" t="str">
        <f ca="1">IFERROR(__xludf.DUMMYFUNCTION("""COMPUTED_VALUE"""),"Al Reem Complex Block A")</f>
        <v>Al Reem Complex Block A</v>
      </c>
      <c r="C7267" s="2" t="str">
        <f ca="1">IFERROR(__xludf.DUMMYFUNCTION("""COMPUTED_VALUE"""),"Building")</f>
        <v>Building</v>
      </c>
      <c r="D7267" s="2" t="str">
        <f ca="1">IFERROR(__xludf.DUMMYFUNCTION("""COMPUTED_VALUE"""),"Al Ain&gt;Central District&gt;Al Rubainah&gt;Al Reem Complex&gt;Al Reem Complex Block A")</f>
        <v>Al Ain&gt;Central District&gt;Al Rubainah&gt;Al Reem Complex&gt;Al Reem Complex Block A</v>
      </c>
      <c r="E7267" s="2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</row>
    <row r="7268" spans="1:26" ht="16.5" x14ac:dyDescent="0.35">
      <c r="A7268" s="2" t="str">
        <f ca="1">IFERROR(__xludf.DUMMYFUNCTION("""COMPUTED_VALUE"""),"Al Ain")</f>
        <v>Al Ain</v>
      </c>
      <c r="B7268" s="2" t="str">
        <f ca="1">IFERROR(__xludf.DUMMYFUNCTION("""COMPUTED_VALUE"""),"Al Sidrah")</f>
        <v>Al Sidrah</v>
      </c>
      <c r="C7268" s="2" t="str">
        <f ca="1">IFERROR(__xludf.DUMMYFUNCTION("""COMPUTED_VALUE"""),"Neighbourhood")</f>
        <v>Neighbourhood</v>
      </c>
      <c r="D7268" s="2" t="str">
        <f ca="1">IFERROR(__xludf.DUMMYFUNCTION("""COMPUTED_VALUE"""),"Al Ain&gt;Al Khibeesi&gt;Al Sidrah")</f>
        <v>Al Ain&gt;Al Khibeesi&gt;Al Sidrah</v>
      </c>
      <c r="E7268" s="2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</row>
    <row r="7269" spans="1:26" ht="16.5" x14ac:dyDescent="0.35">
      <c r="A7269" s="2" t="str">
        <f ca="1">IFERROR(__xludf.DUMMYFUNCTION("""COMPUTED_VALUE"""),"Al Ain")</f>
        <v>Al Ain</v>
      </c>
      <c r="B7269" s="2" t="str">
        <f ca="1">IFERROR(__xludf.DUMMYFUNCTION("""COMPUTED_VALUE"""),"Al Bateen")</f>
        <v>Al Bateen</v>
      </c>
      <c r="C7269" s="2" t="str">
        <f ca="1">IFERROR(__xludf.DUMMYFUNCTION("""COMPUTED_VALUE"""),"Neighbourhood")</f>
        <v>Neighbourhood</v>
      </c>
      <c r="D7269" s="2" t="str">
        <f ca="1">IFERROR(__xludf.DUMMYFUNCTION("""COMPUTED_VALUE"""),"Al Ain&gt;Al Bateen")</f>
        <v>Al Ain&gt;Al Bateen</v>
      </c>
      <c r="E7269" s="2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</row>
    <row r="7270" spans="1:26" ht="16.5" x14ac:dyDescent="0.35">
      <c r="A7270" s="2" t="str">
        <f ca="1">IFERROR(__xludf.DUMMYFUNCTION("""COMPUTED_VALUE"""),"Al Ain")</f>
        <v>Al Ain</v>
      </c>
      <c r="B7270" s="2" t="str">
        <f ca="1">IFERROR(__xludf.DUMMYFUNCTION("""COMPUTED_VALUE"""),"Zakher Private School Al Ain - British Division")</f>
        <v>Zakher Private School Al Ain - British Division</v>
      </c>
      <c r="C7270" s="2" t="str">
        <f ca="1">IFERROR(__xludf.DUMMYFUNCTION("""COMPUTED_VALUE"""),"School")</f>
        <v>School</v>
      </c>
      <c r="D7270" s="2" t="str">
        <f ca="1">IFERROR(__xludf.DUMMYFUNCTION("""COMPUTED_VALUE"""),"Al Ain&gt;Falaj Hazzaa&gt;Zakher Private School Al Ain - British Division")</f>
        <v>Al Ain&gt;Falaj Hazzaa&gt;Zakher Private School Al Ain - British Division</v>
      </c>
      <c r="E7270" s="2"/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</row>
    <row r="7271" spans="1:26" ht="16.5" x14ac:dyDescent="0.35">
      <c r="A7271" s="2" t="str">
        <f ca="1">IFERROR(__xludf.DUMMYFUNCTION("""COMPUTED_VALUE"""),"Al Ain")</f>
        <v>Al Ain</v>
      </c>
      <c r="B7271" s="2" t="str">
        <f ca="1">IFERROR(__xludf.DUMMYFUNCTION("""COMPUTED_VALUE"""),"Al Naglah")</f>
        <v>Al Naglah</v>
      </c>
      <c r="C7271" s="2" t="str">
        <f ca="1">IFERROR(__xludf.DUMMYFUNCTION("""COMPUTED_VALUE"""),"Neighbourhood")</f>
        <v>Neighbourhood</v>
      </c>
      <c r="D7271" s="2" t="str">
        <f ca="1">IFERROR(__xludf.DUMMYFUNCTION("""COMPUTED_VALUE"""),"Al Ain&gt;Al Ain Industrial Area&gt;Al Naglah")</f>
        <v>Al Ain&gt;Al Ain Industrial Area&gt;Al Naglah</v>
      </c>
      <c r="E7271" s="2"/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</row>
    <row r="7272" spans="1:26" ht="16.5" x14ac:dyDescent="0.35">
      <c r="A7272" s="2" t="str">
        <f ca="1">IFERROR(__xludf.DUMMYFUNCTION("""COMPUTED_VALUE"""),"Ras Al Khaimah")</f>
        <v>Ras Al Khaimah</v>
      </c>
      <c r="B7272" s="2" t="str">
        <f ca="1">IFERROR(__xludf.DUMMYFUNCTION("""COMPUTED_VALUE"""),"Ras Al Khaimah")</f>
        <v>Ras Al Khaimah</v>
      </c>
      <c r="C7272" s="2" t="str">
        <f ca="1">IFERROR(__xludf.DUMMYFUNCTION("""COMPUTED_VALUE"""),"Emirate")</f>
        <v>Emirate</v>
      </c>
      <c r="D7272" s="2" t="str">
        <f ca="1">IFERROR(__xludf.DUMMYFUNCTION("""COMPUTED_VALUE"""),"Ras Al Khaimah")</f>
        <v>Ras Al Khaimah</v>
      </c>
      <c r="E7272" s="2"/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</row>
    <row r="7273" spans="1:26" ht="16.5" x14ac:dyDescent="0.35">
      <c r="A7273" s="2" t="str">
        <f ca="1">IFERROR(__xludf.DUMMYFUNCTION("""COMPUTED_VALUE"""),"Ras Al Khaimah")</f>
        <v>Ras Al Khaimah</v>
      </c>
      <c r="B7273" s="2" t="str">
        <f ca="1">IFERROR(__xludf.DUMMYFUNCTION("""COMPUTED_VALUE"""),"Marbella Villas II")</f>
        <v>Marbella Villas II</v>
      </c>
      <c r="C7273" s="2" t="str">
        <f ca="1">IFERROR(__xludf.DUMMYFUNCTION("""COMPUTED_VALUE"""),"Neighbourhood")</f>
        <v>Neighbourhood</v>
      </c>
      <c r="D7273" s="2" t="str">
        <f ca="1">IFERROR(__xludf.DUMMYFUNCTION("""COMPUTED_VALUE"""),"Ras Al Khaimah&gt;Mina Al Arab&gt;Marbella Villas II")</f>
        <v>Ras Al Khaimah&gt;Mina Al Arab&gt;Marbella Villas II</v>
      </c>
      <c r="E7273" s="2"/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</row>
    <row r="7274" spans="1:26" ht="16.5" x14ac:dyDescent="0.35">
      <c r="A7274" s="2" t="str">
        <f ca="1">IFERROR(__xludf.DUMMYFUNCTION("""COMPUTED_VALUE"""),"Ras Al Khaimah")</f>
        <v>Ras Al Khaimah</v>
      </c>
      <c r="B7274" s="2" t="str">
        <f ca="1">IFERROR(__xludf.DUMMYFUNCTION("""COMPUTED_VALUE"""),"Nikki Beach Residences")</f>
        <v>Nikki Beach Residences</v>
      </c>
      <c r="C7274" s="2" t="str">
        <f ca="1">IFERROR(__xludf.DUMMYFUNCTION("""COMPUTED_VALUE"""),"Building")</f>
        <v>Building</v>
      </c>
      <c r="D7274" s="2" t="str">
        <f ca="1">IFERROR(__xludf.DUMMYFUNCTION("""COMPUTED_VALUE"""),"Ras Al Khaimah&gt;Al Marjan Island&gt;Nikki Beach Residences")</f>
        <v>Ras Al Khaimah&gt;Al Marjan Island&gt;Nikki Beach Residences</v>
      </c>
      <c r="E7274" s="2"/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</row>
    <row r="7275" spans="1:26" ht="16.5" x14ac:dyDescent="0.35">
      <c r="A7275" s="2" t="str">
        <f ca="1">IFERROR(__xludf.DUMMYFUNCTION("""COMPUTED_VALUE"""),"Ras Al Khaimah")</f>
        <v>Ras Al Khaimah</v>
      </c>
      <c r="B7275" s="2" t="str">
        <f ca="1">IFERROR(__xludf.DUMMYFUNCTION("""COMPUTED_VALUE"""),"Costa Mare Tower 1")</f>
        <v>Costa Mare Tower 1</v>
      </c>
      <c r="C7275" s="2" t="str">
        <f ca="1">IFERROR(__xludf.DUMMYFUNCTION("""COMPUTED_VALUE"""),"Building")</f>
        <v>Building</v>
      </c>
      <c r="D7275" s="2" t="str">
        <f ca="1">IFERROR(__xludf.DUMMYFUNCTION("""COMPUTED_VALUE"""),"Ras Al Khaimah&gt;Al Marjan Island&gt;Costa Mare&gt;Costa Mare Tower 1")</f>
        <v>Ras Al Khaimah&gt;Al Marjan Island&gt;Costa Mare&gt;Costa Mare Tower 1</v>
      </c>
      <c r="E7275" s="2"/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</row>
    <row r="7276" spans="1:26" ht="16.5" x14ac:dyDescent="0.35">
      <c r="A7276" s="2" t="str">
        <f ca="1">IFERROR(__xludf.DUMMYFUNCTION("""COMPUTED_VALUE"""),"Ras Al Khaimah")</f>
        <v>Ras Al Khaimah</v>
      </c>
      <c r="B7276" s="2" t="str">
        <f ca="1">IFERROR(__xludf.DUMMYFUNCTION("""COMPUTED_VALUE"""),"Marina Apartment F")</f>
        <v>Marina Apartment F</v>
      </c>
      <c r="C7276" s="2" t="str">
        <f ca="1">IFERROR(__xludf.DUMMYFUNCTION("""COMPUTED_VALUE"""),"Building")</f>
        <v>Building</v>
      </c>
      <c r="D7276" s="2" t="str">
        <f ca="1">IFERROR(__xludf.DUMMYFUNCTION("""COMPUTED_VALUE"""),"Ras Al Khaimah&gt;Al Hamra Village&gt;Al Hamra Marina Residences&gt;Marina Apartment F")</f>
        <v>Ras Al Khaimah&gt;Al Hamra Village&gt;Al Hamra Marina Residences&gt;Marina Apartment F</v>
      </c>
      <c r="E7276" s="2"/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</row>
    <row r="7277" spans="1:26" ht="16.5" x14ac:dyDescent="0.35">
      <c r="A7277" s="2" t="str">
        <f ca="1">IFERROR(__xludf.DUMMYFUNCTION("""COMPUTED_VALUE"""),"Ras Al Khaimah")</f>
        <v>Ras Al Khaimah</v>
      </c>
      <c r="B7277" s="2" t="str">
        <f ca="1">IFERROR(__xludf.DUMMYFUNCTION("""COMPUTED_VALUE"""),"Soto Grande Tower I")</f>
        <v>Soto Grande Tower I</v>
      </c>
      <c r="C7277" s="2" t="str">
        <f ca="1">IFERROR(__xludf.DUMMYFUNCTION("""COMPUTED_VALUE"""),"Building")</f>
        <v>Building</v>
      </c>
      <c r="D7277" s="2" t="str">
        <f ca="1">IFERROR(__xludf.DUMMYFUNCTION("""COMPUTED_VALUE"""),"Ras Al Khaimah&gt;Al Hamra Village&gt;Soto Grande&gt;Soto Grande Tower I")</f>
        <v>Ras Al Khaimah&gt;Al Hamra Village&gt;Soto Grande&gt;Soto Grande Tower I</v>
      </c>
      <c r="E7277" s="2"/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</row>
    <row r="7278" spans="1:26" ht="16.5" x14ac:dyDescent="0.35">
      <c r="A7278" s="2" t="str">
        <f ca="1">IFERROR(__xludf.DUMMYFUNCTION("""COMPUTED_VALUE"""),"Ras Al Khaimah")</f>
        <v>Ras Al Khaimah</v>
      </c>
      <c r="B7278" s="2" t="str">
        <f ca="1">IFERROR(__xludf.DUMMYFUNCTION("""COMPUTED_VALUE"""),"Al Refaa")</f>
        <v>Al Refaa</v>
      </c>
      <c r="C7278" s="2" t="str">
        <f ca="1">IFERROR(__xludf.DUMMYFUNCTION("""COMPUTED_VALUE"""),"Neighbourhood")</f>
        <v>Neighbourhood</v>
      </c>
      <c r="D7278" s="2" t="str">
        <f ca="1">IFERROR(__xludf.DUMMYFUNCTION("""COMPUTED_VALUE"""),"Ras Al Khaimah&gt;Al Refaa")</f>
        <v>Ras Al Khaimah&gt;Al Refaa</v>
      </c>
      <c r="E7278" s="2"/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</row>
    <row r="7279" spans="1:26" ht="16.5" x14ac:dyDescent="0.35">
      <c r="A7279" s="2" t="str">
        <f ca="1">IFERROR(__xludf.DUMMYFUNCTION("""COMPUTED_VALUE"""),"Ras Al Khaimah")</f>
        <v>Ras Al Khaimah</v>
      </c>
      <c r="B7279" s="2" t="str">
        <f ca="1">IFERROR(__xludf.DUMMYFUNCTION("""COMPUTED_VALUE"""),"Al Seer")</f>
        <v>Al Seer</v>
      </c>
      <c r="C7279" s="2" t="str">
        <f ca="1">IFERROR(__xludf.DUMMYFUNCTION("""COMPUTED_VALUE"""),"Neighbourhood")</f>
        <v>Neighbourhood</v>
      </c>
      <c r="D7279" s="2" t="str">
        <f ca="1">IFERROR(__xludf.DUMMYFUNCTION("""COMPUTED_VALUE"""),"Ras Al Khaimah&gt;Al Seer")</f>
        <v>Ras Al Khaimah&gt;Al Seer</v>
      </c>
      <c r="E7279" s="2"/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</row>
    <row r="7280" spans="1:26" ht="16.5" x14ac:dyDescent="0.35">
      <c r="A7280" s="2" t="str">
        <f ca="1">IFERROR(__xludf.DUMMYFUNCTION("""COMPUTED_VALUE"""),"Ras Al Khaimah")</f>
        <v>Ras Al Khaimah</v>
      </c>
      <c r="B7280" s="2" t="str">
        <f ca="1">IFERROR(__xludf.DUMMYFUNCTION("""COMPUTED_VALUE"""),"Khatt")</f>
        <v>Khatt</v>
      </c>
      <c r="C7280" s="2" t="str">
        <f ca="1">IFERROR(__xludf.DUMMYFUNCTION("""COMPUTED_VALUE"""),"Neighbourhood")</f>
        <v>Neighbourhood</v>
      </c>
      <c r="D7280" s="2" t="str">
        <f ca="1">IFERROR(__xludf.DUMMYFUNCTION("""COMPUTED_VALUE"""),"Ras Al Khaimah&gt;Khatt")</f>
        <v>Ras Al Khaimah&gt;Khatt</v>
      </c>
      <c r="E7280" s="2"/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</row>
    <row r="7281" spans="1:26" ht="16.5" x14ac:dyDescent="0.35">
      <c r="A7281" s="2" t="str">
        <f ca="1">IFERROR(__xludf.DUMMYFUNCTION("""COMPUTED_VALUE"""),"Ras Al Khaimah")</f>
        <v>Ras Al Khaimah</v>
      </c>
      <c r="B7281" s="2" t="str">
        <f ca="1">IFERROR(__xludf.DUMMYFUNCTION("""COMPUTED_VALUE"""),"Azure by Lapis")</f>
        <v>Azure by Lapis</v>
      </c>
      <c r="C7281" s="2" t="str">
        <f ca="1">IFERROR(__xludf.DUMMYFUNCTION("""COMPUTED_VALUE"""),"Building")</f>
        <v>Building</v>
      </c>
      <c r="D7281" s="2" t="str">
        <f ca="1">IFERROR(__xludf.DUMMYFUNCTION("""COMPUTED_VALUE"""),"Ras Al Khaimah&gt;RAK Central&gt;Azure by Lapis")</f>
        <v>Ras Al Khaimah&gt;RAK Central&gt;Azure by Lapis</v>
      </c>
      <c r="E7281" s="2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</row>
    <row r="7282" spans="1:26" ht="16.5" x14ac:dyDescent="0.35">
      <c r="A7282" s="2" t="str">
        <f ca="1">IFERROR(__xludf.DUMMYFUNCTION("""COMPUTED_VALUE"""),"Umm Al Quwain")</f>
        <v>Umm Al Quwain</v>
      </c>
      <c r="B7282" s="2" t="str">
        <f ca="1">IFERROR(__xludf.DUMMYFUNCTION("""COMPUTED_VALUE"""),"Al Humrah A")</f>
        <v>Al Humrah A</v>
      </c>
      <c r="C7282" s="2"/>
      <c r="D7282" s="2" t="str">
        <f ca="1">IFERROR(__xludf.DUMMYFUNCTION("""COMPUTED_VALUE"""),"Umm Al Quwain&gt;Al Humrah&gt;Al Humrah A")</f>
        <v>Umm Al Quwain&gt;Al Humrah&gt;Al Humrah A</v>
      </c>
      <c r="E7282" s="2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</row>
    <row r="7283" spans="1:26" ht="16.5" x14ac:dyDescent="0.35">
      <c r="A7283" s="2" t="str">
        <f ca="1">IFERROR(__xludf.DUMMYFUNCTION("""COMPUTED_VALUE"""),"Umm Al Quwain")</f>
        <v>Umm Al Quwain</v>
      </c>
      <c r="B7283" s="2" t="str">
        <f ca="1">IFERROR(__xludf.DUMMYFUNCTION("""COMPUTED_VALUE"""),"Al Abraq 1")</f>
        <v>Al Abraq 1</v>
      </c>
      <c r="C7283" s="2" t="str">
        <f ca="1">IFERROR(__xludf.DUMMYFUNCTION("""COMPUTED_VALUE"""),"Neighbourhood")</f>
        <v>Neighbourhood</v>
      </c>
      <c r="D7283" s="2" t="str">
        <f ca="1">IFERROR(__xludf.DUMMYFUNCTION("""COMPUTED_VALUE"""),"Umm Al Quwain&gt;Al Abraq 1")</f>
        <v>Umm Al Quwain&gt;Al Abraq 1</v>
      </c>
      <c r="E7283" s="2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</row>
    <row r="7284" spans="1:26" ht="16.5" x14ac:dyDescent="0.35">
      <c r="A7284" s="2" t="str">
        <f ca="1">IFERROR(__xludf.DUMMYFUNCTION("""COMPUTED_VALUE"""),"Umm Al Quwain")</f>
        <v>Umm Al Quwain</v>
      </c>
      <c r="B7284" s="2" t="str">
        <f ca="1">IFERROR(__xludf.DUMMYFUNCTION("""COMPUTED_VALUE"""),"Pierside Marina Residence")</f>
        <v>Pierside Marina Residence</v>
      </c>
      <c r="C7284" s="2" t="str">
        <f ca="1">IFERROR(__xludf.DUMMYFUNCTION("""COMPUTED_VALUE"""),"Cluster")</f>
        <v>Cluster</v>
      </c>
      <c r="D7284" s="2" t="str">
        <f ca="1">IFERROR(__xludf.DUMMYFUNCTION("""COMPUTED_VALUE"""),"Umm Al Quwain&gt;Al Seanneeah&gt;Sobha Siniya Island&gt;Pierside Marina Residence")</f>
        <v>Umm Al Quwain&gt;Al Seanneeah&gt;Sobha Siniya Island&gt;Pierside Marina Residence</v>
      </c>
      <c r="E7284" s="2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</row>
    <row r="7285" spans="1:26" ht="16.5" x14ac:dyDescent="0.35">
      <c r="A7285" s="2" t="str">
        <f ca="1">IFERROR(__xludf.DUMMYFUNCTION("""COMPUTED_VALUE"""),"Umm Al Quwain")</f>
        <v>Umm Al Quwain</v>
      </c>
      <c r="B7285" s="2" t="str">
        <f ca="1">IFERROR(__xludf.DUMMYFUNCTION("""COMPUTED_VALUE"""),"Al Rashidiya")</f>
        <v>Al Rashidiya</v>
      </c>
      <c r="C7285" s="2" t="str">
        <f ca="1">IFERROR(__xludf.DUMMYFUNCTION("""COMPUTED_VALUE"""),"Neighbourhood")</f>
        <v>Neighbourhood</v>
      </c>
      <c r="D7285" s="2" t="str">
        <f ca="1">IFERROR(__xludf.DUMMYFUNCTION("""COMPUTED_VALUE"""),"Umm Al Quwain&gt;Al Rashidiya")</f>
        <v>Umm Al Quwain&gt;Al Rashidiya</v>
      </c>
      <c r="E7285" s="2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</row>
    <row r="7286" spans="1:26" ht="16.5" x14ac:dyDescent="0.35">
      <c r="A7286" s="2" t="str">
        <f ca="1">IFERROR(__xludf.DUMMYFUNCTION("""COMPUTED_VALUE"""),"Fujairah")</f>
        <v>Fujairah</v>
      </c>
      <c r="B7286" s="2" t="str">
        <f ca="1">IFERROR(__xludf.DUMMYFUNCTION("""COMPUTED_VALUE"""),"Pakistan Islamia Higher Secondary School, Fujairah")</f>
        <v>Pakistan Islamia Higher Secondary School, Fujairah</v>
      </c>
      <c r="C7286" s="2" t="str">
        <f ca="1">IFERROR(__xludf.DUMMYFUNCTION("""COMPUTED_VALUE"""),"School")</f>
        <v>School</v>
      </c>
      <c r="D7286" s="2" t="str">
        <f ca="1">IFERROR(__xludf.DUMMYFUNCTION("""COMPUTED_VALUE"""),"Fujairah&gt;Al Faseel Area&gt;Pakistan Islamia Higher Secondary School, Fujairah")</f>
        <v>Fujairah&gt;Al Faseel Area&gt;Pakistan Islamia Higher Secondary School, Fujairah</v>
      </c>
      <c r="E7286" s="2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</row>
    <row r="7287" spans="1:26" ht="16.5" x14ac:dyDescent="0.35">
      <c r="A7287" s="2" t="str">
        <f ca="1">IFERROR(__xludf.DUMMYFUNCTION("""COMPUTED_VALUE"""),"Fujairah")</f>
        <v>Fujairah</v>
      </c>
      <c r="B7287" s="2" t="str">
        <f ca="1">IFERROR(__xludf.DUMMYFUNCTION("""COMPUTED_VALUE"""),"Siji Residence 2")</f>
        <v>Siji Residence 2</v>
      </c>
      <c r="C7287" s="2" t="str">
        <f ca="1">IFERROR(__xludf.DUMMYFUNCTION("""COMPUTED_VALUE"""),"Building")</f>
        <v>Building</v>
      </c>
      <c r="D7287" s="2" t="str">
        <f ca="1">IFERROR(__xludf.DUMMYFUNCTION("""COMPUTED_VALUE"""),"Fujairah&gt;Town Centre&gt;Siji Residences&gt;Siji Residence 2")</f>
        <v>Fujairah&gt;Town Centre&gt;Siji Residences&gt;Siji Residence 2</v>
      </c>
      <c r="E7287" s="2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</row>
    <row r="7288" spans="1:26" ht="16.5" x14ac:dyDescent="0.35">
      <c r="A7288" s="2" t="str">
        <f ca="1">IFERROR(__xludf.DUMMYFUNCTION("""COMPUTED_VALUE"""),"Dubai")</f>
        <v>Dubai</v>
      </c>
      <c r="B7288" s="2" t="str">
        <f ca="1">IFERROR(__xludf.DUMMYFUNCTION("""COMPUTED_VALUE"""),"Tulip")</f>
        <v>Tulip</v>
      </c>
      <c r="C7288" s="2" t="str">
        <f ca="1">IFERROR(__xludf.DUMMYFUNCTION("""COMPUTED_VALUE"""),"Building")</f>
        <v>Building</v>
      </c>
      <c r="D7288" s="2" t="str">
        <f ca="1">IFERROR(__xludf.DUMMYFUNCTION("""COMPUTED_VALUE"""),"Dubai&gt;Za'abeel&gt;Za'abeel 2&gt;Al Murooj Complex&gt;Tulip")</f>
        <v>Dubai&gt;Za'abeel&gt;Za'abeel 2&gt;Al Murooj Complex&gt;Tulip</v>
      </c>
      <c r="E7288" s="2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</row>
    <row r="7289" spans="1:26" ht="16.5" x14ac:dyDescent="0.35">
      <c r="A7289" s="2" t="str">
        <f ca="1">IFERROR(__xludf.DUMMYFUNCTION("""COMPUTED_VALUE"""),"Dubai")</f>
        <v>Dubai</v>
      </c>
      <c r="B7289" s="2" t="str">
        <f ca="1">IFERROR(__xludf.DUMMYFUNCTION("""COMPUTED_VALUE"""),"Samari Residences 5")</f>
        <v>Samari Residences 5</v>
      </c>
      <c r="C7289" s="2" t="str">
        <f ca="1">IFERROR(__xludf.DUMMYFUNCTION("""COMPUTED_VALUE"""),"Building")</f>
        <v>Building</v>
      </c>
      <c r="D7289" s="2" t="str">
        <f ca="1">IFERROR(__xludf.DUMMYFUNCTION("""COMPUTED_VALUE"""),"Dubai&gt;Ras Al Khor&gt;Ras Al Khor Industrial&gt;Ras Al Khor Industrial 3&gt;Samari Residences&gt;Samari Residences 5")</f>
        <v>Dubai&gt;Ras Al Khor&gt;Ras Al Khor Industrial&gt;Ras Al Khor Industrial 3&gt;Samari Residences&gt;Samari Residences 5</v>
      </c>
      <c r="E7289" s="2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</row>
    <row r="7290" spans="1:26" ht="16.5" x14ac:dyDescent="0.35">
      <c r="A7290" s="2" t="str">
        <f ca="1">IFERROR(__xludf.DUMMYFUNCTION("""COMPUTED_VALUE"""),"Dubai")</f>
        <v>Dubai</v>
      </c>
      <c r="B7290" s="2" t="str">
        <f ca="1">IFERROR(__xludf.DUMMYFUNCTION("""COMPUTED_VALUE"""),"Downtown Jebel Ali")</f>
        <v>Downtown Jebel Ali</v>
      </c>
      <c r="C7290" s="2" t="str">
        <f ca="1">IFERROR(__xludf.DUMMYFUNCTION("""COMPUTED_VALUE"""),"Neighbourhood")</f>
        <v>Neighbourhood</v>
      </c>
      <c r="D7290" s="2" t="str">
        <f ca="1">IFERROR(__xludf.DUMMYFUNCTION("""COMPUTED_VALUE"""),"Dubai&gt;Jebel Ali&gt;Downtown Jebel Ali")</f>
        <v>Dubai&gt;Jebel Ali&gt;Downtown Jebel Ali</v>
      </c>
      <c r="E7290" s="2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</row>
    <row r="7291" spans="1:26" ht="16.5" x14ac:dyDescent="0.35">
      <c r="A7291" s="2" t="str">
        <f ca="1">IFERROR(__xludf.DUMMYFUNCTION("""COMPUTED_VALUE"""),"Dubai")</f>
        <v>Dubai</v>
      </c>
      <c r="B7291" s="2" t="str">
        <f ca="1">IFERROR(__xludf.DUMMYFUNCTION("""COMPUTED_VALUE"""),"Al Khayyal Labour Camp 104")</f>
        <v>Al Khayyal Labour Camp 104</v>
      </c>
      <c r="C7291" s="2" t="str">
        <f ca="1">IFERROR(__xludf.DUMMYFUNCTION("""COMPUTED_VALUE"""),"Building")</f>
        <v>Building</v>
      </c>
      <c r="D7291" s="2" t="str">
        <f ca="1">IFERROR(__xludf.DUMMYFUNCTION("""COMPUTED_VALUE"""),"Dubai&gt;Jebel Ali&gt;Jebel Ali Industrial Area&gt;Jebel Ali Industrial Area 1&gt;Al Khayyal Labour Camp 104")</f>
        <v>Dubai&gt;Jebel Ali&gt;Jebel Ali Industrial Area&gt;Jebel Ali Industrial Area 1&gt;Al Khayyal Labour Camp 104</v>
      </c>
      <c r="E7291" s="2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</row>
    <row r="7292" spans="1:26" ht="16.5" x14ac:dyDescent="0.35">
      <c r="A7292" s="2" t="str">
        <f ca="1">IFERROR(__xludf.DUMMYFUNCTION("""COMPUTED_VALUE"""),"Dubai")</f>
        <v>Dubai</v>
      </c>
      <c r="B7292" s="2" t="str">
        <f ca="1">IFERROR(__xludf.DUMMYFUNCTION("""COMPUTED_VALUE"""),"Nad Al Hamar Tower")</f>
        <v>Nad Al Hamar Tower</v>
      </c>
      <c r="C7292" s="2" t="str">
        <f ca="1">IFERROR(__xludf.DUMMYFUNCTION("""COMPUTED_VALUE"""),"Building")</f>
        <v>Building</v>
      </c>
      <c r="D7292" s="2" t="str">
        <f ca="1">IFERROR(__xludf.DUMMYFUNCTION("""COMPUTED_VALUE"""),"Dubai&gt;Nad Al Hamar&gt;Nad Al Hamar Tower")</f>
        <v>Dubai&gt;Nad Al Hamar&gt;Nad Al Hamar Tower</v>
      </c>
      <c r="E7292" s="2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</row>
    <row r="7293" spans="1:26" ht="16.5" x14ac:dyDescent="0.35">
      <c r="A7293" s="2" t="str">
        <f ca="1">IFERROR(__xludf.DUMMYFUNCTION("""COMPUTED_VALUE"""),"Dubai")</f>
        <v>Dubai</v>
      </c>
      <c r="B7293" s="2" t="str">
        <f ca="1">IFERROR(__xludf.DUMMYFUNCTION("""COMPUTED_VALUE"""),"Al Ghazal Complex")</f>
        <v>Al Ghazal Complex</v>
      </c>
      <c r="C7293" s="2" t="str">
        <f ca="1">IFERROR(__xludf.DUMMYFUNCTION("""COMPUTED_VALUE"""),"Building")</f>
        <v>Building</v>
      </c>
      <c r="D7293" s="2" t="str">
        <f ca="1">IFERROR(__xludf.DUMMYFUNCTION("""COMPUTED_VALUE"""),"Dubai&gt;Nad Al Hamar&gt;Al Ghazal Complex")</f>
        <v>Dubai&gt;Nad Al Hamar&gt;Al Ghazal Complex</v>
      </c>
      <c r="E7293" s="2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</row>
    <row r="7294" spans="1:26" ht="16.5" x14ac:dyDescent="0.35">
      <c r="A7294" s="2" t="str">
        <f ca="1">IFERROR(__xludf.DUMMYFUNCTION("""COMPUTED_VALUE"""),"Dubai")</f>
        <v>Dubai</v>
      </c>
      <c r="B7294" s="2" t="str">
        <f ca="1">IFERROR(__xludf.DUMMYFUNCTION("""COMPUTED_VALUE"""),"Nopoli Tower")</f>
        <v>Nopoli Tower</v>
      </c>
      <c r="C7294" s="2" t="str">
        <f ca="1">IFERROR(__xludf.DUMMYFUNCTION("""COMPUTED_VALUE"""),"Building")</f>
        <v>Building</v>
      </c>
      <c r="D7294" s="2" t="str">
        <f ca="1">IFERROR(__xludf.DUMMYFUNCTION("""COMPUTED_VALUE"""),"Dubai&gt;Al Barsha&gt;Al Barsha 1&gt;Nopoli Tower")</f>
        <v>Dubai&gt;Al Barsha&gt;Al Barsha 1&gt;Nopoli Tower</v>
      </c>
      <c r="E7294" s="2"/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</row>
    <row r="7295" spans="1:26" ht="16.5" x14ac:dyDescent="0.35">
      <c r="A7295" s="2" t="str">
        <f ca="1">IFERROR(__xludf.DUMMYFUNCTION("""COMPUTED_VALUE"""),"Dubai")</f>
        <v>Dubai</v>
      </c>
      <c r="B7295" s="2" t="str">
        <f ca="1">IFERROR(__xludf.DUMMYFUNCTION("""COMPUTED_VALUE"""),"Barsha Modern")</f>
        <v>Barsha Modern</v>
      </c>
      <c r="C7295" s="2" t="str">
        <f ca="1">IFERROR(__xludf.DUMMYFUNCTION("""COMPUTED_VALUE"""),"Cluster")</f>
        <v>Cluster</v>
      </c>
      <c r="D7295" s="2" t="str">
        <f ca="1">IFERROR(__xludf.DUMMYFUNCTION("""COMPUTED_VALUE"""),"Dubai&gt;Al Barsha&gt;Al Barsha 1&gt;Barsha Modern")</f>
        <v>Dubai&gt;Al Barsha&gt;Al Barsha 1&gt;Barsha Modern</v>
      </c>
      <c r="E7295" s="2"/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</row>
    <row r="7296" spans="1:26" ht="16.5" x14ac:dyDescent="0.35">
      <c r="A7296" s="2" t="str">
        <f ca="1">IFERROR(__xludf.DUMMYFUNCTION("""COMPUTED_VALUE"""),"Dubai")</f>
        <v>Dubai</v>
      </c>
      <c r="B7296" s="2" t="str">
        <f ca="1">IFERROR(__xludf.DUMMYFUNCTION("""COMPUTED_VALUE"""),"Al Barsha Building")</f>
        <v>Al Barsha Building</v>
      </c>
      <c r="C7296" s="2" t="str">
        <f ca="1">IFERROR(__xludf.DUMMYFUNCTION("""COMPUTED_VALUE"""),"Building")</f>
        <v>Building</v>
      </c>
      <c r="D7296" s="2" t="str">
        <f ca="1">IFERROR(__xludf.DUMMYFUNCTION("""COMPUTED_VALUE"""),"Dubai&gt;Al Barsha&gt;Al Barsha 1&gt;Al Barsha Building")</f>
        <v>Dubai&gt;Al Barsha&gt;Al Barsha 1&gt;Al Barsha Building</v>
      </c>
      <c r="E7296" s="2"/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</row>
    <row r="7297" spans="1:26" ht="16.5" x14ac:dyDescent="0.35">
      <c r="A7297" s="2" t="str">
        <f ca="1">IFERROR(__xludf.DUMMYFUNCTION("""COMPUTED_VALUE"""),"Dubai")</f>
        <v>Dubai</v>
      </c>
      <c r="B7297" s="2" t="str">
        <f ca="1">IFERROR(__xludf.DUMMYFUNCTION("""COMPUTED_VALUE"""),"Hatan Tower")</f>
        <v>Hatan Tower</v>
      </c>
      <c r="C7297" s="2" t="str">
        <f ca="1">IFERROR(__xludf.DUMMYFUNCTION("""COMPUTED_VALUE"""),"Building")</f>
        <v>Building</v>
      </c>
      <c r="D7297" s="2" t="str">
        <f ca="1">IFERROR(__xludf.DUMMYFUNCTION("""COMPUTED_VALUE"""),"Dubai&gt;Al Barsha&gt;Al Barsha 1&gt;Hatan Tower")</f>
        <v>Dubai&gt;Al Barsha&gt;Al Barsha 1&gt;Hatan Tower</v>
      </c>
      <c r="E7297" s="2"/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</row>
    <row r="7298" spans="1:26" ht="16.5" x14ac:dyDescent="0.35">
      <c r="A7298" s="2" t="str">
        <f ca="1">IFERROR(__xludf.DUMMYFUNCTION("""COMPUTED_VALUE"""),"Dubai")</f>
        <v>Dubai</v>
      </c>
      <c r="B7298" s="2" t="str">
        <f ca="1">IFERROR(__xludf.DUMMYFUNCTION("""COMPUTED_VALUE"""),"Citymax Hotel")</f>
        <v>Citymax Hotel</v>
      </c>
      <c r="C7298" s="2" t="str">
        <f ca="1">IFERROR(__xludf.DUMMYFUNCTION("""COMPUTED_VALUE"""),"Building")</f>
        <v>Building</v>
      </c>
      <c r="D7298" s="2" t="str">
        <f ca="1">IFERROR(__xludf.DUMMYFUNCTION("""COMPUTED_VALUE"""),"Dubai&gt;Al Barsha&gt;Al Barsha 1&gt;Citymax Hotel")</f>
        <v>Dubai&gt;Al Barsha&gt;Al Barsha 1&gt;Citymax Hotel</v>
      </c>
      <c r="E7298" s="2"/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</row>
    <row r="7299" spans="1:26" ht="16.5" x14ac:dyDescent="0.35">
      <c r="A7299" s="2" t="str">
        <f ca="1">IFERROR(__xludf.DUMMYFUNCTION("""COMPUTED_VALUE"""),"Dubai")</f>
        <v>Dubai</v>
      </c>
      <c r="B7299" s="2" t="str">
        <f ca="1">IFERROR(__xludf.DUMMYFUNCTION("""COMPUTED_VALUE"""),"Falaknaz Building 1")</f>
        <v>Falaknaz Building 1</v>
      </c>
      <c r="C7299" s="2" t="str">
        <f ca="1">IFERROR(__xludf.DUMMYFUNCTION("""COMPUTED_VALUE"""),"Building")</f>
        <v>Building</v>
      </c>
      <c r="D7299" s="2" t="str">
        <f ca="1">IFERROR(__xludf.DUMMYFUNCTION("""COMPUTED_VALUE"""),"Dubai&gt;Al Barsha&gt;Al Barsha 1&gt;Falaknaz Building 1")</f>
        <v>Dubai&gt;Al Barsha&gt;Al Barsha 1&gt;Falaknaz Building 1</v>
      </c>
      <c r="E7299" s="2"/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</row>
    <row r="7300" spans="1:26" ht="16.5" x14ac:dyDescent="0.35">
      <c r="A7300" s="2" t="str">
        <f ca="1">IFERROR(__xludf.DUMMYFUNCTION("""COMPUTED_VALUE"""),"Dubai")</f>
        <v>Dubai</v>
      </c>
      <c r="B7300" s="2" t="str">
        <f ca="1">IFERROR(__xludf.DUMMYFUNCTION("""COMPUTED_VALUE"""),"Palacio Residence")</f>
        <v>Palacio Residence</v>
      </c>
      <c r="C7300" s="2" t="str">
        <f ca="1">IFERROR(__xludf.DUMMYFUNCTION("""COMPUTED_VALUE"""),"Building")</f>
        <v>Building</v>
      </c>
      <c r="D7300" s="2" t="str">
        <f ca="1">IFERROR(__xludf.DUMMYFUNCTION("""COMPUTED_VALUE"""),"Dubai&gt;Al Barsha&gt;Al Barsha 1&gt;Palacio Residence")</f>
        <v>Dubai&gt;Al Barsha&gt;Al Barsha 1&gt;Palacio Residence</v>
      </c>
      <c r="E7300" s="2"/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</row>
    <row r="7301" spans="1:26" ht="16.5" x14ac:dyDescent="0.35">
      <c r="A7301" s="2" t="str">
        <f ca="1">IFERROR(__xludf.DUMMYFUNCTION("""COMPUTED_VALUE"""),"Dubai")</f>
        <v>Dubai</v>
      </c>
      <c r="B7301" s="2" t="str">
        <f ca="1">IFERROR(__xludf.DUMMYFUNCTION("""COMPUTED_VALUE"""),"Al Mheiri Building")</f>
        <v>Al Mheiri Building</v>
      </c>
      <c r="C7301" s="2" t="str">
        <f ca="1">IFERROR(__xludf.DUMMYFUNCTION("""COMPUTED_VALUE"""),"Building")</f>
        <v>Building</v>
      </c>
      <c r="D7301" s="2" t="str">
        <f ca="1">IFERROR(__xludf.DUMMYFUNCTION("""COMPUTED_VALUE"""),"Dubai&gt;Al Barsha&gt;Al Barsha 1&gt;Al Mheiri Building")</f>
        <v>Dubai&gt;Al Barsha&gt;Al Barsha 1&gt;Al Mheiri Building</v>
      </c>
      <c r="E7301" s="2"/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</row>
    <row r="7302" spans="1:26" ht="16.5" x14ac:dyDescent="0.35">
      <c r="A7302" s="2" t="str">
        <f ca="1">IFERROR(__xludf.DUMMYFUNCTION("""COMPUTED_VALUE"""),"Dubai")</f>
        <v>Dubai</v>
      </c>
      <c r="B7302" s="2" t="str">
        <f ca="1">IFERROR(__xludf.DUMMYFUNCTION("""COMPUTED_VALUE"""),"Al Shams Building")</f>
        <v>Al Shams Building</v>
      </c>
      <c r="C7302" s="2" t="str">
        <f ca="1">IFERROR(__xludf.DUMMYFUNCTION("""COMPUTED_VALUE"""),"Building")</f>
        <v>Building</v>
      </c>
      <c r="D7302" s="2" t="str">
        <f ca="1">IFERROR(__xludf.DUMMYFUNCTION("""COMPUTED_VALUE"""),"Dubai&gt;Al Barsha&gt;Al Barsha 1&gt;Al Shams Building")</f>
        <v>Dubai&gt;Al Barsha&gt;Al Barsha 1&gt;Al Shams Building</v>
      </c>
      <c r="E7302" s="2"/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</row>
    <row r="7303" spans="1:26" ht="16.5" x14ac:dyDescent="0.35">
      <c r="A7303" s="2" t="str">
        <f ca="1">IFERROR(__xludf.DUMMYFUNCTION("""COMPUTED_VALUE"""),"Dubai")</f>
        <v>Dubai</v>
      </c>
      <c r="B7303" s="2" t="str">
        <f ca="1">IFERROR(__xludf.DUMMYFUNCTION("""COMPUTED_VALUE"""),"GEMS Al Barsha National School for Boys")</f>
        <v>GEMS Al Barsha National School for Boys</v>
      </c>
      <c r="C7303" s="2" t="str">
        <f ca="1">IFERROR(__xludf.DUMMYFUNCTION("""COMPUTED_VALUE"""),"School")</f>
        <v>School</v>
      </c>
      <c r="D7303" s="2" t="str">
        <f ca="1">IFERROR(__xludf.DUMMYFUNCTION("""COMPUTED_VALUE"""),"Dubai&gt;Al Barsha&gt;Al Barsha 2&gt;GEMS Al Barsha National School for Boys")</f>
        <v>Dubai&gt;Al Barsha&gt;Al Barsha 2&gt;GEMS Al Barsha National School for Boys</v>
      </c>
      <c r="E7303" s="2"/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</row>
    <row r="7304" spans="1:26" ht="16.5" x14ac:dyDescent="0.35">
      <c r="A7304" s="2" t="str">
        <f ca="1">IFERROR(__xludf.DUMMYFUNCTION("""COMPUTED_VALUE"""),"Dubai")</f>
        <v>Dubai</v>
      </c>
      <c r="B7304" s="2" t="str">
        <f ca="1">IFERROR(__xludf.DUMMYFUNCTION("""COMPUTED_VALUE"""),"The Address Residence Sky View")</f>
        <v>The Address Residence Sky View</v>
      </c>
      <c r="C7304" s="2" t="str">
        <f ca="1">IFERROR(__xludf.DUMMYFUNCTION("""COMPUTED_VALUE"""),"Cluster")</f>
        <v>Cluster</v>
      </c>
      <c r="D7304" s="2" t="str">
        <f ca="1">IFERROR(__xludf.DUMMYFUNCTION("""COMPUTED_VALUE"""),"Dubai&gt;Downtown Dubai&gt;The Address Residence Sky View")</f>
        <v>Dubai&gt;Downtown Dubai&gt;The Address Residence Sky View</v>
      </c>
      <c r="E7304" s="2"/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</row>
    <row r="7305" spans="1:26" ht="16.5" x14ac:dyDescent="0.35">
      <c r="A7305" s="2" t="str">
        <f ca="1">IFERROR(__xludf.DUMMYFUNCTION("""COMPUTED_VALUE"""),"Dubai")</f>
        <v>Dubai</v>
      </c>
      <c r="B7305" s="2" t="str">
        <f ca="1">IFERROR(__xludf.DUMMYFUNCTION("""COMPUTED_VALUE"""),"The Residence 6")</f>
        <v>The Residence 6</v>
      </c>
      <c r="C7305" s="2" t="str">
        <f ca="1">IFERROR(__xludf.DUMMYFUNCTION("""COMPUTED_VALUE"""),"Building")</f>
        <v>Building</v>
      </c>
      <c r="D7305" s="2" t="str">
        <f ca="1">IFERROR(__xludf.DUMMYFUNCTION("""COMPUTED_VALUE"""),"Dubai&gt;Downtown Dubai&gt;The Residences&gt;The Residence 6")</f>
        <v>Dubai&gt;Downtown Dubai&gt;The Residences&gt;The Residence 6</v>
      </c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</row>
    <row r="7306" spans="1:26" ht="16.5" x14ac:dyDescent="0.35">
      <c r="A7306" s="2" t="str">
        <f ca="1">IFERROR(__xludf.DUMMYFUNCTION("""COMPUTED_VALUE"""),"Dubai")</f>
        <v>Dubai</v>
      </c>
      <c r="B7306" s="2" t="str">
        <f ca="1">IFERROR(__xludf.DUMMYFUNCTION("""COMPUTED_VALUE"""),"Boulevard Central 1")</f>
        <v>Boulevard Central 1</v>
      </c>
      <c r="C7306" s="2" t="str">
        <f ca="1">IFERROR(__xludf.DUMMYFUNCTION("""COMPUTED_VALUE"""),"Building")</f>
        <v>Building</v>
      </c>
      <c r="D7306" s="2" t="str">
        <f ca="1">IFERROR(__xludf.DUMMYFUNCTION("""COMPUTED_VALUE"""),"Dubai&gt;Downtown Dubai&gt;Boulevard Central&gt;Boulevard Central 1")</f>
        <v>Dubai&gt;Downtown Dubai&gt;Boulevard Central&gt;Boulevard Central 1</v>
      </c>
      <c r="E7306" s="2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</row>
    <row r="7307" spans="1:26" ht="16.5" x14ac:dyDescent="0.35">
      <c r="A7307" s="2" t="str">
        <f ca="1">IFERROR(__xludf.DUMMYFUNCTION("""COMPUTED_VALUE"""),"Dubai")</f>
        <v>Dubai</v>
      </c>
      <c r="B7307" s="2" t="str">
        <f ca="1">IFERROR(__xludf.DUMMYFUNCTION("""COMPUTED_VALUE"""),"Blossom Nursery Downtown Dubai")</f>
        <v>Blossom Nursery Downtown Dubai</v>
      </c>
      <c r="C7307" s="2" t="str">
        <f ca="1">IFERROR(__xludf.DUMMYFUNCTION("""COMPUTED_VALUE"""),"Nursery")</f>
        <v>Nursery</v>
      </c>
      <c r="D7307" s="2" t="str">
        <f ca="1">IFERROR(__xludf.DUMMYFUNCTION("""COMPUTED_VALUE"""),"Dubai&gt;Downtown Dubai&gt;Old Town&gt;Blossom Nursery Downtown Dubai")</f>
        <v>Dubai&gt;Downtown Dubai&gt;Old Town&gt;Blossom Nursery Downtown Dubai</v>
      </c>
      <c r="E7307" s="2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</row>
    <row r="7308" spans="1:26" ht="16.5" x14ac:dyDescent="0.35">
      <c r="A7308" s="2" t="str">
        <f ca="1">IFERROR(__xludf.DUMMYFUNCTION("""COMPUTED_VALUE"""),"Dubai")</f>
        <v>Dubai</v>
      </c>
      <c r="B7308" s="2" t="str">
        <f ca="1">IFERROR(__xludf.DUMMYFUNCTION("""COMPUTED_VALUE"""),"Zanzebeel 1")</f>
        <v>Zanzebeel 1</v>
      </c>
      <c r="C7308" s="2" t="str">
        <f ca="1">IFERROR(__xludf.DUMMYFUNCTION("""COMPUTED_VALUE"""),"Building")</f>
        <v>Building</v>
      </c>
      <c r="D7308" s="2" t="str">
        <f ca="1">IFERROR(__xludf.DUMMYFUNCTION("""COMPUTED_VALUE"""),"Dubai&gt;Downtown Dubai&gt;Old Town&gt;Zanzebeel&gt;Zanzebeel 1")</f>
        <v>Dubai&gt;Downtown Dubai&gt;Old Town&gt;Zanzebeel&gt;Zanzebeel 1</v>
      </c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</row>
    <row r="7309" spans="1:26" ht="16.5" x14ac:dyDescent="0.35">
      <c r="A7309" s="2" t="str">
        <f ca="1">IFERROR(__xludf.DUMMYFUNCTION("""COMPUTED_VALUE"""),"Dubai")</f>
        <v>Dubai</v>
      </c>
      <c r="B7309" s="2" t="str">
        <f ca="1">IFERROR(__xludf.DUMMYFUNCTION("""COMPUTED_VALUE"""),"Volta")</f>
        <v>Volta</v>
      </c>
      <c r="C7309" s="2" t="str">
        <f ca="1">IFERROR(__xludf.DUMMYFUNCTION("""COMPUTED_VALUE"""),"Building")</f>
        <v>Building</v>
      </c>
      <c r="D7309" s="2" t="str">
        <f ca="1">IFERROR(__xludf.DUMMYFUNCTION("""COMPUTED_VALUE"""),"Dubai&gt;Downtown Dubai&gt;Volta")</f>
        <v>Dubai&gt;Downtown Dubai&gt;Volta</v>
      </c>
      <c r="E7309" s="2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</row>
    <row r="7310" spans="1:26" ht="16.5" x14ac:dyDescent="0.35">
      <c r="A7310" s="2" t="str">
        <f ca="1">IFERROR(__xludf.DUMMYFUNCTION("""COMPUTED_VALUE"""),"Dubai")</f>
        <v>Dubai</v>
      </c>
      <c r="B7310" s="2" t="str">
        <f ca="1">IFERROR(__xludf.DUMMYFUNCTION("""COMPUTED_VALUE"""),"Liwan")</f>
        <v>Liwan</v>
      </c>
      <c r="C7310" s="2" t="str">
        <f ca="1">IFERROR(__xludf.DUMMYFUNCTION("""COMPUTED_VALUE"""),"Neighbourhood")</f>
        <v>Neighbourhood</v>
      </c>
      <c r="D7310" s="2" t="str">
        <f ca="1">IFERROR(__xludf.DUMMYFUNCTION("""COMPUTED_VALUE"""),"Dubai&gt;Liwan")</f>
        <v>Dubai&gt;Liwan</v>
      </c>
      <c r="E7310" s="2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</row>
    <row r="7311" spans="1:26" ht="16.5" x14ac:dyDescent="0.35">
      <c r="A7311" s="2" t="str">
        <f ca="1">IFERROR(__xludf.DUMMYFUNCTION("""COMPUTED_VALUE"""),"Dubai")</f>
        <v>Dubai</v>
      </c>
      <c r="B7311" s="2" t="str">
        <f ca="1">IFERROR(__xludf.DUMMYFUNCTION("""COMPUTED_VALUE"""),"Mazaya 21")</f>
        <v>Mazaya 21</v>
      </c>
      <c r="C7311" s="2" t="str">
        <f ca="1">IFERROR(__xludf.DUMMYFUNCTION("""COMPUTED_VALUE"""),"Building")</f>
        <v>Building</v>
      </c>
      <c r="D7311" s="2" t="str">
        <f ca="1">IFERROR(__xludf.DUMMYFUNCTION("""COMPUTED_VALUE"""),"Dubai&gt;Liwan&gt;Queue Point&gt;Mazaya 21")</f>
        <v>Dubai&gt;Liwan&gt;Queue Point&gt;Mazaya 21</v>
      </c>
      <c r="E7311" s="2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</row>
    <row r="7312" spans="1:26" ht="16.5" x14ac:dyDescent="0.35">
      <c r="A7312" s="2" t="str">
        <f ca="1">IFERROR(__xludf.DUMMYFUNCTION("""COMPUTED_VALUE"""),"Dubai")</f>
        <v>Dubai</v>
      </c>
      <c r="B7312" s="2" t="str">
        <f ca="1">IFERROR(__xludf.DUMMYFUNCTION("""COMPUTED_VALUE"""),"Alma Gardens")</f>
        <v>Alma Gardens</v>
      </c>
      <c r="C7312" s="2" t="str">
        <f ca="1">IFERROR(__xludf.DUMMYFUNCTION("""COMPUTED_VALUE"""),"Building")</f>
        <v>Building</v>
      </c>
      <c r="D7312" s="2" t="str">
        <f ca="1">IFERROR(__xludf.DUMMYFUNCTION("""COMPUTED_VALUE"""),"Dubai&gt;Liwan&gt;Alma Gardens")</f>
        <v>Dubai&gt;Liwan&gt;Alma Gardens</v>
      </c>
      <c r="E7312" s="2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</row>
    <row r="7313" spans="1:26" ht="16.5" x14ac:dyDescent="0.35">
      <c r="A7313" s="2" t="str">
        <f ca="1">IFERROR(__xludf.DUMMYFUNCTION("""COMPUTED_VALUE"""),"Dubai")</f>
        <v>Dubai</v>
      </c>
      <c r="B7313" s="2" t="str">
        <f ca="1">IFERROR(__xludf.DUMMYFUNCTION("""COMPUTED_VALUE"""),"Wasl P815 Jafiliya Shops")</f>
        <v>Wasl P815 Jafiliya Shops</v>
      </c>
      <c r="C7313" s="2" t="str">
        <f ca="1">IFERROR(__xludf.DUMMYFUNCTION("""COMPUTED_VALUE"""),"Building")</f>
        <v>Building</v>
      </c>
      <c r="D7313" s="2" t="str">
        <f ca="1">IFERROR(__xludf.DUMMYFUNCTION("""COMPUTED_VALUE"""),"Dubai&gt;Al Jafiliya&gt;Wasl P815 Jafiliya Shops")</f>
        <v>Dubai&gt;Al Jafiliya&gt;Wasl P815 Jafiliya Shops</v>
      </c>
      <c r="E7313" s="2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</row>
    <row r="7314" spans="1:26" ht="16.5" x14ac:dyDescent="0.35">
      <c r="A7314" s="2" t="str">
        <f ca="1">IFERROR(__xludf.DUMMYFUNCTION("""COMPUTED_VALUE"""),"Dubai")</f>
        <v>Dubai</v>
      </c>
      <c r="B7314" s="2" t="str">
        <f ca="1">IFERROR(__xludf.DUMMYFUNCTION("""COMPUTED_VALUE"""),"Liberty House")</f>
        <v>Liberty House</v>
      </c>
      <c r="C7314" s="2" t="str">
        <f ca="1">IFERROR(__xludf.DUMMYFUNCTION("""COMPUTED_VALUE"""),"Building")</f>
        <v>Building</v>
      </c>
      <c r="D7314" s="2" t="str">
        <f ca="1">IFERROR(__xludf.DUMMYFUNCTION("""COMPUTED_VALUE"""),"Dubai&gt;DIFC&gt;Liberty House")</f>
        <v>Dubai&gt;DIFC&gt;Liberty House</v>
      </c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</row>
    <row r="7315" spans="1:26" ht="16.5" x14ac:dyDescent="0.35">
      <c r="A7315" s="2" t="str">
        <f ca="1">IFERROR(__xludf.DUMMYFUNCTION("""COMPUTED_VALUE"""),"Dubai")</f>
        <v>Dubai</v>
      </c>
      <c r="B7315" s="2" t="str">
        <f ca="1">IFERROR(__xludf.DUMMYFUNCTION("""COMPUTED_VALUE"""),"Star International School Al Twar")</f>
        <v>Star International School Al Twar</v>
      </c>
      <c r="C7315" s="2" t="str">
        <f ca="1">IFERROR(__xludf.DUMMYFUNCTION("""COMPUTED_VALUE"""),"School")</f>
        <v>School</v>
      </c>
      <c r="D7315" s="2" t="str">
        <f ca="1">IFERROR(__xludf.DUMMYFUNCTION("""COMPUTED_VALUE"""),"Dubai&gt;Al Twar&gt;Al Twar 2&gt;Star International School Al Twar")</f>
        <v>Dubai&gt;Al Twar&gt;Al Twar 2&gt;Star International School Al Twar</v>
      </c>
      <c r="E7315" s="2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</row>
    <row r="7316" spans="1:26" ht="16.5" x14ac:dyDescent="0.35">
      <c r="A7316" s="2" t="str">
        <f ca="1">IFERROR(__xludf.DUMMYFUNCTION("""COMPUTED_VALUE"""),"Dubai")</f>
        <v>Dubai</v>
      </c>
      <c r="B7316" s="2" t="str">
        <f ca="1">IFERROR(__xludf.DUMMYFUNCTION("""COMPUTED_VALUE"""),"Al Bahri Platinum Residence")</f>
        <v>Al Bahri Platinum Residence</v>
      </c>
      <c r="C7316" s="2" t="str">
        <f ca="1">IFERROR(__xludf.DUMMYFUNCTION("""COMPUTED_VALUE"""),"Building")</f>
        <v>Building</v>
      </c>
      <c r="D7316" s="2" t="str">
        <f ca="1">IFERROR(__xludf.DUMMYFUNCTION("""COMPUTED_VALUE"""),"Dubai&gt;Al Warqaa&gt;Al Warqaa 1&gt;Al Bahri Platinum Residence")</f>
        <v>Dubai&gt;Al Warqaa&gt;Al Warqaa 1&gt;Al Bahri Platinum Residence</v>
      </c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</row>
    <row r="7317" spans="1:26" ht="16.5" x14ac:dyDescent="0.35">
      <c r="A7317" s="2" t="str">
        <f ca="1">IFERROR(__xludf.DUMMYFUNCTION("""COMPUTED_VALUE"""),"Dubai")</f>
        <v>Dubai</v>
      </c>
      <c r="B7317" s="2" t="str">
        <f ca="1">IFERROR(__xludf.DUMMYFUNCTION("""COMPUTED_VALUE"""),"Masaken Al Warqa 01")</f>
        <v>Masaken Al Warqa 01</v>
      </c>
      <c r="C7317" s="2" t="str">
        <f ca="1">IFERROR(__xludf.DUMMYFUNCTION("""COMPUTED_VALUE"""),"Building")</f>
        <v>Building</v>
      </c>
      <c r="D7317" s="2" t="str">
        <f ca="1">IFERROR(__xludf.DUMMYFUNCTION("""COMPUTED_VALUE"""),"Dubai&gt;Al Warqaa&gt;Al Warqaa 1&gt;Masaken Al Warqa 01")</f>
        <v>Dubai&gt;Al Warqaa&gt;Al Warqaa 1&gt;Masaken Al Warqa 01</v>
      </c>
      <c r="E7317" s="2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</row>
    <row r="7318" spans="1:26" ht="16.5" x14ac:dyDescent="0.35">
      <c r="A7318" s="2" t="str">
        <f ca="1">IFERROR(__xludf.DUMMYFUNCTION("""COMPUTED_VALUE"""),"Dubai")</f>
        <v>Dubai</v>
      </c>
      <c r="B7318" s="2" t="str">
        <f ca="1">IFERROR(__xludf.DUMMYFUNCTION("""COMPUTED_VALUE"""),"Noora Ahmad Mohammad Obaid Al Shamsi Building")</f>
        <v>Noora Ahmad Mohammad Obaid Al Shamsi Building</v>
      </c>
      <c r="C7318" s="2" t="str">
        <f ca="1">IFERROR(__xludf.DUMMYFUNCTION("""COMPUTED_VALUE"""),"Building")</f>
        <v>Building</v>
      </c>
      <c r="D7318" s="2" t="str">
        <f ca="1">IFERROR(__xludf.DUMMYFUNCTION("""COMPUTED_VALUE"""),"Dubai&gt;Al Warqaa&gt;Al Warqaa 1&gt;Noora Ahmad Mohammad Obaid Al Shamsi Building")</f>
        <v>Dubai&gt;Al Warqaa&gt;Al Warqaa 1&gt;Noora Ahmad Mohammad Obaid Al Shamsi Building</v>
      </c>
      <c r="E7318" s="2"/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</row>
    <row r="7319" spans="1:26" ht="16.5" x14ac:dyDescent="0.35">
      <c r="A7319" s="2" t="str">
        <f ca="1">IFERROR(__xludf.DUMMYFUNCTION("""COMPUTED_VALUE"""),"Dubai")</f>
        <v>Dubai</v>
      </c>
      <c r="B7319" s="2" t="str">
        <f ca="1">IFERROR(__xludf.DUMMYFUNCTION("""COMPUTED_VALUE"""),"AQ Residence")</f>
        <v>AQ Residence</v>
      </c>
      <c r="C7319" s="2" t="str">
        <f ca="1">IFERROR(__xludf.DUMMYFUNCTION("""COMPUTED_VALUE"""),"Building")</f>
        <v>Building</v>
      </c>
      <c r="D7319" s="2" t="str">
        <f ca="1">IFERROR(__xludf.DUMMYFUNCTION("""COMPUTED_VALUE"""),"Dubai&gt;Al Warqaa&gt;Al Warqaa 1&gt;AQ Residence")</f>
        <v>Dubai&gt;Al Warqaa&gt;Al Warqaa 1&gt;AQ Residence</v>
      </c>
      <c r="E7319" s="2"/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</row>
    <row r="7320" spans="1:26" ht="16.5" x14ac:dyDescent="0.35">
      <c r="A7320" s="2" t="str">
        <f ca="1">IFERROR(__xludf.DUMMYFUNCTION("""COMPUTED_VALUE"""),"Dubai")</f>
        <v>Dubai</v>
      </c>
      <c r="B7320" s="2" t="str">
        <f ca="1">IFERROR(__xludf.DUMMYFUNCTION("""COMPUTED_VALUE"""),"Fortune Tower")</f>
        <v>Fortune Tower</v>
      </c>
      <c r="C7320" s="2" t="str">
        <f ca="1">IFERROR(__xludf.DUMMYFUNCTION("""COMPUTED_VALUE"""),"Building")</f>
        <v>Building</v>
      </c>
      <c r="D7320" s="2" t="str">
        <f ca="1">IFERROR(__xludf.DUMMYFUNCTION("""COMPUTED_VALUE"""),"Dubai&gt;Jumeirah Lake Towers (JLT)&gt;JLT Cluster C&gt;Fortune Tower")</f>
        <v>Dubai&gt;Jumeirah Lake Towers (JLT)&gt;JLT Cluster C&gt;Fortune Tower</v>
      </c>
      <c r="E7320" s="2"/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</row>
    <row r="7321" spans="1:26" ht="16.5" x14ac:dyDescent="0.35">
      <c r="A7321" s="2" t="str">
        <f ca="1">IFERROR(__xludf.DUMMYFUNCTION("""COMPUTED_VALUE"""),"Dubai")</f>
        <v>Dubai</v>
      </c>
      <c r="B7321" s="2" t="str">
        <f ca="1">IFERROR(__xludf.DUMMYFUNCTION("""COMPUTED_VALUE"""),"iGo 101 Tower")</f>
        <v>iGo 101 Tower</v>
      </c>
      <c r="C7321" s="2" t="str">
        <f ca="1">IFERROR(__xludf.DUMMYFUNCTION("""COMPUTED_VALUE"""),"Building")</f>
        <v>Building</v>
      </c>
      <c r="D7321" s="2" t="str">
        <f ca="1">IFERROR(__xludf.DUMMYFUNCTION("""COMPUTED_VALUE"""),"Dubai&gt;Jumeirah Lake Towers (JLT)&gt;JLT Cluster K&gt;iGo 101 Tower")</f>
        <v>Dubai&gt;Jumeirah Lake Towers (JLT)&gt;JLT Cluster K&gt;iGo 101 Tower</v>
      </c>
      <c r="E7321" s="2"/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</row>
    <row r="7322" spans="1:26" ht="16.5" x14ac:dyDescent="0.35">
      <c r="A7322" s="2" t="str">
        <f ca="1">IFERROR(__xludf.DUMMYFUNCTION("""COMPUTED_VALUE"""),"Dubai")</f>
        <v>Dubai</v>
      </c>
      <c r="B7322" s="2" t="str">
        <f ca="1">IFERROR(__xludf.DUMMYFUNCTION("""COMPUTED_VALUE"""),"MBL Signature")</f>
        <v>MBL Signature</v>
      </c>
      <c r="C7322" s="2" t="str">
        <f ca="1">IFERROR(__xludf.DUMMYFUNCTION("""COMPUTED_VALUE"""),"Building")</f>
        <v>Building</v>
      </c>
      <c r="D7322" s="2" t="str">
        <f ca="1">IFERROR(__xludf.DUMMYFUNCTION("""COMPUTED_VALUE"""),"Dubai&gt;Jumeirah Lake Towers (JLT)&gt;JLT Cluster R&gt;MBL Signature")</f>
        <v>Dubai&gt;Jumeirah Lake Towers (JLT)&gt;JLT Cluster R&gt;MBL Signature</v>
      </c>
      <c r="E7322" s="2"/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</row>
    <row r="7323" spans="1:26" ht="16.5" x14ac:dyDescent="0.35">
      <c r="A7323" s="2" t="str">
        <f ca="1">IFERROR(__xludf.DUMMYFUNCTION("""COMPUTED_VALUE"""),"Dubai")</f>
        <v>Dubai</v>
      </c>
      <c r="B7323" s="2" t="str">
        <f ca="1">IFERROR(__xludf.DUMMYFUNCTION("""COMPUTED_VALUE"""),"JLT Cluster Z")</f>
        <v>JLT Cluster Z</v>
      </c>
      <c r="C7323" s="2" t="str">
        <f ca="1">IFERROR(__xludf.DUMMYFUNCTION("""COMPUTED_VALUE"""),"Cluster")</f>
        <v>Cluster</v>
      </c>
      <c r="D7323" s="2" t="str">
        <f ca="1">IFERROR(__xludf.DUMMYFUNCTION("""COMPUTED_VALUE"""),"Dubai&gt;Jumeirah Lake Towers (JLT)&gt;JLT Cluster Z")</f>
        <v>Dubai&gt;Jumeirah Lake Towers (JLT)&gt;JLT Cluster Z</v>
      </c>
      <c r="E7323" s="2"/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</row>
    <row r="7324" spans="1:26" ht="16.5" x14ac:dyDescent="0.35">
      <c r="A7324" s="2" t="str">
        <f ca="1">IFERROR(__xludf.DUMMYFUNCTION("""COMPUTED_VALUE"""),"Dubai")</f>
        <v>Dubai</v>
      </c>
      <c r="B7324" s="2" t="str">
        <f ca="1">IFERROR(__xludf.DUMMYFUNCTION("""COMPUTED_VALUE"""),"Mudon Views")</f>
        <v>Mudon Views</v>
      </c>
      <c r="C7324" s="2" t="str">
        <f ca="1">IFERROR(__xludf.DUMMYFUNCTION("""COMPUTED_VALUE"""),"Building")</f>
        <v>Building</v>
      </c>
      <c r="D7324" s="2" t="str">
        <f ca="1">IFERROR(__xludf.DUMMYFUNCTION("""COMPUTED_VALUE"""),"Dubai&gt;Mudon&gt;Mudon Views")</f>
        <v>Dubai&gt;Mudon&gt;Mudon Views</v>
      </c>
      <c r="E7324" s="2"/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</row>
    <row r="7325" spans="1:26" ht="16.5" x14ac:dyDescent="0.35">
      <c r="A7325" s="2" t="str">
        <f ca="1">IFERROR(__xludf.DUMMYFUNCTION("""COMPUTED_VALUE"""),"Dubai")</f>
        <v>Dubai</v>
      </c>
      <c r="B7325" s="2" t="str">
        <f ca="1">IFERROR(__xludf.DUMMYFUNCTION("""COMPUTED_VALUE"""),"Odyssey Nursery Sheikh Zayed Road")</f>
        <v>Odyssey Nursery Sheikh Zayed Road</v>
      </c>
      <c r="C7325" s="2" t="str">
        <f ca="1">IFERROR(__xludf.DUMMYFUNCTION("""COMPUTED_VALUE"""),"Nursery")</f>
        <v>Nursery</v>
      </c>
      <c r="D7325" s="2" t="str">
        <f ca="1">IFERROR(__xludf.DUMMYFUNCTION("""COMPUTED_VALUE"""),"Dubai&gt;Al Satwa&gt;Odyssey Nursery Sheikh Zayed Road")</f>
        <v>Dubai&gt;Al Satwa&gt;Odyssey Nursery Sheikh Zayed Road</v>
      </c>
      <c r="E7325" s="2"/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</row>
    <row r="7326" spans="1:26" ht="16.5" x14ac:dyDescent="0.35">
      <c r="A7326" s="2" t="str">
        <f ca="1">IFERROR(__xludf.DUMMYFUNCTION("""COMPUTED_VALUE"""),"Dubai")</f>
        <v>Dubai</v>
      </c>
      <c r="B7326" s="2" t="str">
        <f ca="1">IFERROR(__xludf.DUMMYFUNCTION("""COMPUTED_VALUE"""),"Alhamd Building")</f>
        <v>Alhamd Building</v>
      </c>
      <c r="C7326" s="2" t="str">
        <f ca="1">IFERROR(__xludf.DUMMYFUNCTION("""COMPUTED_VALUE"""),"Building")</f>
        <v>Building</v>
      </c>
      <c r="D7326" s="2" t="str">
        <f ca="1">IFERROR(__xludf.DUMMYFUNCTION("""COMPUTED_VALUE"""),"Dubai&gt;Al Satwa&gt;Jumeirah Garden City&gt;Alhamd Building")</f>
        <v>Dubai&gt;Al Satwa&gt;Jumeirah Garden City&gt;Alhamd Building</v>
      </c>
      <c r="E7326" s="2"/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</row>
    <row r="7327" spans="1:26" ht="16.5" x14ac:dyDescent="0.35">
      <c r="A7327" s="2" t="str">
        <f ca="1">IFERROR(__xludf.DUMMYFUNCTION("""COMPUTED_VALUE"""),"Dubai")</f>
        <v>Dubai</v>
      </c>
      <c r="B7327" s="2" t="str">
        <f ca="1">IFERROR(__xludf.DUMMYFUNCTION("""COMPUTED_VALUE"""),"ENSO Jade")</f>
        <v>ENSO Jade</v>
      </c>
      <c r="C7327" s="2" t="str">
        <f ca="1">IFERROR(__xludf.DUMMYFUNCTION("""COMPUTED_VALUE"""),"Building")</f>
        <v>Building</v>
      </c>
      <c r="D7327" s="2" t="str">
        <f ca="1">IFERROR(__xludf.DUMMYFUNCTION("""COMPUTED_VALUE"""),"Dubai&gt;Al Satwa&gt;Jumeirah Garden City&gt;ENSO Jade")</f>
        <v>Dubai&gt;Al Satwa&gt;Jumeirah Garden City&gt;ENSO Jade</v>
      </c>
      <c r="E7327" s="2"/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</row>
    <row r="7328" spans="1:26" ht="16.5" x14ac:dyDescent="0.35">
      <c r="A7328" s="2" t="str">
        <f ca="1">IFERROR(__xludf.DUMMYFUNCTION("""COMPUTED_VALUE"""),"Dubai")</f>
        <v>Dubai</v>
      </c>
      <c r="B7328" s="2" t="str">
        <f ca="1">IFERROR(__xludf.DUMMYFUNCTION("""COMPUTED_VALUE"""),"Koro One")</f>
        <v>Koro One</v>
      </c>
      <c r="C7328" s="2" t="str">
        <f ca="1">IFERROR(__xludf.DUMMYFUNCTION("""COMPUTED_VALUE"""),"Building")</f>
        <v>Building</v>
      </c>
      <c r="D7328" s="2" t="str">
        <f ca="1">IFERROR(__xludf.DUMMYFUNCTION("""COMPUTED_VALUE"""),"Dubai&gt;Al Satwa&gt;Jumeirah Garden City&gt;Koro One")</f>
        <v>Dubai&gt;Al Satwa&gt;Jumeirah Garden City&gt;Koro One</v>
      </c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</row>
    <row r="7329" spans="1:26" ht="16.5" x14ac:dyDescent="0.35">
      <c r="A7329" s="2" t="str">
        <f ca="1">IFERROR(__xludf.DUMMYFUNCTION("""COMPUTED_VALUE"""),"Dubai")</f>
        <v>Dubai</v>
      </c>
      <c r="B7329" s="2" t="str">
        <f ca="1">IFERROR(__xludf.DUMMYFUNCTION("""COMPUTED_VALUE"""),"Building 148 Khalf &amp; Ousha Khadin")</f>
        <v>Building 148 Khalf &amp; Ousha Khadin</v>
      </c>
      <c r="C7329" s="2" t="str">
        <f ca="1">IFERROR(__xludf.DUMMYFUNCTION("""COMPUTED_VALUE"""),"Building")</f>
        <v>Building</v>
      </c>
      <c r="D7329" s="2" t="str">
        <f ca="1">IFERROR(__xludf.DUMMYFUNCTION("""COMPUTED_VALUE"""),"Dubai&gt;Al Satwa&gt;Building 148 Khalf &amp; Ousha Khadin")</f>
        <v>Dubai&gt;Al Satwa&gt;Building 148 Khalf &amp; Ousha Khadin</v>
      </c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</row>
    <row r="7330" spans="1:26" ht="16.5" x14ac:dyDescent="0.35">
      <c r="A7330" s="2" t="str">
        <f ca="1">IFERROR(__xludf.DUMMYFUNCTION("""COMPUTED_VALUE"""),"Dubai")</f>
        <v>Dubai</v>
      </c>
      <c r="B7330" s="2" t="str">
        <f ca="1">IFERROR(__xludf.DUMMYFUNCTION("""COMPUTED_VALUE"""),"Building 111")</f>
        <v>Building 111</v>
      </c>
      <c r="C7330" s="2" t="str">
        <f ca="1">IFERROR(__xludf.DUMMYFUNCTION("""COMPUTED_VALUE"""),"Building")</f>
        <v>Building</v>
      </c>
      <c r="D7330" s="2" t="str">
        <f ca="1">IFERROR(__xludf.DUMMYFUNCTION("""COMPUTED_VALUE"""),"Dubai&gt;Discovery Gardens&gt;Contemporary&gt;Building 111")</f>
        <v>Dubai&gt;Discovery Gardens&gt;Contemporary&gt;Building 111</v>
      </c>
      <c r="E7330" s="2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</row>
    <row r="7331" spans="1:26" ht="16.5" x14ac:dyDescent="0.35">
      <c r="A7331" s="2" t="str">
        <f ca="1">IFERROR(__xludf.DUMMYFUNCTION("""COMPUTED_VALUE"""),"Dubai")</f>
        <v>Dubai</v>
      </c>
      <c r="B7331" s="2" t="str">
        <f ca="1">IFERROR(__xludf.DUMMYFUNCTION("""COMPUTED_VALUE"""),"Building 258")</f>
        <v>Building 258</v>
      </c>
      <c r="C7331" s="2" t="str">
        <f ca="1">IFERROR(__xludf.DUMMYFUNCTION("""COMPUTED_VALUE"""),"Building")</f>
        <v>Building</v>
      </c>
      <c r="D7331" s="2" t="str">
        <f ca="1">IFERROR(__xludf.DUMMYFUNCTION("""COMPUTED_VALUE"""),"Dubai&gt;Discovery Gardens&gt;Mesoamerican&gt;Building 258")</f>
        <v>Dubai&gt;Discovery Gardens&gt;Mesoamerican&gt;Building 258</v>
      </c>
      <c r="E7331" s="2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</row>
    <row r="7332" spans="1:26" ht="16.5" x14ac:dyDescent="0.35">
      <c r="A7332" s="2" t="str">
        <f ca="1">IFERROR(__xludf.DUMMYFUNCTION("""COMPUTED_VALUE"""),"Dubai")</f>
        <v>Dubai</v>
      </c>
      <c r="B7332" s="2" t="str">
        <f ca="1">IFERROR(__xludf.DUMMYFUNCTION("""COMPUTED_VALUE"""),"Building 189")</f>
        <v>Building 189</v>
      </c>
      <c r="C7332" s="2" t="str">
        <f ca="1">IFERROR(__xludf.DUMMYFUNCTION("""COMPUTED_VALUE"""),"Building")</f>
        <v>Building</v>
      </c>
      <c r="D7332" s="2" t="str">
        <f ca="1">IFERROR(__xludf.DUMMYFUNCTION("""COMPUTED_VALUE"""),"Dubai&gt;Discovery Gardens&gt;Mogul&gt;Building 189")</f>
        <v>Dubai&gt;Discovery Gardens&gt;Mogul&gt;Building 189</v>
      </c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</row>
    <row r="7333" spans="1:26" ht="16.5" x14ac:dyDescent="0.35">
      <c r="A7333" s="2" t="str">
        <f ca="1">IFERROR(__xludf.DUMMYFUNCTION("""COMPUTED_VALUE"""),"Dubai")</f>
        <v>Dubai</v>
      </c>
      <c r="B7333" s="2" t="str">
        <f ca="1">IFERROR(__xludf.DUMMYFUNCTION("""COMPUTED_VALUE"""),"Building 191")</f>
        <v>Building 191</v>
      </c>
      <c r="C7333" s="2" t="str">
        <f ca="1">IFERROR(__xludf.DUMMYFUNCTION("""COMPUTED_VALUE"""),"Building")</f>
        <v>Building</v>
      </c>
      <c r="D7333" s="2" t="str">
        <f ca="1">IFERROR(__xludf.DUMMYFUNCTION("""COMPUTED_VALUE"""),"Dubai&gt;Discovery Gardens&gt;Mogul&gt;Building 191")</f>
        <v>Dubai&gt;Discovery Gardens&gt;Mogul&gt;Building 191</v>
      </c>
      <c r="E7333" s="2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</row>
    <row r="7334" spans="1:26" ht="16.5" x14ac:dyDescent="0.35">
      <c r="A7334" s="2" t="str">
        <f ca="1">IFERROR(__xludf.DUMMYFUNCTION("""COMPUTED_VALUE"""),"Dubai")</f>
        <v>Dubai</v>
      </c>
      <c r="B7334" s="2" t="str">
        <f ca="1">IFERROR(__xludf.DUMMYFUNCTION("""COMPUTED_VALUE"""),"Building 31")</f>
        <v>Building 31</v>
      </c>
      <c r="C7334" s="2" t="str">
        <f ca="1">IFERROR(__xludf.DUMMYFUNCTION("""COMPUTED_VALUE"""),"Building")</f>
        <v>Building</v>
      </c>
      <c r="D7334" s="2" t="str">
        <f ca="1">IFERROR(__xludf.DUMMYFUNCTION("""COMPUTED_VALUE"""),"Dubai&gt;Discovery Gardens&gt;Zen Cluster&gt;Building 31")</f>
        <v>Dubai&gt;Discovery Gardens&gt;Zen Cluster&gt;Building 31</v>
      </c>
      <c r="E7334" s="2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</row>
    <row r="7335" spans="1:26" ht="16.5" x14ac:dyDescent="0.35">
      <c r="A7335" s="2" t="str">
        <f ca="1">IFERROR(__xludf.DUMMYFUNCTION("""COMPUTED_VALUE"""),"Dubai")</f>
        <v>Dubai</v>
      </c>
      <c r="B7335" s="2" t="str">
        <f ca="1">IFERROR(__xludf.DUMMYFUNCTION("""COMPUTED_VALUE"""),"Building 106")</f>
        <v>Building 106</v>
      </c>
      <c r="C7335" s="2" t="str">
        <f ca="1">IFERROR(__xludf.DUMMYFUNCTION("""COMPUTED_VALUE"""),"Building")</f>
        <v>Building</v>
      </c>
      <c r="D7335" s="2" t="str">
        <f ca="1">IFERROR(__xludf.DUMMYFUNCTION("""COMPUTED_VALUE"""),"Dubai&gt;Discovery Gardens&gt;Mediterranean&gt;Building 106")</f>
        <v>Dubai&gt;Discovery Gardens&gt;Mediterranean&gt;Building 106</v>
      </c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</row>
    <row r="7336" spans="1:26" ht="16.5" x14ac:dyDescent="0.35">
      <c r="A7336" s="2" t="str">
        <f ca="1">IFERROR(__xludf.DUMMYFUNCTION("""COMPUTED_VALUE"""),"Dubai")</f>
        <v>Dubai</v>
      </c>
      <c r="B7336" s="2" t="str">
        <f ca="1">IFERROR(__xludf.DUMMYFUNCTION("""COMPUTED_VALUE"""),"Building 82")</f>
        <v>Building 82</v>
      </c>
      <c r="C7336" s="2" t="str">
        <f ca="1">IFERROR(__xludf.DUMMYFUNCTION("""COMPUTED_VALUE"""),"Building")</f>
        <v>Building</v>
      </c>
      <c r="D7336" s="2" t="str">
        <f ca="1">IFERROR(__xludf.DUMMYFUNCTION("""COMPUTED_VALUE"""),"Dubai&gt;Discovery Gardens&gt;Mediterranean&gt;Building 82")</f>
        <v>Dubai&gt;Discovery Gardens&gt;Mediterranean&gt;Building 82</v>
      </c>
      <c r="E7336" s="2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</row>
    <row r="7337" spans="1:26" ht="16.5" x14ac:dyDescent="0.35">
      <c r="A7337" s="2" t="str">
        <f ca="1">IFERROR(__xludf.DUMMYFUNCTION("""COMPUTED_VALUE"""),"Dubai")</f>
        <v>Dubai</v>
      </c>
      <c r="B7337" s="2" t="str">
        <f ca="1">IFERROR(__xludf.DUMMYFUNCTION("""COMPUTED_VALUE"""),"Balqis Residence Villas")</f>
        <v>Balqis Residence Villas</v>
      </c>
      <c r="C7337" s="2" t="str">
        <f ca="1">IFERROR(__xludf.DUMMYFUNCTION("""COMPUTED_VALUE"""),"Neighbourhood")</f>
        <v>Neighbourhood</v>
      </c>
      <c r="D7337" s="2" t="str">
        <f ca="1">IFERROR(__xludf.DUMMYFUNCTION("""COMPUTED_VALUE"""),"Dubai&gt;Palm Jumeirah&gt;Kingdom of Sheba&gt;Balqis Residence&gt;Balqis Residence Villas")</f>
        <v>Dubai&gt;Palm Jumeirah&gt;Kingdom of Sheba&gt;Balqis Residence&gt;Balqis Residence Villas</v>
      </c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</row>
    <row r="7338" spans="1:26" ht="16.5" x14ac:dyDescent="0.35">
      <c r="A7338" s="2" t="str">
        <f ca="1">IFERROR(__xludf.DUMMYFUNCTION("""COMPUTED_VALUE"""),"Dubai")</f>
        <v>Dubai</v>
      </c>
      <c r="B7338" s="2" t="str">
        <f ca="1">IFERROR(__xludf.DUMMYFUNCTION("""COMPUTED_VALUE"""),"Palme Couture Residences")</f>
        <v>Palme Couture Residences</v>
      </c>
      <c r="C7338" s="2" t="str">
        <f ca="1">IFERROR(__xludf.DUMMYFUNCTION("""COMPUTED_VALUE"""),"Building")</f>
        <v>Building</v>
      </c>
      <c r="D7338" s="2" t="str">
        <f ca="1">IFERROR(__xludf.DUMMYFUNCTION("""COMPUTED_VALUE"""),"Dubai&gt;Palm Jumeirah&gt;Palme Couture Residences")</f>
        <v>Dubai&gt;Palm Jumeirah&gt;Palme Couture Residences</v>
      </c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</row>
    <row r="7339" spans="1:26" ht="16.5" x14ac:dyDescent="0.35">
      <c r="A7339" s="2" t="str">
        <f ca="1">IFERROR(__xludf.DUMMYFUNCTION("""COMPUTED_VALUE"""),"Dubai")</f>
        <v>Dubai</v>
      </c>
      <c r="B7339" s="2" t="str">
        <f ca="1">IFERROR(__xludf.DUMMYFUNCTION("""COMPUTED_VALUE"""),"Signature Villas Frond F")</f>
        <v>Signature Villas Frond F</v>
      </c>
      <c r="C7339" s="2" t="str">
        <f ca="1">IFERROR(__xludf.DUMMYFUNCTION("""COMPUTED_VALUE"""),"Neighbourhood")</f>
        <v>Neighbourhood</v>
      </c>
      <c r="D7339" s="2" t="str">
        <f ca="1">IFERROR(__xludf.DUMMYFUNCTION("""COMPUTED_VALUE"""),"Dubai&gt;Palm Jumeirah&gt;Signature Villas Palm Jumeirah&gt;Signature Villas Frond F")</f>
        <v>Dubai&gt;Palm Jumeirah&gt;Signature Villas Palm Jumeirah&gt;Signature Villas Frond F</v>
      </c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</row>
    <row r="7340" spans="1:26" ht="16.5" x14ac:dyDescent="0.35">
      <c r="A7340" s="2" t="str">
        <f ca="1">IFERROR(__xludf.DUMMYFUNCTION("""COMPUTED_VALUE"""),"Dubai")</f>
        <v>Dubai</v>
      </c>
      <c r="B7340" s="2" t="str">
        <f ca="1">IFERROR(__xludf.DUMMYFUNCTION("""COMPUTED_VALUE"""),"The Crescent")</f>
        <v>The Crescent</v>
      </c>
      <c r="C7340" s="2" t="str">
        <f ca="1">IFERROR(__xludf.DUMMYFUNCTION("""COMPUTED_VALUE"""),"Neighbourhood")</f>
        <v>Neighbourhood</v>
      </c>
      <c r="D7340" s="2" t="str">
        <f ca="1">IFERROR(__xludf.DUMMYFUNCTION("""COMPUTED_VALUE"""),"Dubai&gt;Palm Jumeirah&gt;The Crescent")</f>
        <v>Dubai&gt;Palm Jumeirah&gt;The Crescent</v>
      </c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</row>
    <row r="7341" spans="1:26" ht="16.5" x14ac:dyDescent="0.35">
      <c r="A7341" s="2" t="str">
        <f ca="1">IFERROR(__xludf.DUMMYFUNCTION("""COMPUTED_VALUE"""),"Dubai")</f>
        <v>Dubai</v>
      </c>
      <c r="B7341" s="2" t="str">
        <f ca="1">IFERROR(__xludf.DUMMYFUNCTION("""COMPUTED_VALUE"""),"Garden Homes Frond A")</f>
        <v>Garden Homes Frond A</v>
      </c>
      <c r="C7341" s="2" t="str">
        <f ca="1">IFERROR(__xludf.DUMMYFUNCTION("""COMPUTED_VALUE"""),"Neighbourhood")</f>
        <v>Neighbourhood</v>
      </c>
      <c r="D7341" s="2" t="str">
        <f ca="1">IFERROR(__xludf.DUMMYFUNCTION("""COMPUTED_VALUE"""),"Dubai&gt;Palm Jumeirah&gt;Garden Homes Palm Jumeirah&gt;Garden Homes Frond A")</f>
        <v>Dubai&gt;Palm Jumeirah&gt;Garden Homes Palm Jumeirah&gt;Garden Homes Frond A</v>
      </c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</row>
    <row r="7342" spans="1:26" ht="16.5" x14ac:dyDescent="0.35">
      <c r="A7342" s="2" t="str">
        <f ca="1">IFERROR(__xludf.DUMMYFUNCTION("""COMPUTED_VALUE"""),"Dubai")</f>
        <v>Dubai</v>
      </c>
      <c r="B7342" s="2" t="str">
        <f ca="1">IFERROR(__xludf.DUMMYFUNCTION("""COMPUTED_VALUE"""),"Logo Island")</f>
        <v>Logo Island</v>
      </c>
      <c r="C7342" s="2" t="str">
        <f ca="1">IFERROR(__xludf.DUMMYFUNCTION("""COMPUTED_VALUE"""),"Neighbourhood")</f>
        <v>Neighbourhood</v>
      </c>
      <c r="D7342" s="2" t="str">
        <f ca="1">IFERROR(__xludf.DUMMYFUNCTION("""COMPUTED_VALUE"""),"Dubai&gt;Palm Jumeirah&gt;Logo Island")</f>
        <v>Dubai&gt;Palm Jumeirah&gt;Logo Island</v>
      </c>
      <c r="E7342" s="2"/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</row>
    <row r="7343" spans="1:26" ht="16.5" x14ac:dyDescent="0.35">
      <c r="A7343" s="2" t="str">
        <f ca="1">IFERROR(__xludf.DUMMYFUNCTION("""COMPUTED_VALUE"""),"Dubai")</f>
        <v>Dubai</v>
      </c>
      <c r="B7343" s="2" t="str">
        <f ca="1">IFERROR(__xludf.DUMMYFUNCTION("""COMPUTED_VALUE"""),"Kempinski Hotel &amp; Residences Palm Jumeirah Villas")</f>
        <v>Kempinski Hotel &amp; Residences Palm Jumeirah Villas</v>
      </c>
      <c r="C7343" s="2" t="str">
        <f ca="1">IFERROR(__xludf.DUMMYFUNCTION("""COMPUTED_VALUE"""),"Neighbourhood")</f>
        <v>Neighbourhood</v>
      </c>
      <c r="D7343" s="2" t="str">
        <f ca="1">IFERROR(__xludf.DUMMYFUNCTION("""COMPUTED_VALUE"""),"Dubai&gt;Palm Jumeirah&gt;Kempinski Hotel &amp; Residences Palm Jumeirah Villas")</f>
        <v>Dubai&gt;Palm Jumeirah&gt;Kempinski Hotel &amp; Residences Palm Jumeirah Villas</v>
      </c>
      <c r="E7343" s="2"/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</row>
    <row r="7344" spans="1:26" ht="16.5" x14ac:dyDescent="0.35">
      <c r="A7344" s="2" t="str">
        <f ca="1">IFERROR(__xludf.DUMMYFUNCTION("""COMPUTED_VALUE"""),"Dubai")</f>
        <v>Dubai</v>
      </c>
      <c r="B7344" s="2" t="str">
        <f ca="1">IFERROR(__xludf.DUMMYFUNCTION("""COMPUTED_VALUE"""),"The Dome Building By Tiger Group")</f>
        <v>The Dome Building By Tiger Group</v>
      </c>
      <c r="C7344" s="2" t="str">
        <f ca="1">IFERROR(__xludf.DUMMYFUNCTION("""COMPUTED_VALUE"""),"Building")</f>
        <v>Building</v>
      </c>
      <c r="D7344" s="2" t="str">
        <f ca="1">IFERROR(__xludf.DUMMYFUNCTION("""COMPUTED_VALUE"""),"Dubai&gt;Al Jaddaf&gt;The Dome Building By Tiger Group")</f>
        <v>Dubai&gt;Al Jaddaf&gt;The Dome Building By Tiger Group</v>
      </c>
      <c r="E7344" s="2"/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</row>
    <row r="7345" spans="1:26" ht="16.5" x14ac:dyDescent="0.35">
      <c r="A7345" s="2" t="str">
        <f ca="1">IFERROR(__xludf.DUMMYFUNCTION("""COMPUTED_VALUE"""),"Dubai")</f>
        <v>Dubai</v>
      </c>
      <c r="B7345" s="2" t="str">
        <f ca="1">IFERROR(__xludf.DUMMYFUNCTION("""COMPUTED_VALUE"""),"Element")</f>
        <v>Element</v>
      </c>
      <c r="C7345" s="2" t="str">
        <f ca="1">IFERROR(__xludf.DUMMYFUNCTION("""COMPUTED_VALUE"""),"Building")</f>
        <v>Building</v>
      </c>
      <c r="D7345" s="2" t="str">
        <f ca="1">IFERROR(__xludf.DUMMYFUNCTION("""COMPUTED_VALUE"""),"Dubai&gt;Al Jaddaf&gt;Element")</f>
        <v>Dubai&gt;Al Jaddaf&gt;Element</v>
      </c>
      <c r="E7345" s="2"/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</row>
    <row r="7346" spans="1:26" ht="16.5" x14ac:dyDescent="0.35">
      <c r="A7346" s="2" t="str">
        <f ca="1">IFERROR(__xludf.DUMMYFUNCTION("""COMPUTED_VALUE"""),"Dubai")</f>
        <v>Dubai</v>
      </c>
      <c r="B7346" s="2" t="str">
        <f ca="1">IFERROR(__xludf.DUMMYFUNCTION("""COMPUTED_VALUE"""),"Platinum Residence 2")</f>
        <v>Platinum Residence 2</v>
      </c>
      <c r="C7346" s="2" t="str">
        <f ca="1">IFERROR(__xludf.DUMMYFUNCTION("""COMPUTED_VALUE"""),"Building")</f>
        <v>Building</v>
      </c>
      <c r="D7346" s="2" t="str">
        <f ca="1">IFERROR(__xludf.DUMMYFUNCTION("""COMPUTED_VALUE"""),"Dubai&gt;Al Jaddaf&gt;Platinum Residence 2")</f>
        <v>Dubai&gt;Al Jaddaf&gt;Platinum Residence 2</v>
      </c>
      <c r="E7346" s="2"/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</row>
    <row r="7347" spans="1:26" ht="16.5" x14ac:dyDescent="0.35">
      <c r="A7347" s="2" t="str">
        <f ca="1">IFERROR(__xludf.DUMMYFUNCTION("""COMPUTED_VALUE"""),"Dubai")</f>
        <v>Dubai</v>
      </c>
      <c r="B7347" s="2" t="str">
        <f ca="1">IFERROR(__xludf.DUMMYFUNCTION("""COMPUTED_VALUE"""),"The Coral Collection")</f>
        <v>The Coral Collection</v>
      </c>
      <c r="C7347" s="2" t="str">
        <f ca="1">IFERROR(__xludf.DUMMYFUNCTION("""COMPUTED_VALUE"""),"Neighbourhood")</f>
        <v>Neighbourhood</v>
      </c>
      <c r="D7347" s="2" t="str">
        <f ca="1">IFERROR(__xludf.DUMMYFUNCTION("""COMPUTED_VALUE"""),"Dubai&gt;Palm Jebel Ali&gt;Frond P&gt;The Coral Collection")</f>
        <v>Dubai&gt;Palm Jebel Ali&gt;Frond P&gt;The Coral Collection</v>
      </c>
      <c r="E7347" s="2"/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</row>
    <row r="7348" spans="1:26" ht="16.5" x14ac:dyDescent="0.35">
      <c r="A7348" s="2" t="str">
        <f ca="1">IFERROR(__xludf.DUMMYFUNCTION("""COMPUTED_VALUE"""),"Dubai")</f>
        <v>Dubai</v>
      </c>
      <c r="B7348" s="2" t="str">
        <f ca="1">IFERROR(__xludf.DUMMYFUNCTION("""COMPUTED_VALUE"""),"Palm Central Private Residences Building C")</f>
        <v>Palm Central Private Residences Building C</v>
      </c>
      <c r="C7348" s="2" t="str">
        <f ca="1">IFERROR(__xludf.DUMMYFUNCTION("""COMPUTED_VALUE"""),"Building")</f>
        <v>Building</v>
      </c>
      <c r="D7348" s="2" t="str">
        <f ca="1">IFERROR(__xludf.DUMMYFUNCTION("""COMPUTED_VALUE"""),"Dubai&gt;Palm Jebel Ali&gt;Palm Central Private Residences&gt;Palm Central Private Residences Building C")</f>
        <v>Dubai&gt;Palm Jebel Ali&gt;Palm Central Private Residences&gt;Palm Central Private Residences Building C</v>
      </c>
      <c r="E7348" s="2"/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</row>
    <row r="7349" spans="1:26" ht="16.5" x14ac:dyDescent="0.35">
      <c r="A7349" s="2" t="str">
        <f ca="1">IFERROR(__xludf.DUMMYFUNCTION("""COMPUTED_VALUE"""),"Dubai")</f>
        <v>Dubai</v>
      </c>
      <c r="B7349" s="2" t="str">
        <f ca="1">IFERROR(__xludf.DUMMYFUNCTION("""COMPUTED_VALUE"""),"Binghatti Hills Tower 2")</f>
        <v>Binghatti Hills Tower 2</v>
      </c>
      <c r="C7349" s="2" t="str">
        <f ca="1">IFERROR(__xludf.DUMMYFUNCTION("""COMPUTED_VALUE"""),"Building")</f>
        <v>Building</v>
      </c>
      <c r="D7349" s="2" t="str">
        <f ca="1">IFERROR(__xludf.DUMMYFUNCTION("""COMPUTED_VALUE"""),"Dubai&gt;Dubai Science Park&gt;Binghatti Hills&gt;Binghatti Hills Tower 2")</f>
        <v>Dubai&gt;Dubai Science Park&gt;Binghatti Hills&gt;Binghatti Hills Tower 2</v>
      </c>
      <c r="E7349" s="2"/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</row>
    <row r="7350" spans="1:26" ht="16.5" x14ac:dyDescent="0.35">
      <c r="A7350" s="2" t="str">
        <f ca="1">IFERROR(__xludf.DUMMYFUNCTION("""COMPUTED_VALUE"""),"Dubai")</f>
        <v>Dubai</v>
      </c>
      <c r="B7350" s="2" t="str">
        <f ca="1">IFERROR(__xludf.DUMMYFUNCTION("""COMPUTED_VALUE"""),"Al Ruwayyah")</f>
        <v>Al Ruwayyah</v>
      </c>
      <c r="C7350" s="2" t="str">
        <f ca="1">IFERROR(__xludf.DUMMYFUNCTION("""COMPUTED_VALUE"""),"Neighbourhood")</f>
        <v>Neighbourhood</v>
      </c>
      <c r="D7350" s="2" t="str">
        <f ca="1">IFERROR(__xludf.DUMMYFUNCTION("""COMPUTED_VALUE"""),"Dubai&gt;Al Ruwayyah")</f>
        <v>Dubai&gt;Al Ruwayyah</v>
      </c>
      <c r="E7350" s="2"/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</row>
    <row r="7351" spans="1:26" ht="16.5" x14ac:dyDescent="0.35">
      <c r="A7351" s="2" t="str">
        <f ca="1">IFERROR(__xludf.DUMMYFUNCTION("""COMPUTED_VALUE"""),"Dubai")</f>
        <v>Dubai</v>
      </c>
      <c r="B7351" s="2" t="str">
        <f ca="1">IFERROR(__xludf.DUMMYFUNCTION("""COMPUTED_VALUE"""),"South Garden C")</f>
        <v>South Garden C</v>
      </c>
      <c r="C7351" s="2" t="str">
        <f ca="1">IFERROR(__xludf.DUMMYFUNCTION("""COMPUTED_VALUE"""),"Building")</f>
        <v>Building</v>
      </c>
      <c r="D7351" s="2" t="str">
        <f ca="1">IFERROR(__xludf.DUMMYFUNCTION("""COMPUTED_VALUE"""),"Dubai&gt;Wasl Gate&gt;South Garden&gt;South Garden C")</f>
        <v>Dubai&gt;Wasl Gate&gt;South Garden&gt;South Garden C</v>
      </c>
      <c r="E7351" s="2"/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</row>
    <row r="7352" spans="1:26" ht="16.5" x14ac:dyDescent="0.35">
      <c r="A7352" s="2" t="str">
        <f ca="1">IFERROR(__xludf.DUMMYFUNCTION("""COMPUTED_VALUE"""),"Dubai")</f>
        <v>Dubai</v>
      </c>
      <c r="B7352" s="2" t="str">
        <f ca="1">IFERROR(__xludf.DUMMYFUNCTION("""COMPUTED_VALUE"""),"Nad Al Sheba Garden 9")</f>
        <v>Nad Al Sheba Garden 9</v>
      </c>
      <c r="C7352" s="2" t="str">
        <f ca="1">IFERROR(__xludf.DUMMYFUNCTION("""COMPUTED_VALUE"""),"Neighbourhood")</f>
        <v>Neighbourhood</v>
      </c>
      <c r="D7352" s="2" t="str">
        <f ca="1">IFERROR(__xludf.DUMMYFUNCTION("""COMPUTED_VALUE"""),"Dubai&gt;Nad Al Sheba&gt;Nad Al Sheba 1&gt;Nad Al Sheba Gardens&gt;Nad Al Sheba Garden 9")</f>
        <v>Dubai&gt;Nad Al Sheba&gt;Nad Al Sheba 1&gt;Nad Al Sheba Gardens&gt;Nad Al Sheba Garden 9</v>
      </c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</row>
    <row r="7353" spans="1:26" ht="16.5" x14ac:dyDescent="0.35">
      <c r="A7353" s="2" t="str">
        <f ca="1">IFERROR(__xludf.DUMMYFUNCTION("""COMPUTED_VALUE"""),"Dubai")</f>
        <v>Dubai</v>
      </c>
      <c r="B7353" s="2" t="str">
        <f ca="1">IFERROR(__xludf.DUMMYFUNCTION("""COMPUTED_VALUE"""),"Business Central Tower B")</f>
        <v>Business Central Tower B</v>
      </c>
      <c r="C7353" s="2" t="str">
        <f ca="1">IFERROR(__xludf.DUMMYFUNCTION("""COMPUTED_VALUE"""),"Building")</f>
        <v>Building</v>
      </c>
      <c r="D7353" s="2" t="str">
        <f ca="1">IFERROR(__xludf.DUMMYFUNCTION("""COMPUTED_VALUE"""),"Dubai&gt;Dubai Internet City&gt;Business Central Towers&gt;Business Central Tower B")</f>
        <v>Dubai&gt;Dubai Internet City&gt;Business Central Towers&gt;Business Central Tower B</v>
      </c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</row>
    <row r="7354" spans="1:26" ht="16.5" x14ac:dyDescent="0.35">
      <c r="A7354" s="2" t="str">
        <f ca="1">IFERROR(__xludf.DUMMYFUNCTION("""COMPUTED_VALUE"""),"Dubai")</f>
        <v>Dubai</v>
      </c>
      <c r="B7354" s="2" t="str">
        <f ca="1">IFERROR(__xludf.DUMMYFUNCTION("""COMPUTED_VALUE"""),"Le Meridien Villas")</f>
        <v>Le Meridien Villas</v>
      </c>
      <c r="C7354" s="2" t="str">
        <f ca="1">IFERROR(__xludf.DUMMYFUNCTION("""COMPUTED_VALUE"""),"Neighbourhood")</f>
        <v>Neighbourhood</v>
      </c>
      <c r="D7354" s="2" t="str">
        <f ca="1">IFERROR(__xludf.DUMMYFUNCTION("""COMPUTED_VALUE"""),"Dubai&gt;Dubai Internet City&gt;Le Meridien Villas")</f>
        <v>Dubai&gt;Dubai Internet City&gt;Le Meridien Villas</v>
      </c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</row>
    <row r="7355" spans="1:26" ht="16.5" x14ac:dyDescent="0.35">
      <c r="A7355" s="2" t="str">
        <f ca="1">IFERROR(__xludf.DUMMYFUNCTION("""COMPUTED_VALUE"""),"Dubai")</f>
        <v>Dubai</v>
      </c>
      <c r="B7355" s="2" t="str">
        <f ca="1">IFERROR(__xludf.DUMMYFUNCTION("""COMPUTED_VALUE"""),"Sirdhana Building 1")</f>
        <v>Sirdhana Building 1</v>
      </c>
      <c r="C7355" s="2" t="str">
        <f ca="1">IFERROR(__xludf.DUMMYFUNCTION("""COMPUTED_VALUE"""),"Building")</f>
        <v>Building</v>
      </c>
      <c r="D7355" s="2" t="str">
        <f ca="1">IFERROR(__xludf.DUMMYFUNCTION("""COMPUTED_VALUE"""),"Dubai&gt;Mina Rashid&gt;Sirdhana&gt;Sirdhana Building 1")</f>
        <v>Dubai&gt;Mina Rashid&gt;Sirdhana&gt;Sirdhana Building 1</v>
      </c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</row>
    <row r="7356" spans="1:26" ht="16.5" x14ac:dyDescent="0.35">
      <c r="A7356" s="2" t="str">
        <f ca="1">IFERROR(__xludf.DUMMYFUNCTION("""COMPUTED_VALUE"""),"Dubai")</f>
        <v>Dubai</v>
      </c>
      <c r="B7356" s="2" t="str">
        <f ca="1">IFERROR(__xludf.DUMMYFUNCTION("""COMPUTED_VALUE"""),"Ocean Cove Building 2")</f>
        <v>Ocean Cove Building 2</v>
      </c>
      <c r="C7356" s="2" t="str">
        <f ca="1">IFERROR(__xludf.DUMMYFUNCTION("""COMPUTED_VALUE"""),"Building")</f>
        <v>Building</v>
      </c>
      <c r="D7356" s="2" t="str">
        <f ca="1">IFERROR(__xludf.DUMMYFUNCTION("""COMPUTED_VALUE"""),"Dubai&gt;Mina Rashid&gt;Ocean Cove&gt;Ocean Cove Building 2")</f>
        <v>Dubai&gt;Mina Rashid&gt;Ocean Cove&gt;Ocean Cove Building 2</v>
      </c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</row>
    <row r="7357" spans="1:26" ht="16.5" x14ac:dyDescent="0.35">
      <c r="A7357" s="2" t="str">
        <f ca="1">IFERROR(__xludf.DUMMYFUNCTION("""COMPUTED_VALUE"""),"Dubai")</f>
        <v>Dubai</v>
      </c>
      <c r="B7357" s="2" t="str">
        <f ca="1">IFERROR(__xludf.DUMMYFUNCTION("""COMPUTED_VALUE"""),"Sector S")</f>
        <v>Sector S</v>
      </c>
      <c r="C7357" s="2" t="str">
        <f ca="1">IFERROR(__xludf.DUMMYFUNCTION("""COMPUTED_VALUE"""),"Neighbourhood")</f>
        <v>Neighbourhood</v>
      </c>
      <c r="D7357" s="2" t="str">
        <f ca="1">IFERROR(__xludf.DUMMYFUNCTION("""COMPUTED_VALUE"""),"Dubai&gt;Emirates Hills&gt;Sector S")</f>
        <v>Dubai&gt;Emirates Hills&gt;Sector S</v>
      </c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</row>
    <row r="7358" spans="1:26" ht="16.5" x14ac:dyDescent="0.35">
      <c r="A7358" s="2" t="str">
        <f ca="1">IFERROR(__xludf.DUMMYFUNCTION("""COMPUTED_VALUE"""),"Dubai")</f>
        <v>Dubai</v>
      </c>
      <c r="B7358" s="2" t="str">
        <f ca="1">IFERROR(__xludf.DUMMYFUNCTION("""COMPUTED_VALUE"""),"Jebel Ali Village Nursery Dubai Polo &amp; Equestrian Club")</f>
        <v>Jebel Ali Village Nursery Dubai Polo &amp; Equestrian Club</v>
      </c>
      <c r="C7358" s="2" t="str">
        <f ca="1">IFERROR(__xludf.DUMMYFUNCTION("""COMPUTED_VALUE"""),"Nursery")</f>
        <v>Nursery</v>
      </c>
      <c r="D7358" s="2" t="str">
        <f ca="1">IFERROR(__xludf.DUMMYFUNCTION("""COMPUTED_VALUE"""),"Dubai&gt;Arabian Ranches&gt;Jebel Ali Village Nursery Dubai Polo &amp; Equestrian Club")</f>
        <v>Dubai&gt;Arabian Ranches&gt;Jebel Ali Village Nursery Dubai Polo &amp; Equestrian Club</v>
      </c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</row>
    <row r="7359" spans="1:26" ht="16.5" x14ac:dyDescent="0.35">
      <c r="A7359" s="2" t="str">
        <f ca="1">IFERROR(__xludf.DUMMYFUNCTION("""COMPUTED_VALUE"""),"Dubai")</f>
        <v>Dubai</v>
      </c>
      <c r="B7359" s="2" t="str">
        <f ca="1">IFERROR(__xludf.DUMMYFUNCTION("""COMPUTED_VALUE"""),"Palmera 4")</f>
        <v>Palmera 4</v>
      </c>
      <c r="C7359" s="2" t="str">
        <f ca="1">IFERROR(__xludf.DUMMYFUNCTION("""COMPUTED_VALUE"""),"Neighbourhood")</f>
        <v>Neighbourhood</v>
      </c>
      <c r="D7359" s="2" t="str">
        <f ca="1">IFERROR(__xludf.DUMMYFUNCTION("""COMPUTED_VALUE"""),"Dubai&gt;Arabian Ranches&gt;Palmera&gt;Palmera 4")</f>
        <v>Dubai&gt;Arabian Ranches&gt;Palmera&gt;Palmera 4</v>
      </c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</row>
    <row r="7360" spans="1:26" ht="16.5" x14ac:dyDescent="0.35">
      <c r="A7360" s="2" t="str">
        <f ca="1">IFERROR(__xludf.DUMMYFUNCTION("""COMPUTED_VALUE"""),"Dubai")</f>
        <v>Dubai</v>
      </c>
      <c r="B7360" s="2" t="str">
        <f ca="1">IFERROR(__xludf.DUMMYFUNCTION("""COMPUTED_VALUE"""),"The Gardens Building 85")</f>
        <v>The Gardens Building 85</v>
      </c>
      <c r="C7360" s="2" t="str">
        <f ca="1">IFERROR(__xludf.DUMMYFUNCTION("""COMPUTED_VALUE"""),"Building")</f>
        <v>Building</v>
      </c>
      <c r="D7360" s="2" t="str">
        <f ca="1">IFERROR(__xludf.DUMMYFUNCTION("""COMPUTED_VALUE"""),"Dubai&gt;The Gardens&gt;The Gardens Building 85")</f>
        <v>Dubai&gt;The Gardens&gt;The Gardens Building 85</v>
      </c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</row>
    <row r="7361" spans="1:26" ht="16.5" x14ac:dyDescent="0.35">
      <c r="A7361" s="2" t="str">
        <f ca="1">IFERROR(__xludf.DUMMYFUNCTION("""COMPUTED_VALUE"""),"Dubai")</f>
        <v>Dubai</v>
      </c>
      <c r="B7361" s="2" t="str">
        <f ca="1">IFERROR(__xludf.DUMMYFUNCTION("""COMPUTED_VALUE"""),"The Gardens Building 104")</f>
        <v>The Gardens Building 104</v>
      </c>
      <c r="C7361" s="2" t="str">
        <f ca="1">IFERROR(__xludf.DUMMYFUNCTION("""COMPUTED_VALUE"""),"Building")</f>
        <v>Building</v>
      </c>
      <c r="D7361" s="2" t="str">
        <f ca="1">IFERROR(__xludf.DUMMYFUNCTION("""COMPUTED_VALUE"""),"Dubai&gt;The Gardens&gt;The Gardens Building 104")</f>
        <v>Dubai&gt;The Gardens&gt;The Gardens Building 104</v>
      </c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</row>
    <row r="7362" spans="1:26" ht="16.5" x14ac:dyDescent="0.35">
      <c r="A7362" s="2" t="str">
        <f ca="1">IFERROR(__xludf.DUMMYFUNCTION("""COMPUTED_VALUE"""),"Dubai")</f>
        <v>Dubai</v>
      </c>
      <c r="B7362" s="2" t="str">
        <f ca="1">IFERROR(__xludf.DUMMYFUNCTION("""COMPUTED_VALUE"""),"The Gardens Building 3")</f>
        <v>The Gardens Building 3</v>
      </c>
      <c r="C7362" s="2" t="str">
        <f ca="1">IFERROR(__xludf.DUMMYFUNCTION("""COMPUTED_VALUE"""),"Building")</f>
        <v>Building</v>
      </c>
      <c r="D7362" s="2" t="str">
        <f ca="1">IFERROR(__xludf.DUMMYFUNCTION("""COMPUTED_VALUE"""),"Dubai&gt;The Gardens&gt;The Gardens Building 3")</f>
        <v>Dubai&gt;The Gardens&gt;The Gardens Building 3</v>
      </c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</row>
    <row r="7363" spans="1:26" ht="16.5" x14ac:dyDescent="0.35">
      <c r="A7363" s="2" t="str">
        <f ca="1">IFERROR(__xludf.DUMMYFUNCTION("""COMPUTED_VALUE"""),"Dubai")</f>
        <v>Dubai</v>
      </c>
      <c r="B7363" s="2" t="str">
        <f ca="1">IFERROR(__xludf.DUMMYFUNCTION("""COMPUTED_VALUE"""),"Al Murooj Complex")</f>
        <v>Al Murooj Complex</v>
      </c>
      <c r="C7363" s="2" t="str">
        <f ca="1">IFERROR(__xludf.DUMMYFUNCTION("""COMPUTED_VALUE"""),"Cluster")</f>
        <v>Cluster</v>
      </c>
      <c r="D7363" s="2" t="str">
        <f ca="1">IFERROR(__xludf.DUMMYFUNCTION("""COMPUTED_VALUE"""),"Dubai&gt;Za'abeel&gt;Za'abeel 2&gt;Al Murooj Complex")</f>
        <v>Dubai&gt;Za'abeel&gt;Za'abeel 2&gt;Al Murooj Complex</v>
      </c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</row>
    <row r="7364" spans="1:26" ht="16.5" x14ac:dyDescent="0.35">
      <c r="A7364" s="2" t="str">
        <f ca="1">IFERROR(__xludf.DUMMYFUNCTION("""COMPUTED_VALUE"""),"Dubai")</f>
        <v>Dubai</v>
      </c>
      <c r="B7364" s="2" t="str">
        <f ca="1">IFERROR(__xludf.DUMMYFUNCTION("""COMPUTED_VALUE"""),"Samari Residences 4")</f>
        <v>Samari Residences 4</v>
      </c>
      <c r="C7364" s="2" t="str">
        <f ca="1">IFERROR(__xludf.DUMMYFUNCTION("""COMPUTED_VALUE"""),"Building")</f>
        <v>Building</v>
      </c>
      <c r="D7364" s="2" t="str">
        <f ca="1">IFERROR(__xludf.DUMMYFUNCTION("""COMPUTED_VALUE"""),"Dubai&gt;Ras Al Khor&gt;Ras Al Khor Industrial&gt;Ras Al Khor Industrial 3&gt;Samari Residences&gt;Samari Residences 4")</f>
        <v>Dubai&gt;Ras Al Khor&gt;Ras Al Khor Industrial&gt;Ras Al Khor Industrial 3&gt;Samari Residences&gt;Samari Residences 4</v>
      </c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</row>
    <row r="7365" spans="1:26" ht="16.5" x14ac:dyDescent="0.35">
      <c r="A7365" s="2" t="str">
        <f ca="1">IFERROR(__xludf.DUMMYFUNCTION("""COMPUTED_VALUE"""),"Dubai")</f>
        <v>Dubai</v>
      </c>
      <c r="B7365" s="2" t="str">
        <f ca="1">IFERROR(__xludf.DUMMYFUNCTION("""COMPUTED_VALUE"""),"Rahala Residences")</f>
        <v>Rahala Residences</v>
      </c>
      <c r="C7365" s="2" t="str">
        <f ca="1">IFERROR(__xludf.DUMMYFUNCTION("""COMPUTED_VALUE"""),"Building")</f>
        <v>Building</v>
      </c>
      <c r="D7365" s="2" t="str">
        <f ca="1">IFERROR(__xludf.DUMMYFUNCTION("""COMPUTED_VALUE"""),"Dubai&gt;Jebel Ali&gt;Ibn Battuta Gate&gt;Rahala Residences")</f>
        <v>Dubai&gt;Jebel Ali&gt;Ibn Battuta Gate&gt;Rahala Residences</v>
      </c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</row>
    <row r="7366" spans="1:26" ht="16.5" x14ac:dyDescent="0.35">
      <c r="A7366" s="2" t="str">
        <f ca="1">IFERROR(__xludf.DUMMYFUNCTION("""COMPUTED_VALUE"""),"Dubai")</f>
        <v>Dubai</v>
      </c>
      <c r="B7366" s="2" t="str">
        <f ca="1">IFERROR(__xludf.DUMMYFUNCTION("""COMPUTED_VALUE"""),"Zenith Camp C1")</f>
        <v>Zenith Camp C1</v>
      </c>
      <c r="C7366" s="2" t="str">
        <f ca="1">IFERROR(__xludf.DUMMYFUNCTION("""COMPUTED_VALUE"""),"Building")</f>
        <v>Building</v>
      </c>
      <c r="D7366" s="2" t="str">
        <f ca="1">IFERROR(__xludf.DUMMYFUNCTION("""COMPUTED_VALUE"""),"Dubai&gt;Jebel Ali&gt;Jebel Ali Industrial Area&gt;Jebel Ali Industrial Area 1&gt;Zenith Camp C1")</f>
        <v>Dubai&gt;Jebel Ali&gt;Jebel Ali Industrial Area&gt;Jebel Ali Industrial Area 1&gt;Zenith Camp C1</v>
      </c>
      <c r="E7366" s="2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</row>
    <row r="7367" spans="1:26" ht="16.5" x14ac:dyDescent="0.35">
      <c r="A7367" s="2" t="str">
        <f ca="1">IFERROR(__xludf.DUMMYFUNCTION("""COMPUTED_VALUE"""),"Dubai")</f>
        <v>Dubai</v>
      </c>
      <c r="B7367" s="2" t="str">
        <f ca="1">IFERROR(__xludf.DUMMYFUNCTION("""COMPUTED_VALUE"""),"The Nadd Residence")</f>
        <v>The Nadd Residence</v>
      </c>
      <c r="C7367" s="2" t="str">
        <f ca="1">IFERROR(__xludf.DUMMYFUNCTION("""COMPUTED_VALUE"""),"Building")</f>
        <v>Building</v>
      </c>
      <c r="D7367" s="2" t="str">
        <f ca="1">IFERROR(__xludf.DUMMYFUNCTION("""COMPUTED_VALUE"""),"Dubai&gt;Nad Al Hamar&gt;The Nadd Residence")</f>
        <v>Dubai&gt;Nad Al Hamar&gt;The Nadd Residence</v>
      </c>
      <c r="E7367" s="2"/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</row>
    <row r="7368" spans="1:26" ht="16.5" x14ac:dyDescent="0.35">
      <c r="A7368" s="2" t="str">
        <f ca="1">IFERROR(__xludf.DUMMYFUNCTION("""COMPUTED_VALUE"""),"Dubai")</f>
        <v>Dubai</v>
      </c>
      <c r="B7368" s="2" t="str">
        <f ca="1">IFERROR(__xludf.DUMMYFUNCTION("""COMPUTED_VALUE"""),"Al Telal 19")</f>
        <v>Al Telal 19</v>
      </c>
      <c r="C7368" s="2" t="str">
        <f ca="1">IFERROR(__xludf.DUMMYFUNCTION("""COMPUTED_VALUE"""),"Building")</f>
        <v>Building</v>
      </c>
      <c r="D7368" s="2" t="str">
        <f ca="1">IFERROR(__xludf.DUMMYFUNCTION("""COMPUTED_VALUE"""),"Dubai&gt;Nad Al Hamar&gt;Al Telal 19")</f>
        <v>Dubai&gt;Nad Al Hamar&gt;Al Telal 19</v>
      </c>
      <c r="E7368" s="2"/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</row>
    <row r="7369" spans="1:26" ht="16.5" x14ac:dyDescent="0.35">
      <c r="A7369" s="2" t="str">
        <f ca="1">IFERROR(__xludf.DUMMYFUNCTION("""COMPUTED_VALUE"""),"Dubai")</f>
        <v>Dubai</v>
      </c>
      <c r="B7369" s="2" t="str">
        <f ca="1">IFERROR(__xludf.DUMMYFUNCTION("""COMPUTED_VALUE"""),"Lulu Building")</f>
        <v>Lulu Building</v>
      </c>
      <c r="C7369" s="2" t="str">
        <f ca="1">IFERROR(__xludf.DUMMYFUNCTION("""COMPUTED_VALUE"""),"Building")</f>
        <v>Building</v>
      </c>
      <c r="D7369" s="2" t="str">
        <f ca="1">IFERROR(__xludf.DUMMYFUNCTION("""COMPUTED_VALUE"""),"Dubai&gt;Al Barsha&gt;Al Barsha 1&gt;Lulu Building")</f>
        <v>Dubai&gt;Al Barsha&gt;Al Barsha 1&gt;Lulu Building</v>
      </c>
      <c r="E7369" s="2"/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</row>
    <row r="7370" spans="1:26" ht="16.5" x14ac:dyDescent="0.35">
      <c r="A7370" s="2" t="str">
        <f ca="1">IFERROR(__xludf.DUMMYFUNCTION("""COMPUTED_VALUE"""),"Dubai")</f>
        <v>Dubai</v>
      </c>
      <c r="B7370" s="2" t="str">
        <f ca="1">IFERROR(__xludf.DUMMYFUNCTION("""COMPUTED_VALUE"""),"Al Attar Business Centre")</f>
        <v>Al Attar Business Centre</v>
      </c>
      <c r="C7370" s="2" t="str">
        <f ca="1">IFERROR(__xludf.DUMMYFUNCTION("""COMPUTED_VALUE"""),"Building")</f>
        <v>Building</v>
      </c>
      <c r="D7370" s="2" t="str">
        <f ca="1">IFERROR(__xludf.DUMMYFUNCTION("""COMPUTED_VALUE"""),"Dubai&gt;Al Barsha&gt;Al Barsha 1&gt;Al Attar Business Centre")</f>
        <v>Dubai&gt;Al Barsha&gt;Al Barsha 1&gt;Al Attar Business Centre</v>
      </c>
      <c r="E7370" s="2"/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</row>
    <row r="7371" spans="1:26" ht="16.5" x14ac:dyDescent="0.35">
      <c r="A7371" s="2" t="str">
        <f ca="1">IFERROR(__xludf.DUMMYFUNCTION("""COMPUTED_VALUE"""),"Dubai")</f>
        <v>Dubai</v>
      </c>
      <c r="B7371" s="2" t="str">
        <f ca="1">IFERROR(__xludf.DUMMYFUNCTION("""COMPUTED_VALUE"""),"Barsha Valley")</f>
        <v>Barsha Valley</v>
      </c>
      <c r="C7371" s="2" t="str">
        <f ca="1">IFERROR(__xludf.DUMMYFUNCTION("""COMPUTED_VALUE"""),"Building")</f>
        <v>Building</v>
      </c>
      <c r="D7371" s="2" t="str">
        <f ca="1">IFERROR(__xludf.DUMMYFUNCTION("""COMPUTED_VALUE"""),"Dubai&gt;Al Barsha&gt;Al Barsha 1&gt;Barsha Valley")</f>
        <v>Dubai&gt;Al Barsha&gt;Al Barsha 1&gt;Barsha Valley</v>
      </c>
      <c r="E7371" s="2"/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</row>
    <row r="7372" spans="1:26" ht="16.5" x14ac:dyDescent="0.35">
      <c r="A7372" s="2" t="str">
        <f ca="1">IFERROR(__xludf.DUMMYFUNCTION("""COMPUTED_VALUE"""),"Dubai")</f>
        <v>Dubai</v>
      </c>
      <c r="B7372" s="2" t="str">
        <f ca="1">IFERROR(__xludf.DUMMYFUNCTION("""COMPUTED_VALUE"""),"Cosmo Villas")</f>
        <v>Cosmo Villas</v>
      </c>
      <c r="C7372" s="2" t="str">
        <f ca="1">IFERROR(__xludf.DUMMYFUNCTION("""COMPUTED_VALUE"""),"Neighbourhood")</f>
        <v>Neighbourhood</v>
      </c>
      <c r="D7372" s="2" t="str">
        <f ca="1">IFERROR(__xludf.DUMMYFUNCTION("""COMPUTED_VALUE"""),"Dubai&gt;Al Barsha&gt;Al Barsha 1&gt;Cosmo Villas")</f>
        <v>Dubai&gt;Al Barsha&gt;Al Barsha 1&gt;Cosmo Villas</v>
      </c>
      <c r="E7372" s="2"/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</row>
    <row r="7373" spans="1:26" ht="16.5" x14ac:dyDescent="0.35">
      <c r="A7373" s="2" t="str">
        <f ca="1">IFERROR(__xludf.DUMMYFUNCTION("""COMPUTED_VALUE"""),"Dubai")</f>
        <v>Dubai</v>
      </c>
      <c r="B7373" s="2" t="str">
        <f ca="1">IFERROR(__xludf.DUMMYFUNCTION("""COMPUTED_VALUE"""),"Signature Hotel")</f>
        <v>Signature Hotel</v>
      </c>
      <c r="C7373" s="2" t="str">
        <f ca="1">IFERROR(__xludf.DUMMYFUNCTION("""COMPUTED_VALUE"""),"Building")</f>
        <v>Building</v>
      </c>
      <c r="D7373" s="2" t="str">
        <f ca="1">IFERROR(__xludf.DUMMYFUNCTION("""COMPUTED_VALUE"""),"Dubai&gt;Al Barsha&gt;Al Barsha 1&gt;Signature Hotel")</f>
        <v>Dubai&gt;Al Barsha&gt;Al Barsha 1&gt;Signature Hotel</v>
      </c>
      <c r="E7373" s="2"/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</row>
    <row r="7374" spans="1:26" ht="16.5" x14ac:dyDescent="0.35">
      <c r="A7374" s="2" t="str">
        <f ca="1">IFERROR(__xludf.DUMMYFUNCTION("""COMPUTED_VALUE"""),"Dubai")</f>
        <v>Dubai</v>
      </c>
      <c r="B7374" s="2" t="str">
        <f ca="1">IFERROR(__xludf.DUMMYFUNCTION("""COMPUTED_VALUE"""),"Al Barsha Palace")</f>
        <v>Al Barsha Palace</v>
      </c>
      <c r="C7374" s="2" t="str">
        <f ca="1">IFERROR(__xludf.DUMMYFUNCTION("""COMPUTED_VALUE"""),"Building")</f>
        <v>Building</v>
      </c>
      <c r="D7374" s="2" t="str">
        <f ca="1">IFERROR(__xludf.DUMMYFUNCTION("""COMPUTED_VALUE"""),"Dubai&gt;Al Barsha&gt;Al Barsha 1&gt;Al Barsha Palace")</f>
        <v>Dubai&gt;Al Barsha&gt;Al Barsha 1&gt;Al Barsha Palace</v>
      </c>
      <c r="E7374" s="2"/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</row>
    <row r="7375" spans="1:26" ht="16.5" x14ac:dyDescent="0.35">
      <c r="A7375" s="2" t="str">
        <f ca="1">IFERROR(__xludf.DUMMYFUNCTION("""COMPUTED_VALUE"""),"Dubai")</f>
        <v>Dubai</v>
      </c>
      <c r="B7375" s="2" t="str">
        <f ca="1">IFERROR(__xludf.DUMMYFUNCTION("""COMPUTED_VALUE"""),"Bin Shama 1")</f>
        <v>Bin Shama 1</v>
      </c>
      <c r="C7375" s="2" t="str">
        <f ca="1">IFERROR(__xludf.DUMMYFUNCTION("""COMPUTED_VALUE"""),"Building")</f>
        <v>Building</v>
      </c>
      <c r="D7375" s="2" t="str">
        <f ca="1">IFERROR(__xludf.DUMMYFUNCTION("""COMPUTED_VALUE"""),"Dubai&gt;Al Barsha&gt;Al Barsha 1&gt;Bin Shama 1")</f>
        <v>Dubai&gt;Al Barsha&gt;Al Barsha 1&gt;Bin Shama 1</v>
      </c>
      <c r="E7375" s="2"/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</row>
    <row r="7376" spans="1:26" ht="16.5" x14ac:dyDescent="0.35">
      <c r="A7376" s="2" t="str">
        <f ca="1">IFERROR(__xludf.DUMMYFUNCTION("""COMPUTED_VALUE"""),"Dubai")</f>
        <v>Dubai</v>
      </c>
      <c r="B7376" s="2" t="str">
        <f ca="1">IFERROR(__xludf.DUMMYFUNCTION("""COMPUTED_VALUE"""),"Solaire 2")</f>
        <v>Solaire 2</v>
      </c>
      <c r="C7376" s="2" t="str">
        <f ca="1">IFERROR(__xludf.DUMMYFUNCTION("""COMPUTED_VALUE"""),"Building")</f>
        <v>Building</v>
      </c>
      <c r="D7376" s="2" t="str">
        <f ca="1">IFERROR(__xludf.DUMMYFUNCTION("""COMPUTED_VALUE"""),"Dubai&gt;Al Barsha&gt;Al Barsha 1&gt;Solaire 2")</f>
        <v>Dubai&gt;Al Barsha&gt;Al Barsha 1&gt;Solaire 2</v>
      </c>
      <c r="E7376" s="2"/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</row>
    <row r="7377" spans="1:26" ht="16.5" x14ac:dyDescent="0.35">
      <c r="A7377" s="2" t="str">
        <f ca="1">IFERROR(__xludf.DUMMYFUNCTION("""COMPUTED_VALUE"""),"Dubai")</f>
        <v>Dubai</v>
      </c>
      <c r="B7377" s="2" t="str">
        <f ca="1">IFERROR(__xludf.DUMMYFUNCTION("""COMPUTED_VALUE"""),"Hessa Building")</f>
        <v>Hessa Building</v>
      </c>
      <c r="C7377" s="2" t="str">
        <f ca="1">IFERROR(__xludf.DUMMYFUNCTION("""COMPUTED_VALUE"""),"Building")</f>
        <v>Building</v>
      </c>
      <c r="D7377" s="2" t="str">
        <f ca="1">IFERROR(__xludf.DUMMYFUNCTION("""COMPUTED_VALUE"""),"Dubai&gt;Al Barsha&gt;Al Barsha 1&gt;Hessa Building")</f>
        <v>Dubai&gt;Al Barsha&gt;Al Barsha 1&gt;Hessa Building</v>
      </c>
      <c r="E7377" s="2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</row>
    <row r="7378" spans="1:26" ht="16.5" x14ac:dyDescent="0.35">
      <c r="A7378" s="2" t="str">
        <f ca="1">IFERROR(__xludf.DUMMYFUNCTION("""COMPUTED_VALUE"""),"Dubai")</f>
        <v>Dubai</v>
      </c>
      <c r="B7378" s="2" t="str">
        <f ca="1">IFERROR(__xludf.DUMMYFUNCTION("""COMPUTED_VALUE"""),"Dubai Heights Academy")</f>
        <v>Dubai Heights Academy</v>
      </c>
      <c r="C7378" s="2" t="str">
        <f ca="1">IFERROR(__xludf.DUMMYFUNCTION("""COMPUTED_VALUE"""),"School")</f>
        <v>School</v>
      </c>
      <c r="D7378" s="2" t="str">
        <f ca="1">IFERROR(__xludf.DUMMYFUNCTION("""COMPUTED_VALUE"""),"Dubai&gt;Al Barsha&gt;Al Barsha 2&gt;Dubai Heights Academy")</f>
        <v>Dubai&gt;Al Barsha&gt;Al Barsha 2&gt;Dubai Heights Academy</v>
      </c>
      <c r="E7378" s="2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</row>
    <row r="7379" spans="1:26" ht="16.5" x14ac:dyDescent="0.35">
      <c r="A7379" s="2" t="str">
        <f ca="1">IFERROR(__xludf.DUMMYFUNCTION("""COMPUTED_VALUE"""),"Dubai")</f>
        <v>Dubai</v>
      </c>
      <c r="B7379" s="2" t="str">
        <f ca="1">IFERROR(__xludf.DUMMYFUNCTION("""COMPUTED_VALUE"""),"Boulevard Crescent Podium")</f>
        <v>Boulevard Crescent Podium</v>
      </c>
      <c r="C7379" s="2" t="str">
        <f ca="1">IFERROR(__xludf.DUMMYFUNCTION("""COMPUTED_VALUE"""),"Building")</f>
        <v>Building</v>
      </c>
      <c r="D7379" s="2" t="str">
        <f ca="1">IFERROR(__xludf.DUMMYFUNCTION("""COMPUTED_VALUE"""),"Dubai&gt;Downtown Dubai&gt;Boulevard Crescent Towers&gt;Boulevard Crescent Podium")</f>
        <v>Dubai&gt;Downtown Dubai&gt;Boulevard Crescent Towers&gt;Boulevard Crescent Podium</v>
      </c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</row>
    <row r="7380" spans="1:26" ht="16.5" x14ac:dyDescent="0.35">
      <c r="A7380" s="2" t="str">
        <f ca="1">IFERROR(__xludf.DUMMYFUNCTION("""COMPUTED_VALUE"""),"Dubai")</f>
        <v>Dubai</v>
      </c>
      <c r="B7380" s="2" t="str">
        <f ca="1">IFERROR(__xludf.DUMMYFUNCTION("""COMPUTED_VALUE"""),"The Residence 9")</f>
        <v>The Residence 9</v>
      </c>
      <c r="C7380" s="2" t="str">
        <f ca="1">IFERROR(__xludf.DUMMYFUNCTION("""COMPUTED_VALUE"""),"Building")</f>
        <v>Building</v>
      </c>
      <c r="D7380" s="2" t="str">
        <f ca="1">IFERROR(__xludf.DUMMYFUNCTION("""COMPUTED_VALUE"""),"Dubai&gt;Downtown Dubai&gt;The Residences&gt;The Residence 9")</f>
        <v>Dubai&gt;Downtown Dubai&gt;The Residences&gt;The Residence 9</v>
      </c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</row>
    <row r="7381" spans="1:26" ht="16.5" x14ac:dyDescent="0.35">
      <c r="A7381" s="2" t="str">
        <f ca="1">IFERROR(__xludf.DUMMYFUNCTION("""COMPUTED_VALUE"""),"Dubai")</f>
        <v>Dubai</v>
      </c>
      <c r="B7381" s="2" t="str">
        <f ca="1">IFERROR(__xludf.DUMMYFUNCTION("""COMPUTED_VALUE"""),"Boulevard Central")</f>
        <v>Boulevard Central</v>
      </c>
      <c r="C7381" s="2" t="str">
        <f ca="1">IFERROR(__xludf.DUMMYFUNCTION("""COMPUTED_VALUE"""),"Building")</f>
        <v>Building</v>
      </c>
      <c r="D7381" s="2" t="str">
        <f ca="1">IFERROR(__xludf.DUMMYFUNCTION("""COMPUTED_VALUE"""),"Dubai&gt;Downtown Dubai&gt;Boulevard Central")</f>
        <v>Dubai&gt;Downtown Dubai&gt;Boulevard Central</v>
      </c>
      <c r="E7381" s="2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</row>
    <row r="7382" spans="1:26" ht="16.5" x14ac:dyDescent="0.35">
      <c r="A7382" s="2" t="str">
        <f ca="1">IFERROR(__xludf.DUMMYFUNCTION("""COMPUTED_VALUE"""),"Dubai")</f>
        <v>Dubai</v>
      </c>
      <c r="B7382" s="2" t="str">
        <f ca="1">IFERROR(__xludf.DUMMYFUNCTION("""COMPUTED_VALUE"""),"Old Town")</f>
        <v>Old Town</v>
      </c>
      <c r="C7382" s="2" t="str">
        <f ca="1">IFERROR(__xludf.DUMMYFUNCTION("""COMPUTED_VALUE"""),"Neighbourhood")</f>
        <v>Neighbourhood</v>
      </c>
      <c r="D7382" s="2" t="str">
        <f ca="1">IFERROR(__xludf.DUMMYFUNCTION("""COMPUTED_VALUE"""),"Dubai&gt;Downtown Dubai&gt;Old Town")</f>
        <v>Dubai&gt;Downtown Dubai&gt;Old Town</v>
      </c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</row>
    <row r="7383" spans="1:26" ht="16.5" x14ac:dyDescent="0.35">
      <c r="A7383" s="2" t="str">
        <f ca="1">IFERROR(__xludf.DUMMYFUNCTION("""COMPUTED_VALUE"""),"Dubai")</f>
        <v>Dubai</v>
      </c>
      <c r="B7383" s="2" t="str">
        <f ca="1">IFERROR(__xludf.DUMMYFUNCTION("""COMPUTED_VALUE"""),"Zanzebeel")</f>
        <v>Zanzebeel</v>
      </c>
      <c r="C7383" s="2" t="str">
        <f ca="1">IFERROR(__xludf.DUMMYFUNCTION("""COMPUTED_VALUE"""),"Cluster")</f>
        <v>Cluster</v>
      </c>
      <c r="D7383" s="2" t="str">
        <f ca="1">IFERROR(__xludf.DUMMYFUNCTION("""COMPUTED_VALUE"""),"Dubai&gt;Downtown Dubai&gt;Old Town&gt;Zanzebeel")</f>
        <v>Dubai&gt;Downtown Dubai&gt;Old Town&gt;Zanzebeel</v>
      </c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</row>
    <row r="7384" spans="1:26" ht="16.5" x14ac:dyDescent="0.35">
      <c r="A7384" s="2" t="str">
        <f ca="1">IFERROR(__xludf.DUMMYFUNCTION("""COMPUTED_VALUE"""),"Dubai")</f>
        <v>Dubai</v>
      </c>
      <c r="B7384" s="2" t="str">
        <f ca="1">IFERROR(__xludf.DUMMYFUNCTION("""COMPUTED_VALUE"""),"Society House")</f>
        <v>Society House</v>
      </c>
      <c r="C7384" s="2" t="str">
        <f ca="1">IFERROR(__xludf.DUMMYFUNCTION("""COMPUTED_VALUE"""),"Building")</f>
        <v>Building</v>
      </c>
      <c r="D7384" s="2" t="str">
        <f ca="1">IFERROR(__xludf.DUMMYFUNCTION("""COMPUTED_VALUE"""),"Dubai&gt;Downtown Dubai&gt;Society House")</f>
        <v>Dubai&gt;Downtown Dubai&gt;Society House</v>
      </c>
      <c r="E7384" s="2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</row>
    <row r="7385" spans="1:26" ht="16.5" x14ac:dyDescent="0.35">
      <c r="A7385" s="2" t="str">
        <f ca="1">IFERROR(__xludf.DUMMYFUNCTION("""COMPUTED_VALUE"""),"Dubai")</f>
        <v>Dubai</v>
      </c>
      <c r="B7385" s="2" t="str">
        <f ca="1">IFERROR(__xludf.DUMMYFUNCTION("""COMPUTED_VALUE"""),"Vida Dubai Mall Tower 2")</f>
        <v>Vida Dubai Mall Tower 2</v>
      </c>
      <c r="C7385" s="2" t="str">
        <f ca="1">IFERROR(__xludf.DUMMYFUNCTION("""COMPUTED_VALUE"""),"Building")</f>
        <v>Building</v>
      </c>
      <c r="D7385" s="2" t="str">
        <f ca="1">IFERROR(__xludf.DUMMYFUNCTION("""COMPUTED_VALUE"""),"Dubai&gt;Downtown Dubai&gt;Vida Dubai Mall&gt;Vida Dubai Mall Tower 2")</f>
        <v>Dubai&gt;Downtown Dubai&gt;Vida Dubai Mall&gt;Vida Dubai Mall Tower 2</v>
      </c>
      <c r="E7385" s="2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</row>
    <row r="7386" spans="1:26" ht="16.5" x14ac:dyDescent="0.35">
      <c r="A7386" s="2" t="str">
        <f ca="1">IFERROR(__xludf.DUMMYFUNCTION("""COMPUTED_VALUE"""),"Dubai")</f>
        <v>Dubai</v>
      </c>
      <c r="B7386" s="2" t="str">
        <f ca="1">IFERROR(__xludf.DUMMYFUNCTION("""COMPUTED_VALUE"""),"Mazaya 27")</f>
        <v>Mazaya 27</v>
      </c>
      <c r="C7386" s="2" t="str">
        <f ca="1">IFERROR(__xludf.DUMMYFUNCTION("""COMPUTED_VALUE"""),"Building")</f>
        <v>Building</v>
      </c>
      <c r="D7386" s="2" t="str">
        <f ca="1">IFERROR(__xludf.DUMMYFUNCTION("""COMPUTED_VALUE"""),"Dubai&gt;Liwan&gt;Queue Point&gt;Mazaya 27")</f>
        <v>Dubai&gt;Liwan&gt;Queue Point&gt;Mazaya 27</v>
      </c>
      <c r="E7386" s="2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</row>
    <row r="7387" spans="1:26" ht="16.5" x14ac:dyDescent="0.35">
      <c r="A7387" s="2" t="str">
        <f ca="1">IFERROR(__xludf.DUMMYFUNCTION("""COMPUTED_VALUE"""),"Dubai")</f>
        <v>Dubai</v>
      </c>
      <c r="B7387" s="2" t="str">
        <f ca="1">IFERROR(__xludf.DUMMYFUNCTION("""COMPUTED_VALUE"""),"Empire Lake Views")</f>
        <v>Empire Lake Views</v>
      </c>
      <c r="C7387" s="2" t="str">
        <f ca="1">IFERROR(__xludf.DUMMYFUNCTION("""COMPUTED_VALUE"""),"Building")</f>
        <v>Building</v>
      </c>
      <c r="D7387" s="2" t="str">
        <f ca="1">IFERROR(__xludf.DUMMYFUNCTION("""COMPUTED_VALUE"""),"Dubai&gt;Liwan&gt;Empire Lake Views")</f>
        <v>Dubai&gt;Liwan&gt;Empire Lake Views</v>
      </c>
      <c r="E7387" s="2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</row>
    <row r="7388" spans="1:26" ht="16.5" x14ac:dyDescent="0.35">
      <c r="A7388" s="2" t="str">
        <f ca="1">IFERROR(__xludf.DUMMYFUNCTION("""COMPUTED_VALUE"""),"Dubai")</f>
        <v>Dubai</v>
      </c>
      <c r="B7388" s="2" t="str">
        <f ca="1">IFERROR(__xludf.DUMMYFUNCTION("""COMPUTED_VALUE"""),"Al Wasl Building R342")</f>
        <v>Al Wasl Building R342</v>
      </c>
      <c r="C7388" s="2" t="str">
        <f ca="1">IFERROR(__xludf.DUMMYFUNCTION("""COMPUTED_VALUE"""),"Building")</f>
        <v>Building</v>
      </c>
      <c r="D7388" s="2" t="str">
        <f ca="1">IFERROR(__xludf.DUMMYFUNCTION("""COMPUTED_VALUE"""),"Dubai&gt;Al Jafiliya&gt;Al Wasl Building R342")</f>
        <v>Dubai&gt;Al Jafiliya&gt;Al Wasl Building R342</v>
      </c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</row>
    <row r="7389" spans="1:26" ht="16.5" x14ac:dyDescent="0.35">
      <c r="A7389" s="2" t="str">
        <f ca="1">IFERROR(__xludf.DUMMYFUNCTION("""COMPUTED_VALUE"""),"Dubai")</f>
        <v>Dubai</v>
      </c>
      <c r="B7389" s="2" t="str">
        <f ca="1">IFERROR(__xludf.DUMMYFUNCTION("""COMPUTED_VALUE"""),"Al Fattan Currency House")</f>
        <v>Al Fattan Currency House</v>
      </c>
      <c r="C7389" s="2" t="str">
        <f ca="1">IFERROR(__xludf.DUMMYFUNCTION("""COMPUTED_VALUE"""),"Building")</f>
        <v>Building</v>
      </c>
      <c r="D7389" s="2" t="str">
        <f ca="1">IFERROR(__xludf.DUMMYFUNCTION("""COMPUTED_VALUE"""),"Dubai&gt;DIFC&gt;Al Fattan Currency House")</f>
        <v>Dubai&gt;DIFC&gt;Al Fattan Currency House</v>
      </c>
      <c r="E7389" s="2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</row>
    <row r="7390" spans="1:26" ht="16.5" x14ac:dyDescent="0.35">
      <c r="A7390" s="2" t="str">
        <f ca="1">IFERROR(__xludf.DUMMYFUNCTION("""COMPUTED_VALUE"""),"Dubai")</f>
        <v>Dubai</v>
      </c>
      <c r="B7390" s="2" t="str">
        <f ca="1">IFERROR(__xludf.DUMMYFUNCTION("""COMPUTED_VALUE"""),"Al Salam Community School")</f>
        <v>Al Salam Community School</v>
      </c>
      <c r="C7390" s="2" t="str">
        <f ca="1">IFERROR(__xludf.DUMMYFUNCTION("""COMPUTED_VALUE"""),"School")</f>
        <v>School</v>
      </c>
      <c r="D7390" s="2" t="str">
        <f ca="1">IFERROR(__xludf.DUMMYFUNCTION("""COMPUTED_VALUE"""),"Dubai&gt;Al Twar&gt;Al Twar 2&gt;Al Salam Community School")</f>
        <v>Dubai&gt;Al Twar&gt;Al Twar 2&gt;Al Salam Community School</v>
      </c>
      <c r="E7390" s="2"/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</row>
    <row r="7391" spans="1:26" ht="16.5" x14ac:dyDescent="0.35">
      <c r="A7391" s="2" t="str">
        <f ca="1">IFERROR(__xludf.DUMMYFUNCTION("""COMPUTED_VALUE"""),"Dubai")</f>
        <v>Dubai</v>
      </c>
      <c r="B7391" s="2" t="str">
        <f ca="1">IFERROR(__xludf.DUMMYFUNCTION("""COMPUTED_VALUE"""),"Al Shama Building")</f>
        <v>Al Shama Building</v>
      </c>
      <c r="C7391" s="2" t="str">
        <f ca="1">IFERROR(__xludf.DUMMYFUNCTION("""COMPUTED_VALUE"""),"Building")</f>
        <v>Building</v>
      </c>
      <c r="D7391" s="2" t="str">
        <f ca="1">IFERROR(__xludf.DUMMYFUNCTION("""COMPUTED_VALUE"""),"Dubai&gt;Al Warqaa&gt;Al Warqaa 1&gt;Al Shama Building")</f>
        <v>Dubai&gt;Al Warqaa&gt;Al Warqaa 1&gt;Al Shama Building</v>
      </c>
      <c r="E7391" s="2"/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</row>
    <row r="7392" spans="1:26" ht="16.5" x14ac:dyDescent="0.35">
      <c r="A7392" s="2" t="str">
        <f ca="1">IFERROR(__xludf.DUMMYFUNCTION("""COMPUTED_VALUE"""),"Dubai")</f>
        <v>Dubai</v>
      </c>
      <c r="B7392" s="2" t="str">
        <f ca="1">IFERROR(__xludf.DUMMYFUNCTION("""COMPUTED_VALUE"""),"Qubaisi 2 Building")</f>
        <v>Qubaisi 2 Building</v>
      </c>
      <c r="C7392" s="2" t="str">
        <f ca="1">IFERROR(__xludf.DUMMYFUNCTION("""COMPUTED_VALUE"""),"Building")</f>
        <v>Building</v>
      </c>
      <c r="D7392" s="2" t="str">
        <f ca="1">IFERROR(__xludf.DUMMYFUNCTION("""COMPUTED_VALUE"""),"Dubai&gt;Al Warqaa&gt;Al Warqaa 1&gt;Qubaisi 2 Building")</f>
        <v>Dubai&gt;Al Warqaa&gt;Al Warqaa 1&gt;Qubaisi 2 Building</v>
      </c>
      <c r="E7392" s="2"/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</row>
    <row r="7393" spans="1:26" ht="16.5" x14ac:dyDescent="0.35">
      <c r="A7393" s="2" t="str">
        <f ca="1">IFERROR(__xludf.DUMMYFUNCTION("""COMPUTED_VALUE"""),"Dubai")</f>
        <v>Dubai</v>
      </c>
      <c r="B7393" s="2" t="str">
        <f ca="1">IFERROR(__xludf.DUMMYFUNCTION("""COMPUTED_VALUE"""),"Al Salam 99 Building")</f>
        <v>Al Salam 99 Building</v>
      </c>
      <c r="C7393" s="2" t="str">
        <f ca="1">IFERROR(__xludf.DUMMYFUNCTION("""COMPUTED_VALUE"""),"Building")</f>
        <v>Building</v>
      </c>
      <c r="D7393" s="2" t="str">
        <f ca="1">IFERROR(__xludf.DUMMYFUNCTION("""COMPUTED_VALUE"""),"Dubai&gt;Al Warqaa&gt;Al Warqaa 1&gt;Al Salam 99 Building")</f>
        <v>Dubai&gt;Al Warqaa&gt;Al Warqaa 1&gt;Al Salam 99 Building</v>
      </c>
      <c r="E7393" s="2"/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</row>
    <row r="7394" spans="1:26" ht="16.5" x14ac:dyDescent="0.35">
      <c r="A7394" s="2" t="str">
        <f ca="1">IFERROR(__xludf.DUMMYFUNCTION("""COMPUTED_VALUE"""),"Dubai")</f>
        <v>Dubai</v>
      </c>
      <c r="B7394" s="2" t="str">
        <f ca="1">IFERROR(__xludf.DUMMYFUNCTION("""COMPUTED_VALUE"""),"Khalid Yousuf Mohammad Al Dowais Al Shamsi Building")</f>
        <v>Khalid Yousuf Mohammad Al Dowais Al Shamsi Building</v>
      </c>
      <c r="C7394" s="2" t="str">
        <f ca="1">IFERROR(__xludf.DUMMYFUNCTION("""COMPUTED_VALUE"""),"Building")</f>
        <v>Building</v>
      </c>
      <c r="D7394" s="2" t="str">
        <f ca="1">IFERROR(__xludf.DUMMYFUNCTION("""COMPUTED_VALUE"""),"Dubai&gt;Al Warqaa&gt;Al Warqaa 1&gt;Khalid Yousuf Mohammad Al Dowais Al Shamsi Building")</f>
        <v>Dubai&gt;Al Warqaa&gt;Al Warqaa 1&gt;Khalid Yousuf Mohammad Al Dowais Al Shamsi Building</v>
      </c>
      <c r="E7394" s="2"/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</row>
    <row r="7395" spans="1:26" ht="16.5" x14ac:dyDescent="0.35">
      <c r="A7395" s="2" t="str">
        <f ca="1">IFERROR(__xludf.DUMMYFUNCTION("""COMPUTED_VALUE"""),"Dubai")</f>
        <v>Dubai</v>
      </c>
      <c r="B7395" s="2" t="str">
        <f ca="1">IFERROR(__xludf.DUMMYFUNCTION("""COMPUTED_VALUE"""),"Goldcrest Executive")</f>
        <v>Goldcrest Executive</v>
      </c>
      <c r="C7395" s="2" t="str">
        <f ca="1">IFERROR(__xludf.DUMMYFUNCTION("""COMPUTED_VALUE"""),"Building")</f>
        <v>Building</v>
      </c>
      <c r="D7395" s="2" t="str">
        <f ca="1">IFERROR(__xludf.DUMMYFUNCTION("""COMPUTED_VALUE"""),"Dubai&gt;Jumeirah Lake Towers (JLT)&gt;JLT Cluster C&gt;Goldcrest Executive")</f>
        <v>Dubai&gt;Jumeirah Lake Towers (JLT)&gt;JLT Cluster C&gt;Goldcrest Executive</v>
      </c>
      <c r="E7395" s="2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</row>
    <row r="7396" spans="1:26" ht="16.5" x14ac:dyDescent="0.35">
      <c r="A7396" s="2" t="str">
        <f ca="1">IFERROR(__xludf.DUMMYFUNCTION("""COMPUTED_VALUE"""),"Dubai")</f>
        <v>Dubai</v>
      </c>
      <c r="B7396" s="2" t="str">
        <f ca="1">IFERROR(__xludf.DUMMYFUNCTION("""COMPUTED_VALUE"""),"JLT Cluster K")</f>
        <v>JLT Cluster K</v>
      </c>
      <c r="C7396" s="2" t="str">
        <f ca="1">IFERROR(__xludf.DUMMYFUNCTION("""COMPUTED_VALUE"""),"Cluster")</f>
        <v>Cluster</v>
      </c>
      <c r="D7396" s="2" t="str">
        <f ca="1">IFERROR(__xludf.DUMMYFUNCTION("""COMPUTED_VALUE"""),"Dubai&gt;Jumeirah Lake Towers (JLT)&gt;JLT Cluster K")</f>
        <v>Dubai&gt;Jumeirah Lake Towers (JLT)&gt;JLT Cluster K</v>
      </c>
      <c r="E7396" s="2"/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</row>
    <row r="7397" spans="1:26" ht="16.5" x14ac:dyDescent="0.35">
      <c r="A7397" s="2" t="str">
        <f ca="1">IFERROR(__xludf.DUMMYFUNCTION("""COMPUTED_VALUE"""),"Dubai")</f>
        <v>Dubai</v>
      </c>
      <c r="B7397" s="2" t="str">
        <f ca="1">IFERROR(__xludf.DUMMYFUNCTION("""COMPUTED_VALUE"""),"Mag 214 Tower")</f>
        <v>Mag 214 Tower</v>
      </c>
      <c r="C7397" s="2" t="str">
        <f ca="1">IFERROR(__xludf.DUMMYFUNCTION("""COMPUTED_VALUE"""),"Building")</f>
        <v>Building</v>
      </c>
      <c r="D7397" s="2" t="str">
        <f ca="1">IFERROR(__xludf.DUMMYFUNCTION("""COMPUTED_VALUE"""),"Dubai&gt;Jumeirah Lake Towers (JLT)&gt;JLT Cluster R&gt;Mag 214 Tower")</f>
        <v>Dubai&gt;Jumeirah Lake Towers (JLT)&gt;JLT Cluster R&gt;Mag 214 Tower</v>
      </c>
      <c r="E7397" s="2"/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</row>
    <row r="7398" spans="1:26" ht="16.5" x14ac:dyDescent="0.35">
      <c r="A7398" s="2" t="str">
        <f ca="1">IFERROR(__xludf.DUMMYFUNCTION("""COMPUTED_VALUE"""),"Dubai")</f>
        <v>Dubai</v>
      </c>
      <c r="B7398" s="2" t="str">
        <f ca="1">IFERROR(__xludf.DUMMYFUNCTION("""COMPUTED_VALUE"""),"Swiss Tower")</f>
        <v>Swiss Tower</v>
      </c>
      <c r="C7398" s="2" t="str">
        <f ca="1">IFERROR(__xludf.DUMMYFUNCTION("""COMPUTED_VALUE"""),"Building")</f>
        <v>Building</v>
      </c>
      <c r="D7398" s="2" t="str">
        <f ca="1">IFERROR(__xludf.DUMMYFUNCTION("""COMPUTED_VALUE"""),"Dubai&gt;Jumeirah Lake Towers (JLT)&gt;JLT Cluster Y&gt;Swiss Tower")</f>
        <v>Dubai&gt;Jumeirah Lake Towers (JLT)&gt;JLT Cluster Y&gt;Swiss Tower</v>
      </c>
      <c r="E7398" s="2"/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</row>
    <row r="7399" spans="1:26" ht="16.5" x14ac:dyDescent="0.35">
      <c r="A7399" s="2" t="str">
        <f ca="1">IFERROR(__xludf.DUMMYFUNCTION("""COMPUTED_VALUE"""),"Dubai")</f>
        <v>Dubai</v>
      </c>
      <c r="B7399" s="2" t="str">
        <f ca="1">IFERROR(__xludf.DUMMYFUNCTION("""COMPUTED_VALUE"""),"Arabella 3")</f>
        <v>Arabella 3</v>
      </c>
      <c r="C7399" s="2" t="str">
        <f ca="1">IFERROR(__xludf.DUMMYFUNCTION("""COMPUTED_VALUE"""),"Neighbourhood")</f>
        <v>Neighbourhood</v>
      </c>
      <c r="D7399" s="2" t="str">
        <f ca="1">IFERROR(__xludf.DUMMYFUNCTION("""COMPUTED_VALUE"""),"Dubai&gt;Mudon&gt;Arabella Townhouses&gt;Arabella 3")</f>
        <v>Dubai&gt;Mudon&gt;Arabella Townhouses&gt;Arabella 3</v>
      </c>
      <c r="E7399" s="2"/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</row>
    <row r="7400" spans="1:26" ht="16.5" x14ac:dyDescent="0.35">
      <c r="A7400" s="2" t="str">
        <f ca="1">IFERROR(__xludf.DUMMYFUNCTION("""COMPUTED_VALUE"""),"Dubai")</f>
        <v>Dubai</v>
      </c>
      <c r="B7400" s="2" t="str">
        <f ca="1">IFERROR(__xludf.DUMMYFUNCTION("""COMPUTED_VALUE"""),"British Berries Nursery")</f>
        <v>British Berries Nursery</v>
      </c>
      <c r="C7400" s="2" t="str">
        <f ca="1">IFERROR(__xludf.DUMMYFUNCTION("""COMPUTED_VALUE"""),"Nursery")</f>
        <v>Nursery</v>
      </c>
      <c r="D7400" s="2" t="str">
        <f ca="1">IFERROR(__xludf.DUMMYFUNCTION("""COMPUTED_VALUE"""),"Dubai&gt;Al Satwa&gt;British Berries Nursery")</f>
        <v>Dubai&gt;Al Satwa&gt;British Berries Nursery</v>
      </c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</row>
    <row r="7401" spans="1:26" ht="16.5" x14ac:dyDescent="0.35">
      <c r="A7401" s="2" t="str">
        <f ca="1">IFERROR(__xludf.DUMMYFUNCTION("""COMPUTED_VALUE"""),"Dubai")</f>
        <v>Dubai</v>
      </c>
      <c r="B7401" s="2" t="str">
        <f ca="1">IFERROR(__xludf.DUMMYFUNCTION("""COMPUTED_VALUE"""),"Q1 Residence")</f>
        <v>Q1 Residence</v>
      </c>
      <c r="C7401" s="2" t="str">
        <f ca="1">IFERROR(__xludf.DUMMYFUNCTION("""COMPUTED_VALUE"""),"Building")</f>
        <v>Building</v>
      </c>
      <c r="D7401" s="2" t="str">
        <f ca="1">IFERROR(__xludf.DUMMYFUNCTION("""COMPUTED_VALUE"""),"Dubai&gt;Al Satwa&gt;Jumeirah Garden City&gt;Q1 Residence")</f>
        <v>Dubai&gt;Al Satwa&gt;Jumeirah Garden City&gt;Q1 Residence</v>
      </c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</row>
    <row r="7402" spans="1:26" ht="16.5" x14ac:dyDescent="0.35">
      <c r="A7402" s="2" t="str">
        <f ca="1">IFERROR(__xludf.DUMMYFUNCTION("""COMPUTED_VALUE"""),"Dubai")</f>
        <v>Dubai</v>
      </c>
      <c r="B7402" s="2" t="str">
        <f ca="1">IFERROR(__xludf.DUMMYFUNCTION("""COMPUTED_VALUE"""),"Brand Centro")</f>
        <v>Brand Centro</v>
      </c>
      <c r="C7402" s="2" t="str">
        <f ca="1">IFERROR(__xludf.DUMMYFUNCTION("""COMPUTED_VALUE"""),"Building")</f>
        <v>Building</v>
      </c>
      <c r="D7402" s="2" t="str">
        <f ca="1">IFERROR(__xludf.DUMMYFUNCTION("""COMPUTED_VALUE"""),"Dubai&gt;Al Satwa&gt;Jumeirah Garden City&gt;Brand Centro")</f>
        <v>Dubai&gt;Al Satwa&gt;Jumeirah Garden City&gt;Brand Centro</v>
      </c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</row>
    <row r="7403" spans="1:26" ht="16.5" x14ac:dyDescent="0.35">
      <c r="A7403" s="2" t="str">
        <f ca="1">IFERROR(__xludf.DUMMYFUNCTION("""COMPUTED_VALUE"""),"Dubai")</f>
        <v>Dubai</v>
      </c>
      <c r="B7403" s="2" t="str">
        <f ca="1">IFERROR(__xludf.DUMMYFUNCTION("""COMPUTED_VALUE"""),"BMJ Two Building")</f>
        <v>BMJ Two Building</v>
      </c>
      <c r="C7403" s="2" t="str">
        <f ca="1">IFERROR(__xludf.DUMMYFUNCTION("""COMPUTED_VALUE"""),"Building")</f>
        <v>Building</v>
      </c>
      <c r="D7403" s="2" t="str">
        <f ca="1">IFERROR(__xludf.DUMMYFUNCTION("""COMPUTED_VALUE"""),"Dubai&gt;Al Satwa&gt;Jumeirah Garden City&gt;BMJ Two Building")</f>
        <v>Dubai&gt;Al Satwa&gt;Jumeirah Garden City&gt;BMJ Two Building</v>
      </c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</row>
    <row r="7404" spans="1:26" ht="16.5" x14ac:dyDescent="0.35">
      <c r="A7404" s="2" t="str">
        <f ca="1">IFERROR(__xludf.DUMMYFUNCTION("""COMPUTED_VALUE"""),"Dubai")</f>
        <v>Dubai</v>
      </c>
      <c r="B7404" s="2" t="str">
        <f ca="1">IFERROR(__xludf.DUMMYFUNCTION("""COMPUTED_VALUE"""),"Al Shaikh Mohammad Bin Thani Bin Juma Al Maktoum Building")</f>
        <v>Al Shaikh Mohammad Bin Thani Bin Juma Al Maktoum Building</v>
      </c>
      <c r="C7404" s="2" t="str">
        <f ca="1">IFERROR(__xludf.DUMMYFUNCTION("""COMPUTED_VALUE"""),"Building")</f>
        <v>Building</v>
      </c>
      <c r="D7404" s="2" t="str">
        <f ca="1">IFERROR(__xludf.DUMMYFUNCTION("""COMPUTED_VALUE"""),"Dubai&gt;Al Satwa&gt;Al Shaikh Mohammad Bin Thani Bin Juma Al Maktoum Building")</f>
        <v>Dubai&gt;Al Satwa&gt;Al Shaikh Mohammad Bin Thani Bin Juma Al Maktoum Building</v>
      </c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</row>
    <row r="7405" spans="1:26" ht="16.5" x14ac:dyDescent="0.35">
      <c r="A7405" s="2" t="str">
        <f ca="1">IFERROR(__xludf.DUMMYFUNCTION("""COMPUTED_VALUE"""),"Dubai")</f>
        <v>Dubai</v>
      </c>
      <c r="B7405" s="2" t="str">
        <f ca="1">IFERROR(__xludf.DUMMYFUNCTION("""COMPUTED_VALUE"""),"Building 114")</f>
        <v>Building 114</v>
      </c>
      <c r="C7405" s="2" t="str">
        <f ca="1">IFERROR(__xludf.DUMMYFUNCTION("""COMPUTED_VALUE"""),"Building")</f>
        <v>Building</v>
      </c>
      <c r="D7405" s="2" t="str">
        <f ca="1">IFERROR(__xludf.DUMMYFUNCTION("""COMPUTED_VALUE"""),"Dubai&gt;Discovery Gardens&gt;Contemporary&gt;Building 114")</f>
        <v>Dubai&gt;Discovery Gardens&gt;Contemporary&gt;Building 114</v>
      </c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</row>
    <row r="7406" spans="1:26" ht="16.5" x14ac:dyDescent="0.35">
      <c r="A7406" s="2" t="str">
        <f ca="1">IFERROR(__xludf.DUMMYFUNCTION("""COMPUTED_VALUE"""),"Dubai")</f>
        <v>Dubai</v>
      </c>
      <c r="B7406" s="2" t="str">
        <f ca="1">IFERROR(__xludf.DUMMYFUNCTION("""COMPUTED_VALUE"""),"Building 214")</f>
        <v>Building 214</v>
      </c>
      <c r="C7406" s="2" t="str">
        <f ca="1">IFERROR(__xludf.DUMMYFUNCTION("""COMPUTED_VALUE"""),"Building")</f>
        <v>Building</v>
      </c>
      <c r="D7406" s="2" t="str">
        <f ca="1">IFERROR(__xludf.DUMMYFUNCTION("""COMPUTED_VALUE"""),"Dubai&gt;Discovery Gardens&gt;Mesoamerican&gt;Building 214")</f>
        <v>Dubai&gt;Discovery Gardens&gt;Mesoamerican&gt;Building 214</v>
      </c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</row>
    <row r="7407" spans="1:26" ht="16.5" x14ac:dyDescent="0.35">
      <c r="A7407" s="2" t="str">
        <f ca="1">IFERROR(__xludf.DUMMYFUNCTION("""COMPUTED_VALUE"""),"Dubai")</f>
        <v>Dubai</v>
      </c>
      <c r="B7407" s="2" t="str">
        <f ca="1">IFERROR(__xludf.DUMMYFUNCTION("""COMPUTED_VALUE"""),"Building 204")</f>
        <v>Building 204</v>
      </c>
      <c r="C7407" s="2" t="str">
        <f ca="1">IFERROR(__xludf.DUMMYFUNCTION("""COMPUTED_VALUE"""),"Building")</f>
        <v>Building</v>
      </c>
      <c r="D7407" s="2" t="str">
        <f ca="1">IFERROR(__xludf.DUMMYFUNCTION("""COMPUTED_VALUE"""),"Dubai&gt;Discovery Gardens&gt;Mogul&gt;Building 204")</f>
        <v>Dubai&gt;Discovery Gardens&gt;Mogul&gt;Building 204</v>
      </c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</row>
    <row r="7408" spans="1:26" ht="16.5" x14ac:dyDescent="0.35">
      <c r="A7408" s="2" t="str">
        <f ca="1">IFERROR(__xludf.DUMMYFUNCTION("""COMPUTED_VALUE"""),"Dubai")</f>
        <v>Dubai</v>
      </c>
      <c r="B7408" s="2" t="str">
        <f ca="1">IFERROR(__xludf.DUMMYFUNCTION("""COMPUTED_VALUE"""),"Building 196")</f>
        <v>Building 196</v>
      </c>
      <c r="C7408" s="2" t="str">
        <f ca="1">IFERROR(__xludf.DUMMYFUNCTION("""COMPUTED_VALUE"""),"Building")</f>
        <v>Building</v>
      </c>
      <c r="D7408" s="2" t="str">
        <f ca="1">IFERROR(__xludf.DUMMYFUNCTION("""COMPUTED_VALUE"""),"Dubai&gt;Discovery Gardens&gt;Mogul&gt;Building 196")</f>
        <v>Dubai&gt;Discovery Gardens&gt;Mogul&gt;Building 196</v>
      </c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</row>
    <row r="7409" spans="1:26" ht="16.5" x14ac:dyDescent="0.35">
      <c r="A7409" s="2" t="str">
        <f ca="1">IFERROR(__xludf.DUMMYFUNCTION("""COMPUTED_VALUE"""),"Dubai")</f>
        <v>Dubai</v>
      </c>
      <c r="B7409" s="2" t="str">
        <f ca="1">IFERROR(__xludf.DUMMYFUNCTION("""COMPUTED_VALUE"""),"Building 30")</f>
        <v>Building 30</v>
      </c>
      <c r="C7409" s="2" t="str">
        <f ca="1">IFERROR(__xludf.DUMMYFUNCTION("""COMPUTED_VALUE"""),"Building")</f>
        <v>Building</v>
      </c>
      <c r="D7409" s="2" t="str">
        <f ca="1">IFERROR(__xludf.DUMMYFUNCTION("""COMPUTED_VALUE"""),"Dubai&gt;Discovery Gardens&gt;Zen Cluster&gt;Building 30")</f>
        <v>Dubai&gt;Discovery Gardens&gt;Zen Cluster&gt;Building 30</v>
      </c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</row>
    <row r="7410" spans="1:26" ht="16.5" x14ac:dyDescent="0.35">
      <c r="A7410" s="2" t="str">
        <f ca="1">IFERROR(__xludf.DUMMYFUNCTION("""COMPUTED_VALUE"""),"Dubai")</f>
        <v>Dubai</v>
      </c>
      <c r="B7410" s="2" t="str">
        <f ca="1">IFERROR(__xludf.DUMMYFUNCTION("""COMPUTED_VALUE"""),"Building 90")</f>
        <v>Building 90</v>
      </c>
      <c r="C7410" s="2" t="str">
        <f ca="1">IFERROR(__xludf.DUMMYFUNCTION("""COMPUTED_VALUE"""),"Building")</f>
        <v>Building</v>
      </c>
      <c r="D7410" s="2" t="str">
        <f ca="1">IFERROR(__xludf.DUMMYFUNCTION("""COMPUTED_VALUE"""),"Dubai&gt;Discovery Gardens&gt;Mediterranean&gt;Building 90")</f>
        <v>Dubai&gt;Discovery Gardens&gt;Mediterranean&gt;Building 90</v>
      </c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</row>
    <row r="7411" spans="1:26" ht="16.5" x14ac:dyDescent="0.35">
      <c r="A7411" s="2" t="str">
        <f ca="1">IFERROR(__xludf.DUMMYFUNCTION("""COMPUTED_VALUE"""),"Dubai")</f>
        <v>Dubai</v>
      </c>
      <c r="B7411" s="2" t="str">
        <f ca="1">IFERROR(__xludf.DUMMYFUNCTION("""COMPUTED_VALUE"""),"Building 81")</f>
        <v>Building 81</v>
      </c>
      <c r="C7411" s="2" t="str">
        <f ca="1">IFERROR(__xludf.DUMMYFUNCTION("""COMPUTED_VALUE"""),"Building")</f>
        <v>Building</v>
      </c>
      <c r="D7411" s="2" t="str">
        <f ca="1">IFERROR(__xludf.DUMMYFUNCTION("""COMPUTED_VALUE"""),"Dubai&gt;Discovery Gardens&gt;Mediterranean&gt;Building 81")</f>
        <v>Dubai&gt;Discovery Gardens&gt;Mediterranean&gt;Building 81</v>
      </c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</row>
    <row r="7412" spans="1:26" ht="16.5" x14ac:dyDescent="0.35">
      <c r="A7412" s="2" t="str">
        <f ca="1">IFERROR(__xludf.DUMMYFUNCTION("""COMPUTED_VALUE"""),"Dubai")</f>
        <v>Dubai</v>
      </c>
      <c r="B7412" s="2" t="str">
        <f ca="1">IFERROR(__xludf.DUMMYFUNCTION("""COMPUTED_VALUE"""),"Balqis Residence Block B")</f>
        <v>Balqis Residence Block B</v>
      </c>
      <c r="C7412" s="2" t="str">
        <f ca="1">IFERROR(__xludf.DUMMYFUNCTION("""COMPUTED_VALUE"""),"Building")</f>
        <v>Building</v>
      </c>
      <c r="D7412" s="2" t="str">
        <f ca="1">IFERROR(__xludf.DUMMYFUNCTION("""COMPUTED_VALUE"""),"Dubai&gt;Palm Jumeirah&gt;Kingdom of Sheba&gt;Balqis Residence&gt;Balqis Residence Block B")</f>
        <v>Dubai&gt;Palm Jumeirah&gt;Kingdom of Sheba&gt;Balqis Residence&gt;Balqis Residence Block B</v>
      </c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</row>
    <row r="7413" spans="1:26" ht="16.5" x14ac:dyDescent="0.35">
      <c r="A7413" s="2" t="str">
        <f ca="1">IFERROR(__xludf.DUMMYFUNCTION("""COMPUTED_VALUE"""),"Dubai")</f>
        <v>Dubai</v>
      </c>
      <c r="B7413" s="2" t="str">
        <f ca="1">IFERROR(__xludf.DUMMYFUNCTION("""COMPUTED_VALUE"""),"Four Pearls")</f>
        <v>Four Pearls</v>
      </c>
      <c r="C7413" s="2" t="str">
        <f ca="1">IFERROR(__xludf.DUMMYFUNCTION("""COMPUTED_VALUE"""),"Building")</f>
        <v>Building</v>
      </c>
      <c r="D7413" s="2" t="str">
        <f ca="1">IFERROR(__xludf.DUMMYFUNCTION("""COMPUTED_VALUE"""),"Dubai&gt;Palm Jumeirah&gt;Four Pearls")</f>
        <v>Dubai&gt;Palm Jumeirah&gt;Four Pearls</v>
      </c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</row>
    <row r="7414" spans="1:26" ht="16.5" x14ac:dyDescent="0.35">
      <c r="A7414" s="2" t="str">
        <f ca="1">IFERROR(__xludf.DUMMYFUNCTION("""COMPUTED_VALUE"""),"Dubai")</f>
        <v>Dubai</v>
      </c>
      <c r="B7414" s="2" t="str">
        <f ca="1">IFERROR(__xludf.DUMMYFUNCTION("""COMPUTED_VALUE"""),"Signature Villas Frond G")</f>
        <v>Signature Villas Frond G</v>
      </c>
      <c r="C7414" s="2" t="str">
        <f ca="1">IFERROR(__xludf.DUMMYFUNCTION("""COMPUTED_VALUE"""),"Neighbourhood")</f>
        <v>Neighbourhood</v>
      </c>
      <c r="D7414" s="2" t="str">
        <f ca="1">IFERROR(__xludf.DUMMYFUNCTION("""COMPUTED_VALUE"""),"Dubai&gt;Palm Jumeirah&gt;Signature Villas Palm Jumeirah&gt;Signature Villas Frond G")</f>
        <v>Dubai&gt;Palm Jumeirah&gt;Signature Villas Palm Jumeirah&gt;Signature Villas Frond G</v>
      </c>
      <c r="E7414" s="2"/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</row>
    <row r="7415" spans="1:26" ht="16.5" x14ac:dyDescent="0.35">
      <c r="A7415" s="2" t="str">
        <f ca="1">IFERROR(__xludf.DUMMYFUNCTION("""COMPUTED_VALUE"""),"Dubai")</f>
        <v>Dubai</v>
      </c>
      <c r="B7415" s="2" t="str">
        <f ca="1">IFERROR(__xludf.DUMMYFUNCTION("""COMPUTED_VALUE"""),"Marina Residences 5")</f>
        <v>Marina Residences 5</v>
      </c>
      <c r="C7415" s="2" t="str">
        <f ca="1">IFERROR(__xludf.DUMMYFUNCTION("""COMPUTED_VALUE"""),"Building")</f>
        <v>Building</v>
      </c>
      <c r="D7415" s="2" t="str">
        <f ca="1">IFERROR(__xludf.DUMMYFUNCTION("""COMPUTED_VALUE"""),"Dubai&gt;Palm Jumeirah&gt;Marina Residences&gt;Marina Residences 5")</f>
        <v>Dubai&gt;Palm Jumeirah&gt;Marina Residences&gt;Marina Residences 5</v>
      </c>
      <c r="E7415" s="2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</row>
    <row r="7416" spans="1:26" ht="16.5" x14ac:dyDescent="0.35">
      <c r="A7416" s="2" t="str">
        <f ca="1">IFERROR(__xludf.DUMMYFUNCTION("""COMPUTED_VALUE"""),"Dubai")</f>
        <v>Dubai</v>
      </c>
      <c r="B7416" s="2" t="str">
        <f ca="1">IFERROR(__xludf.DUMMYFUNCTION("""COMPUTED_VALUE"""),"Garden Homes Frond L")</f>
        <v>Garden Homes Frond L</v>
      </c>
      <c r="C7416" s="2" t="str">
        <f ca="1">IFERROR(__xludf.DUMMYFUNCTION("""COMPUTED_VALUE"""),"Neighbourhood")</f>
        <v>Neighbourhood</v>
      </c>
      <c r="D7416" s="2" t="str">
        <f ca="1">IFERROR(__xludf.DUMMYFUNCTION("""COMPUTED_VALUE"""),"Dubai&gt;Palm Jumeirah&gt;Garden Homes Palm Jumeirah&gt;Garden Homes Frond L")</f>
        <v>Dubai&gt;Palm Jumeirah&gt;Garden Homes Palm Jumeirah&gt;Garden Homes Frond L</v>
      </c>
      <c r="E7416" s="2"/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</row>
    <row r="7417" spans="1:26" ht="16.5" x14ac:dyDescent="0.35">
      <c r="A7417" s="2" t="str">
        <f ca="1">IFERROR(__xludf.DUMMYFUNCTION("""COMPUTED_VALUE"""),"Dubai")</f>
        <v>Dubai</v>
      </c>
      <c r="B7417" s="2" t="str">
        <f ca="1">IFERROR(__xludf.DUMMYFUNCTION("""COMPUTED_VALUE"""),"Canal Cove Frond K")</f>
        <v>Canal Cove Frond K</v>
      </c>
      <c r="C7417" s="2" t="str">
        <f ca="1">IFERROR(__xludf.DUMMYFUNCTION("""COMPUTED_VALUE"""),"Neighbourhood")</f>
        <v>Neighbourhood</v>
      </c>
      <c r="D7417" s="2" t="str">
        <f ca="1">IFERROR(__xludf.DUMMYFUNCTION("""COMPUTED_VALUE"""),"Dubai&gt;Palm Jumeirah&gt;Canal Cove&gt;Canal Cove Frond K")</f>
        <v>Dubai&gt;Palm Jumeirah&gt;Canal Cove&gt;Canal Cove Frond K</v>
      </c>
      <c r="E7417" s="2"/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</row>
    <row r="7418" spans="1:26" ht="16.5" x14ac:dyDescent="0.35">
      <c r="A7418" s="2" t="str">
        <f ca="1">IFERROR(__xludf.DUMMYFUNCTION("""COMPUTED_VALUE"""),"Dubai")</f>
        <v>Dubai</v>
      </c>
      <c r="B7418" s="2" t="str">
        <f ca="1">IFERROR(__xludf.DUMMYFUNCTION("""COMPUTED_VALUE"""),"Raffles The Palm Villas")</f>
        <v>Raffles The Palm Villas</v>
      </c>
      <c r="C7418" s="2" t="str">
        <f ca="1">IFERROR(__xludf.DUMMYFUNCTION("""COMPUTED_VALUE"""),"Neighbourhood")</f>
        <v>Neighbourhood</v>
      </c>
      <c r="D7418" s="2" t="str">
        <f ca="1">IFERROR(__xludf.DUMMYFUNCTION("""COMPUTED_VALUE"""),"Dubai&gt;Palm Jumeirah&gt;Raffles The Palm Villas")</f>
        <v>Dubai&gt;Palm Jumeirah&gt;Raffles The Palm Villas</v>
      </c>
      <c r="E7418" s="2"/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</row>
    <row r="7419" spans="1:26" ht="16.5" x14ac:dyDescent="0.35">
      <c r="A7419" s="2" t="str">
        <f ca="1">IFERROR(__xludf.DUMMYFUNCTION("""COMPUTED_VALUE"""),"Dubai")</f>
        <v>Dubai</v>
      </c>
      <c r="B7419" s="2" t="str">
        <f ca="1">IFERROR(__xludf.DUMMYFUNCTION("""COMPUTED_VALUE"""),"Al Durrah 7")</f>
        <v>Al Durrah 7</v>
      </c>
      <c r="C7419" s="2" t="str">
        <f ca="1">IFERROR(__xludf.DUMMYFUNCTION("""COMPUTED_VALUE"""),"Building")</f>
        <v>Building</v>
      </c>
      <c r="D7419" s="2" t="str">
        <f ca="1">IFERROR(__xludf.DUMMYFUNCTION("""COMPUTED_VALUE"""),"Dubai&gt;Al Jaddaf&gt;Al Durrah 7")</f>
        <v>Dubai&gt;Al Jaddaf&gt;Al Durrah 7</v>
      </c>
      <c r="E7419" s="2"/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</row>
    <row r="7420" spans="1:26" ht="16.5" x14ac:dyDescent="0.35">
      <c r="A7420" s="2" t="str">
        <f ca="1">IFERROR(__xludf.DUMMYFUNCTION("""COMPUTED_VALUE"""),"Dubai")</f>
        <v>Dubai</v>
      </c>
      <c r="B7420" s="2" t="str">
        <f ca="1">IFERROR(__xludf.DUMMYFUNCTION("""COMPUTED_VALUE"""),"Noor Al Safa")</f>
        <v>Noor Al Safa</v>
      </c>
      <c r="C7420" s="2" t="str">
        <f ca="1">IFERROR(__xludf.DUMMYFUNCTION("""COMPUTED_VALUE"""),"Building")</f>
        <v>Building</v>
      </c>
      <c r="D7420" s="2" t="str">
        <f ca="1">IFERROR(__xludf.DUMMYFUNCTION("""COMPUTED_VALUE"""),"Dubai&gt;Al Jaddaf&gt;Noor Al Safa")</f>
        <v>Dubai&gt;Al Jaddaf&gt;Noor Al Safa</v>
      </c>
      <c r="E7420" s="2"/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</row>
    <row r="7421" spans="1:26" ht="16.5" x14ac:dyDescent="0.35">
      <c r="A7421" s="2" t="str">
        <f ca="1">IFERROR(__xludf.DUMMYFUNCTION("""COMPUTED_VALUE"""),"Dubai")</f>
        <v>Dubai</v>
      </c>
      <c r="B7421" s="2" t="str">
        <f ca="1">IFERROR(__xludf.DUMMYFUNCTION("""COMPUTED_VALUE"""),"Premier Inn")</f>
        <v>Premier Inn</v>
      </c>
      <c r="C7421" s="2" t="str">
        <f ca="1">IFERROR(__xludf.DUMMYFUNCTION("""COMPUTED_VALUE"""),"Building")</f>
        <v>Building</v>
      </c>
      <c r="D7421" s="2" t="str">
        <f ca="1">IFERROR(__xludf.DUMMYFUNCTION("""COMPUTED_VALUE"""),"Dubai&gt;Al Jaddaf&gt;Premier Inn")</f>
        <v>Dubai&gt;Al Jaddaf&gt;Premier Inn</v>
      </c>
      <c r="E7421" s="2"/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</row>
    <row r="7422" spans="1:26" ht="16.5" x14ac:dyDescent="0.35">
      <c r="A7422" s="2" t="str">
        <f ca="1">IFERROR(__xludf.DUMMYFUNCTION("""COMPUTED_VALUE"""),"Dubai")</f>
        <v>Dubai</v>
      </c>
      <c r="B7422" s="2" t="str">
        <f ca="1">IFERROR(__xludf.DUMMYFUNCTION("""COMPUTED_VALUE"""),"The Beach Collection")</f>
        <v>The Beach Collection</v>
      </c>
      <c r="C7422" s="2" t="str">
        <f ca="1">IFERROR(__xludf.DUMMYFUNCTION("""COMPUTED_VALUE"""),"Neighbourhood")</f>
        <v>Neighbourhood</v>
      </c>
      <c r="D7422" s="2" t="str">
        <f ca="1">IFERROR(__xludf.DUMMYFUNCTION("""COMPUTED_VALUE"""),"Dubai&gt;Palm Jebel Ali&gt;Frond P&gt;The Beach Collection")</f>
        <v>Dubai&gt;Palm Jebel Ali&gt;Frond P&gt;The Beach Collection</v>
      </c>
      <c r="E7422" s="2"/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</row>
    <row r="7423" spans="1:26" ht="16.5" x14ac:dyDescent="0.35">
      <c r="A7423" s="2" t="str">
        <f ca="1">IFERROR(__xludf.DUMMYFUNCTION("""COMPUTED_VALUE"""),"Dubai")</f>
        <v>Dubai</v>
      </c>
      <c r="B7423" s="2" t="str">
        <f ca="1">IFERROR(__xludf.DUMMYFUNCTION("""COMPUTED_VALUE"""),"Palm Central Private Residences Building B")</f>
        <v>Palm Central Private Residences Building B</v>
      </c>
      <c r="C7423" s="2" t="str">
        <f ca="1">IFERROR(__xludf.DUMMYFUNCTION("""COMPUTED_VALUE"""),"Building")</f>
        <v>Building</v>
      </c>
      <c r="D7423" s="2" t="str">
        <f ca="1">IFERROR(__xludf.DUMMYFUNCTION("""COMPUTED_VALUE"""),"Dubai&gt;Palm Jebel Ali&gt;Palm Central Private Residences&gt;Palm Central Private Residences Building B")</f>
        <v>Dubai&gt;Palm Jebel Ali&gt;Palm Central Private Residences&gt;Palm Central Private Residences Building B</v>
      </c>
      <c r="E7423" s="2"/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</row>
    <row r="7424" spans="1:26" ht="16.5" x14ac:dyDescent="0.35">
      <c r="A7424" s="2" t="str">
        <f ca="1">IFERROR(__xludf.DUMMYFUNCTION("""COMPUTED_VALUE"""),"Dubai")</f>
        <v>Dubai</v>
      </c>
      <c r="B7424" s="2" t="str">
        <f ca="1">IFERROR(__xludf.DUMMYFUNCTION("""COMPUTED_VALUE"""),"Binghatti Hills Tower 1")</f>
        <v>Binghatti Hills Tower 1</v>
      </c>
      <c r="C7424" s="2" t="str">
        <f ca="1">IFERROR(__xludf.DUMMYFUNCTION("""COMPUTED_VALUE"""),"Building")</f>
        <v>Building</v>
      </c>
      <c r="D7424" s="2" t="str">
        <f ca="1">IFERROR(__xludf.DUMMYFUNCTION("""COMPUTED_VALUE"""),"Dubai&gt;Dubai Science Park&gt;Binghatti Hills&gt;Binghatti Hills Tower 1")</f>
        <v>Dubai&gt;Dubai Science Park&gt;Binghatti Hills&gt;Binghatti Hills Tower 1</v>
      </c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</row>
    <row r="7425" spans="1:26" ht="16.5" x14ac:dyDescent="0.35">
      <c r="A7425" s="2" t="str">
        <f ca="1">IFERROR(__xludf.DUMMYFUNCTION("""COMPUTED_VALUE"""),"Dubai")</f>
        <v>Dubai</v>
      </c>
      <c r="B7425" s="2" t="str">
        <f ca="1">IFERROR(__xludf.DUMMYFUNCTION("""COMPUTED_VALUE"""),"The Springs 1")</f>
        <v>The Springs 1</v>
      </c>
      <c r="C7425" s="2" t="str">
        <f ca="1">IFERROR(__xludf.DUMMYFUNCTION("""COMPUTED_VALUE"""),"Neighbourhood")</f>
        <v>Neighbourhood</v>
      </c>
      <c r="D7425" s="2" t="str">
        <f ca="1">IFERROR(__xludf.DUMMYFUNCTION("""COMPUTED_VALUE"""),"Dubai&gt;The Springs&gt;The Springs 1")</f>
        <v>Dubai&gt;The Springs&gt;The Springs 1</v>
      </c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</row>
    <row r="7426" spans="1:26" ht="16.5" x14ac:dyDescent="0.35">
      <c r="A7426" s="2" t="str">
        <f ca="1">IFERROR(__xludf.DUMMYFUNCTION("""COMPUTED_VALUE"""),"Dubai")</f>
        <v>Dubai</v>
      </c>
      <c r="B7426" s="2" t="str">
        <f ca="1">IFERROR(__xludf.DUMMYFUNCTION("""COMPUTED_VALUE"""),"South Garden B")</f>
        <v>South Garden B</v>
      </c>
      <c r="C7426" s="2" t="str">
        <f ca="1">IFERROR(__xludf.DUMMYFUNCTION("""COMPUTED_VALUE"""),"Building")</f>
        <v>Building</v>
      </c>
      <c r="D7426" s="2" t="str">
        <f ca="1">IFERROR(__xludf.DUMMYFUNCTION("""COMPUTED_VALUE"""),"Dubai&gt;Wasl Gate&gt;South Garden&gt;South Garden B")</f>
        <v>Dubai&gt;Wasl Gate&gt;South Garden&gt;South Garden B</v>
      </c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</row>
    <row r="7427" spans="1:26" ht="16.5" x14ac:dyDescent="0.35">
      <c r="A7427" s="2" t="str">
        <f ca="1">IFERROR(__xludf.DUMMYFUNCTION("""COMPUTED_VALUE"""),"Dubai")</f>
        <v>Dubai</v>
      </c>
      <c r="B7427" s="2" t="str">
        <f ca="1">IFERROR(__xludf.DUMMYFUNCTION("""COMPUTED_VALUE"""),"Nad Al Sheba Gardens 10")</f>
        <v>Nad Al Sheba Gardens 10</v>
      </c>
      <c r="C7427" s="2" t="str">
        <f ca="1">IFERROR(__xludf.DUMMYFUNCTION("""COMPUTED_VALUE"""),"Neighbourhood")</f>
        <v>Neighbourhood</v>
      </c>
      <c r="D7427" s="2" t="str">
        <f ca="1">IFERROR(__xludf.DUMMYFUNCTION("""COMPUTED_VALUE"""),"Dubai&gt;Nad Al Sheba&gt;Nad Al Sheba 1&gt;Nad Al Sheba Gardens&gt;Nad Al Sheba Gardens 10")</f>
        <v>Dubai&gt;Nad Al Sheba&gt;Nad Al Sheba 1&gt;Nad Al Sheba Gardens&gt;Nad Al Sheba Gardens 10</v>
      </c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</row>
    <row r="7428" spans="1:26" ht="16.5" x14ac:dyDescent="0.35">
      <c r="A7428" s="2" t="str">
        <f ca="1">IFERROR(__xludf.DUMMYFUNCTION("""COMPUTED_VALUE"""),"Dubai")</f>
        <v>Dubai</v>
      </c>
      <c r="B7428" s="2" t="str">
        <f ca="1">IFERROR(__xludf.DUMMYFUNCTION("""COMPUTED_VALUE"""),"Business Central Tower A")</f>
        <v>Business Central Tower A</v>
      </c>
      <c r="C7428" s="2" t="str">
        <f ca="1">IFERROR(__xludf.DUMMYFUNCTION("""COMPUTED_VALUE"""),"Building")</f>
        <v>Building</v>
      </c>
      <c r="D7428" s="2" t="str">
        <f ca="1">IFERROR(__xludf.DUMMYFUNCTION("""COMPUTED_VALUE"""),"Dubai&gt;Dubai Internet City&gt;Business Central Towers&gt;Business Central Tower A")</f>
        <v>Dubai&gt;Dubai Internet City&gt;Business Central Towers&gt;Business Central Tower A</v>
      </c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</row>
    <row r="7429" spans="1:26" ht="16.5" x14ac:dyDescent="0.35">
      <c r="A7429" s="2" t="str">
        <f ca="1">IFERROR(__xludf.DUMMYFUNCTION("""COMPUTED_VALUE"""),"Dubai")</f>
        <v>Dubai</v>
      </c>
      <c r="B7429" s="2" t="str">
        <f ca="1">IFERROR(__xludf.DUMMYFUNCTION("""COMPUTED_VALUE"""),"Al Salam Tecom Tower")</f>
        <v>Al Salam Tecom Tower</v>
      </c>
      <c r="C7429" s="2" t="str">
        <f ca="1">IFERROR(__xludf.DUMMYFUNCTION("""COMPUTED_VALUE"""),"Building")</f>
        <v>Building</v>
      </c>
      <c r="D7429" s="2" t="str">
        <f ca="1">IFERROR(__xludf.DUMMYFUNCTION("""COMPUTED_VALUE"""),"Dubai&gt;Dubai Internet City&gt;Al Salam Tecom Tower")</f>
        <v>Dubai&gt;Dubai Internet City&gt;Al Salam Tecom Tower</v>
      </c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</row>
    <row r="7430" spans="1:26" ht="16.5" x14ac:dyDescent="0.35">
      <c r="A7430" s="2" t="str">
        <f ca="1">IFERROR(__xludf.DUMMYFUNCTION("""COMPUTED_VALUE"""),"Dubai")</f>
        <v>Dubai</v>
      </c>
      <c r="B7430" s="2" t="str">
        <f ca="1">IFERROR(__xludf.DUMMYFUNCTION("""COMPUTED_VALUE"""),"Sirdhana")</f>
        <v>Sirdhana</v>
      </c>
      <c r="C7430" s="2" t="str">
        <f ca="1">IFERROR(__xludf.DUMMYFUNCTION("""COMPUTED_VALUE"""),"Cluster")</f>
        <v>Cluster</v>
      </c>
      <c r="D7430" s="2" t="str">
        <f ca="1">IFERROR(__xludf.DUMMYFUNCTION("""COMPUTED_VALUE"""),"Dubai&gt;Mina Rashid&gt;Sirdhana")</f>
        <v>Dubai&gt;Mina Rashid&gt;Sirdhana</v>
      </c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</row>
    <row r="7431" spans="1:26" ht="16.5" x14ac:dyDescent="0.35">
      <c r="A7431" s="2" t="str">
        <f ca="1">IFERROR(__xludf.DUMMYFUNCTION("""COMPUTED_VALUE"""),"Dubai")</f>
        <v>Dubai</v>
      </c>
      <c r="B7431" s="2" t="str">
        <f ca="1">IFERROR(__xludf.DUMMYFUNCTION("""COMPUTED_VALUE"""),"Ocean Cove Building 1")</f>
        <v>Ocean Cove Building 1</v>
      </c>
      <c r="C7431" s="2" t="str">
        <f ca="1">IFERROR(__xludf.DUMMYFUNCTION("""COMPUTED_VALUE"""),"Building")</f>
        <v>Building</v>
      </c>
      <c r="D7431" s="2" t="str">
        <f ca="1">IFERROR(__xludf.DUMMYFUNCTION("""COMPUTED_VALUE"""),"Dubai&gt;Mina Rashid&gt;Ocean Cove&gt;Ocean Cove Building 1")</f>
        <v>Dubai&gt;Mina Rashid&gt;Ocean Cove&gt;Ocean Cove Building 1</v>
      </c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</row>
    <row r="7432" spans="1:26" ht="16.5" x14ac:dyDescent="0.35">
      <c r="A7432" s="2" t="str">
        <f ca="1">IFERROR(__xludf.DUMMYFUNCTION("""COMPUTED_VALUE"""),"Dubai")</f>
        <v>Dubai</v>
      </c>
      <c r="B7432" s="2" t="str">
        <f ca="1">IFERROR(__xludf.DUMMYFUNCTION("""COMPUTED_VALUE"""),"Sector P")</f>
        <v>Sector P</v>
      </c>
      <c r="C7432" s="2" t="str">
        <f ca="1">IFERROR(__xludf.DUMMYFUNCTION("""COMPUTED_VALUE"""),"Neighbourhood")</f>
        <v>Neighbourhood</v>
      </c>
      <c r="D7432" s="2" t="str">
        <f ca="1">IFERROR(__xludf.DUMMYFUNCTION("""COMPUTED_VALUE"""),"Dubai&gt;Emirates Hills&gt;Sector P")</f>
        <v>Dubai&gt;Emirates Hills&gt;Sector P</v>
      </c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</row>
    <row r="7433" spans="1:26" ht="16.5" x14ac:dyDescent="0.35">
      <c r="A7433" s="2" t="str">
        <f ca="1">IFERROR(__xludf.DUMMYFUNCTION("""COMPUTED_VALUE"""),"Dubai")</f>
        <v>Dubai</v>
      </c>
      <c r="B7433" s="2" t="str">
        <f ca="1">IFERROR(__xludf.DUMMYFUNCTION("""COMPUTED_VALUE"""),"Jumeirah English Speaking School, Arabian Ranches")</f>
        <v>Jumeirah English Speaking School, Arabian Ranches</v>
      </c>
      <c r="C7433" s="2" t="str">
        <f ca="1">IFERROR(__xludf.DUMMYFUNCTION("""COMPUTED_VALUE"""),"School")</f>
        <v>School</v>
      </c>
      <c r="D7433" s="2" t="str">
        <f ca="1">IFERROR(__xludf.DUMMYFUNCTION("""COMPUTED_VALUE"""),"Dubai&gt;Arabian Ranches&gt;Jumeirah English Speaking School, Arabian Ranches")</f>
        <v>Dubai&gt;Arabian Ranches&gt;Jumeirah English Speaking School, Arabian Ranches</v>
      </c>
      <c r="E7433" s="2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</row>
    <row r="7434" spans="1:26" ht="16.5" x14ac:dyDescent="0.35">
      <c r="A7434" s="2" t="str">
        <f ca="1">IFERROR(__xludf.DUMMYFUNCTION("""COMPUTED_VALUE"""),"Dubai")</f>
        <v>Dubai</v>
      </c>
      <c r="B7434" s="2" t="str">
        <f ca="1">IFERROR(__xludf.DUMMYFUNCTION("""COMPUTED_VALUE"""),"Palmera 3")</f>
        <v>Palmera 3</v>
      </c>
      <c r="C7434" s="2" t="str">
        <f ca="1">IFERROR(__xludf.DUMMYFUNCTION("""COMPUTED_VALUE"""),"Neighbourhood")</f>
        <v>Neighbourhood</v>
      </c>
      <c r="D7434" s="2" t="str">
        <f ca="1">IFERROR(__xludf.DUMMYFUNCTION("""COMPUTED_VALUE"""),"Dubai&gt;Arabian Ranches&gt;Palmera&gt;Palmera 3")</f>
        <v>Dubai&gt;Arabian Ranches&gt;Palmera&gt;Palmera 3</v>
      </c>
      <c r="E7434" s="2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</row>
    <row r="7435" spans="1:26" ht="16.5" x14ac:dyDescent="0.35">
      <c r="A7435" s="2" t="str">
        <f ca="1">IFERROR(__xludf.DUMMYFUNCTION("""COMPUTED_VALUE"""),"Dubai")</f>
        <v>Dubai</v>
      </c>
      <c r="B7435" s="2" t="str">
        <f ca="1">IFERROR(__xludf.DUMMYFUNCTION("""COMPUTED_VALUE"""),"The Gardens Building 122")</f>
        <v>The Gardens Building 122</v>
      </c>
      <c r="C7435" s="2" t="str">
        <f ca="1">IFERROR(__xludf.DUMMYFUNCTION("""COMPUTED_VALUE"""),"Building")</f>
        <v>Building</v>
      </c>
      <c r="D7435" s="2" t="str">
        <f ca="1">IFERROR(__xludf.DUMMYFUNCTION("""COMPUTED_VALUE"""),"Dubai&gt;The Gardens&gt;The Gardens Building 122")</f>
        <v>Dubai&gt;The Gardens&gt;The Gardens Building 122</v>
      </c>
      <c r="E7435" s="2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</row>
    <row r="7436" spans="1:26" ht="16.5" x14ac:dyDescent="0.35">
      <c r="A7436" s="2" t="str">
        <f ca="1">IFERROR(__xludf.DUMMYFUNCTION("""COMPUTED_VALUE"""),"Dubai")</f>
        <v>Dubai</v>
      </c>
      <c r="B7436" s="2" t="str">
        <f ca="1">IFERROR(__xludf.DUMMYFUNCTION("""COMPUTED_VALUE"""),"The Gardens Building 115")</f>
        <v>The Gardens Building 115</v>
      </c>
      <c r="C7436" s="2" t="str">
        <f ca="1">IFERROR(__xludf.DUMMYFUNCTION("""COMPUTED_VALUE"""),"Building")</f>
        <v>Building</v>
      </c>
      <c r="D7436" s="2" t="str">
        <f ca="1">IFERROR(__xludf.DUMMYFUNCTION("""COMPUTED_VALUE"""),"Dubai&gt;The Gardens&gt;The Gardens Building 115")</f>
        <v>Dubai&gt;The Gardens&gt;The Gardens Building 115</v>
      </c>
      <c r="E7436" s="2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</row>
    <row r="7437" spans="1:26" ht="16.5" x14ac:dyDescent="0.35">
      <c r="A7437" s="2" t="str">
        <f ca="1">IFERROR(__xludf.DUMMYFUNCTION("""COMPUTED_VALUE"""),"Dubai")</f>
        <v>Dubai</v>
      </c>
      <c r="B7437" s="2" t="str">
        <f ca="1">IFERROR(__xludf.DUMMYFUNCTION("""COMPUTED_VALUE"""),"The Gardens Building 2")</f>
        <v>The Gardens Building 2</v>
      </c>
      <c r="C7437" s="2" t="str">
        <f ca="1">IFERROR(__xludf.DUMMYFUNCTION("""COMPUTED_VALUE"""),"Building")</f>
        <v>Building</v>
      </c>
      <c r="D7437" s="2" t="str">
        <f ca="1">IFERROR(__xludf.DUMMYFUNCTION("""COMPUTED_VALUE"""),"Dubai&gt;The Gardens&gt;The Gardens Building 2")</f>
        <v>Dubai&gt;The Gardens&gt;The Gardens Building 2</v>
      </c>
      <c r="E7437" s="2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</row>
    <row r="7438" spans="1:26" ht="16.5" x14ac:dyDescent="0.35">
      <c r="A7438" s="2" t="str">
        <f ca="1">IFERROR(__xludf.DUMMYFUNCTION("""COMPUTED_VALUE"""),"Dubai")</f>
        <v>Dubai</v>
      </c>
      <c r="B7438" s="2" t="str">
        <f ca="1">IFERROR(__xludf.DUMMYFUNCTION("""COMPUTED_VALUE"""),"The Gardens Building 44")</f>
        <v>The Gardens Building 44</v>
      </c>
      <c r="C7438" s="2" t="str">
        <f ca="1">IFERROR(__xludf.DUMMYFUNCTION("""COMPUTED_VALUE"""),"Building")</f>
        <v>Building</v>
      </c>
      <c r="D7438" s="2" t="str">
        <f ca="1">IFERROR(__xludf.DUMMYFUNCTION("""COMPUTED_VALUE"""),"Dubai&gt;The Gardens&gt;The Gardens Building 44")</f>
        <v>Dubai&gt;The Gardens&gt;The Gardens Building 44</v>
      </c>
      <c r="E7438" s="2"/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</row>
    <row r="7439" spans="1:26" ht="16.5" x14ac:dyDescent="0.35">
      <c r="A7439" s="2" t="str">
        <f ca="1">IFERROR(__xludf.DUMMYFUNCTION("""COMPUTED_VALUE"""),"Dubai")</f>
        <v>Dubai</v>
      </c>
      <c r="B7439" s="2" t="str">
        <f ca="1">IFERROR(__xludf.DUMMYFUNCTION("""COMPUTED_VALUE"""),"Al Mamzar Tower 2")</f>
        <v>Al Mamzar Tower 2</v>
      </c>
      <c r="C7439" s="2" t="str">
        <f ca="1">IFERROR(__xludf.DUMMYFUNCTION("""COMPUTED_VALUE"""),"Building")</f>
        <v>Building</v>
      </c>
      <c r="D7439" s="2" t="str">
        <f ca="1">IFERROR(__xludf.DUMMYFUNCTION("""COMPUTED_VALUE"""),"Dubai&gt;Al Mamzar&gt;Al Mamzar Towers&gt;Al Mamzar Tower 2")</f>
        <v>Dubai&gt;Al Mamzar&gt;Al Mamzar Towers&gt;Al Mamzar Tower 2</v>
      </c>
      <c r="E7439" s="2"/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</row>
    <row r="7440" spans="1:26" ht="16.5" x14ac:dyDescent="0.35">
      <c r="A7440" s="2" t="str">
        <f ca="1">IFERROR(__xludf.DUMMYFUNCTION("""COMPUTED_VALUE"""),"Dubai")</f>
        <v>Dubai</v>
      </c>
      <c r="B7440" s="2" t="str">
        <f ca="1">IFERROR(__xludf.DUMMYFUNCTION("""COMPUTED_VALUE"""),"Bluewaters Residences 1")</f>
        <v>Bluewaters Residences 1</v>
      </c>
      <c r="C7440" s="2" t="str">
        <f ca="1">IFERROR(__xludf.DUMMYFUNCTION("""COMPUTED_VALUE"""),"Building")</f>
        <v>Building</v>
      </c>
      <c r="D7440" s="2" t="str">
        <f ca="1">IFERROR(__xludf.DUMMYFUNCTION("""COMPUTED_VALUE"""),"Dubai&gt;Bluewaters Island&gt;Bluewaters Residences&gt;Bluewaters Residences 1")</f>
        <v>Dubai&gt;Bluewaters Island&gt;Bluewaters Residences&gt;Bluewaters Residences 1</v>
      </c>
      <c r="E7440" s="2"/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</row>
    <row r="7441" spans="1:26" ht="16.5" x14ac:dyDescent="0.35">
      <c r="A7441" s="2" t="str">
        <f ca="1">IFERROR(__xludf.DUMMYFUNCTION("""COMPUTED_VALUE"""),"Dubai")</f>
        <v>Dubai</v>
      </c>
      <c r="B7441" s="2" t="str">
        <f ca="1">IFERROR(__xludf.DUMMYFUNCTION("""COMPUTED_VALUE"""),"Dunes Residence")</f>
        <v>Dunes Residence</v>
      </c>
      <c r="C7441" s="2" t="str">
        <f ca="1">IFERROR(__xludf.DUMMYFUNCTION("""COMPUTED_VALUE"""),"Building")</f>
        <v>Building</v>
      </c>
      <c r="D7441" s="2" t="str">
        <f ca="1">IFERROR(__xludf.DUMMYFUNCTION("""COMPUTED_VALUE"""),"Dubai&gt;Muhaisnah&gt;Muhaisnah 4&gt;Dunes Residence")</f>
        <v>Dubai&gt;Muhaisnah&gt;Muhaisnah 4&gt;Dunes Residence</v>
      </c>
      <c r="E7441" s="2"/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</row>
    <row r="7442" spans="1:26" ht="16.5" x14ac:dyDescent="0.35">
      <c r="A7442" s="2" t="str">
        <f ca="1">IFERROR(__xludf.DUMMYFUNCTION("""COMPUTED_VALUE"""),"Dubai")</f>
        <v>Dubai</v>
      </c>
      <c r="B7442" s="2" t="str">
        <f ca="1">IFERROR(__xludf.DUMMYFUNCTION("""COMPUTED_VALUE"""),"Greenwood International School, Al Muhaisnah")</f>
        <v>Greenwood International School, Al Muhaisnah</v>
      </c>
      <c r="C7442" s="2" t="str">
        <f ca="1">IFERROR(__xludf.DUMMYFUNCTION("""COMPUTED_VALUE"""),"School")</f>
        <v>School</v>
      </c>
      <c r="D7442" s="2" t="str">
        <f ca="1">IFERROR(__xludf.DUMMYFUNCTION("""COMPUTED_VALUE"""),"Dubai&gt;Muhaisnah&gt;Muhaisnah 1&gt;Greenwood International School, Al Muhaisnah")</f>
        <v>Dubai&gt;Muhaisnah&gt;Muhaisnah 1&gt;Greenwood International School, Al Muhaisnah</v>
      </c>
      <c r="E7442" s="2"/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</row>
    <row r="7443" spans="1:26" ht="16.5" x14ac:dyDescent="0.35">
      <c r="A7443" s="2" t="str">
        <f ca="1">IFERROR(__xludf.DUMMYFUNCTION("""COMPUTED_VALUE"""),"Dubai")</f>
        <v>Dubai</v>
      </c>
      <c r="B7443" s="2" t="str">
        <f ca="1">IFERROR(__xludf.DUMMYFUNCTION("""COMPUTED_VALUE"""),"Emaar Business Park Building 1")</f>
        <v>Emaar Business Park Building 1</v>
      </c>
      <c r="C7443" s="2" t="str">
        <f ca="1">IFERROR(__xludf.DUMMYFUNCTION("""COMPUTED_VALUE"""),"Building")</f>
        <v>Building</v>
      </c>
      <c r="D7443" s="2" t="str">
        <f ca="1">IFERROR(__xludf.DUMMYFUNCTION("""COMPUTED_VALUE"""),"Dubai&gt;Sheikh Zayed Road&gt;Emaar Business Park&gt;Emaar Business Park Building 1")</f>
        <v>Dubai&gt;Sheikh Zayed Road&gt;Emaar Business Park&gt;Emaar Business Park Building 1</v>
      </c>
      <c r="E7443" s="2"/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</row>
    <row r="7444" spans="1:26" ht="16.5" x14ac:dyDescent="0.35">
      <c r="A7444" s="2" t="str">
        <f ca="1">IFERROR(__xludf.DUMMYFUNCTION("""COMPUTED_VALUE"""),"Dubai")</f>
        <v>Dubai</v>
      </c>
      <c r="B7444" s="2" t="str">
        <f ca="1">IFERROR(__xludf.DUMMYFUNCTION("""COMPUTED_VALUE"""),"Millennium Plaza Downtown Hotel")</f>
        <v>Millennium Plaza Downtown Hotel</v>
      </c>
      <c r="C7444" s="2" t="str">
        <f ca="1">IFERROR(__xludf.DUMMYFUNCTION("""COMPUTED_VALUE"""),"Building")</f>
        <v>Building</v>
      </c>
      <c r="D7444" s="2" t="str">
        <f ca="1">IFERROR(__xludf.DUMMYFUNCTION("""COMPUTED_VALUE"""),"Dubai&gt;Sheikh Zayed Road&gt;Millennium Plaza Downtown Hotel")</f>
        <v>Dubai&gt;Sheikh Zayed Road&gt;Millennium Plaza Downtown Hotel</v>
      </c>
      <c r="E7444" s="2"/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</row>
    <row r="7445" spans="1:26" ht="16.5" x14ac:dyDescent="0.35">
      <c r="A7445" s="2" t="str">
        <f ca="1">IFERROR(__xludf.DUMMYFUNCTION("""COMPUTED_VALUE"""),"Dubai")</f>
        <v>Dubai</v>
      </c>
      <c r="B7445" s="2" t="str">
        <f ca="1">IFERROR(__xludf.DUMMYFUNCTION("""COMPUTED_VALUE"""),"21st Century Tower")</f>
        <v>21st Century Tower</v>
      </c>
      <c r="C7445" s="2" t="str">
        <f ca="1">IFERROR(__xludf.DUMMYFUNCTION("""COMPUTED_VALUE"""),"Building")</f>
        <v>Building</v>
      </c>
      <c r="D7445" s="2" t="str">
        <f ca="1">IFERROR(__xludf.DUMMYFUNCTION("""COMPUTED_VALUE"""),"Dubai&gt;Sheikh Zayed Road&gt;21st Century Tower")</f>
        <v>Dubai&gt;Sheikh Zayed Road&gt;21st Century Tower</v>
      </c>
      <c r="E7445" s="2"/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</row>
    <row r="7446" spans="1:26" ht="16.5" x14ac:dyDescent="0.35">
      <c r="A7446" s="2" t="str">
        <f ca="1">IFERROR(__xludf.DUMMYFUNCTION("""COMPUTED_VALUE"""),"Dubai")</f>
        <v>Dubai</v>
      </c>
      <c r="B7446" s="2" t="str">
        <f ca="1">IFERROR(__xludf.DUMMYFUNCTION("""COMPUTED_VALUE"""),"Sheikh Ahmed Bin Joumaa")</f>
        <v>Sheikh Ahmed Bin Joumaa</v>
      </c>
      <c r="C7446" s="2" t="str">
        <f ca="1">IFERROR(__xludf.DUMMYFUNCTION("""COMPUTED_VALUE"""),"Building")</f>
        <v>Building</v>
      </c>
      <c r="D7446" s="2" t="str">
        <f ca="1">IFERROR(__xludf.DUMMYFUNCTION("""COMPUTED_VALUE"""),"Dubai&gt;Sheikh Zayed Road&gt;Sheikh Ahmed Bin Joumaa")</f>
        <v>Dubai&gt;Sheikh Zayed Road&gt;Sheikh Ahmed Bin Joumaa</v>
      </c>
      <c r="E7446" s="2"/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</row>
    <row r="7447" spans="1:26" ht="16.5" x14ac:dyDescent="0.35">
      <c r="A7447" s="2" t="str">
        <f ca="1">IFERROR(__xludf.DUMMYFUNCTION("""COMPUTED_VALUE"""),"Dubai")</f>
        <v>Dubai</v>
      </c>
      <c r="B7447" s="2" t="str">
        <f ca="1">IFERROR(__xludf.DUMMYFUNCTION("""COMPUTED_VALUE"""),"Tappy Toes Karama")</f>
        <v>Tappy Toes Karama</v>
      </c>
      <c r="C7447" s="2" t="str">
        <f ca="1">IFERROR(__xludf.DUMMYFUNCTION("""COMPUTED_VALUE"""),"Nursery")</f>
        <v>Nursery</v>
      </c>
      <c r="D7447" s="2" t="str">
        <f ca="1">IFERROR(__xludf.DUMMYFUNCTION("""COMPUTED_VALUE"""),"Dubai&gt;Al Karama&gt;Tappy Toes Karama")</f>
        <v>Dubai&gt;Al Karama&gt;Tappy Toes Karama</v>
      </c>
      <c r="E7447" s="2"/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</row>
    <row r="7448" spans="1:26" ht="16.5" x14ac:dyDescent="0.35">
      <c r="A7448" s="2" t="str">
        <f ca="1">IFERROR(__xludf.DUMMYFUNCTION("""COMPUTED_VALUE"""),"Dubai")</f>
        <v>Dubai</v>
      </c>
      <c r="B7448" s="2" t="str">
        <f ca="1">IFERROR(__xludf.DUMMYFUNCTION("""COMPUTED_VALUE"""),"Building 10")</f>
        <v>Building 10</v>
      </c>
      <c r="C7448" s="2" t="str">
        <f ca="1">IFERROR(__xludf.DUMMYFUNCTION("""COMPUTED_VALUE"""),"Building")</f>
        <v>Building</v>
      </c>
      <c r="D7448" s="2" t="str">
        <f ca="1">IFERROR(__xludf.DUMMYFUNCTION("""COMPUTED_VALUE"""),"Dubai&gt;Al Karama&gt;Karam Pioneer Buildings&gt;Building 10")</f>
        <v>Dubai&gt;Al Karama&gt;Karam Pioneer Buildings&gt;Building 10</v>
      </c>
      <c r="E7448" s="2"/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</row>
    <row r="7449" spans="1:26" ht="16.5" x14ac:dyDescent="0.35">
      <c r="A7449" s="2" t="str">
        <f ca="1">IFERROR(__xludf.DUMMYFUNCTION("""COMPUTED_VALUE"""),"Dubai")</f>
        <v>Dubai</v>
      </c>
      <c r="B7449" s="2" t="str">
        <f ca="1">IFERROR(__xludf.DUMMYFUNCTION("""COMPUTED_VALUE"""),"Building 42")</f>
        <v>Building 42</v>
      </c>
      <c r="C7449" s="2" t="str">
        <f ca="1">IFERROR(__xludf.DUMMYFUNCTION("""COMPUTED_VALUE"""),"Building")</f>
        <v>Building</v>
      </c>
      <c r="D7449" s="2" t="str">
        <f ca="1">IFERROR(__xludf.DUMMYFUNCTION("""COMPUTED_VALUE"""),"Dubai&gt;Al Karama&gt;Karam Pioneer Buildings&gt;Building 42")</f>
        <v>Dubai&gt;Al Karama&gt;Karam Pioneer Buildings&gt;Building 42</v>
      </c>
      <c r="E7449" s="2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</row>
    <row r="7450" spans="1:26" ht="16.5" x14ac:dyDescent="0.35">
      <c r="A7450" s="2" t="str">
        <f ca="1">IFERROR(__xludf.DUMMYFUNCTION("""COMPUTED_VALUE"""),"Dubai")</f>
        <v>Dubai</v>
      </c>
      <c r="B7450" s="2" t="str">
        <f ca="1">IFERROR(__xludf.DUMMYFUNCTION("""COMPUTED_VALUE"""),"Al Najah Building")</f>
        <v>Al Najah Building</v>
      </c>
      <c r="C7450" s="2" t="str">
        <f ca="1">IFERROR(__xludf.DUMMYFUNCTION("""COMPUTED_VALUE"""),"Building")</f>
        <v>Building</v>
      </c>
      <c r="D7450" s="2" t="str">
        <f ca="1">IFERROR(__xludf.DUMMYFUNCTION("""COMPUTED_VALUE"""),"Dubai&gt;Al Karama&gt;Al Najah Building")</f>
        <v>Dubai&gt;Al Karama&gt;Al Najah Building</v>
      </c>
      <c r="E7450" s="2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</row>
    <row r="7451" spans="1:26" ht="16.5" x14ac:dyDescent="0.35">
      <c r="A7451" s="2" t="str">
        <f ca="1">IFERROR(__xludf.DUMMYFUNCTION("""COMPUTED_VALUE"""),"Dubai")</f>
        <v>Dubai</v>
      </c>
      <c r="B7451" s="2" t="str">
        <f ca="1">IFERROR(__xludf.DUMMYFUNCTION("""COMPUTED_VALUE"""),"Faraidooni Building")</f>
        <v>Faraidooni Building</v>
      </c>
      <c r="C7451" s="2" t="str">
        <f ca="1">IFERROR(__xludf.DUMMYFUNCTION("""COMPUTED_VALUE"""),"Building")</f>
        <v>Building</v>
      </c>
      <c r="D7451" s="2" t="str">
        <f ca="1">IFERROR(__xludf.DUMMYFUNCTION("""COMPUTED_VALUE"""),"Dubai&gt;Al Karama&gt;Faraidooni Building")</f>
        <v>Dubai&gt;Al Karama&gt;Faraidooni Building</v>
      </c>
      <c r="E7451" s="2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</row>
    <row r="7452" spans="1:26" ht="16.5" x14ac:dyDescent="0.35">
      <c r="A7452" s="2" t="str">
        <f ca="1">IFERROR(__xludf.DUMMYFUNCTION("""COMPUTED_VALUE"""),"Dubai")</f>
        <v>Dubai</v>
      </c>
      <c r="B7452" s="2" t="str">
        <f ca="1">IFERROR(__xludf.DUMMYFUNCTION("""COMPUTED_VALUE"""),"Al Shafar Park Tower")</f>
        <v>Al Shafar Park Tower</v>
      </c>
      <c r="C7452" s="2" t="str">
        <f ca="1">IFERROR(__xludf.DUMMYFUNCTION("""COMPUTED_VALUE"""),"Building")</f>
        <v>Building</v>
      </c>
      <c r="D7452" s="2" t="str">
        <f ca="1">IFERROR(__xludf.DUMMYFUNCTION("""COMPUTED_VALUE"""),"Dubai&gt;Al Karama&gt;Al Shafar Park Tower")</f>
        <v>Dubai&gt;Al Karama&gt;Al Shafar Park Tower</v>
      </c>
      <c r="E7452" s="2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</row>
    <row r="7453" spans="1:26" ht="16.5" x14ac:dyDescent="0.35">
      <c r="A7453" s="2" t="str">
        <f ca="1">IFERROR(__xludf.DUMMYFUNCTION("""COMPUTED_VALUE"""),"Dubai")</f>
        <v>Dubai</v>
      </c>
      <c r="B7453" s="2" t="str">
        <f ca="1">IFERROR(__xludf.DUMMYFUNCTION("""COMPUTED_VALUE"""),"Al Wasl R416 Block A")</f>
        <v>Al Wasl R416 Block A</v>
      </c>
      <c r="C7453" s="2" t="str">
        <f ca="1">IFERROR(__xludf.DUMMYFUNCTION("""COMPUTED_VALUE"""),"Building")</f>
        <v>Building</v>
      </c>
      <c r="D7453" s="2" t="str">
        <f ca="1">IFERROR(__xludf.DUMMYFUNCTION("""COMPUTED_VALUE"""),"Dubai&gt;Al Karama&gt;Al Wasl R416 Block A")</f>
        <v>Dubai&gt;Al Karama&gt;Al Wasl R416 Block A</v>
      </c>
      <c r="E7453" s="2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</row>
    <row r="7454" spans="1:26" ht="16.5" x14ac:dyDescent="0.35">
      <c r="A7454" s="2" t="str">
        <f ca="1">IFERROR(__xludf.DUMMYFUNCTION("""COMPUTED_VALUE"""),"Dubai")</f>
        <v>Dubai</v>
      </c>
      <c r="B7454" s="2" t="str">
        <f ca="1">IFERROR(__xludf.DUMMYFUNCTION("""COMPUTED_VALUE"""),"A-13")</f>
        <v>A-13</v>
      </c>
      <c r="C7454" s="2" t="str">
        <f ca="1">IFERROR(__xludf.DUMMYFUNCTION("""COMPUTED_VALUE"""),"Building")</f>
        <v>Building</v>
      </c>
      <c r="D7454" s="2" t="str">
        <f ca="1">IFERROR(__xludf.DUMMYFUNCTION("""COMPUTED_VALUE"""),"Dubai&gt;Al Karama&gt;A-13")</f>
        <v>Dubai&gt;Al Karama&gt;A-13</v>
      </c>
      <c r="E7454" s="2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</row>
    <row r="7455" spans="1:26" ht="16.5" x14ac:dyDescent="0.35">
      <c r="A7455" s="2" t="str">
        <f ca="1">IFERROR(__xludf.DUMMYFUNCTION("""COMPUTED_VALUE"""),"Dubai")</f>
        <v>Dubai</v>
      </c>
      <c r="B7455" s="2" t="str">
        <f ca="1">IFERROR(__xludf.DUMMYFUNCTION("""COMPUTED_VALUE"""),"Al Haji Building")</f>
        <v>Al Haji Building</v>
      </c>
      <c r="C7455" s="2" t="str">
        <f ca="1">IFERROR(__xludf.DUMMYFUNCTION("""COMPUTED_VALUE"""),"Building")</f>
        <v>Building</v>
      </c>
      <c r="D7455" s="2" t="str">
        <f ca="1">IFERROR(__xludf.DUMMYFUNCTION("""COMPUTED_VALUE"""),"Dubai&gt;Al Karama&gt;Al Haji Building")</f>
        <v>Dubai&gt;Al Karama&gt;Al Haji Building</v>
      </c>
      <c r="E7455" s="2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</row>
    <row r="7456" spans="1:26" ht="16.5" x14ac:dyDescent="0.35">
      <c r="A7456" s="2" t="str">
        <f ca="1">IFERROR(__xludf.DUMMYFUNCTION("""COMPUTED_VALUE"""),"Dubai")</f>
        <v>Dubai</v>
      </c>
      <c r="B7456" s="2" t="str">
        <f ca="1">IFERROR(__xludf.DUMMYFUNCTION("""COMPUTED_VALUE"""),"Al Mazrooi Building")</f>
        <v>Al Mazrooi Building</v>
      </c>
      <c r="C7456" s="2" t="str">
        <f ca="1">IFERROR(__xludf.DUMMYFUNCTION("""COMPUTED_VALUE"""),"Building")</f>
        <v>Building</v>
      </c>
      <c r="D7456" s="2" t="str">
        <f ca="1">IFERROR(__xludf.DUMMYFUNCTION("""COMPUTED_VALUE"""),"Dubai&gt;Al Karama&gt;Al Mazrooi Building")</f>
        <v>Dubai&gt;Al Karama&gt;Al Mazrooi Building</v>
      </c>
      <c r="E7456" s="2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</row>
    <row r="7457" spans="1:26" ht="16.5" x14ac:dyDescent="0.35">
      <c r="A7457" s="2" t="str">
        <f ca="1">IFERROR(__xludf.DUMMYFUNCTION("""COMPUTED_VALUE"""),"Dubai")</f>
        <v>Dubai</v>
      </c>
      <c r="B7457" s="2" t="str">
        <f ca="1">IFERROR(__xludf.DUMMYFUNCTION("""COMPUTED_VALUE"""),"Khalfanu Building")</f>
        <v>Khalfanu Building</v>
      </c>
      <c r="C7457" s="2" t="str">
        <f ca="1">IFERROR(__xludf.DUMMYFUNCTION("""COMPUTED_VALUE"""),"Building")</f>
        <v>Building</v>
      </c>
      <c r="D7457" s="2" t="str">
        <f ca="1">IFERROR(__xludf.DUMMYFUNCTION("""COMPUTED_VALUE"""),"Dubai&gt;Al Karama&gt;Khalfanu Building")</f>
        <v>Dubai&gt;Al Karama&gt;Khalfanu Building</v>
      </c>
      <c r="E7457" s="2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</row>
    <row r="7458" spans="1:26" ht="16.5" x14ac:dyDescent="0.35">
      <c r="A7458" s="2" t="str">
        <f ca="1">IFERROR(__xludf.DUMMYFUNCTION("""COMPUTED_VALUE"""),"Dubai")</f>
        <v>Dubai</v>
      </c>
      <c r="B7458" s="2" t="str">
        <f ca="1">IFERROR(__xludf.DUMMYFUNCTION("""COMPUTED_VALUE"""),"Al Arjawan Building")</f>
        <v>Al Arjawan Building</v>
      </c>
      <c r="C7458" s="2" t="str">
        <f ca="1">IFERROR(__xludf.DUMMYFUNCTION("""COMPUTED_VALUE"""),"Building")</f>
        <v>Building</v>
      </c>
      <c r="D7458" s="2" t="str">
        <f ca="1">IFERROR(__xludf.DUMMYFUNCTION("""COMPUTED_VALUE"""),"Dubai&gt;Al Karama&gt;Al Arjawan Building")</f>
        <v>Dubai&gt;Al Karama&gt;Al Arjawan Building</v>
      </c>
      <c r="E7458" s="2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</row>
    <row r="7459" spans="1:26" ht="16.5" x14ac:dyDescent="0.35">
      <c r="A7459" s="2" t="str">
        <f ca="1">IFERROR(__xludf.DUMMYFUNCTION("""COMPUTED_VALUE"""),"Dubai")</f>
        <v>Dubai</v>
      </c>
      <c r="B7459" s="2" t="str">
        <f ca="1">IFERROR(__xludf.DUMMYFUNCTION("""COMPUTED_VALUE"""),"D1 Tower")</f>
        <v>D1 Tower</v>
      </c>
      <c r="C7459" s="2" t="str">
        <f ca="1">IFERROR(__xludf.DUMMYFUNCTION("""COMPUTED_VALUE"""),"Building")</f>
        <v>Building</v>
      </c>
      <c r="D7459" s="2" t="str">
        <f ca="1">IFERROR(__xludf.DUMMYFUNCTION("""COMPUTED_VALUE"""),"Dubai&gt;Culture Village (Jaddaf Waterfront)&gt;D1 Tower")</f>
        <v>Dubai&gt;Culture Village (Jaddaf Waterfront)&gt;D1 Tower</v>
      </c>
      <c r="E7459" s="2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</row>
    <row r="7460" spans="1:26" ht="16.5" x14ac:dyDescent="0.35">
      <c r="A7460" s="2" t="str">
        <f ca="1">IFERROR(__xludf.DUMMYFUNCTION("""COMPUTED_VALUE"""),"Dubai")</f>
        <v>Dubai</v>
      </c>
      <c r="B7460" s="2" t="str">
        <f ca="1">IFERROR(__xludf.DUMMYFUNCTION("""COMPUTED_VALUE"""),"Umm Suqeim 3")</f>
        <v>Umm Suqeim 3</v>
      </c>
      <c r="C7460" s="2" t="str">
        <f ca="1">IFERROR(__xludf.DUMMYFUNCTION("""COMPUTED_VALUE"""),"Neighbourhood")</f>
        <v>Neighbourhood</v>
      </c>
      <c r="D7460" s="2" t="str">
        <f ca="1">IFERROR(__xludf.DUMMYFUNCTION("""COMPUTED_VALUE"""),"Dubai&gt;Umm Suqeim&gt;Umm Suqeim 3")</f>
        <v>Dubai&gt;Umm Suqeim&gt;Umm Suqeim 3</v>
      </c>
      <c r="E7460" s="2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</row>
    <row r="7461" spans="1:26" ht="16.5" x14ac:dyDescent="0.35">
      <c r="A7461" s="2" t="str">
        <f ca="1">IFERROR(__xludf.DUMMYFUNCTION("""COMPUTED_VALUE"""),"Dubai")</f>
        <v>Dubai</v>
      </c>
      <c r="B7461" s="2" t="str">
        <f ca="1">IFERROR(__xludf.DUMMYFUNCTION("""COMPUTED_VALUE"""),"Al Jazi Building 3")</f>
        <v>Al Jazi Building 3</v>
      </c>
      <c r="C7461" s="2" t="str">
        <f ca="1">IFERROR(__xludf.DUMMYFUNCTION("""COMPUTED_VALUE"""),"Building")</f>
        <v>Building</v>
      </c>
      <c r="D7461" s="2" t="str">
        <f ca="1">IFERROR(__xludf.DUMMYFUNCTION("""COMPUTED_VALUE"""),"Dubai&gt;Umm Suqeim&gt;Madinat Jumeirah Living&gt;Al Jazi&gt;Al Jazi Building 3")</f>
        <v>Dubai&gt;Umm Suqeim&gt;Madinat Jumeirah Living&gt;Al Jazi&gt;Al Jazi Building 3</v>
      </c>
      <c r="E7461" s="2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</row>
    <row r="7462" spans="1:26" ht="16.5" x14ac:dyDescent="0.35">
      <c r="A7462" s="2" t="str">
        <f ca="1">IFERROR(__xludf.DUMMYFUNCTION("""COMPUTED_VALUE"""),"Dubai")</f>
        <v>Dubai</v>
      </c>
      <c r="B7462" s="2" t="str">
        <f ca="1">IFERROR(__xludf.DUMMYFUNCTION("""COMPUTED_VALUE"""),"Little Land Nursery")</f>
        <v>Little Land Nursery</v>
      </c>
      <c r="C7462" s="2" t="str">
        <f ca="1">IFERROR(__xludf.DUMMYFUNCTION("""COMPUTED_VALUE"""),"Nursery")</f>
        <v>Nursery</v>
      </c>
      <c r="D7462" s="2" t="str">
        <f ca="1">IFERROR(__xludf.DUMMYFUNCTION("""COMPUTED_VALUE"""),"Dubai&gt;Umm Suqeim&gt;Umm Suqeim 2&gt;Little Land Nursery")</f>
        <v>Dubai&gt;Umm Suqeim&gt;Umm Suqeim 2&gt;Little Land Nursery</v>
      </c>
      <c r="E7462" s="2"/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</row>
    <row r="7463" spans="1:26" ht="16.5" x14ac:dyDescent="0.35">
      <c r="A7463" s="2" t="str">
        <f ca="1">IFERROR(__xludf.DUMMYFUNCTION("""COMPUTED_VALUE"""),"Dubai")</f>
        <v>Dubai</v>
      </c>
      <c r="B7463" s="2" t="str">
        <f ca="1">IFERROR(__xludf.DUMMYFUNCTION("""COMPUTED_VALUE"""),"Azizi Milan 30")</f>
        <v>Azizi Milan 30</v>
      </c>
      <c r="C7463" s="2" t="str">
        <f ca="1">IFERROR(__xludf.DUMMYFUNCTION("""COMPUTED_VALUE"""),"Building")</f>
        <v>Building</v>
      </c>
      <c r="D7463" s="2" t="str">
        <f ca="1">IFERROR(__xludf.DUMMYFUNCTION("""COMPUTED_VALUE"""),"Dubai&gt;City of Arabia&gt;Azizi Milan&gt;Azizi Milan 30")</f>
        <v>Dubai&gt;City of Arabia&gt;Azizi Milan&gt;Azizi Milan 30</v>
      </c>
      <c r="E7463" s="2"/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</row>
    <row r="7464" spans="1:26" ht="16.5" x14ac:dyDescent="0.35">
      <c r="A7464" s="2" t="str">
        <f ca="1">IFERROR(__xludf.DUMMYFUNCTION("""COMPUTED_VALUE"""),"Dubai")</f>
        <v>Dubai</v>
      </c>
      <c r="B7464" s="2" t="str">
        <f ca="1">IFERROR(__xludf.DUMMYFUNCTION("""COMPUTED_VALUE"""),"Classic Game Building")</f>
        <v>Classic Game Building</v>
      </c>
      <c r="C7464" s="2" t="str">
        <f ca="1">IFERROR(__xludf.DUMMYFUNCTION("""COMPUTED_VALUE"""),"Building")</f>
        <v>Building</v>
      </c>
      <c r="D7464" s="2" t="str">
        <f ca="1">IFERROR(__xludf.DUMMYFUNCTION("""COMPUTED_VALUE"""),"Dubai&gt;Al Badaa&gt;Classic Game Building")</f>
        <v>Dubai&gt;Al Badaa&gt;Classic Game Building</v>
      </c>
      <c r="E7464" s="2"/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</row>
    <row r="7465" spans="1:26" ht="16.5" x14ac:dyDescent="0.35">
      <c r="A7465" s="2" t="str">
        <f ca="1">IFERROR(__xludf.DUMMYFUNCTION("""COMPUTED_VALUE"""),"Dubai")</f>
        <v>Dubai</v>
      </c>
      <c r="B7465" s="2" t="str">
        <f ca="1">IFERROR(__xludf.DUMMYFUNCTION("""COMPUTED_VALUE"""),"Drain Saad Juma Alfalasi Building")</f>
        <v>Drain Saad Juma Alfalasi Building</v>
      </c>
      <c r="C7465" s="2" t="str">
        <f ca="1">IFERROR(__xludf.DUMMYFUNCTION("""COMPUTED_VALUE"""),"Building")</f>
        <v>Building</v>
      </c>
      <c r="D7465" s="2" t="str">
        <f ca="1">IFERROR(__xludf.DUMMYFUNCTION("""COMPUTED_VALUE"""),"Dubai&gt;Al Badaa&gt;Drain Saad Juma Alfalasi Building")</f>
        <v>Dubai&gt;Al Badaa&gt;Drain Saad Juma Alfalasi Building</v>
      </c>
      <c r="E7465" s="2"/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</row>
    <row r="7466" spans="1:26" ht="16.5" x14ac:dyDescent="0.35">
      <c r="A7466" s="2" t="str">
        <f ca="1">IFERROR(__xludf.DUMMYFUNCTION("""COMPUTED_VALUE"""),"Dubai")</f>
        <v>Dubai</v>
      </c>
      <c r="B7466" s="2" t="str">
        <f ca="1">IFERROR(__xludf.DUMMYFUNCTION("""COMPUTED_VALUE"""),"Dubai Waterfront")</f>
        <v>Dubai Waterfront</v>
      </c>
      <c r="C7466" s="2" t="str">
        <f ca="1">IFERROR(__xludf.DUMMYFUNCTION("""COMPUTED_VALUE"""),"Neighbourhood")</f>
        <v>Neighbourhood</v>
      </c>
      <c r="D7466" s="2" t="str">
        <f ca="1">IFERROR(__xludf.DUMMYFUNCTION("""COMPUTED_VALUE"""),"Dubai&gt;Dubai Waterfront")</f>
        <v>Dubai&gt;Dubai Waterfront</v>
      </c>
      <c r="E7466" s="2"/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</row>
    <row r="7467" spans="1:26" ht="16.5" x14ac:dyDescent="0.35">
      <c r="A7467" s="2" t="str">
        <f ca="1">IFERROR(__xludf.DUMMYFUNCTION("""COMPUTED_VALUE"""),"Dubai")</f>
        <v>Dubai</v>
      </c>
      <c r="B7467" s="2" t="str">
        <f ca="1">IFERROR(__xludf.DUMMYFUNCTION("""COMPUTED_VALUE"""),"Building 1")</f>
        <v>Building 1</v>
      </c>
      <c r="C7467" s="2" t="str">
        <f ca="1">IFERROR(__xludf.DUMMYFUNCTION("""COMPUTED_VALUE"""),"Building")</f>
        <v>Building</v>
      </c>
      <c r="D7467" s="2" t="str">
        <f ca="1">IFERROR(__xludf.DUMMYFUNCTION("""COMPUTED_VALUE"""),"Dubai&gt;Academic City&gt;Dubai Outsource City&gt;Building 1")</f>
        <v>Dubai&gt;Academic City&gt;Dubai Outsource City&gt;Building 1</v>
      </c>
      <c r="E7467" s="2"/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</row>
    <row r="7468" spans="1:26" ht="16.5" x14ac:dyDescent="0.35">
      <c r="A7468" s="2" t="str">
        <f ca="1">IFERROR(__xludf.DUMMYFUNCTION("""COMPUTED_VALUE"""),"Dubai")</f>
        <v>Dubai</v>
      </c>
      <c r="B7468" s="2" t="str">
        <f ca="1">IFERROR(__xludf.DUMMYFUNCTION("""COMPUTED_VALUE"""),"Design Quarter Tower C")</f>
        <v>Design Quarter Tower C</v>
      </c>
      <c r="C7468" s="2" t="str">
        <f ca="1">IFERROR(__xludf.DUMMYFUNCTION("""COMPUTED_VALUE"""),"Building")</f>
        <v>Building</v>
      </c>
      <c r="D7468" s="2" t="str">
        <f ca="1">IFERROR(__xludf.DUMMYFUNCTION("""COMPUTED_VALUE"""),"Dubai&gt;Dubai Design District&gt;Design Quarter&gt;Design Quarter Tower C")</f>
        <v>Dubai&gt;Dubai Design District&gt;Design Quarter&gt;Design Quarter Tower C</v>
      </c>
      <c r="E7468" s="2"/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</row>
    <row r="7469" spans="1:26" ht="16.5" x14ac:dyDescent="0.35">
      <c r="A7469" s="2" t="str">
        <f ca="1">IFERROR(__xludf.DUMMYFUNCTION("""COMPUTED_VALUE"""),"Dubai")</f>
        <v>Dubai</v>
      </c>
      <c r="B7469" s="2" t="str">
        <f ca="1">IFERROR(__xludf.DUMMYFUNCTION("""COMPUTED_VALUE"""),"Hilal Building")</f>
        <v>Hilal Building</v>
      </c>
      <c r="C7469" s="2" t="str">
        <f ca="1">IFERROR(__xludf.DUMMYFUNCTION("""COMPUTED_VALUE"""),"Building")</f>
        <v>Building</v>
      </c>
      <c r="D7469" s="2" t="str">
        <f ca="1">IFERROR(__xludf.DUMMYFUNCTION("""COMPUTED_VALUE"""),"Dubai&gt;Al Hudaiba&gt;Hilal Building")</f>
        <v>Dubai&gt;Al Hudaiba&gt;Hilal Building</v>
      </c>
      <c r="E7469" s="2"/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</row>
    <row r="7470" spans="1:26" ht="16.5" x14ac:dyDescent="0.35">
      <c r="A7470" s="2" t="str">
        <f ca="1">IFERROR(__xludf.DUMMYFUNCTION("""COMPUTED_VALUE"""),"Dubai")</f>
        <v>Dubai</v>
      </c>
      <c r="B7470" s="2" t="str">
        <f ca="1">IFERROR(__xludf.DUMMYFUNCTION("""COMPUTED_VALUE"""),"Wasl 51 Block E")</f>
        <v>Wasl 51 Block E</v>
      </c>
      <c r="C7470" s="2" t="str">
        <f ca="1">IFERROR(__xludf.DUMMYFUNCTION("""COMPUTED_VALUE"""),"Building")</f>
        <v>Building</v>
      </c>
      <c r="D7470" s="2" t="str">
        <f ca="1">IFERROR(__xludf.DUMMYFUNCTION("""COMPUTED_VALUE"""),"Dubai&gt;Jumeirah&gt;Jumeirah 1&gt;Wasl 51&gt;Wasl 51 Block E")</f>
        <v>Dubai&gt;Jumeirah&gt;Jumeirah 1&gt;Wasl 51&gt;Wasl 51 Block E</v>
      </c>
      <c r="E7470" s="2"/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</row>
    <row r="7471" spans="1:26" ht="16.5" x14ac:dyDescent="0.35">
      <c r="A7471" s="2" t="str">
        <f ca="1">IFERROR(__xludf.DUMMYFUNCTION("""COMPUTED_VALUE"""),"Dubai")</f>
        <v>Dubai</v>
      </c>
      <c r="B7471" s="2" t="str">
        <f ca="1">IFERROR(__xludf.DUMMYFUNCTION("""COMPUTED_VALUE"""),"Villa Amalfi")</f>
        <v>Villa Amalfi</v>
      </c>
      <c r="C7471" s="2" t="str">
        <f ca="1">IFERROR(__xludf.DUMMYFUNCTION("""COMPUTED_VALUE"""),"Neighbourhood")</f>
        <v>Neighbourhood</v>
      </c>
      <c r="D7471" s="2" t="str">
        <f ca="1">IFERROR(__xludf.DUMMYFUNCTION("""COMPUTED_VALUE"""),"Dubai&gt;Jumeirah&gt;Jumeirah Bay Islands&gt;Villa Amalfi")</f>
        <v>Dubai&gt;Jumeirah&gt;Jumeirah Bay Islands&gt;Villa Amalfi</v>
      </c>
      <c r="E7471" s="2"/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</row>
    <row r="7472" spans="1:26" ht="16.5" x14ac:dyDescent="0.35">
      <c r="A7472" s="2" t="str">
        <f ca="1">IFERROR(__xludf.DUMMYFUNCTION("""COMPUTED_VALUE"""),"Dubai")</f>
        <v>Dubai</v>
      </c>
      <c r="B7472" s="2" t="str">
        <f ca="1">IFERROR(__xludf.DUMMYFUNCTION("""COMPUTED_VALUE"""),"La Mer")</f>
        <v>La Mer</v>
      </c>
      <c r="C7472" s="2" t="str">
        <f ca="1">IFERROR(__xludf.DUMMYFUNCTION("""COMPUTED_VALUE"""),"Neighbourhood")</f>
        <v>Neighbourhood</v>
      </c>
      <c r="D7472" s="2" t="str">
        <f ca="1">IFERROR(__xludf.DUMMYFUNCTION("""COMPUTED_VALUE"""),"Dubai&gt;Jumeirah&gt;La Mer")</f>
        <v>Dubai&gt;Jumeirah&gt;La Mer</v>
      </c>
      <c r="E7472" s="2"/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</row>
    <row r="7473" spans="1:26" ht="16.5" x14ac:dyDescent="0.35">
      <c r="A7473" s="2" t="str">
        <f ca="1">IFERROR(__xludf.DUMMYFUNCTION("""COMPUTED_VALUE"""),"Dubai")</f>
        <v>Dubai</v>
      </c>
      <c r="B7473" s="2" t="str">
        <f ca="1">IFERROR(__xludf.DUMMYFUNCTION("""COMPUTED_VALUE"""),"Le Ciel Tower 2")</f>
        <v>Le Ciel Tower 2</v>
      </c>
      <c r="C7473" s="2" t="str">
        <f ca="1">IFERROR(__xludf.DUMMYFUNCTION("""COMPUTED_VALUE"""),"Building")</f>
        <v>Building</v>
      </c>
      <c r="D7473" s="2" t="str">
        <f ca="1">IFERROR(__xludf.DUMMYFUNCTION("""COMPUTED_VALUE"""),"Dubai&gt;Jumeirah&gt;La Mer&gt;Port de La Mer&gt;Le Ciel&gt;Le Ciel Tower 2")</f>
        <v>Dubai&gt;Jumeirah&gt;La Mer&gt;Port de La Mer&gt;Le Ciel&gt;Le Ciel Tower 2</v>
      </c>
      <c r="E7473" s="2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</row>
    <row r="7474" spans="1:26" ht="16.5" x14ac:dyDescent="0.35">
      <c r="A7474" s="2" t="str">
        <f ca="1">IFERROR(__xludf.DUMMYFUNCTION("""COMPUTED_VALUE"""),"Dubai")</f>
        <v>Dubai</v>
      </c>
      <c r="B7474" s="2" t="str">
        <f ca="1">IFERROR(__xludf.DUMMYFUNCTION("""COMPUTED_VALUE"""),"Creekside 18 Tower A")</f>
        <v>Creekside 18 Tower A</v>
      </c>
      <c r="C7474" s="2" t="str">
        <f ca="1">IFERROR(__xludf.DUMMYFUNCTION("""COMPUTED_VALUE"""),"Building")</f>
        <v>Building</v>
      </c>
      <c r="D7474" s="2" t="str">
        <f ca="1">IFERROR(__xludf.DUMMYFUNCTION("""COMPUTED_VALUE"""),"Dubai&gt;Dubai Creek Harbour&gt;Creekside 18&gt;Creekside 18 Tower A")</f>
        <v>Dubai&gt;Dubai Creek Harbour&gt;Creekside 18&gt;Creekside 18 Tower A</v>
      </c>
      <c r="E7474" s="2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</row>
    <row r="7475" spans="1:26" ht="16.5" x14ac:dyDescent="0.35">
      <c r="A7475" s="2" t="str">
        <f ca="1">IFERROR(__xludf.DUMMYFUNCTION("""COMPUTED_VALUE"""),"Dubai")</f>
        <v>Dubai</v>
      </c>
      <c r="B7475" s="2" t="str">
        <f ca="1">IFERROR(__xludf.DUMMYFUNCTION("""COMPUTED_VALUE"""),"Summer at Creek Beach")</f>
        <v>Summer at Creek Beach</v>
      </c>
      <c r="C7475" s="2" t="str">
        <f ca="1">IFERROR(__xludf.DUMMYFUNCTION("""COMPUTED_VALUE"""),"Cluster")</f>
        <v>Cluster</v>
      </c>
      <c r="D7475" s="2" t="str">
        <f ca="1">IFERROR(__xludf.DUMMYFUNCTION("""COMPUTED_VALUE"""),"Dubai&gt;Dubai Creek Harbour&gt;Summer at Creek Beach")</f>
        <v>Dubai&gt;Dubai Creek Harbour&gt;Summer at Creek Beach</v>
      </c>
      <c r="E7475" s="2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</row>
    <row r="7476" spans="1:26" ht="16.5" x14ac:dyDescent="0.35">
      <c r="A7476" s="2" t="str">
        <f ca="1">IFERROR(__xludf.DUMMYFUNCTION("""COMPUTED_VALUE"""),"Dubai")</f>
        <v>Dubai</v>
      </c>
      <c r="B7476" s="2" t="str">
        <f ca="1">IFERROR(__xludf.DUMMYFUNCTION("""COMPUTED_VALUE"""),"Dubai Creek Residence Tower 3 North")</f>
        <v>Dubai Creek Residence Tower 3 North</v>
      </c>
      <c r="C7476" s="2" t="str">
        <f ca="1">IFERROR(__xludf.DUMMYFUNCTION("""COMPUTED_VALUE"""),"Building")</f>
        <v>Building</v>
      </c>
      <c r="D7476" s="2" t="str">
        <f ca="1">IFERROR(__xludf.DUMMYFUNCTION("""COMPUTED_VALUE"""),"Dubai&gt;Dubai Creek Harbour&gt;Dubai Creek Residences&gt;Dubai Creek Residence Tower 3 North")</f>
        <v>Dubai&gt;Dubai Creek Harbour&gt;Dubai Creek Residences&gt;Dubai Creek Residence Tower 3 North</v>
      </c>
      <c r="E7476" s="2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</row>
    <row r="7477" spans="1:26" ht="16.5" x14ac:dyDescent="0.35">
      <c r="A7477" s="2" t="str">
        <f ca="1">IFERROR(__xludf.DUMMYFUNCTION("""COMPUTED_VALUE"""),"Dubai")</f>
        <v>Dubai</v>
      </c>
      <c r="B7477" s="2" t="str">
        <f ca="1">IFERROR(__xludf.DUMMYFUNCTION("""COMPUTED_VALUE"""),"Oria")</f>
        <v>Oria</v>
      </c>
      <c r="C7477" s="2" t="str">
        <f ca="1">IFERROR(__xludf.DUMMYFUNCTION("""COMPUTED_VALUE"""),"Building")</f>
        <v>Building</v>
      </c>
      <c r="D7477" s="2" t="str">
        <f ca="1">IFERROR(__xludf.DUMMYFUNCTION("""COMPUTED_VALUE"""),"Dubai&gt;Dubai Creek Harbour&gt;Oria")</f>
        <v>Dubai&gt;Dubai Creek Harbour&gt;Oria</v>
      </c>
      <c r="E7477" s="2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</row>
    <row r="7478" spans="1:26" ht="16.5" x14ac:dyDescent="0.35">
      <c r="A7478" s="2" t="str">
        <f ca="1">IFERROR(__xludf.DUMMYFUNCTION("""COMPUTED_VALUE"""),"Dubai")</f>
        <v>Dubai</v>
      </c>
      <c r="B7478" s="2" t="str">
        <f ca="1">IFERROR(__xludf.DUMMYFUNCTION("""COMPUTED_VALUE"""),"The Aldea")</f>
        <v>The Aldea</v>
      </c>
      <c r="C7478" s="2" t="str">
        <f ca="1">IFERROR(__xludf.DUMMYFUNCTION("""COMPUTED_VALUE"""),"Neighbourhood")</f>
        <v>Neighbourhood</v>
      </c>
      <c r="D7478" s="2" t="str">
        <f ca="1">IFERROR(__xludf.DUMMYFUNCTION("""COMPUTED_VALUE"""),"Dubai&gt;The Villa&gt;The Aldea")</f>
        <v>Dubai&gt;The Villa&gt;The Aldea</v>
      </c>
      <c r="E7478" s="2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</row>
    <row r="7479" spans="1:26" ht="16.5" x14ac:dyDescent="0.35">
      <c r="A7479" s="2" t="str">
        <f ca="1">IFERROR(__xludf.DUMMYFUNCTION("""COMPUTED_VALUE"""),"Dubai")</f>
        <v>Dubai</v>
      </c>
      <c r="B7479" s="2" t="str">
        <f ca="1">IFERROR(__xludf.DUMMYFUNCTION("""COMPUTED_VALUE"""),"Al Shafar Tower")</f>
        <v>Al Shafar Tower</v>
      </c>
      <c r="C7479" s="2" t="str">
        <f ca="1">IFERROR(__xludf.DUMMYFUNCTION("""COMPUTED_VALUE"""),"Cluster")</f>
        <v>Cluster</v>
      </c>
      <c r="D7479" s="2" t="str">
        <f ca="1">IFERROR(__xludf.DUMMYFUNCTION("""COMPUTED_VALUE"""),"Dubai&gt;Barsha Heights (Tecom)&gt;Al Shafar Tower")</f>
        <v>Dubai&gt;Barsha Heights (Tecom)&gt;Al Shafar Tower</v>
      </c>
      <c r="E7479" s="2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</row>
    <row r="7480" spans="1:26" ht="16.5" x14ac:dyDescent="0.35">
      <c r="A7480" s="2" t="str">
        <f ca="1">IFERROR(__xludf.DUMMYFUNCTION("""COMPUTED_VALUE"""),"Dubai")</f>
        <v>Dubai</v>
      </c>
      <c r="B7480" s="2" t="str">
        <f ca="1">IFERROR(__xludf.DUMMYFUNCTION("""COMPUTED_VALUE"""),"Crystal Blue Tower")</f>
        <v>Crystal Blue Tower</v>
      </c>
      <c r="C7480" s="2" t="str">
        <f ca="1">IFERROR(__xludf.DUMMYFUNCTION("""COMPUTED_VALUE"""),"Building")</f>
        <v>Building</v>
      </c>
      <c r="D7480" s="2" t="str">
        <f ca="1">IFERROR(__xludf.DUMMYFUNCTION("""COMPUTED_VALUE"""),"Dubai&gt;Barsha Heights (Tecom)&gt;Crystal Blue Tower")</f>
        <v>Dubai&gt;Barsha Heights (Tecom)&gt;Crystal Blue Tower</v>
      </c>
      <c r="E7480" s="2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</row>
    <row r="7481" spans="1:26" ht="16.5" x14ac:dyDescent="0.35">
      <c r="A7481" s="2" t="str">
        <f ca="1">IFERROR(__xludf.DUMMYFUNCTION("""COMPUTED_VALUE"""),"Dubai")</f>
        <v>Dubai</v>
      </c>
      <c r="B7481" s="2" t="str">
        <f ca="1">IFERROR(__xludf.DUMMYFUNCTION("""COMPUTED_VALUE"""),"Noor Residence")</f>
        <v>Noor Residence</v>
      </c>
      <c r="C7481" s="2" t="str">
        <f ca="1">IFERROR(__xludf.DUMMYFUNCTION("""COMPUTED_VALUE"""),"Building")</f>
        <v>Building</v>
      </c>
      <c r="D7481" s="2" t="str">
        <f ca="1">IFERROR(__xludf.DUMMYFUNCTION("""COMPUTED_VALUE"""),"Dubai&gt;Barsha Heights (Tecom)&gt;Noor Residence")</f>
        <v>Dubai&gt;Barsha Heights (Tecom)&gt;Noor Residence</v>
      </c>
      <c r="E7481" s="2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</row>
    <row r="7482" spans="1:26" ht="16.5" x14ac:dyDescent="0.35">
      <c r="A7482" s="2" t="str">
        <f ca="1">IFERROR(__xludf.DUMMYFUNCTION("""COMPUTED_VALUE"""),"Dubai")</f>
        <v>Dubai</v>
      </c>
      <c r="B7482" s="2" t="str">
        <f ca="1">IFERROR(__xludf.DUMMYFUNCTION("""COMPUTED_VALUE"""),"Motor City")</f>
        <v>Motor City</v>
      </c>
      <c r="C7482" s="2" t="str">
        <f ca="1">IFERROR(__xludf.DUMMYFUNCTION("""COMPUTED_VALUE"""),"Neighbourhood")</f>
        <v>Neighbourhood</v>
      </c>
      <c r="D7482" s="2" t="str">
        <f ca="1">IFERROR(__xludf.DUMMYFUNCTION("""COMPUTED_VALUE"""),"Dubai&gt;Motor City")</f>
        <v>Dubai&gt;Motor City</v>
      </c>
      <c r="E7482" s="2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</row>
    <row r="7483" spans="1:26" ht="16.5" x14ac:dyDescent="0.35">
      <c r="A7483" s="2" t="str">
        <f ca="1">IFERROR(__xludf.DUMMYFUNCTION("""COMPUTED_VALUE"""),"Dubai")</f>
        <v>Dubai</v>
      </c>
      <c r="B7483" s="2" t="str">
        <f ca="1">IFERROR(__xludf.DUMMYFUNCTION("""COMPUTED_VALUE"""),"Rabdan Building")</f>
        <v>Rabdan Building</v>
      </c>
      <c r="C7483" s="2" t="str">
        <f ca="1">IFERROR(__xludf.DUMMYFUNCTION("""COMPUTED_VALUE"""),"Building")</f>
        <v>Building</v>
      </c>
      <c r="D7483" s="2" t="str">
        <f ca="1">IFERROR(__xludf.DUMMYFUNCTION("""COMPUTED_VALUE"""),"Dubai&gt;Motor City&gt;Rabdan Building")</f>
        <v>Dubai&gt;Motor City&gt;Rabdan Building</v>
      </c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</row>
    <row r="7484" spans="1:26" ht="16.5" x14ac:dyDescent="0.35">
      <c r="A7484" s="2" t="str">
        <f ca="1">IFERROR(__xludf.DUMMYFUNCTION("""COMPUTED_VALUE"""),"Dubai")</f>
        <v>Dubai</v>
      </c>
      <c r="B7484" s="2" t="str">
        <f ca="1">IFERROR(__xludf.DUMMYFUNCTION("""COMPUTED_VALUE"""),"Abbey Crescent 2")</f>
        <v>Abbey Crescent 2</v>
      </c>
      <c r="C7484" s="2" t="str">
        <f ca="1">IFERROR(__xludf.DUMMYFUNCTION("""COMPUTED_VALUE"""),"Building")</f>
        <v>Building</v>
      </c>
      <c r="D7484" s="2" t="str">
        <f ca="1">IFERROR(__xludf.DUMMYFUNCTION("""COMPUTED_VALUE"""),"Dubai&gt;Motor City&gt;Uptown Motor City&gt;Abbey Crescent&gt;Abbey Crescent 2")</f>
        <v>Dubai&gt;Motor City&gt;Uptown Motor City&gt;Abbey Crescent&gt;Abbey Crescent 2</v>
      </c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</row>
    <row r="7485" spans="1:26" ht="16.5" x14ac:dyDescent="0.35">
      <c r="A7485" s="2" t="str">
        <f ca="1">IFERROR(__xludf.DUMMYFUNCTION("""COMPUTED_VALUE"""),"Dubai")</f>
        <v>Dubai</v>
      </c>
      <c r="B7485" s="2" t="str">
        <f ca="1">IFERROR(__xludf.DUMMYFUNCTION("""COMPUTED_VALUE"""),"Widcombe House 4")</f>
        <v>Widcombe House 4</v>
      </c>
      <c r="C7485" s="2" t="str">
        <f ca="1">IFERROR(__xludf.DUMMYFUNCTION("""COMPUTED_VALUE"""),"Building")</f>
        <v>Building</v>
      </c>
      <c r="D7485" s="2" t="str">
        <f ca="1">IFERROR(__xludf.DUMMYFUNCTION("""COMPUTED_VALUE"""),"Dubai&gt;Motor City&gt;Uptown Motor City&gt;Widcombe House&gt;Widcombe House 4")</f>
        <v>Dubai&gt;Motor City&gt;Uptown Motor City&gt;Widcombe House&gt;Widcombe House 4</v>
      </c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</row>
    <row r="7486" spans="1:26" ht="16.5" x14ac:dyDescent="0.35">
      <c r="A7486" s="2" t="str">
        <f ca="1">IFERROR(__xludf.DUMMYFUNCTION("""COMPUTED_VALUE"""),"Dubai")</f>
        <v>Dubai</v>
      </c>
      <c r="B7486" s="2" t="str">
        <f ca="1">IFERROR(__xludf.DUMMYFUNCTION("""COMPUTED_VALUE"""),"Ananda Residences")</f>
        <v>Ananda Residences</v>
      </c>
      <c r="C7486" s="2" t="str">
        <f ca="1">IFERROR(__xludf.DUMMYFUNCTION("""COMPUTED_VALUE"""),"Cluster")</f>
        <v>Cluster</v>
      </c>
      <c r="D7486" s="2" t="str">
        <f ca="1">IFERROR(__xludf.DUMMYFUNCTION("""COMPUTED_VALUE"""),"Dubai&gt;Motor City&gt;Ananda Residences")</f>
        <v>Dubai&gt;Motor City&gt;Ananda Residences</v>
      </c>
      <c r="E7486" s="2"/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</row>
    <row r="7487" spans="1:26" ht="16.5" x14ac:dyDescent="0.35">
      <c r="A7487" s="2" t="str">
        <f ca="1">IFERROR(__xludf.DUMMYFUNCTION("""COMPUTED_VALUE"""),"Dubai")</f>
        <v>Dubai</v>
      </c>
      <c r="B7487" s="2" t="str">
        <f ca="1">IFERROR(__xludf.DUMMYFUNCTION("""COMPUTED_VALUE"""),"J8")</f>
        <v>J8</v>
      </c>
      <c r="C7487" s="2" t="str">
        <f ca="1">IFERROR(__xludf.DUMMYFUNCTION("""COMPUTED_VALUE"""),"Building")</f>
        <v>Building</v>
      </c>
      <c r="D7487" s="2" t="str">
        <f ca="1">IFERROR(__xludf.DUMMYFUNCTION("""COMPUTED_VALUE"""),"Dubai&gt;Al Sufouh&gt;Al Sufouh 1&gt;J8")</f>
        <v>Dubai&gt;Al Sufouh&gt;Al Sufouh 1&gt;J8</v>
      </c>
      <c r="E7487" s="2"/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</row>
    <row r="7488" spans="1:26" ht="16.5" x14ac:dyDescent="0.35">
      <c r="A7488" s="2" t="str">
        <f ca="1">IFERROR(__xludf.DUMMYFUNCTION("""COMPUTED_VALUE"""),"Dubai")</f>
        <v>Dubai</v>
      </c>
      <c r="B7488" s="2" t="str">
        <f ca="1">IFERROR(__xludf.DUMMYFUNCTION("""COMPUTED_VALUE"""),"Boutique Office 20")</f>
        <v>Boutique Office 20</v>
      </c>
      <c r="C7488" s="2" t="str">
        <f ca="1">IFERROR(__xludf.DUMMYFUNCTION("""COMPUTED_VALUE"""),"Building")</f>
        <v>Building</v>
      </c>
      <c r="D7488" s="2" t="str">
        <f ca="1">IFERROR(__xludf.DUMMYFUNCTION("""COMPUTED_VALUE"""),"Dubai&gt;Al Sufouh&gt;Al Sufouh 2&gt;Boutique Offices&gt;Boutique Office 20")</f>
        <v>Dubai&gt;Al Sufouh&gt;Al Sufouh 2&gt;Boutique Offices&gt;Boutique Office 20</v>
      </c>
      <c r="E7488" s="2"/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</row>
    <row r="7489" spans="1:26" ht="16.5" x14ac:dyDescent="0.35">
      <c r="A7489" s="2" t="str">
        <f ca="1">IFERROR(__xludf.DUMMYFUNCTION("""COMPUTED_VALUE"""),"Dubai")</f>
        <v>Dubai</v>
      </c>
      <c r="B7489" s="2" t="str">
        <f ca="1">IFERROR(__xludf.DUMMYFUNCTION("""COMPUTED_VALUE"""),"Al Badia Residence 23")</f>
        <v>Al Badia Residence 23</v>
      </c>
      <c r="C7489" s="2" t="str">
        <f ca="1">IFERROR(__xludf.DUMMYFUNCTION("""COMPUTED_VALUE"""),"Building")</f>
        <v>Building</v>
      </c>
      <c r="D7489" s="2" t="str">
        <f ca="1">IFERROR(__xludf.DUMMYFUNCTION("""COMPUTED_VALUE"""),"Dubai&gt;Dubai Festival City&gt;Al Badia Buildings&gt;Al Badia Residence 23")</f>
        <v>Dubai&gt;Dubai Festival City&gt;Al Badia Buildings&gt;Al Badia Residence 23</v>
      </c>
      <c r="E7489" s="2"/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</row>
    <row r="7490" spans="1:26" ht="16.5" x14ac:dyDescent="0.35">
      <c r="A7490" s="2" t="str">
        <f ca="1">IFERROR(__xludf.DUMMYFUNCTION("""COMPUTED_VALUE"""),"Dubai")</f>
        <v>Dubai</v>
      </c>
      <c r="B7490" s="2" t="str">
        <f ca="1">IFERROR(__xludf.DUMMYFUNCTION("""COMPUTED_VALUE"""),"Silver Springs")</f>
        <v>Silver Springs</v>
      </c>
      <c r="C7490" s="2" t="str">
        <f ca="1">IFERROR(__xludf.DUMMYFUNCTION("""COMPUTED_VALUE"""),"Neighbourhood")</f>
        <v>Neighbourhood</v>
      </c>
      <c r="D7490" s="2" t="str">
        <f ca="1">IFERROR(__xludf.DUMMYFUNCTION("""COMPUTED_VALUE"""),"Dubai&gt;DAMAC Hills&gt;Silver Springs")</f>
        <v>Dubai&gt;DAMAC Hills&gt;Silver Springs</v>
      </c>
      <c r="E7490" s="2"/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</row>
    <row r="7491" spans="1:26" ht="16.5" x14ac:dyDescent="0.35">
      <c r="A7491" s="2" t="str">
        <f ca="1">IFERROR(__xludf.DUMMYFUNCTION("""COMPUTED_VALUE"""),"Dubai")</f>
        <v>Dubai</v>
      </c>
      <c r="B7491" s="2" t="str">
        <f ca="1">IFERROR(__xludf.DUMMYFUNCTION("""COMPUTED_VALUE"""),"Artesia")</f>
        <v>Artesia</v>
      </c>
      <c r="C7491" s="2" t="str">
        <f ca="1">IFERROR(__xludf.DUMMYFUNCTION("""COMPUTED_VALUE"""),"Cluster")</f>
        <v>Cluster</v>
      </c>
      <c r="D7491" s="2" t="str">
        <f ca="1">IFERROR(__xludf.DUMMYFUNCTION("""COMPUTED_VALUE"""),"Dubai&gt;DAMAC Hills&gt;Artesia")</f>
        <v>Dubai&gt;DAMAC Hills&gt;Artesia</v>
      </c>
      <c r="E7491" s="2"/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</row>
    <row r="7492" spans="1:26" ht="16.5" x14ac:dyDescent="0.35">
      <c r="A7492" s="2" t="str">
        <f ca="1">IFERROR(__xludf.DUMMYFUNCTION("""COMPUTED_VALUE"""),"Dubai")</f>
        <v>Dubai</v>
      </c>
      <c r="B7492" s="2" t="str">
        <f ca="1">IFERROR(__xludf.DUMMYFUNCTION("""COMPUTED_VALUE"""),"Golf Horizon Tower B")</f>
        <v>Golf Horizon Tower B</v>
      </c>
      <c r="C7492" s="2" t="str">
        <f ca="1">IFERROR(__xludf.DUMMYFUNCTION("""COMPUTED_VALUE"""),"Building")</f>
        <v>Building</v>
      </c>
      <c r="D7492" s="2" t="str">
        <f ca="1">IFERROR(__xludf.DUMMYFUNCTION("""COMPUTED_VALUE"""),"Dubai&gt;DAMAC Hills&gt;Golf Horizon&gt;Golf Horizon Tower B")</f>
        <v>Dubai&gt;DAMAC Hills&gt;Golf Horizon&gt;Golf Horizon Tower B</v>
      </c>
      <c r="E7492" s="2"/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</row>
    <row r="7493" spans="1:26" ht="16.5" x14ac:dyDescent="0.35">
      <c r="A7493" s="2" t="str">
        <f ca="1">IFERROR(__xludf.DUMMYFUNCTION("""COMPUTED_VALUE"""),"Dubai")</f>
        <v>Dubai</v>
      </c>
      <c r="B7493" s="2" t="str">
        <f ca="1">IFERROR(__xludf.DUMMYFUNCTION("""COMPUTED_VALUE"""),"Golf Greens 1 Podium")</f>
        <v>Golf Greens 1 Podium</v>
      </c>
      <c r="C7493" s="2" t="str">
        <f ca="1">IFERROR(__xludf.DUMMYFUNCTION("""COMPUTED_VALUE"""),"Building")</f>
        <v>Building</v>
      </c>
      <c r="D7493" s="2" t="str">
        <f ca="1">IFERROR(__xludf.DUMMYFUNCTION("""COMPUTED_VALUE"""),"Dubai&gt;DAMAC Hills&gt;Golf Greens 1&gt;Golf Greens 1 Podium")</f>
        <v>Dubai&gt;DAMAC Hills&gt;Golf Greens 1&gt;Golf Greens 1 Podium</v>
      </c>
      <c r="E7493" s="2"/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</row>
    <row r="7494" spans="1:26" ht="16.5" x14ac:dyDescent="0.35">
      <c r="A7494" s="2" t="str">
        <f ca="1">IFERROR(__xludf.DUMMYFUNCTION("""COMPUTED_VALUE"""),"Dubai")</f>
        <v>Dubai</v>
      </c>
      <c r="B7494" s="2" t="str">
        <f ca="1">IFERROR(__xludf.DUMMYFUNCTION("""COMPUTED_VALUE"""),"Seven Pearls Block G")</f>
        <v>Seven Pearls Block G</v>
      </c>
      <c r="C7494" s="2" t="str">
        <f ca="1">IFERROR(__xludf.DUMMYFUNCTION("""COMPUTED_VALUE"""),"Building")</f>
        <v>Building</v>
      </c>
      <c r="D7494" s="2" t="str">
        <f ca="1">IFERROR(__xludf.DUMMYFUNCTION("""COMPUTED_VALUE"""),"Dubai&gt;Al Mina&gt;Seven Pearls&gt;Seven Pearls Block G")</f>
        <v>Dubai&gt;Al Mina&gt;Seven Pearls&gt;Seven Pearls Block G</v>
      </c>
      <c r="E7494" s="2"/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</row>
    <row r="7495" spans="1:26" ht="16.5" x14ac:dyDescent="0.35">
      <c r="A7495" s="2" t="str">
        <f ca="1">IFERROR(__xludf.DUMMYFUNCTION("""COMPUTED_VALUE"""),"Dubai")</f>
        <v>Dubai</v>
      </c>
      <c r="B7495" s="2" t="str">
        <f ca="1">IFERROR(__xludf.DUMMYFUNCTION("""COMPUTED_VALUE"""),"Orise by Beyond Tower 2")</f>
        <v>Orise by Beyond Tower 2</v>
      </c>
      <c r="C7495" s="2" t="str">
        <f ca="1">IFERROR(__xludf.DUMMYFUNCTION("""COMPUTED_VALUE"""),"Building")</f>
        <v>Building</v>
      </c>
      <c r="D7495" s="2" t="str">
        <f ca="1">IFERROR(__xludf.DUMMYFUNCTION("""COMPUTED_VALUE"""),"Dubai&gt;Dubai Maritime City&gt;Orise by Beyond&gt;Orise by Beyond Tower 2")</f>
        <v>Dubai&gt;Dubai Maritime City&gt;Orise by Beyond&gt;Orise by Beyond Tower 2</v>
      </c>
      <c r="E7495" s="2"/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</row>
    <row r="7496" spans="1:26" ht="16.5" x14ac:dyDescent="0.35">
      <c r="A7496" s="2" t="str">
        <f ca="1">IFERROR(__xludf.DUMMYFUNCTION("""COMPUTED_VALUE"""),"Dubai")</f>
        <v>Dubai</v>
      </c>
      <c r="B7496" s="2" t="str">
        <f ca="1">IFERROR(__xludf.DUMMYFUNCTION("""COMPUTED_VALUE"""),"The Views 2A")</f>
        <v>The Views 2A</v>
      </c>
      <c r="C7496" s="2" t="str">
        <f ca="1">IFERROR(__xludf.DUMMYFUNCTION("""COMPUTED_VALUE"""),"Building")</f>
        <v>Building</v>
      </c>
      <c r="D7496" s="2" t="str">
        <f ca="1">IFERROR(__xludf.DUMMYFUNCTION("""COMPUTED_VALUE"""),"Dubai&gt;The Views&gt;The Views 2&gt;The Views 2A")</f>
        <v>Dubai&gt;The Views&gt;The Views 2&gt;The Views 2A</v>
      </c>
      <c r="E7496" s="2"/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</row>
    <row r="7497" spans="1:26" ht="16.5" x14ac:dyDescent="0.35">
      <c r="A7497" s="2" t="str">
        <f ca="1">IFERROR(__xludf.DUMMYFUNCTION("""COMPUTED_VALUE"""),"Dubai")</f>
        <v>Dubai</v>
      </c>
      <c r="B7497" s="2" t="str">
        <f ca="1">IFERROR(__xludf.DUMMYFUNCTION("""COMPUTED_VALUE"""),"Travo Tower B")</f>
        <v>Travo Tower B</v>
      </c>
      <c r="C7497" s="2" t="str">
        <f ca="1">IFERROR(__xludf.DUMMYFUNCTION("""COMPUTED_VALUE"""),"Building")</f>
        <v>Building</v>
      </c>
      <c r="D7497" s="2" t="str">
        <f ca="1">IFERROR(__xludf.DUMMYFUNCTION("""COMPUTED_VALUE"""),"Dubai&gt;The Views&gt;Travo&gt;Travo Tower B")</f>
        <v>Dubai&gt;The Views&gt;Travo&gt;Travo Tower B</v>
      </c>
      <c r="E7497" s="2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</row>
    <row r="7498" spans="1:26" ht="16.5" x14ac:dyDescent="0.35">
      <c r="A7498" s="2" t="str">
        <f ca="1">IFERROR(__xludf.DUMMYFUNCTION("""COMPUTED_VALUE"""),"Dubai")</f>
        <v>Dubai</v>
      </c>
      <c r="B7498" s="2" t="str">
        <f ca="1">IFERROR(__xludf.DUMMYFUNCTION("""COMPUTED_VALUE"""),"Gold and Diamond Park Building 4")</f>
        <v>Gold and Diamond Park Building 4</v>
      </c>
      <c r="C7498" s="2" t="str">
        <f ca="1">IFERROR(__xludf.DUMMYFUNCTION("""COMPUTED_VALUE"""),"Building")</f>
        <v>Building</v>
      </c>
      <c r="D7498" s="2" t="str">
        <f ca="1">IFERROR(__xludf.DUMMYFUNCTION("""COMPUTED_VALUE"""),"Dubai&gt;Al Quoz&gt;Al Quoz Industrial Area&gt;Al Quoz Industrial Area 3&gt;Gold and Diamond Park&gt;Gold and Diamond Park Building 4")</f>
        <v>Dubai&gt;Al Quoz&gt;Al Quoz Industrial Area&gt;Al Quoz Industrial Area 3&gt;Gold and Diamond Park&gt;Gold and Diamond Park Building 4</v>
      </c>
      <c r="E7498" s="2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</row>
    <row r="7499" spans="1:26" ht="16.5" x14ac:dyDescent="0.35">
      <c r="A7499" s="2" t="str">
        <f ca="1">IFERROR(__xludf.DUMMYFUNCTION("""COMPUTED_VALUE"""),"Dubai")</f>
        <v>Dubai</v>
      </c>
      <c r="B7499" s="2" t="str">
        <f ca="1">IFERROR(__xludf.DUMMYFUNCTION("""COMPUTED_VALUE"""),"Al Khail Heights Building 1B")</f>
        <v>Al Khail Heights Building 1B</v>
      </c>
      <c r="C7499" s="2" t="str">
        <f ca="1">IFERROR(__xludf.DUMMYFUNCTION("""COMPUTED_VALUE"""),"Building")</f>
        <v>Building</v>
      </c>
      <c r="D7499" s="2" t="str">
        <f ca="1">IFERROR(__xludf.DUMMYFUNCTION("""COMPUTED_VALUE"""),"Dubai&gt;Al Quoz&gt;Al Quoz 4&gt;Al Khail Heights&gt;Al Khail Heights Building 1B")</f>
        <v>Dubai&gt;Al Quoz&gt;Al Quoz 4&gt;Al Khail Heights&gt;Al Khail Heights Building 1B</v>
      </c>
      <c r="E7499" s="2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</row>
    <row r="7500" spans="1:26" ht="16.5" x14ac:dyDescent="0.35">
      <c r="A7500" s="2" t="str">
        <f ca="1">IFERROR(__xludf.DUMMYFUNCTION("""COMPUTED_VALUE"""),"Dubai")</f>
        <v>Dubai</v>
      </c>
      <c r="B7500" s="2" t="str">
        <f ca="1">IFERROR(__xludf.DUMMYFUNCTION("""COMPUTED_VALUE"""),"Silicon Gates 4")</f>
        <v>Silicon Gates 4</v>
      </c>
      <c r="C7500" s="2" t="str">
        <f ca="1">IFERROR(__xludf.DUMMYFUNCTION("""COMPUTED_VALUE"""),"Building")</f>
        <v>Building</v>
      </c>
      <c r="D7500" s="2" t="str">
        <f ca="1">IFERROR(__xludf.DUMMYFUNCTION("""COMPUTED_VALUE"""),"Dubai&gt;Dubai Silicon Oasis (DSO)&gt;Silicon Gates&gt;Silicon Gates 4")</f>
        <v>Dubai&gt;Dubai Silicon Oasis (DSO)&gt;Silicon Gates&gt;Silicon Gates 4</v>
      </c>
      <c r="E7500" s="2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</row>
    <row r="7501" spans="1:26" ht="16.5" x14ac:dyDescent="0.35">
      <c r="A7501" s="2" t="str">
        <f ca="1">IFERROR(__xludf.DUMMYFUNCTION("""COMPUTED_VALUE"""),"Dubai")</f>
        <v>Dubai</v>
      </c>
      <c r="B7501" s="2" t="str">
        <f ca="1">IFERROR(__xludf.DUMMYFUNCTION("""COMPUTED_VALUE"""),"Le Presidium 1")</f>
        <v>Le Presidium 1</v>
      </c>
      <c r="C7501" s="2" t="str">
        <f ca="1">IFERROR(__xludf.DUMMYFUNCTION("""COMPUTED_VALUE"""),"Building")</f>
        <v>Building</v>
      </c>
      <c r="D7501" s="2" t="str">
        <f ca="1">IFERROR(__xludf.DUMMYFUNCTION("""COMPUTED_VALUE"""),"Dubai&gt;Dubai Silicon Oasis (DSO)&gt;Le Presidium&gt;Le Presidium 1")</f>
        <v>Dubai&gt;Dubai Silicon Oasis (DSO)&gt;Le Presidium&gt;Le Presidium 1</v>
      </c>
      <c r="E7501" s="2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</row>
    <row r="7502" spans="1:26" ht="16.5" x14ac:dyDescent="0.35">
      <c r="A7502" s="2" t="str">
        <f ca="1">IFERROR(__xludf.DUMMYFUNCTION("""COMPUTED_VALUE"""),"Dubai")</f>
        <v>Dubai</v>
      </c>
      <c r="B7502" s="2" t="str">
        <f ca="1">IFERROR(__xludf.DUMMYFUNCTION("""COMPUTED_VALUE"""),"Binghatti Platinum")</f>
        <v>Binghatti Platinum</v>
      </c>
      <c r="C7502" s="2" t="str">
        <f ca="1">IFERROR(__xludf.DUMMYFUNCTION("""COMPUTED_VALUE"""),"Building")</f>
        <v>Building</v>
      </c>
      <c r="D7502" s="2" t="str">
        <f ca="1">IFERROR(__xludf.DUMMYFUNCTION("""COMPUTED_VALUE"""),"Dubai&gt;Dubai Silicon Oasis (DSO)&gt;Binghatti Platinum")</f>
        <v>Dubai&gt;Dubai Silicon Oasis (DSO)&gt;Binghatti Platinum</v>
      </c>
      <c r="E7502" s="2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</row>
    <row r="7503" spans="1:26" ht="16.5" x14ac:dyDescent="0.35">
      <c r="A7503" s="2" t="str">
        <f ca="1">IFERROR(__xludf.DUMMYFUNCTION("""COMPUTED_VALUE"""),"Dubai")</f>
        <v>Dubai</v>
      </c>
      <c r="B7503" s="2" t="str">
        <f ca="1">IFERROR(__xludf.DUMMYFUNCTION("""COMPUTED_VALUE"""),"Narcissus Building")</f>
        <v>Narcissus Building</v>
      </c>
      <c r="C7503" s="2" t="str">
        <f ca="1">IFERROR(__xludf.DUMMYFUNCTION("""COMPUTED_VALUE"""),"Building")</f>
        <v>Building</v>
      </c>
      <c r="D7503" s="2" t="str">
        <f ca="1">IFERROR(__xludf.DUMMYFUNCTION("""COMPUTED_VALUE"""),"Dubai&gt;Dubai Silicon Oasis (DSO)&gt;Narcissus Building")</f>
        <v>Dubai&gt;Dubai Silicon Oasis (DSO)&gt;Narcissus Building</v>
      </c>
      <c r="E7503" s="2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</row>
    <row r="7504" spans="1:26" ht="16.5" x14ac:dyDescent="0.35">
      <c r="A7504" s="2" t="str">
        <f ca="1">IFERROR(__xludf.DUMMYFUNCTION("""COMPUTED_VALUE"""),"Dubai")</f>
        <v>Dubai</v>
      </c>
      <c r="B7504" s="2" t="str">
        <f ca="1">IFERROR(__xludf.DUMMYFUNCTION("""COMPUTED_VALUE"""),"National Bonds Oasis")</f>
        <v>National Bonds Oasis</v>
      </c>
      <c r="C7504" s="2" t="str">
        <f ca="1">IFERROR(__xludf.DUMMYFUNCTION("""COMPUTED_VALUE"""),"Building")</f>
        <v>Building</v>
      </c>
      <c r="D7504" s="2" t="str">
        <f ca="1">IFERROR(__xludf.DUMMYFUNCTION("""COMPUTED_VALUE"""),"Dubai&gt;Dubai Silicon Oasis (DSO)&gt;National Bonds Oasis")</f>
        <v>Dubai&gt;Dubai Silicon Oasis (DSO)&gt;National Bonds Oasis</v>
      </c>
      <c r="E7504" s="2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</row>
    <row r="7505" spans="1:26" ht="16.5" x14ac:dyDescent="0.35">
      <c r="A7505" s="2" t="str">
        <f ca="1">IFERROR(__xludf.DUMMYFUNCTION("""COMPUTED_VALUE"""),"Dubai")</f>
        <v>Dubai</v>
      </c>
      <c r="B7505" s="2" t="str">
        <f ca="1">IFERROR(__xludf.DUMMYFUNCTION("""COMPUTED_VALUE"""),"The Sanctuary Tower")</f>
        <v>The Sanctuary Tower</v>
      </c>
      <c r="C7505" s="2" t="str">
        <f ca="1">IFERROR(__xludf.DUMMYFUNCTION("""COMPUTED_VALUE"""),"Building")</f>
        <v>Building</v>
      </c>
      <c r="D7505" s="2" t="str">
        <f ca="1">IFERROR(__xludf.DUMMYFUNCTION("""COMPUTED_VALUE"""),"Dubai&gt;Dubai Silicon Oasis (DSO)&gt;The Sanctuary Tower")</f>
        <v>Dubai&gt;Dubai Silicon Oasis (DSO)&gt;The Sanctuary Tower</v>
      </c>
      <c r="E7505" s="2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</row>
    <row r="7506" spans="1:26" ht="16.5" x14ac:dyDescent="0.35">
      <c r="A7506" s="2" t="str">
        <f ca="1">IFERROR(__xludf.DUMMYFUNCTION("""COMPUTED_VALUE"""),"Dubai")</f>
        <v>Dubai</v>
      </c>
      <c r="B7506" s="2" t="str">
        <f ca="1">IFERROR(__xludf.DUMMYFUNCTION("""COMPUTED_VALUE"""),"University View")</f>
        <v>University View</v>
      </c>
      <c r="C7506" s="2" t="str">
        <f ca="1">IFERROR(__xludf.DUMMYFUNCTION("""COMPUTED_VALUE"""),"Cluster")</f>
        <v>Cluster</v>
      </c>
      <c r="D7506" s="2" t="str">
        <f ca="1">IFERROR(__xludf.DUMMYFUNCTION("""COMPUTED_VALUE"""),"Dubai&gt;Dubai Silicon Oasis (DSO)&gt;University View")</f>
        <v>Dubai&gt;Dubai Silicon Oasis (DSO)&gt;University View</v>
      </c>
      <c r="E7506" s="2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</row>
    <row r="7507" spans="1:26" ht="16.5" x14ac:dyDescent="0.35">
      <c r="A7507" s="2" t="str">
        <f ca="1">IFERROR(__xludf.DUMMYFUNCTION("""COMPUTED_VALUE"""),"Dubai")</f>
        <v>Dubai</v>
      </c>
      <c r="B7507" s="2" t="str">
        <f ca="1">IFERROR(__xludf.DUMMYFUNCTION("""COMPUTED_VALUE"""),"The Neighbourhood C2")</f>
        <v>The Neighbourhood C2</v>
      </c>
      <c r="C7507" s="2" t="str">
        <f ca="1">IFERROR(__xludf.DUMMYFUNCTION("""COMPUTED_VALUE"""),"Building")</f>
        <v>Building</v>
      </c>
      <c r="D7507" s="2" t="str">
        <f ca="1">IFERROR(__xludf.DUMMYFUNCTION("""COMPUTED_VALUE"""),"Dubai&gt;Al Barari&gt;The Neighbourhood&gt;The Neighbourhood C2")</f>
        <v>Dubai&gt;Al Barari&gt;The Neighbourhood&gt;The Neighbourhood C2</v>
      </c>
      <c r="E7507" s="2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</row>
    <row r="7508" spans="1:26" ht="16.5" x14ac:dyDescent="0.35">
      <c r="A7508" s="2" t="str">
        <f ca="1">IFERROR(__xludf.DUMMYFUNCTION("""COMPUTED_VALUE"""),"Dubai")</f>
        <v>Dubai</v>
      </c>
      <c r="B7508" s="2" t="str">
        <f ca="1">IFERROR(__xludf.DUMMYFUNCTION("""COMPUTED_VALUE"""),"Altissima")</f>
        <v>Altissima</v>
      </c>
      <c r="C7508" s="2" t="str">
        <f ca="1">IFERROR(__xludf.DUMMYFUNCTION("""COMPUTED_VALUE"""),"Neighbourhood")</f>
        <v>Neighbourhood</v>
      </c>
      <c r="D7508" s="2" t="str">
        <f ca="1">IFERROR(__xludf.DUMMYFUNCTION("""COMPUTED_VALUE"""),"Dubai&gt;Al Barari&gt;Altissima")</f>
        <v>Dubai&gt;Al Barari&gt;Altissima</v>
      </c>
      <c r="E7508" s="2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</row>
    <row r="7509" spans="1:26" ht="16.5" x14ac:dyDescent="0.35">
      <c r="A7509" s="2" t="str">
        <f ca="1">IFERROR(__xludf.DUMMYFUNCTION("""COMPUTED_VALUE"""),"Dubai")</f>
        <v>Dubai</v>
      </c>
      <c r="B7509" s="2" t="str">
        <f ca="1">IFERROR(__xludf.DUMMYFUNCTION("""COMPUTED_VALUE"""),"The Lakeview")</f>
        <v>The Lakeview</v>
      </c>
      <c r="C7509" s="2" t="str">
        <f ca="1">IFERROR(__xludf.DUMMYFUNCTION("""COMPUTED_VALUE"""),"Neighbourhood")</f>
        <v>Neighbourhood</v>
      </c>
      <c r="D7509" s="2" t="str">
        <f ca="1">IFERROR(__xludf.DUMMYFUNCTION("""COMPUTED_VALUE"""),"Dubai&gt;Mohammed Bin Rashid City&gt;District 11&gt;The Sanctuary by Ellington&gt;The Lakeview")</f>
        <v>Dubai&gt;Mohammed Bin Rashid City&gt;District 11&gt;The Sanctuary by Ellington&gt;The Lakeview</v>
      </c>
      <c r="E7509" s="2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</row>
    <row r="7510" spans="1:26" ht="16.5" x14ac:dyDescent="0.35">
      <c r="A7510" s="2" t="str">
        <f ca="1">IFERROR(__xludf.DUMMYFUNCTION("""COMPUTED_VALUE"""),"Dubai")</f>
        <v>Dubai</v>
      </c>
      <c r="B7510" s="2" t="str">
        <f ca="1">IFERROR(__xludf.DUMMYFUNCTION("""COMPUTED_VALUE"""),"Derby Heights")</f>
        <v>Derby Heights</v>
      </c>
      <c r="C7510" s="2" t="str">
        <f ca="1">IFERROR(__xludf.DUMMYFUNCTION("""COMPUTED_VALUE"""),"Building")</f>
        <v>Building</v>
      </c>
      <c r="D7510" s="2" t="str">
        <f ca="1">IFERROR(__xludf.DUMMYFUNCTION("""COMPUTED_VALUE"""),"Dubai&gt;Mohammed Bin Rashid City&gt;District 11&gt;Derby Heights")</f>
        <v>Dubai&gt;Mohammed Bin Rashid City&gt;District 11&gt;Derby Heights</v>
      </c>
      <c r="E7510" s="2"/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</row>
    <row r="7511" spans="1:26" ht="16.5" x14ac:dyDescent="0.35">
      <c r="A7511" s="2" t="str">
        <f ca="1">IFERROR(__xludf.DUMMYFUNCTION("""COMPUTED_VALUE"""),"Dubai")</f>
        <v>Dubai</v>
      </c>
      <c r="B7511" s="2" t="str">
        <f ca="1">IFERROR(__xludf.DUMMYFUNCTION("""COMPUTED_VALUE"""),"Residences 20")</f>
        <v>Residences 20</v>
      </c>
      <c r="C7511" s="2" t="str">
        <f ca="1">IFERROR(__xludf.DUMMYFUNCTION("""COMPUTED_VALUE"""),"Building")</f>
        <v>Building</v>
      </c>
      <c r="D7511" s="2" t="str">
        <f ca="1">IFERROR(__xludf.DUMMYFUNCTION("""COMPUTED_VALUE"""),"Dubai&gt;Mohammed Bin Rashid City&gt;District One&gt;The Residences at District One&gt;Residences 20")</f>
        <v>Dubai&gt;Mohammed Bin Rashid City&gt;District One&gt;The Residences at District One&gt;Residences 20</v>
      </c>
      <c r="E7511" s="2"/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</row>
    <row r="7512" spans="1:26" ht="16.5" x14ac:dyDescent="0.35">
      <c r="A7512" s="2" t="str">
        <f ca="1">IFERROR(__xludf.DUMMYFUNCTION("""COMPUTED_VALUE"""),"Dubai")</f>
        <v>Dubai</v>
      </c>
      <c r="B7512" s="2" t="str">
        <f ca="1">IFERROR(__xludf.DUMMYFUNCTION("""COMPUTED_VALUE"""),"The Pulse Villas 2")</f>
        <v>The Pulse Villas 2</v>
      </c>
      <c r="C7512" s="2" t="str">
        <f ca="1">IFERROR(__xludf.DUMMYFUNCTION("""COMPUTED_VALUE"""),"Neighbourhood")</f>
        <v>Neighbourhood</v>
      </c>
      <c r="D7512" s="2" t="str">
        <f ca="1">IFERROR(__xludf.DUMMYFUNCTION("""COMPUTED_VALUE"""),"Dubai&gt;Dubai South&gt;Residential District&gt;The Pulse&gt;The Pulse Villas 2")</f>
        <v>Dubai&gt;Dubai South&gt;Residential District&gt;The Pulse&gt;The Pulse Villas 2</v>
      </c>
      <c r="E7512" s="2"/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</row>
    <row r="7513" spans="1:26" ht="16.5" x14ac:dyDescent="0.35">
      <c r="A7513" s="2" t="str">
        <f ca="1">IFERROR(__xludf.DUMMYFUNCTION("""COMPUTED_VALUE"""),"Dubai")</f>
        <v>Dubai</v>
      </c>
      <c r="B7513" s="2" t="str">
        <f ca="1">IFERROR(__xludf.DUMMYFUNCTION("""COMPUTED_VALUE"""),"MAG 520")</f>
        <v>MAG 520</v>
      </c>
      <c r="C7513" s="2" t="str">
        <f ca="1">IFERROR(__xludf.DUMMYFUNCTION("""COMPUTED_VALUE"""),"Building")</f>
        <v>Building</v>
      </c>
      <c r="D7513" s="2" t="str">
        <f ca="1">IFERROR(__xludf.DUMMYFUNCTION("""COMPUTED_VALUE"""),"Dubai&gt;Dubai South&gt;Residential District&gt;MAG 5 Boulevard&gt;MAG 520")</f>
        <v>Dubai&gt;Dubai South&gt;Residential District&gt;MAG 5 Boulevard&gt;MAG 520</v>
      </c>
      <c r="E7513" s="2"/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</row>
    <row r="7514" spans="1:26" ht="16.5" x14ac:dyDescent="0.35">
      <c r="A7514" s="2" t="str">
        <f ca="1">IFERROR(__xludf.DUMMYFUNCTION("""COMPUTED_VALUE"""),"Dubai")</f>
        <v>Dubai</v>
      </c>
      <c r="B7514" s="2" t="str">
        <f ca="1">IFERROR(__xludf.DUMMYFUNCTION("""COMPUTED_VALUE"""),"Manam Prime")</f>
        <v>Manam Prime</v>
      </c>
      <c r="C7514" s="2" t="str">
        <f ca="1">IFERROR(__xludf.DUMMYFUNCTION("""COMPUTED_VALUE"""),"Building")</f>
        <v>Building</v>
      </c>
      <c r="D7514" s="2" t="str">
        <f ca="1">IFERROR(__xludf.DUMMYFUNCTION("""COMPUTED_VALUE"""),"Dubai&gt;Dubai South&gt;Residential District&gt;Manam Prime")</f>
        <v>Dubai&gt;Dubai South&gt;Residential District&gt;Manam Prime</v>
      </c>
      <c r="E7514" s="2"/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</row>
    <row r="7515" spans="1:26" ht="16.5" x14ac:dyDescent="0.35">
      <c r="A7515" s="2" t="str">
        <f ca="1">IFERROR(__xludf.DUMMYFUNCTION("""COMPUTED_VALUE"""),"Dubai")</f>
        <v>Dubai</v>
      </c>
      <c r="B7515" s="2" t="str">
        <f ca="1">IFERROR(__xludf.DUMMYFUNCTION("""COMPUTED_VALUE"""),"Livia Residence")</f>
        <v>Livia Residence</v>
      </c>
      <c r="C7515" s="2" t="str">
        <f ca="1">IFERROR(__xludf.DUMMYFUNCTION("""COMPUTED_VALUE"""),"Building")</f>
        <v>Building</v>
      </c>
      <c r="D7515" s="2" t="str">
        <f ca="1">IFERROR(__xludf.DUMMYFUNCTION("""COMPUTED_VALUE"""),"Dubai&gt;Dubai South&gt;Residential District&gt;Livia Residence")</f>
        <v>Dubai&gt;Dubai South&gt;Residential District&gt;Livia Residence</v>
      </c>
      <c r="E7515" s="2"/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</row>
    <row r="7516" spans="1:26" ht="16.5" x14ac:dyDescent="0.35">
      <c r="A7516" s="2" t="str">
        <f ca="1">IFERROR(__xludf.DUMMYFUNCTION("""COMPUTED_VALUE"""),"Dubai")</f>
        <v>Dubai</v>
      </c>
      <c r="B7516" s="2" t="str">
        <f ca="1">IFERROR(__xludf.DUMMYFUNCTION("""COMPUTED_VALUE"""),"Fairway Villas")</f>
        <v>Fairway Villas</v>
      </c>
      <c r="C7516" s="2" t="str">
        <f ca="1">IFERROR(__xludf.DUMMYFUNCTION("""COMPUTED_VALUE"""),"Neighbourhood")</f>
        <v>Neighbourhood</v>
      </c>
      <c r="D7516" s="2" t="str">
        <f ca="1">IFERROR(__xludf.DUMMYFUNCTION("""COMPUTED_VALUE"""),"Dubai&gt;Dubai South&gt;Emaar South&gt;Fairway Villas")</f>
        <v>Dubai&gt;Dubai South&gt;Emaar South&gt;Fairway Villas</v>
      </c>
      <c r="E7516" s="2"/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</row>
    <row r="7517" spans="1:26" ht="16.5" x14ac:dyDescent="0.35">
      <c r="A7517" s="2" t="str">
        <f ca="1">IFERROR(__xludf.DUMMYFUNCTION("""COMPUTED_VALUE"""),"Dubai")</f>
        <v>Dubai</v>
      </c>
      <c r="B7517" s="2" t="str">
        <f ca="1">IFERROR(__xludf.DUMMYFUNCTION("""COMPUTED_VALUE"""),"Tappy Toes Dubai South")</f>
        <v>Tappy Toes Dubai South</v>
      </c>
      <c r="C7517" s="2" t="str">
        <f ca="1">IFERROR(__xludf.DUMMYFUNCTION("""COMPUTED_VALUE"""),"Nursery")</f>
        <v>Nursery</v>
      </c>
      <c r="D7517" s="2" t="str">
        <f ca="1">IFERROR(__xludf.DUMMYFUNCTION("""COMPUTED_VALUE"""),"Dubai&gt;Dubai South&gt;Logistics City&gt;Tappy Toes Dubai South")</f>
        <v>Dubai&gt;Dubai South&gt;Logistics City&gt;Tappy Toes Dubai South</v>
      </c>
      <c r="E7517" s="2"/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</row>
    <row r="7518" spans="1:26" ht="16.5" x14ac:dyDescent="0.35">
      <c r="A7518" s="2" t="str">
        <f ca="1">IFERROR(__xludf.DUMMYFUNCTION("""COMPUTED_VALUE"""),"Dubai")</f>
        <v>Dubai</v>
      </c>
      <c r="B7518" s="2" t="str">
        <f ca="1">IFERROR(__xludf.DUMMYFUNCTION("""COMPUTED_VALUE"""),"Azizi Venice 4")</f>
        <v>Azizi Venice 4</v>
      </c>
      <c r="C7518" s="2" t="str">
        <f ca="1">IFERROR(__xludf.DUMMYFUNCTION("""COMPUTED_VALUE"""),"Cluster")</f>
        <v>Cluster</v>
      </c>
      <c r="D7518" s="2" t="str">
        <f ca="1">IFERROR(__xludf.DUMMYFUNCTION("""COMPUTED_VALUE"""),"Dubai&gt;Dubai South&gt;Azizi Venice&gt;Azizi Venice 4")</f>
        <v>Dubai&gt;Dubai South&gt;Azizi Venice&gt;Azizi Venice 4</v>
      </c>
      <c r="E7518" s="2"/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</row>
    <row r="7519" spans="1:26" ht="16.5" x14ac:dyDescent="0.35">
      <c r="A7519" s="2" t="str">
        <f ca="1">IFERROR(__xludf.DUMMYFUNCTION("""COMPUTED_VALUE"""),"Dubai")</f>
        <v>Dubai</v>
      </c>
      <c r="B7519" s="2" t="str">
        <f ca="1">IFERROR(__xludf.DUMMYFUNCTION("""COMPUTED_VALUE"""),"Azizi Venice 12")</f>
        <v>Azizi Venice 12</v>
      </c>
      <c r="C7519" s="2" t="str">
        <f ca="1">IFERROR(__xludf.DUMMYFUNCTION("""COMPUTED_VALUE"""),"Cluster")</f>
        <v>Cluster</v>
      </c>
      <c r="D7519" s="2" t="str">
        <f ca="1">IFERROR(__xludf.DUMMYFUNCTION("""COMPUTED_VALUE"""),"Dubai&gt;Dubai South&gt;Azizi Venice&gt;Azizi Venice 12")</f>
        <v>Dubai&gt;Dubai South&gt;Azizi Venice&gt;Azizi Venice 12</v>
      </c>
      <c r="E7519" s="2"/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</row>
    <row r="7520" spans="1:26" ht="16.5" x14ac:dyDescent="0.35">
      <c r="A7520" s="2" t="str">
        <f ca="1">IFERROR(__xludf.DUMMYFUNCTION("""COMPUTED_VALUE"""),"Dubai")</f>
        <v>Dubai</v>
      </c>
      <c r="B7520" s="2" t="str">
        <f ca="1">IFERROR(__xludf.DUMMYFUNCTION("""COMPUTED_VALUE"""),"The Meadows 6")</f>
        <v>The Meadows 6</v>
      </c>
      <c r="C7520" s="2" t="str">
        <f ca="1">IFERROR(__xludf.DUMMYFUNCTION("""COMPUTED_VALUE"""),"Neighbourhood")</f>
        <v>Neighbourhood</v>
      </c>
      <c r="D7520" s="2" t="str">
        <f ca="1">IFERROR(__xludf.DUMMYFUNCTION("""COMPUTED_VALUE"""),"Dubai&gt;The Meadows&gt;The Meadows 6")</f>
        <v>Dubai&gt;The Meadows&gt;The Meadows 6</v>
      </c>
      <c r="E7520" s="2"/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</row>
    <row r="7521" spans="1:26" ht="16.5" x14ac:dyDescent="0.35">
      <c r="A7521" s="2" t="str">
        <f ca="1">IFERROR(__xludf.DUMMYFUNCTION("""COMPUTED_VALUE"""),"Dubai")</f>
        <v>Dubai</v>
      </c>
      <c r="B7521" s="2" t="str">
        <f ca="1">IFERROR(__xludf.DUMMYFUNCTION("""COMPUTED_VALUE"""),"Saleh Bin Lahej Building")</f>
        <v>Saleh Bin Lahej Building</v>
      </c>
      <c r="C7521" s="2" t="str">
        <f ca="1">IFERROR(__xludf.DUMMYFUNCTION("""COMPUTED_VALUE"""),"Building")</f>
        <v>Building</v>
      </c>
      <c r="D7521" s="2" t="str">
        <f ca="1">IFERROR(__xludf.DUMMYFUNCTION("""COMPUTED_VALUE"""),"Dubai&gt;Bur Dubai&gt;Oud Metha&gt;Saleh Bin Lahej Building")</f>
        <v>Dubai&gt;Bur Dubai&gt;Oud Metha&gt;Saleh Bin Lahej Building</v>
      </c>
      <c r="E7521" s="2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</row>
    <row r="7522" spans="1:26" ht="16.5" x14ac:dyDescent="0.35">
      <c r="A7522" s="2" t="str">
        <f ca="1">IFERROR(__xludf.DUMMYFUNCTION("""COMPUTED_VALUE"""),"Dubai")</f>
        <v>Dubai</v>
      </c>
      <c r="B7522" s="2" t="str">
        <f ca="1">IFERROR(__xludf.DUMMYFUNCTION("""COMPUTED_VALUE"""),"Lamcy A")</f>
        <v>Lamcy A</v>
      </c>
      <c r="C7522" s="2" t="str">
        <f ca="1">IFERROR(__xludf.DUMMYFUNCTION("""COMPUTED_VALUE"""),"Building")</f>
        <v>Building</v>
      </c>
      <c r="D7522" s="2" t="str">
        <f ca="1">IFERROR(__xludf.DUMMYFUNCTION("""COMPUTED_VALUE"""),"Dubai&gt;Bur Dubai&gt;Oud Metha&gt;Lamcy A")</f>
        <v>Dubai&gt;Bur Dubai&gt;Oud Metha&gt;Lamcy A</v>
      </c>
      <c r="E7522" s="2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</row>
    <row r="7523" spans="1:26" ht="16.5" x14ac:dyDescent="0.35">
      <c r="A7523" s="2" t="str">
        <f ca="1">IFERROR(__xludf.DUMMYFUNCTION("""COMPUTED_VALUE"""),"Dubai")</f>
        <v>Dubai</v>
      </c>
      <c r="B7523" s="2" t="str">
        <f ca="1">IFERROR(__xludf.DUMMYFUNCTION("""COMPUTED_VALUE"""),"Art 3")</f>
        <v>Art 3</v>
      </c>
      <c r="C7523" s="2" t="str">
        <f ca="1">IFERROR(__xludf.DUMMYFUNCTION("""COMPUTED_VALUE"""),"Building")</f>
        <v>Building</v>
      </c>
      <c r="D7523" s="2" t="str">
        <f ca="1">IFERROR(__xludf.DUMMYFUNCTION("""COMPUTED_VALUE"""),"Dubai&gt;Bur Dubai&gt;Al Raffa&gt;Art 3")</f>
        <v>Dubai&gt;Bur Dubai&gt;Al Raffa&gt;Art 3</v>
      </c>
      <c r="E7523" s="2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</row>
    <row r="7524" spans="1:26" ht="16.5" x14ac:dyDescent="0.35">
      <c r="A7524" s="2" t="str">
        <f ca="1">IFERROR(__xludf.DUMMYFUNCTION("""COMPUTED_VALUE"""),"Dubai")</f>
        <v>Dubai</v>
      </c>
      <c r="B7524" s="2" t="str">
        <f ca="1">IFERROR(__xludf.DUMMYFUNCTION("""COMPUTED_VALUE"""),"Rado Building")</f>
        <v>Rado Building</v>
      </c>
      <c r="C7524" s="2" t="str">
        <f ca="1">IFERROR(__xludf.DUMMYFUNCTION("""COMPUTED_VALUE"""),"Building")</f>
        <v>Building</v>
      </c>
      <c r="D7524" s="2" t="str">
        <f ca="1">IFERROR(__xludf.DUMMYFUNCTION("""COMPUTED_VALUE"""),"Dubai&gt;Bur Dubai&gt;Al Raffa&gt;Rado Building")</f>
        <v>Dubai&gt;Bur Dubai&gt;Al Raffa&gt;Rado Building</v>
      </c>
      <c r="E7524" s="2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</row>
    <row r="7525" spans="1:26" ht="16.5" x14ac:dyDescent="0.35">
      <c r="A7525" s="2" t="str">
        <f ca="1">IFERROR(__xludf.DUMMYFUNCTION("""COMPUTED_VALUE"""),"Dubai")</f>
        <v>Dubai</v>
      </c>
      <c r="B7525" s="2" t="str">
        <f ca="1">IFERROR(__xludf.DUMMYFUNCTION("""COMPUTED_VALUE"""),"M Square Offices")</f>
        <v>M Square Offices</v>
      </c>
      <c r="C7525" s="2" t="str">
        <f ca="1">IFERROR(__xludf.DUMMYFUNCTION("""COMPUTED_VALUE"""),"Building")</f>
        <v>Building</v>
      </c>
      <c r="D7525" s="2" t="str">
        <f ca="1">IFERROR(__xludf.DUMMYFUNCTION("""COMPUTED_VALUE"""),"Dubai&gt;Bur Dubai&gt;Al Mankhool&gt;M Square Offices")</f>
        <v>Dubai&gt;Bur Dubai&gt;Al Mankhool&gt;M Square Offices</v>
      </c>
      <c r="E7525" s="2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</row>
    <row r="7526" spans="1:26" ht="16.5" x14ac:dyDescent="0.35">
      <c r="A7526" s="2" t="str">
        <f ca="1">IFERROR(__xludf.DUMMYFUNCTION("""COMPUTED_VALUE"""),"Dubai")</f>
        <v>Dubai</v>
      </c>
      <c r="B7526" s="2" t="str">
        <f ca="1">IFERROR(__xludf.DUMMYFUNCTION("""COMPUTED_VALUE"""),"M Residences")</f>
        <v>M Residences</v>
      </c>
      <c r="C7526" s="2" t="str">
        <f ca="1">IFERROR(__xludf.DUMMYFUNCTION("""COMPUTED_VALUE"""),"Building")</f>
        <v>Building</v>
      </c>
      <c r="D7526" s="2" t="str">
        <f ca="1">IFERROR(__xludf.DUMMYFUNCTION("""COMPUTED_VALUE"""),"Dubai&gt;Bur Dubai&gt;Al Mankhool&gt;M Residences")</f>
        <v>Dubai&gt;Bur Dubai&gt;Al Mankhool&gt;M Residences</v>
      </c>
      <c r="E7526" s="2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</row>
    <row r="7527" spans="1:26" ht="16.5" x14ac:dyDescent="0.35">
      <c r="A7527" s="2" t="str">
        <f ca="1">IFERROR(__xludf.DUMMYFUNCTION("""COMPUTED_VALUE"""),"Dubai")</f>
        <v>Dubai</v>
      </c>
      <c r="B7527" s="2" t="str">
        <f ca="1">IFERROR(__xludf.DUMMYFUNCTION("""COMPUTED_VALUE"""),"Al Yakka Residence")</f>
        <v>Al Yakka Residence</v>
      </c>
      <c r="C7527" s="2" t="str">
        <f ca="1">IFERROR(__xludf.DUMMYFUNCTION("""COMPUTED_VALUE"""),"Building")</f>
        <v>Building</v>
      </c>
      <c r="D7527" s="2" t="str">
        <f ca="1">IFERROR(__xludf.DUMMYFUNCTION("""COMPUTED_VALUE"""),"Dubai&gt;Bur Dubai&gt;Al Mankhool&gt;Al Yakka Residence")</f>
        <v>Dubai&gt;Bur Dubai&gt;Al Mankhool&gt;Al Yakka Residence</v>
      </c>
      <c r="E7527" s="2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</row>
    <row r="7528" spans="1:26" ht="16.5" x14ac:dyDescent="0.35">
      <c r="A7528" s="2" t="str">
        <f ca="1">IFERROR(__xludf.DUMMYFUNCTION("""COMPUTED_VALUE"""),"Dubai")</f>
        <v>Dubai</v>
      </c>
      <c r="B7528" s="2" t="str">
        <f ca="1">IFERROR(__xludf.DUMMYFUNCTION("""COMPUTED_VALUE"""),"Avenue Park Towers Podium")</f>
        <v>Avenue Park Towers Podium</v>
      </c>
      <c r="C7528" s="2" t="str">
        <f ca="1">IFERROR(__xludf.DUMMYFUNCTION("""COMPUTED_VALUE"""),"Building")</f>
        <v>Building</v>
      </c>
      <c r="D7528" s="2" t="str">
        <f ca="1">IFERROR(__xludf.DUMMYFUNCTION("""COMPUTED_VALUE"""),"Dubai&gt;Bur Dubai&gt;Al Kifaf&gt;Avenue Park Towers&gt;Avenue Park Towers Podium")</f>
        <v>Dubai&gt;Bur Dubai&gt;Al Kifaf&gt;Avenue Park Towers&gt;Avenue Park Towers Podium</v>
      </c>
      <c r="E7528" s="2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</row>
    <row r="7529" spans="1:26" ht="16.5" x14ac:dyDescent="0.35">
      <c r="A7529" s="2" t="str">
        <f ca="1">IFERROR(__xludf.DUMMYFUNCTION("""COMPUTED_VALUE"""),"Dubai")</f>
        <v>Dubai</v>
      </c>
      <c r="B7529" s="2" t="str">
        <f ca="1">IFERROR(__xludf.DUMMYFUNCTION("""COMPUTED_VALUE"""),"Khoory Building")</f>
        <v>Khoory Building</v>
      </c>
      <c r="C7529" s="2" t="str">
        <f ca="1">IFERROR(__xludf.DUMMYFUNCTION("""COMPUTED_VALUE"""),"Building")</f>
        <v>Building</v>
      </c>
      <c r="D7529" s="2" t="str">
        <f ca="1">IFERROR(__xludf.DUMMYFUNCTION("""COMPUTED_VALUE"""),"Dubai&gt;Bur Dubai&gt;Al Souk Al Kabeer (Al Fahidi)&gt;Khoory Building")</f>
        <v>Dubai&gt;Bur Dubai&gt;Al Souk Al Kabeer (Al Fahidi)&gt;Khoory Building</v>
      </c>
      <c r="E7529" s="2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</row>
    <row r="7530" spans="1:26" ht="16.5" x14ac:dyDescent="0.35">
      <c r="A7530" s="2" t="str">
        <f ca="1">IFERROR(__xludf.DUMMYFUNCTION("""COMPUTED_VALUE"""),"Dubai")</f>
        <v>Dubai</v>
      </c>
      <c r="B7530" s="2" t="str">
        <f ca="1">IFERROR(__xludf.DUMMYFUNCTION("""COMPUTED_VALUE"""),"Al Khoory Building")</f>
        <v>Al Khoory Building</v>
      </c>
      <c r="C7530" s="2" t="str">
        <f ca="1">IFERROR(__xludf.DUMMYFUNCTION("""COMPUTED_VALUE"""),"Building")</f>
        <v>Building</v>
      </c>
      <c r="D7530" s="2" t="str">
        <f ca="1">IFERROR(__xludf.DUMMYFUNCTION("""COMPUTED_VALUE"""),"Dubai&gt;Bur Dubai&gt;Al Souk Al Kabeer (Al Fahidi)&gt;Al Khoory Building")</f>
        <v>Dubai&gt;Bur Dubai&gt;Al Souk Al Kabeer (Al Fahidi)&gt;Al Khoory Building</v>
      </c>
      <c r="E7530" s="2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</row>
    <row r="7531" spans="1:26" ht="16.5" x14ac:dyDescent="0.35">
      <c r="A7531" s="2" t="str">
        <f ca="1">IFERROR(__xludf.DUMMYFUNCTION("""COMPUTED_VALUE"""),"Dubai")</f>
        <v>Dubai</v>
      </c>
      <c r="B7531" s="2" t="str">
        <f ca="1">IFERROR(__xludf.DUMMYFUNCTION("""COMPUTED_VALUE"""),"Waterfront Building")</f>
        <v>Waterfront Building</v>
      </c>
      <c r="C7531" s="2" t="str">
        <f ca="1">IFERROR(__xludf.DUMMYFUNCTION("""COMPUTED_VALUE"""),"Building")</f>
        <v>Building</v>
      </c>
      <c r="D7531" s="2" t="str">
        <f ca="1">IFERROR(__xludf.DUMMYFUNCTION("""COMPUTED_VALUE"""),"Dubai&gt;Bur Dubai&gt;Al Hamriya&gt;Waterfront Building")</f>
        <v>Dubai&gt;Bur Dubai&gt;Al Hamriya&gt;Waterfront Building</v>
      </c>
      <c r="E7531" s="2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</row>
    <row r="7532" spans="1:26" ht="16.5" x14ac:dyDescent="0.35">
      <c r="A7532" s="2" t="str">
        <f ca="1">IFERROR(__xludf.DUMMYFUNCTION("""COMPUTED_VALUE"""),"Dubai")</f>
        <v>Dubai</v>
      </c>
      <c r="B7532" s="2" t="str">
        <f ca="1">IFERROR(__xludf.DUMMYFUNCTION("""COMPUTED_VALUE"""),"Marina Cube 4")</f>
        <v>Marina Cube 4</v>
      </c>
      <c r="C7532" s="2" t="str">
        <f ca="1">IFERROR(__xludf.DUMMYFUNCTION("""COMPUTED_VALUE"""),"Building")</f>
        <v>Building</v>
      </c>
      <c r="D7532" s="2" t="str">
        <f ca="1">IFERROR(__xludf.DUMMYFUNCTION("""COMPUTED_VALUE"""),"Dubai&gt;Bur Dubai&gt;Marina Cubes&gt;Marina Cube 4")</f>
        <v>Dubai&gt;Bur Dubai&gt;Marina Cubes&gt;Marina Cube 4</v>
      </c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</row>
    <row r="7533" spans="1:26" ht="16.5" x14ac:dyDescent="0.35">
      <c r="A7533" s="2" t="str">
        <f ca="1">IFERROR(__xludf.DUMMYFUNCTION("""COMPUTED_VALUE"""),"Dubai")</f>
        <v>Dubai</v>
      </c>
      <c r="B7533" s="2" t="str">
        <f ca="1">IFERROR(__xludf.DUMMYFUNCTION("""COMPUTED_VALUE"""),"Signature Mansions")</f>
        <v>Signature Mansions</v>
      </c>
      <c r="C7533" s="2" t="str">
        <f ca="1">IFERROR(__xludf.DUMMYFUNCTION("""COMPUTED_VALUE"""),"Neighbourhood")</f>
        <v>Neighbourhood</v>
      </c>
      <c r="D7533" s="2" t="str">
        <f ca="1">IFERROR(__xludf.DUMMYFUNCTION("""COMPUTED_VALUE"""),"Dubai&gt;Jumeirah Golf Estates&gt;Signature Mansions")</f>
        <v>Dubai&gt;Jumeirah Golf Estates&gt;Signature Mansions</v>
      </c>
      <c r="E7533" s="2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</row>
    <row r="7534" spans="1:26" ht="16.5" x14ac:dyDescent="0.35">
      <c r="A7534" s="2" t="str">
        <f ca="1">IFERROR(__xludf.DUMMYFUNCTION("""COMPUTED_VALUE"""),"Dubai")</f>
        <v>Dubai</v>
      </c>
      <c r="B7534" s="2" t="str">
        <f ca="1">IFERROR(__xludf.DUMMYFUNCTION("""COMPUTED_VALUE"""),"Grand Bleu Tower 2")</f>
        <v>Grand Bleu Tower 2</v>
      </c>
      <c r="C7534" s="2" t="str">
        <f ca="1">IFERROR(__xludf.DUMMYFUNCTION("""COMPUTED_VALUE"""),"Building")</f>
        <v>Building</v>
      </c>
      <c r="D7534" s="2" t="str">
        <f ca="1">IFERROR(__xludf.DUMMYFUNCTION("""COMPUTED_VALUE"""),"Dubai&gt;Dubai Harbour&gt;Emaar Beachfront&gt;Grand Bleu Towers&gt;Grand Bleu Tower 2")</f>
        <v>Dubai&gt;Dubai Harbour&gt;Emaar Beachfront&gt;Grand Bleu Towers&gt;Grand Bleu Tower 2</v>
      </c>
      <c r="E7534" s="2"/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</row>
    <row r="7535" spans="1:26" ht="16.5" x14ac:dyDescent="0.35">
      <c r="A7535" s="2" t="str">
        <f ca="1">IFERROR(__xludf.DUMMYFUNCTION("""COMPUTED_VALUE"""),"Dubai")</f>
        <v>Dubai</v>
      </c>
      <c r="B7535" s="2" t="str">
        <f ca="1">IFERROR(__xludf.DUMMYFUNCTION("""COMPUTED_VALUE"""),"Basswood")</f>
        <v>Basswood</v>
      </c>
      <c r="C7535" s="2" t="str">
        <f ca="1">IFERROR(__xludf.DUMMYFUNCTION("""COMPUTED_VALUE"""),"Neighbourhood")</f>
        <v>Neighbourhood</v>
      </c>
      <c r="D7535" s="2" t="str">
        <f ca="1">IFERROR(__xludf.DUMMYFUNCTION("""COMPUTED_VALUE"""),"Dubai&gt;DAMAC Hills 2 (Akoya by DAMAC)&gt;Basswood")</f>
        <v>Dubai&gt;DAMAC Hills 2 (Akoya by DAMAC)&gt;Basswood</v>
      </c>
      <c r="E7535" s="2"/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</row>
    <row r="7536" spans="1:26" ht="16.5" x14ac:dyDescent="0.35">
      <c r="A7536" s="2" t="str">
        <f ca="1">IFERROR(__xludf.DUMMYFUNCTION("""COMPUTED_VALUE"""),"Dubai")</f>
        <v>Dubai</v>
      </c>
      <c r="B7536" s="2" t="str">
        <f ca="1">IFERROR(__xludf.DUMMYFUNCTION("""COMPUTED_VALUE"""),"Violet")</f>
        <v>Violet</v>
      </c>
      <c r="C7536" s="2" t="str">
        <f ca="1">IFERROR(__xludf.DUMMYFUNCTION("""COMPUTED_VALUE"""),"Neighbourhood")</f>
        <v>Neighbourhood</v>
      </c>
      <c r="D7536" s="2" t="str">
        <f ca="1">IFERROR(__xludf.DUMMYFUNCTION("""COMPUTED_VALUE"""),"Dubai&gt;DAMAC Hills 2 (Akoya by DAMAC)&gt;Violet")</f>
        <v>Dubai&gt;DAMAC Hills 2 (Akoya by DAMAC)&gt;Violet</v>
      </c>
      <c r="E7536" s="2"/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</row>
    <row r="7537" spans="1:26" ht="16.5" x14ac:dyDescent="0.35">
      <c r="A7537" s="2" t="str">
        <f ca="1">IFERROR(__xludf.DUMMYFUNCTION("""COMPUTED_VALUE"""),"Dubai")</f>
        <v>Dubai</v>
      </c>
      <c r="B7537" s="2" t="str">
        <f ca="1">IFERROR(__xludf.DUMMYFUNCTION("""COMPUTED_VALUE"""),"I-02")</f>
        <v>I-02</v>
      </c>
      <c r="C7537" s="2" t="str">
        <f ca="1">IFERROR(__xludf.DUMMYFUNCTION("""COMPUTED_VALUE"""),"Building")</f>
        <v>Building</v>
      </c>
      <c r="D7537" s="2" t="str">
        <f ca="1">IFERROR(__xludf.DUMMYFUNCTION("""COMPUTED_VALUE"""),"Dubai&gt;International City&gt;Morocco Cluster&gt;I-02")</f>
        <v>Dubai&gt;International City&gt;Morocco Cluster&gt;I-02</v>
      </c>
      <c r="E7537" s="2"/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</row>
    <row r="7538" spans="1:26" ht="16.5" x14ac:dyDescent="0.35">
      <c r="A7538" s="2" t="str">
        <f ca="1">IFERROR(__xludf.DUMMYFUNCTION("""COMPUTED_VALUE"""),"Dubai")</f>
        <v>Dubai</v>
      </c>
      <c r="B7538" s="2" t="str">
        <f ca="1">IFERROR(__xludf.DUMMYFUNCTION("""COMPUTED_VALUE"""),"Warsan Village B")</f>
        <v>Warsan Village B</v>
      </c>
      <c r="C7538" s="2" t="str">
        <f ca="1">IFERROR(__xludf.DUMMYFUNCTION("""COMPUTED_VALUE"""),"Neighbourhood")</f>
        <v>Neighbourhood</v>
      </c>
      <c r="D7538" s="2" t="str">
        <f ca="1">IFERROR(__xludf.DUMMYFUNCTION("""COMPUTED_VALUE"""),"Dubai&gt;International City&gt;Warsan Village&gt;Warsan Village B")</f>
        <v>Dubai&gt;International City&gt;Warsan Village&gt;Warsan Village B</v>
      </c>
      <c r="E7538" s="2"/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</row>
    <row r="7539" spans="1:26" ht="16.5" x14ac:dyDescent="0.35">
      <c r="A7539" s="2" t="str">
        <f ca="1">IFERROR(__xludf.DUMMYFUNCTION("""COMPUTED_VALUE"""),"Dubai")</f>
        <v>Dubai</v>
      </c>
      <c r="B7539" s="2" t="str">
        <f ca="1">IFERROR(__xludf.DUMMYFUNCTION("""COMPUTED_VALUE"""),"B-06")</f>
        <v>B-06</v>
      </c>
      <c r="C7539" s="2" t="str">
        <f ca="1">IFERROR(__xludf.DUMMYFUNCTION("""COMPUTED_VALUE"""),"Building")</f>
        <v>Building</v>
      </c>
      <c r="D7539" s="2" t="str">
        <f ca="1">IFERROR(__xludf.DUMMYFUNCTION("""COMPUTED_VALUE"""),"Dubai&gt;International City&gt;China Cluster&gt;B-06")</f>
        <v>Dubai&gt;International City&gt;China Cluster&gt;B-06</v>
      </c>
      <c r="E7539" s="2"/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</row>
    <row r="7540" spans="1:26" ht="16.5" x14ac:dyDescent="0.35">
      <c r="A7540" s="2" t="str">
        <f ca="1">IFERROR(__xludf.DUMMYFUNCTION("""COMPUTED_VALUE"""),"Dubai")</f>
        <v>Dubai</v>
      </c>
      <c r="B7540" s="2" t="str">
        <f ca="1">IFERROR(__xludf.DUMMYFUNCTION("""COMPUTED_VALUE"""),"E-06")</f>
        <v>E-06</v>
      </c>
      <c r="C7540" s="2" t="str">
        <f ca="1">IFERROR(__xludf.DUMMYFUNCTION("""COMPUTED_VALUE"""),"Building")</f>
        <v>Building</v>
      </c>
      <c r="D7540" s="2" t="str">
        <f ca="1">IFERROR(__xludf.DUMMYFUNCTION("""COMPUTED_VALUE"""),"Dubai&gt;International City&gt;China Cluster&gt;E-06")</f>
        <v>Dubai&gt;International City&gt;China Cluster&gt;E-06</v>
      </c>
      <c r="E7540" s="2"/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</row>
    <row r="7541" spans="1:26" ht="16.5" x14ac:dyDescent="0.35">
      <c r="A7541" s="2" t="str">
        <f ca="1">IFERROR(__xludf.DUMMYFUNCTION("""COMPUTED_VALUE"""),"Dubai")</f>
        <v>Dubai</v>
      </c>
      <c r="B7541" s="2" t="str">
        <f ca="1">IFERROR(__xludf.DUMMYFUNCTION("""COMPUTED_VALUE"""),"Prime Residence 2")</f>
        <v>Prime Residence 2</v>
      </c>
      <c r="C7541" s="2" t="str">
        <f ca="1">IFERROR(__xludf.DUMMYFUNCTION("""COMPUTED_VALUE"""),"Building")</f>
        <v>Building</v>
      </c>
      <c r="D7541" s="2" t="str">
        <f ca="1">IFERROR(__xludf.DUMMYFUNCTION("""COMPUTED_VALUE"""),"Dubai&gt;International City&gt;Spain Cluster&gt;Prime Residence&gt;Prime Residence 2")</f>
        <v>Dubai&gt;International City&gt;Spain Cluster&gt;Prime Residence&gt;Prime Residence 2</v>
      </c>
      <c r="E7541" s="2"/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</row>
    <row r="7542" spans="1:26" ht="16.5" x14ac:dyDescent="0.35">
      <c r="A7542" s="2" t="str">
        <f ca="1">IFERROR(__xludf.DUMMYFUNCTION("""COMPUTED_VALUE"""),"Dubai")</f>
        <v>Dubai</v>
      </c>
      <c r="B7542" s="2" t="str">
        <f ca="1">IFERROR(__xludf.DUMMYFUNCTION("""COMPUTED_VALUE"""),"Golden Homes 2")</f>
        <v>Golden Homes 2</v>
      </c>
      <c r="C7542" s="2" t="str">
        <f ca="1">IFERROR(__xludf.DUMMYFUNCTION("""COMPUTED_VALUE"""),"Building")</f>
        <v>Building</v>
      </c>
      <c r="D7542" s="2" t="str">
        <f ca="1">IFERROR(__xludf.DUMMYFUNCTION("""COMPUTED_VALUE"""),"Dubai&gt;International City&gt;Golden Homes 2")</f>
        <v>Dubai&gt;International City&gt;Golden Homes 2</v>
      </c>
      <c r="E7542" s="2"/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</row>
    <row r="7543" spans="1:26" ht="16.5" x14ac:dyDescent="0.35">
      <c r="A7543" s="2" t="str">
        <f ca="1">IFERROR(__xludf.DUMMYFUNCTION("""COMPUTED_VALUE"""),"Dubai")</f>
        <v>Dubai</v>
      </c>
      <c r="B7543" s="2" t="str">
        <f ca="1">IFERROR(__xludf.DUMMYFUNCTION("""COMPUTED_VALUE"""),"V-01")</f>
        <v>V-01</v>
      </c>
      <c r="C7543" s="2" t="str">
        <f ca="1">IFERROR(__xludf.DUMMYFUNCTION("""COMPUTED_VALUE"""),"Building")</f>
        <v>Building</v>
      </c>
      <c r="D7543" s="2" t="str">
        <f ca="1">IFERROR(__xludf.DUMMYFUNCTION("""COMPUTED_VALUE"""),"Dubai&gt;International City&gt;Russia Cluster&gt;V-01")</f>
        <v>Dubai&gt;International City&gt;Russia Cluster&gt;V-01</v>
      </c>
      <c r="E7543" s="2"/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</row>
    <row r="7544" spans="1:26" ht="16.5" x14ac:dyDescent="0.35">
      <c r="A7544" s="2" t="str">
        <f ca="1">IFERROR(__xludf.DUMMYFUNCTION("""COMPUTED_VALUE"""),"Dubai")</f>
        <v>Dubai</v>
      </c>
      <c r="B7544" s="2" t="str">
        <f ca="1">IFERROR(__xludf.DUMMYFUNCTION("""COMPUTED_VALUE"""),"Trafalgar Central")</f>
        <v>Trafalgar Central</v>
      </c>
      <c r="C7544" s="2" t="str">
        <f ca="1">IFERROR(__xludf.DUMMYFUNCTION("""COMPUTED_VALUE"""),"Building")</f>
        <v>Building</v>
      </c>
      <c r="D7544" s="2" t="str">
        <f ca="1">IFERROR(__xludf.DUMMYFUNCTION("""COMPUTED_VALUE"""),"Dubai&gt;International City&gt;Trafalgar Central")</f>
        <v>Dubai&gt;International City&gt;Trafalgar Central</v>
      </c>
      <c r="E7544" s="2"/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</row>
    <row r="7545" spans="1:26" ht="16.5" x14ac:dyDescent="0.35">
      <c r="A7545" s="2" t="str">
        <f ca="1">IFERROR(__xludf.DUMMYFUNCTION("""COMPUTED_VALUE"""),"Dubai")</f>
        <v>Dubai</v>
      </c>
      <c r="B7545" s="2" t="str">
        <f ca="1">IFERROR(__xludf.DUMMYFUNCTION("""COMPUTED_VALUE"""),"Lawnz by Danube Block 3")</f>
        <v>Lawnz by Danube Block 3</v>
      </c>
      <c r="C7545" s="2" t="str">
        <f ca="1">IFERROR(__xludf.DUMMYFUNCTION("""COMPUTED_VALUE"""),"Building")</f>
        <v>Building</v>
      </c>
      <c r="D7545" s="2" t="str">
        <f ca="1">IFERROR(__xludf.DUMMYFUNCTION("""COMPUTED_VALUE"""),"Dubai&gt;International City&gt;Lawnz by Danube&gt;Lawnz by Danube Block 3")</f>
        <v>Dubai&gt;International City&gt;Lawnz by Danube&gt;Lawnz by Danube Block 3</v>
      </c>
      <c r="E7545" s="2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</row>
    <row r="7546" spans="1:26" ht="16.5" x14ac:dyDescent="0.35">
      <c r="A7546" s="2" t="str">
        <f ca="1">IFERROR(__xludf.DUMMYFUNCTION("""COMPUTED_VALUE"""),"Dubai")</f>
        <v>Dubai</v>
      </c>
      <c r="B7546" s="2" t="str">
        <f ca="1">IFERROR(__xludf.DUMMYFUNCTION("""COMPUTED_VALUE"""),"X-01")</f>
        <v>X-01</v>
      </c>
      <c r="C7546" s="2" t="str">
        <f ca="1">IFERROR(__xludf.DUMMYFUNCTION("""COMPUTED_VALUE"""),"Building")</f>
        <v>Building</v>
      </c>
      <c r="D7546" s="2" t="str">
        <f ca="1">IFERROR(__xludf.DUMMYFUNCTION("""COMPUTED_VALUE"""),"Dubai&gt;International City&gt;England Cluster&gt;X-01")</f>
        <v>Dubai&gt;International City&gt;England Cluster&gt;X-01</v>
      </c>
      <c r="E7546" s="2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</row>
    <row r="7547" spans="1:26" ht="16.5" x14ac:dyDescent="0.35">
      <c r="A7547" s="2" t="str">
        <f ca="1">IFERROR(__xludf.DUMMYFUNCTION("""COMPUTED_VALUE"""),"Dubai")</f>
        <v>Dubai</v>
      </c>
      <c r="B7547" s="2" t="str">
        <f ca="1">IFERROR(__xludf.DUMMYFUNCTION("""COMPUTED_VALUE"""),"Y-07")</f>
        <v>Y-07</v>
      </c>
      <c r="C7547" s="2" t="str">
        <f ca="1">IFERROR(__xludf.DUMMYFUNCTION("""COMPUTED_VALUE"""),"Building")</f>
        <v>Building</v>
      </c>
      <c r="D7547" s="2" t="str">
        <f ca="1">IFERROR(__xludf.DUMMYFUNCTION("""COMPUTED_VALUE"""),"Dubai&gt;International City&gt;England Cluster&gt;Y-07")</f>
        <v>Dubai&gt;International City&gt;England Cluster&gt;Y-07</v>
      </c>
      <c r="E7547" s="2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</row>
    <row r="7548" spans="1:26" ht="16.5" x14ac:dyDescent="0.35">
      <c r="A7548" s="2" t="str">
        <f ca="1">IFERROR(__xludf.DUMMYFUNCTION("""COMPUTED_VALUE"""),"Dubai")</f>
        <v>Dubai</v>
      </c>
      <c r="B7548" s="2" t="str">
        <f ca="1">IFERROR(__xludf.DUMMYFUNCTION("""COMPUTED_VALUE"""),"Amna Building")</f>
        <v>Amna Building</v>
      </c>
      <c r="C7548" s="2" t="str">
        <f ca="1">IFERROR(__xludf.DUMMYFUNCTION("""COMPUTED_VALUE"""),"Building")</f>
        <v>Building</v>
      </c>
      <c r="D7548" s="2" t="str">
        <f ca="1">IFERROR(__xludf.DUMMYFUNCTION("""COMPUTED_VALUE"""),"Dubai&gt;International City&gt;International City Phase 2 (Warsan 4)&gt;Amna Building")</f>
        <v>Dubai&gt;International City&gt;International City Phase 2 (Warsan 4)&gt;Amna Building</v>
      </c>
      <c r="E7548" s="2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</row>
    <row r="7549" spans="1:26" ht="16.5" x14ac:dyDescent="0.35">
      <c r="A7549" s="2" t="str">
        <f ca="1">IFERROR(__xludf.DUMMYFUNCTION("""COMPUTED_VALUE"""),"Dubai")</f>
        <v>Dubai</v>
      </c>
      <c r="B7549" s="2" t="str">
        <f ca="1">IFERROR(__xludf.DUMMYFUNCTION("""COMPUTED_VALUE"""),"Jawhrat Al Faihaa")</f>
        <v>Jawhrat Al Faihaa</v>
      </c>
      <c r="C7549" s="2" t="str">
        <f ca="1">IFERROR(__xludf.DUMMYFUNCTION("""COMPUTED_VALUE"""),"Building")</f>
        <v>Building</v>
      </c>
      <c r="D7549" s="2" t="str">
        <f ca="1">IFERROR(__xludf.DUMMYFUNCTION("""COMPUTED_VALUE"""),"Dubai&gt;International City&gt;International City Phase 2 (Warsan 4)&gt;Jawhrat Al Faihaa")</f>
        <v>Dubai&gt;International City&gt;International City Phase 2 (Warsan 4)&gt;Jawhrat Al Faihaa</v>
      </c>
      <c r="E7549" s="2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</row>
    <row r="7550" spans="1:26" ht="16.5" x14ac:dyDescent="0.35">
      <c r="A7550" s="2" t="str">
        <f ca="1">IFERROR(__xludf.DUMMYFUNCTION("""COMPUTED_VALUE"""),"Dubai")</f>
        <v>Dubai</v>
      </c>
      <c r="B7550" s="2" t="str">
        <f ca="1">IFERROR(__xludf.DUMMYFUNCTION("""COMPUTED_VALUE"""),"Chez Moi Residency")</f>
        <v>Chez Moi Residency</v>
      </c>
      <c r="C7550" s="2" t="str">
        <f ca="1">IFERROR(__xludf.DUMMYFUNCTION("""COMPUTED_VALUE"""),"Building")</f>
        <v>Building</v>
      </c>
      <c r="D7550" s="2" t="str">
        <f ca="1">IFERROR(__xludf.DUMMYFUNCTION("""COMPUTED_VALUE"""),"Dubai&gt;International City&gt;International City Phase 2 (Warsan 4)&gt;Chez Moi Residency")</f>
        <v>Dubai&gt;International City&gt;International City Phase 2 (Warsan 4)&gt;Chez Moi Residency</v>
      </c>
      <c r="E7550" s="2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</row>
    <row r="7551" spans="1:26" ht="16.5" x14ac:dyDescent="0.35">
      <c r="A7551" s="2" t="str">
        <f ca="1">IFERROR(__xludf.DUMMYFUNCTION("""COMPUTED_VALUE"""),"Dubai")</f>
        <v>Dubai</v>
      </c>
      <c r="B7551" s="2" t="str">
        <f ca="1">IFERROR(__xludf.DUMMYFUNCTION("""COMPUTED_VALUE"""),"Grand Residence")</f>
        <v>Grand Residence</v>
      </c>
      <c r="C7551" s="2" t="str">
        <f ca="1">IFERROR(__xludf.DUMMYFUNCTION("""COMPUTED_VALUE"""),"Building")</f>
        <v>Building</v>
      </c>
      <c r="D7551" s="2" t="str">
        <f ca="1">IFERROR(__xludf.DUMMYFUNCTION("""COMPUTED_VALUE"""),"Dubai&gt;International City&gt;International City Phase 2 (Warsan 4)&gt;Grand Residence")</f>
        <v>Dubai&gt;International City&gt;International City Phase 2 (Warsan 4)&gt;Grand Residence</v>
      </c>
      <c r="E7551" s="2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</row>
    <row r="7552" spans="1:26" ht="16.5" x14ac:dyDescent="0.35">
      <c r="A7552" s="2" t="str">
        <f ca="1">IFERROR(__xludf.DUMMYFUNCTION("""COMPUTED_VALUE"""),"Dubai")</f>
        <v>Dubai</v>
      </c>
      <c r="B7552" s="2" t="str">
        <f ca="1">IFERROR(__xludf.DUMMYFUNCTION("""COMPUTED_VALUE"""),"Aizel Tower")</f>
        <v>Aizel Tower</v>
      </c>
      <c r="C7552" s="2" t="str">
        <f ca="1">IFERROR(__xludf.DUMMYFUNCTION("""COMPUTED_VALUE"""),"Building")</f>
        <v>Building</v>
      </c>
      <c r="D7552" s="2" t="str">
        <f ca="1">IFERROR(__xludf.DUMMYFUNCTION("""COMPUTED_VALUE"""),"Dubai&gt;International City&gt;International City Phase 2 (Warsan 4)&gt;Aizel Tower")</f>
        <v>Dubai&gt;International City&gt;International City Phase 2 (Warsan 4)&gt;Aizel Tower</v>
      </c>
      <c r="E7552" s="2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</row>
    <row r="7553" spans="1:26" ht="16.5" x14ac:dyDescent="0.35">
      <c r="A7553" s="2" t="str">
        <f ca="1">IFERROR(__xludf.DUMMYFUNCTION("""COMPUTED_VALUE"""),"Dubai")</f>
        <v>Dubai</v>
      </c>
      <c r="B7553" s="2" t="str">
        <f ca="1">IFERROR(__xludf.DUMMYFUNCTION("""COMPUTED_VALUE"""),"K-05")</f>
        <v>K-05</v>
      </c>
      <c r="C7553" s="2" t="str">
        <f ca="1">IFERROR(__xludf.DUMMYFUNCTION("""COMPUTED_VALUE"""),"Building")</f>
        <v>Building</v>
      </c>
      <c r="D7553" s="2" t="str">
        <f ca="1">IFERROR(__xludf.DUMMYFUNCTION("""COMPUTED_VALUE"""),"Dubai&gt;International City&gt;Greece Cluster&gt;K-05")</f>
        <v>Dubai&gt;International City&gt;Greece Cluster&gt;K-05</v>
      </c>
      <c r="E7553" s="2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</row>
    <row r="7554" spans="1:26" ht="16.5" x14ac:dyDescent="0.35">
      <c r="A7554" s="2" t="str">
        <f ca="1">IFERROR(__xludf.DUMMYFUNCTION("""COMPUTED_VALUE"""),"Dubai")</f>
        <v>Dubai</v>
      </c>
      <c r="B7554" s="2" t="str">
        <f ca="1">IFERROR(__xludf.DUMMYFUNCTION("""COMPUTED_VALUE"""),"Q-05")</f>
        <v>Q-05</v>
      </c>
      <c r="C7554" s="2" t="str">
        <f ca="1">IFERROR(__xludf.DUMMYFUNCTION("""COMPUTED_VALUE"""),"Building")</f>
        <v>Building</v>
      </c>
      <c r="D7554" s="2" t="str">
        <f ca="1">IFERROR(__xludf.DUMMYFUNCTION("""COMPUTED_VALUE"""),"Dubai&gt;International City&gt;France Cluster&gt;Q-05")</f>
        <v>Dubai&gt;International City&gt;France Cluster&gt;Q-05</v>
      </c>
      <c r="E7554" s="2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</row>
    <row r="7555" spans="1:26" ht="16.5" x14ac:dyDescent="0.35">
      <c r="A7555" s="2" t="str">
        <f ca="1">IFERROR(__xludf.DUMMYFUNCTION("""COMPUTED_VALUE"""),"Dubai")</f>
        <v>Dubai</v>
      </c>
      <c r="B7555" s="2" t="str">
        <f ca="1">IFERROR(__xludf.DUMMYFUNCTION("""COMPUTED_VALUE"""),"R-18")</f>
        <v>R-18</v>
      </c>
      <c r="C7555" s="2" t="str">
        <f ca="1">IFERROR(__xludf.DUMMYFUNCTION("""COMPUTED_VALUE"""),"Building")</f>
        <v>Building</v>
      </c>
      <c r="D7555" s="2" t="str">
        <f ca="1">IFERROR(__xludf.DUMMYFUNCTION("""COMPUTED_VALUE"""),"Dubai&gt;International City&gt;France Cluster&gt;R-18")</f>
        <v>Dubai&gt;International City&gt;France Cluster&gt;R-18</v>
      </c>
      <c r="E7555" s="2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</row>
    <row r="7556" spans="1:26" ht="16.5" x14ac:dyDescent="0.35">
      <c r="A7556" s="2" t="str">
        <f ca="1">IFERROR(__xludf.DUMMYFUNCTION("""COMPUTED_VALUE"""),"Dubai")</f>
        <v>Dubai</v>
      </c>
      <c r="B7556" s="2" t="str">
        <f ca="1">IFERROR(__xludf.DUMMYFUNCTION("""COMPUTED_VALUE"""),"CBD-C04")</f>
        <v>CBD-C04</v>
      </c>
      <c r="C7556" s="2" t="str">
        <f ca="1">IFERROR(__xludf.DUMMYFUNCTION("""COMPUTED_VALUE"""),"Building")</f>
        <v>Building</v>
      </c>
      <c r="D7556" s="2" t="str">
        <f ca="1">IFERROR(__xludf.DUMMYFUNCTION("""COMPUTED_VALUE"""),"Dubai&gt;International City&gt;Central Business District&gt;CBD-C04")</f>
        <v>Dubai&gt;International City&gt;Central Business District&gt;CBD-C04</v>
      </c>
      <c r="E7556" s="2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</row>
    <row r="7557" spans="1:26" ht="16.5" x14ac:dyDescent="0.35">
      <c r="A7557" s="2" t="str">
        <f ca="1">IFERROR(__xludf.DUMMYFUNCTION("""COMPUTED_VALUE"""),"Dubai")</f>
        <v>Dubai</v>
      </c>
      <c r="B7557" s="2" t="str">
        <f ca="1">IFERROR(__xludf.DUMMYFUNCTION("""COMPUTED_VALUE"""),"CBD-04")</f>
        <v>CBD-04</v>
      </c>
      <c r="C7557" s="2" t="str">
        <f ca="1">IFERROR(__xludf.DUMMYFUNCTION("""COMPUTED_VALUE"""),"Building")</f>
        <v>Building</v>
      </c>
      <c r="D7557" s="2" t="str">
        <f ca="1">IFERROR(__xludf.DUMMYFUNCTION("""COMPUTED_VALUE"""),"Dubai&gt;International City&gt;Central Business District&gt;CBD-04")</f>
        <v>Dubai&gt;International City&gt;Central Business District&gt;CBD-04</v>
      </c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</row>
    <row r="7558" spans="1:26" ht="16.5" x14ac:dyDescent="0.35">
      <c r="A7558" s="2" t="str">
        <f ca="1">IFERROR(__xludf.DUMMYFUNCTION("""COMPUTED_VALUE"""),"Dubai")</f>
        <v>Dubai</v>
      </c>
      <c r="B7558" s="2" t="str">
        <f ca="1">IFERROR(__xludf.DUMMYFUNCTION("""COMPUTED_VALUE"""),"5242 Tower 2")</f>
        <v>5242 Tower 2</v>
      </c>
      <c r="C7558" s="2" t="str">
        <f ca="1">IFERROR(__xludf.DUMMYFUNCTION("""COMPUTED_VALUE"""),"Building")</f>
        <v>Building</v>
      </c>
      <c r="D7558" s="2" t="str">
        <f ca="1">IFERROR(__xludf.DUMMYFUNCTION("""COMPUTED_VALUE"""),"Dubai&gt;Dubai Marina&gt;5242 Towers&gt;5242 Tower 2")</f>
        <v>Dubai&gt;Dubai Marina&gt;5242 Towers&gt;5242 Tower 2</v>
      </c>
      <c r="E7558" s="2"/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</row>
    <row r="7559" spans="1:26" ht="16.5" x14ac:dyDescent="0.35">
      <c r="A7559" s="2" t="str">
        <f ca="1">IFERROR(__xludf.DUMMYFUNCTION("""COMPUTED_VALUE"""),"Dubai")</f>
        <v>Dubai</v>
      </c>
      <c r="B7559" s="2" t="str">
        <f ca="1">IFERROR(__xludf.DUMMYFUNCTION("""COMPUTED_VALUE"""),"Al Majara 2")</f>
        <v>Al Majara 2</v>
      </c>
      <c r="C7559" s="2" t="str">
        <f ca="1">IFERROR(__xludf.DUMMYFUNCTION("""COMPUTED_VALUE"""),"Building")</f>
        <v>Building</v>
      </c>
      <c r="D7559" s="2" t="str">
        <f ca="1">IFERROR(__xludf.DUMMYFUNCTION("""COMPUTED_VALUE"""),"Dubai&gt;Dubai Marina&gt;Al Majara&gt;Al Majara 2")</f>
        <v>Dubai&gt;Dubai Marina&gt;Al Majara&gt;Al Majara 2</v>
      </c>
      <c r="E7559" s="2"/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</row>
    <row r="7560" spans="1:26" ht="16.5" x14ac:dyDescent="0.35">
      <c r="A7560" s="2" t="str">
        <f ca="1">IFERROR(__xludf.DUMMYFUNCTION("""COMPUTED_VALUE"""),"Dubai")</f>
        <v>Dubai</v>
      </c>
      <c r="B7560" s="2" t="str">
        <f ca="1">IFERROR(__xludf.DUMMYFUNCTION("""COMPUTED_VALUE"""),"Dubai Marina Mall")</f>
        <v>Dubai Marina Mall</v>
      </c>
      <c r="C7560" s="2" t="str">
        <f ca="1">IFERROR(__xludf.DUMMYFUNCTION("""COMPUTED_VALUE"""),"Building")</f>
        <v>Building</v>
      </c>
      <c r="D7560" s="2" t="str">
        <f ca="1">IFERROR(__xludf.DUMMYFUNCTION("""COMPUTED_VALUE"""),"Dubai&gt;Dubai Marina&gt;Dubai Marina Mall")</f>
        <v>Dubai&gt;Dubai Marina&gt;Dubai Marina Mall</v>
      </c>
      <c r="E7560" s="2"/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</row>
    <row r="7561" spans="1:26" ht="16.5" x14ac:dyDescent="0.35">
      <c r="A7561" s="2" t="str">
        <f ca="1">IFERROR(__xludf.DUMMYFUNCTION("""COMPUTED_VALUE"""),"Dubai")</f>
        <v>Dubai</v>
      </c>
      <c r="B7561" s="2" t="str">
        <f ca="1">IFERROR(__xludf.DUMMYFUNCTION("""COMPUTED_VALUE"""),"Marina Residence B")</f>
        <v>Marina Residence B</v>
      </c>
      <c r="C7561" s="2" t="str">
        <f ca="1">IFERROR(__xludf.DUMMYFUNCTION("""COMPUTED_VALUE"""),"Building")</f>
        <v>Building</v>
      </c>
      <c r="D7561" s="2" t="str">
        <f ca="1">IFERROR(__xludf.DUMMYFUNCTION("""COMPUTED_VALUE"""),"Dubai&gt;Dubai Marina&gt;Marina Residence&gt;Marina Residence B")</f>
        <v>Dubai&gt;Dubai Marina&gt;Marina Residence&gt;Marina Residence B</v>
      </c>
      <c r="E7561" s="2"/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</row>
    <row r="7562" spans="1:26" ht="16.5" x14ac:dyDescent="0.35">
      <c r="A7562" s="2" t="str">
        <f ca="1">IFERROR(__xludf.DUMMYFUNCTION("""COMPUTED_VALUE"""),"Dubai")</f>
        <v>Dubai</v>
      </c>
      <c r="B7562" s="2" t="str">
        <f ca="1">IFERROR(__xludf.DUMMYFUNCTION("""COMPUTED_VALUE"""),"KPM Tower")</f>
        <v>KPM Tower</v>
      </c>
      <c r="C7562" s="2" t="str">
        <f ca="1">IFERROR(__xludf.DUMMYFUNCTION("""COMPUTED_VALUE"""),"Building")</f>
        <v>Building</v>
      </c>
      <c r="D7562" s="2" t="str">
        <f ca="1">IFERROR(__xludf.DUMMYFUNCTION("""COMPUTED_VALUE"""),"Dubai&gt;Dubai Marina&gt;KPM Tower")</f>
        <v>Dubai&gt;Dubai Marina&gt;KPM Tower</v>
      </c>
      <c r="E7562" s="2"/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</row>
    <row r="7563" spans="1:26" ht="16.5" x14ac:dyDescent="0.35">
      <c r="A7563" s="2" t="str">
        <f ca="1">IFERROR(__xludf.DUMMYFUNCTION("""COMPUTED_VALUE"""),"Dubai")</f>
        <v>Dubai</v>
      </c>
      <c r="B7563" s="2" t="str">
        <f ca="1">IFERROR(__xludf.DUMMYFUNCTION("""COMPUTED_VALUE"""),"Marina View Tower B")</f>
        <v>Marina View Tower B</v>
      </c>
      <c r="C7563" s="2" t="str">
        <f ca="1">IFERROR(__xludf.DUMMYFUNCTION("""COMPUTED_VALUE"""),"Building")</f>
        <v>Building</v>
      </c>
      <c r="D7563" s="2" t="str">
        <f ca="1">IFERROR(__xludf.DUMMYFUNCTION("""COMPUTED_VALUE"""),"Dubai&gt;Dubai Marina&gt;Marina View Tower&gt;Marina View Tower B")</f>
        <v>Dubai&gt;Dubai Marina&gt;Marina View Tower&gt;Marina View Tower B</v>
      </c>
      <c r="E7563" s="2"/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</row>
    <row r="7564" spans="1:26" ht="16.5" x14ac:dyDescent="0.35">
      <c r="A7564" s="2" t="str">
        <f ca="1">IFERROR(__xludf.DUMMYFUNCTION("""COMPUTED_VALUE"""),"Dubai")</f>
        <v>Dubai</v>
      </c>
      <c r="B7564" s="2" t="str">
        <f ca="1">IFERROR(__xludf.DUMMYFUNCTION("""COMPUTED_VALUE"""),"Sparkle Towers")</f>
        <v>Sparkle Towers</v>
      </c>
      <c r="C7564" s="2" t="str">
        <f ca="1">IFERROR(__xludf.DUMMYFUNCTION("""COMPUTED_VALUE"""),"Cluster")</f>
        <v>Cluster</v>
      </c>
      <c r="D7564" s="2" t="str">
        <f ca="1">IFERROR(__xludf.DUMMYFUNCTION("""COMPUTED_VALUE"""),"Dubai&gt;Dubai Marina&gt;Sparkle Towers")</f>
        <v>Dubai&gt;Dubai Marina&gt;Sparkle Towers</v>
      </c>
      <c r="E7564" s="2"/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</row>
    <row r="7565" spans="1:26" ht="16.5" x14ac:dyDescent="0.35">
      <c r="A7565" s="2" t="str">
        <f ca="1">IFERROR(__xludf.DUMMYFUNCTION("""COMPUTED_VALUE"""),"Dubai")</f>
        <v>Dubai</v>
      </c>
      <c r="B7565" s="2" t="str">
        <f ca="1">IFERROR(__xludf.DUMMYFUNCTION("""COMPUTED_VALUE"""),"Jenna Main Square")</f>
        <v>Jenna Main Square</v>
      </c>
      <c r="C7565" s="2" t="str">
        <f ca="1">IFERROR(__xludf.DUMMYFUNCTION("""COMPUTED_VALUE"""),"Cluster")</f>
        <v>Cluster</v>
      </c>
      <c r="D7565" s="2" t="str">
        <f ca="1">IFERROR(__xludf.DUMMYFUNCTION("""COMPUTED_VALUE"""),"Dubai&gt;Town Square&gt;Jenna Main Square")</f>
        <v>Dubai&gt;Town Square&gt;Jenna Main Square</v>
      </c>
      <c r="E7565" s="2"/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</row>
    <row r="7566" spans="1:26" ht="16.5" x14ac:dyDescent="0.35">
      <c r="A7566" s="2" t="str">
        <f ca="1">IFERROR(__xludf.DUMMYFUNCTION("""COMPUTED_VALUE"""),"Dubai")</f>
        <v>Dubai</v>
      </c>
      <c r="B7566" s="2" t="str">
        <f ca="1">IFERROR(__xludf.DUMMYFUNCTION("""COMPUTED_VALUE"""),"Hayat Boulevard 2B")</f>
        <v>Hayat Boulevard 2B</v>
      </c>
      <c r="C7566" s="2" t="str">
        <f ca="1">IFERROR(__xludf.DUMMYFUNCTION("""COMPUTED_VALUE"""),"Building")</f>
        <v>Building</v>
      </c>
      <c r="D7566" s="2" t="str">
        <f ca="1">IFERROR(__xludf.DUMMYFUNCTION("""COMPUTED_VALUE"""),"Dubai&gt;Town Square&gt;Hayat Boulevard&gt;Hayat Boulevard 2B")</f>
        <v>Dubai&gt;Town Square&gt;Hayat Boulevard&gt;Hayat Boulevard 2B</v>
      </c>
      <c r="E7566" s="2"/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</row>
    <row r="7567" spans="1:26" ht="16.5" x14ac:dyDescent="0.35">
      <c r="A7567" s="2" t="str">
        <f ca="1">IFERROR(__xludf.DUMMYFUNCTION("""COMPUTED_VALUE"""),"Dubai")</f>
        <v>Dubai</v>
      </c>
      <c r="B7567" s="2" t="str">
        <f ca="1">IFERROR(__xludf.DUMMYFUNCTION("""COMPUTED_VALUE"""),"Haya on the Park")</f>
        <v>Haya on the Park</v>
      </c>
      <c r="C7567" s="2" t="str">
        <f ca="1">IFERROR(__xludf.DUMMYFUNCTION("""COMPUTED_VALUE"""),"Building")</f>
        <v>Building</v>
      </c>
      <c r="D7567" s="2" t="str">
        <f ca="1">IFERROR(__xludf.DUMMYFUNCTION("""COMPUTED_VALUE"""),"Dubai&gt;Town Square&gt;Haya on the Park")</f>
        <v>Dubai&gt;Town Square&gt;Haya on the Park</v>
      </c>
      <c r="E7567" s="2"/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</row>
    <row r="7568" spans="1:26" ht="16.5" x14ac:dyDescent="0.35">
      <c r="A7568" s="2" t="str">
        <f ca="1">IFERROR(__xludf.DUMMYFUNCTION("""COMPUTED_VALUE"""),"Dubai")</f>
        <v>Dubai</v>
      </c>
      <c r="B7568" s="2" t="str">
        <f ca="1">IFERROR(__xludf.DUMMYFUNCTION("""COMPUTED_VALUE"""),"Murano Residences")</f>
        <v>Murano Residences</v>
      </c>
      <c r="C7568" s="2" t="str">
        <f ca="1">IFERROR(__xludf.DUMMYFUNCTION("""COMPUTED_VALUE"""),"Cluster")</f>
        <v>Cluster</v>
      </c>
      <c r="D7568" s="2" t="str">
        <f ca="1">IFERROR(__xludf.DUMMYFUNCTION("""COMPUTED_VALUE"""),"Dubai&gt;Al Furjan&gt;Murano Residences")</f>
        <v>Dubai&gt;Al Furjan&gt;Murano Residences</v>
      </c>
      <c r="E7568" s="2"/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</row>
    <row r="7569" spans="1:26" ht="16.5" x14ac:dyDescent="0.35">
      <c r="A7569" s="2" t="str">
        <f ca="1">IFERROR(__xludf.DUMMYFUNCTION("""COMPUTED_VALUE"""),"Dubai")</f>
        <v>Dubai</v>
      </c>
      <c r="B7569" s="2" t="str">
        <f ca="1">IFERROR(__xludf.DUMMYFUNCTION("""COMPUTED_VALUE"""),"Murano Townhouses")</f>
        <v>Murano Townhouses</v>
      </c>
      <c r="C7569" s="2" t="str">
        <f ca="1">IFERROR(__xludf.DUMMYFUNCTION("""COMPUTED_VALUE"""),"Neighbourhood")</f>
        <v>Neighbourhood</v>
      </c>
      <c r="D7569" s="2" t="str">
        <f ca="1">IFERROR(__xludf.DUMMYFUNCTION("""COMPUTED_VALUE"""),"Dubai&gt;Al Furjan&gt;Al Furjan West&gt;Murano Townhouses")</f>
        <v>Dubai&gt;Al Furjan&gt;Al Furjan West&gt;Murano Townhouses</v>
      </c>
      <c r="E7569" s="2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</row>
    <row r="7570" spans="1:26" ht="16.5" x14ac:dyDescent="0.35">
      <c r="A7570" s="2" t="str">
        <f ca="1">IFERROR(__xludf.DUMMYFUNCTION("""COMPUTED_VALUE"""),"Dubai")</f>
        <v>Dubai</v>
      </c>
      <c r="B7570" s="2" t="str">
        <f ca="1">IFERROR(__xludf.DUMMYFUNCTION("""COMPUTED_VALUE"""),"Masakin Al Furjan")</f>
        <v>Masakin Al Furjan</v>
      </c>
      <c r="C7570" s="2" t="str">
        <f ca="1">IFERROR(__xludf.DUMMYFUNCTION("""COMPUTED_VALUE"""),"Cluster")</f>
        <v>Cluster</v>
      </c>
      <c r="D7570" s="2" t="str">
        <f ca="1">IFERROR(__xludf.DUMMYFUNCTION("""COMPUTED_VALUE"""),"Dubai&gt;Al Furjan&gt;Masakin Al Furjan")</f>
        <v>Dubai&gt;Al Furjan&gt;Masakin Al Furjan</v>
      </c>
      <c r="E7570" s="2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</row>
    <row r="7571" spans="1:26" ht="16.5" x14ac:dyDescent="0.35">
      <c r="A7571" s="2" t="str">
        <f ca="1">IFERROR(__xludf.DUMMYFUNCTION("""COMPUTED_VALUE"""),"Dubai")</f>
        <v>Dubai</v>
      </c>
      <c r="B7571" s="2" t="str">
        <f ca="1">IFERROR(__xludf.DUMMYFUNCTION("""COMPUTED_VALUE"""),"PG One")</f>
        <v>PG One</v>
      </c>
      <c r="C7571" s="2" t="str">
        <f ca="1">IFERROR(__xludf.DUMMYFUNCTION("""COMPUTED_VALUE"""),"Building")</f>
        <v>Building</v>
      </c>
      <c r="D7571" s="2" t="str">
        <f ca="1">IFERROR(__xludf.DUMMYFUNCTION("""COMPUTED_VALUE"""),"Dubai&gt;Al Furjan&gt;PG One")</f>
        <v>Dubai&gt;Al Furjan&gt;PG One</v>
      </c>
      <c r="E7571" s="2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</row>
    <row r="7572" spans="1:26" ht="16.5" x14ac:dyDescent="0.35">
      <c r="A7572" s="2" t="str">
        <f ca="1">IFERROR(__xludf.DUMMYFUNCTION("""COMPUTED_VALUE"""),"Dubai")</f>
        <v>Dubai</v>
      </c>
      <c r="B7572" s="2" t="str">
        <f ca="1">IFERROR(__xludf.DUMMYFUNCTION("""COMPUTED_VALUE"""),"Celeste Heights")</f>
        <v>Celeste Heights</v>
      </c>
      <c r="C7572" s="2" t="str">
        <f ca="1">IFERROR(__xludf.DUMMYFUNCTION("""COMPUTED_VALUE"""),"Building")</f>
        <v>Building</v>
      </c>
      <c r="D7572" s="2" t="str">
        <f ca="1">IFERROR(__xludf.DUMMYFUNCTION("""COMPUTED_VALUE"""),"Dubai&gt;Al Furjan&gt;Celeste Heights")</f>
        <v>Dubai&gt;Al Furjan&gt;Celeste Heights</v>
      </c>
      <c r="E7572" s="2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</row>
    <row r="7573" spans="1:26" ht="16.5" x14ac:dyDescent="0.35">
      <c r="A7573" s="2" t="str">
        <f ca="1">IFERROR(__xludf.DUMMYFUNCTION("""COMPUTED_VALUE"""),"Dubai")</f>
        <v>Dubai</v>
      </c>
      <c r="B7573" s="2" t="str">
        <f ca="1">IFERROR(__xludf.DUMMYFUNCTION("""COMPUTED_VALUE"""),"Tonino Lamborghini 2")</f>
        <v>Tonino Lamborghini 2</v>
      </c>
      <c r="C7573" s="2" t="str">
        <f ca="1">IFERROR(__xludf.DUMMYFUNCTION("""COMPUTED_VALUE"""),"Building")</f>
        <v>Building</v>
      </c>
      <c r="D7573" s="2" t="str">
        <f ca="1">IFERROR(__xludf.DUMMYFUNCTION("""COMPUTED_VALUE"""),"Dubai&gt;Meydan City&gt;Tonino Lamborghini Residences&gt;Tonino Lamborghini 2")</f>
        <v>Dubai&gt;Meydan City&gt;Tonino Lamborghini Residences&gt;Tonino Lamborghini 2</v>
      </c>
      <c r="E7573" s="2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</row>
    <row r="7574" spans="1:26" ht="16.5" x14ac:dyDescent="0.35">
      <c r="A7574" s="2" t="str">
        <f ca="1">IFERROR(__xludf.DUMMYFUNCTION("""COMPUTED_VALUE"""),"Dubai")</f>
        <v>Dubai</v>
      </c>
      <c r="B7574" s="2" t="str">
        <f ca="1">IFERROR(__xludf.DUMMYFUNCTION("""COMPUTED_VALUE"""),"Azizi Riviera 3")</f>
        <v>Azizi Riviera 3</v>
      </c>
      <c r="C7574" s="2" t="str">
        <f ca="1">IFERROR(__xludf.DUMMYFUNCTION("""COMPUTED_VALUE"""),"Building")</f>
        <v>Building</v>
      </c>
      <c r="D7574" s="2" t="str">
        <f ca="1">IFERROR(__xludf.DUMMYFUNCTION("""COMPUTED_VALUE"""),"Dubai&gt;Meydan City&gt;Meydan One&gt;Azizi Riviera&gt;Azizi Riviera 3")</f>
        <v>Dubai&gt;Meydan City&gt;Meydan One&gt;Azizi Riviera&gt;Azizi Riviera 3</v>
      </c>
      <c r="E7574" s="2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</row>
    <row r="7575" spans="1:26" ht="16.5" x14ac:dyDescent="0.35">
      <c r="A7575" s="2" t="str">
        <f ca="1">IFERROR(__xludf.DUMMYFUNCTION("""COMPUTED_VALUE"""),"Dubai")</f>
        <v>Dubai</v>
      </c>
      <c r="B7575" s="2" t="str">
        <f ca="1">IFERROR(__xludf.DUMMYFUNCTION("""COMPUTED_VALUE"""),"Azizi Riviera Azure")</f>
        <v>Azizi Riviera Azure</v>
      </c>
      <c r="C7575" s="2" t="str">
        <f ca="1">IFERROR(__xludf.DUMMYFUNCTION("""COMPUTED_VALUE"""),"Building")</f>
        <v>Building</v>
      </c>
      <c r="D7575" s="2" t="str">
        <f ca="1">IFERROR(__xludf.DUMMYFUNCTION("""COMPUTED_VALUE"""),"Dubai&gt;Meydan City&gt;Meydan One&gt;Azizi Riviera&gt;Azizi Riviera Azure")</f>
        <v>Dubai&gt;Meydan City&gt;Meydan One&gt;Azizi Riviera&gt;Azizi Riviera Azure</v>
      </c>
      <c r="E7575" s="2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</row>
    <row r="7576" spans="1:26" ht="16.5" x14ac:dyDescent="0.35">
      <c r="A7576" s="2" t="str">
        <f ca="1">IFERROR(__xludf.DUMMYFUNCTION("""COMPUTED_VALUE"""),"Dubai")</f>
        <v>Dubai</v>
      </c>
      <c r="B7576" s="2" t="str">
        <f ca="1">IFERROR(__xludf.DUMMYFUNCTION("""COMPUTED_VALUE"""),"Dar Mira")</f>
        <v>Dar Mira</v>
      </c>
      <c r="C7576" s="2" t="str">
        <f ca="1">IFERROR(__xludf.DUMMYFUNCTION("""COMPUTED_VALUE"""),"Building")</f>
        <v>Building</v>
      </c>
      <c r="D7576" s="2" t="str">
        <f ca="1">IFERROR(__xludf.DUMMYFUNCTION("""COMPUTED_VALUE"""),"Dubai&gt;Meydan City&gt;Meydan Avenue&gt;Dar Mira")</f>
        <v>Dubai&gt;Meydan City&gt;Meydan Avenue&gt;Dar Mira</v>
      </c>
      <c r="E7576" s="2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</row>
    <row r="7577" spans="1:26" ht="16.5" x14ac:dyDescent="0.35">
      <c r="A7577" s="2" t="str">
        <f ca="1">IFERROR(__xludf.DUMMYFUNCTION("""COMPUTED_VALUE"""),"Dubai")</f>
        <v>Dubai</v>
      </c>
      <c r="B7577" s="2" t="str">
        <f ca="1">IFERROR(__xludf.DUMMYFUNCTION("""COMPUTED_VALUE"""),"Polo Residence E3")</f>
        <v>Polo Residence E3</v>
      </c>
      <c r="C7577" s="2" t="str">
        <f ca="1">IFERROR(__xludf.DUMMYFUNCTION("""COMPUTED_VALUE"""),"Building")</f>
        <v>Building</v>
      </c>
      <c r="D7577" s="2" t="str">
        <f ca="1">IFERROR(__xludf.DUMMYFUNCTION("""COMPUTED_VALUE"""),"Dubai&gt;Meydan City&gt;Meydan Avenue&gt;Polo Residence&gt;Polo Residence E3")</f>
        <v>Dubai&gt;Meydan City&gt;Meydan Avenue&gt;Polo Residence&gt;Polo Residence E3</v>
      </c>
      <c r="E7577" s="2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</row>
    <row r="7578" spans="1:26" ht="16.5" x14ac:dyDescent="0.35">
      <c r="A7578" s="2" t="str">
        <f ca="1">IFERROR(__xludf.DUMMYFUNCTION("""COMPUTED_VALUE"""),"Dubai")</f>
        <v>Dubai</v>
      </c>
      <c r="B7578" s="2" t="str">
        <f ca="1">IFERROR(__xludf.DUMMYFUNCTION("""COMPUTED_VALUE"""),"Meydan Heights")</f>
        <v>Meydan Heights</v>
      </c>
      <c r="C7578" s="2" t="str">
        <f ca="1">IFERROR(__xludf.DUMMYFUNCTION("""COMPUTED_VALUE"""),"Neighbourhood")</f>
        <v>Neighbourhood</v>
      </c>
      <c r="D7578" s="2" t="str">
        <f ca="1">IFERROR(__xludf.DUMMYFUNCTION("""COMPUTED_VALUE"""),"Dubai&gt;Meydan City&gt;Meydan Heights")</f>
        <v>Dubai&gt;Meydan City&gt;Meydan Heights</v>
      </c>
      <c r="E7578" s="2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</row>
    <row r="7579" spans="1:26" ht="16.5" x14ac:dyDescent="0.35">
      <c r="A7579" s="2" t="str">
        <f ca="1">IFERROR(__xludf.DUMMYFUNCTION("""COMPUTED_VALUE"""),"Dubai")</f>
        <v>Dubai</v>
      </c>
      <c r="B7579" s="2" t="str">
        <f ca="1">IFERROR(__xludf.DUMMYFUNCTION("""COMPUTED_VALUE"""),"Al Ghozlan 3")</f>
        <v>Al Ghozlan 3</v>
      </c>
      <c r="C7579" s="2" t="str">
        <f ca="1">IFERROR(__xludf.DUMMYFUNCTION("""COMPUTED_VALUE"""),"Building")</f>
        <v>Building</v>
      </c>
      <c r="D7579" s="2" t="str">
        <f ca="1">IFERROR(__xludf.DUMMYFUNCTION("""COMPUTED_VALUE"""),"Dubai&gt;The Greens&gt;Al Ghozlan&gt;Al Ghozlan 3")</f>
        <v>Dubai&gt;The Greens&gt;Al Ghozlan&gt;Al Ghozlan 3</v>
      </c>
      <c r="E7579" s="2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</row>
    <row r="7580" spans="1:26" ht="16.5" x14ac:dyDescent="0.35">
      <c r="A7580" s="2" t="str">
        <f ca="1">IFERROR(__xludf.DUMMYFUNCTION("""COMPUTED_VALUE"""),"Dubai")</f>
        <v>Dubai</v>
      </c>
      <c r="B7580" s="2" t="str">
        <f ca="1">IFERROR(__xludf.DUMMYFUNCTION("""COMPUTED_VALUE"""),"Kids Kingdom Nursery IMPZ")</f>
        <v>Kids Kingdom Nursery IMPZ</v>
      </c>
      <c r="C7580" s="2" t="str">
        <f ca="1">IFERROR(__xludf.DUMMYFUNCTION("""COMPUTED_VALUE"""),"Nursery")</f>
        <v>Nursery</v>
      </c>
      <c r="D7580" s="2" t="str">
        <f ca="1">IFERROR(__xludf.DUMMYFUNCTION("""COMPUTED_VALUE"""),"Dubai&gt;Dubai Production City (IMPZ)&gt;Kids Kingdom Nursery IMPZ")</f>
        <v>Dubai&gt;Dubai Production City (IMPZ)&gt;Kids Kingdom Nursery IMPZ</v>
      </c>
      <c r="E7580" s="2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</row>
    <row r="7581" spans="1:26" ht="16.5" x14ac:dyDescent="0.35">
      <c r="A7581" s="2" t="str">
        <f ca="1">IFERROR(__xludf.DUMMYFUNCTION("""COMPUTED_VALUE"""),"Dubai")</f>
        <v>Dubai</v>
      </c>
      <c r="B7581" s="2" t="str">
        <f ca="1">IFERROR(__xludf.DUMMYFUNCTION("""COMPUTED_VALUE"""),"Afnan 5")</f>
        <v>Afnan 5</v>
      </c>
      <c r="C7581" s="2" t="str">
        <f ca="1">IFERROR(__xludf.DUMMYFUNCTION("""COMPUTED_VALUE"""),"Building")</f>
        <v>Building</v>
      </c>
      <c r="D7581" s="2" t="str">
        <f ca="1">IFERROR(__xludf.DUMMYFUNCTION("""COMPUTED_VALUE"""),"Dubai&gt;Dubai Production City (IMPZ)&gt;Midtown&gt;Afnan District&gt;Afnan 5")</f>
        <v>Dubai&gt;Dubai Production City (IMPZ)&gt;Midtown&gt;Afnan District&gt;Afnan 5</v>
      </c>
      <c r="E7581" s="2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</row>
    <row r="7582" spans="1:26" ht="16.5" x14ac:dyDescent="0.35">
      <c r="A7582" s="2" t="str">
        <f ca="1">IFERROR(__xludf.DUMMYFUNCTION("""COMPUTED_VALUE"""),"Dubai")</f>
        <v>Dubai</v>
      </c>
      <c r="B7582" s="2" t="str">
        <f ca="1">IFERROR(__xludf.DUMMYFUNCTION("""COMPUTED_VALUE"""),"Lago Vista B")</f>
        <v>Lago Vista B</v>
      </c>
      <c r="C7582" s="2" t="str">
        <f ca="1">IFERROR(__xludf.DUMMYFUNCTION("""COMPUTED_VALUE"""),"Building")</f>
        <v>Building</v>
      </c>
      <c r="D7582" s="2" t="str">
        <f ca="1">IFERROR(__xludf.DUMMYFUNCTION("""COMPUTED_VALUE"""),"Dubai&gt;Dubai Production City (IMPZ)&gt;Lago Vista&gt;Lago Vista B")</f>
        <v>Dubai&gt;Dubai Production City (IMPZ)&gt;Lago Vista&gt;Lago Vista B</v>
      </c>
      <c r="E7582" s="2"/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</row>
    <row r="7583" spans="1:26" ht="16.5" x14ac:dyDescent="0.35">
      <c r="A7583" s="2" t="str">
        <f ca="1">IFERROR(__xludf.DUMMYFUNCTION("""COMPUTED_VALUE"""),"Dubai")</f>
        <v>Dubai</v>
      </c>
      <c r="B7583" s="2" t="str">
        <f ca="1">IFERROR(__xludf.DUMMYFUNCTION("""COMPUTED_VALUE"""),"Circular Building 1")</f>
        <v>Circular Building 1</v>
      </c>
      <c r="C7583" s="2" t="str">
        <f ca="1">IFERROR(__xludf.DUMMYFUNCTION("""COMPUTED_VALUE"""),"Building")</f>
        <v>Building</v>
      </c>
      <c r="D7583" s="2" t="str">
        <f ca="1">IFERROR(__xludf.DUMMYFUNCTION("""COMPUTED_VALUE"""),"Dubai&gt;Dubai Production City (IMPZ)&gt;Circular Building 1")</f>
        <v>Dubai&gt;Dubai Production City (IMPZ)&gt;Circular Building 1</v>
      </c>
      <c r="E7583" s="2"/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</row>
    <row r="7584" spans="1:26" ht="16.5" x14ac:dyDescent="0.35">
      <c r="A7584" s="2" t="str">
        <f ca="1">IFERROR(__xludf.DUMMYFUNCTION("""COMPUTED_VALUE"""),"Dubai")</f>
        <v>Dubai</v>
      </c>
      <c r="B7584" s="2" t="str">
        <f ca="1">IFERROR(__xludf.DUMMYFUNCTION("""COMPUTED_VALUE"""),"Barakah Building")</f>
        <v>Barakah Building</v>
      </c>
      <c r="C7584" s="2" t="str">
        <f ca="1">IFERROR(__xludf.DUMMYFUNCTION("""COMPUTED_VALUE"""),"Building")</f>
        <v>Building</v>
      </c>
      <c r="D7584" s="2" t="str">
        <f ca="1">IFERROR(__xludf.DUMMYFUNCTION("""COMPUTED_VALUE"""),"Dubai&gt;Dubai Industrial City&gt;Barakah Building")</f>
        <v>Dubai&gt;Dubai Industrial City&gt;Barakah Building</v>
      </c>
      <c r="E7584" s="2"/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</row>
    <row r="7585" spans="1:26" ht="16.5" x14ac:dyDescent="0.35">
      <c r="A7585" s="2" t="str">
        <f ca="1">IFERROR(__xludf.DUMMYFUNCTION("""COMPUTED_VALUE"""),"Dubai")</f>
        <v>Dubai</v>
      </c>
      <c r="B7585" s="2" t="str">
        <f ca="1">IFERROR(__xludf.DUMMYFUNCTION("""COMPUTED_VALUE"""),"South Park Residences by Wellington")</f>
        <v>South Park Residences by Wellington</v>
      </c>
      <c r="C7585" s="2" t="str">
        <f ca="1">IFERROR(__xludf.DUMMYFUNCTION("""COMPUTED_VALUE"""),"Neighbourhood")</f>
        <v>Neighbourhood</v>
      </c>
      <c r="D7585" s="2" t="str">
        <f ca="1">IFERROR(__xludf.DUMMYFUNCTION("""COMPUTED_VALUE"""),"Dubai&gt;Dubai Industrial City&gt;South Park Residences by Wellington")</f>
        <v>Dubai&gt;Dubai Industrial City&gt;South Park Residences by Wellington</v>
      </c>
      <c r="E7585" s="2"/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</row>
    <row r="7586" spans="1:26" ht="16.5" x14ac:dyDescent="0.35">
      <c r="A7586" s="2" t="str">
        <f ca="1">IFERROR(__xludf.DUMMYFUNCTION("""COMPUTED_VALUE"""),"Dubai")</f>
        <v>Dubai</v>
      </c>
      <c r="B7586" s="2" t="str">
        <f ca="1">IFERROR(__xludf.DUMMYFUNCTION("""COMPUTED_VALUE"""),"Elan")</f>
        <v>Elan</v>
      </c>
      <c r="C7586" s="2" t="str">
        <f ca="1">IFERROR(__xludf.DUMMYFUNCTION("""COMPUTED_VALUE"""),"Neighbourhood")</f>
        <v>Neighbourhood</v>
      </c>
      <c r="D7586" s="2" t="str">
        <f ca="1">IFERROR(__xludf.DUMMYFUNCTION("""COMPUTED_VALUE"""),"Dubai&gt;Tilal Al Ghaf&gt;Elan")</f>
        <v>Dubai&gt;Tilal Al Ghaf&gt;Elan</v>
      </c>
      <c r="E7586" s="2"/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</row>
    <row r="7587" spans="1:26" ht="16.5" x14ac:dyDescent="0.35">
      <c r="A7587" s="2" t="str">
        <f ca="1">IFERROR(__xludf.DUMMYFUNCTION("""COMPUTED_VALUE"""),"Dubai")</f>
        <v>Dubai</v>
      </c>
      <c r="B7587" s="2" t="str">
        <f ca="1">IFERROR(__xludf.DUMMYFUNCTION("""COMPUTED_VALUE"""),"Seaside by Prestige One")</f>
        <v>Seaside by Prestige One</v>
      </c>
      <c r="C7587" s="2" t="str">
        <f ca="1">IFERROR(__xludf.DUMMYFUNCTION("""COMPUTED_VALUE"""),"Building")</f>
        <v>Building</v>
      </c>
      <c r="D7587" s="2" t="str">
        <f ca="1">IFERROR(__xludf.DUMMYFUNCTION("""COMPUTED_VALUE"""),"Dubai&gt;Dubai Islands&gt;Seaside by Prestige One")</f>
        <v>Dubai&gt;Dubai Islands&gt;Seaside by Prestige One</v>
      </c>
      <c r="E7587" s="2"/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</row>
    <row r="7588" spans="1:26" ht="16.5" x14ac:dyDescent="0.35">
      <c r="A7588" s="2" t="str">
        <f ca="1">IFERROR(__xludf.DUMMYFUNCTION("""COMPUTED_VALUE"""),"Dubai")</f>
        <v>Dubai</v>
      </c>
      <c r="B7588" s="2" t="str">
        <f ca="1">IFERROR(__xludf.DUMMYFUNCTION("""COMPUTED_VALUE"""),"Rena")</f>
        <v>Rena</v>
      </c>
      <c r="C7588" s="2" t="str">
        <f ca="1">IFERROR(__xludf.DUMMYFUNCTION("""COMPUTED_VALUE"""),"Building")</f>
        <v>Building</v>
      </c>
      <c r="D7588" s="2" t="str">
        <f ca="1">IFERROR(__xludf.DUMMYFUNCTION("""COMPUTED_VALUE"""),"Dubai&gt;Dubai Islands&gt;Rena")</f>
        <v>Dubai&gt;Dubai Islands&gt;Rena</v>
      </c>
      <c r="E7588" s="2"/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</row>
    <row r="7589" spans="1:26" ht="16.5" x14ac:dyDescent="0.35">
      <c r="A7589" s="2" t="str">
        <f ca="1">IFERROR(__xludf.DUMMYFUNCTION("""COMPUTED_VALUE"""),"Dubai")</f>
        <v>Dubai</v>
      </c>
      <c r="B7589" s="2" t="str">
        <f ca="1">IFERROR(__xludf.DUMMYFUNCTION("""COMPUTED_VALUE"""),"Tomorrow 166")</f>
        <v>Tomorrow 166</v>
      </c>
      <c r="C7589" s="2" t="str">
        <f ca="1">IFERROR(__xludf.DUMMYFUNCTION("""COMPUTED_VALUE"""),"Building")</f>
        <v>Building</v>
      </c>
      <c r="D7589" s="2" t="str">
        <f ca="1">IFERROR(__xludf.DUMMYFUNCTION("""COMPUTED_VALUE"""),"Dubai&gt;Dubai Islands&gt;Tomorrow 166")</f>
        <v>Dubai&gt;Dubai Islands&gt;Tomorrow 166</v>
      </c>
      <c r="E7589" s="2"/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</row>
    <row r="7590" spans="1:26" ht="16.5" x14ac:dyDescent="0.35">
      <c r="A7590" s="2" t="str">
        <f ca="1">IFERROR(__xludf.DUMMYFUNCTION("""COMPUTED_VALUE"""),"Dubai")</f>
        <v>Dubai</v>
      </c>
      <c r="B7590" s="2" t="str">
        <f ca="1">IFERROR(__xludf.DUMMYFUNCTION("""COMPUTED_VALUE"""),"997 Residences by Reef")</f>
        <v>997 Residences by Reef</v>
      </c>
      <c r="C7590" s="2" t="str">
        <f ca="1">IFERROR(__xludf.DUMMYFUNCTION("""COMPUTED_VALUE"""),"Building")</f>
        <v>Building</v>
      </c>
      <c r="D7590" s="2" t="str">
        <f ca="1">IFERROR(__xludf.DUMMYFUNCTION("""COMPUTED_VALUE"""),"Dubai&gt;Dubai Islands&gt;997 Residences by Reef")</f>
        <v>Dubai&gt;Dubai Islands&gt;997 Residences by Reef</v>
      </c>
      <c r="E7590" s="2"/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</row>
    <row r="7591" spans="1:26" ht="16.5" x14ac:dyDescent="0.35">
      <c r="A7591" s="2" t="str">
        <f ca="1">IFERROR(__xludf.DUMMYFUNCTION("""COMPUTED_VALUE"""),"Dubai")</f>
        <v>Dubai</v>
      </c>
      <c r="B7591" s="2" t="str">
        <f ca="1">IFERROR(__xludf.DUMMYFUNCTION("""COMPUTED_VALUE"""),"Hado by Beyond Tower C")</f>
        <v>Hado by Beyond Tower C</v>
      </c>
      <c r="C7591" s="2" t="str">
        <f ca="1">IFERROR(__xludf.DUMMYFUNCTION("""COMPUTED_VALUE"""),"Building")</f>
        <v>Building</v>
      </c>
      <c r="D7591" s="2" t="str">
        <f ca="1">IFERROR(__xludf.DUMMYFUNCTION("""COMPUTED_VALUE"""),"Dubai&gt;Dubai Islands&gt;Hado by Beyond&gt;Hado by Beyond Tower C")</f>
        <v>Dubai&gt;Dubai Islands&gt;Hado by Beyond&gt;Hado by Beyond Tower C</v>
      </c>
      <c r="E7591" s="2"/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</row>
    <row r="7592" spans="1:26" ht="16.5" x14ac:dyDescent="0.35">
      <c r="A7592" s="2" t="str">
        <f ca="1">IFERROR(__xludf.DUMMYFUNCTION("""COMPUTED_VALUE"""),"Dubai")</f>
        <v>Dubai</v>
      </c>
      <c r="B7592" s="2" t="str">
        <f ca="1">IFERROR(__xludf.DUMMYFUNCTION("""COMPUTED_VALUE"""),"Amaranta")</f>
        <v>Amaranta</v>
      </c>
      <c r="C7592" s="2" t="str">
        <f ca="1">IFERROR(__xludf.DUMMYFUNCTION("""COMPUTED_VALUE"""),"Neighbourhood")</f>
        <v>Neighbourhood</v>
      </c>
      <c r="D7592" s="2" t="str">
        <f ca="1">IFERROR(__xludf.DUMMYFUNCTION("""COMPUTED_VALUE"""),"Dubai&gt;Dubailand&gt;Villanova&gt;Amaranta")</f>
        <v>Dubai&gt;Dubailand&gt;Villanova&gt;Amaranta</v>
      </c>
      <c r="E7592" s="2"/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</row>
    <row r="7593" spans="1:26" ht="16.5" x14ac:dyDescent="0.35">
      <c r="A7593" s="2" t="str">
        <f ca="1">IFERROR(__xludf.DUMMYFUNCTION("""COMPUTED_VALUE"""),"Dubai")</f>
        <v>Dubai</v>
      </c>
      <c r="B7593" s="2" t="str">
        <f ca="1">IFERROR(__xludf.DUMMYFUNCTION("""COMPUTED_VALUE"""),"Violet")</f>
        <v>Violet</v>
      </c>
      <c r="C7593" s="2" t="str">
        <f ca="1">IFERROR(__xludf.DUMMYFUNCTION("""COMPUTED_VALUE"""),"Building")</f>
        <v>Building</v>
      </c>
      <c r="D7593" s="2" t="str">
        <f ca="1">IFERROR(__xludf.DUMMYFUNCTION("""COMPUTED_VALUE"""),"Dubai&gt;Za'abeel&gt;Za'abeel 2&gt;Al Murooj Complex&gt;Violet")</f>
        <v>Dubai&gt;Za'abeel&gt;Za'abeel 2&gt;Al Murooj Complex&gt;Violet</v>
      </c>
      <c r="E7593" s="2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</row>
    <row r="7594" spans="1:26" ht="16.5" x14ac:dyDescent="0.35">
      <c r="A7594" s="2" t="str">
        <f ca="1">IFERROR(__xludf.DUMMYFUNCTION("""COMPUTED_VALUE"""),"Dubai")</f>
        <v>Dubai</v>
      </c>
      <c r="B7594" s="2" t="str">
        <f ca="1">IFERROR(__xludf.DUMMYFUNCTION("""COMPUTED_VALUE"""),"Samari Residences 6")</f>
        <v>Samari Residences 6</v>
      </c>
      <c r="C7594" s="2" t="str">
        <f ca="1">IFERROR(__xludf.DUMMYFUNCTION("""COMPUTED_VALUE"""),"Building")</f>
        <v>Building</v>
      </c>
      <c r="D7594" s="2" t="str">
        <f ca="1">IFERROR(__xludf.DUMMYFUNCTION("""COMPUTED_VALUE"""),"Dubai&gt;Ras Al Khor&gt;Ras Al Khor Industrial&gt;Ras Al Khor Industrial 3&gt;Samari Residences&gt;Samari Residences 6")</f>
        <v>Dubai&gt;Ras Al Khor&gt;Ras Al Khor Industrial&gt;Ras Al Khor Industrial 3&gt;Samari Residences&gt;Samari Residences 6</v>
      </c>
      <c r="E7594" s="2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</row>
    <row r="7595" spans="1:26" ht="16.5" x14ac:dyDescent="0.35">
      <c r="A7595" s="2" t="str">
        <f ca="1">IFERROR(__xludf.DUMMYFUNCTION("""COMPUTED_VALUE"""),"Dubai")</f>
        <v>Dubai</v>
      </c>
      <c r="B7595" s="2" t="str">
        <f ca="1">IFERROR(__xludf.DUMMYFUNCTION("""COMPUTED_VALUE"""),"Alexis Tower")</f>
        <v>Alexis Tower</v>
      </c>
      <c r="C7595" s="2" t="str">
        <f ca="1">IFERROR(__xludf.DUMMYFUNCTION("""COMPUTED_VALUE"""),"Building")</f>
        <v>Building</v>
      </c>
      <c r="D7595" s="2" t="str">
        <f ca="1">IFERROR(__xludf.DUMMYFUNCTION("""COMPUTED_VALUE"""),"Dubai&gt;Jebel Ali&gt;Downtown Jebel Ali&gt;Alexis Tower")</f>
        <v>Dubai&gt;Jebel Ali&gt;Downtown Jebel Ali&gt;Alexis Tower</v>
      </c>
      <c r="E7595" s="2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</row>
    <row r="7596" spans="1:26" ht="16.5" x14ac:dyDescent="0.35">
      <c r="A7596" s="2" t="str">
        <f ca="1">IFERROR(__xludf.DUMMYFUNCTION("""COMPUTED_VALUE"""),"Dubai")</f>
        <v>Dubai</v>
      </c>
      <c r="B7596" s="2" t="str">
        <f ca="1">IFERROR(__xludf.DUMMYFUNCTION("""COMPUTED_VALUE"""),"MCAG Labour Camp")</f>
        <v>MCAG Labour Camp</v>
      </c>
      <c r="C7596" s="2" t="str">
        <f ca="1">IFERROR(__xludf.DUMMYFUNCTION("""COMPUTED_VALUE"""),"Building")</f>
        <v>Building</v>
      </c>
      <c r="D7596" s="2" t="str">
        <f ca="1">IFERROR(__xludf.DUMMYFUNCTION("""COMPUTED_VALUE"""),"Dubai&gt;Jebel Ali&gt;Jebel Ali Industrial Area&gt;Jebel Ali Industrial Area 1&gt;MCAG Labour Camp")</f>
        <v>Dubai&gt;Jebel Ali&gt;Jebel Ali Industrial Area&gt;Jebel Ali Industrial Area 1&gt;MCAG Labour Camp</v>
      </c>
      <c r="E7596" s="2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</row>
    <row r="7597" spans="1:26" ht="16.5" x14ac:dyDescent="0.35">
      <c r="A7597" s="2" t="str">
        <f ca="1">IFERROR(__xludf.DUMMYFUNCTION("""COMPUTED_VALUE"""),"Dubai")</f>
        <v>Dubai</v>
      </c>
      <c r="B7597" s="2" t="str">
        <f ca="1">IFERROR(__xludf.DUMMYFUNCTION("""COMPUTED_VALUE"""),"Nadd Al Hamar Building")</f>
        <v>Nadd Al Hamar Building</v>
      </c>
      <c r="C7597" s="2" t="str">
        <f ca="1">IFERROR(__xludf.DUMMYFUNCTION("""COMPUTED_VALUE"""),"Building")</f>
        <v>Building</v>
      </c>
      <c r="D7597" s="2" t="str">
        <f ca="1">IFERROR(__xludf.DUMMYFUNCTION("""COMPUTED_VALUE"""),"Dubai&gt;Nad Al Hamar&gt;Nadd Al Hamar Building")</f>
        <v>Dubai&gt;Nad Al Hamar&gt;Nadd Al Hamar Building</v>
      </c>
      <c r="E7597" s="2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</row>
    <row r="7598" spans="1:26" ht="16.5" x14ac:dyDescent="0.35">
      <c r="A7598" s="2" t="str">
        <f ca="1">IFERROR(__xludf.DUMMYFUNCTION("""COMPUTED_VALUE"""),"Dubai")</f>
        <v>Dubai</v>
      </c>
      <c r="B7598" s="2" t="str">
        <f ca="1">IFERROR(__xludf.DUMMYFUNCTION("""COMPUTED_VALUE"""),"Al Zarooni 2 Building")</f>
        <v>Al Zarooni 2 Building</v>
      </c>
      <c r="C7598" s="2" t="str">
        <f ca="1">IFERROR(__xludf.DUMMYFUNCTION("""COMPUTED_VALUE"""),"Building")</f>
        <v>Building</v>
      </c>
      <c r="D7598" s="2" t="str">
        <f ca="1">IFERROR(__xludf.DUMMYFUNCTION("""COMPUTED_VALUE"""),"Dubai&gt;Nad Al Hamar&gt;Al Zarooni 2 Building")</f>
        <v>Dubai&gt;Nad Al Hamar&gt;Al Zarooni 2 Building</v>
      </c>
      <c r="E7598" s="2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</row>
    <row r="7599" spans="1:26" ht="16.5" x14ac:dyDescent="0.35">
      <c r="A7599" s="2" t="str">
        <f ca="1">IFERROR(__xludf.DUMMYFUNCTION("""COMPUTED_VALUE"""),"Dubai")</f>
        <v>Dubai</v>
      </c>
      <c r="B7599" s="2" t="str">
        <f ca="1">IFERROR(__xludf.DUMMYFUNCTION("""COMPUTED_VALUE"""),"Barsha Business Square")</f>
        <v>Barsha Business Square</v>
      </c>
      <c r="C7599" s="2" t="str">
        <f ca="1">IFERROR(__xludf.DUMMYFUNCTION("""COMPUTED_VALUE"""),"Building")</f>
        <v>Building</v>
      </c>
      <c r="D7599" s="2" t="str">
        <f ca="1">IFERROR(__xludf.DUMMYFUNCTION("""COMPUTED_VALUE"""),"Dubai&gt;Al Barsha&gt;Al Barsha 1&gt;Barsha Business Square")</f>
        <v>Dubai&gt;Al Barsha&gt;Al Barsha 1&gt;Barsha Business Square</v>
      </c>
      <c r="E7599" s="2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</row>
    <row r="7600" spans="1:26" ht="16.5" x14ac:dyDescent="0.35">
      <c r="A7600" s="2" t="str">
        <f ca="1">IFERROR(__xludf.DUMMYFUNCTION("""COMPUTED_VALUE"""),"Dubai")</f>
        <v>Dubai</v>
      </c>
      <c r="B7600" s="2" t="str">
        <f ca="1">IFERROR(__xludf.DUMMYFUNCTION("""COMPUTED_VALUE"""),"Barsha Modern Building 1")</f>
        <v>Barsha Modern Building 1</v>
      </c>
      <c r="C7600" s="2" t="str">
        <f ca="1">IFERROR(__xludf.DUMMYFUNCTION("""COMPUTED_VALUE"""),"Building")</f>
        <v>Building</v>
      </c>
      <c r="D7600" s="2" t="str">
        <f ca="1">IFERROR(__xludf.DUMMYFUNCTION("""COMPUTED_VALUE"""),"Dubai&gt;Al Barsha&gt;Al Barsha 1&gt;Barsha Modern&gt;Barsha Modern Building 1")</f>
        <v>Dubai&gt;Al Barsha&gt;Al Barsha 1&gt;Barsha Modern&gt;Barsha Modern Building 1</v>
      </c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</row>
    <row r="7601" spans="1:26" ht="16.5" x14ac:dyDescent="0.35">
      <c r="A7601" s="2" t="str">
        <f ca="1">IFERROR(__xludf.DUMMYFUNCTION("""COMPUTED_VALUE"""),"Dubai")</f>
        <v>Dubai</v>
      </c>
      <c r="B7601" s="2" t="str">
        <f ca="1">IFERROR(__xludf.DUMMYFUNCTION("""COMPUTED_VALUE"""),"Al Ansari Business Centre")</f>
        <v>Al Ansari Business Centre</v>
      </c>
      <c r="C7601" s="2" t="str">
        <f ca="1">IFERROR(__xludf.DUMMYFUNCTION("""COMPUTED_VALUE"""),"Building")</f>
        <v>Building</v>
      </c>
      <c r="D7601" s="2" t="str">
        <f ca="1">IFERROR(__xludf.DUMMYFUNCTION("""COMPUTED_VALUE"""),"Dubai&gt;Al Barsha&gt;Al Barsha 1&gt;Al Ansari Business Centre")</f>
        <v>Dubai&gt;Al Barsha&gt;Al Barsha 1&gt;Al Ansari Business Centre</v>
      </c>
      <c r="E7601" s="2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</row>
    <row r="7602" spans="1:26" ht="16.5" x14ac:dyDescent="0.35">
      <c r="A7602" s="2" t="str">
        <f ca="1">IFERROR(__xludf.DUMMYFUNCTION("""COMPUTED_VALUE"""),"Dubai")</f>
        <v>Dubai</v>
      </c>
      <c r="B7602" s="2" t="str">
        <f ca="1">IFERROR(__xludf.DUMMYFUNCTION("""COMPUTED_VALUE"""),"Al Khoory Atrium Hotel")</f>
        <v>Al Khoory Atrium Hotel</v>
      </c>
      <c r="C7602" s="2" t="str">
        <f ca="1">IFERROR(__xludf.DUMMYFUNCTION("""COMPUTED_VALUE"""),"Building")</f>
        <v>Building</v>
      </c>
      <c r="D7602" s="2" t="str">
        <f ca="1">IFERROR(__xludf.DUMMYFUNCTION("""COMPUTED_VALUE"""),"Dubai&gt;Al Barsha&gt;Al Barsha 1&gt;Al Khoory Atrium Hotel")</f>
        <v>Dubai&gt;Al Barsha&gt;Al Barsha 1&gt;Al Khoory Atrium Hotel</v>
      </c>
      <c r="E7602" s="2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</row>
    <row r="7603" spans="1:26" ht="16.5" x14ac:dyDescent="0.35">
      <c r="A7603" s="2" t="str">
        <f ca="1">IFERROR(__xludf.DUMMYFUNCTION("""COMPUTED_VALUE"""),"Dubai")</f>
        <v>Dubai</v>
      </c>
      <c r="B7603" s="2" t="str">
        <f ca="1">IFERROR(__xludf.DUMMYFUNCTION("""COMPUTED_VALUE"""),"Seven Sands Hotel")</f>
        <v>Seven Sands Hotel</v>
      </c>
      <c r="C7603" s="2" t="str">
        <f ca="1">IFERROR(__xludf.DUMMYFUNCTION("""COMPUTED_VALUE"""),"Building")</f>
        <v>Building</v>
      </c>
      <c r="D7603" s="2" t="str">
        <f ca="1">IFERROR(__xludf.DUMMYFUNCTION("""COMPUTED_VALUE"""),"Dubai&gt;Al Barsha&gt;Al Barsha 1&gt;Seven Sands Hotel")</f>
        <v>Dubai&gt;Al Barsha&gt;Al Barsha 1&gt;Seven Sands Hotel</v>
      </c>
      <c r="E7603" s="2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</row>
    <row r="7604" spans="1:26" ht="16.5" x14ac:dyDescent="0.35">
      <c r="A7604" s="2" t="str">
        <f ca="1">IFERROR(__xludf.DUMMYFUNCTION("""COMPUTED_VALUE"""),"Dubai")</f>
        <v>Dubai</v>
      </c>
      <c r="B7604" s="2" t="str">
        <f ca="1">IFERROR(__xludf.DUMMYFUNCTION("""COMPUTED_VALUE"""),"Eissa Lutfi Building")</f>
        <v>Eissa Lutfi Building</v>
      </c>
      <c r="C7604" s="2" t="str">
        <f ca="1">IFERROR(__xludf.DUMMYFUNCTION("""COMPUTED_VALUE"""),"Building")</f>
        <v>Building</v>
      </c>
      <c r="D7604" s="2" t="str">
        <f ca="1">IFERROR(__xludf.DUMMYFUNCTION("""COMPUTED_VALUE"""),"Dubai&gt;Al Barsha&gt;Al Barsha 1&gt;Eissa Lutfi Building")</f>
        <v>Dubai&gt;Al Barsha&gt;Al Barsha 1&gt;Eissa Lutfi Building</v>
      </c>
      <c r="E7604" s="2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</row>
    <row r="7605" spans="1:26" ht="16.5" x14ac:dyDescent="0.35">
      <c r="A7605" s="2" t="str">
        <f ca="1">IFERROR(__xludf.DUMMYFUNCTION("""COMPUTED_VALUE"""),"Dubai")</f>
        <v>Dubai</v>
      </c>
      <c r="B7605" s="2" t="str">
        <f ca="1">IFERROR(__xludf.DUMMYFUNCTION("""COMPUTED_VALUE"""),"Bahwan Tower")</f>
        <v>Bahwan Tower</v>
      </c>
      <c r="C7605" s="2" t="str">
        <f ca="1">IFERROR(__xludf.DUMMYFUNCTION("""COMPUTED_VALUE"""),"Building")</f>
        <v>Building</v>
      </c>
      <c r="D7605" s="2" t="str">
        <f ca="1">IFERROR(__xludf.DUMMYFUNCTION("""COMPUTED_VALUE"""),"Dubai&gt;Al Barsha&gt;Al Barsha 1&gt;Bahwan Tower")</f>
        <v>Dubai&gt;Al Barsha&gt;Al Barsha 1&gt;Bahwan Tower</v>
      </c>
      <c r="E7605" s="2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</row>
    <row r="7606" spans="1:26" ht="16.5" x14ac:dyDescent="0.35">
      <c r="A7606" s="2" t="str">
        <f ca="1">IFERROR(__xludf.DUMMYFUNCTION("""COMPUTED_VALUE"""),"Dubai")</f>
        <v>Dubai</v>
      </c>
      <c r="B7606" s="2" t="str">
        <f ca="1">IFERROR(__xludf.DUMMYFUNCTION("""COMPUTED_VALUE"""),"The Terraces")</f>
        <v>The Terraces</v>
      </c>
      <c r="C7606" s="2" t="str">
        <f ca="1">IFERROR(__xludf.DUMMYFUNCTION("""COMPUTED_VALUE"""),"Neighbourhood")</f>
        <v>Neighbourhood</v>
      </c>
      <c r="D7606" s="2" t="str">
        <f ca="1">IFERROR(__xludf.DUMMYFUNCTION("""COMPUTED_VALUE"""),"Dubai&gt;Al Barsha&gt;Al Barsha 1&gt;The Terraces")</f>
        <v>Dubai&gt;Al Barsha&gt;Al Barsha 1&gt;The Terraces</v>
      </c>
      <c r="E7606" s="2"/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</row>
    <row r="7607" spans="1:26" ht="16.5" x14ac:dyDescent="0.35">
      <c r="A7607" s="2" t="str">
        <f ca="1">IFERROR(__xludf.DUMMYFUNCTION("""COMPUTED_VALUE"""),"Dubai")</f>
        <v>Dubai</v>
      </c>
      <c r="B7607" s="2" t="str">
        <f ca="1">IFERROR(__xludf.DUMMYFUNCTION("""COMPUTED_VALUE"""),"Al Asmawi 3 Building")</f>
        <v>Al Asmawi 3 Building</v>
      </c>
      <c r="C7607" s="2" t="str">
        <f ca="1">IFERROR(__xludf.DUMMYFUNCTION("""COMPUTED_VALUE"""),"Building")</f>
        <v>Building</v>
      </c>
      <c r="D7607" s="2" t="str">
        <f ca="1">IFERROR(__xludf.DUMMYFUNCTION("""COMPUTED_VALUE"""),"Dubai&gt;Al Barsha&gt;Al Barsha 1&gt;Al Asmawi 3 Building")</f>
        <v>Dubai&gt;Al Barsha&gt;Al Barsha 1&gt;Al Asmawi 3 Building</v>
      </c>
      <c r="E7607" s="2"/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</row>
    <row r="7608" spans="1:26" ht="16.5" x14ac:dyDescent="0.35">
      <c r="A7608" s="2" t="str">
        <f ca="1">IFERROR(__xludf.DUMMYFUNCTION("""COMPUTED_VALUE"""),"Dubai")</f>
        <v>Dubai</v>
      </c>
      <c r="B7608" s="2" t="str">
        <f ca="1">IFERROR(__xludf.DUMMYFUNCTION("""COMPUTED_VALUE"""),"GEMS Founders School, Al Barsha")</f>
        <v>GEMS Founders School, Al Barsha</v>
      </c>
      <c r="C7608" s="2" t="str">
        <f ca="1">IFERROR(__xludf.DUMMYFUNCTION("""COMPUTED_VALUE"""),"School")</f>
        <v>School</v>
      </c>
      <c r="D7608" s="2" t="str">
        <f ca="1">IFERROR(__xludf.DUMMYFUNCTION("""COMPUTED_VALUE"""),"Dubai&gt;Al Barsha&gt;Al Barsha 2&gt;GEMS Founders School, Al Barsha")</f>
        <v>Dubai&gt;Al Barsha&gt;Al Barsha 2&gt;GEMS Founders School, Al Barsha</v>
      </c>
      <c r="E7608" s="2"/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</row>
    <row r="7609" spans="1:26" ht="16.5" x14ac:dyDescent="0.35">
      <c r="A7609" s="2" t="str">
        <f ca="1">IFERROR(__xludf.DUMMYFUNCTION("""COMPUTED_VALUE"""),"Dubai")</f>
        <v>Dubai</v>
      </c>
      <c r="B7609" s="2" t="str">
        <f ca="1">IFERROR(__xludf.DUMMYFUNCTION("""COMPUTED_VALUE"""),"The Address Sky View Tower 2")</f>
        <v>The Address Sky View Tower 2</v>
      </c>
      <c r="C7609" s="2" t="str">
        <f ca="1">IFERROR(__xludf.DUMMYFUNCTION("""COMPUTED_VALUE"""),"Building")</f>
        <v>Building</v>
      </c>
      <c r="D7609" s="2" t="str">
        <f ca="1">IFERROR(__xludf.DUMMYFUNCTION("""COMPUTED_VALUE"""),"Dubai&gt;Downtown Dubai&gt;The Address Residence Sky View&gt;The Address Sky View Tower 2")</f>
        <v>Dubai&gt;Downtown Dubai&gt;The Address Residence Sky View&gt;The Address Sky View Tower 2</v>
      </c>
      <c r="E7609" s="2"/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</row>
    <row r="7610" spans="1:26" ht="16.5" x14ac:dyDescent="0.35">
      <c r="A7610" s="2" t="str">
        <f ca="1">IFERROR(__xludf.DUMMYFUNCTION("""COMPUTED_VALUE"""),"Dubai")</f>
        <v>Dubai</v>
      </c>
      <c r="B7610" s="2" t="str">
        <f ca="1">IFERROR(__xludf.DUMMYFUNCTION("""COMPUTED_VALUE"""),"The Residence 5")</f>
        <v>The Residence 5</v>
      </c>
      <c r="C7610" s="2" t="str">
        <f ca="1">IFERROR(__xludf.DUMMYFUNCTION("""COMPUTED_VALUE"""),"Building")</f>
        <v>Building</v>
      </c>
      <c r="D7610" s="2" t="str">
        <f ca="1">IFERROR(__xludf.DUMMYFUNCTION("""COMPUTED_VALUE"""),"Dubai&gt;Downtown Dubai&gt;The Residences&gt;The Residence 5")</f>
        <v>Dubai&gt;Downtown Dubai&gt;The Residences&gt;The Residence 5</v>
      </c>
      <c r="E7610" s="2"/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</row>
    <row r="7611" spans="1:26" ht="16.5" x14ac:dyDescent="0.35">
      <c r="A7611" s="2" t="str">
        <f ca="1">IFERROR(__xludf.DUMMYFUNCTION("""COMPUTED_VALUE"""),"Dubai")</f>
        <v>Dubai</v>
      </c>
      <c r="B7611" s="2" t="str">
        <f ca="1">IFERROR(__xludf.DUMMYFUNCTION("""COMPUTED_VALUE"""),"Boulevard Central 2")</f>
        <v>Boulevard Central 2</v>
      </c>
      <c r="C7611" s="2" t="str">
        <f ca="1">IFERROR(__xludf.DUMMYFUNCTION("""COMPUTED_VALUE"""),"Building")</f>
        <v>Building</v>
      </c>
      <c r="D7611" s="2" t="str">
        <f ca="1">IFERROR(__xludf.DUMMYFUNCTION("""COMPUTED_VALUE"""),"Dubai&gt;Downtown Dubai&gt;Boulevard Central&gt;Boulevard Central 2")</f>
        <v>Dubai&gt;Downtown Dubai&gt;Boulevard Central&gt;Boulevard Central 2</v>
      </c>
      <c r="E7611" s="2"/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</row>
    <row r="7612" spans="1:26" ht="16.5" x14ac:dyDescent="0.35">
      <c r="A7612" s="2" t="str">
        <f ca="1">IFERROR(__xludf.DUMMYFUNCTION("""COMPUTED_VALUE"""),"Dubai")</f>
        <v>Dubai</v>
      </c>
      <c r="B7612" s="2" t="str">
        <f ca="1">IFERROR(__xludf.DUMMYFUNCTION("""COMPUTED_VALUE"""),"Zaafaran")</f>
        <v>Zaafaran</v>
      </c>
      <c r="C7612" s="2" t="str">
        <f ca="1">IFERROR(__xludf.DUMMYFUNCTION("""COMPUTED_VALUE"""),"Cluster")</f>
        <v>Cluster</v>
      </c>
      <c r="D7612" s="2" t="str">
        <f ca="1">IFERROR(__xludf.DUMMYFUNCTION("""COMPUTED_VALUE"""),"Dubai&gt;Downtown Dubai&gt;Old Town&gt;Zaafaran")</f>
        <v>Dubai&gt;Downtown Dubai&gt;Old Town&gt;Zaafaran</v>
      </c>
      <c r="E7612" s="2"/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</row>
    <row r="7613" spans="1:26" ht="16.5" x14ac:dyDescent="0.35">
      <c r="A7613" s="2" t="str">
        <f ca="1">IFERROR(__xludf.DUMMYFUNCTION("""COMPUTED_VALUE"""),"Dubai")</f>
        <v>Dubai</v>
      </c>
      <c r="B7613" s="2" t="str">
        <f ca="1">IFERROR(__xludf.DUMMYFUNCTION("""COMPUTED_VALUE"""),"Zanzebeel 3")</f>
        <v>Zanzebeel 3</v>
      </c>
      <c r="C7613" s="2" t="str">
        <f ca="1">IFERROR(__xludf.DUMMYFUNCTION("""COMPUTED_VALUE"""),"Building")</f>
        <v>Building</v>
      </c>
      <c r="D7613" s="2" t="str">
        <f ca="1">IFERROR(__xludf.DUMMYFUNCTION("""COMPUTED_VALUE"""),"Dubai&gt;Downtown Dubai&gt;Old Town&gt;Zanzebeel&gt;Zanzebeel 3")</f>
        <v>Dubai&gt;Downtown Dubai&gt;Old Town&gt;Zanzebeel&gt;Zanzebeel 3</v>
      </c>
      <c r="E7613" s="2"/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</row>
    <row r="7614" spans="1:26" ht="16.5" x14ac:dyDescent="0.35">
      <c r="A7614" s="2" t="str">
        <f ca="1">IFERROR(__xludf.DUMMYFUNCTION("""COMPUTED_VALUE"""),"Dubai")</f>
        <v>Dubai</v>
      </c>
      <c r="B7614" s="2" t="str">
        <f ca="1">IFERROR(__xludf.DUMMYFUNCTION("""COMPUTED_VALUE"""),"Rove Home")</f>
        <v>Rove Home</v>
      </c>
      <c r="C7614" s="2" t="str">
        <f ca="1">IFERROR(__xludf.DUMMYFUNCTION("""COMPUTED_VALUE"""),"Building")</f>
        <v>Building</v>
      </c>
      <c r="D7614" s="2" t="str">
        <f ca="1">IFERROR(__xludf.DUMMYFUNCTION("""COMPUTED_VALUE"""),"Dubai&gt;Downtown Dubai&gt;Rove Home")</f>
        <v>Dubai&gt;Downtown Dubai&gt;Rove Home</v>
      </c>
      <c r="E7614" s="2"/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</row>
    <row r="7615" spans="1:26" ht="16.5" x14ac:dyDescent="0.35">
      <c r="A7615" s="2" t="str">
        <f ca="1">IFERROR(__xludf.DUMMYFUNCTION("""COMPUTED_VALUE"""),"Dubai")</f>
        <v>Dubai</v>
      </c>
      <c r="B7615" s="2" t="str">
        <f ca="1">IFERROR(__xludf.DUMMYFUNCTION("""COMPUTED_VALUE"""),"British Orchard Nursery Liwan")</f>
        <v>British Orchard Nursery Liwan</v>
      </c>
      <c r="C7615" s="2" t="str">
        <f ca="1">IFERROR(__xludf.DUMMYFUNCTION("""COMPUTED_VALUE"""),"Nursery")</f>
        <v>Nursery</v>
      </c>
      <c r="D7615" s="2" t="str">
        <f ca="1">IFERROR(__xludf.DUMMYFUNCTION("""COMPUTED_VALUE"""),"Dubai&gt;Liwan&gt;British Orchard Nursery Liwan")</f>
        <v>Dubai&gt;Liwan&gt;British Orchard Nursery Liwan</v>
      </c>
      <c r="E7615" s="2"/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</row>
    <row r="7616" spans="1:26" ht="16.5" x14ac:dyDescent="0.35">
      <c r="A7616" s="2" t="str">
        <f ca="1">IFERROR(__xludf.DUMMYFUNCTION("""COMPUTED_VALUE"""),"Dubai")</f>
        <v>Dubai</v>
      </c>
      <c r="B7616" s="2" t="str">
        <f ca="1">IFERROR(__xludf.DUMMYFUNCTION("""COMPUTED_VALUE"""),"Farah Tower 1")</f>
        <v>Farah Tower 1</v>
      </c>
      <c r="C7616" s="2" t="str">
        <f ca="1">IFERROR(__xludf.DUMMYFUNCTION("""COMPUTED_VALUE"""),"Building")</f>
        <v>Building</v>
      </c>
      <c r="D7616" s="2" t="str">
        <f ca="1">IFERROR(__xludf.DUMMYFUNCTION("""COMPUTED_VALUE"""),"Dubai&gt;Liwan&gt;Queue Point&gt;Farah Tower 1")</f>
        <v>Dubai&gt;Liwan&gt;Queue Point&gt;Farah Tower 1</v>
      </c>
      <c r="E7616" s="2"/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</row>
    <row r="7617" spans="1:26" ht="16.5" x14ac:dyDescent="0.35">
      <c r="A7617" s="2" t="str">
        <f ca="1">IFERROR(__xludf.DUMMYFUNCTION("""COMPUTED_VALUE"""),"Dubai")</f>
        <v>Dubai</v>
      </c>
      <c r="B7617" s="2" t="str">
        <f ca="1">IFERROR(__xludf.DUMMYFUNCTION("""COMPUTED_VALUE"""),"Amaya Mall")</f>
        <v>Amaya Mall</v>
      </c>
      <c r="C7617" s="2" t="str">
        <f ca="1">IFERROR(__xludf.DUMMYFUNCTION("""COMPUTED_VALUE"""),"Building")</f>
        <v>Building</v>
      </c>
      <c r="D7617" s="2" t="str">
        <f ca="1">IFERROR(__xludf.DUMMYFUNCTION("""COMPUTED_VALUE"""),"Dubai&gt;Liwan&gt;Amaya Mall")</f>
        <v>Dubai&gt;Liwan&gt;Amaya Mall</v>
      </c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</row>
    <row r="7618" spans="1:26" ht="16.5" x14ac:dyDescent="0.35">
      <c r="A7618" s="2" t="str">
        <f ca="1">IFERROR(__xludf.DUMMYFUNCTION("""COMPUTED_VALUE"""),"Dubai")</f>
        <v>Dubai</v>
      </c>
      <c r="B7618" s="2" t="str">
        <f ca="1">IFERROR(__xludf.DUMMYFUNCTION("""COMPUTED_VALUE"""),"Ahmed Mohd Binshafar Jafliya Building 1")</f>
        <v>Ahmed Mohd Binshafar Jafliya Building 1</v>
      </c>
      <c r="C7618" s="2" t="str">
        <f ca="1">IFERROR(__xludf.DUMMYFUNCTION("""COMPUTED_VALUE"""),"Building")</f>
        <v>Building</v>
      </c>
      <c r="D7618" s="2" t="str">
        <f ca="1">IFERROR(__xludf.DUMMYFUNCTION("""COMPUTED_VALUE"""),"Dubai&gt;Al Jafiliya&gt;Ahmed Mohd Binshafar Jafliya Building 1")</f>
        <v>Dubai&gt;Al Jafiliya&gt;Ahmed Mohd Binshafar Jafliya Building 1</v>
      </c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</row>
    <row r="7619" spans="1:26" ht="16.5" x14ac:dyDescent="0.35">
      <c r="A7619" s="2" t="str">
        <f ca="1">IFERROR(__xludf.DUMMYFUNCTION("""COMPUTED_VALUE"""),"Dubai")</f>
        <v>Dubai</v>
      </c>
      <c r="B7619" s="2" t="str">
        <f ca="1">IFERROR(__xludf.DUMMYFUNCTION("""COMPUTED_VALUE"""),"Lighthouse Tower")</f>
        <v>Lighthouse Tower</v>
      </c>
      <c r="C7619" s="2" t="str">
        <f ca="1">IFERROR(__xludf.DUMMYFUNCTION("""COMPUTED_VALUE"""),"Building")</f>
        <v>Building</v>
      </c>
      <c r="D7619" s="2" t="str">
        <f ca="1">IFERROR(__xludf.DUMMYFUNCTION("""COMPUTED_VALUE"""),"Dubai&gt;DIFC&gt;Lighthouse Tower")</f>
        <v>Dubai&gt;DIFC&gt;Lighthouse Tower</v>
      </c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</row>
    <row r="7620" spans="1:26" ht="16.5" x14ac:dyDescent="0.35">
      <c r="A7620" s="2" t="str">
        <f ca="1">IFERROR(__xludf.DUMMYFUNCTION("""COMPUTED_VALUE"""),"Dubai")</f>
        <v>Dubai</v>
      </c>
      <c r="B7620" s="2" t="str">
        <f ca="1">IFERROR(__xludf.DUMMYFUNCTION("""COMPUTED_VALUE"""),"Chubby Cheeks Indigo Valley")</f>
        <v>Chubby Cheeks Indigo Valley</v>
      </c>
      <c r="C7620" s="2" t="str">
        <f ca="1">IFERROR(__xludf.DUMMYFUNCTION("""COMPUTED_VALUE"""),"Nursery")</f>
        <v>Nursery</v>
      </c>
      <c r="D7620" s="2" t="str">
        <f ca="1">IFERROR(__xludf.DUMMYFUNCTION("""COMPUTED_VALUE"""),"Dubai&gt;Al Twar&gt;Al Twar 2&gt;Chubby Cheeks Indigo Valley")</f>
        <v>Dubai&gt;Al Twar&gt;Al Twar 2&gt;Chubby Cheeks Indigo Valley</v>
      </c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</row>
    <row r="7621" spans="1:26" ht="16.5" x14ac:dyDescent="0.35">
      <c r="A7621" s="2" t="str">
        <f ca="1">IFERROR(__xludf.DUMMYFUNCTION("""COMPUTED_VALUE"""),"Dubai")</f>
        <v>Dubai</v>
      </c>
      <c r="B7621" s="2" t="str">
        <f ca="1">IFERROR(__xludf.DUMMYFUNCTION("""COMPUTED_VALUE"""),"Al Bahri Grand Residence")</f>
        <v>Al Bahri Grand Residence</v>
      </c>
      <c r="C7621" s="2" t="str">
        <f ca="1">IFERROR(__xludf.DUMMYFUNCTION("""COMPUTED_VALUE"""),"Building")</f>
        <v>Building</v>
      </c>
      <c r="D7621" s="2" t="str">
        <f ca="1">IFERROR(__xludf.DUMMYFUNCTION("""COMPUTED_VALUE"""),"Dubai&gt;Al Warqaa&gt;Al Warqaa 1&gt;Al Bahri Grand Residence")</f>
        <v>Dubai&gt;Al Warqaa&gt;Al Warqaa 1&gt;Al Bahri Grand Residence</v>
      </c>
      <c r="E7621" s="2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</row>
    <row r="7622" spans="1:26" ht="16.5" x14ac:dyDescent="0.35">
      <c r="A7622" s="2" t="str">
        <f ca="1">IFERROR(__xludf.DUMMYFUNCTION("""COMPUTED_VALUE"""),"Dubai")</f>
        <v>Dubai</v>
      </c>
      <c r="B7622" s="2" t="str">
        <f ca="1">IFERROR(__xludf.DUMMYFUNCTION("""COMPUTED_VALUE"""),"Al Telal 9")</f>
        <v>Al Telal 9</v>
      </c>
      <c r="C7622" s="2" t="str">
        <f ca="1">IFERROR(__xludf.DUMMYFUNCTION("""COMPUTED_VALUE"""),"Building")</f>
        <v>Building</v>
      </c>
      <c r="D7622" s="2" t="str">
        <f ca="1">IFERROR(__xludf.DUMMYFUNCTION("""COMPUTED_VALUE"""),"Dubai&gt;Al Warqaa&gt;Al Warqaa 1&gt;Al Telal 9")</f>
        <v>Dubai&gt;Al Warqaa&gt;Al Warqaa 1&gt;Al Telal 9</v>
      </c>
      <c r="E7622" s="2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</row>
    <row r="7623" spans="1:26" ht="16.5" x14ac:dyDescent="0.35">
      <c r="A7623" s="2" t="str">
        <f ca="1">IFERROR(__xludf.DUMMYFUNCTION("""COMPUTED_VALUE"""),"Dubai")</f>
        <v>Dubai</v>
      </c>
      <c r="B7623" s="2" t="str">
        <f ca="1">IFERROR(__xludf.DUMMYFUNCTION("""COMPUTED_VALUE"""),"Sheikha Ahmad Mohd Aldowais Alshamsi Building")</f>
        <v>Sheikha Ahmad Mohd Aldowais Alshamsi Building</v>
      </c>
      <c r="C7623" s="2" t="str">
        <f ca="1">IFERROR(__xludf.DUMMYFUNCTION("""COMPUTED_VALUE"""),"Building")</f>
        <v>Building</v>
      </c>
      <c r="D7623" s="2" t="str">
        <f ca="1">IFERROR(__xludf.DUMMYFUNCTION("""COMPUTED_VALUE"""),"Dubai&gt;Al Warqaa&gt;Al Warqaa 1&gt;Sheikha Ahmad Mohd Aldowais Alshamsi Building")</f>
        <v>Dubai&gt;Al Warqaa&gt;Al Warqaa 1&gt;Sheikha Ahmad Mohd Aldowais Alshamsi Building</v>
      </c>
      <c r="E7623" s="2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</row>
    <row r="7624" spans="1:26" ht="16.5" x14ac:dyDescent="0.35">
      <c r="A7624" s="2" t="str">
        <f ca="1">IFERROR(__xludf.DUMMYFUNCTION("""COMPUTED_VALUE"""),"Dubai")</f>
        <v>Dubai</v>
      </c>
      <c r="B7624" s="2" t="str">
        <f ca="1">IFERROR(__xludf.DUMMYFUNCTION("""COMPUTED_VALUE"""),"Al Jazeeri Building Warqaa")</f>
        <v>Al Jazeeri Building Warqaa</v>
      </c>
      <c r="C7624" s="2" t="str">
        <f ca="1">IFERROR(__xludf.DUMMYFUNCTION("""COMPUTED_VALUE"""),"Building")</f>
        <v>Building</v>
      </c>
      <c r="D7624" s="2" t="str">
        <f ca="1">IFERROR(__xludf.DUMMYFUNCTION("""COMPUTED_VALUE"""),"Dubai&gt;Al Warqaa&gt;Al Warqaa 1&gt;Al Jazeeri Building Warqaa")</f>
        <v>Dubai&gt;Al Warqaa&gt;Al Warqaa 1&gt;Al Jazeeri Building Warqaa</v>
      </c>
      <c r="E7624" s="2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</row>
    <row r="7625" spans="1:26" ht="16.5" x14ac:dyDescent="0.35">
      <c r="A7625" s="2" t="str">
        <f ca="1">IFERROR(__xludf.DUMMYFUNCTION("""COMPUTED_VALUE"""),"Dubai")</f>
        <v>Dubai</v>
      </c>
      <c r="B7625" s="2" t="str">
        <f ca="1">IFERROR(__xludf.DUMMYFUNCTION("""COMPUTED_VALUE"""),"The Palladium")</f>
        <v>The Palladium</v>
      </c>
      <c r="C7625" s="2" t="str">
        <f ca="1">IFERROR(__xludf.DUMMYFUNCTION("""COMPUTED_VALUE"""),"Building")</f>
        <v>Building</v>
      </c>
      <c r="D7625" s="2" t="str">
        <f ca="1">IFERROR(__xludf.DUMMYFUNCTION("""COMPUTED_VALUE"""),"Dubai&gt;Jumeirah Lake Towers (JLT)&gt;JLT Cluster C&gt;The Palladium")</f>
        <v>Dubai&gt;Jumeirah Lake Towers (JLT)&gt;JLT Cluster C&gt;The Palladium</v>
      </c>
      <c r="E7625" s="2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</row>
    <row r="7626" spans="1:26" ht="16.5" x14ac:dyDescent="0.35">
      <c r="A7626" s="2" t="str">
        <f ca="1">IFERROR(__xludf.DUMMYFUNCTION("""COMPUTED_VALUE"""),"Dubai")</f>
        <v>Dubai</v>
      </c>
      <c r="B7626" s="2" t="str">
        <f ca="1">IFERROR(__xludf.DUMMYFUNCTION("""COMPUTED_VALUE"""),"MBL Residences")</f>
        <v>MBL Residences</v>
      </c>
      <c r="C7626" s="2" t="str">
        <f ca="1">IFERROR(__xludf.DUMMYFUNCTION("""COMPUTED_VALUE"""),"Building")</f>
        <v>Building</v>
      </c>
      <c r="D7626" s="2" t="str">
        <f ca="1">IFERROR(__xludf.DUMMYFUNCTION("""COMPUTED_VALUE"""),"Dubai&gt;Jumeirah Lake Towers (JLT)&gt;JLT Cluster K&gt;MBL Residences")</f>
        <v>Dubai&gt;Jumeirah Lake Towers (JLT)&gt;JLT Cluster K&gt;MBL Residences</v>
      </c>
      <c r="E7626" s="2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</row>
    <row r="7627" spans="1:26" ht="16.5" x14ac:dyDescent="0.35">
      <c r="A7627" s="2" t="str">
        <f ca="1">IFERROR(__xludf.DUMMYFUNCTION("""COMPUTED_VALUE"""),"Dubai")</f>
        <v>Dubai</v>
      </c>
      <c r="B7627" s="2" t="str">
        <f ca="1">IFERROR(__xludf.DUMMYFUNCTION("""COMPUTED_VALUE"""),"Al Waleed Paradise")</f>
        <v>Al Waleed Paradise</v>
      </c>
      <c r="C7627" s="2" t="str">
        <f ca="1">IFERROR(__xludf.DUMMYFUNCTION("""COMPUTED_VALUE"""),"Building")</f>
        <v>Building</v>
      </c>
      <c r="D7627" s="2" t="str">
        <f ca="1">IFERROR(__xludf.DUMMYFUNCTION("""COMPUTED_VALUE"""),"Dubai&gt;Jumeirah Lake Towers (JLT)&gt;JLT Cluster R&gt;Al Waleed Paradise")</f>
        <v>Dubai&gt;Jumeirah Lake Towers (JLT)&gt;JLT Cluster R&gt;Al Waleed Paradise</v>
      </c>
      <c r="E7627" s="2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</row>
    <row r="7628" spans="1:26" ht="16.5" x14ac:dyDescent="0.35">
      <c r="A7628" s="2" t="str">
        <f ca="1">IFERROR(__xludf.DUMMYFUNCTION("""COMPUTED_VALUE"""),"Dubai")</f>
        <v>Dubai</v>
      </c>
      <c r="B7628" s="2" t="str">
        <f ca="1">IFERROR(__xludf.DUMMYFUNCTION("""COMPUTED_VALUE"""),"Golf Views Seven City")</f>
        <v>Golf Views Seven City</v>
      </c>
      <c r="C7628" s="2" t="str">
        <f ca="1">IFERROR(__xludf.DUMMYFUNCTION("""COMPUTED_VALUE"""),"Building")</f>
        <v>Building</v>
      </c>
      <c r="D7628" s="2" t="str">
        <f ca="1">IFERROR(__xludf.DUMMYFUNCTION("""COMPUTED_VALUE"""),"Dubai&gt;Jumeirah Lake Towers (JLT)&gt;Golf Views Seven City")</f>
        <v>Dubai&gt;Jumeirah Lake Towers (JLT)&gt;Golf Views Seven City</v>
      </c>
      <c r="E7628" s="2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</row>
    <row r="7629" spans="1:26" ht="16.5" x14ac:dyDescent="0.35">
      <c r="A7629" s="2" t="str">
        <f ca="1">IFERROR(__xludf.DUMMYFUNCTION("""COMPUTED_VALUE"""),"Dubai")</f>
        <v>Dubai</v>
      </c>
      <c r="B7629" s="2" t="str">
        <f ca="1">IFERROR(__xludf.DUMMYFUNCTION("""COMPUTED_VALUE"""),"Naseem")</f>
        <v>Naseem</v>
      </c>
      <c r="C7629" s="2" t="str">
        <f ca="1">IFERROR(__xludf.DUMMYFUNCTION("""COMPUTED_VALUE"""),"Neighbourhood")</f>
        <v>Neighbourhood</v>
      </c>
      <c r="D7629" s="2" t="str">
        <f ca="1">IFERROR(__xludf.DUMMYFUNCTION("""COMPUTED_VALUE"""),"Dubai&gt;Mudon&gt;Naseem")</f>
        <v>Dubai&gt;Mudon&gt;Naseem</v>
      </c>
      <c r="E7629" s="2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</row>
    <row r="7630" spans="1:26" ht="16.5" x14ac:dyDescent="0.35">
      <c r="A7630" s="2" t="str">
        <f ca="1">IFERROR(__xludf.DUMMYFUNCTION("""COMPUTED_VALUE"""),"Dubai")</f>
        <v>Dubai</v>
      </c>
      <c r="B7630" s="2" t="str">
        <f ca="1">IFERROR(__xludf.DUMMYFUNCTION("""COMPUTED_VALUE"""),"The Flagship One")</f>
        <v>The Flagship One</v>
      </c>
      <c r="C7630" s="2" t="str">
        <f ca="1">IFERROR(__xludf.DUMMYFUNCTION("""COMPUTED_VALUE"""),"Building")</f>
        <v>Building</v>
      </c>
      <c r="D7630" s="2" t="str">
        <f ca="1">IFERROR(__xludf.DUMMYFUNCTION("""COMPUTED_VALUE"""),"Dubai&gt;Al Satwa&gt;The Flagship One")</f>
        <v>Dubai&gt;Al Satwa&gt;The Flagship One</v>
      </c>
      <c r="E7630" s="2"/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</row>
    <row r="7631" spans="1:26" ht="16.5" x14ac:dyDescent="0.35">
      <c r="A7631" s="2" t="str">
        <f ca="1">IFERROR(__xludf.DUMMYFUNCTION("""COMPUTED_VALUE"""),"Dubai")</f>
        <v>Dubai</v>
      </c>
      <c r="B7631" s="2" t="str">
        <f ca="1">IFERROR(__xludf.DUMMYFUNCTION("""COMPUTED_VALUE"""),"Asas Garden City 2")</f>
        <v>Asas Garden City 2</v>
      </c>
      <c r="C7631" s="2" t="str">
        <f ca="1">IFERROR(__xludf.DUMMYFUNCTION("""COMPUTED_VALUE"""),"Building")</f>
        <v>Building</v>
      </c>
      <c r="D7631" s="2" t="str">
        <f ca="1">IFERROR(__xludf.DUMMYFUNCTION("""COMPUTED_VALUE"""),"Dubai&gt;Al Satwa&gt;Jumeirah Garden City&gt;Asas Garden City 2")</f>
        <v>Dubai&gt;Al Satwa&gt;Jumeirah Garden City&gt;Asas Garden City 2</v>
      </c>
      <c r="E7631" s="2"/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</row>
    <row r="7632" spans="1:26" ht="16.5" x14ac:dyDescent="0.35">
      <c r="A7632" s="2" t="str">
        <f ca="1">IFERROR(__xludf.DUMMYFUNCTION("""COMPUTED_VALUE"""),"Dubai")</f>
        <v>Dubai</v>
      </c>
      <c r="B7632" s="2" t="str">
        <f ca="1">IFERROR(__xludf.DUMMYFUNCTION("""COMPUTED_VALUE"""),"Kasco Residence 1")</f>
        <v>Kasco Residence 1</v>
      </c>
      <c r="C7632" s="2" t="str">
        <f ca="1">IFERROR(__xludf.DUMMYFUNCTION("""COMPUTED_VALUE"""),"Building")</f>
        <v>Building</v>
      </c>
      <c r="D7632" s="2" t="str">
        <f ca="1">IFERROR(__xludf.DUMMYFUNCTION("""COMPUTED_VALUE"""),"Dubai&gt;Al Satwa&gt;Jumeirah Garden City&gt;Kasco Residence 1")</f>
        <v>Dubai&gt;Al Satwa&gt;Jumeirah Garden City&gt;Kasco Residence 1</v>
      </c>
      <c r="E7632" s="2"/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</row>
    <row r="7633" spans="1:26" ht="16.5" x14ac:dyDescent="0.35">
      <c r="A7633" s="2" t="str">
        <f ca="1">IFERROR(__xludf.DUMMYFUNCTION("""COMPUTED_VALUE"""),"Dubai")</f>
        <v>Dubai</v>
      </c>
      <c r="B7633" s="2" t="str">
        <f ca="1">IFERROR(__xludf.DUMMYFUNCTION("""COMPUTED_VALUE"""),"Waha Living by Al Yakka")</f>
        <v>Waha Living by Al Yakka</v>
      </c>
      <c r="C7633" s="2" t="str">
        <f ca="1">IFERROR(__xludf.DUMMYFUNCTION("""COMPUTED_VALUE"""),"Building")</f>
        <v>Building</v>
      </c>
      <c r="D7633" s="2" t="str">
        <f ca="1">IFERROR(__xludf.DUMMYFUNCTION("""COMPUTED_VALUE"""),"Dubai&gt;Al Satwa&gt;Jumeirah Garden City&gt;Waha Living by Al Yakka")</f>
        <v>Dubai&gt;Al Satwa&gt;Jumeirah Garden City&gt;Waha Living by Al Yakka</v>
      </c>
      <c r="E7633" s="2"/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</row>
    <row r="7634" spans="1:26" ht="16.5" x14ac:dyDescent="0.35">
      <c r="A7634" s="2" t="str">
        <f ca="1">IFERROR(__xludf.DUMMYFUNCTION("""COMPUTED_VALUE"""),"Dubai")</f>
        <v>Dubai</v>
      </c>
      <c r="B7634" s="2" t="str">
        <f ca="1">IFERROR(__xludf.DUMMYFUNCTION("""COMPUTED_VALUE"""),"Al Mizhar")</f>
        <v>Al Mizhar</v>
      </c>
      <c r="C7634" s="2" t="str">
        <f ca="1">IFERROR(__xludf.DUMMYFUNCTION("""COMPUTED_VALUE"""),"Neighbourhood")</f>
        <v>Neighbourhood</v>
      </c>
      <c r="D7634" s="2" t="str">
        <f ca="1">IFERROR(__xludf.DUMMYFUNCTION("""COMPUTED_VALUE"""),"Dubai&gt;Al Mizhar")</f>
        <v>Dubai&gt;Al Mizhar</v>
      </c>
      <c r="E7634" s="2"/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</row>
    <row r="7635" spans="1:26" ht="16.5" x14ac:dyDescent="0.35">
      <c r="A7635" s="2" t="str">
        <f ca="1">IFERROR(__xludf.DUMMYFUNCTION("""COMPUTED_VALUE"""),"Dubai")</f>
        <v>Dubai</v>
      </c>
      <c r="B7635" s="2" t="str">
        <f ca="1">IFERROR(__xludf.DUMMYFUNCTION("""COMPUTED_VALUE"""),"Building 162")</f>
        <v>Building 162</v>
      </c>
      <c r="C7635" s="2" t="str">
        <f ca="1">IFERROR(__xludf.DUMMYFUNCTION("""COMPUTED_VALUE"""),"Building")</f>
        <v>Building</v>
      </c>
      <c r="D7635" s="2" t="str">
        <f ca="1">IFERROR(__xludf.DUMMYFUNCTION("""COMPUTED_VALUE"""),"Dubai&gt;Discovery Gardens&gt;Contemporary&gt;Building 162")</f>
        <v>Dubai&gt;Discovery Gardens&gt;Contemporary&gt;Building 162</v>
      </c>
      <c r="E7635" s="2"/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</row>
    <row r="7636" spans="1:26" ht="16.5" x14ac:dyDescent="0.35">
      <c r="A7636" s="2" t="str">
        <f ca="1">IFERROR(__xludf.DUMMYFUNCTION("""COMPUTED_VALUE"""),"Dubai")</f>
        <v>Dubai</v>
      </c>
      <c r="B7636" s="2" t="str">
        <f ca="1">IFERROR(__xludf.DUMMYFUNCTION("""COMPUTED_VALUE"""),"Building 236")</f>
        <v>Building 236</v>
      </c>
      <c r="C7636" s="2" t="str">
        <f ca="1">IFERROR(__xludf.DUMMYFUNCTION("""COMPUTED_VALUE"""),"Building")</f>
        <v>Building</v>
      </c>
      <c r="D7636" s="2" t="str">
        <f ca="1">IFERROR(__xludf.DUMMYFUNCTION("""COMPUTED_VALUE"""),"Dubai&gt;Discovery Gardens&gt;Mesoamerican&gt;Building 236")</f>
        <v>Dubai&gt;Discovery Gardens&gt;Mesoamerican&gt;Building 236</v>
      </c>
      <c r="E7636" s="2"/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</row>
    <row r="7637" spans="1:26" ht="16.5" x14ac:dyDescent="0.35">
      <c r="A7637" s="2" t="str">
        <f ca="1">IFERROR(__xludf.DUMMYFUNCTION("""COMPUTED_VALUE"""),"Dubai")</f>
        <v>Dubai</v>
      </c>
      <c r="B7637" s="2" t="str">
        <f ca="1">IFERROR(__xludf.DUMMYFUNCTION("""COMPUTED_VALUE"""),"Building 195")</f>
        <v>Building 195</v>
      </c>
      <c r="C7637" s="2" t="str">
        <f ca="1">IFERROR(__xludf.DUMMYFUNCTION("""COMPUTED_VALUE"""),"Building")</f>
        <v>Building</v>
      </c>
      <c r="D7637" s="2" t="str">
        <f ca="1">IFERROR(__xludf.DUMMYFUNCTION("""COMPUTED_VALUE"""),"Dubai&gt;Discovery Gardens&gt;Mogul&gt;Building 195")</f>
        <v>Dubai&gt;Discovery Gardens&gt;Mogul&gt;Building 195</v>
      </c>
      <c r="E7637" s="2"/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</row>
    <row r="7638" spans="1:26" ht="16.5" x14ac:dyDescent="0.35">
      <c r="A7638" s="2" t="str">
        <f ca="1">IFERROR(__xludf.DUMMYFUNCTION("""COMPUTED_VALUE"""),"Dubai")</f>
        <v>Dubai</v>
      </c>
      <c r="B7638" s="2" t="str">
        <f ca="1">IFERROR(__xludf.DUMMYFUNCTION("""COMPUTED_VALUE"""),"Building 187")</f>
        <v>Building 187</v>
      </c>
      <c r="C7638" s="2" t="str">
        <f ca="1">IFERROR(__xludf.DUMMYFUNCTION("""COMPUTED_VALUE"""),"Building")</f>
        <v>Building</v>
      </c>
      <c r="D7638" s="2" t="str">
        <f ca="1">IFERROR(__xludf.DUMMYFUNCTION("""COMPUTED_VALUE"""),"Dubai&gt;Discovery Gardens&gt;Mogul&gt;Building 187")</f>
        <v>Dubai&gt;Discovery Gardens&gt;Mogul&gt;Building 187</v>
      </c>
      <c r="E7638" s="2"/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</row>
    <row r="7639" spans="1:26" ht="16.5" x14ac:dyDescent="0.35">
      <c r="A7639" s="2" t="str">
        <f ca="1">IFERROR(__xludf.DUMMYFUNCTION("""COMPUTED_VALUE"""),"Dubai")</f>
        <v>Dubai</v>
      </c>
      <c r="B7639" s="2" t="str">
        <f ca="1">IFERROR(__xludf.DUMMYFUNCTION("""COMPUTED_VALUE"""),"Building 32")</f>
        <v>Building 32</v>
      </c>
      <c r="C7639" s="2" t="str">
        <f ca="1">IFERROR(__xludf.DUMMYFUNCTION("""COMPUTED_VALUE"""),"Building")</f>
        <v>Building</v>
      </c>
      <c r="D7639" s="2" t="str">
        <f ca="1">IFERROR(__xludf.DUMMYFUNCTION("""COMPUTED_VALUE"""),"Dubai&gt;Discovery Gardens&gt;Zen Cluster&gt;Building 32")</f>
        <v>Dubai&gt;Discovery Gardens&gt;Zen Cluster&gt;Building 32</v>
      </c>
      <c r="E7639" s="2"/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</row>
    <row r="7640" spans="1:26" ht="16.5" x14ac:dyDescent="0.35">
      <c r="A7640" s="2" t="str">
        <f ca="1">IFERROR(__xludf.DUMMYFUNCTION("""COMPUTED_VALUE"""),"Dubai")</f>
        <v>Dubai</v>
      </c>
      <c r="B7640" s="2" t="str">
        <f ca="1">IFERROR(__xludf.DUMMYFUNCTION("""COMPUTED_VALUE"""),"Building 53")</f>
        <v>Building 53</v>
      </c>
      <c r="C7640" s="2" t="str">
        <f ca="1">IFERROR(__xludf.DUMMYFUNCTION("""COMPUTED_VALUE"""),"Building")</f>
        <v>Building</v>
      </c>
      <c r="D7640" s="2" t="str">
        <f ca="1">IFERROR(__xludf.DUMMYFUNCTION("""COMPUTED_VALUE"""),"Dubai&gt;Discovery Gardens&gt;Mediterranean&gt;Building 53")</f>
        <v>Dubai&gt;Discovery Gardens&gt;Mediterranean&gt;Building 53</v>
      </c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</row>
    <row r="7641" spans="1:26" ht="16.5" x14ac:dyDescent="0.35">
      <c r="A7641" s="2" t="str">
        <f ca="1">IFERROR(__xludf.DUMMYFUNCTION("""COMPUTED_VALUE"""),"Dubai")</f>
        <v>Dubai</v>
      </c>
      <c r="B7641" s="2" t="str">
        <f ca="1">IFERROR(__xludf.DUMMYFUNCTION("""COMPUTED_VALUE"""),"Building 83")</f>
        <v>Building 83</v>
      </c>
      <c r="C7641" s="2" t="str">
        <f ca="1">IFERROR(__xludf.DUMMYFUNCTION("""COMPUTED_VALUE"""),"Building")</f>
        <v>Building</v>
      </c>
      <c r="D7641" s="2" t="str">
        <f ca="1">IFERROR(__xludf.DUMMYFUNCTION("""COMPUTED_VALUE"""),"Dubai&gt;Discovery Gardens&gt;Mediterranean&gt;Building 83")</f>
        <v>Dubai&gt;Discovery Gardens&gt;Mediterranean&gt;Building 83</v>
      </c>
      <c r="E7641" s="2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</row>
    <row r="7642" spans="1:26" ht="16.5" x14ac:dyDescent="0.35">
      <c r="A7642" s="2" t="str">
        <f ca="1">IFERROR(__xludf.DUMMYFUNCTION("""COMPUTED_VALUE"""),"Dubai")</f>
        <v>Dubai</v>
      </c>
      <c r="B7642" s="2" t="str">
        <f ca="1">IFERROR(__xludf.DUMMYFUNCTION("""COMPUTED_VALUE"""),"Balqis Residence Block A")</f>
        <v>Balqis Residence Block A</v>
      </c>
      <c r="C7642" s="2" t="str">
        <f ca="1">IFERROR(__xludf.DUMMYFUNCTION("""COMPUTED_VALUE"""),"Building")</f>
        <v>Building</v>
      </c>
      <c r="D7642" s="2" t="str">
        <f ca="1">IFERROR(__xludf.DUMMYFUNCTION("""COMPUTED_VALUE"""),"Dubai&gt;Palm Jumeirah&gt;Kingdom of Sheba&gt;Balqis Residence&gt;Balqis Residence Block A")</f>
        <v>Dubai&gt;Palm Jumeirah&gt;Kingdom of Sheba&gt;Balqis Residence&gt;Balqis Residence Block A</v>
      </c>
      <c r="E7642" s="2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</row>
    <row r="7643" spans="1:26" ht="16.5" x14ac:dyDescent="0.35">
      <c r="A7643" s="2" t="str">
        <f ca="1">IFERROR(__xludf.DUMMYFUNCTION("""COMPUTED_VALUE"""),"Dubai")</f>
        <v>Dubai</v>
      </c>
      <c r="B7643" s="2" t="str">
        <f ca="1">IFERROR(__xludf.DUMMYFUNCTION("""COMPUTED_VALUE"""),"Andaz Dubai The Palm")</f>
        <v>Andaz Dubai The Palm</v>
      </c>
      <c r="C7643" s="2" t="str">
        <f ca="1">IFERROR(__xludf.DUMMYFUNCTION("""COMPUTED_VALUE"""),"Building")</f>
        <v>Building</v>
      </c>
      <c r="D7643" s="2" t="str">
        <f ca="1">IFERROR(__xludf.DUMMYFUNCTION("""COMPUTED_VALUE"""),"Dubai&gt;Palm Jumeirah&gt;Andaz Dubai The Palm")</f>
        <v>Dubai&gt;Palm Jumeirah&gt;Andaz Dubai The Palm</v>
      </c>
      <c r="E7643" s="2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</row>
    <row r="7644" spans="1:26" ht="16.5" x14ac:dyDescent="0.35">
      <c r="A7644" s="2" t="str">
        <f ca="1">IFERROR(__xludf.DUMMYFUNCTION("""COMPUTED_VALUE"""),"Dubai")</f>
        <v>Dubai</v>
      </c>
      <c r="B7644" s="2" t="str">
        <f ca="1">IFERROR(__xludf.DUMMYFUNCTION("""COMPUTED_VALUE"""),"Signature Villas Frond L")</f>
        <v>Signature Villas Frond L</v>
      </c>
      <c r="C7644" s="2" t="str">
        <f ca="1">IFERROR(__xludf.DUMMYFUNCTION("""COMPUTED_VALUE"""),"Neighbourhood")</f>
        <v>Neighbourhood</v>
      </c>
      <c r="D7644" s="2" t="str">
        <f ca="1">IFERROR(__xludf.DUMMYFUNCTION("""COMPUTED_VALUE"""),"Dubai&gt;Palm Jumeirah&gt;Signature Villas Palm Jumeirah&gt;Signature Villas Frond L")</f>
        <v>Dubai&gt;Palm Jumeirah&gt;Signature Villas Palm Jumeirah&gt;Signature Villas Frond L</v>
      </c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</row>
    <row r="7645" spans="1:26" ht="16.5" x14ac:dyDescent="0.35">
      <c r="A7645" s="2" t="str">
        <f ca="1">IFERROR(__xludf.DUMMYFUNCTION("""COMPUTED_VALUE"""),"Dubai")</f>
        <v>Dubai</v>
      </c>
      <c r="B7645" s="2" t="str">
        <f ca="1">IFERROR(__xludf.DUMMYFUNCTION("""COMPUTED_VALUE"""),"Dream Palm Residence")</f>
        <v>Dream Palm Residence</v>
      </c>
      <c r="C7645" s="2" t="str">
        <f ca="1">IFERROR(__xludf.DUMMYFUNCTION("""COMPUTED_VALUE"""),"Building")</f>
        <v>Building</v>
      </c>
      <c r="D7645" s="2" t="str">
        <f ca="1">IFERROR(__xludf.DUMMYFUNCTION("""COMPUTED_VALUE"""),"Dubai&gt;Palm Jumeirah&gt;The Crescent&gt;Dream Palm Residence")</f>
        <v>Dubai&gt;Palm Jumeirah&gt;The Crescent&gt;Dream Palm Residence</v>
      </c>
      <c r="E7645" s="2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</row>
    <row r="7646" spans="1:26" ht="16.5" x14ac:dyDescent="0.35">
      <c r="A7646" s="2" t="str">
        <f ca="1">IFERROR(__xludf.DUMMYFUNCTION("""COMPUTED_VALUE"""),"Dubai")</f>
        <v>Dubai</v>
      </c>
      <c r="B7646" s="2" t="str">
        <f ca="1">IFERROR(__xludf.DUMMYFUNCTION("""COMPUTED_VALUE"""),"Garden Homes Frond E")</f>
        <v>Garden Homes Frond E</v>
      </c>
      <c r="C7646" s="2" t="str">
        <f ca="1">IFERROR(__xludf.DUMMYFUNCTION("""COMPUTED_VALUE"""),"Neighbourhood")</f>
        <v>Neighbourhood</v>
      </c>
      <c r="D7646" s="2" t="str">
        <f ca="1">IFERROR(__xludf.DUMMYFUNCTION("""COMPUTED_VALUE"""),"Dubai&gt;Palm Jumeirah&gt;Garden Homes Palm Jumeirah&gt;Garden Homes Frond E")</f>
        <v>Dubai&gt;Palm Jumeirah&gt;Garden Homes Palm Jumeirah&gt;Garden Homes Frond E</v>
      </c>
      <c r="E7646" s="2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</row>
    <row r="7647" spans="1:26" ht="16.5" x14ac:dyDescent="0.35">
      <c r="A7647" s="2" t="str">
        <f ca="1">IFERROR(__xludf.DUMMYFUNCTION("""COMPUTED_VALUE"""),"Dubai")</f>
        <v>Dubai</v>
      </c>
      <c r="B7647" s="2" t="str">
        <f ca="1">IFERROR(__xludf.DUMMYFUNCTION("""COMPUTED_VALUE"""),"Ellington Beach House")</f>
        <v>Ellington Beach House</v>
      </c>
      <c r="C7647" s="2" t="str">
        <f ca="1">IFERROR(__xludf.DUMMYFUNCTION("""COMPUTED_VALUE"""),"Building")</f>
        <v>Building</v>
      </c>
      <c r="D7647" s="2" t="str">
        <f ca="1">IFERROR(__xludf.DUMMYFUNCTION("""COMPUTED_VALUE"""),"Dubai&gt;Palm Jumeirah&gt;Ellington Beach House")</f>
        <v>Dubai&gt;Palm Jumeirah&gt;Ellington Beach House</v>
      </c>
      <c r="E7647" s="2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</row>
    <row r="7648" spans="1:26" ht="16.5" x14ac:dyDescent="0.35">
      <c r="A7648" s="2" t="str">
        <f ca="1">IFERROR(__xludf.DUMMYFUNCTION("""COMPUTED_VALUE"""),"Dubai")</f>
        <v>Dubai</v>
      </c>
      <c r="B7648" s="2" t="str">
        <f ca="1">IFERROR(__xludf.DUMMYFUNCTION("""COMPUTED_VALUE"""),"Royal Central Hotel")</f>
        <v>Royal Central Hotel</v>
      </c>
      <c r="C7648" s="2" t="str">
        <f ca="1">IFERROR(__xludf.DUMMYFUNCTION("""COMPUTED_VALUE"""),"Building")</f>
        <v>Building</v>
      </c>
      <c r="D7648" s="2" t="str">
        <f ca="1">IFERROR(__xludf.DUMMYFUNCTION("""COMPUTED_VALUE"""),"Dubai&gt;Palm Jumeirah&gt;Royal Central Hotel")</f>
        <v>Dubai&gt;Palm Jumeirah&gt;Royal Central Hotel</v>
      </c>
      <c r="E7648" s="2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</row>
    <row r="7649" spans="1:26" ht="16.5" x14ac:dyDescent="0.35">
      <c r="A7649" s="2" t="str">
        <f ca="1">IFERROR(__xludf.DUMMYFUNCTION("""COMPUTED_VALUE"""),"Dubai")</f>
        <v>Dubai</v>
      </c>
      <c r="B7649" s="2" t="str">
        <f ca="1">IFERROR(__xludf.DUMMYFUNCTION("""COMPUTED_VALUE"""),"Marbella Holiday Homes")</f>
        <v>Marbella Holiday Homes</v>
      </c>
      <c r="C7649" s="2" t="str">
        <f ca="1">IFERROR(__xludf.DUMMYFUNCTION("""COMPUTED_VALUE"""),"Building")</f>
        <v>Building</v>
      </c>
      <c r="D7649" s="2" t="str">
        <f ca="1">IFERROR(__xludf.DUMMYFUNCTION("""COMPUTED_VALUE"""),"Dubai&gt;Al Jaddaf&gt;Marbella Holiday Homes")</f>
        <v>Dubai&gt;Al Jaddaf&gt;Marbella Holiday Homes</v>
      </c>
      <c r="E7649" s="2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</row>
    <row r="7650" spans="1:26" ht="16.5" x14ac:dyDescent="0.35">
      <c r="A7650" s="2" t="str">
        <f ca="1">IFERROR(__xludf.DUMMYFUNCTION("""COMPUTED_VALUE"""),"Dubai")</f>
        <v>Dubai</v>
      </c>
      <c r="B7650" s="2" t="str">
        <f ca="1">IFERROR(__xludf.DUMMYFUNCTION("""COMPUTED_VALUE"""),"Al Jaddaf Heights")</f>
        <v>Al Jaddaf Heights</v>
      </c>
      <c r="C7650" s="2" t="str">
        <f ca="1">IFERROR(__xludf.DUMMYFUNCTION("""COMPUTED_VALUE"""),"Building")</f>
        <v>Building</v>
      </c>
      <c r="D7650" s="2" t="str">
        <f ca="1">IFERROR(__xludf.DUMMYFUNCTION("""COMPUTED_VALUE"""),"Dubai&gt;Al Jaddaf&gt;Al Jaddaf Heights")</f>
        <v>Dubai&gt;Al Jaddaf&gt;Al Jaddaf Heights</v>
      </c>
      <c r="E7650" s="2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</row>
    <row r="7651" spans="1:26" ht="16.5" x14ac:dyDescent="0.35">
      <c r="A7651" s="2" t="str">
        <f ca="1">IFERROR(__xludf.DUMMYFUNCTION("""COMPUTED_VALUE"""),"Dubai")</f>
        <v>Dubai</v>
      </c>
      <c r="B7651" s="2" t="str">
        <f ca="1">IFERROR(__xludf.DUMMYFUNCTION("""COMPUTED_VALUE"""),"Al Nokhadha Building")</f>
        <v>Al Nokhadha Building</v>
      </c>
      <c r="C7651" s="2" t="str">
        <f ca="1">IFERROR(__xludf.DUMMYFUNCTION("""COMPUTED_VALUE"""),"Building")</f>
        <v>Building</v>
      </c>
      <c r="D7651" s="2" t="str">
        <f ca="1">IFERROR(__xludf.DUMMYFUNCTION("""COMPUTED_VALUE"""),"Dubai&gt;Al Jaddaf&gt;Al Nokhadha Building")</f>
        <v>Dubai&gt;Al Jaddaf&gt;Al Nokhadha Building</v>
      </c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</row>
    <row r="7652" spans="1:26" ht="16.5" x14ac:dyDescent="0.35">
      <c r="A7652" s="2" t="str">
        <f ca="1">IFERROR(__xludf.DUMMYFUNCTION("""COMPUTED_VALUE"""),"Dubai")</f>
        <v>Dubai</v>
      </c>
      <c r="B7652" s="2" t="str">
        <f ca="1">IFERROR(__xludf.DUMMYFUNCTION("""COMPUTED_VALUE"""),"The Premium Plot Collection")</f>
        <v>The Premium Plot Collection</v>
      </c>
      <c r="C7652" s="2" t="str">
        <f ca="1">IFERROR(__xludf.DUMMYFUNCTION("""COMPUTED_VALUE"""),"Neighbourhood")</f>
        <v>Neighbourhood</v>
      </c>
      <c r="D7652" s="2" t="str">
        <f ca="1">IFERROR(__xludf.DUMMYFUNCTION("""COMPUTED_VALUE"""),"Dubai&gt;Palm Jebel Ali&gt;Frond P&gt;The Premium Plot Collection")</f>
        <v>Dubai&gt;Palm Jebel Ali&gt;Frond P&gt;The Premium Plot Collection</v>
      </c>
      <c r="E7652" s="2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</row>
    <row r="7653" spans="1:26" ht="16.5" x14ac:dyDescent="0.35">
      <c r="A7653" s="2" t="str">
        <f ca="1">IFERROR(__xludf.DUMMYFUNCTION("""COMPUTED_VALUE"""),"Dubai")</f>
        <v>Dubai</v>
      </c>
      <c r="B7653" s="2" t="str">
        <f ca="1">IFERROR(__xludf.DUMMYFUNCTION("""COMPUTED_VALUE"""),"Dubai Science Park")</f>
        <v>Dubai Science Park</v>
      </c>
      <c r="C7653" s="2" t="str">
        <f ca="1">IFERROR(__xludf.DUMMYFUNCTION("""COMPUTED_VALUE"""),"Neighbourhood")</f>
        <v>Neighbourhood</v>
      </c>
      <c r="D7653" s="2" t="str">
        <f ca="1">IFERROR(__xludf.DUMMYFUNCTION("""COMPUTED_VALUE"""),"Dubai&gt;Dubai Science Park")</f>
        <v>Dubai&gt;Dubai Science Park</v>
      </c>
      <c r="E7653" s="2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</row>
    <row r="7654" spans="1:26" ht="16.5" x14ac:dyDescent="0.35">
      <c r="A7654" s="2" t="str">
        <f ca="1">IFERROR(__xludf.DUMMYFUNCTION("""COMPUTED_VALUE"""),"Dubai")</f>
        <v>Dubai</v>
      </c>
      <c r="B7654" s="2" t="str">
        <f ca="1">IFERROR(__xludf.DUMMYFUNCTION("""COMPUTED_VALUE"""),"Vincitore Aqua Flora")</f>
        <v>Vincitore Aqua Flora</v>
      </c>
      <c r="C7654" s="2" t="str">
        <f ca="1">IFERROR(__xludf.DUMMYFUNCTION("""COMPUTED_VALUE"""),"Building")</f>
        <v>Building</v>
      </c>
      <c r="D7654" s="2" t="str">
        <f ca="1">IFERROR(__xludf.DUMMYFUNCTION("""COMPUTED_VALUE"""),"Dubai&gt;Dubai Science Park&gt;Vincitore Aqua Flora")</f>
        <v>Dubai&gt;Dubai Science Park&gt;Vincitore Aqua Flora</v>
      </c>
      <c r="E7654" s="2"/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</row>
    <row r="7655" spans="1:26" ht="16.5" x14ac:dyDescent="0.35">
      <c r="A7655" s="2" t="str">
        <f ca="1">IFERROR(__xludf.DUMMYFUNCTION("""COMPUTED_VALUE"""),"Dubai")</f>
        <v>Dubai</v>
      </c>
      <c r="B7655" s="2" t="str">
        <f ca="1">IFERROR(__xludf.DUMMYFUNCTION("""COMPUTED_VALUE"""),"Al Naboodah Residential Complex")</f>
        <v>Al Naboodah Residential Complex</v>
      </c>
      <c r="C7655" s="2" t="str">
        <f ca="1">IFERROR(__xludf.DUMMYFUNCTION("""COMPUTED_VALUE"""),"Neighbourhood")</f>
        <v>Neighbourhood</v>
      </c>
      <c r="D7655" s="2" t="str">
        <f ca="1">IFERROR(__xludf.DUMMYFUNCTION("""COMPUTED_VALUE"""),"Dubai&gt;Al Ruwayyah&gt;Al Naboodah Residential Complex")</f>
        <v>Dubai&gt;Al Ruwayyah&gt;Al Naboodah Residential Complex</v>
      </c>
      <c r="E7655" s="2"/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</row>
    <row r="7656" spans="1:26" ht="16.5" x14ac:dyDescent="0.35">
      <c r="A7656" s="2" t="str">
        <f ca="1">IFERROR(__xludf.DUMMYFUNCTION("""COMPUTED_VALUE"""),"Dubai")</f>
        <v>Dubai</v>
      </c>
      <c r="B7656" s="2" t="str">
        <f ca="1">IFERROR(__xludf.DUMMYFUNCTION("""COMPUTED_VALUE"""),"Sola Residences")</f>
        <v>Sola Residences</v>
      </c>
      <c r="C7656" s="2" t="str">
        <f ca="1">IFERROR(__xludf.DUMMYFUNCTION("""COMPUTED_VALUE"""),"Building")</f>
        <v>Building</v>
      </c>
      <c r="D7656" s="2" t="str">
        <f ca="1">IFERROR(__xludf.DUMMYFUNCTION("""COMPUTED_VALUE"""),"Dubai&gt;Wasl Gate&gt;Sola Residences")</f>
        <v>Dubai&gt;Wasl Gate&gt;Sola Residences</v>
      </c>
      <c r="E7656" s="2"/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</row>
    <row r="7657" spans="1:26" ht="16.5" x14ac:dyDescent="0.35">
      <c r="A7657" s="2" t="str">
        <f ca="1">IFERROR(__xludf.DUMMYFUNCTION("""COMPUTED_VALUE"""),"Dubai")</f>
        <v>Dubai</v>
      </c>
      <c r="B7657" s="2" t="str">
        <f ca="1">IFERROR(__xludf.DUMMYFUNCTION("""COMPUTED_VALUE"""),"Nad Al Sheba Gardens 11")</f>
        <v>Nad Al Sheba Gardens 11</v>
      </c>
      <c r="C7657" s="2" t="str">
        <f ca="1">IFERROR(__xludf.DUMMYFUNCTION("""COMPUTED_VALUE"""),"Neighbourhood")</f>
        <v>Neighbourhood</v>
      </c>
      <c r="D7657" s="2" t="str">
        <f ca="1">IFERROR(__xludf.DUMMYFUNCTION("""COMPUTED_VALUE"""),"Dubai&gt;Nad Al Sheba&gt;Nad Al Sheba 1&gt;Nad Al Sheba Gardens&gt;Nad Al Sheba Gardens 11")</f>
        <v>Dubai&gt;Nad Al Sheba&gt;Nad Al Sheba 1&gt;Nad Al Sheba Gardens&gt;Nad Al Sheba Gardens 11</v>
      </c>
      <c r="E7657" s="2"/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</row>
    <row r="7658" spans="1:26" ht="16.5" x14ac:dyDescent="0.35">
      <c r="A7658" s="2" t="str">
        <f ca="1">IFERROR(__xludf.DUMMYFUNCTION("""COMPUTED_VALUE"""),"Dubai")</f>
        <v>Dubai</v>
      </c>
      <c r="B7658" s="2" t="str">
        <f ca="1">IFERROR(__xludf.DUMMYFUNCTION("""COMPUTED_VALUE"""),"Media One Tower")</f>
        <v>Media One Tower</v>
      </c>
      <c r="C7658" s="2" t="str">
        <f ca="1">IFERROR(__xludf.DUMMYFUNCTION("""COMPUTED_VALUE"""),"Building")</f>
        <v>Building</v>
      </c>
      <c r="D7658" s="2" t="str">
        <f ca="1">IFERROR(__xludf.DUMMYFUNCTION("""COMPUTED_VALUE"""),"Dubai&gt;Dubai Internet City&gt;Media One Tower")</f>
        <v>Dubai&gt;Dubai Internet City&gt;Media One Tower</v>
      </c>
      <c r="E7658" s="2"/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</row>
    <row r="7659" spans="1:26" ht="16.5" x14ac:dyDescent="0.35">
      <c r="A7659" s="2" t="str">
        <f ca="1">IFERROR(__xludf.DUMMYFUNCTION("""COMPUTED_VALUE"""),"Dubai")</f>
        <v>Dubai</v>
      </c>
      <c r="B7659" s="2" t="str">
        <f ca="1">IFERROR(__xludf.DUMMYFUNCTION("""COMPUTED_VALUE"""),"EIB 03")</f>
        <v>EIB 03</v>
      </c>
      <c r="C7659" s="2" t="str">
        <f ca="1">IFERROR(__xludf.DUMMYFUNCTION("""COMPUTED_VALUE"""),"Building")</f>
        <v>Building</v>
      </c>
      <c r="D7659" s="2" t="str">
        <f ca="1">IFERROR(__xludf.DUMMYFUNCTION("""COMPUTED_VALUE"""),"Dubai&gt;Dubai Internet City&gt;EIB 03")</f>
        <v>Dubai&gt;Dubai Internet City&gt;EIB 03</v>
      </c>
      <c r="E7659" s="2"/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</row>
    <row r="7660" spans="1:26" ht="16.5" x14ac:dyDescent="0.35">
      <c r="A7660" s="2" t="str">
        <f ca="1">IFERROR(__xludf.DUMMYFUNCTION("""COMPUTED_VALUE"""),"Dubai")</f>
        <v>Dubai</v>
      </c>
      <c r="B7660" s="2" t="str">
        <f ca="1">IFERROR(__xludf.DUMMYFUNCTION("""COMPUTED_VALUE"""),"Sirdhana Building 2")</f>
        <v>Sirdhana Building 2</v>
      </c>
      <c r="C7660" s="2" t="str">
        <f ca="1">IFERROR(__xludf.DUMMYFUNCTION("""COMPUTED_VALUE"""),"Building")</f>
        <v>Building</v>
      </c>
      <c r="D7660" s="2" t="str">
        <f ca="1">IFERROR(__xludf.DUMMYFUNCTION("""COMPUTED_VALUE"""),"Dubai&gt;Mina Rashid&gt;Sirdhana&gt;Sirdhana Building 2")</f>
        <v>Dubai&gt;Mina Rashid&gt;Sirdhana&gt;Sirdhana Building 2</v>
      </c>
      <c r="E7660" s="2"/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</row>
    <row r="7661" spans="1:26" ht="16.5" x14ac:dyDescent="0.35">
      <c r="A7661" s="2" t="str">
        <f ca="1">IFERROR(__xludf.DUMMYFUNCTION("""COMPUTED_VALUE"""),"Dubai")</f>
        <v>Dubai</v>
      </c>
      <c r="B7661" s="2" t="str">
        <f ca="1">IFERROR(__xludf.DUMMYFUNCTION("""COMPUTED_VALUE"""),"Porto View")</f>
        <v>Porto View</v>
      </c>
      <c r="C7661" s="2" t="str">
        <f ca="1">IFERROR(__xludf.DUMMYFUNCTION("""COMPUTED_VALUE"""),"Building")</f>
        <v>Building</v>
      </c>
      <c r="D7661" s="2" t="str">
        <f ca="1">IFERROR(__xludf.DUMMYFUNCTION("""COMPUTED_VALUE"""),"Dubai&gt;Mina Rashid&gt;Porto View")</f>
        <v>Dubai&gt;Mina Rashid&gt;Porto View</v>
      </c>
      <c r="E7661" s="2"/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</row>
    <row r="7662" spans="1:26" ht="16.5" x14ac:dyDescent="0.35">
      <c r="A7662" s="2" t="str">
        <f ca="1">IFERROR(__xludf.DUMMYFUNCTION("""COMPUTED_VALUE"""),"Dubai")</f>
        <v>Dubai</v>
      </c>
      <c r="B7662" s="2" t="str">
        <f ca="1">IFERROR(__xludf.DUMMYFUNCTION("""COMPUTED_VALUE"""),"Sector R")</f>
        <v>Sector R</v>
      </c>
      <c r="C7662" s="2" t="str">
        <f ca="1">IFERROR(__xludf.DUMMYFUNCTION("""COMPUTED_VALUE"""),"Neighbourhood")</f>
        <v>Neighbourhood</v>
      </c>
      <c r="D7662" s="2" t="str">
        <f ca="1">IFERROR(__xludf.DUMMYFUNCTION("""COMPUTED_VALUE"""),"Dubai&gt;Emirates Hills&gt;Sector R")</f>
        <v>Dubai&gt;Emirates Hills&gt;Sector R</v>
      </c>
      <c r="E7662" s="2"/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</row>
    <row r="7663" spans="1:26" ht="16.5" x14ac:dyDescent="0.35">
      <c r="A7663" s="2" t="str">
        <f ca="1">IFERROR(__xludf.DUMMYFUNCTION("""COMPUTED_VALUE"""),"Dubai")</f>
        <v>Dubai</v>
      </c>
      <c r="B7663" s="2" t="str">
        <f ca="1">IFERROR(__xludf.DUMMYFUNCTION("""COMPUTED_VALUE"""),"Al Mahra")</f>
        <v>Al Mahra</v>
      </c>
      <c r="C7663" s="2" t="str">
        <f ca="1">IFERROR(__xludf.DUMMYFUNCTION("""COMPUTED_VALUE"""),"Neighbourhood")</f>
        <v>Neighbourhood</v>
      </c>
      <c r="D7663" s="2" t="str">
        <f ca="1">IFERROR(__xludf.DUMMYFUNCTION("""COMPUTED_VALUE"""),"Dubai&gt;Arabian Ranches&gt;Al Mahra")</f>
        <v>Dubai&gt;Arabian Ranches&gt;Al Mahra</v>
      </c>
      <c r="E7663" s="2"/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</row>
    <row r="7664" spans="1:26" ht="16.5" x14ac:dyDescent="0.35">
      <c r="A7664" s="2" t="str">
        <f ca="1">IFERROR(__xludf.DUMMYFUNCTION("""COMPUTED_VALUE"""),"Dubai")</f>
        <v>Dubai</v>
      </c>
      <c r="B7664" s="2" t="str">
        <f ca="1">IFERROR(__xludf.DUMMYFUNCTION("""COMPUTED_VALUE"""),"Hattan")</f>
        <v>Hattan</v>
      </c>
      <c r="C7664" s="2" t="str">
        <f ca="1">IFERROR(__xludf.DUMMYFUNCTION("""COMPUTED_VALUE"""),"Neighbourhood")</f>
        <v>Neighbourhood</v>
      </c>
      <c r="D7664" s="2" t="str">
        <f ca="1">IFERROR(__xludf.DUMMYFUNCTION("""COMPUTED_VALUE"""),"Dubai&gt;Arabian Ranches&gt;Hattan")</f>
        <v>Dubai&gt;Arabian Ranches&gt;Hattan</v>
      </c>
      <c r="E7664" s="2"/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</row>
    <row r="7665" spans="1:26" ht="16.5" x14ac:dyDescent="0.35">
      <c r="A7665" s="2" t="str">
        <f ca="1">IFERROR(__xludf.DUMMYFUNCTION("""COMPUTED_VALUE"""),"Dubai")</f>
        <v>Dubai</v>
      </c>
      <c r="B7665" s="2" t="str">
        <f ca="1">IFERROR(__xludf.DUMMYFUNCTION("""COMPUTED_VALUE"""),"The Gardens Building 86")</f>
        <v>The Gardens Building 86</v>
      </c>
      <c r="C7665" s="2" t="str">
        <f ca="1">IFERROR(__xludf.DUMMYFUNCTION("""COMPUTED_VALUE"""),"Building")</f>
        <v>Building</v>
      </c>
      <c r="D7665" s="2" t="str">
        <f ca="1">IFERROR(__xludf.DUMMYFUNCTION("""COMPUTED_VALUE"""),"Dubai&gt;The Gardens&gt;The Gardens Building 86")</f>
        <v>Dubai&gt;The Gardens&gt;The Gardens Building 86</v>
      </c>
      <c r="E7665" s="2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</row>
    <row r="7666" spans="1:26" ht="16.5" x14ac:dyDescent="0.35">
      <c r="A7666" s="2" t="str">
        <f ca="1">IFERROR(__xludf.DUMMYFUNCTION("""COMPUTED_VALUE"""),"Dubai")</f>
        <v>Dubai</v>
      </c>
      <c r="B7666" s="2" t="str">
        <f ca="1">IFERROR(__xludf.DUMMYFUNCTION("""COMPUTED_VALUE"""),"The Gardens Building 103")</f>
        <v>The Gardens Building 103</v>
      </c>
      <c r="C7666" s="2" t="str">
        <f ca="1">IFERROR(__xludf.DUMMYFUNCTION("""COMPUTED_VALUE"""),"Building")</f>
        <v>Building</v>
      </c>
      <c r="D7666" s="2" t="str">
        <f ca="1">IFERROR(__xludf.DUMMYFUNCTION("""COMPUTED_VALUE"""),"Dubai&gt;The Gardens&gt;The Gardens Building 103")</f>
        <v>Dubai&gt;The Gardens&gt;The Gardens Building 103</v>
      </c>
      <c r="E7666" s="2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</row>
    <row r="7667" spans="1:26" ht="16.5" x14ac:dyDescent="0.35">
      <c r="A7667" s="2" t="str">
        <f ca="1">IFERROR(__xludf.DUMMYFUNCTION("""COMPUTED_VALUE"""),"Dubai")</f>
        <v>Dubai</v>
      </c>
      <c r="B7667" s="2" t="str">
        <f ca="1">IFERROR(__xludf.DUMMYFUNCTION("""COMPUTED_VALUE"""),"The Gardens Building 4")</f>
        <v>The Gardens Building 4</v>
      </c>
      <c r="C7667" s="2" t="str">
        <f ca="1">IFERROR(__xludf.DUMMYFUNCTION("""COMPUTED_VALUE"""),"Building")</f>
        <v>Building</v>
      </c>
      <c r="D7667" s="2" t="str">
        <f ca="1">IFERROR(__xludf.DUMMYFUNCTION("""COMPUTED_VALUE"""),"Dubai&gt;The Gardens&gt;The Gardens Building 4")</f>
        <v>Dubai&gt;The Gardens&gt;The Gardens Building 4</v>
      </c>
      <c r="E7667" s="2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</row>
    <row r="7668" spans="1:26" ht="16.5" x14ac:dyDescent="0.35">
      <c r="A7668" s="2" t="str">
        <f ca="1">IFERROR(__xludf.DUMMYFUNCTION("""COMPUTED_VALUE"""),"Dubai")</f>
        <v>Dubai</v>
      </c>
      <c r="B7668" s="2" t="str">
        <f ca="1">IFERROR(__xludf.DUMMYFUNCTION("""COMPUTED_VALUE"""),"The Gardens Building 46")</f>
        <v>The Gardens Building 46</v>
      </c>
      <c r="C7668" s="2" t="str">
        <f ca="1">IFERROR(__xludf.DUMMYFUNCTION("""COMPUTED_VALUE"""),"Building")</f>
        <v>Building</v>
      </c>
      <c r="D7668" s="2" t="str">
        <f ca="1">IFERROR(__xludf.DUMMYFUNCTION("""COMPUTED_VALUE"""),"Dubai&gt;The Gardens&gt;The Gardens Building 46")</f>
        <v>Dubai&gt;The Gardens&gt;The Gardens Building 46</v>
      </c>
      <c r="E7668" s="2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</row>
    <row r="7669" spans="1:26" ht="16.5" x14ac:dyDescent="0.35">
      <c r="A7669" s="2" t="str">
        <f ca="1">IFERROR(__xludf.DUMMYFUNCTION("""COMPUTED_VALUE"""),"Dubai")</f>
        <v>Dubai</v>
      </c>
      <c r="B7669" s="2" t="str">
        <f ca="1">IFERROR(__xludf.DUMMYFUNCTION("""COMPUTED_VALUE"""),"Dreem Tower")</f>
        <v>Dreem Tower</v>
      </c>
      <c r="C7669" s="2" t="str">
        <f ca="1">IFERROR(__xludf.DUMMYFUNCTION("""COMPUTED_VALUE"""),"Building")</f>
        <v>Building</v>
      </c>
      <c r="D7669" s="2" t="str">
        <f ca="1">IFERROR(__xludf.DUMMYFUNCTION("""COMPUTED_VALUE"""),"Dubai&gt;Al Mamzar&gt;Dreem Tower")</f>
        <v>Dubai&gt;Al Mamzar&gt;Dreem Tower</v>
      </c>
      <c r="E7669" s="2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</row>
    <row r="7670" spans="1:26" ht="16.5" x14ac:dyDescent="0.35">
      <c r="A7670" s="2" t="str">
        <f ca="1">IFERROR(__xludf.DUMMYFUNCTION("""COMPUTED_VALUE"""),"Dubai")</f>
        <v>Dubai</v>
      </c>
      <c r="B7670" s="2" t="str">
        <f ca="1">IFERROR(__xludf.DUMMYFUNCTION("""COMPUTED_VALUE"""),"Bluewaters Residences 6")</f>
        <v>Bluewaters Residences 6</v>
      </c>
      <c r="C7670" s="2" t="str">
        <f ca="1">IFERROR(__xludf.DUMMYFUNCTION("""COMPUTED_VALUE"""),"Building")</f>
        <v>Building</v>
      </c>
      <c r="D7670" s="2" t="str">
        <f ca="1">IFERROR(__xludf.DUMMYFUNCTION("""COMPUTED_VALUE"""),"Dubai&gt;Bluewaters Island&gt;Bluewaters Residences&gt;Bluewaters Residences 6")</f>
        <v>Dubai&gt;Bluewaters Island&gt;Bluewaters Residences&gt;Bluewaters Residences 6</v>
      </c>
      <c r="E7670" s="2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</row>
    <row r="7671" spans="1:26" ht="16.5" x14ac:dyDescent="0.35">
      <c r="A7671" s="2" t="str">
        <f ca="1">IFERROR(__xludf.DUMMYFUNCTION("""COMPUTED_VALUE"""),"Dubai")</f>
        <v>Dubai</v>
      </c>
      <c r="B7671" s="2" t="str">
        <f ca="1">IFERROR(__xludf.DUMMYFUNCTION("""COMPUTED_VALUE"""),"Al Wasl Building R453 Block 1")</f>
        <v>Al Wasl Building R453 Block 1</v>
      </c>
      <c r="C7671" s="2" t="str">
        <f ca="1">IFERROR(__xludf.DUMMYFUNCTION("""COMPUTED_VALUE"""),"Building")</f>
        <v>Building</v>
      </c>
      <c r="D7671" s="2" t="str">
        <f ca="1">IFERROR(__xludf.DUMMYFUNCTION("""COMPUTED_VALUE"""),"Dubai&gt;Muhaisnah&gt;Muhaisnah 4&gt;Al Wasl R453&gt;Al Wasl Building R453 Block 1")</f>
        <v>Dubai&gt;Muhaisnah&gt;Muhaisnah 4&gt;Al Wasl R453&gt;Al Wasl Building R453 Block 1</v>
      </c>
      <c r="E7671" s="2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</row>
    <row r="7672" spans="1:26" ht="16.5" x14ac:dyDescent="0.35">
      <c r="A7672" s="2" t="str">
        <f ca="1">IFERROR(__xludf.DUMMYFUNCTION("""COMPUTED_VALUE"""),"Dubai")</f>
        <v>Dubai</v>
      </c>
      <c r="B7672" s="2" t="str">
        <f ca="1">IFERROR(__xludf.DUMMYFUNCTION("""COMPUTED_VALUE"""),"Islamic School for Training &amp; Education")</f>
        <v>Islamic School for Training &amp; Education</v>
      </c>
      <c r="C7672" s="2" t="str">
        <f ca="1">IFERROR(__xludf.DUMMYFUNCTION("""COMPUTED_VALUE"""),"School")</f>
        <v>School</v>
      </c>
      <c r="D7672" s="2" t="str">
        <f ca="1">IFERROR(__xludf.DUMMYFUNCTION("""COMPUTED_VALUE"""),"Dubai&gt;Muhaisnah&gt;Muhaisnah 1&gt;Islamic School for Training &amp; Education")</f>
        <v>Dubai&gt;Muhaisnah&gt;Muhaisnah 1&gt;Islamic School for Training &amp; Education</v>
      </c>
      <c r="E7672" s="2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</row>
    <row r="7673" spans="1:26" ht="16.5" x14ac:dyDescent="0.35">
      <c r="A7673" s="2" t="str">
        <f ca="1">IFERROR(__xludf.DUMMYFUNCTION("""COMPUTED_VALUE"""),"Dubai")</f>
        <v>Dubai</v>
      </c>
      <c r="B7673" s="2" t="str">
        <f ca="1">IFERROR(__xludf.DUMMYFUNCTION("""COMPUTED_VALUE"""),"Emaar Business Park Building 4")</f>
        <v>Emaar Business Park Building 4</v>
      </c>
      <c r="C7673" s="2" t="str">
        <f ca="1">IFERROR(__xludf.DUMMYFUNCTION("""COMPUTED_VALUE"""),"Building")</f>
        <v>Building</v>
      </c>
      <c r="D7673" s="2" t="str">
        <f ca="1">IFERROR(__xludf.DUMMYFUNCTION("""COMPUTED_VALUE"""),"Dubai&gt;Sheikh Zayed Road&gt;Emaar Business Park&gt;Emaar Business Park Building 4")</f>
        <v>Dubai&gt;Sheikh Zayed Road&gt;Emaar Business Park&gt;Emaar Business Park Building 4</v>
      </c>
      <c r="E7673" s="2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</row>
    <row r="7674" spans="1:26" ht="16.5" x14ac:dyDescent="0.35">
      <c r="A7674" s="2" t="str">
        <f ca="1">IFERROR(__xludf.DUMMYFUNCTION("""COMPUTED_VALUE"""),"Dubai")</f>
        <v>Dubai</v>
      </c>
      <c r="B7674" s="2" t="str">
        <f ca="1">IFERROR(__xludf.DUMMYFUNCTION("""COMPUTED_VALUE"""),"Ahmed Ramadhan Juma Building")</f>
        <v>Ahmed Ramadhan Juma Building</v>
      </c>
      <c r="C7674" s="2" t="str">
        <f ca="1">IFERROR(__xludf.DUMMYFUNCTION("""COMPUTED_VALUE"""),"Building")</f>
        <v>Building</v>
      </c>
      <c r="D7674" s="2" t="str">
        <f ca="1">IFERROR(__xludf.DUMMYFUNCTION("""COMPUTED_VALUE"""),"Dubai&gt;Sheikh Zayed Road&gt;Ahmed Ramadhan Juma Building")</f>
        <v>Dubai&gt;Sheikh Zayed Road&gt;Ahmed Ramadhan Juma Building</v>
      </c>
      <c r="E7674" s="2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</row>
    <row r="7675" spans="1:26" ht="16.5" x14ac:dyDescent="0.35">
      <c r="A7675" s="2" t="str">
        <f ca="1">IFERROR(__xludf.DUMMYFUNCTION("""COMPUTED_VALUE"""),"Dubai")</f>
        <v>Dubai</v>
      </c>
      <c r="B7675" s="2" t="str">
        <f ca="1">IFERROR(__xludf.DUMMYFUNCTION("""COMPUTED_VALUE"""),"API World Tower")</f>
        <v>API World Tower</v>
      </c>
      <c r="C7675" s="2" t="str">
        <f ca="1">IFERROR(__xludf.DUMMYFUNCTION("""COMPUTED_VALUE"""),"Building")</f>
        <v>Building</v>
      </c>
      <c r="D7675" s="2" t="str">
        <f ca="1">IFERROR(__xludf.DUMMYFUNCTION("""COMPUTED_VALUE"""),"Dubai&gt;Sheikh Zayed Road&gt;API World Tower")</f>
        <v>Dubai&gt;Sheikh Zayed Road&gt;API World Tower</v>
      </c>
      <c r="E7675" s="2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</row>
    <row r="7676" spans="1:26" ht="16.5" x14ac:dyDescent="0.35">
      <c r="A7676" s="2" t="str">
        <f ca="1">IFERROR(__xludf.DUMMYFUNCTION("""COMPUTED_VALUE"""),"Dubai")</f>
        <v>Dubai</v>
      </c>
      <c r="B7676" s="2" t="str">
        <f ca="1">IFERROR(__xludf.DUMMYFUNCTION("""COMPUTED_VALUE"""),"Al Furdan Building")</f>
        <v>Al Furdan Building</v>
      </c>
      <c r="C7676" s="2" t="str">
        <f ca="1">IFERROR(__xludf.DUMMYFUNCTION("""COMPUTED_VALUE"""),"Building")</f>
        <v>Building</v>
      </c>
      <c r="D7676" s="2" t="str">
        <f ca="1">IFERROR(__xludf.DUMMYFUNCTION("""COMPUTED_VALUE"""),"Dubai&gt;Sheikh Zayed Road&gt;Al Furdan Building")</f>
        <v>Dubai&gt;Sheikh Zayed Road&gt;Al Furdan Building</v>
      </c>
      <c r="E7676" s="2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</row>
    <row r="7677" spans="1:26" ht="16.5" x14ac:dyDescent="0.35">
      <c r="A7677" s="2" t="str">
        <f ca="1">IFERROR(__xludf.DUMMYFUNCTION("""COMPUTED_VALUE"""),"Dubai")</f>
        <v>Dubai</v>
      </c>
      <c r="B7677" s="2" t="str">
        <f ca="1">IFERROR(__xludf.DUMMYFUNCTION("""COMPUTED_VALUE"""),"Zainal Mohebi Plaza")</f>
        <v>Zainal Mohebi Plaza</v>
      </c>
      <c r="C7677" s="2" t="str">
        <f ca="1">IFERROR(__xludf.DUMMYFUNCTION("""COMPUTED_VALUE"""),"Building")</f>
        <v>Building</v>
      </c>
      <c r="D7677" s="2" t="str">
        <f ca="1">IFERROR(__xludf.DUMMYFUNCTION("""COMPUTED_VALUE"""),"Dubai&gt;Al Karama&gt;Zainal Mohebi Plaza")</f>
        <v>Dubai&gt;Al Karama&gt;Zainal Mohebi Plaza</v>
      </c>
      <c r="E7677" s="2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</row>
    <row r="7678" spans="1:26" ht="16.5" x14ac:dyDescent="0.35">
      <c r="A7678" s="2" t="str">
        <f ca="1">IFERROR(__xludf.DUMMYFUNCTION("""COMPUTED_VALUE"""),"Dubai")</f>
        <v>Dubai</v>
      </c>
      <c r="B7678" s="2" t="str">
        <f ca="1">IFERROR(__xludf.DUMMYFUNCTION("""COMPUTED_VALUE"""),"Building 12")</f>
        <v>Building 12</v>
      </c>
      <c r="C7678" s="2" t="str">
        <f ca="1">IFERROR(__xludf.DUMMYFUNCTION("""COMPUTED_VALUE"""),"Building")</f>
        <v>Building</v>
      </c>
      <c r="D7678" s="2" t="str">
        <f ca="1">IFERROR(__xludf.DUMMYFUNCTION("""COMPUTED_VALUE"""),"Dubai&gt;Al Karama&gt;Karam Pioneer Buildings&gt;Building 12")</f>
        <v>Dubai&gt;Al Karama&gt;Karam Pioneer Buildings&gt;Building 12</v>
      </c>
      <c r="E7678" s="2"/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</row>
    <row r="7679" spans="1:26" ht="16.5" x14ac:dyDescent="0.35">
      <c r="A7679" s="2" t="str">
        <f ca="1">IFERROR(__xludf.DUMMYFUNCTION("""COMPUTED_VALUE"""),"Dubai")</f>
        <v>Dubai</v>
      </c>
      <c r="B7679" s="2" t="str">
        <f ca="1">IFERROR(__xludf.DUMMYFUNCTION("""COMPUTED_VALUE"""),"Building 44")</f>
        <v>Building 44</v>
      </c>
      <c r="C7679" s="2" t="str">
        <f ca="1">IFERROR(__xludf.DUMMYFUNCTION("""COMPUTED_VALUE"""),"Building")</f>
        <v>Building</v>
      </c>
      <c r="D7679" s="2" t="str">
        <f ca="1">IFERROR(__xludf.DUMMYFUNCTION("""COMPUTED_VALUE"""),"Dubai&gt;Al Karama&gt;Karam Pioneer Buildings&gt;Building 44")</f>
        <v>Dubai&gt;Al Karama&gt;Karam Pioneer Buildings&gt;Building 44</v>
      </c>
      <c r="E7679" s="2"/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</row>
    <row r="7680" spans="1:26" ht="16.5" x14ac:dyDescent="0.35">
      <c r="A7680" s="2" t="str">
        <f ca="1">IFERROR(__xludf.DUMMYFUNCTION("""COMPUTED_VALUE"""),"Dubai")</f>
        <v>Dubai</v>
      </c>
      <c r="B7680" s="2" t="str">
        <f ca="1">IFERROR(__xludf.DUMMYFUNCTION("""COMPUTED_VALUE"""),"Wasl Topaz")</f>
        <v>Wasl Topaz</v>
      </c>
      <c r="C7680" s="2" t="str">
        <f ca="1">IFERROR(__xludf.DUMMYFUNCTION("""COMPUTED_VALUE"""),"Building")</f>
        <v>Building</v>
      </c>
      <c r="D7680" s="2" t="str">
        <f ca="1">IFERROR(__xludf.DUMMYFUNCTION("""COMPUTED_VALUE"""),"Dubai&gt;Al Karama&gt;Wasl Topaz")</f>
        <v>Dubai&gt;Al Karama&gt;Wasl Topaz</v>
      </c>
      <c r="E7680" s="2"/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</row>
    <row r="7681" spans="1:26" ht="16.5" x14ac:dyDescent="0.35">
      <c r="A7681" s="2" t="str">
        <f ca="1">IFERROR(__xludf.DUMMYFUNCTION("""COMPUTED_VALUE"""),"Dubai")</f>
        <v>Dubai</v>
      </c>
      <c r="B7681" s="2" t="str">
        <f ca="1">IFERROR(__xludf.DUMMYFUNCTION("""COMPUTED_VALUE"""),"Wasl R421")</f>
        <v>Wasl R421</v>
      </c>
      <c r="C7681" s="2" t="str">
        <f ca="1">IFERROR(__xludf.DUMMYFUNCTION("""COMPUTED_VALUE"""),"Building")</f>
        <v>Building</v>
      </c>
      <c r="D7681" s="2" t="str">
        <f ca="1">IFERROR(__xludf.DUMMYFUNCTION("""COMPUTED_VALUE"""),"Dubai&gt;Al Karama&gt;Wasl R421")</f>
        <v>Dubai&gt;Al Karama&gt;Wasl R421</v>
      </c>
      <c r="E7681" s="2"/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</row>
    <row r="7682" spans="1:26" ht="16.5" x14ac:dyDescent="0.35">
      <c r="A7682" s="2" t="str">
        <f ca="1">IFERROR(__xludf.DUMMYFUNCTION("""COMPUTED_VALUE"""),"Dubai")</f>
        <v>Dubai</v>
      </c>
      <c r="B7682" s="2" t="str">
        <f ca="1">IFERROR(__xludf.DUMMYFUNCTION("""COMPUTED_VALUE"""),"Al Fallga Building")</f>
        <v>Al Fallga Building</v>
      </c>
      <c r="C7682" s="2" t="str">
        <f ca="1">IFERROR(__xludf.DUMMYFUNCTION("""COMPUTED_VALUE"""),"Building")</f>
        <v>Building</v>
      </c>
      <c r="D7682" s="2" t="str">
        <f ca="1">IFERROR(__xludf.DUMMYFUNCTION("""COMPUTED_VALUE"""),"Dubai&gt;Al Karama&gt;Al Fallga Building")</f>
        <v>Dubai&gt;Al Karama&gt;Al Fallga Building</v>
      </c>
      <c r="E7682" s="2"/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</row>
    <row r="7683" spans="1:26" ht="16.5" x14ac:dyDescent="0.35">
      <c r="A7683" s="2" t="str">
        <f ca="1">IFERROR(__xludf.DUMMYFUNCTION("""COMPUTED_VALUE"""),"Dubai")</f>
        <v>Dubai</v>
      </c>
      <c r="B7683" s="2" t="str">
        <f ca="1">IFERROR(__xludf.DUMMYFUNCTION("""COMPUTED_VALUE"""),"Raha Residence")</f>
        <v>Raha Residence</v>
      </c>
      <c r="C7683" s="2" t="str">
        <f ca="1">IFERROR(__xludf.DUMMYFUNCTION("""COMPUTED_VALUE"""),"Building")</f>
        <v>Building</v>
      </c>
      <c r="D7683" s="2" t="str">
        <f ca="1">IFERROR(__xludf.DUMMYFUNCTION("""COMPUTED_VALUE"""),"Dubai&gt;Al Karama&gt;Raha Residence")</f>
        <v>Dubai&gt;Al Karama&gt;Raha Residence</v>
      </c>
      <c r="E7683" s="2"/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</row>
    <row r="7684" spans="1:26" ht="16.5" x14ac:dyDescent="0.35">
      <c r="A7684" s="2" t="str">
        <f ca="1">IFERROR(__xludf.DUMMYFUNCTION("""COMPUTED_VALUE"""),"Dubai")</f>
        <v>Dubai</v>
      </c>
      <c r="B7684" s="2" t="str">
        <f ca="1">IFERROR(__xludf.DUMMYFUNCTION("""COMPUTED_VALUE"""),"Khalifa Building")</f>
        <v>Khalifa Building</v>
      </c>
      <c r="C7684" s="2" t="str">
        <f ca="1">IFERROR(__xludf.DUMMYFUNCTION("""COMPUTED_VALUE"""),"Building")</f>
        <v>Building</v>
      </c>
      <c r="D7684" s="2" t="str">
        <f ca="1">IFERROR(__xludf.DUMMYFUNCTION("""COMPUTED_VALUE"""),"Dubai&gt;Al Karama&gt;Khalifa Building")</f>
        <v>Dubai&gt;Al Karama&gt;Khalifa Building</v>
      </c>
      <c r="E7684" s="2"/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</row>
    <row r="7685" spans="1:26" ht="16.5" x14ac:dyDescent="0.35">
      <c r="A7685" s="2" t="str">
        <f ca="1">IFERROR(__xludf.DUMMYFUNCTION("""COMPUTED_VALUE"""),"Dubai")</f>
        <v>Dubai</v>
      </c>
      <c r="B7685" s="2" t="str">
        <f ca="1">IFERROR(__xludf.DUMMYFUNCTION("""COMPUTED_VALUE"""),"Al Basti building")</f>
        <v>Al Basti building</v>
      </c>
      <c r="C7685" s="2" t="str">
        <f ca="1">IFERROR(__xludf.DUMMYFUNCTION("""COMPUTED_VALUE"""),"Building")</f>
        <v>Building</v>
      </c>
      <c r="D7685" s="2" t="str">
        <f ca="1">IFERROR(__xludf.DUMMYFUNCTION("""COMPUTED_VALUE"""),"Dubai&gt;Al Karama&gt;Al Basti building")</f>
        <v>Dubai&gt;Al Karama&gt;Al Basti building</v>
      </c>
      <c r="E7685" s="2"/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</row>
    <row r="7686" spans="1:26" ht="16.5" x14ac:dyDescent="0.35">
      <c r="A7686" s="2" t="str">
        <f ca="1">IFERROR(__xludf.DUMMYFUNCTION("""COMPUTED_VALUE"""),"Dubai")</f>
        <v>Dubai</v>
      </c>
      <c r="B7686" s="2" t="str">
        <f ca="1">IFERROR(__xludf.DUMMYFUNCTION("""COMPUTED_VALUE"""),"Al Maskan Apartments")</f>
        <v>Al Maskan Apartments</v>
      </c>
      <c r="C7686" s="2" t="str">
        <f ca="1">IFERROR(__xludf.DUMMYFUNCTION("""COMPUTED_VALUE"""),"Cluster")</f>
        <v>Cluster</v>
      </c>
      <c r="D7686" s="2" t="str">
        <f ca="1">IFERROR(__xludf.DUMMYFUNCTION("""COMPUTED_VALUE"""),"Dubai&gt;Al Karama&gt;Al Maskan Apartments")</f>
        <v>Dubai&gt;Al Karama&gt;Al Maskan Apartments</v>
      </c>
      <c r="E7686" s="2"/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</row>
    <row r="7687" spans="1:26" ht="16.5" x14ac:dyDescent="0.35">
      <c r="A7687" s="2" t="str">
        <f ca="1">IFERROR(__xludf.DUMMYFUNCTION("""COMPUTED_VALUE"""),"Dubai")</f>
        <v>Dubai</v>
      </c>
      <c r="B7687" s="2" t="str">
        <f ca="1">IFERROR(__xludf.DUMMYFUNCTION("""COMPUTED_VALUE"""),"SMJ 3 Building")</f>
        <v>SMJ 3 Building</v>
      </c>
      <c r="C7687" s="2" t="str">
        <f ca="1">IFERROR(__xludf.DUMMYFUNCTION("""COMPUTED_VALUE"""),"Building")</f>
        <v>Building</v>
      </c>
      <c r="D7687" s="2" t="str">
        <f ca="1">IFERROR(__xludf.DUMMYFUNCTION("""COMPUTED_VALUE"""),"Dubai&gt;Al Karama&gt;SMJ 3 Building")</f>
        <v>Dubai&gt;Al Karama&gt;SMJ 3 Building</v>
      </c>
      <c r="E7687" s="2"/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</row>
    <row r="7688" spans="1:26" ht="16.5" x14ac:dyDescent="0.35">
      <c r="A7688" s="2" t="str">
        <f ca="1">IFERROR(__xludf.DUMMYFUNCTION("""COMPUTED_VALUE"""),"Dubai")</f>
        <v>Dubai</v>
      </c>
      <c r="B7688" s="2" t="str">
        <f ca="1">IFERROR(__xludf.DUMMYFUNCTION("""COMPUTED_VALUE"""),"Titanium Tower")</f>
        <v>Titanium Tower</v>
      </c>
      <c r="C7688" s="2" t="str">
        <f ca="1">IFERROR(__xludf.DUMMYFUNCTION("""COMPUTED_VALUE"""),"Building")</f>
        <v>Building</v>
      </c>
      <c r="D7688" s="2" t="str">
        <f ca="1">IFERROR(__xludf.DUMMYFUNCTION("""COMPUTED_VALUE"""),"Dubai&gt;Al Karama&gt;Titanium Tower")</f>
        <v>Dubai&gt;Al Karama&gt;Titanium Tower</v>
      </c>
      <c r="E7688" s="2"/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</row>
    <row r="7689" spans="1:26" ht="16.5" x14ac:dyDescent="0.35">
      <c r="A7689" s="2" t="str">
        <f ca="1">IFERROR(__xludf.DUMMYFUNCTION("""COMPUTED_VALUE"""),"Dubai")</f>
        <v>Dubai</v>
      </c>
      <c r="B7689" s="2" t="str">
        <f ca="1">IFERROR(__xludf.DUMMYFUNCTION("""COMPUTED_VALUE"""),"Nastaran Tower")</f>
        <v>Nastaran Tower</v>
      </c>
      <c r="C7689" s="2" t="str">
        <f ca="1">IFERROR(__xludf.DUMMYFUNCTION("""COMPUTED_VALUE"""),"Building")</f>
        <v>Building</v>
      </c>
      <c r="D7689" s="2" t="str">
        <f ca="1">IFERROR(__xludf.DUMMYFUNCTION("""COMPUTED_VALUE"""),"Dubai&gt;Culture Village (Jaddaf Waterfront)&gt;Nastaran Tower")</f>
        <v>Dubai&gt;Culture Village (Jaddaf Waterfront)&gt;Nastaran Tower</v>
      </c>
      <c r="E7689" s="2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</row>
    <row r="7690" spans="1:26" ht="16.5" x14ac:dyDescent="0.35">
      <c r="A7690" s="2" t="str">
        <f ca="1">IFERROR(__xludf.DUMMYFUNCTION("""COMPUTED_VALUE"""),"Dubai")</f>
        <v>Dubai</v>
      </c>
      <c r="B7690" s="2" t="str">
        <f ca="1">IFERROR(__xludf.DUMMYFUNCTION("""COMPUTED_VALUE"""),"Raffles International School")</f>
        <v>Raffles International School</v>
      </c>
      <c r="C7690" s="2" t="str">
        <f ca="1">IFERROR(__xludf.DUMMYFUNCTION("""COMPUTED_VALUE"""),"School")</f>
        <v>School</v>
      </c>
      <c r="D7690" s="2" t="str">
        <f ca="1">IFERROR(__xludf.DUMMYFUNCTION("""COMPUTED_VALUE"""),"Dubai&gt;Umm Suqeim&gt;Umm Suqeim 3&gt;Raffles International School")</f>
        <v>Dubai&gt;Umm Suqeim&gt;Umm Suqeim 3&gt;Raffles International School</v>
      </c>
      <c r="E7690" s="2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</row>
    <row r="7691" spans="1:26" ht="16.5" x14ac:dyDescent="0.35">
      <c r="A7691" s="2" t="str">
        <f ca="1">IFERROR(__xludf.DUMMYFUNCTION("""COMPUTED_VALUE"""),"Dubai")</f>
        <v>Dubai</v>
      </c>
      <c r="B7691" s="2" t="str">
        <f ca="1">IFERROR(__xludf.DUMMYFUNCTION("""COMPUTED_VALUE"""),"Lamaa")</f>
        <v>Lamaa</v>
      </c>
      <c r="C7691" s="2" t="str">
        <f ca="1">IFERROR(__xludf.DUMMYFUNCTION("""COMPUTED_VALUE"""),"Cluster")</f>
        <v>Cluster</v>
      </c>
      <c r="D7691" s="2" t="str">
        <f ca="1">IFERROR(__xludf.DUMMYFUNCTION("""COMPUTED_VALUE"""),"Dubai&gt;Umm Suqeim&gt;Madinat Jumeirah Living&gt;Lamaa")</f>
        <v>Dubai&gt;Umm Suqeim&gt;Madinat Jumeirah Living&gt;Lamaa</v>
      </c>
      <c r="E7691" s="2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</row>
    <row r="7692" spans="1:26" ht="16.5" x14ac:dyDescent="0.35">
      <c r="A7692" s="2" t="str">
        <f ca="1">IFERROR(__xludf.DUMMYFUNCTION("""COMPUTED_VALUE"""),"Dubai")</f>
        <v>Dubai</v>
      </c>
      <c r="B7692" s="2" t="str">
        <f ca="1">IFERROR(__xludf.DUMMYFUNCTION("""COMPUTED_VALUE"""),"Home Grown Children’s Eco Nursery")</f>
        <v>Home Grown Children’s Eco Nursery</v>
      </c>
      <c r="C7692" s="2" t="str">
        <f ca="1">IFERROR(__xludf.DUMMYFUNCTION("""COMPUTED_VALUE"""),"Nursery")</f>
        <v>Nursery</v>
      </c>
      <c r="D7692" s="2" t="str">
        <f ca="1">IFERROR(__xludf.DUMMYFUNCTION("""COMPUTED_VALUE"""),"Dubai&gt;Umm Suqeim&gt;Umm Suqeim 2&gt;Home Grown Children’s Eco Nursery")</f>
        <v>Dubai&gt;Umm Suqeim&gt;Umm Suqeim 2&gt;Home Grown Children’s Eco Nursery</v>
      </c>
      <c r="E7692" s="2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</row>
    <row r="7693" spans="1:26" ht="16.5" x14ac:dyDescent="0.35">
      <c r="A7693" s="2" t="str">
        <f ca="1">IFERROR(__xludf.DUMMYFUNCTION("""COMPUTED_VALUE"""),"Dubai")</f>
        <v>Dubai</v>
      </c>
      <c r="B7693" s="2" t="str">
        <f ca="1">IFERROR(__xludf.DUMMYFUNCTION("""COMPUTED_VALUE"""),"Azizi Milan 9")</f>
        <v>Azizi Milan 9</v>
      </c>
      <c r="C7693" s="2" t="str">
        <f ca="1">IFERROR(__xludf.DUMMYFUNCTION("""COMPUTED_VALUE"""),"Building")</f>
        <v>Building</v>
      </c>
      <c r="D7693" s="2" t="str">
        <f ca="1">IFERROR(__xludf.DUMMYFUNCTION("""COMPUTED_VALUE"""),"Dubai&gt;City of Arabia&gt;Azizi Milan&gt;Azizi Milan 9")</f>
        <v>Dubai&gt;City of Arabia&gt;Azizi Milan&gt;Azizi Milan 9</v>
      </c>
      <c r="E7693" s="2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</row>
    <row r="7694" spans="1:26" ht="16.5" x14ac:dyDescent="0.35">
      <c r="A7694" s="2" t="str">
        <f ca="1">IFERROR(__xludf.DUMMYFUNCTION("""COMPUTED_VALUE"""),"Dubai")</f>
        <v>Dubai</v>
      </c>
      <c r="B7694" s="2" t="str">
        <f ca="1">IFERROR(__xludf.DUMMYFUNCTION("""COMPUTED_VALUE"""),"Al Badaa Star Residence")</f>
        <v>Al Badaa Star Residence</v>
      </c>
      <c r="C7694" s="2" t="str">
        <f ca="1">IFERROR(__xludf.DUMMYFUNCTION("""COMPUTED_VALUE"""),"Building")</f>
        <v>Building</v>
      </c>
      <c r="D7694" s="2" t="str">
        <f ca="1">IFERROR(__xludf.DUMMYFUNCTION("""COMPUTED_VALUE"""),"Dubai&gt;Al Badaa&gt;Al Badaa Star Residence")</f>
        <v>Dubai&gt;Al Badaa&gt;Al Badaa Star Residence</v>
      </c>
      <c r="E7694" s="2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</row>
    <row r="7695" spans="1:26" ht="16.5" x14ac:dyDescent="0.35">
      <c r="A7695" s="2" t="str">
        <f ca="1">IFERROR(__xludf.DUMMYFUNCTION("""COMPUTED_VALUE"""),"Dubai")</f>
        <v>Dubai</v>
      </c>
      <c r="B7695" s="2" t="str">
        <f ca="1">IFERROR(__xludf.DUMMYFUNCTION("""COMPUTED_VALUE"""),"Al Shafar Building 7")</f>
        <v>Al Shafar Building 7</v>
      </c>
      <c r="C7695" s="2" t="str">
        <f ca="1">IFERROR(__xludf.DUMMYFUNCTION("""COMPUTED_VALUE"""),"Building")</f>
        <v>Building</v>
      </c>
      <c r="D7695" s="2" t="str">
        <f ca="1">IFERROR(__xludf.DUMMYFUNCTION("""COMPUTED_VALUE"""),"Dubai&gt;Al Badaa&gt;Al Shafar Building 7")</f>
        <v>Dubai&gt;Al Badaa&gt;Al Shafar Building 7</v>
      </c>
      <c r="E7695" s="2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</row>
    <row r="7696" spans="1:26" ht="16.5" x14ac:dyDescent="0.35">
      <c r="A7696" s="2" t="str">
        <f ca="1">IFERROR(__xludf.DUMMYFUNCTION("""COMPUTED_VALUE"""),"Dubai")</f>
        <v>Dubai</v>
      </c>
      <c r="B7696" s="2" t="str">
        <f ca="1">IFERROR(__xludf.DUMMYFUNCTION("""COMPUTED_VALUE"""),"Manara")</f>
        <v>Manara</v>
      </c>
      <c r="C7696" s="2" t="str">
        <f ca="1">IFERROR(__xludf.DUMMYFUNCTION("""COMPUTED_VALUE"""),"Cluster")</f>
        <v>Cluster</v>
      </c>
      <c r="D7696" s="2" t="str">
        <f ca="1">IFERROR(__xludf.DUMMYFUNCTION("""COMPUTED_VALUE"""),"Dubai&gt;Dubai Waterfront&gt;Badrah&gt;Manara")</f>
        <v>Dubai&gt;Dubai Waterfront&gt;Badrah&gt;Manara</v>
      </c>
      <c r="E7696" s="2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</row>
    <row r="7697" spans="1:26" ht="16.5" x14ac:dyDescent="0.35">
      <c r="A7697" s="2" t="str">
        <f ca="1">IFERROR(__xludf.DUMMYFUNCTION("""COMPUTED_VALUE"""),"Dubai")</f>
        <v>Dubai</v>
      </c>
      <c r="B7697" s="2" t="str">
        <f ca="1">IFERROR(__xludf.DUMMYFUNCTION("""COMPUTED_VALUE"""),"Building 3")</f>
        <v>Building 3</v>
      </c>
      <c r="C7697" s="2" t="str">
        <f ca="1">IFERROR(__xludf.DUMMYFUNCTION("""COMPUTED_VALUE"""),"Building")</f>
        <v>Building</v>
      </c>
      <c r="D7697" s="2" t="str">
        <f ca="1">IFERROR(__xludf.DUMMYFUNCTION("""COMPUTED_VALUE"""),"Dubai&gt;Academic City&gt;Dubai Outsource City&gt;Building 3")</f>
        <v>Dubai&gt;Academic City&gt;Dubai Outsource City&gt;Building 3</v>
      </c>
      <c r="E7697" s="2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</row>
    <row r="7698" spans="1:26" ht="16.5" x14ac:dyDescent="0.35">
      <c r="A7698" s="2" t="str">
        <f ca="1">IFERROR(__xludf.DUMMYFUNCTION("""COMPUTED_VALUE"""),"Dubai")</f>
        <v>Dubai</v>
      </c>
      <c r="B7698" s="2" t="str">
        <f ca="1">IFERROR(__xludf.DUMMYFUNCTION("""COMPUTED_VALUE"""),"Design Quarter Office Building A2")</f>
        <v>Design Quarter Office Building A2</v>
      </c>
      <c r="C7698" s="2" t="str">
        <f ca="1">IFERROR(__xludf.DUMMYFUNCTION("""COMPUTED_VALUE"""),"Building")</f>
        <v>Building</v>
      </c>
      <c r="D7698" s="2" t="str">
        <f ca="1">IFERROR(__xludf.DUMMYFUNCTION("""COMPUTED_VALUE"""),"Dubai&gt;Dubai Design District&gt;Design Quarter&gt;Design Quarter Office Building A2")</f>
        <v>Dubai&gt;Dubai Design District&gt;Design Quarter&gt;Design Quarter Office Building A2</v>
      </c>
      <c r="E7698" s="2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</row>
    <row r="7699" spans="1:26" ht="16.5" x14ac:dyDescent="0.35">
      <c r="A7699" s="2" t="str">
        <f ca="1">IFERROR(__xludf.DUMMYFUNCTION("""COMPUTED_VALUE"""),"Dubai")</f>
        <v>Dubai</v>
      </c>
      <c r="B7699" s="2" t="str">
        <f ca="1">IFERROR(__xludf.DUMMYFUNCTION("""COMPUTED_VALUE"""),"Al Wasl PR 400 Block M3")</f>
        <v>Al Wasl PR 400 Block M3</v>
      </c>
      <c r="C7699" s="2" t="str">
        <f ca="1">IFERROR(__xludf.DUMMYFUNCTION("""COMPUTED_VALUE"""),"Building")</f>
        <v>Building</v>
      </c>
      <c r="D7699" s="2" t="str">
        <f ca="1">IFERROR(__xludf.DUMMYFUNCTION("""COMPUTED_VALUE"""),"Dubai&gt;Al Hudaiba&gt;Al Wasl PR 400 Block M3")</f>
        <v>Dubai&gt;Al Hudaiba&gt;Al Wasl PR 400 Block M3</v>
      </c>
      <c r="E7699" s="2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</row>
    <row r="7700" spans="1:26" ht="16.5" x14ac:dyDescent="0.35">
      <c r="A7700" s="2" t="str">
        <f ca="1">IFERROR(__xludf.DUMMYFUNCTION("""COMPUTED_VALUE"""),"Dubai")</f>
        <v>Dubai</v>
      </c>
      <c r="B7700" s="2" t="str">
        <f ca="1">IFERROR(__xludf.DUMMYFUNCTION("""COMPUTED_VALUE"""),"Jumeirah Plaza")</f>
        <v>Jumeirah Plaza</v>
      </c>
      <c r="C7700" s="2" t="str">
        <f ca="1">IFERROR(__xludf.DUMMYFUNCTION("""COMPUTED_VALUE"""),"Building")</f>
        <v>Building</v>
      </c>
      <c r="D7700" s="2" t="str">
        <f ca="1">IFERROR(__xludf.DUMMYFUNCTION("""COMPUTED_VALUE"""),"Dubai&gt;Jumeirah&gt;Jumeirah 1&gt;Jumeirah Plaza")</f>
        <v>Dubai&gt;Jumeirah&gt;Jumeirah 1&gt;Jumeirah Plaza</v>
      </c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</row>
    <row r="7701" spans="1:26" ht="16.5" x14ac:dyDescent="0.35">
      <c r="A7701" s="2" t="str">
        <f ca="1">IFERROR(__xludf.DUMMYFUNCTION("""COMPUTED_VALUE"""),"Dubai")</f>
        <v>Dubai</v>
      </c>
      <c r="B7701" s="2" t="str">
        <f ca="1">IFERROR(__xludf.DUMMYFUNCTION("""COMPUTED_VALUE"""),"Bulgari Residence 1")</f>
        <v>Bulgari Residence 1</v>
      </c>
      <c r="C7701" s="2" t="str">
        <f ca="1">IFERROR(__xludf.DUMMYFUNCTION("""COMPUTED_VALUE"""),"Building")</f>
        <v>Building</v>
      </c>
      <c r="D7701" s="2" t="str">
        <f ca="1">IFERROR(__xludf.DUMMYFUNCTION("""COMPUTED_VALUE"""),"Dubai&gt;Jumeirah&gt;Jumeirah Bay Islands&gt;Bulgari Residences&gt;Bulgari Residence 1")</f>
        <v>Dubai&gt;Jumeirah&gt;Jumeirah Bay Islands&gt;Bulgari Residences&gt;Bulgari Residence 1</v>
      </c>
      <c r="E7701" s="2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</row>
    <row r="7702" spans="1:26" ht="16.5" x14ac:dyDescent="0.35">
      <c r="A7702" s="2" t="str">
        <f ca="1">IFERROR(__xludf.DUMMYFUNCTION("""COMPUTED_VALUE"""),"Dubai")</f>
        <v>Dubai</v>
      </c>
      <c r="B7702" s="2" t="str">
        <f ca="1">IFERROR(__xludf.DUMMYFUNCTION("""COMPUTED_VALUE"""),"La Voile")</f>
        <v>La Voile</v>
      </c>
      <c r="C7702" s="2" t="str">
        <f ca="1">IFERROR(__xludf.DUMMYFUNCTION("""COMPUTED_VALUE"""),"Neighbourhood")</f>
        <v>Neighbourhood</v>
      </c>
      <c r="D7702" s="2" t="str">
        <f ca="1">IFERROR(__xludf.DUMMYFUNCTION("""COMPUTED_VALUE"""),"Dubai&gt;Jumeirah&gt;La Mer&gt;Port de La Mer&gt;La Voile")</f>
        <v>Dubai&gt;Jumeirah&gt;La Mer&gt;Port de La Mer&gt;La Voile</v>
      </c>
      <c r="E7702" s="2"/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</row>
    <row r="7703" spans="1:26" ht="16.5" x14ac:dyDescent="0.35">
      <c r="A7703" s="2" t="str">
        <f ca="1">IFERROR(__xludf.DUMMYFUNCTION("""COMPUTED_VALUE"""),"Dubai")</f>
        <v>Dubai</v>
      </c>
      <c r="B7703" s="2" t="str">
        <f ca="1">IFERROR(__xludf.DUMMYFUNCTION("""COMPUTED_VALUE"""),"Rove La Mer Beach")</f>
        <v>Rove La Mer Beach</v>
      </c>
      <c r="C7703" s="2" t="str">
        <f ca="1">IFERROR(__xludf.DUMMYFUNCTION("""COMPUTED_VALUE"""),"Building")</f>
        <v>Building</v>
      </c>
      <c r="D7703" s="2" t="str">
        <f ca="1">IFERROR(__xludf.DUMMYFUNCTION("""COMPUTED_VALUE"""),"Dubai&gt;Jumeirah&gt;La Mer&gt;Rove La Mer Beach")</f>
        <v>Dubai&gt;Jumeirah&gt;La Mer&gt;Rove La Mer Beach</v>
      </c>
      <c r="E7703" s="2"/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</row>
    <row r="7704" spans="1:26" ht="16.5" x14ac:dyDescent="0.35">
      <c r="A7704" s="2" t="str">
        <f ca="1">IFERROR(__xludf.DUMMYFUNCTION("""COMPUTED_VALUE"""),"Dubai")</f>
        <v>Dubai</v>
      </c>
      <c r="B7704" s="2" t="str">
        <f ca="1">IFERROR(__xludf.DUMMYFUNCTION("""COMPUTED_VALUE"""),"Creekside 18 Podium")</f>
        <v>Creekside 18 Podium</v>
      </c>
      <c r="C7704" s="2" t="str">
        <f ca="1">IFERROR(__xludf.DUMMYFUNCTION("""COMPUTED_VALUE"""),"Building")</f>
        <v>Building</v>
      </c>
      <c r="D7704" s="2" t="str">
        <f ca="1">IFERROR(__xludf.DUMMYFUNCTION("""COMPUTED_VALUE"""),"Dubai&gt;Dubai Creek Harbour&gt;Creekside 18&gt;Creekside 18 Podium")</f>
        <v>Dubai&gt;Dubai Creek Harbour&gt;Creekside 18&gt;Creekside 18 Podium</v>
      </c>
      <c r="E7704" s="2"/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</row>
    <row r="7705" spans="1:26" ht="16.5" x14ac:dyDescent="0.35">
      <c r="A7705" s="2" t="str">
        <f ca="1">IFERROR(__xludf.DUMMYFUNCTION("""COMPUTED_VALUE"""),"Dubai")</f>
        <v>Dubai</v>
      </c>
      <c r="B7705" s="2" t="str">
        <f ca="1">IFERROR(__xludf.DUMMYFUNCTION("""COMPUTED_VALUE"""),"Summer 2")</f>
        <v>Summer 2</v>
      </c>
      <c r="C7705" s="2" t="str">
        <f ca="1">IFERROR(__xludf.DUMMYFUNCTION("""COMPUTED_VALUE"""),"Building")</f>
        <v>Building</v>
      </c>
      <c r="D7705" s="2" t="str">
        <f ca="1">IFERROR(__xludf.DUMMYFUNCTION("""COMPUTED_VALUE"""),"Dubai&gt;Dubai Creek Harbour&gt;Summer at Creek Beach&gt;Summer 2")</f>
        <v>Dubai&gt;Dubai Creek Harbour&gt;Summer at Creek Beach&gt;Summer 2</v>
      </c>
      <c r="E7705" s="2"/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</row>
    <row r="7706" spans="1:26" ht="16.5" x14ac:dyDescent="0.35">
      <c r="A7706" s="2" t="str">
        <f ca="1">IFERROR(__xludf.DUMMYFUNCTION("""COMPUTED_VALUE"""),"Dubai")</f>
        <v>Dubai</v>
      </c>
      <c r="B7706" s="2" t="str">
        <f ca="1">IFERROR(__xludf.DUMMYFUNCTION("""COMPUTED_VALUE"""),"The Dubai Creek Residences North Podium")</f>
        <v>The Dubai Creek Residences North Podium</v>
      </c>
      <c r="C7706" s="2" t="str">
        <f ca="1">IFERROR(__xludf.DUMMYFUNCTION("""COMPUTED_VALUE"""),"Building")</f>
        <v>Building</v>
      </c>
      <c r="D7706" s="2" t="str">
        <f ca="1">IFERROR(__xludf.DUMMYFUNCTION("""COMPUTED_VALUE"""),"Dubai&gt;Dubai Creek Harbour&gt;Dubai Creek Residences&gt;The Dubai Creek Residences North Podium")</f>
        <v>Dubai&gt;Dubai Creek Harbour&gt;Dubai Creek Residences&gt;The Dubai Creek Residences North Podium</v>
      </c>
      <c r="E7706" s="2"/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</row>
    <row r="7707" spans="1:26" ht="16.5" x14ac:dyDescent="0.35">
      <c r="A7707" s="2" t="str">
        <f ca="1">IFERROR(__xludf.DUMMYFUNCTION("""COMPUTED_VALUE"""),"Dubai")</f>
        <v>Dubai</v>
      </c>
      <c r="B7707" s="2" t="str">
        <f ca="1">IFERROR(__xludf.DUMMYFUNCTION("""COMPUTED_VALUE"""),"Mangrove at Creek Beach")</f>
        <v>Mangrove at Creek Beach</v>
      </c>
      <c r="C7707" s="2" t="str">
        <f ca="1">IFERROR(__xludf.DUMMYFUNCTION("""COMPUTED_VALUE"""),"Cluster")</f>
        <v>Cluster</v>
      </c>
      <c r="D7707" s="2" t="str">
        <f ca="1">IFERROR(__xludf.DUMMYFUNCTION("""COMPUTED_VALUE"""),"Dubai&gt;Dubai Creek Harbour&gt;Mangrove at Creek Beach")</f>
        <v>Dubai&gt;Dubai Creek Harbour&gt;Mangrove at Creek Beach</v>
      </c>
      <c r="E7707" s="2"/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</row>
    <row r="7708" spans="1:26" ht="16.5" x14ac:dyDescent="0.35">
      <c r="A7708" s="2" t="str">
        <f ca="1">IFERROR(__xludf.DUMMYFUNCTION("""COMPUTED_VALUE"""),"Dubai")</f>
        <v>Dubai</v>
      </c>
      <c r="B7708" s="2" t="str">
        <f ca="1">IFERROR(__xludf.DUMMYFUNCTION("""COMPUTED_VALUE"""),"GEMS FirstPoint School")</f>
        <v>GEMS FirstPoint School</v>
      </c>
      <c r="C7708" s="2" t="str">
        <f ca="1">IFERROR(__xludf.DUMMYFUNCTION("""COMPUTED_VALUE"""),"School")</f>
        <v>School</v>
      </c>
      <c r="D7708" s="2" t="str">
        <f ca="1">IFERROR(__xludf.DUMMYFUNCTION("""COMPUTED_VALUE"""),"Dubai&gt;The Villa&gt;The Centro&gt;GEMS FirstPoint School")</f>
        <v>Dubai&gt;The Villa&gt;The Centro&gt;GEMS FirstPoint School</v>
      </c>
      <c r="E7708" s="2"/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</row>
    <row r="7709" spans="1:26" ht="16.5" x14ac:dyDescent="0.35">
      <c r="A7709" s="2" t="str">
        <f ca="1">IFERROR(__xludf.DUMMYFUNCTION("""COMPUTED_VALUE"""),"Dubai")</f>
        <v>Dubai</v>
      </c>
      <c r="B7709" s="2" t="str">
        <f ca="1">IFERROR(__xludf.DUMMYFUNCTION("""COMPUTED_VALUE"""),"Al Shafar Tower 1")</f>
        <v>Al Shafar Tower 1</v>
      </c>
      <c r="C7709" s="2" t="str">
        <f ca="1">IFERROR(__xludf.DUMMYFUNCTION("""COMPUTED_VALUE"""),"Building")</f>
        <v>Building</v>
      </c>
      <c r="D7709" s="2" t="str">
        <f ca="1">IFERROR(__xludf.DUMMYFUNCTION("""COMPUTED_VALUE"""),"Dubai&gt;Barsha Heights (Tecom)&gt;Al Shafar Tower&gt;Al Shafar Tower 1")</f>
        <v>Dubai&gt;Barsha Heights (Tecom)&gt;Al Shafar Tower&gt;Al Shafar Tower 1</v>
      </c>
      <c r="E7709" s="2"/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</row>
    <row r="7710" spans="1:26" ht="16.5" x14ac:dyDescent="0.35">
      <c r="A7710" s="2" t="str">
        <f ca="1">IFERROR(__xludf.DUMMYFUNCTION("""COMPUTED_VALUE"""),"Dubai")</f>
        <v>Dubai</v>
      </c>
      <c r="B7710" s="2" t="str">
        <f ca="1">IFERROR(__xludf.DUMMYFUNCTION("""COMPUTED_VALUE"""),"Al Hassani Tower")</f>
        <v>Al Hassani Tower</v>
      </c>
      <c r="C7710" s="2" t="str">
        <f ca="1">IFERROR(__xludf.DUMMYFUNCTION("""COMPUTED_VALUE"""),"Building")</f>
        <v>Building</v>
      </c>
      <c r="D7710" s="2" t="str">
        <f ca="1">IFERROR(__xludf.DUMMYFUNCTION("""COMPUTED_VALUE"""),"Dubai&gt;Barsha Heights (Tecom)&gt;Al Hassani Tower")</f>
        <v>Dubai&gt;Barsha Heights (Tecom)&gt;Al Hassani Tower</v>
      </c>
      <c r="E7710" s="2"/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</row>
    <row r="7711" spans="1:26" ht="16.5" x14ac:dyDescent="0.35">
      <c r="A7711" s="2" t="str">
        <f ca="1">IFERROR(__xludf.DUMMYFUNCTION("""COMPUTED_VALUE"""),"Dubai")</f>
        <v>Dubai</v>
      </c>
      <c r="B7711" s="2" t="str">
        <f ca="1">IFERROR(__xludf.DUMMYFUNCTION("""COMPUTED_VALUE"""),"First Central Hotel Suites")</f>
        <v>First Central Hotel Suites</v>
      </c>
      <c r="C7711" s="2" t="str">
        <f ca="1">IFERROR(__xludf.DUMMYFUNCTION("""COMPUTED_VALUE"""),"Building")</f>
        <v>Building</v>
      </c>
      <c r="D7711" s="2" t="str">
        <f ca="1">IFERROR(__xludf.DUMMYFUNCTION("""COMPUTED_VALUE"""),"Dubai&gt;Barsha Heights (Tecom)&gt;First Central Hotel Suites")</f>
        <v>Dubai&gt;Barsha Heights (Tecom)&gt;First Central Hotel Suites</v>
      </c>
      <c r="E7711" s="2"/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</row>
    <row r="7712" spans="1:26" ht="16.5" x14ac:dyDescent="0.35">
      <c r="A7712" s="2" t="str">
        <f ca="1">IFERROR(__xludf.DUMMYFUNCTION("""COMPUTED_VALUE"""),"Dubai")</f>
        <v>Dubai</v>
      </c>
      <c r="B7712" s="2" t="str">
        <f ca="1">IFERROR(__xludf.DUMMYFUNCTION("""COMPUTED_VALUE"""),"Weston Court")</f>
        <v>Weston Court</v>
      </c>
      <c r="C7712" s="2" t="str">
        <f ca="1">IFERROR(__xludf.DUMMYFUNCTION("""COMPUTED_VALUE"""),"Cluster")</f>
        <v>Cluster</v>
      </c>
      <c r="D7712" s="2" t="str">
        <f ca="1">IFERROR(__xludf.DUMMYFUNCTION("""COMPUTED_VALUE"""),"Dubai&gt;Motor City&gt;Weston Court")</f>
        <v>Dubai&gt;Motor City&gt;Weston Court</v>
      </c>
      <c r="E7712" s="2"/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</row>
    <row r="7713" spans="1:26" ht="16.5" x14ac:dyDescent="0.35">
      <c r="A7713" s="2" t="str">
        <f ca="1">IFERROR(__xludf.DUMMYFUNCTION("""COMPUTED_VALUE"""),"Dubai")</f>
        <v>Dubai</v>
      </c>
      <c r="B7713" s="2" t="str">
        <f ca="1">IFERROR(__xludf.DUMMYFUNCTION("""COMPUTED_VALUE"""),"Uptown Motor City")</f>
        <v>Uptown Motor City</v>
      </c>
      <c r="C7713" s="2" t="str">
        <f ca="1">IFERROR(__xludf.DUMMYFUNCTION("""COMPUTED_VALUE"""),"Neighbourhood")</f>
        <v>Neighbourhood</v>
      </c>
      <c r="D7713" s="2" t="str">
        <f ca="1">IFERROR(__xludf.DUMMYFUNCTION("""COMPUTED_VALUE"""),"Dubai&gt;Motor City&gt;Uptown Motor City")</f>
        <v>Dubai&gt;Motor City&gt;Uptown Motor City</v>
      </c>
      <c r="E7713" s="2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</row>
    <row r="7714" spans="1:26" ht="16.5" x14ac:dyDescent="0.35">
      <c r="A7714" s="2" t="str">
        <f ca="1">IFERROR(__xludf.DUMMYFUNCTION("""COMPUTED_VALUE"""),"Dubai")</f>
        <v>Dubai</v>
      </c>
      <c r="B7714" s="2" t="str">
        <f ca="1">IFERROR(__xludf.DUMMYFUNCTION("""COMPUTED_VALUE"""),"Abbey Crescent 4")</f>
        <v>Abbey Crescent 4</v>
      </c>
      <c r="C7714" s="2" t="str">
        <f ca="1">IFERROR(__xludf.DUMMYFUNCTION("""COMPUTED_VALUE"""),"Building")</f>
        <v>Building</v>
      </c>
      <c r="D7714" s="2" t="str">
        <f ca="1">IFERROR(__xludf.DUMMYFUNCTION("""COMPUTED_VALUE"""),"Dubai&gt;Motor City&gt;Uptown Motor City&gt;Abbey Crescent&gt;Abbey Crescent 4")</f>
        <v>Dubai&gt;Motor City&gt;Uptown Motor City&gt;Abbey Crescent&gt;Abbey Crescent 4</v>
      </c>
      <c r="E7714" s="2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</row>
    <row r="7715" spans="1:26" ht="16.5" x14ac:dyDescent="0.35">
      <c r="A7715" s="2" t="str">
        <f ca="1">IFERROR(__xludf.DUMMYFUNCTION("""COMPUTED_VALUE"""),"Dubai")</f>
        <v>Dubai</v>
      </c>
      <c r="B7715" s="2" t="str">
        <f ca="1">IFERROR(__xludf.DUMMYFUNCTION("""COMPUTED_VALUE"""),"Widcombe House 1")</f>
        <v>Widcombe House 1</v>
      </c>
      <c r="C7715" s="2" t="str">
        <f ca="1">IFERROR(__xludf.DUMMYFUNCTION("""COMPUTED_VALUE"""),"Building")</f>
        <v>Building</v>
      </c>
      <c r="D7715" s="2" t="str">
        <f ca="1">IFERROR(__xludf.DUMMYFUNCTION("""COMPUTED_VALUE"""),"Dubai&gt;Motor City&gt;Uptown Motor City&gt;Widcombe House&gt;Widcombe House 1")</f>
        <v>Dubai&gt;Motor City&gt;Uptown Motor City&gt;Widcombe House&gt;Widcombe House 1</v>
      </c>
      <c r="E7715" s="2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</row>
    <row r="7716" spans="1:26" ht="16.5" x14ac:dyDescent="0.35">
      <c r="A7716" s="2" t="str">
        <f ca="1">IFERROR(__xludf.DUMMYFUNCTION("""COMPUTED_VALUE"""),"Dubai")</f>
        <v>Dubai</v>
      </c>
      <c r="B7716" s="2" t="str">
        <f ca="1">IFERROR(__xludf.DUMMYFUNCTION("""COMPUTED_VALUE"""),"Ananda Residences Tower B")</f>
        <v>Ananda Residences Tower B</v>
      </c>
      <c r="C7716" s="2" t="str">
        <f ca="1">IFERROR(__xludf.DUMMYFUNCTION("""COMPUTED_VALUE"""),"Building")</f>
        <v>Building</v>
      </c>
      <c r="D7716" s="2" t="str">
        <f ca="1">IFERROR(__xludf.DUMMYFUNCTION("""COMPUTED_VALUE"""),"Dubai&gt;Motor City&gt;Ananda Residences&gt;Ananda Residences Tower B")</f>
        <v>Dubai&gt;Motor City&gt;Ananda Residences&gt;Ananda Residences Tower B</v>
      </c>
      <c r="E7716" s="2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</row>
    <row r="7717" spans="1:26" ht="16.5" x14ac:dyDescent="0.35">
      <c r="A7717" s="2" t="str">
        <f ca="1">IFERROR(__xludf.DUMMYFUNCTION("""COMPUTED_VALUE"""),"Dubai")</f>
        <v>Dubai</v>
      </c>
      <c r="B7717" s="2" t="str">
        <f ca="1">IFERROR(__xludf.DUMMYFUNCTION("""COMPUTED_VALUE"""),"Pearl Residence")</f>
        <v>Pearl Residence</v>
      </c>
      <c r="C7717" s="2" t="str">
        <f ca="1">IFERROR(__xludf.DUMMYFUNCTION("""COMPUTED_VALUE"""),"Building")</f>
        <v>Building</v>
      </c>
      <c r="D7717" s="2" t="str">
        <f ca="1">IFERROR(__xludf.DUMMYFUNCTION("""COMPUTED_VALUE"""),"Dubai&gt;Al Sufouh&gt;Al Sufouh 1&gt;Pearl Residence")</f>
        <v>Dubai&gt;Al Sufouh&gt;Al Sufouh 1&gt;Pearl Residence</v>
      </c>
      <c r="E7717" s="2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</row>
    <row r="7718" spans="1:26" ht="16.5" x14ac:dyDescent="0.35">
      <c r="A7718" s="2" t="str">
        <f ca="1">IFERROR(__xludf.DUMMYFUNCTION("""COMPUTED_VALUE"""),"Dubai")</f>
        <v>Dubai</v>
      </c>
      <c r="B7718" s="2" t="str">
        <f ca="1">IFERROR(__xludf.DUMMYFUNCTION("""COMPUTED_VALUE"""),"Boutique Office 22")</f>
        <v>Boutique Office 22</v>
      </c>
      <c r="C7718" s="2" t="str">
        <f ca="1">IFERROR(__xludf.DUMMYFUNCTION("""COMPUTED_VALUE"""),"Building")</f>
        <v>Building</v>
      </c>
      <c r="D7718" s="2" t="str">
        <f ca="1">IFERROR(__xludf.DUMMYFUNCTION("""COMPUTED_VALUE"""),"Dubai&gt;Al Sufouh&gt;Al Sufouh 2&gt;Boutique Offices&gt;Boutique Office 22")</f>
        <v>Dubai&gt;Al Sufouh&gt;Al Sufouh 2&gt;Boutique Offices&gt;Boutique Office 22</v>
      </c>
      <c r="E7718" s="2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</row>
    <row r="7719" spans="1:26" ht="16.5" x14ac:dyDescent="0.35">
      <c r="A7719" s="2" t="str">
        <f ca="1">IFERROR(__xludf.DUMMYFUNCTION("""COMPUTED_VALUE"""),"Dubai")</f>
        <v>Dubai</v>
      </c>
      <c r="B7719" s="2" t="str">
        <f ca="1">IFERROR(__xludf.DUMMYFUNCTION("""COMPUTED_VALUE"""),"Sky Business Centre")</f>
        <v>Sky Business Centre</v>
      </c>
      <c r="C7719" s="2" t="str">
        <f ca="1">IFERROR(__xludf.DUMMYFUNCTION("""COMPUTED_VALUE"""),"Building")</f>
        <v>Building</v>
      </c>
      <c r="D7719" s="2" t="str">
        <f ca="1">IFERROR(__xludf.DUMMYFUNCTION("""COMPUTED_VALUE"""),"Dubai&gt;Dubai Festival City&gt;Sky Business Centre")</f>
        <v>Dubai&gt;Dubai Festival City&gt;Sky Business Centre</v>
      </c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</row>
    <row r="7720" spans="1:26" ht="16.5" x14ac:dyDescent="0.35">
      <c r="A7720" s="2" t="str">
        <f ca="1">IFERROR(__xludf.DUMMYFUNCTION("""COMPUTED_VALUE"""),"Dubai")</f>
        <v>Dubai</v>
      </c>
      <c r="B7720" s="2" t="str">
        <f ca="1">IFERROR(__xludf.DUMMYFUNCTION("""COMPUTED_VALUE"""),"Golf Town")</f>
        <v>Golf Town</v>
      </c>
      <c r="C7720" s="2" t="str">
        <f ca="1">IFERROR(__xludf.DUMMYFUNCTION("""COMPUTED_VALUE"""),"Neighbourhood")</f>
        <v>Neighbourhood</v>
      </c>
      <c r="D7720" s="2" t="str">
        <f ca="1">IFERROR(__xludf.DUMMYFUNCTION("""COMPUTED_VALUE"""),"Dubai&gt;DAMAC Hills&gt;Golf Town")</f>
        <v>Dubai&gt;DAMAC Hills&gt;Golf Town</v>
      </c>
      <c r="E7720" s="2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</row>
    <row r="7721" spans="1:26" ht="16.5" x14ac:dyDescent="0.35">
      <c r="A7721" s="2" t="str">
        <f ca="1">IFERROR(__xludf.DUMMYFUNCTION("""COMPUTED_VALUE"""),"Dubai")</f>
        <v>Dubai</v>
      </c>
      <c r="B7721" s="2" t="str">
        <f ca="1">IFERROR(__xludf.DUMMYFUNCTION("""COMPUTED_VALUE"""),"Artesia D")</f>
        <v>Artesia D</v>
      </c>
      <c r="C7721" s="2" t="str">
        <f ca="1">IFERROR(__xludf.DUMMYFUNCTION("""COMPUTED_VALUE"""),"Building")</f>
        <v>Building</v>
      </c>
      <c r="D7721" s="2" t="str">
        <f ca="1">IFERROR(__xludf.DUMMYFUNCTION("""COMPUTED_VALUE"""),"Dubai&gt;DAMAC Hills&gt;Artesia&gt;Artesia D")</f>
        <v>Dubai&gt;DAMAC Hills&gt;Artesia&gt;Artesia D</v>
      </c>
      <c r="E7721" s="2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</row>
    <row r="7722" spans="1:26" ht="16.5" x14ac:dyDescent="0.35">
      <c r="A7722" s="2" t="str">
        <f ca="1">IFERROR(__xludf.DUMMYFUNCTION("""COMPUTED_VALUE"""),"Dubai")</f>
        <v>Dubai</v>
      </c>
      <c r="B7722" s="2" t="str">
        <f ca="1">IFERROR(__xludf.DUMMYFUNCTION("""COMPUTED_VALUE"""),"Jasmine")</f>
        <v>Jasmine</v>
      </c>
      <c r="C7722" s="2" t="str">
        <f ca="1">IFERROR(__xludf.DUMMYFUNCTION("""COMPUTED_VALUE"""),"Cluster")</f>
        <v>Cluster</v>
      </c>
      <c r="D7722" s="2" t="str">
        <f ca="1">IFERROR(__xludf.DUMMYFUNCTION("""COMPUTED_VALUE"""),"Dubai&gt;DAMAC Hills&gt;Jasmine")</f>
        <v>Dubai&gt;DAMAC Hills&gt;Jasmine</v>
      </c>
      <c r="E7722" s="2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</row>
    <row r="7723" spans="1:26" ht="16.5" x14ac:dyDescent="0.35">
      <c r="A7723" s="2" t="str">
        <f ca="1">IFERROR(__xludf.DUMMYFUNCTION("""COMPUTED_VALUE"""),"Dubai")</f>
        <v>Dubai</v>
      </c>
      <c r="B7723" s="2" t="str">
        <f ca="1">IFERROR(__xludf.DUMMYFUNCTION("""COMPUTED_VALUE"""),"DAMAC District")</f>
        <v>DAMAC District</v>
      </c>
      <c r="C7723" s="2" t="str">
        <f ca="1">IFERROR(__xludf.DUMMYFUNCTION("""COMPUTED_VALUE"""),"Cluster")</f>
        <v>Cluster</v>
      </c>
      <c r="D7723" s="2" t="str">
        <f ca="1">IFERROR(__xludf.DUMMYFUNCTION("""COMPUTED_VALUE"""),"Dubai&gt;DAMAC Hills&gt;DAMAC District")</f>
        <v>Dubai&gt;DAMAC Hills&gt;DAMAC District</v>
      </c>
      <c r="E7723" s="2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</row>
    <row r="7724" spans="1:26" ht="16.5" x14ac:dyDescent="0.35">
      <c r="A7724" s="2" t="str">
        <f ca="1">IFERROR(__xludf.DUMMYFUNCTION("""COMPUTED_VALUE"""),"Dubai")</f>
        <v>Dubai</v>
      </c>
      <c r="B7724" s="2" t="str">
        <f ca="1">IFERROR(__xludf.DUMMYFUNCTION("""COMPUTED_VALUE"""),"Dubai Real Estate Centre")</f>
        <v>Dubai Real Estate Centre</v>
      </c>
      <c r="C7724" s="2" t="str">
        <f ca="1">IFERROR(__xludf.DUMMYFUNCTION("""COMPUTED_VALUE"""),"Building")</f>
        <v>Building</v>
      </c>
      <c r="D7724" s="2" t="str">
        <f ca="1">IFERROR(__xludf.DUMMYFUNCTION("""COMPUTED_VALUE"""),"Dubai&gt;Al Mina&gt;Dubai Real Estate Centre")</f>
        <v>Dubai&gt;Al Mina&gt;Dubai Real Estate Centre</v>
      </c>
      <c r="E7724" s="2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</row>
    <row r="7725" spans="1:26" ht="16.5" x14ac:dyDescent="0.35">
      <c r="A7725" s="2" t="str">
        <f ca="1">IFERROR(__xludf.DUMMYFUNCTION("""COMPUTED_VALUE"""),"Dubai")</f>
        <v>Dubai</v>
      </c>
      <c r="B7725" s="2" t="str">
        <f ca="1">IFERROR(__xludf.DUMMYFUNCTION("""COMPUTED_VALUE"""),"DAMAC Seacrest")</f>
        <v>DAMAC Seacrest</v>
      </c>
      <c r="C7725" s="2" t="str">
        <f ca="1">IFERROR(__xludf.DUMMYFUNCTION("""COMPUTED_VALUE"""),"Building")</f>
        <v>Building</v>
      </c>
      <c r="D7725" s="2" t="str">
        <f ca="1">IFERROR(__xludf.DUMMYFUNCTION("""COMPUTED_VALUE"""),"Dubai&gt;Dubai Maritime City&gt;DAMAC Seacrest")</f>
        <v>Dubai&gt;Dubai Maritime City&gt;DAMAC Seacrest</v>
      </c>
      <c r="E7725" s="2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</row>
    <row r="7726" spans="1:26" ht="16.5" x14ac:dyDescent="0.35">
      <c r="A7726" s="2" t="str">
        <f ca="1">IFERROR(__xludf.DUMMYFUNCTION("""COMPUTED_VALUE"""),"Dubai")</f>
        <v>Dubai</v>
      </c>
      <c r="B7726" s="2" t="str">
        <f ca="1">IFERROR(__xludf.DUMMYFUNCTION("""COMPUTED_VALUE"""),"Canal Villas")</f>
        <v>Canal Villas</v>
      </c>
      <c r="C7726" s="2" t="str">
        <f ca="1">IFERROR(__xludf.DUMMYFUNCTION("""COMPUTED_VALUE"""),"Neighbourhood")</f>
        <v>Neighbourhood</v>
      </c>
      <c r="D7726" s="2" t="str">
        <f ca="1">IFERROR(__xludf.DUMMYFUNCTION("""COMPUTED_VALUE"""),"Dubai&gt;The Views&gt;Canal Villas")</f>
        <v>Dubai&gt;The Views&gt;Canal Villas</v>
      </c>
      <c r="E7726" s="2"/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</row>
    <row r="7727" spans="1:26" ht="16.5" x14ac:dyDescent="0.35">
      <c r="A7727" s="2" t="str">
        <f ca="1">IFERROR(__xludf.DUMMYFUNCTION("""COMPUTED_VALUE"""),"Dubai")</f>
        <v>Dubai</v>
      </c>
      <c r="B7727" s="2" t="str">
        <f ca="1">IFERROR(__xludf.DUMMYFUNCTION("""COMPUTED_VALUE"""),"Al Quoz 1")</f>
        <v>Al Quoz 1</v>
      </c>
      <c r="C7727" s="2" t="str">
        <f ca="1">IFERROR(__xludf.DUMMYFUNCTION("""COMPUTED_VALUE"""),"Neighbourhood")</f>
        <v>Neighbourhood</v>
      </c>
      <c r="D7727" s="2" t="str">
        <f ca="1">IFERROR(__xludf.DUMMYFUNCTION("""COMPUTED_VALUE"""),"Dubai&gt;Al Quoz&gt;Al Quoz 1")</f>
        <v>Dubai&gt;Al Quoz&gt;Al Quoz 1</v>
      </c>
      <c r="E7727" s="2"/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</row>
    <row r="7728" spans="1:26" ht="16.5" x14ac:dyDescent="0.35">
      <c r="A7728" s="2" t="str">
        <f ca="1">IFERROR(__xludf.DUMMYFUNCTION("""COMPUTED_VALUE"""),"Dubai")</f>
        <v>Dubai</v>
      </c>
      <c r="B7728" s="2" t="str">
        <f ca="1">IFERROR(__xludf.DUMMYFUNCTION("""COMPUTED_VALUE"""),"Gold and Diamond Park Building 2")</f>
        <v>Gold and Diamond Park Building 2</v>
      </c>
      <c r="C7728" s="2" t="str">
        <f ca="1">IFERROR(__xludf.DUMMYFUNCTION("""COMPUTED_VALUE"""),"Building")</f>
        <v>Building</v>
      </c>
      <c r="D7728" s="2" t="str">
        <f ca="1">IFERROR(__xludf.DUMMYFUNCTION("""COMPUTED_VALUE"""),"Dubai&gt;Al Quoz&gt;Al Quoz Industrial Area&gt;Al Quoz Industrial Area 3&gt;Gold and Diamond Park&gt;Gold and Diamond Park Building 2")</f>
        <v>Dubai&gt;Al Quoz&gt;Al Quoz Industrial Area&gt;Al Quoz Industrial Area 3&gt;Gold and Diamond Park&gt;Gold and Diamond Park Building 2</v>
      </c>
      <c r="E7728" s="2"/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</row>
    <row r="7729" spans="1:26" ht="16.5" x14ac:dyDescent="0.35">
      <c r="A7729" s="2" t="str">
        <f ca="1">IFERROR(__xludf.DUMMYFUNCTION("""COMPUTED_VALUE"""),"Dubai")</f>
        <v>Dubai</v>
      </c>
      <c r="B7729" s="2" t="str">
        <f ca="1">IFERROR(__xludf.DUMMYFUNCTION("""COMPUTED_VALUE"""),"Al Khail Heights Building 2B")</f>
        <v>Al Khail Heights Building 2B</v>
      </c>
      <c r="C7729" s="2" t="str">
        <f ca="1">IFERROR(__xludf.DUMMYFUNCTION("""COMPUTED_VALUE"""),"Building")</f>
        <v>Building</v>
      </c>
      <c r="D7729" s="2" t="str">
        <f ca="1">IFERROR(__xludf.DUMMYFUNCTION("""COMPUTED_VALUE"""),"Dubai&gt;Al Quoz&gt;Al Quoz 4&gt;Al Khail Heights&gt;Al Khail Heights Building 2B")</f>
        <v>Dubai&gt;Al Quoz&gt;Al Quoz 4&gt;Al Khail Heights&gt;Al Khail Heights Building 2B</v>
      </c>
      <c r="E7729" s="2"/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</row>
    <row r="7730" spans="1:26" ht="16.5" x14ac:dyDescent="0.35">
      <c r="A7730" s="2" t="str">
        <f ca="1">IFERROR(__xludf.DUMMYFUNCTION("""COMPUTED_VALUE"""),"Dubai")</f>
        <v>Dubai</v>
      </c>
      <c r="B7730" s="2" t="str">
        <f ca="1">IFERROR(__xludf.DUMMYFUNCTION("""COMPUTED_VALUE"""),"Silicon Gates 3")</f>
        <v>Silicon Gates 3</v>
      </c>
      <c r="C7730" s="2" t="str">
        <f ca="1">IFERROR(__xludf.DUMMYFUNCTION("""COMPUTED_VALUE"""),"Building")</f>
        <v>Building</v>
      </c>
      <c r="D7730" s="2" t="str">
        <f ca="1">IFERROR(__xludf.DUMMYFUNCTION("""COMPUTED_VALUE"""),"Dubai&gt;Dubai Silicon Oasis (DSO)&gt;Silicon Gates&gt;Silicon Gates 3")</f>
        <v>Dubai&gt;Dubai Silicon Oasis (DSO)&gt;Silicon Gates&gt;Silicon Gates 3</v>
      </c>
      <c r="E7730" s="2"/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</row>
    <row r="7731" spans="1:26" ht="16.5" x14ac:dyDescent="0.35">
      <c r="A7731" s="2" t="str">
        <f ca="1">IFERROR(__xludf.DUMMYFUNCTION("""COMPUTED_VALUE"""),"Dubai")</f>
        <v>Dubai</v>
      </c>
      <c r="B7731" s="2" t="str">
        <f ca="1">IFERROR(__xludf.DUMMYFUNCTION("""COMPUTED_VALUE"""),"Binghatti Sapphires")</f>
        <v>Binghatti Sapphires</v>
      </c>
      <c r="C7731" s="2" t="str">
        <f ca="1">IFERROR(__xludf.DUMMYFUNCTION("""COMPUTED_VALUE"""),"Building")</f>
        <v>Building</v>
      </c>
      <c r="D7731" s="2" t="str">
        <f ca="1">IFERROR(__xludf.DUMMYFUNCTION("""COMPUTED_VALUE"""),"Dubai&gt;Dubai Silicon Oasis (DSO)&gt;Binghatti Sapphires")</f>
        <v>Dubai&gt;Dubai Silicon Oasis (DSO)&gt;Binghatti Sapphires</v>
      </c>
      <c r="E7731" s="2"/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</row>
    <row r="7732" spans="1:26" ht="16.5" x14ac:dyDescent="0.35">
      <c r="A7732" s="2" t="str">
        <f ca="1">IFERROR(__xludf.DUMMYFUNCTION("""COMPUTED_VALUE"""),"Dubai")</f>
        <v>Dubai</v>
      </c>
      <c r="B7732" s="2" t="str">
        <f ca="1">IFERROR(__xludf.DUMMYFUNCTION("""COMPUTED_VALUE"""),"Sondos Oasis")</f>
        <v>Sondos Oasis</v>
      </c>
      <c r="C7732" s="2" t="str">
        <f ca="1">IFERROR(__xludf.DUMMYFUNCTION("""COMPUTED_VALUE"""),"Building")</f>
        <v>Building</v>
      </c>
      <c r="D7732" s="2" t="str">
        <f ca="1">IFERROR(__xludf.DUMMYFUNCTION("""COMPUTED_VALUE"""),"Dubai&gt;Dubai Silicon Oasis (DSO)&gt;Sondos Oasis")</f>
        <v>Dubai&gt;Dubai Silicon Oasis (DSO)&gt;Sondos Oasis</v>
      </c>
      <c r="E7732" s="2"/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</row>
    <row r="7733" spans="1:26" ht="16.5" x14ac:dyDescent="0.35">
      <c r="A7733" s="2" t="str">
        <f ca="1">IFERROR(__xludf.DUMMYFUNCTION("""COMPUTED_VALUE"""),"Dubai")</f>
        <v>Dubai</v>
      </c>
      <c r="B7733" s="2" t="str">
        <f ca="1">IFERROR(__xludf.DUMMYFUNCTION("""COMPUTED_VALUE"""),"Sevanam Crown")</f>
        <v>Sevanam Crown</v>
      </c>
      <c r="C7733" s="2" t="str">
        <f ca="1">IFERROR(__xludf.DUMMYFUNCTION("""COMPUTED_VALUE"""),"Building")</f>
        <v>Building</v>
      </c>
      <c r="D7733" s="2" t="str">
        <f ca="1">IFERROR(__xludf.DUMMYFUNCTION("""COMPUTED_VALUE"""),"Dubai&gt;Dubai Silicon Oasis (DSO)&gt;Sevanam Crown")</f>
        <v>Dubai&gt;Dubai Silicon Oasis (DSO)&gt;Sevanam Crown</v>
      </c>
      <c r="E7733" s="2"/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</row>
    <row r="7734" spans="1:26" ht="16.5" x14ac:dyDescent="0.35">
      <c r="A7734" s="2" t="str">
        <f ca="1">IFERROR(__xludf.DUMMYFUNCTION("""COMPUTED_VALUE"""),"Dubai")</f>
        <v>Dubai</v>
      </c>
      <c r="B7734" s="2" t="str">
        <f ca="1">IFERROR(__xludf.DUMMYFUNCTION("""COMPUTED_VALUE"""),"Uniestate Millennium Tower")</f>
        <v>Uniestate Millennium Tower</v>
      </c>
      <c r="C7734" s="2" t="str">
        <f ca="1">IFERROR(__xludf.DUMMYFUNCTION("""COMPUTED_VALUE"""),"Building")</f>
        <v>Building</v>
      </c>
      <c r="D7734" s="2" t="str">
        <f ca="1">IFERROR(__xludf.DUMMYFUNCTION("""COMPUTED_VALUE"""),"Dubai&gt;Dubai Silicon Oasis (DSO)&gt;Uniestate Millennium Tower")</f>
        <v>Dubai&gt;Dubai Silicon Oasis (DSO)&gt;Uniestate Millennium Tower</v>
      </c>
      <c r="E7734" s="2"/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</row>
    <row r="7735" spans="1:26" ht="16.5" x14ac:dyDescent="0.35">
      <c r="A7735" s="2" t="str">
        <f ca="1">IFERROR(__xludf.DUMMYFUNCTION("""COMPUTED_VALUE"""),"Dubai")</f>
        <v>Dubai</v>
      </c>
      <c r="B7735" s="2" t="str">
        <f ca="1">IFERROR(__xludf.DUMMYFUNCTION("""COMPUTED_VALUE"""),"MM Tower 1")</f>
        <v>MM Tower 1</v>
      </c>
      <c r="C7735" s="2" t="str">
        <f ca="1">IFERROR(__xludf.DUMMYFUNCTION("""COMPUTED_VALUE"""),"Building")</f>
        <v>Building</v>
      </c>
      <c r="D7735" s="2" t="str">
        <f ca="1">IFERROR(__xludf.DUMMYFUNCTION("""COMPUTED_VALUE"""),"Dubai&gt;Dubai Silicon Oasis (DSO)&gt;MM Towers&gt;MM Tower 1")</f>
        <v>Dubai&gt;Dubai Silicon Oasis (DSO)&gt;MM Towers&gt;MM Tower 1</v>
      </c>
      <c r="E7735" s="2"/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</row>
    <row r="7736" spans="1:26" ht="16.5" x14ac:dyDescent="0.35">
      <c r="A7736" s="2" t="str">
        <f ca="1">IFERROR(__xludf.DUMMYFUNCTION("""COMPUTED_VALUE"""),"Dubai")</f>
        <v>Dubai</v>
      </c>
      <c r="B7736" s="2" t="str">
        <f ca="1">IFERROR(__xludf.DUMMYFUNCTION("""COMPUTED_VALUE"""),"University View Block B")</f>
        <v>University View Block B</v>
      </c>
      <c r="C7736" s="2" t="str">
        <f ca="1">IFERROR(__xludf.DUMMYFUNCTION("""COMPUTED_VALUE"""),"Building")</f>
        <v>Building</v>
      </c>
      <c r="D7736" s="2" t="str">
        <f ca="1">IFERROR(__xludf.DUMMYFUNCTION("""COMPUTED_VALUE"""),"Dubai&gt;Dubai Silicon Oasis (DSO)&gt;University View&gt;University View Block B")</f>
        <v>Dubai&gt;Dubai Silicon Oasis (DSO)&gt;University View&gt;University View Block B</v>
      </c>
      <c r="E7736" s="2"/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</row>
    <row r="7737" spans="1:26" ht="16.5" x14ac:dyDescent="0.35">
      <c r="A7737" s="2" t="str">
        <f ca="1">IFERROR(__xludf.DUMMYFUNCTION("""COMPUTED_VALUE"""),"Dubai")</f>
        <v>Dubai</v>
      </c>
      <c r="B7737" s="2" t="str">
        <f ca="1">IFERROR(__xludf.DUMMYFUNCTION("""COMPUTED_VALUE"""),"The Neighbourhood C1")</f>
        <v>The Neighbourhood C1</v>
      </c>
      <c r="C7737" s="2" t="str">
        <f ca="1">IFERROR(__xludf.DUMMYFUNCTION("""COMPUTED_VALUE"""),"Building")</f>
        <v>Building</v>
      </c>
      <c r="D7737" s="2" t="str">
        <f ca="1">IFERROR(__xludf.DUMMYFUNCTION("""COMPUTED_VALUE"""),"Dubai&gt;Al Barari&gt;The Neighbourhood&gt;The Neighbourhood C1")</f>
        <v>Dubai&gt;Al Barari&gt;The Neighbourhood&gt;The Neighbourhood C1</v>
      </c>
      <c r="E7737" s="2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</row>
    <row r="7738" spans="1:26" ht="16.5" x14ac:dyDescent="0.35">
      <c r="A7738" s="2" t="str">
        <f ca="1">IFERROR(__xludf.DUMMYFUNCTION("""COMPUTED_VALUE"""),"Dubai")</f>
        <v>Dubai</v>
      </c>
      <c r="B7738" s="2" t="str">
        <f ca="1">IFERROR(__xludf.DUMMYFUNCTION("""COMPUTED_VALUE"""),"The Cape")</f>
        <v>The Cape</v>
      </c>
      <c r="C7738" s="2" t="str">
        <f ca="1">IFERROR(__xludf.DUMMYFUNCTION("""COMPUTED_VALUE"""),"Building")</f>
        <v>Building</v>
      </c>
      <c r="D7738" s="2" t="str">
        <f ca="1">IFERROR(__xludf.DUMMYFUNCTION("""COMPUTED_VALUE"""),"Dubai&gt;Al Barari&gt;The Cape")</f>
        <v>Dubai&gt;Al Barari&gt;The Cape</v>
      </c>
      <c r="E7738" s="2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</row>
    <row r="7739" spans="1:26" ht="16.5" x14ac:dyDescent="0.35">
      <c r="A7739" s="2" t="str">
        <f ca="1">IFERROR(__xludf.DUMMYFUNCTION("""COMPUTED_VALUE"""),"Dubai")</f>
        <v>Dubai</v>
      </c>
      <c r="B7739" s="2" t="str">
        <f ca="1">IFERROR(__xludf.DUMMYFUNCTION("""COMPUTED_VALUE"""),"Meydan South Villas")</f>
        <v>Meydan South Villas</v>
      </c>
      <c r="C7739" s="2" t="str">
        <f ca="1">IFERROR(__xludf.DUMMYFUNCTION("""COMPUTED_VALUE"""),"Neighbourhood")</f>
        <v>Neighbourhood</v>
      </c>
      <c r="D7739" s="2" t="str">
        <f ca="1">IFERROR(__xludf.DUMMYFUNCTION("""COMPUTED_VALUE"""),"Dubai&gt;Mohammed Bin Rashid City&gt;District 11&gt;Meydan South Villas")</f>
        <v>Dubai&gt;Mohammed Bin Rashid City&gt;District 11&gt;Meydan South Villas</v>
      </c>
      <c r="E7739" s="2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</row>
    <row r="7740" spans="1:26" ht="16.5" x14ac:dyDescent="0.35">
      <c r="A7740" s="2" t="str">
        <f ca="1">IFERROR(__xludf.DUMMYFUNCTION("""COMPUTED_VALUE"""),"Dubai")</f>
        <v>Dubai</v>
      </c>
      <c r="B7740" s="2" t="str">
        <f ca="1">IFERROR(__xludf.DUMMYFUNCTION("""COMPUTED_VALUE"""),"Koyo by Fuji")</f>
        <v>Koyo by Fuji</v>
      </c>
      <c r="C7740" s="2" t="str">
        <f ca="1">IFERROR(__xludf.DUMMYFUNCTION("""COMPUTED_VALUE"""),"Building")</f>
        <v>Building</v>
      </c>
      <c r="D7740" s="2" t="str">
        <f ca="1">IFERROR(__xludf.DUMMYFUNCTION("""COMPUTED_VALUE"""),"Dubai&gt;Mohammed Bin Rashid City&gt;District 11&gt;Koyo by Fuji")</f>
        <v>Dubai&gt;Mohammed Bin Rashid City&gt;District 11&gt;Koyo by Fuji</v>
      </c>
      <c r="E7740" s="2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</row>
    <row r="7741" spans="1:26" ht="16.5" x14ac:dyDescent="0.35">
      <c r="A7741" s="2" t="str">
        <f ca="1">IFERROR(__xludf.DUMMYFUNCTION("""COMPUTED_VALUE"""),"Dubai")</f>
        <v>Dubai</v>
      </c>
      <c r="B7741" s="2" t="str">
        <f ca="1">IFERROR(__xludf.DUMMYFUNCTION("""COMPUTED_VALUE"""),"Residences 8")</f>
        <v>Residences 8</v>
      </c>
      <c r="C7741" s="2" t="str">
        <f ca="1">IFERROR(__xludf.DUMMYFUNCTION("""COMPUTED_VALUE"""),"Building")</f>
        <v>Building</v>
      </c>
      <c r="D7741" s="2" t="str">
        <f ca="1">IFERROR(__xludf.DUMMYFUNCTION("""COMPUTED_VALUE"""),"Dubai&gt;Mohammed Bin Rashid City&gt;District One&gt;The Residences at District One&gt;Residences 8")</f>
        <v>Dubai&gt;Mohammed Bin Rashid City&gt;District One&gt;The Residences at District One&gt;Residences 8</v>
      </c>
      <c r="E7741" s="2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</row>
    <row r="7742" spans="1:26" ht="16.5" x14ac:dyDescent="0.35">
      <c r="A7742" s="2" t="str">
        <f ca="1">IFERROR(__xludf.DUMMYFUNCTION("""COMPUTED_VALUE"""),"Dubai")</f>
        <v>Dubai</v>
      </c>
      <c r="B7742" s="2" t="str">
        <f ca="1">IFERROR(__xludf.DUMMYFUNCTION("""COMPUTED_VALUE"""),"Parklane Residence 1")</f>
        <v>Parklane Residence 1</v>
      </c>
      <c r="C7742" s="2" t="str">
        <f ca="1">IFERROR(__xludf.DUMMYFUNCTION("""COMPUTED_VALUE"""),"Building")</f>
        <v>Building</v>
      </c>
      <c r="D7742" s="2" t="str">
        <f ca="1">IFERROR(__xludf.DUMMYFUNCTION("""COMPUTED_VALUE"""),"Dubai&gt;Dubai South&gt;Residential District&gt;The Pulse&gt;The Pulse Villas 2&gt;Parklane Residence")</f>
        <v>Dubai&gt;Dubai South&gt;Residential District&gt;The Pulse&gt;The Pulse Villas 2&gt;Parklane Residence</v>
      </c>
      <c r="E7742" s="2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</row>
    <row r="7743" spans="1:26" ht="16.5" x14ac:dyDescent="0.35">
      <c r="A7743" s="2" t="str">
        <f ca="1">IFERROR(__xludf.DUMMYFUNCTION("""COMPUTED_VALUE"""),"Dubai")</f>
        <v>Dubai</v>
      </c>
      <c r="B7743" s="2" t="str">
        <f ca="1">IFERROR(__xludf.DUMMYFUNCTION("""COMPUTED_VALUE"""),"Anchorage Residences")</f>
        <v>Anchorage Residences</v>
      </c>
      <c r="C7743" s="2" t="str">
        <f ca="1">IFERROR(__xludf.DUMMYFUNCTION("""COMPUTED_VALUE"""),"Building")</f>
        <v>Building</v>
      </c>
      <c r="D7743" s="2" t="str">
        <f ca="1">IFERROR(__xludf.DUMMYFUNCTION("""COMPUTED_VALUE"""),"Dubai&gt;Dubai South&gt;Residential District&gt;Anchorage Residences")</f>
        <v>Dubai&gt;Dubai South&gt;Residential District&gt;Anchorage Residences</v>
      </c>
      <c r="E7743" s="2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</row>
    <row r="7744" spans="1:26" ht="16.5" x14ac:dyDescent="0.35">
      <c r="A7744" s="2" t="str">
        <f ca="1">IFERROR(__xludf.DUMMYFUNCTION("""COMPUTED_VALUE"""),"Dubai")</f>
        <v>Dubai</v>
      </c>
      <c r="B7744" s="2" t="str">
        <f ca="1">IFERROR(__xludf.DUMMYFUNCTION("""COMPUTED_VALUE"""),"The L A X")</f>
        <v>The L A X</v>
      </c>
      <c r="C7744" s="2" t="str">
        <f ca="1">IFERROR(__xludf.DUMMYFUNCTION("""COMPUTED_VALUE"""),"Building")</f>
        <v>Building</v>
      </c>
      <c r="D7744" s="2" t="str">
        <f ca="1">IFERROR(__xludf.DUMMYFUNCTION("""COMPUTED_VALUE"""),"Dubai&gt;Dubai South&gt;Residential District&gt;The L A X")</f>
        <v>Dubai&gt;Dubai South&gt;Residential District&gt;The L A X</v>
      </c>
      <c r="E7744" s="2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</row>
    <row r="7745" spans="1:26" ht="16.5" x14ac:dyDescent="0.35">
      <c r="A7745" s="2" t="str">
        <f ca="1">IFERROR(__xludf.DUMMYFUNCTION("""COMPUTED_VALUE"""),"Dubai")</f>
        <v>Dubai</v>
      </c>
      <c r="B7745" s="2" t="str">
        <f ca="1">IFERROR(__xludf.DUMMYFUNCTION("""COMPUTED_VALUE"""),"Windsor House II")</f>
        <v>Windsor House II</v>
      </c>
      <c r="C7745" s="2" t="str">
        <f ca="1">IFERROR(__xludf.DUMMYFUNCTION("""COMPUTED_VALUE"""),"Cluster")</f>
        <v>Cluster</v>
      </c>
      <c r="D7745" s="2" t="str">
        <f ca="1">IFERROR(__xludf.DUMMYFUNCTION("""COMPUTED_VALUE"""),"Dubai&gt;Dubai South&gt;Residential District&gt;Windsor House II")</f>
        <v>Dubai&gt;Dubai South&gt;Residential District&gt;Windsor House II</v>
      </c>
      <c r="E7745" s="2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</row>
    <row r="7746" spans="1:26" ht="16.5" x14ac:dyDescent="0.35">
      <c r="A7746" s="2" t="str">
        <f ca="1">IFERROR(__xludf.DUMMYFUNCTION("""COMPUTED_VALUE"""),"Dubai")</f>
        <v>Dubai</v>
      </c>
      <c r="B7746" s="2" t="str">
        <f ca="1">IFERROR(__xludf.DUMMYFUNCTION("""COMPUTED_VALUE"""),"Fairway Villas 3")</f>
        <v>Fairway Villas 3</v>
      </c>
      <c r="C7746" s="2" t="str">
        <f ca="1">IFERROR(__xludf.DUMMYFUNCTION("""COMPUTED_VALUE"""),"Neighbourhood")</f>
        <v>Neighbourhood</v>
      </c>
      <c r="D7746" s="2" t="str">
        <f ca="1">IFERROR(__xludf.DUMMYFUNCTION("""COMPUTED_VALUE"""),"Dubai&gt;Dubai South&gt;Emaar South&gt;Fairway Villas 3")</f>
        <v>Dubai&gt;Dubai South&gt;Emaar South&gt;Fairway Villas 3</v>
      </c>
      <c r="E7746" s="2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</row>
    <row r="7747" spans="1:26" ht="16.5" x14ac:dyDescent="0.35">
      <c r="A7747" s="2" t="str">
        <f ca="1">IFERROR(__xludf.DUMMYFUNCTION("""COMPUTED_VALUE"""),"Dubai")</f>
        <v>Dubai</v>
      </c>
      <c r="B7747" s="2" t="str">
        <f ca="1">IFERROR(__xludf.DUMMYFUNCTION("""COMPUTED_VALUE"""),"Dubai South Headquarters")</f>
        <v>Dubai South Headquarters</v>
      </c>
      <c r="C7747" s="2" t="str">
        <f ca="1">IFERROR(__xludf.DUMMYFUNCTION("""COMPUTED_VALUE"""),"Building")</f>
        <v>Building</v>
      </c>
      <c r="D7747" s="2" t="str">
        <f ca="1">IFERROR(__xludf.DUMMYFUNCTION("""COMPUTED_VALUE"""),"Dubai&gt;Dubai South&gt;Logistics City&gt;The Avenue&gt;Dubai South Headquarters")</f>
        <v>Dubai&gt;Dubai South&gt;Logistics City&gt;The Avenue&gt;Dubai South Headquarters</v>
      </c>
      <c r="E7747" s="2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</row>
    <row r="7748" spans="1:26" ht="16.5" x14ac:dyDescent="0.35">
      <c r="A7748" s="2" t="str">
        <f ca="1">IFERROR(__xludf.DUMMYFUNCTION("""COMPUTED_VALUE"""),"Dubai")</f>
        <v>Dubai</v>
      </c>
      <c r="B7748" s="2" t="str">
        <f ca="1">IFERROR(__xludf.DUMMYFUNCTION("""COMPUTED_VALUE"""),"Azizi Venice 4 Building B")</f>
        <v>Azizi Venice 4 Building B</v>
      </c>
      <c r="C7748" s="2" t="str">
        <f ca="1">IFERROR(__xludf.DUMMYFUNCTION("""COMPUTED_VALUE"""),"Building")</f>
        <v>Building</v>
      </c>
      <c r="D7748" s="2" t="str">
        <f ca="1">IFERROR(__xludf.DUMMYFUNCTION("""COMPUTED_VALUE"""),"Dubai&gt;Dubai South&gt;Azizi Venice&gt;Azizi Venice 4&gt;Azizi Venice 4 Building B")</f>
        <v>Dubai&gt;Dubai South&gt;Azizi Venice&gt;Azizi Venice 4&gt;Azizi Venice 4 Building B</v>
      </c>
      <c r="E7748" s="2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</row>
    <row r="7749" spans="1:26" ht="16.5" x14ac:dyDescent="0.35">
      <c r="A7749" s="2" t="str">
        <f ca="1">IFERROR(__xludf.DUMMYFUNCTION("""COMPUTED_VALUE"""),"Dubai")</f>
        <v>Dubai</v>
      </c>
      <c r="B7749" s="2" t="str">
        <f ca="1">IFERROR(__xludf.DUMMYFUNCTION("""COMPUTED_VALUE"""),"Azizi Venice 12 Building B")</f>
        <v>Azizi Venice 12 Building B</v>
      </c>
      <c r="C7749" s="2" t="str">
        <f ca="1">IFERROR(__xludf.DUMMYFUNCTION("""COMPUTED_VALUE"""),"Building")</f>
        <v>Building</v>
      </c>
      <c r="D7749" s="2" t="str">
        <f ca="1">IFERROR(__xludf.DUMMYFUNCTION("""COMPUTED_VALUE"""),"Dubai&gt;Dubai South&gt;Azizi Venice&gt;Azizi Venice 12&gt;Azizi Venice 12 Building B")</f>
        <v>Dubai&gt;Dubai South&gt;Azizi Venice&gt;Azizi Venice 12&gt;Azizi Venice 12 Building B</v>
      </c>
      <c r="E7749" s="2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</row>
    <row r="7750" spans="1:26" ht="16.5" x14ac:dyDescent="0.35">
      <c r="A7750" s="2" t="str">
        <f ca="1">IFERROR(__xludf.DUMMYFUNCTION("""COMPUTED_VALUE"""),"Dubai")</f>
        <v>Dubai</v>
      </c>
      <c r="B7750" s="2" t="str">
        <f ca="1">IFERROR(__xludf.DUMMYFUNCTION("""COMPUTED_VALUE"""),"The Meadows 9")</f>
        <v>The Meadows 9</v>
      </c>
      <c r="C7750" s="2" t="str">
        <f ca="1">IFERROR(__xludf.DUMMYFUNCTION("""COMPUTED_VALUE"""),"Neighbourhood")</f>
        <v>Neighbourhood</v>
      </c>
      <c r="D7750" s="2" t="str">
        <f ca="1">IFERROR(__xludf.DUMMYFUNCTION("""COMPUTED_VALUE"""),"Dubai&gt;The Meadows&gt;The Meadows 9")</f>
        <v>Dubai&gt;The Meadows&gt;The Meadows 9</v>
      </c>
      <c r="E7750" s="2"/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</row>
    <row r="7751" spans="1:26" ht="16.5" x14ac:dyDescent="0.35">
      <c r="A7751" s="2" t="str">
        <f ca="1">IFERROR(__xludf.DUMMYFUNCTION("""COMPUTED_VALUE"""),"Dubai")</f>
        <v>Dubai</v>
      </c>
      <c r="B7751" s="2" t="str">
        <f ca="1">IFERROR(__xludf.DUMMYFUNCTION("""COMPUTED_VALUE"""),"Al Fajer Complex")</f>
        <v>Al Fajer Complex</v>
      </c>
      <c r="C7751" s="2" t="str">
        <f ca="1">IFERROR(__xludf.DUMMYFUNCTION("""COMPUTED_VALUE"""),"Cluster")</f>
        <v>Cluster</v>
      </c>
      <c r="D7751" s="2" t="str">
        <f ca="1">IFERROR(__xludf.DUMMYFUNCTION("""COMPUTED_VALUE"""),"Dubai&gt;Bur Dubai&gt;Oud Metha&gt;Al Fajer Complex")</f>
        <v>Dubai&gt;Bur Dubai&gt;Oud Metha&gt;Al Fajer Complex</v>
      </c>
      <c r="E7751" s="2"/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</row>
    <row r="7752" spans="1:26" ht="16.5" x14ac:dyDescent="0.35">
      <c r="A7752" s="2" t="str">
        <f ca="1">IFERROR(__xludf.DUMMYFUNCTION("""COMPUTED_VALUE"""),"Dubai")</f>
        <v>Dubai</v>
      </c>
      <c r="B7752" s="2" t="str">
        <f ca="1">IFERROR(__xludf.DUMMYFUNCTION("""COMPUTED_VALUE"""),"Al Habbai Building")</f>
        <v>Al Habbai Building</v>
      </c>
      <c r="C7752" s="2" t="str">
        <f ca="1">IFERROR(__xludf.DUMMYFUNCTION("""COMPUTED_VALUE"""),"Building")</f>
        <v>Building</v>
      </c>
      <c r="D7752" s="2" t="str">
        <f ca="1">IFERROR(__xludf.DUMMYFUNCTION("""COMPUTED_VALUE"""),"Dubai&gt;Bur Dubai&gt;Oud Metha&gt;Al Habbai Building")</f>
        <v>Dubai&gt;Bur Dubai&gt;Oud Metha&gt;Al Habbai Building</v>
      </c>
      <c r="E7752" s="2"/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</row>
    <row r="7753" spans="1:26" ht="16.5" x14ac:dyDescent="0.35">
      <c r="A7753" s="2" t="str">
        <f ca="1">IFERROR(__xludf.DUMMYFUNCTION("""COMPUTED_VALUE"""),"Dubai")</f>
        <v>Dubai</v>
      </c>
      <c r="B7753" s="2" t="str">
        <f ca="1">IFERROR(__xludf.DUMMYFUNCTION("""COMPUTED_VALUE"""),"Rola Road")</f>
        <v>Rola Road</v>
      </c>
      <c r="C7753" s="2" t="str">
        <f ca="1">IFERROR(__xludf.DUMMYFUNCTION("""COMPUTED_VALUE"""),"Neighbourhood")</f>
        <v>Neighbourhood</v>
      </c>
      <c r="D7753" s="2" t="str">
        <f ca="1">IFERROR(__xludf.DUMMYFUNCTION("""COMPUTED_VALUE"""),"Dubai&gt;Bur Dubai&gt;Al Raffa&gt;Rola Road")</f>
        <v>Dubai&gt;Bur Dubai&gt;Al Raffa&gt;Rola Road</v>
      </c>
      <c r="E7753" s="2"/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</row>
    <row r="7754" spans="1:26" ht="16.5" x14ac:dyDescent="0.35">
      <c r="A7754" s="2" t="str">
        <f ca="1">IFERROR(__xludf.DUMMYFUNCTION("""COMPUTED_VALUE"""),"Dubai")</f>
        <v>Dubai</v>
      </c>
      <c r="B7754" s="2" t="str">
        <f ca="1">IFERROR(__xludf.DUMMYFUNCTION("""COMPUTED_VALUE"""),"Al Zarooni Building")</f>
        <v>Al Zarooni Building</v>
      </c>
      <c r="C7754" s="2" t="str">
        <f ca="1">IFERROR(__xludf.DUMMYFUNCTION("""COMPUTED_VALUE"""),"Building")</f>
        <v>Building</v>
      </c>
      <c r="D7754" s="2" t="str">
        <f ca="1">IFERROR(__xludf.DUMMYFUNCTION("""COMPUTED_VALUE"""),"Dubai&gt;Bur Dubai&gt;Al Raffa&gt;Al Zarooni Building")</f>
        <v>Dubai&gt;Bur Dubai&gt;Al Raffa&gt;Al Zarooni Building</v>
      </c>
      <c r="E7754" s="2"/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</row>
    <row r="7755" spans="1:26" ht="16.5" x14ac:dyDescent="0.35">
      <c r="A7755" s="2" t="str">
        <f ca="1">IFERROR(__xludf.DUMMYFUNCTION("""COMPUTED_VALUE"""),"Dubai")</f>
        <v>Dubai</v>
      </c>
      <c r="B7755" s="2" t="str">
        <f ca="1">IFERROR(__xludf.DUMMYFUNCTION("""COMPUTED_VALUE"""),"Symphony Apartments")</f>
        <v>Symphony Apartments</v>
      </c>
      <c r="C7755" s="2" t="str">
        <f ca="1">IFERROR(__xludf.DUMMYFUNCTION("""COMPUTED_VALUE"""),"Building")</f>
        <v>Building</v>
      </c>
      <c r="D7755" s="2" t="str">
        <f ca="1">IFERROR(__xludf.DUMMYFUNCTION("""COMPUTED_VALUE"""),"Dubai&gt;Bur Dubai&gt;Al Mankhool&gt;Symphony Apartments")</f>
        <v>Dubai&gt;Bur Dubai&gt;Al Mankhool&gt;Symphony Apartments</v>
      </c>
      <c r="E7755" s="2"/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</row>
    <row r="7756" spans="1:26" ht="16.5" x14ac:dyDescent="0.35">
      <c r="A7756" s="2" t="str">
        <f ca="1">IFERROR(__xludf.DUMMYFUNCTION("""COMPUTED_VALUE"""),"Dubai")</f>
        <v>Dubai</v>
      </c>
      <c r="B7756" s="2" t="str">
        <f ca="1">IFERROR(__xludf.DUMMYFUNCTION("""COMPUTED_VALUE"""),"Jumeirah Star")</f>
        <v>Jumeirah Star</v>
      </c>
      <c r="C7756" s="2" t="str">
        <f ca="1">IFERROR(__xludf.DUMMYFUNCTION("""COMPUTED_VALUE"""),"Building")</f>
        <v>Building</v>
      </c>
      <c r="D7756" s="2" t="str">
        <f ca="1">IFERROR(__xludf.DUMMYFUNCTION("""COMPUTED_VALUE"""),"Dubai&gt;Bur Dubai&gt;Al Mankhool&gt;Jumeirah Star")</f>
        <v>Dubai&gt;Bur Dubai&gt;Al Mankhool&gt;Jumeirah Star</v>
      </c>
      <c r="E7756" s="2"/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</row>
    <row r="7757" spans="1:26" ht="16.5" x14ac:dyDescent="0.35">
      <c r="A7757" s="2" t="str">
        <f ca="1">IFERROR(__xludf.DUMMYFUNCTION("""COMPUTED_VALUE"""),"Dubai")</f>
        <v>Dubai</v>
      </c>
      <c r="B7757" s="2" t="str">
        <f ca="1">IFERROR(__xludf.DUMMYFUNCTION("""COMPUTED_VALUE"""),"Mohd Saleh Ahmed Awazi Building")</f>
        <v>Mohd Saleh Ahmed Awazi Building</v>
      </c>
      <c r="C7757" s="2" t="str">
        <f ca="1">IFERROR(__xludf.DUMMYFUNCTION("""COMPUTED_VALUE"""),"Building")</f>
        <v>Building</v>
      </c>
      <c r="D7757" s="2" t="str">
        <f ca="1">IFERROR(__xludf.DUMMYFUNCTION("""COMPUTED_VALUE"""),"Dubai&gt;Bur Dubai&gt;Al Mankhool&gt;Mohd Saleh Ahmed Awazi Building")</f>
        <v>Dubai&gt;Bur Dubai&gt;Al Mankhool&gt;Mohd Saleh Ahmed Awazi Building</v>
      </c>
      <c r="E7757" s="2"/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</row>
    <row r="7758" spans="1:26" ht="16.5" x14ac:dyDescent="0.35">
      <c r="A7758" s="2" t="str">
        <f ca="1">IFERROR(__xludf.DUMMYFUNCTION("""COMPUTED_VALUE"""),"Dubai")</f>
        <v>Dubai</v>
      </c>
      <c r="B7758" s="2" t="str">
        <f ca="1">IFERROR(__xludf.DUMMYFUNCTION("""COMPUTED_VALUE"""),"Umm Hurair 2")</f>
        <v>Umm Hurair 2</v>
      </c>
      <c r="C7758" s="2" t="str">
        <f ca="1">IFERROR(__xludf.DUMMYFUNCTION("""COMPUTED_VALUE"""),"Neighbourhood")</f>
        <v>Neighbourhood</v>
      </c>
      <c r="D7758" s="2" t="str">
        <f ca="1">IFERROR(__xludf.DUMMYFUNCTION("""COMPUTED_VALUE"""),"Dubai&gt;Bur Dubai&gt;Umm Hurair&gt;Umm Hurair 2")</f>
        <v>Dubai&gt;Bur Dubai&gt;Umm Hurair&gt;Umm Hurair 2</v>
      </c>
      <c r="E7758" s="2"/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</row>
    <row r="7759" spans="1:26" ht="16.5" x14ac:dyDescent="0.35">
      <c r="A7759" s="2" t="str">
        <f ca="1">IFERROR(__xludf.DUMMYFUNCTION("""COMPUTED_VALUE"""),"Dubai")</f>
        <v>Dubai</v>
      </c>
      <c r="B7759" s="2" t="str">
        <f ca="1">IFERROR(__xludf.DUMMYFUNCTION("""COMPUTED_VALUE"""),"Ahmed Hamdan Budebes Building")</f>
        <v>Ahmed Hamdan Budebes Building</v>
      </c>
      <c r="C7759" s="2" t="str">
        <f ca="1">IFERROR(__xludf.DUMMYFUNCTION("""COMPUTED_VALUE"""),"Building")</f>
        <v>Building</v>
      </c>
      <c r="D7759" s="2" t="str">
        <f ca="1">IFERROR(__xludf.DUMMYFUNCTION("""COMPUTED_VALUE"""),"Dubai&gt;Bur Dubai&gt;Al Souk Al Kabeer (Al Fahidi)&gt;Ahmed Hamdan Budebes Building")</f>
        <v>Dubai&gt;Bur Dubai&gt;Al Souk Al Kabeer (Al Fahidi)&gt;Ahmed Hamdan Budebes Building</v>
      </c>
      <c r="E7759" s="2"/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</row>
    <row r="7760" spans="1:26" ht="16.5" x14ac:dyDescent="0.35">
      <c r="A7760" s="2" t="str">
        <f ca="1">IFERROR(__xludf.DUMMYFUNCTION("""COMPUTED_VALUE"""),"Dubai")</f>
        <v>Dubai</v>
      </c>
      <c r="B7760" s="2" t="str">
        <f ca="1">IFERROR(__xludf.DUMMYFUNCTION("""COMPUTED_VALUE"""),"Meena Bazar 1258 Building")</f>
        <v>Meena Bazar 1258 Building</v>
      </c>
      <c r="C7760" s="2" t="str">
        <f ca="1">IFERROR(__xludf.DUMMYFUNCTION("""COMPUTED_VALUE"""),"Building")</f>
        <v>Building</v>
      </c>
      <c r="D7760" s="2" t="str">
        <f ca="1">IFERROR(__xludf.DUMMYFUNCTION("""COMPUTED_VALUE"""),"Dubai&gt;Bur Dubai&gt;Al Souk Al Kabeer (Al Fahidi)&gt;Meena Bazar 1258 Building")</f>
        <v>Dubai&gt;Bur Dubai&gt;Al Souk Al Kabeer (Al Fahidi)&gt;Meena Bazar 1258 Building</v>
      </c>
      <c r="E7760" s="2"/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</row>
    <row r="7761" spans="1:26" ht="16.5" x14ac:dyDescent="0.35">
      <c r="A7761" s="2" t="str">
        <f ca="1">IFERROR(__xludf.DUMMYFUNCTION("""COMPUTED_VALUE"""),"Dubai")</f>
        <v>Dubai</v>
      </c>
      <c r="B7761" s="2" t="str">
        <f ca="1">IFERROR(__xludf.DUMMYFUNCTION("""COMPUTED_VALUE"""),"Al Hamriya 1 Building")</f>
        <v>Al Hamriya 1 Building</v>
      </c>
      <c r="C7761" s="2" t="str">
        <f ca="1">IFERROR(__xludf.DUMMYFUNCTION("""COMPUTED_VALUE"""),"Building")</f>
        <v>Building</v>
      </c>
      <c r="D7761" s="2" t="str">
        <f ca="1">IFERROR(__xludf.DUMMYFUNCTION("""COMPUTED_VALUE"""),"Dubai&gt;Bur Dubai&gt;Al Hamriya&gt;Al Hamriya 1 Building")</f>
        <v>Dubai&gt;Bur Dubai&gt;Al Hamriya&gt;Al Hamriya 1 Building</v>
      </c>
      <c r="E7761" s="2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</row>
    <row r="7762" spans="1:26" ht="16.5" x14ac:dyDescent="0.35">
      <c r="A7762" s="2" t="str">
        <f ca="1">IFERROR(__xludf.DUMMYFUNCTION("""COMPUTED_VALUE"""),"Dubai")</f>
        <v>Dubai</v>
      </c>
      <c r="B7762" s="2" t="str">
        <f ca="1">IFERROR(__xludf.DUMMYFUNCTION("""COMPUTED_VALUE"""),"Sanctuary Falls")</f>
        <v>Sanctuary Falls</v>
      </c>
      <c r="C7762" s="2" t="str">
        <f ca="1">IFERROR(__xludf.DUMMYFUNCTION("""COMPUTED_VALUE"""),"Neighbourhood")</f>
        <v>Neighbourhood</v>
      </c>
      <c r="D7762" s="2" t="str">
        <f ca="1">IFERROR(__xludf.DUMMYFUNCTION("""COMPUTED_VALUE"""),"Dubai&gt;Jumeirah Golf Estates&gt;Sanctuary Falls")</f>
        <v>Dubai&gt;Jumeirah Golf Estates&gt;Sanctuary Falls</v>
      </c>
      <c r="E7762" s="2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</row>
    <row r="7763" spans="1:26" ht="16.5" x14ac:dyDescent="0.35">
      <c r="A7763" s="2" t="str">
        <f ca="1">IFERROR(__xludf.DUMMYFUNCTION("""COMPUTED_VALUE"""),"Dubai")</f>
        <v>Dubai</v>
      </c>
      <c r="B7763" s="2" t="str">
        <f ca="1">IFERROR(__xludf.DUMMYFUNCTION("""COMPUTED_VALUE"""),"DG Villas")</f>
        <v>DG Villas</v>
      </c>
      <c r="C7763" s="2" t="str">
        <f ca="1">IFERROR(__xludf.DUMMYFUNCTION("""COMPUTED_VALUE"""),"Neighbourhood")</f>
        <v>Neighbourhood</v>
      </c>
      <c r="D7763" s="2" t="str">
        <f ca="1">IFERROR(__xludf.DUMMYFUNCTION("""COMPUTED_VALUE"""),"Dubai&gt;Jumeirah Golf Estates&gt;DG Villas")</f>
        <v>Dubai&gt;Jumeirah Golf Estates&gt;DG Villas</v>
      </c>
      <c r="E7763" s="2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</row>
    <row r="7764" spans="1:26" ht="16.5" x14ac:dyDescent="0.35">
      <c r="A7764" s="2" t="str">
        <f ca="1">IFERROR(__xludf.DUMMYFUNCTION("""COMPUTED_VALUE"""),"Dubai")</f>
        <v>Dubai</v>
      </c>
      <c r="B7764" s="2" t="str">
        <f ca="1">IFERROR(__xludf.DUMMYFUNCTION("""COMPUTED_VALUE"""),"Beachgate by Address")</f>
        <v>Beachgate by Address</v>
      </c>
      <c r="C7764" s="2" t="str">
        <f ca="1">IFERROR(__xludf.DUMMYFUNCTION("""COMPUTED_VALUE"""),"Building")</f>
        <v>Building</v>
      </c>
      <c r="D7764" s="2" t="str">
        <f ca="1">IFERROR(__xludf.DUMMYFUNCTION("""COMPUTED_VALUE"""),"Dubai&gt;Dubai Harbour&gt;Emaar Beachfront&gt;Beachgate by Address")</f>
        <v>Dubai&gt;Dubai Harbour&gt;Emaar Beachfront&gt;Beachgate by Address</v>
      </c>
      <c r="E7764" s="2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</row>
    <row r="7765" spans="1:26" ht="16.5" x14ac:dyDescent="0.35">
      <c r="A7765" s="2" t="str">
        <f ca="1">IFERROR(__xludf.DUMMYFUNCTION("""COMPUTED_VALUE"""),"Dubai")</f>
        <v>Dubai</v>
      </c>
      <c r="B7765" s="2" t="str">
        <f ca="1">IFERROR(__xludf.DUMMYFUNCTION("""COMPUTED_VALUE"""),"Mulberry")</f>
        <v>Mulberry</v>
      </c>
      <c r="C7765" s="2" t="str">
        <f ca="1">IFERROR(__xludf.DUMMYFUNCTION("""COMPUTED_VALUE"""),"Neighbourhood")</f>
        <v>Neighbourhood</v>
      </c>
      <c r="D7765" s="2" t="str">
        <f ca="1">IFERROR(__xludf.DUMMYFUNCTION("""COMPUTED_VALUE"""),"Dubai&gt;DAMAC Hills 2 (Akoya by DAMAC)&gt;Mulberry")</f>
        <v>Dubai&gt;DAMAC Hills 2 (Akoya by DAMAC)&gt;Mulberry</v>
      </c>
      <c r="E7765" s="2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</row>
    <row r="7766" spans="1:26" ht="16.5" x14ac:dyDescent="0.35">
      <c r="A7766" s="2" t="str">
        <f ca="1">IFERROR(__xludf.DUMMYFUNCTION("""COMPUTED_VALUE"""),"Dubai")</f>
        <v>Dubai</v>
      </c>
      <c r="B7766" s="2" t="str">
        <f ca="1">IFERROR(__xludf.DUMMYFUNCTION("""COMPUTED_VALUE"""),"ELO")</f>
        <v>ELO</v>
      </c>
      <c r="C7766" s="2" t="str">
        <f ca="1">IFERROR(__xludf.DUMMYFUNCTION("""COMPUTED_VALUE"""),"Building")</f>
        <v>Building</v>
      </c>
      <c r="D7766" s="2" t="str">
        <f ca="1">IFERROR(__xludf.DUMMYFUNCTION("""COMPUTED_VALUE"""),"Dubai&gt;DAMAC Hills 2 (Akoya by DAMAC)&gt;ELO")</f>
        <v>Dubai&gt;DAMAC Hills 2 (Akoya by DAMAC)&gt;ELO</v>
      </c>
      <c r="E7766" s="2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</row>
    <row r="7767" spans="1:26" ht="16.5" x14ac:dyDescent="0.35">
      <c r="A7767" s="2" t="str">
        <f ca="1">IFERROR(__xludf.DUMMYFUNCTION("""COMPUTED_VALUE"""),"Dubai")</f>
        <v>Dubai</v>
      </c>
      <c r="B7767" s="2" t="str">
        <f ca="1">IFERROR(__xludf.DUMMYFUNCTION("""COMPUTED_VALUE"""),"I-04")</f>
        <v>I-04</v>
      </c>
      <c r="C7767" s="2" t="str">
        <f ca="1">IFERROR(__xludf.DUMMYFUNCTION("""COMPUTED_VALUE"""),"Building")</f>
        <v>Building</v>
      </c>
      <c r="D7767" s="2" t="str">
        <f ca="1">IFERROR(__xludf.DUMMYFUNCTION("""COMPUTED_VALUE"""),"Dubai&gt;International City&gt;Morocco Cluster&gt;I-04")</f>
        <v>Dubai&gt;International City&gt;Morocco Cluster&gt;I-04</v>
      </c>
      <c r="E7767" s="2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</row>
    <row r="7768" spans="1:26" ht="16.5" x14ac:dyDescent="0.35">
      <c r="A7768" s="2" t="str">
        <f ca="1">IFERROR(__xludf.DUMMYFUNCTION("""COMPUTED_VALUE"""),"Dubai")</f>
        <v>Dubai</v>
      </c>
      <c r="B7768" s="2" t="str">
        <f ca="1">IFERROR(__xludf.DUMMYFUNCTION("""COMPUTED_VALUE"""),"Warsan Village D")</f>
        <v>Warsan Village D</v>
      </c>
      <c r="C7768" s="2" t="str">
        <f ca="1">IFERROR(__xludf.DUMMYFUNCTION("""COMPUTED_VALUE"""),"Neighbourhood")</f>
        <v>Neighbourhood</v>
      </c>
      <c r="D7768" s="2" t="str">
        <f ca="1">IFERROR(__xludf.DUMMYFUNCTION("""COMPUTED_VALUE"""),"Dubai&gt;International City&gt;Warsan Village&gt;Warsan Village D")</f>
        <v>Dubai&gt;International City&gt;Warsan Village&gt;Warsan Village D</v>
      </c>
      <c r="E7768" s="2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</row>
    <row r="7769" spans="1:26" ht="16.5" x14ac:dyDescent="0.35">
      <c r="A7769" s="2" t="str">
        <f ca="1">IFERROR(__xludf.DUMMYFUNCTION("""COMPUTED_VALUE"""),"Dubai")</f>
        <v>Dubai</v>
      </c>
      <c r="B7769" s="2" t="str">
        <f ca="1">IFERROR(__xludf.DUMMYFUNCTION("""COMPUTED_VALUE"""),"B-08")</f>
        <v>B-08</v>
      </c>
      <c r="C7769" s="2" t="str">
        <f ca="1">IFERROR(__xludf.DUMMYFUNCTION("""COMPUTED_VALUE"""),"Building")</f>
        <v>Building</v>
      </c>
      <c r="D7769" s="2" t="str">
        <f ca="1">IFERROR(__xludf.DUMMYFUNCTION("""COMPUTED_VALUE"""),"Dubai&gt;International City&gt;China Cluster&gt;B-08")</f>
        <v>Dubai&gt;International City&gt;China Cluster&gt;B-08</v>
      </c>
      <c r="E7769" s="2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</row>
    <row r="7770" spans="1:26" ht="16.5" x14ac:dyDescent="0.35">
      <c r="A7770" s="2" t="str">
        <f ca="1">IFERROR(__xludf.DUMMYFUNCTION("""COMPUTED_VALUE"""),"Dubai")</f>
        <v>Dubai</v>
      </c>
      <c r="B7770" s="2" t="str">
        <f ca="1">IFERROR(__xludf.DUMMYFUNCTION("""COMPUTED_VALUE"""),"F-01")</f>
        <v>F-01</v>
      </c>
      <c r="C7770" s="2" t="str">
        <f ca="1">IFERROR(__xludf.DUMMYFUNCTION("""COMPUTED_VALUE"""),"Building")</f>
        <v>Building</v>
      </c>
      <c r="D7770" s="2" t="str">
        <f ca="1">IFERROR(__xludf.DUMMYFUNCTION("""COMPUTED_VALUE"""),"Dubai&gt;International City&gt;China Cluster&gt;F-01")</f>
        <v>Dubai&gt;International City&gt;China Cluster&gt;F-01</v>
      </c>
      <c r="E7770" s="2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</row>
    <row r="7771" spans="1:26" ht="16.5" x14ac:dyDescent="0.35">
      <c r="A7771" s="2" t="str">
        <f ca="1">IFERROR(__xludf.DUMMYFUNCTION("""COMPUTED_VALUE"""),"Dubai")</f>
        <v>Dubai</v>
      </c>
      <c r="B7771" s="2" t="str">
        <f ca="1">IFERROR(__xludf.DUMMYFUNCTION("""COMPUTED_VALUE"""),"T-03")</f>
        <v>T-03</v>
      </c>
      <c r="C7771" s="2" t="str">
        <f ca="1">IFERROR(__xludf.DUMMYFUNCTION("""COMPUTED_VALUE"""),"Building")</f>
        <v>Building</v>
      </c>
      <c r="D7771" s="2" t="str">
        <f ca="1">IFERROR(__xludf.DUMMYFUNCTION("""COMPUTED_VALUE"""),"Dubai&gt;International City&gt;Spain Cluster&gt;T-03")</f>
        <v>Dubai&gt;International City&gt;Spain Cluster&gt;T-03</v>
      </c>
      <c r="E7771" s="2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</row>
    <row r="7772" spans="1:26" ht="16.5" x14ac:dyDescent="0.35">
      <c r="A7772" s="2" t="str">
        <f ca="1">IFERROR(__xludf.DUMMYFUNCTION("""COMPUTED_VALUE"""),"Dubai")</f>
        <v>Dubai</v>
      </c>
      <c r="B7772" s="2" t="str">
        <f ca="1">IFERROR(__xludf.DUMMYFUNCTION("""COMPUTED_VALUE"""),"Indigo Spectrum 2")</f>
        <v>Indigo Spectrum 2</v>
      </c>
      <c r="C7772" s="2" t="str">
        <f ca="1">IFERROR(__xludf.DUMMYFUNCTION("""COMPUTED_VALUE"""),"Building")</f>
        <v>Building</v>
      </c>
      <c r="D7772" s="2" t="str">
        <f ca="1">IFERROR(__xludf.DUMMYFUNCTION("""COMPUTED_VALUE"""),"Dubai&gt;International City&gt;Indigo Spectrum 2")</f>
        <v>Dubai&gt;International City&gt;Indigo Spectrum 2</v>
      </c>
      <c r="E7772" s="2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</row>
    <row r="7773" spans="1:26" ht="16.5" x14ac:dyDescent="0.35">
      <c r="A7773" s="2" t="str">
        <f ca="1">IFERROR(__xludf.DUMMYFUNCTION("""COMPUTED_VALUE"""),"Dubai")</f>
        <v>Dubai</v>
      </c>
      <c r="B7773" s="2" t="str">
        <f ca="1">IFERROR(__xludf.DUMMYFUNCTION("""COMPUTED_VALUE"""),"V-03")</f>
        <v>V-03</v>
      </c>
      <c r="C7773" s="2" t="str">
        <f ca="1">IFERROR(__xludf.DUMMYFUNCTION("""COMPUTED_VALUE"""),"Building")</f>
        <v>Building</v>
      </c>
      <c r="D7773" s="2" t="str">
        <f ca="1">IFERROR(__xludf.DUMMYFUNCTION("""COMPUTED_VALUE"""),"Dubai&gt;International City&gt;Russia Cluster&gt;V-03")</f>
        <v>Dubai&gt;International City&gt;Russia Cluster&gt;V-03</v>
      </c>
      <c r="E7773" s="2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</row>
    <row r="7774" spans="1:26" ht="16.5" x14ac:dyDescent="0.35">
      <c r="A7774" s="2" t="str">
        <f ca="1">IFERROR(__xludf.DUMMYFUNCTION("""COMPUTED_VALUE"""),"Dubai")</f>
        <v>Dubai</v>
      </c>
      <c r="B7774" s="2" t="str">
        <f ca="1">IFERROR(__xludf.DUMMYFUNCTION("""COMPUTED_VALUE"""),"Indigo Spectrum 1")</f>
        <v>Indigo Spectrum 1</v>
      </c>
      <c r="C7774" s="2" t="str">
        <f ca="1">IFERROR(__xludf.DUMMYFUNCTION("""COMPUTED_VALUE"""),"Building")</f>
        <v>Building</v>
      </c>
      <c r="D7774" s="2" t="str">
        <f ca="1">IFERROR(__xludf.DUMMYFUNCTION("""COMPUTED_VALUE"""),"Dubai&gt;International City&gt;Indigo Spectrum 1")</f>
        <v>Dubai&gt;International City&gt;Indigo Spectrum 1</v>
      </c>
      <c r="E7774" s="2"/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</row>
    <row r="7775" spans="1:26" ht="16.5" x14ac:dyDescent="0.35">
      <c r="A7775" s="2" t="str">
        <f ca="1">IFERROR(__xludf.DUMMYFUNCTION("""COMPUTED_VALUE"""),"Dubai")</f>
        <v>Dubai</v>
      </c>
      <c r="B7775" s="2" t="str">
        <f ca="1">IFERROR(__xludf.DUMMYFUNCTION("""COMPUTED_VALUE"""),"Lake District")</f>
        <v>Lake District</v>
      </c>
      <c r="C7775" s="2" t="str">
        <f ca="1">IFERROR(__xludf.DUMMYFUNCTION("""COMPUTED_VALUE"""),"Neighbourhood")</f>
        <v>Neighbourhood</v>
      </c>
      <c r="D7775" s="2" t="str">
        <f ca="1">IFERROR(__xludf.DUMMYFUNCTION("""COMPUTED_VALUE"""),"Dubai&gt;International City&gt;Lake District")</f>
        <v>Dubai&gt;International City&gt;Lake District</v>
      </c>
      <c r="E7775" s="2"/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</row>
    <row r="7776" spans="1:26" ht="16.5" x14ac:dyDescent="0.35">
      <c r="A7776" s="2" t="str">
        <f ca="1">IFERROR(__xludf.DUMMYFUNCTION("""COMPUTED_VALUE"""),"Dubai")</f>
        <v>Dubai</v>
      </c>
      <c r="B7776" s="2" t="str">
        <f ca="1">IFERROR(__xludf.DUMMYFUNCTION("""COMPUTED_VALUE"""),"X-03")</f>
        <v>X-03</v>
      </c>
      <c r="C7776" s="2" t="str">
        <f ca="1">IFERROR(__xludf.DUMMYFUNCTION("""COMPUTED_VALUE"""),"Building")</f>
        <v>Building</v>
      </c>
      <c r="D7776" s="2" t="str">
        <f ca="1">IFERROR(__xludf.DUMMYFUNCTION("""COMPUTED_VALUE"""),"Dubai&gt;International City&gt;England Cluster&gt;X-03")</f>
        <v>Dubai&gt;International City&gt;England Cluster&gt;X-03</v>
      </c>
      <c r="E7776" s="2"/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</row>
    <row r="7777" spans="1:26" ht="16.5" x14ac:dyDescent="0.35">
      <c r="A7777" s="2" t="str">
        <f ca="1">IFERROR(__xludf.DUMMYFUNCTION("""COMPUTED_VALUE"""),"Dubai")</f>
        <v>Dubai</v>
      </c>
      <c r="B7777" s="2" t="str">
        <f ca="1">IFERROR(__xludf.DUMMYFUNCTION("""COMPUTED_VALUE"""),"Y-09")</f>
        <v>Y-09</v>
      </c>
      <c r="C7777" s="2" t="str">
        <f ca="1">IFERROR(__xludf.DUMMYFUNCTION("""COMPUTED_VALUE"""),"Building")</f>
        <v>Building</v>
      </c>
      <c r="D7777" s="2" t="str">
        <f ca="1">IFERROR(__xludf.DUMMYFUNCTION("""COMPUTED_VALUE"""),"Dubai&gt;International City&gt;England Cluster&gt;Y-09")</f>
        <v>Dubai&gt;International City&gt;England Cluster&gt;Y-09</v>
      </c>
      <c r="E7777" s="2"/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</row>
    <row r="7778" spans="1:26" ht="16.5" x14ac:dyDescent="0.35">
      <c r="A7778" s="2" t="str">
        <f ca="1">IFERROR(__xludf.DUMMYFUNCTION("""COMPUTED_VALUE"""),"Dubai")</f>
        <v>Dubai</v>
      </c>
      <c r="B7778" s="2" t="str">
        <f ca="1">IFERROR(__xludf.DUMMYFUNCTION("""COMPUTED_VALUE"""),"B37 Avenue")</f>
        <v>B37 Avenue</v>
      </c>
      <c r="C7778" s="2" t="str">
        <f ca="1">IFERROR(__xludf.DUMMYFUNCTION("""COMPUTED_VALUE"""),"Building")</f>
        <v>Building</v>
      </c>
      <c r="D7778" s="2" t="str">
        <f ca="1">IFERROR(__xludf.DUMMYFUNCTION("""COMPUTED_VALUE"""),"Dubai&gt;International City&gt;International City Phase 2 (Warsan 4)&gt;B37 Avenue")</f>
        <v>Dubai&gt;International City&gt;International City Phase 2 (Warsan 4)&gt;B37 Avenue</v>
      </c>
      <c r="E7778" s="2"/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</row>
    <row r="7779" spans="1:26" ht="16.5" x14ac:dyDescent="0.35">
      <c r="A7779" s="2" t="str">
        <f ca="1">IFERROR(__xludf.DUMMYFUNCTION("""COMPUTED_VALUE"""),"Dubai")</f>
        <v>Dubai</v>
      </c>
      <c r="B7779" s="2" t="str">
        <f ca="1">IFERROR(__xludf.DUMMYFUNCTION("""COMPUTED_VALUE"""),"Khan 1 Building")</f>
        <v>Khan 1 Building</v>
      </c>
      <c r="C7779" s="2" t="str">
        <f ca="1">IFERROR(__xludf.DUMMYFUNCTION("""COMPUTED_VALUE"""),"Building")</f>
        <v>Building</v>
      </c>
      <c r="D7779" s="2" t="str">
        <f ca="1">IFERROR(__xludf.DUMMYFUNCTION("""COMPUTED_VALUE"""),"Dubai&gt;International City&gt;International City Phase 2 (Warsan 4)&gt;Khan 1 Building")</f>
        <v>Dubai&gt;International City&gt;International City Phase 2 (Warsan 4)&gt;Khan 1 Building</v>
      </c>
      <c r="E7779" s="2"/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</row>
    <row r="7780" spans="1:26" ht="16.5" x14ac:dyDescent="0.35">
      <c r="A7780" s="2" t="str">
        <f ca="1">IFERROR(__xludf.DUMMYFUNCTION("""COMPUTED_VALUE"""),"Dubai")</f>
        <v>Dubai</v>
      </c>
      <c r="B7780" s="2" t="str">
        <f ca="1">IFERROR(__xludf.DUMMYFUNCTION("""COMPUTED_VALUE"""),"Al Helal Al Zahaby 3 Building")</f>
        <v>Al Helal Al Zahaby 3 Building</v>
      </c>
      <c r="C7780" s="2" t="str">
        <f ca="1">IFERROR(__xludf.DUMMYFUNCTION("""COMPUTED_VALUE"""),"Building")</f>
        <v>Building</v>
      </c>
      <c r="D7780" s="2" t="str">
        <f ca="1">IFERROR(__xludf.DUMMYFUNCTION("""COMPUTED_VALUE"""),"Dubai&gt;International City&gt;International City Phase 2 (Warsan 4)&gt;Al Helal Al Zahaby 3 Building")</f>
        <v>Dubai&gt;International City&gt;International City Phase 2 (Warsan 4)&gt;Al Helal Al Zahaby 3 Building</v>
      </c>
      <c r="E7780" s="2"/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</row>
    <row r="7781" spans="1:26" ht="16.5" x14ac:dyDescent="0.35">
      <c r="A7781" s="2" t="str">
        <f ca="1">IFERROR(__xludf.DUMMYFUNCTION("""COMPUTED_VALUE"""),"Dubai")</f>
        <v>Dubai</v>
      </c>
      <c r="B7781" s="2" t="str">
        <f ca="1">IFERROR(__xludf.DUMMYFUNCTION("""COMPUTED_VALUE"""),"Moonsa Residences 2")</f>
        <v>Moonsa Residences 2</v>
      </c>
      <c r="C7781" s="2" t="str">
        <f ca="1">IFERROR(__xludf.DUMMYFUNCTION("""COMPUTED_VALUE"""),"Building")</f>
        <v>Building</v>
      </c>
      <c r="D7781" s="2" t="str">
        <f ca="1">IFERROR(__xludf.DUMMYFUNCTION("""COMPUTED_VALUE"""),"Dubai&gt;International City&gt;International City Phase 2 (Warsan 4)&gt;Moonsa Residences 2")</f>
        <v>Dubai&gt;International City&gt;International City Phase 2 (Warsan 4)&gt;Moonsa Residences 2</v>
      </c>
      <c r="E7781" s="2"/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</row>
    <row r="7782" spans="1:26" ht="16.5" x14ac:dyDescent="0.35">
      <c r="A7782" s="2" t="str">
        <f ca="1">IFERROR(__xludf.DUMMYFUNCTION("""COMPUTED_VALUE"""),"Dubai")</f>
        <v>Dubai</v>
      </c>
      <c r="B7782" s="2" t="str">
        <f ca="1">IFERROR(__xludf.DUMMYFUNCTION("""COMPUTED_VALUE"""),"Zenith Residences")</f>
        <v>Zenith Residences</v>
      </c>
      <c r="C7782" s="2" t="str">
        <f ca="1">IFERROR(__xludf.DUMMYFUNCTION("""COMPUTED_VALUE"""),"Building")</f>
        <v>Building</v>
      </c>
      <c r="D7782" s="2" t="str">
        <f ca="1">IFERROR(__xludf.DUMMYFUNCTION("""COMPUTED_VALUE"""),"Dubai&gt;International City&gt;International City Phase 2 (Warsan 4)&gt;Zenith Residences")</f>
        <v>Dubai&gt;International City&gt;International City Phase 2 (Warsan 4)&gt;Zenith Residences</v>
      </c>
      <c r="E7782" s="2"/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</row>
    <row r="7783" spans="1:26" ht="16.5" x14ac:dyDescent="0.35">
      <c r="A7783" s="2" t="str">
        <f ca="1">IFERROR(__xludf.DUMMYFUNCTION("""COMPUTED_VALUE"""),"Dubai")</f>
        <v>Dubai</v>
      </c>
      <c r="B7783" s="2" t="str">
        <f ca="1">IFERROR(__xludf.DUMMYFUNCTION("""COMPUTED_VALUE"""),"K-10")</f>
        <v>K-10</v>
      </c>
      <c r="C7783" s="2" t="str">
        <f ca="1">IFERROR(__xludf.DUMMYFUNCTION("""COMPUTED_VALUE"""),"Building")</f>
        <v>Building</v>
      </c>
      <c r="D7783" s="2" t="str">
        <f ca="1">IFERROR(__xludf.DUMMYFUNCTION("""COMPUTED_VALUE"""),"Dubai&gt;International City&gt;Greece Cluster&gt;K-10")</f>
        <v>Dubai&gt;International City&gt;Greece Cluster&gt;K-10</v>
      </c>
      <c r="E7783" s="2"/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</row>
    <row r="7784" spans="1:26" ht="16.5" x14ac:dyDescent="0.35">
      <c r="A7784" s="2" t="str">
        <f ca="1">IFERROR(__xludf.DUMMYFUNCTION("""COMPUTED_VALUE"""),"Dubai")</f>
        <v>Dubai</v>
      </c>
      <c r="B7784" s="2" t="str">
        <f ca="1">IFERROR(__xludf.DUMMYFUNCTION("""COMPUTED_VALUE"""),"P-09")</f>
        <v>P-09</v>
      </c>
      <c r="C7784" s="2" t="str">
        <f ca="1">IFERROR(__xludf.DUMMYFUNCTION("""COMPUTED_VALUE"""),"Building")</f>
        <v>Building</v>
      </c>
      <c r="D7784" s="2" t="str">
        <f ca="1">IFERROR(__xludf.DUMMYFUNCTION("""COMPUTED_VALUE"""),"Dubai&gt;International City&gt;France Cluster&gt;P-09")</f>
        <v>Dubai&gt;International City&gt;France Cluster&gt;P-09</v>
      </c>
      <c r="E7784" s="2"/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</row>
    <row r="7785" spans="1:26" ht="16.5" x14ac:dyDescent="0.35">
      <c r="A7785" s="2" t="str">
        <f ca="1">IFERROR(__xludf.DUMMYFUNCTION("""COMPUTED_VALUE"""),"Dubai")</f>
        <v>Dubai</v>
      </c>
      <c r="B7785" s="2" t="str">
        <f ca="1">IFERROR(__xludf.DUMMYFUNCTION("""COMPUTED_VALUE"""),"R-21")</f>
        <v>R-21</v>
      </c>
      <c r="C7785" s="2" t="str">
        <f ca="1">IFERROR(__xludf.DUMMYFUNCTION("""COMPUTED_VALUE"""),"Building")</f>
        <v>Building</v>
      </c>
      <c r="D7785" s="2" t="str">
        <f ca="1">IFERROR(__xludf.DUMMYFUNCTION("""COMPUTED_VALUE"""),"Dubai&gt;International City&gt;France Cluster&gt;R-21")</f>
        <v>Dubai&gt;International City&gt;France Cluster&gt;R-21</v>
      </c>
      <c r="E7785" s="2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</row>
    <row r="7786" spans="1:26" ht="16.5" x14ac:dyDescent="0.35">
      <c r="A7786" s="2" t="str">
        <f ca="1">IFERROR(__xludf.DUMMYFUNCTION("""COMPUTED_VALUE"""),"Dubai")</f>
        <v>Dubai</v>
      </c>
      <c r="B7786" s="2" t="str">
        <f ca="1">IFERROR(__xludf.DUMMYFUNCTION("""COMPUTED_VALUE"""),"Trafalgar Tower")</f>
        <v>Trafalgar Tower</v>
      </c>
      <c r="C7786" s="2" t="str">
        <f ca="1">IFERROR(__xludf.DUMMYFUNCTION("""COMPUTED_VALUE"""),"Building")</f>
        <v>Building</v>
      </c>
      <c r="D7786" s="2" t="str">
        <f ca="1">IFERROR(__xludf.DUMMYFUNCTION("""COMPUTED_VALUE"""),"Dubai&gt;International City&gt;Central Business District&gt;Trafalgar Tower")</f>
        <v>Dubai&gt;International City&gt;Central Business District&gt;Trafalgar Tower</v>
      </c>
      <c r="E7786" s="2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</row>
    <row r="7787" spans="1:26" ht="16.5" x14ac:dyDescent="0.35">
      <c r="A7787" s="2" t="str">
        <f ca="1">IFERROR(__xludf.DUMMYFUNCTION("""COMPUTED_VALUE"""),"Dubai")</f>
        <v>Dubai</v>
      </c>
      <c r="B7787" s="2" t="str">
        <f ca="1">IFERROR(__xludf.DUMMYFUNCTION("""COMPUTED_VALUE"""),"Yigo 26")</f>
        <v>Yigo 26</v>
      </c>
      <c r="C7787" s="2" t="str">
        <f ca="1">IFERROR(__xludf.DUMMYFUNCTION("""COMPUTED_VALUE"""),"Building")</f>
        <v>Building</v>
      </c>
      <c r="D7787" s="2" t="str">
        <f ca="1">IFERROR(__xludf.DUMMYFUNCTION("""COMPUTED_VALUE"""),"Dubai&gt;International City&gt;Central Business District&gt;Yigo 26")</f>
        <v>Dubai&gt;International City&gt;Central Business District&gt;Yigo 26</v>
      </c>
      <c r="E7787" s="2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</row>
    <row r="7788" spans="1:26" ht="16.5" x14ac:dyDescent="0.35">
      <c r="A7788" s="2" t="str">
        <f ca="1">IFERROR(__xludf.DUMMYFUNCTION("""COMPUTED_VALUE"""),"Dubai")</f>
        <v>Dubai</v>
      </c>
      <c r="B7788" s="2" t="str">
        <f ca="1">IFERROR(__xludf.DUMMYFUNCTION("""COMPUTED_VALUE"""),"The Cascades")</f>
        <v>The Cascades</v>
      </c>
      <c r="C7788" s="2" t="str">
        <f ca="1">IFERROR(__xludf.DUMMYFUNCTION("""COMPUTED_VALUE"""),"Building")</f>
        <v>Building</v>
      </c>
      <c r="D7788" s="2" t="str">
        <f ca="1">IFERROR(__xludf.DUMMYFUNCTION("""COMPUTED_VALUE"""),"Dubai&gt;Dubai Marina&gt;The Cascades")</f>
        <v>Dubai&gt;Dubai Marina&gt;The Cascades</v>
      </c>
      <c r="E7788" s="2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</row>
    <row r="7789" spans="1:26" ht="16.5" x14ac:dyDescent="0.35">
      <c r="A7789" s="2" t="str">
        <f ca="1">IFERROR(__xludf.DUMMYFUNCTION("""COMPUTED_VALUE"""),"Dubai")</f>
        <v>Dubai</v>
      </c>
      <c r="B7789" s="2" t="str">
        <f ca="1">IFERROR(__xludf.DUMMYFUNCTION("""COMPUTED_VALUE"""),"Al Majara 5")</f>
        <v>Al Majara 5</v>
      </c>
      <c r="C7789" s="2" t="str">
        <f ca="1">IFERROR(__xludf.DUMMYFUNCTION("""COMPUTED_VALUE"""),"Building")</f>
        <v>Building</v>
      </c>
      <c r="D7789" s="2" t="str">
        <f ca="1">IFERROR(__xludf.DUMMYFUNCTION("""COMPUTED_VALUE"""),"Dubai&gt;Dubai Marina&gt;Al Majara&gt;Al Majara 5")</f>
        <v>Dubai&gt;Dubai Marina&gt;Al Majara&gt;Al Majara 5</v>
      </c>
      <c r="E7789" s="2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</row>
    <row r="7790" spans="1:26" ht="16.5" x14ac:dyDescent="0.35">
      <c r="A7790" s="2" t="str">
        <f ca="1">IFERROR(__xludf.DUMMYFUNCTION("""COMPUTED_VALUE"""),"Dubai")</f>
        <v>Dubai</v>
      </c>
      <c r="B7790" s="2" t="str">
        <f ca="1">IFERROR(__xludf.DUMMYFUNCTION("""COMPUTED_VALUE"""),"Trident Marinascape")</f>
        <v>Trident Marinascape</v>
      </c>
      <c r="C7790" s="2" t="str">
        <f ca="1">IFERROR(__xludf.DUMMYFUNCTION("""COMPUTED_VALUE"""),"Cluster")</f>
        <v>Cluster</v>
      </c>
      <c r="D7790" s="2" t="str">
        <f ca="1">IFERROR(__xludf.DUMMYFUNCTION("""COMPUTED_VALUE"""),"Dubai&gt;Dubai Marina&gt;Trident Marinascape")</f>
        <v>Dubai&gt;Dubai Marina&gt;Trident Marinascape</v>
      </c>
      <c r="E7790" s="2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</row>
    <row r="7791" spans="1:26" ht="16.5" x14ac:dyDescent="0.35">
      <c r="A7791" s="2" t="str">
        <f ca="1">IFERROR(__xludf.DUMMYFUNCTION("""COMPUTED_VALUE"""),"Dubai")</f>
        <v>Dubai</v>
      </c>
      <c r="B7791" s="2" t="str">
        <f ca="1">IFERROR(__xludf.DUMMYFUNCTION("""COMPUTED_VALUE"""),"Dusit Residence Dubai Marina")</f>
        <v>Dusit Residence Dubai Marina</v>
      </c>
      <c r="C7791" s="2" t="str">
        <f ca="1">IFERROR(__xludf.DUMMYFUNCTION("""COMPUTED_VALUE"""),"Building")</f>
        <v>Building</v>
      </c>
      <c r="D7791" s="2" t="str">
        <f ca="1">IFERROR(__xludf.DUMMYFUNCTION("""COMPUTED_VALUE"""),"Dubai&gt;Dubai Marina&gt;Dusit Residence Dubai Marina")</f>
        <v>Dubai&gt;Dubai Marina&gt;Dusit Residence Dubai Marina</v>
      </c>
      <c r="E7791" s="2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</row>
    <row r="7792" spans="1:26" ht="16.5" x14ac:dyDescent="0.35">
      <c r="A7792" s="2" t="str">
        <f ca="1">IFERROR(__xludf.DUMMYFUNCTION("""COMPUTED_VALUE"""),"Dubai")</f>
        <v>Dubai</v>
      </c>
      <c r="B7792" s="2" t="str">
        <f ca="1">IFERROR(__xludf.DUMMYFUNCTION("""COMPUTED_VALUE"""),"Botanica Tower")</f>
        <v>Botanica Tower</v>
      </c>
      <c r="C7792" s="2" t="str">
        <f ca="1">IFERROR(__xludf.DUMMYFUNCTION("""COMPUTED_VALUE"""),"Building")</f>
        <v>Building</v>
      </c>
      <c r="D7792" s="2" t="str">
        <f ca="1">IFERROR(__xludf.DUMMYFUNCTION("""COMPUTED_VALUE"""),"Dubai&gt;Dubai Marina&gt;Botanica Tower")</f>
        <v>Dubai&gt;Dubai Marina&gt;Botanica Tower</v>
      </c>
      <c r="E7792" s="2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</row>
    <row r="7793" spans="1:26" ht="16.5" x14ac:dyDescent="0.35">
      <c r="A7793" s="2" t="str">
        <f ca="1">IFERROR(__xludf.DUMMYFUNCTION("""COMPUTED_VALUE"""),"Dubai")</f>
        <v>Dubai</v>
      </c>
      <c r="B7793" s="2" t="str">
        <f ca="1">IFERROR(__xludf.DUMMYFUNCTION("""COMPUTED_VALUE"""),"Ocean Heights")</f>
        <v>Ocean Heights</v>
      </c>
      <c r="C7793" s="2" t="str">
        <f ca="1">IFERROR(__xludf.DUMMYFUNCTION("""COMPUTED_VALUE"""),"Building")</f>
        <v>Building</v>
      </c>
      <c r="D7793" s="2" t="str">
        <f ca="1">IFERROR(__xludf.DUMMYFUNCTION("""COMPUTED_VALUE"""),"Dubai&gt;Dubai Marina&gt;Ocean Heights")</f>
        <v>Dubai&gt;Dubai Marina&gt;Ocean Heights</v>
      </c>
      <c r="E7793" s="2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</row>
    <row r="7794" spans="1:26" ht="16.5" x14ac:dyDescent="0.35">
      <c r="A7794" s="2" t="str">
        <f ca="1">IFERROR(__xludf.DUMMYFUNCTION("""COMPUTED_VALUE"""),"Dubai")</f>
        <v>Dubai</v>
      </c>
      <c r="B7794" s="2" t="str">
        <f ca="1">IFERROR(__xludf.DUMMYFUNCTION("""COMPUTED_VALUE"""),"Sparkle Tower 2")</f>
        <v>Sparkle Tower 2</v>
      </c>
      <c r="C7794" s="2" t="str">
        <f ca="1">IFERROR(__xludf.DUMMYFUNCTION("""COMPUTED_VALUE"""),"Building")</f>
        <v>Building</v>
      </c>
      <c r="D7794" s="2" t="str">
        <f ca="1">IFERROR(__xludf.DUMMYFUNCTION("""COMPUTED_VALUE"""),"Dubai&gt;Dubai Marina&gt;Sparkle Towers&gt;Sparkle Tower 2")</f>
        <v>Dubai&gt;Dubai Marina&gt;Sparkle Towers&gt;Sparkle Tower 2</v>
      </c>
      <c r="E7794" s="2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</row>
    <row r="7795" spans="1:26" ht="16.5" x14ac:dyDescent="0.35">
      <c r="A7795" s="2" t="str">
        <f ca="1">IFERROR(__xludf.DUMMYFUNCTION("""COMPUTED_VALUE"""),"Dubai")</f>
        <v>Dubai</v>
      </c>
      <c r="B7795" s="2" t="str">
        <f ca="1">IFERROR(__xludf.DUMMYFUNCTION("""COMPUTED_VALUE"""),"Jenna Main Square 1")</f>
        <v>Jenna Main Square 1</v>
      </c>
      <c r="C7795" s="2" t="str">
        <f ca="1">IFERROR(__xludf.DUMMYFUNCTION("""COMPUTED_VALUE"""),"Building")</f>
        <v>Building</v>
      </c>
      <c r="D7795" s="2" t="str">
        <f ca="1">IFERROR(__xludf.DUMMYFUNCTION("""COMPUTED_VALUE"""),"Dubai&gt;Town Square&gt;Jenna Main Square&gt;Jenna Main Square 1")</f>
        <v>Dubai&gt;Town Square&gt;Jenna Main Square&gt;Jenna Main Square 1</v>
      </c>
      <c r="E7795" s="2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</row>
    <row r="7796" spans="1:26" ht="16.5" x14ac:dyDescent="0.35">
      <c r="A7796" s="2" t="str">
        <f ca="1">IFERROR(__xludf.DUMMYFUNCTION("""COMPUTED_VALUE"""),"Dubai")</f>
        <v>Dubai</v>
      </c>
      <c r="B7796" s="2" t="str">
        <f ca="1">IFERROR(__xludf.DUMMYFUNCTION("""COMPUTED_VALUE"""),"Noor Townhouses")</f>
        <v>Noor Townhouses</v>
      </c>
      <c r="C7796" s="2" t="str">
        <f ca="1">IFERROR(__xludf.DUMMYFUNCTION("""COMPUTED_VALUE"""),"Neighbourhood")</f>
        <v>Neighbourhood</v>
      </c>
      <c r="D7796" s="2" t="str">
        <f ca="1">IFERROR(__xludf.DUMMYFUNCTION("""COMPUTED_VALUE"""),"Dubai&gt;Town Square&gt;Noor Townhouses")</f>
        <v>Dubai&gt;Town Square&gt;Noor Townhouses</v>
      </c>
      <c r="E7796" s="2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</row>
    <row r="7797" spans="1:26" ht="16.5" x14ac:dyDescent="0.35">
      <c r="A7797" s="2" t="str">
        <f ca="1">IFERROR(__xludf.DUMMYFUNCTION("""COMPUTED_VALUE"""),"Dubai")</f>
        <v>Dubai</v>
      </c>
      <c r="B7797" s="2" t="str">
        <f ca="1">IFERROR(__xludf.DUMMYFUNCTION("""COMPUTED_VALUE"""),"Hillcrest")</f>
        <v>Hillcrest</v>
      </c>
      <c r="C7797" s="2" t="str">
        <f ca="1">IFERROR(__xludf.DUMMYFUNCTION("""COMPUTED_VALUE"""),"Building")</f>
        <v>Building</v>
      </c>
      <c r="D7797" s="2" t="str">
        <f ca="1">IFERROR(__xludf.DUMMYFUNCTION("""COMPUTED_VALUE"""),"Dubai&gt;Town Square&gt;Hillcrest")</f>
        <v>Dubai&gt;Town Square&gt;Hillcrest</v>
      </c>
      <c r="E7797" s="2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</row>
    <row r="7798" spans="1:26" ht="16.5" x14ac:dyDescent="0.35">
      <c r="A7798" s="2" t="str">
        <f ca="1">IFERROR(__xludf.DUMMYFUNCTION("""COMPUTED_VALUE"""),"Dubai")</f>
        <v>Dubai</v>
      </c>
      <c r="B7798" s="2" t="str">
        <f ca="1">IFERROR(__xludf.DUMMYFUNCTION("""COMPUTED_VALUE"""),"Murano Residences 2")</f>
        <v>Murano Residences 2</v>
      </c>
      <c r="C7798" s="2" t="str">
        <f ca="1">IFERROR(__xludf.DUMMYFUNCTION("""COMPUTED_VALUE"""),"Building")</f>
        <v>Building</v>
      </c>
      <c r="D7798" s="2" t="str">
        <f ca="1">IFERROR(__xludf.DUMMYFUNCTION("""COMPUTED_VALUE"""),"Dubai&gt;Al Furjan&gt;Murano Residences&gt;Murano Residences 2")</f>
        <v>Dubai&gt;Al Furjan&gt;Murano Residences&gt;Murano Residences 2</v>
      </c>
      <c r="E7798" s="2"/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</row>
    <row r="7799" spans="1:26" ht="16.5" x14ac:dyDescent="0.35">
      <c r="A7799" s="2" t="str">
        <f ca="1">IFERROR(__xludf.DUMMYFUNCTION("""COMPUTED_VALUE"""),"Dubai")</f>
        <v>Dubai</v>
      </c>
      <c r="B7799" s="2" t="str">
        <f ca="1">IFERROR(__xludf.DUMMYFUNCTION("""COMPUTED_VALUE"""),"Ice Residence")</f>
        <v>Ice Residence</v>
      </c>
      <c r="C7799" s="2" t="str">
        <f ca="1">IFERROR(__xludf.DUMMYFUNCTION("""COMPUTED_VALUE"""),"Building")</f>
        <v>Building</v>
      </c>
      <c r="D7799" s="2" t="str">
        <f ca="1">IFERROR(__xludf.DUMMYFUNCTION("""COMPUTED_VALUE"""),"Dubai&gt;Al Furjan&gt;Ice Residence")</f>
        <v>Dubai&gt;Al Furjan&gt;Ice Residence</v>
      </c>
      <c r="E7799" s="2"/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</row>
    <row r="7800" spans="1:26" ht="16.5" x14ac:dyDescent="0.35">
      <c r="A7800" s="2" t="str">
        <f ca="1">IFERROR(__xludf.DUMMYFUNCTION("""COMPUTED_VALUE"""),"Dubai")</f>
        <v>Dubai</v>
      </c>
      <c r="B7800" s="2" t="str">
        <f ca="1">IFERROR(__xludf.DUMMYFUNCTION("""COMPUTED_VALUE"""),"Masakin Al Furjan Block B")</f>
        <v>Masakin Al Furjan Block B</v>
      </c>
      <c r="C7800" s="2" t="str">
        <f ca="1">IFERROR(__xludf.DUMMYFUNCTION("""COMPUTED_VALUE"""),"Building")</f>
        <v>Building</v>
      </c>
      <c r="D7800" s="2" t="str">
        <f ca="1">IFERROR(__xludf.DUMMYFUNCTION("""COMPUTED_VALUE"""),"Dubai&gt;Al Furjan&gt;Masakin Al Furjan&gt;Masakin Al Furjan Block B")</f>
        <v>Dubai&gt;Al Furjan&gt;Masakin Al Furjan&gt;Masakin Al Furjan Block B</v>
      </c>
      <c r="E7800" s="2"/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</row>
    <row r="7801" spans="1:26" ht="16.5" x14ac:dyDescent="0.35">
      <c r="A7801" s="2" t="str">
        <f ca="1">IFERROR(__xludf.DUMMYFUNCTION("""COMPUTED_VALUE"""),"Dubai")</f>
        <v>Dubai</v>
      </c>
      <c r="B7801" s="2" t="str">
        <f ca="1">IFERROR(__xludf.DUMMYFUNCTION("""COMPUTED_VALUE"""),"Rosalia Residences")</f>
        <v>Rosalia Residences</v>
      </c>
      <c r="C7801" s="2" t="str">
        <f ca="1">IFERROR(__xludf.DUMMYFUNCTION("""COMPUTED_VALUE"""),"Building")</f>
        <v>Building</v>
      </c>
      <c r="D7801" s="2" t="str">
        <f ca="1">IFERROR(__xludf.DUMMYFUNCTION("""COMPUTED_VALUE"""),"Dubai&gt;Al Furjan&gt;Rosalia Residences")</f>
        <v>Dubai&gt;Al Furjan&gt;Rosalia Residences</v>
      </c>
      <c r="E7801" s="2"/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</row>
    <row r="7802" spans="1:26" ht="16.5" x14ac:dyDescent="0.35">
      <c r="A7802" s="2" t="str">
        <f ca="1">IFERROR(__xludf.DUMMYFUNCTION("""COMPUTED_VALUE"""),"Dubai")</f>
        <v>Dubai</v>
      </c>
      <c r="B7802" s="2" t="str">
        <f ca="1">IFERROR(__xludf.DUMMYFUNCTION("""COMPUTED_VALUE"""),"Avenue Residence 8")</f>
        <v>Avenue Residence 8</v>
      </c>
      <c r="C7802" s="2" t="str">
        <f ca="1">IFERROR(__xludf.DUMMYFUNCTION("""COMPUTED_VALUE"""),"Building")</f>
        <v>Building</v>
      </c>
      <c r="D7802" s="2" t="str">
        <f ca="1">IFERROR(__xludf.DUMMYFUNCTION("""COMPUTED_VALUE"""),"Dubai&gt;Al Furjan&gt;Avenue Residence 8")</f>
        <v>Dubai&gt;Al Furjan&gt;Avenue Residence 8</v>
      </c>
      <c r="E7802" s="2"/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</row>
    <row r="7803" spans="1:26" ht="16.5" x14ac:dyDescent="0.35">
      <c r="A7803" s="2" t="str">
        <f ca="1">IFERROR(__xludf.DUMMYFUNCTION("""COMPUTED_VALUE"""),"Dubai")</f>
        <v>Dubai</v>
      </c>
      <c r="B7803" s="2" t="str">
        <f ca="1">IFERROR(__xludf.DUMMYFUNCTION("""COMPUTED_VALUE"""),"Tonino Lamborghini 4")</f>
        <v>Tonino Lamborghini 4</v>
      </c>
      <c r="C7803" s="2" t="str">
        <f ca="1">IFERROR(__xludf.DUMMYFUNCTION("""COMPUTED_VALUE"""),"Building")</f>
        <v>Building</v>
      </c>
      <c r="D7803" s="2" t="str">
        <f ca="1">IFERROR(__xludf.DUMMYFUNCTION("""COMPUTED_VALUE"""),"Dubai&gt;Meydan City&gt;Tonino Lamborghini Residences&gt;Tonino Lamborghini 4")</f>
        <v>Dubai&gt;Meydan City&gt;Tonino Lamborghini Residences&gt;Tonino Lamborghini 4</v>
      </c>
      <c r="E7803" s="2"/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</row>
    <row r="7804" spans="1:26" ht="16.5" x14ac:dyDescent="0.35">
      <c r="A7804" s="2" t="str">
        <f ca="1">IFERROR(__xludf.DUMMYFUNCTION("""COMPUTED_VALUE"""),"Dubai")</f>
        <v>Dubai</v>
      </c>
      <c r="B7804" s="2" t="str">
        <f ca="1">IFERROR(__xludf.DUMMYFUNCTION("""COMPUTED_VALUE"""),"Azizi Riviera 2")</f>
        <v>Azizi Riviera 2</v>
      </c>
      <c r="C7804" s="2" t="str">
        <f ca="1">IFERROR(__xludf.DUMMYFUNCTION("""COMPUTED_VALUE"""),"Building")</f>
        <v>Building</v>
      </c>
      <c r="D7804" s="2" t="str">
        <f ca="1">IFERROR(__xludf.DUMMYFUNCTION("""COMPUTED_VALUE"""),"Dubai&gt;Meydan City&gt;Meydan One&gt;Azizi Riviera&gt;Azizi Riviera 2")</f>
        <v>Dubai&gt;Meydan City&gt;Meydan One&gt;Azizi Riviera&gt;Azizi Riviera 2</v>
      </c>
      <c r="E7804" s="2"/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</row>
    <row r="7805" spans="1:26" ht="16.5" x14ac:dyDescent="0.35">
      <c r="A7805" s="2" t="str">
        <f ca="1">IFERROR(__xludf.DUMMYFUNCTION("""COMPUTED_VALUE"""),"Dubai")</f>
        <v>Dubai</v>
      </c>
      <c r="B7805" s="2" t="str">
        <f ca="1">IFERROR(__xludf.DUMMYFUNCTION("""COMPUTED_VALUE"""),"Azizi Riviera 63")</f>
        <v>Azizi Riviera 63</v>
      </c>
      <c r="C7805" s="2" t="str">
        <f ca="1">IFERROR(__xludf.DUMMYFUNCTION("""COMPUTED_VALUE"""),"Building")</f>
        <v>Building</v>
      </c>
      <c r="D7805" s="2" t="str">
        <f ca="1">IFERROR(__xludf.DUMMYFUNCTION("""COMPUTED_VALUE"""),"Dubai&gt;Meydan City&gt;Meydan One&gt;Azizi Riviera&gt;Azizi Riviera 63")</f>
        <v>Dubai&gt;Meydan City&gt;Meydan One&gt;Azizi Riviera&gt;Azizi Riviera 63</v>
      </c>
      <c r="E7805" s="2"/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</row>
    <row r="7806" spans="1:26" ht="16.5" x14ac:dyDescent="0.35">
      <c r="A7806" s="2" t="str">
        <f ca="1">IFERROR(__xludf.DUMMYFUNCTION("""COMPUTED_VALUE"""),"Dubai")</f>
        <v>Dubai</v>
      </c>
      <c r="B7806" s="2" t="str">
        <f ca="1">IFERROR(__xludf.DUMMYFUNCTION("""COMPUTED_VALUE"""),"Injazzat Residence")</f>
        <v>Injazzat Residence</v>
      </c>
      <c r="C7806" s="2" t="str">
        <f ca="1">IFERROR(__xludf.DUMMYFUNCTION("""COMPUTED_VALUE"""),"Building")</f>
        <v>Building</v>
      </c>
      <c r="D7806" s="2" t="str">
        <f ca="1">IFERROR(__xludf.DUMMYFUNCTION("""COMPUTED_VALUE"""),"Dubai&gt;Meydan City&gt;Meydan Avenue&gt;Injazzat Residence")</f>
        <v>Dubai&gt;Meydan City&gt;Meydan Avenue&gt;Injazzat Residence</v>
      </c>
      <c r="E7806" s="2"/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</row>
    <row r="7807" spans="1:26" ht="16.5" x14ac:dyDescent="0.35">
      <c r="A7807" s="2" t="str">
        <f ca="1">IFERROR(__xludf.DUMMYFUNCTION("""COMPUTED_VALUE"""),"Dubai")</f>
        <v>Dubai</v>
      </c>
      <c r="B7807" s="2" t="str">
        <f ca="1">IFERROR(__xludf.DUMMYFUNCTION("""COMPUTED_VALUE"""),"Polo Residence E5")</f>
        <v>Polo Residence E5</v>
      </c>
      <c r="C7807" s="2" t="str">
        <f ca="1">IFERROR(__xludf.DUMMYFUNCTION("""COMPUTED_VALUE"""),"Building")</f>
        <v>Building</v>
      </c>
      <c r="D7807" s="2" t="str">
        <f ca="1">IFERROR(__xludf.DUMMYFUNCTION("""COMPUTED_VALUE"""),"Dubai&gt;Meydan City&gt;Meydan Avenue&gt;Polo Residence&gt;Polo Residence E5")</f>
        <v>Dubai&gt;Meydan City&gt;Meydan Avenue&gt;Polo Residence&gt;Polo Residence E5</v>
      </c>
      <c r="E7807" s="2"/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</row>
    <row r="7808" spans="1:26" ht="16.5" x14ac:dyDescent="0.35">
      <c r="A7808" s="2" t="str">
        <f ca="1">IFERROR(__xludf.DUMMYFUNCTION("""COMPUTED_VALUE"""),"Dubai")</f>
        <v>Dubai</v>
      </c>
      <c r="B7808" s="2" t="str">
        <f ca="1">IFERROR(__xludf.DUMMYFUNCTION("""COMPUTED_VALUE"""),"Meydan Avenue C")</f>
        <v>Meydan Avenue C</v>
      </c>
      <c r="C7808" s="2" t="str">
        <f ca="1">IFERROR(__xludf.DUMMYFUNCTION("""COMPUTED_VALUE"""),"Neighbourhood")</f>
        <v>Neighbourhood</v>
      </c>
      <c r="D7808" s="2" t="str">
        <f ca="1">IFERROR(__xludf.DUMMYFUNCTION("""COMPUTED_VALUE"""),"Dubai&gt;Meydan City&gt;Meydan Avenue C")</f>
        <v>Dubai&gt;Meydan City&gt;Meydan Avenue C</v>
      </c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</row>
    <row r="7809" spans="1:26" ht="16.5" x14ac:dyDescent="0.35">
      <c r="A7809" s="2" t="str">
        <f ca="1">IFERROR(__xludf.DUMMYFUNCTION("""COMPUTED_VALUE"""),"Dubai")</f>
        <v>Dubai</v>
      </c>
      <c r="B7809" s="2" t="str">
        <f ca="1">IFERROR(__xludf.DUMMYFUNCTION("""COMPUTED_VALUE"""),"Al Alka")</f>
        <v>Al Alka</v>
      </c>
      <c r="C7809" s="2" t="str">
        <f ca="1">IFERROR(__xludf.DUMMYFUNCTION("""COMPUTED_VALUE"""),"Cluster")</f>
        <v>Cluster</v>
      </c>
      <c r="D7809" s="2" t="str">
        <f ca="1">IFERROR(__xludf.DUMMYFUNCTION("""COMPUTED_VALUE"""),"Dubai&gt;The Greens&gt;Al Alka")</f>
        <v>Dubai&gt;The Greens&gt;Al Alka</v>
      </c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</row>
    <row r="7810" spans="1:26" ht="16.5" x14ac:dyDescent="0.35">
      <c r="A7810" s="2" t="str">
        <f ca="1">IFERROR(__xludf.DUMMYFUNCTION("""COMPUTED_VALUE"""),"Dubai")</f>
        <v>Dubai</v>
      </c>
      <c r="B7810" s="2" t="str">
        <f ca="1">IFERROR(__xludf.DUMMYFUNCTION("""COMPUTED_VALUE"""),"Costra Business Park")</f>
        <v>Costra Business Park</v>
      </c>
      <c r="C7810" s="2" t="str">
        <f ca="1">IFERROR(__xludf.DUMMYFUNCTION("""COMPUTED_VALUE"""),"Building")</f>
        <v>Building</v>
      </c>
      <c r="D7810" s="2" t="str">
        <f ca="1">IFERROR(__xludf.DUMMYFUNCTION("""COMPUTED_VALUE"""),"Dubai&gt;Dubai Production City (IMPZ)&gt;Costra Business Park")</f>
        <v>Dubai&gt;Dubai Production City (IMPZ)&gt;Costra Business Park</v>
      </c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</row>
    <row r="7811" spans="1:26" ht="16.5" x14ac:dyDescent="0.35">
      <c r="A7811" s="2" t="str">
        <f ca="1">IFERROR(__xludf.DUMMYFUNCTION("""COMPUTED_VALUE"""),"Dubai")</f>
        <v>Dubai</v>
      </c>
      <c r="B7811" s="2" t="str">
        <f ca="1">IFERROR(__xludf.DUMMYFUNCTION("""COMPUTED_VALUE"""),"Afnan 6")</f>
        <v>Afnan 6</v>
      </c>
      <c r="C7811" s="2" t="str">
        <f ca="1">IFERROR(__xludf.DUMMYFUNCTION("""COMPUTED_VALUE"""),"Building")</f>
        <v>Building</v>
      </c>
      <c r="D7811" s="2" t="str">
        <f ca="1">IFERROR(__xludf.DUMMYFUNCTION("""COMPUTED_VALUE"""),"Dubai&gt;Dubai Production City (IMPZ)&gt;Midtown&gt;Afnan District&gt;Afnan 6")</f>
        <v>Dubai&gt;Dubai Production City (IMPZ)&gt;Midtown&gt;Afnan District&gt;Afnan 6</v>
      </c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</row>
    <row r="7812" spans="1:26" ht="16.5" x14ac:dyDescent="0.35">
      <c r="A7812" s="2" t="str">
        <f ca="1">IFERROR(__xludf.DUMMYFUNCTION("""COMPUTED_VALUE"""),"Dubai")</f>
        <v>Dubai</v>
      </c>
      <c r="B7812" s="2" t="str">
        <f ca="1">IFERROR(__xludf.DUMMYFUNCTION("""COMPUTED_VALUE"""),"Oakwood Residency")</f>
        <v>Oakwood Residency</v>
      </c>
      <c r="C7812" s="2" t="str">
        <f ca="1">IFERROR(__xludf.DUMMYFUNCTION("""COMPUTED_VALUE"""),"Building")</f>
        <v>Building</v>
      </c>
      <c r="D7812" s="2" t="str">
        <f ca="1">IFERROR(__xludf.DUMMYFUNCTION("""COMPUTED_VALUE"""),"Dubai&gt;Dubai Production City (IMPZ)&gt;Oakwood Residency")</f>
        <v>Dubai&gt;Dubai Production City (IMPZ)&gt;Oakwood Residency</v>
      </c>
      <c r="E7812" s="2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</row>
    <row r="7813" spans="1:26" ht="16.5" x14ac:dyDescent="0.35">
      <c r="A7813" s="2" t="str">
        <f ca="1">IFERROR(__xludf.DUMMYFUNCTION("""COMPUTED_VALUE"""),"Dubai")</f>
        <v>Dubai</v>
      </c>
      <c r="B7813" s="2" t="str">
        <f ca="1">IFERROR(__xludf.DUMMYFUNCTION("""COMPUTED_VALUE"""),"Samana Lake Views")</f>
        <v>Samana Lake Views</v>
      </c>
      <c r="C7813" s="2" t="str">
        <f ca="1">IFERROR(__xludf.DUMMYFUNCTION("""COMPUTED_VALUE"""),"Building")</f>
        <v>Building</v>
      </c>
      <c r="D7813" s="2" t="str">
        <f ca="1">IFERROR(__xludf.DUMMYFUNCTION("""COMPUTED_VALUE"""),"Dubai&gt;Dubai Production City (IMPZ)&gt;Samana Lake Views")</f>
        <v>Dubai&gt;Dubai Production City (IMPZ)&gt;Samana Lake Views</v>
      </c>
      <c r="E7813" s="2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</row>
    <row r="7814" spans="1:26" ht="16.5" x14ac:dyDescent="0.35">
      <c r="A7814" s="2" t="str">
        <f ca="1">IFERROR(__xludf.DUMMYFUNCTION("""COMPUTED_VALUE"""),"Dubai")</f>
        <v>Dubai</v>
      </c>
      <c r="B7814" s="2" t="str">
        <f ca="1">IFERROR(__xludf.DUMMYFUNCTION("""COMPUTED_VALUE"""),"The Spanish Villas")</f>
        <v>The Spanish Villas</v>
      </c>
      <c r="C7814" s="2" t="str">
        <f ca="1">IFERROR(__xludf.DUMMYFUNCTION("""COMPUTED_VALUE"""),"Neighbourhood")</f>
        <v>Neighbourhood</v>
      </c>
      <c r="D7814" s="2" t="str">
        <f ca="1">IFERROR(__xludf.DUMMYFUNCTION("""COMPUTED_VALUE"""),"Dubai&gt;Dubai Industrial City&gt;The Spanish Villas")</f>
        <v>Dubai&gt;Dubai Industrial City&gt;The Spanish Villas</v>
      </c>
      <c r="E7814" s="2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</row>
    <row r="7815" spans="1:26" ht="16.5" x14ac:dyDescent="0.35">
      <c r="A7815" s="2" t="str">
        <f ca="1">IFERROR(__xludf.DUMMYFUNCTION("""COMPUTED_VALUE"""),"Dubai")</f>
        <v>Dubai</v>
      </c>
      <c r="B7815" s="2" t="str">
        <f ca="1">IFERROR(__xludf.DUMMYFUNCTION("""COMPUTED_VALUE"""),"The Square II by Al Mizan")</f>
        <v>The Square II by Al Mizan</v>
      </c>
      <c r="C7815" s="2" t="str">
        <f ca="1">IFERROR(__xludf.DUMMYFUNCTION("""COMPUTED_VALUE"""),"Building")</f>
        <v>Building</v>
      </c>
      <c r="D7815" s="2" t="str">
        <f ca="1">IFERROR(__xludf.DUMMYFUNCTION("""COMPUTED_VALUE"""),"Dubai&gt;Dubai Industrial City&gt;The Square II by Al Mizan")</f>
        <v>Dubai&gt;Dubai Industrial City&gt;The Square II by Al Mizan</v>
      </c>
      <c r="E7815" s="2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</row>
    <row r="7816" spans="1:26" ht="16.5" x14ac:dyDescent="0.35">
      <c r="A7816" s="2" t="str">
        <f ca="1">IFERROR(__xludf.DUMMYFUNCTION("""COMPUTED_VALUE"""),"Dubai")</f>
        <v>Dubai</v>
      </c>
      <c r="B7816" s="2" t="str">
        <f ca="1">IFERROR(__xludf.DUMMYFUNCTION("""COMPUTED_VALUE"""),"Harmony")</f>
        <v>Harmony</v>
      </c>
      <c r="C7816" s="2" t="str">
        <f ca="1">IFERROR(__xludf.DUMMYFUNCTION("""COMPUTED_VALUE"""),"Neighbourhood")</f>
        <v>Neighbourhood</v>
      </c>
      <c r="D7816" s="2" t="str">
        <f ca="1">IFERROR(__xludf.DUMMYFUNCTION("""COMPUTED_VALUE"""),"Dubai&gt;Tilal Al Ghaf&gt;Harmony")</f>
        <v>Dubai&gt;Tilal Al Ghaf&gt;Harmony</v>
      </c>
      <c r="E7816" s="2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</row>
    <row r="7817" spans="1:26" ht="16.5" x14ac:dyDescent="0.35">
      <c r="A7817" s="2" t="str">
        <f ca="1">IFERROR(__xludf.DUMMYFUNCTION("""COMPUTED_VALUE"""),"Dubai")</f>
        <v>Dubai</v>
      </c>
      <c r="B7817" s="2" t="str">
        <f ca="1">IFERROR(__xludf.DUMMYFUNCTION("""COMPUTED_VALUE"""),"Beach Walk Residences 1")</f>
        <v>Beach Walk Residences 1</v>
      </c>
      <c r="C7817" s="2" t="str">
        <f ca="1">IFERROR(__xludf.DUMMYFUNCTION("""COMPUTED_VALUE"""),"Building")</f>
        <v>Building</v>
      </c>
      <c r="D7817" s="2" t="str">
        <f ca="1">IFERROR(__xludf.DUMMYFUNCTION("""COMPUTED_VALUE"""),"Dubai&gt;Dubai Islands&gt;Beach Walk Residences&gt;Beach Walk Residences 1")</f>
        <v>Dubai&gt;Dubai Islands&gt;Beach Walk Residences&gt;Beach Walk Residences 1</v>
      </c>
      <c r="E7817" s="2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</row>
    <row r="7818" spans="1:26" ht="16.5" x14ac:dyDescent="0.35">
      <c r="A7818" s="2" t="str">
        <f ca="1">IFERROR(__xludf.DUMMYFUNCTION("""COMPUTED_VALUE"""),"Dubai")</f>
        <v>Dubai</v>
      </c>
      <c r="B7818" s="2" t="str">
        <f ca="1">IFERROR(__xludf.DUMMYFUNCTION("""COMPUTED_VALUE"""),"Flora Isle")</f>
        <v>Flora Isle</v>
      </c>
      <c r="C7818" s="2" t="str">
        <f ca="1">IFERROR(__xludf.DUMMYFUNCTION("""COMPUTED_VALUE"""),"Building")</f>
        <v>Building</v>
      </c>
      <c r="D7818" s="2" t="str">
        <f ca="1">IFERROR(__xludf.DUMMYFUNCTION("""COMPUTED_VALUE"""),"Dubai&gt;Dubai Islands&gt;Flora Isle")</f>
        <v>Dubai&gt;Dubai Islands&gt;Flora Isle</v>
      </c>
      <c r="E7818" s="2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</row>
    <row r="7819" spans="1:26" ht="16.5" x14ac:dyDescent="0.35">
      <c r="A7819" s="2" t="str">
        <f ca="1">IFERROR(__xludf.DUMMYFUNCTION("""COMPUTED_VALUE"""),"Dubai")</f>
        <v>Dubai</v>
      </c>
      <c r="B7819" s="2" t="str">
        <f ca="1">IFERROR(__xludf.DUMMYFUNCTION("""COMPUTED_VALUE"""),"Sunset Bay 4 by Imitiaz")</f>
        <v>Sunset Bay 4 by Imitiaz</v>
      </c>
      <c r="C7819" s="2" t="str">
        <f ca="1">IFERROR(__xludf.DUMMYFUNCTION("""COMPUTED_VALUE"""),"Building")</f>
        <v>Building</v>
      </c>
      <c r="D7819" s="2" t="str">
        <f ca="1">IFERROR(__xludf.DUMMYFUNCTION("""COMPUTED_VALUE"""),"Dubai&gt;Dubai Islands&gt;Sunset Bay 4 by Imitiaz")</f>
        <v>Dubai&gt;Dubai Islands&gt;Sunset Bay 4 by Imitiaz</v>
      </c>
      <c r="E7819" s="2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</row>
    <row r="7820" spans="1:26" ht="16.5" x14ac:dyDescent="0.35">
      <c r="A7820" s="2" t="str">
        <f ca="1">IFERROR(__xludf.DUMMYFUNCTION("""COMPUTED_VALUE"""),"Dubai")</f>
        <v>Dubai</v>
      </c>
      <c r="B7820" s="2" t="str">
        <f ca="1">IFERROR(__xludf.DUMMYFUNCTION("""COMPUTED_VALUE"""),"Avida Residences")</f>
        <v>Avida Residences</v>
      </c>
      <c r="C7820" s="2" t="str">
        <f ca="1">IFERROR(__xludf.DUMMYFUNCTION("""COMPUTED_VALUE"""),"Building")</f>
        <v>Building</v>
      </c>
      <c r="D7820" s="2" t="str">
        <f ca="1">IFERROR(__xludf.DUMMYFUNCTION("""COMPUTED_VALUE"""),"Dubai&gt;Dubai Islands&gt;Avida Residences")</f>
        <v>Dubai&gt;Dubai Islands&gt;Avida Residences</v>
      </c>
      <c r="E7820" s="2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</row>
    <row r="7821" spans="1:26" ht="16.5" x14ac:dyDescent="0.35">
      <c r="A7821" s="2" t="str">
        <f ca="1">IFERROR(__xludf.DUMMYFUNCTION("""COMPUTED_VALUE"""),"Dubai")</f>
        <v>Dubai</v>
      </c>
      <c r="B7821" s="2" t="str">
        <f ca="1">IFERROR(__xludf.DUMMYFUNCTION("""COMPUTED_VALUE"""),"Casagrand Hermina")</f>
        <v>Casagrand Hermina</v>
      </c>
      <c r="C7821" s="2" t="str">
        <f ca="1">IFERROR(__xludf.DUMMYFUNCTION("""COMPUTED_VALUE"""),"Building")</f>
        <v>Building</v>
      </c>
      <c r="D7821" s="2" t="str">
        <f ca="1">IFERROR(__xludf.DUMMYFUNCTION("""COMPUTED_VALUE"""),"Dubai&gt;Dubai Islands&gt;Casagrand Hermina")</f>
        <v>Dubai&gt;Dubai Islands&gt;Casagrand Hermina</v>
      </c>
      <c r="E7821" s="2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</row>
    <row r="7822" spans="1:26" ht="16.5" x14ac:dyDescent="0.35">
      <c r="A7822" s="2" t="str">
        <f ca="1">IFERROR(__xludf.DUMMYFUNCTION("""COMPUTED_VALUE"""),"Dubai")</f>
        <v>Dubai</v>
      </c>
      <c r="B7822" s="2" t="str">
        <f ca="1">IFERROR(__xludf.DUMMYFUNCTION("""COMPUTED_VALUE"""),"The Gardens Building 45")</f>
        <v>The Gardens Building 45</v>
      </c>
      <c r="C7822" s="2" t="str">
        <f ca="1">IFERROR(__xludf.DUMMYFUNCTION("""COMPUTED_VALUE"""),"Building")</f>
        <v>Building</v>
      </c>
      <c r="D7822" s="2" t="str">
        <f ca="1">IFERROR(__xludf.DUMMYFUNCTION("""COMPUTED_VALUE"""),"Dubai&gt;The Gardens&gt;The Gardens Building 45")</f>
        <v>Dubai&gt;The Gardens&gt;The Gardens Building 45</v>
      </c>
      <c r="E7822" s="2"/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</row>
    <row r="7823" spans="1:26" ht="16.5" x14ac:dyDescent="0.35">
      <c r="A7823" s="2" t="str">
        <f ca="1">IFERROR(__xludf.DUMMYFUNCTION("""COMPUTED_VALUE"""),"Dubai")</f>
        <v>Dubai</v>
      </c>
      <c r="B7823" s="2" t="str">
        <f ca="1">IFERROR(__xludf.DUMMYFUNCTION("""COMPUTED_VALUE"""),"Al Jazeera Tower")</f>
        <v>Al Jazeera Tower</v>
      </c>
      <c r="C7823" s="2" t="str">
        <f ca="1">IFERROR(__xludf.DUMMYFUNCTION("""COMPUTED_VALUE"""),"Building")</f>
        <v>Building</v>
      </c>
      <c r="D7823" s="2" t="str">
        <f ca="1">IFERROR(__xludf.DUMMYFUNCTION("""COMPUTED_VALUE"""),"Dubai&gt;Al Mamzar&gt;Al Jazeera Tower")</f>
        <v>Dubai&gt;Al Mamzar&gt;Al Jazeera Tower</v>
      </c>
      <c r="E7823" s="2"/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</row>
    <row r="7824" spans="1:26" ht="16.5" x14ac:dyDescent="0.35">
      <c r="A7824" s="2" t="str">
        <f ca="1">IFERROR(__xludf.DUMMYFUNCTION("""COMPUTED_VALUE"""),"Dubai")</f>
        <v>Dubai</v>
      </c>
      <c r="B7824" s="2" t="str">
        <f ca="1">IFERROR(__xludf.DUMMYFUNCTION("""COMPUTED_VALUE"""),"Bluewaters Residences 7")</f>
        <v>Bluewaters Residences 7</v>
      </c>
      <c r="C7824" s="2" t="str">
        <f ca="1">IFERROR(__xludf.DUMMYFUNCTION("""COMPUTED_VALUE"""),"Building")</f>
        <v>Building</v>
      </c>
      <c r="D7824" s="2" t="str">
        <f ca="1">IFERROR(__xludf.DUMMYFUNCTION("""COMPUTED_VALUE"""),"Dubai&gt;Bluewaters Island&gt;Bluewaters Residences&gt;Bluewaters Residences 7")</f>
        <v>Dubai&gt;Bluewaters Island&gt;Bluewaters Residences&gt;Bluewaters Residences 7</v>
      </c>
      <c r="E7824" s="2"/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</row>
    <row r="7825" spans="1:26" ht="16.5" x14ac:dyDescent="0.35">
      <c r="A7825" s="2" t="str">
        <f ca="1">IFERROR(__xludf.DUMMYFUNCTION("""COMPUTED_VALUE"""),"Dubai")</f>
        <v>Dubai</v>
      </c>
      <c r="B7825" s="2" t="str">
        <f ca="1">IFERROR(__xludf.DUMMYFUNCTION("""COMPUTED_VALUE"""),"Al Wasl R453")</f>
        <v>Al Wasl R453</v>
      </c>
      <c r="C7825" s="2" t="str">
        <f ca="1">IFERROR(__xludf.DUMMYFUNCTION("""COMPUTED_VALUE"""),"Cluster")</f>
        <v>Cluster</v>
      </c>
      <c r="D7825" s="2" t="str">
        <f ca="1">IFERROR(__xludf.DUMMYFUNCTION("""COMPUTED_VALUE"""),"Dubai&gt;Muhaisnah&gt;Muhaisnah 4&gt;Al Wasl R453")</f>
        <v>Dubai&gt;Muhaisnah&gt;Muhaisnah 4&gt;Al Wasl R453</v>
      </c>
      <c r="E7825" s="2"/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</row>
    <row r="7826" spans="1:26" ht="16.5" x14ac:dyDescent="0.35">
      <c r="A7826" s="2" t="str">
        <f ca="1">IFERROR(__xludf.DUMMYFUNCTION("""COMPUTED_VALUE"""),"Dubai")</f>
        <v>Dubai</v>
      </c>
      <c r="B7826" s="2" t="str">
        <f ca="1">IFERROR(__xludf.DUMMYFUNCTION("""COMPUTED_VALUE"""),"School of Modern Skills")</f>
        <v>School of Modern Skills</v>
      </c>
      <c r="C7826" s="2" t="str">
        <f ca="1">IFERROR(__xludf.DUMMYFUNCTION("""COMPUTED_VALUE"""),"School")</f>
        <v>School</v>
      </c>
      <c r="D7826" s="2" t="str">
        <f ca="1">IFERROR(__xludf.DUMMYFUNCTION("""COMPUTED_VALUE"""),"Dubai&gt;Muhaisnah&gt;Muhaisnah 1&gt;School of Modern Skills")</f>
        <v>Dubai&gt;Muhaisnah&gt;Muhaisnah 1&gt;School of Modern Skills</v>
      </c>
      <c r="E7826" s="2"/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</row>
    <row r="7827" spans="1:26" ht="16.5" x14ac:dyDescent="0.35">
      <c r="A7827" s="2" t="str">
        <f ca="1">IFERROR(__xludf.DUMMYFUNCTION("""COMPUTED_VALUE"""),"Dubai")</f>
        <v>Dubai</v>
      </c>
      <c r="B7827" s="2" t="str">
        <f ca="1">IFERROR(__xludf.DUMMYFUNCTION("""COMPUTED_VALUE"""),"Emaar Business Park Building 3")</f>
        <v>Emaar Business Park Building 3</v>
      </c>
      <c r="C7827" s="2" t="str">
        <f ca="1">IFERROR(__xludf.DUMMYFUNCTION("""COMPUTED_VALUE"""),"Building")</f>
        <v>Building</v>
      </c>
      <c r="D7827" s="2" t="str">
        <f ca="1">IFERROR(__xludf.DUMMYFUNCTION("""COMPUTED_VALUE"""),"Dubai&gt;Sheikh Zayed Road&gt;Emaar Business Park&gt;Emaar Business Park Building 3")</f>
        <v>Dubai&gt;Sheikh Zayed Road&gt;Emaar Business Park&gt;Emaar Business Park Building 3</v>
      </c>
      <c r="E7827" s="2"/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</row>
    <row r="7828" spans="1:26" ht="16.5" x14ac:dyDescent="0.35">
      <c r="A7828" s="2" t="str">
        <f ca="1">IFERROR(__xludf.DUMMYFUNCTION("""COMPUTED_VALUE"""),"Dubai")</f>
        <v>Dubai</v>
      </c>
      <c r="B7828" s="2" t="str">
        <f ca="1">IFERROR(__xludf.DUMMYFUNCTION("""COMPUTED_VALUE"""),"Voco Dubai")</f>
        <v>Voco Dubai</v>
      </c>
      <c r="C7828" s="2" t="str">
        <f ca="1">IFERROR(__xludf.DUMMYFUNCTION("""COMPUTED_VALUE"""),"Building")</f>
        <v>Building</v>
      </c>
      <c r="D7828" s="2" t="str">
        <f ca="1">IFERROR(__xludf.DUMMYFUNCTION("""COMPUTED_VALUE"""),"Dubai&gt;Sheikh Zayed Road&gt;Voco Dubai")</f>
        <v>Dubai&gt;Sheikh Zayed Road&gt;Voco Dubai</v>
      </c>
      <c r="E7828" s="2"/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</row>
    <row r="7829" spans="1:26" ht="16.5" x14ac:dyDescent="0.35">
      <c r="A7829" s="2" t="str">
        <f ca="1">IFERROR(__xludf.DUMMYFUNCTION("""COMPUTED_VALUE"""),"Dubai")</f>
        <v>Dubai</v>
      </c>
      <c r="B7829" s="2" t="str">
        <f ca="1">IFERROR(__xludf.DUMMYFUNCTION("""COMPUTED_VALUE"""),"Conrad Hotel")</f>
        <v>Conrad Hotel</v>
      </c>
      <c r="C7829" s="2" t="str">
        <f ca="1">IFERROR(__xludf.DUMMYFUNCTION("""COMPUTED_VALUE"""),"Building")</f>
        <v>Building</v>
      </c>
      <c r="D7829" s="2" t="str">
        <f ca="1">IFERROR(__xludf.DUMMYFUNCTION("""COMPUTED_VALUE"""),"Dubai&gt;Sheikh Zayed Road&gt;Conrad Hotel")</f>
        <v>Dubai&gt;Sheikh Zayed Road&gt;Conrad Hotel</v>
      </c>
      <c r="E7829" s="2"/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</row>
    <row r="7830" spans="1:26" ht="16.5" x14ac:dyDescent="0.35">
      <c r="A7830" s="2" t="str">
        <f ca="1">IFERROR(__xludf.DUMMYFUNCTION("""COMPUTED_VALUE"""),"Dubai")</f>
        <v>Dubai</v>
      </c>
      <c r="B7830" s="2" t="str">
        <f ca="1">IFERROR(__xludf.DUMMYFUNCTION("""COMPUTED_VALUE"""),"Villa Rotana Hotel Apartments")</f>
        <v>Villa Rotana Hotel Apartments</v>
      </c>
      <c r="C7830" s="2" t="str">
        <f ca="1">IFERROR(__xludf.DUMMYFUNCTION("""COMPUTED_VALUE"""),"Building")</f>
        <v>Building</v>
      </c>
      <c r="D7830" s="2" t="str">
        <f ca="1">IFERROR(__xludf.DUMMYFUNCTION("""COMPUTED_VALUE"""),"Dubai&gt;Sheikh Zayed Road&gt;Villa Rotana Hotel Apartments")</f>
        <v>Dubai&gt;Sheikh Zayed Road&gt;Villa Rotana Hotel Apartments</v>
      </c>
      <c r="E7830" s="2"/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</row>
    <row r="7831" spans="1:26" ht="16.5" x14ac:dyDescent="0.35">
      <c r="A7831" s="2" t="str">
        <f ca="1">IFERROR(__xludf.DUMMYFUNCTION("""COMPUTED_VALUE"""),"Dubai")</f>
        <v>Dubai</v>
      </c>
      <c r="B7831" s="2" t="str">
        <f ca="1">IFERROR(__xludf.DUMMYFUNCTION("""COMPUTED_VALUE"""),"Circle Time Nursery Al Karama")</f>
        <v>Circle Time Nursery Al Karama</v>
      </c>
      <c r="C7831" s="2" t="str">
        <f ca="1">IFERROR(__xludf.DUMMYFUNCTION("""COMPUTED_VALUE"""),"Nursery")</f>
        <v>Nursery</v>
      </c>
      <c r="D7831" s="2" t="str">
        <f ca="1">IFERROR(__xludf.DUMMYFUNCTION("""COMPUTED_VALUE"""),"Dubai&gt;Al Karama&gt;Circle Time Nursery Al Karama")</f>
        <v>Dubai&gt;Al Karama&gt;Circle Time Nursery Al Karama</v>
      </c>
      <c r="E7831" s="2"/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</row>
    <row r="7832" spans="1:26" ht="16.5" x14ac:dyDescent="0.35">
      <c r="A7832" s="2" t="str">
        <f ca="1">IFERROR(__xludf.DUMMYFUNCTION("""COMPUTED_VALUE"""),"Dubai")</f>
        <v>Dubai</v>
      </c>
      <c r="B7832" s="2" t="str">
        <f ca="1">IFERROR(__xludf.DUMMYFUNCTION("""COMPUTED_VALUE"""),"Building 11")</f>
        <v>Building 11</v>
      </c>
      <c r="C7832" s="2" t="str">
        <f ca="1">IFERROR(__xludf.DUMMYFUNCTION("""COMPUTED_VALUE"""),"Building")</f>
        <v>Building</v>
      </c>
      <c r="D7832" s="2" t="str">
        <f ca="1">IFERROR(__xludf.DUMMYFUNCTION("""COMPUTED_VALUE"""),"Dubai&gt;Al Karama&gt;Karam Pioneer Buildings&gt;Building 11")</f>
        <v>Dubai&gt;Al Karama&gt;Karam Pioneer Buildings&gt;Building 11</v>
      </c>
      <c r="E7832" s="2"/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</row>
    <row r="7833" spans="1:26" ht="16.5" x14ac:dyDescent="0.35">
      <c r="A7833" s="2" t="str">
        <f ca="1">IFERROR(__xludf.DUMMYFUNCTION("""COMPUTED_VALUE"""),"Dubai")</f>
        <v>Dubai</v>
      </c>
      <c r="B7833" s="2" t="str">
        <f ca="1">IFERROR(__xludf.DUMMYFUNCTION("""COMPUTED_VALUE"""),"Building 43")</f>
        <v>Building 43</v>
      </c>
      <c r="C7833" s="2" t="str">
        <f ca="1">IFERROR(__xludf.DUMMYFUNCTION("""COMPUTED_VALUE"""),"Building")</f>
        <v>Building</v>
      </c>
      <c r="D7833" s="2" t="str">
        <f ca="1">IFERROR(__xludf.DUMMYFUNCTION("""COMPUTED_VALUE"""),"Dubai&gt;Al Karama&gt;Karam Pioneer Buildings&gt;Building 43")</f>
        <v>Dubai&gt;Al Karama&gt;Karam Pioneer Buildings&gt;Building 43</v>
      </c>
      <c r="E7833" s="2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</row>
    <row r="7834" spans="1:26" ht="16.5" x14ac:dyDescent="0.35">
      <c r="A7834" s="2" t="str">
        <f ca="1">IFERROR(__xludf.DUMMYFUNCTION("""COMPUTED_VALUE"""),"Dubai")</f>
        <v>Dubai</v>
      </c>
      <c r="B7834" s="2" t="str">
        <f ca="1">IFERROR(__xludf.DUMMYFUNCTION("""COMPUTED_VALUE"""),"Al Shafar Building")</f>
        <v>Al Shafar Building</v>
      </c>
      <c r="C7834" s="2" t="str">
        <f ca="1">IFERROR(__xludf.DUMMYFUNCTION("""COMPUTED_VALUE"""),"Building")</f>
        <v>Building</v>
      </c>
      <c r="D7834" s="2" t="str">
        <f ca="1">IFERROR(__xludf.DUMMYFUNCTION("""COMPUTED_VALUE"""),"Dubai&gt;Al Karama&gt;Al Shafar Building")</f>
        <v>Dubai&gt;Al Karama&gt;Al Shafar Building</v>
      </c>
      <c r="E7834" s="2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</row>
    <row r="7835" spans="1:26" ht="16.5" x14ac:dyDescent="0.35">
      <c r="A7835" s="2" t="str">
        <f ca="1">IFERROR(__xludf.DUMMYFUNCTION("""COMPUTED_VALUE"""),"Dubai")</f>
        <v>Dubai</v>
      </c>
      <c r="B7835" s="2" t="str">
        <f ca="1">IFERROR(__xludf.DUMMYFUNCTION("""COMPUTED_VALUE"""),"Al Hashimi Building")</f>
        <v>Al Hashimi Building</v>
      </c>
      <c r="C7835" s="2" t="str">
        <f ca="1">IFERROR(__xludf.DUMMYFUNCTION("""COMPUTED_VALUE"""),"Building")</f>
        <v>Building</v>
      </c>
      <c r="D7835" s="2" t="str">
        <f ca="1">IFERROR(__xludf.DUMMYFUNCTION("""COMPUTED_VALUE"""),"Dubai&gt;Al Karama&gt;Al Hashimi Building")</f>
        <v>Dubai&gt;Al Karama&gt;Al Hashimi Building</v>
      </c>
      <c r="E7835" s="2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</row>
    <row r="7836" spans="1:26" ht="16.5" x14ac:dyDescent="0.35">
      <c r="A7836" s="2" t="str">
        <f ca="1">IFERROR(__xludf.DUMMYFUNCTION("""COMPUTED_VALUE"""),"Dubai")</f>
        <v>Dubai</v>
      </c>
      <c r="B7836" s="2" t="str">
        <f ca="1">IFERROR(__xludf.DUMMYFUNCTION("""COMPUTED_VALUE"""),"Al Mur Building")</f>
        <v>Al Mur Building</v>
      </c>
      <c r="C7836" s="2" t="str">
        <f ca="1">IFERROR(__xludf.DUMMYFUNCTION("""COMPUTED_VALUE"""),"Building")</f>
        <v>Building</v>
      </c>
      <c r="D7836" s="2" t="str">
        <f ca="1">IFERROR(__xludf.DUMMYFUNCTION("""COMPUTED_VALUE"""),"Dubai&gt;Al Karama&gt;Al Mur Building")</f>
        <v>Dubai&gt;Al Karama&gt;Al Mur Building</v>
      </c>
      <c r="E7836" s="2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</row>
    <row r="7837" spans="1:26" ht="16.5" x14ac:dyDescent="0.35">
      <c r="A7837" s="2" t="str">
        <f ca="1">IFERROR(__xludf.DUMMYFUNCTION("""COMPUTED_VALUE"""),"Dubai")</f>
        <v>Dubai</v>
      </c>
      <c r="B7837" s="2" t="str">
        <f ca="1">IFERROR(__xludf.DUMMYFUNCTION("""COMPUTED_VALUE"""),"Al Wasl R418 Block B")</f>
        <v>Al Wasl R418 Block B</v>
      </c>
      <c r="C7837" s="2" t="str">
        <f ca="1">IFERROR(__xludf.DUMMYFUNCTION("""COMPUTED_VALUE"""),"Building")</f>
        <v>Building</v>
      </c>
      <c r="D7837" s="2" t="str">
        <f ca="1">IFERROR(__xludf.DUMMYFUNCTION("""COMPUTED_VALUE"""),"Dubai&gt;Al Karama&gt;Al Wasl R418 Block B")</f>
        <v>Dubai&gt;Al Karama&gt;Al Wasl R418 Block B</v>
      </c>
      <c r="E7837" s="2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</row>
    <row r="7838" spans="1:26" ht="16.5" x14ac:dyDescent="0.35">
      <c r="A7838" s="2" t="str">
        <f ca="1">IFERROR(__xludf.DUMMYFUNCTION("""COMPUTED_VALUE"""),"Dubai")</f>
        <v>Dubai</v>
      </c>
      <c r="B7838" s="2" t="str">
        <f ca="1">IFERROR(__xludf.DUMMYFUNCTION("""COMPUTED_VALUE"""),"Al Rais 5 Building")</f>
        <v>Al Rais 5 Building</v>
      </c>
      <c r="C7838" s="2" t="str">
        <f ca="1">IFERROR(__xludf.DUMMYFUNCTION("""COMPUTED_VALUE"""),"Building")</f>
        <v>Building</v>
      </c>
      <c r="D7838" s="2" t="str">
        <f ca="1">IFERROR(__xludf.DUMMYFUNCTION("""COMPUTED_VALUE"""),"Dubai&gt;Al Karama&gt;Al Rais 5 Building")</f>
        <v>Dubai&gt;Al Karama&gt;Al Rais 5 Building</v>
      </c>
      <c r="E7838" s="2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</row>
    <row r="7839" spans="1:26" ht="16.5" x14ac:dyDescent="0.35">
      <c r="A7839" s="2" t="str">
        <f ca="1">IFERROR(__xludf.DUMMYFUNCTION("""COMPUTED_VALUE"""),"Dubai")</f>
        <v>Dubai</v>
      </c>
      <c r="B7839" s="2" t="str">
        <f ca="1">IFERROR(__xludf.DUMMYFUNCTION("""COMPUTED_VALUE"""),"Matar Rashed Building")</f>
        <v>Matar Rashed Building</v>
      </c>
      <c r="C7839" s="2" t="str">
        <f ca="1">IFERROR(__xludf.DUMMYFUNCTION("""COMPUTED_VALUE"""),"Building")</f>
        <v>Building</v>
      </c>
      <c r="D7839" s="2" t="str">
        <f ca="1">IFERROR(__xludf.DUMMYFUNCTION("""COMPUTED_VALUE"""),"Dubai&gt;Al Karama&gt;Matar Rashed Building")</f>
        <v>Dubai&gt;Al Karama&gt;Matar Rashed Building</v>
      </c>
      <c r="E7839" s="2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</row>
    <row r="7840" spans="1:26" ht="16.5" x14ac:dyDescent="0.35">
      <c r="A7840" s="2" t="str">
        <f ca="1">IFERROR(__xludf.DUMMYFUNCTION("""COMPUTED_VALUE"""),"Dubai")</f>
        <v>Dubai</v>
      </c>
      <c r="B7840" s="2" t="str">
        <f ca="1">IFERROR(__xludf.DUMMYFUNCTION("""COMPUTED_VALUE"""),"Crystal Building")</f>
        <v>Crystal Building</v>
      </c>
      <c r="C7840" s="2" t="str">
        <f ca="1">IFERROR(__xludf.DUMMYFUNCTION("""COMPUTED_VALUE"""),"Building")</f>
        <v>Building</v>
      </c>
      <c r="D7840" s="2" t="str">
        <f ca="1">IFERROR(__xludf.DUMMYFUNCTION("""COMPUTED_VALUE"""),"Dubai&gt;Al Karama&gt;Crystal Building")</f>
        <v>Dubai&gt;Al Karama&gt;Crystal Building</v>
      </c>
      <c r="E7840" s="2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</row>
    <row r="7841" spans="1:26" ht="16.5" x14ac:dyDescent="0.35">
      <c r="A7841" s="2" t="str">
        <f ca="1">IFERROR(__xludf.DUMMYFUNCTION("""COMPUTED_VALUE"""),"Dubai")</f>
        <v>Dubai</v>
      </c>
      <c r="B7841" s="2" t="str">
        <f ca="1">IFERROR(__xludf.DUMMYFUNCTION("""COMPUTED_VALUE"""),"Al Wasl Building R405")</f>
        <v>Al Wasl Building R405</v>
      </c>
      <c r="C7841" s="2" t="str">
        <f ca="1">IFERROR(__xludf.DUMMYFUNCTION("""COMPUTED_VALUE"""),"Building")</f>
        <v>Building</v>
      </c>
      <c r="D7841" s="2" t="str">
        <f ca="1">IFERROR(__xludf.DUMMYFUNCTION("""COMPUTED_VALUE"""),"Dubai&gt;Al Karama&gt;Al Wasl Building R405")</f>
        <v>Dubai&gt;Al Karama&gt;Al Wasl Building R405</v>
      </c>
      <c r="E7841" s="2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</row>
    <row r="7842" spans="1:26" ht="16.5" x14ac:dyDescent="0.35">
      <c r="A7842" s="2" t="str">
        <f ca="1">IFERROR(__xludf.DUMMYFUNCTION("""COMPUTED_VALUE"""),"Dubai")</f>
        <v>Dubai</v>
      </c>
      <c r="B7842" s="2" t="str">
        <f ca="1">IFERROR(__xludf.DUMMYFUNCTION("""COMPUTED_VALUE"""),"Yousuf Al Falasi Building")</f>
        <v>Yousuf Al Falasi Building</v>
      </c>
      <c r="C7842" s="2" t="str">
        <f ca="1">IFERROR(__xludf.DUMMYFUNCTION("""COMPUTED_VALUE"""),"Building")</f>
        <v>Building</v>
      </c>
      <c r="D7842" s="2" t="str">
        <f ca="1">IFERROR(__xludf.DUMMYFUNCTION("""COMPUTED_VALUE"""),"Dubai&gt;Al Karama&gt;Yousuf Al Falasi Building")</f>
        <v>Dubai&gt;Al Karama&gt;Yousuf Al Falasi Building</v>
      </c>
      <c r="E7842" s="2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</row>
    <row r="7843" spans="1:26" ht="16.5" x14ac:dyDescent="0.35">
      <c r="A7843" s="2" t="str">
        <f ca="1">IFERROR(__xludf.DUMMYFUNCTION("""COMPUTED_VALUE"""),"Dubai")</f>
        <v>Dubai</v>
      </c>
      <c r="B7843" s="2" t="str">
        <f ca="1">IFERROR(__xludf.DUMMYFUNCTION("""COMPUTED_VALUE"""),"Iris Amber")</f>
        <v>Iris Amber</v>
      </c>
      <c r="C7843" s="2" t="str">
        <f ca="1">IFERROR(__xludf.DUMMYFUNCTION("""COMPUTED_VALUE"""),"Building")</f>
        <v>Building</v>
      </c>
      <c r="D7843" s="2" t="str">
        <f ca="1">IFERROR(__xludf.DUMMYFUNCTION("""COMPUTED_VALUE"""),"Dubai&gt;Culture Village (Jaddaf Waterfront)&gt;Iris Amber")</f>
        <v>Dubai&gt;Culture Village (Jaddaf Waterfront)&gt;Iris Amber</v>
      </c>
      <c r="E7843" s="2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</row>
    <row r="7844" spans="1:26" ht="16.5" x14ac:dyDescent="0.35">
      <c r="A7844" s="2" t="str">
        <f ca="1">IFERROR(__xludf.DUMMYFUNCTION("""COMPUTED_VALUE"""),"Dubai")</f>
        <v>Dubai</v>
      </c>
      <c r="B7844" s="2" t="str">
        <f ca="1">IFERROR(__xludf.DUMMYFUNCTION("""COMPUTED_VALUE"""),"Kings' School Dubai")</f>
        <v>Kings' School Dubai</v>
      </c>
      <c r="C7844" s="2" t="str">
        <f ca="1">IFERROR(__xludf.DUMMYFUNCTION("""COMPUTED_VALUE"""),"School")</f>
        <v>School</v>
      </c>
      <c r="D7844" s="2" t="str">
        <f ca="1">IFERROR(__xludf.DUMMYFUNCTION("""COMPUTED_VALUE"""),"Dubai&gt;Umm Suqeim&gt;Umm Suqeim 3&gt;Kings' School Dubai")</f>
        <v>Dubai&gt;Umm Suqeim&gt;Umm Suqeim 3&gt;Kings' School Dubai</v>
      </c>
      <c r="E7844" s="2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</row>
    <row r="7845" spans="1:26" ht="16.5" x14ac:dyDescent="0.35">
      <c r="A7845" s="2" t="str">
        <f ca="1">IFERROR(__xludf.DUMMYFUNCTION("""COMPUTED_VALUE"""),"Dubai")</f>
        <v>Dubai</v>
      </c>
      <c r="B7845" s="2" t="str">
        <f ca="1">IFERROR(__xludf.DUMMYFUNCTION("""COMPUTED_VALUE"""),"Al Jazi Building 4")</f>
        <v>Al Jazi Building 4</v>
      </c>
      <c r="C7845" s="2" t="str">
        <f ca="1">IFERROR(__xludf.DUMMYFUNCTION("""COMPUTED_VALUE"""),"Building")</f>
        <v>Building</v>
      </c>
      <c r="D7845" s="2" t="str">
        <f ca="1">IFERROR(__xludf.DUMMYFUNCTION("""COMPUTED_VALUE"""),"Dubai&gt;Umm Suqeim&gt;Madinat Jumeirah Living&gt;Al Jazi&gt;Al Jazi Building 4")</f>
        <v>Dubai&gt;Umm Suqeim&gt;Madinat Jumeirah Living&gt;Al Jazi&gt;Al Jazi Building 4</v>
      </c>
      <c r="E7845" s="2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</row>
    <row r="7846" spans="1:26" ht="16.5" x14ac:dyDescent="0.35">
      <c r="A7846" s="2" t="str">
        <f ca="1">IFERROR(__xludf.DUMMYFUNCTION("""COMPUTED_VALUE"""),"Dubai")</f>
        <v>Dubai</v>
      </c>
      <c r="B7846" s="2" t="str">
        <f ca="1">IFERROR(__xludf.DUMMYFUNCTION("""COMPUTED_VALUE"""),"Rays of Light Nursery")</f>
        <v>Rays of Light Nursery</v>
      </c>
      <c r="C7846" s="2" t="str">
        <f ca="1">IFERROR(__xludf.DUMMYFUNCTION("""COMPUTED_VALUE"""),"Nursery")</f>
        <v>Nursery</v>
      </c>
      <c r="D7846" s="2" t="str">
        <f ca="1">IFERROR(__xludf.DUMMYFUNCTION("""COMPUTED_VALUE"""),"Dubai&gt;Umm Suqeim&gt;Umm Suqeim 2&gt;Rays of Light Nursery")</f>
        <v>Dubai&gt;Umm Suqeim&gt;Umm Suqeim 2&gt;Rays of Light Nursery</v>
      </c>
      <c r="E7846" s="2"/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</row>
    <row r="7847" spans="1:26" ht="16.5" x14ac:dyDescent="0.35">
      <c r="A7847" s="2" t="str">
        <f ca="1">IFERROR(__xludf.DUMMYFUNCTION("""COMPUTED_VALUE"""),"Dubai")</f>
        <v>Dubai</v>
      </c>
      <c r="B7847" s="2" t="str">
        <f ca="1">IFERROR(__xludf.DUMMYFUNCTION("""COMPUTED_VALUE"""),"Azizi Milan 51")</f>
        <v>Azizi Milan 51</v>
      </c>
      <c r="C7847" s="2" t="str">
        <f ca="1">IFERROR(__xludf.DUMMYFUNCTION("""COMPUTED_VALUE"""),"Building")</f>
        <v>Building</v>
      </c>
      <c r="D7847" s="2" t="str">
        <f ca="1">IFERROR(__xludf.DUMMYFUNCTION("""COMPUTED_VALUE"""),"Dubai&gt;City of Arabia&gt;Azizi Milan&gt;Azizi Milan 51")</f>
        <v>Dubai&gt;City of Arabia&gt;Azizi Milan&gt;Azizi Milan 51</v>
      </c>
      <c r="E7847" s="2"/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</row>
    <row r="7848" spans="1:26" ht="16.5" x14ac:dyDescent="0.35">
      <c r="A7848" s="2" t="str">
        <f ca="1">IFERROR(__xludf.DUMMYFUNCTION("""COMPUTED_VALUE"""),"Dubai")</f>
        <v>Dubai</v>
      </c>
      <c r="B7848" s="2" t="str">
        <f ca="1">IFERROR(__xludf.DUMMYFUNCTION("""COMPUTED_VALUE"""),"Mubarak Building")</f>
        <v>Mubarak Building</v>
      </c>
      <c r="C7848" s="2" t="str">
        <f ca="1">IFERROR(__xludf.DUMMYFUNCTION("""COMPUTED_VALUE"""),"Building")</f>
        <v>Building</v>
      </c>
      <c r="D7848" s="2" t="str">
        <f ca="1">IFERROR(__xludf.DUMMYFUNCTION("""COMPUTED_VALUE"""),"Dubai&gt;Al Badaa&gt;Mubarak Building")</f>
        <v>Dubai&gt;Al Badaa&gt;Mubarak Building</v>
      </c>
      <c r="E7848" s="2"/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</row>
    <row r="7849" spans="1:26" ht="16.5" x14ac:dyDescent="0.35">
      <c r="A7849" s="2" t="str">
        <f ca="1">IFERROR(__xludf.DUMMYFUNCTION("""COMPUTED_VALUE"""),"Dubai")</f>
        <v>Dubai</v>
      </c>
      <c r="B7849" s="2" t="str">
        <f ca="1">IFERROR(__xludf.DUMMYFUNCTION("""COMPUTED_VALUE"""),"Al Hawai Building")</f>
        <v>Al Hawai Building</v>
      </c>
      <c r="C7849" s="2" t="str">
        <f ca="1">IFERROR(__xludf.DUMMYFUNCTION("""COMPUTED_VALUE"""),"Building")</f>
        <v>Building</v>
      </c>
      <c r="D7849" s="2" t="str">
        <f ca="1">IFERROR(__xludf.DUMMYFUNCTION("""COMPUTED_VALUE"""),"Dubai&gt;Al Badaa&gt;Al Hawai Building")</f>
        <v>Dubai&gt;Al Badaa&gt;Al Hawai Building</v>
      </c>
      <c r="E7849" s="2"/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</row>
    <row r="7850" spans="1:26" ht="16.5" x14ac:dyDescent="0.35">
      <c r="A7850" s="2" t="str">
        <f ca="1">IFERROR(__xludf.DUMMYFUNCTION("""COMPUTED_VALUE"""),"Dubai")</f>
        <v>Dubai</v>
      </c>
      <c r="B7850" s="2" t="str">
        <f ca="1">IFERROR(__xludf.DUMMYFUNCTION("""COMPUTED_VALUE"""),"Badrah")</f>
        <v>Badrah</v>
      </c>
      <c r="C7850" s="2" t="str">
        <f ca="1">IFERROR(__xludf.DUMMYFUNCTION("""COMPUTED_VALUE"""),"Neighbourhood")</f>
        <v>Neighbourhood</v>
      </c>
      <c r="D7850" s="2" t="str">
        <f ca="1">IFERROR(__xludf.DUMMYFUNCTION("""COMPUTED_VALUE"""),"Dubai&gt;Dubai Waterfront&gt;Badrah")</f>
        <v>Dubai&gt;Dubai Waterfront&gt;Badrah</v>
      </c>
      <c r="E7850" s="2"/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</row>
    <row r="7851" spans="1:26" ht="16.5" x14ac:dyDescent="0.35">
      <c r="A7851" s="2" t="str">
        <f ca="1">IFERROR(__xludf.DUMMYFUNCTION("""COMPUTED_VALUE"""),"Dubai")</f>
        <v>Dubai</v>
      </c>
      <c r="B7851" s="2" t="str">
        <f ca="1">IFERROR(__xludf.DUMMYFUNCTION("""COMPUTED_VALUE"""),"Building 2")</f>
        <v>Building 2</v>
      </c>
      <c r="C7851" s="2" t="str">
        <f ca="1">IFERROR(__xludf.DUMMYFUNCTION("""COMPUTED_VALUE"""),"Building")</f>
        <v>Building</v>
      </c>
      <c r="D7851" s="2" t="str">
        <f ca="1">IFERROR(__xludf.DUMMYFUNCTION("""COMPUTED_VALUE"""),"Dubai&gt;Academic City&gt;Dubai Outsource City&gt;Building 2")</f>
        <v>Dubai&gt;Academic City&gt;Dubai Outsource City&gt;Building 2</v>
      </c>
      <c r="E7851" s="2"/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</row>
    <row r="7852" spans="1:26" ht="16.5" x14ac:dyDescent="0.35">
      <c r="A7852" s="2" t="str">
        <f ca="1">IFERROR(__xludf.DUMMYFUNCTION("""COMPUTED_VALUE"""),"Dubai")</f>
        <v>Dubai</v>
      </c>
      <c r="B7852" s="2" t="str">
        <f ca="1">IFERROR(__xludf.DUMMYFUNCTION("""COMPUTED_VALUE"""),"Design Quarter Office Building A1")</f>
        <v>Design Quarter Office Building A1</v>
      </c>
      <c r="C7852" s="2" t="str">
        <f ca="1">IFERROR(__xludf.DUMMYFUNCTION("""COMPUTED_VALUE"""),"Building")</f>
        <v>Building</v>
      </c>
      <c r="D7852" s="2" t="str">
        <f ca="1">IFERROR(__xludf.DUMMYFUNCTION("""COMPUTED_VALUE"""),"Dubai&gt;Dubai Design District&gt;Design Quarter&gt;Design Quarter Office Building A1")</f>
        <v>Dubai&gt;Dubai Design District&gt;Design Quarter&gt;Design Quarter Office Building A1</v>
      </c>
      <c r="E7852" s="2"/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</row>
    <row r="7853" spans="1:26" ht="16.5" x14ac:dyDescent="0.35">
      <c r="A7853" s="2" t="str">
        <f ca="1">IFERROR(__xludf.DUMMYFUNCTION("""COMPUTED_VALUE"""),"Dubai")</f>
        <v>Dubai</v>
      </c>
      <c r="B7853" s="2" t="str">
        <f ca="1">IFERROR(__xludf.DUMMYFUNCTION("""COMPUTED_VALUE"""),"Al Otaiba Centre Building")</f>
        <v>Al Otaiba Centre Building</v>
      </c>
      <c r="C7853" s="2" t="str">
        <f ca="1">IFERROR(__xludf.DUMMYFUNCTION("""COMPUTED_VALUE"""),"Building")</f>
        <v>Building</v>
      </c>
      <c r="D7853" s="2" t="str">
        <f ca="1">IFERROR(__xludf.DUMMYFUNCTION("""COMPUTED_VALUE"""),"Dubai&gt;Al Hudaiba&gt;Al Otaiba Centre Building")</f>
        <v>Dubai&gt;Al Hudaiba&gt;Al Otaiba Centre Building</v>
      </c>
      <c r="E7853" s="2"/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</row>
    <row r="7854" spans="1:26" ht="16.5" x14ac:dyDescent="0.35">
      <c r="A7854" s="2" t="str">
        <f ca="1">IFERROR(__xludf.DUMMYFUNCTION("""COMPUTED_VALUE"""),"Dubai")</f>
        <v>Dubai</v>
      </c>
      <c r="B7854" s="2" t="str">
        <f ca="1">IFERROR(__xludf.DUMMYFUNCTION("""COMPUTED_VALUE"""),"Jumeirah Beach Complex")</f>
        <v>Jumeirah Beach Complex</v>
      </c>
      <c r="C7854" s="2" t="str">
        <f ca="1">IFERROR(__xludf.DUMMYFUNCTION("""COMPUTED_VALUE"""),"Neighbourhood")</f>
        <v>Neighbourhood</v>
      </c>
      <c r="D7854" s="2" t="str">
        <f ca="1">IFERROR(__xludf.DUMMYFUNCTION("""COMPUTED_VALUE"""),"Dubai&gt;Jumeirah&gt;Jumeirah 1&gt;Jumeirah Beach Complex")</f>
        <v>Dubai&gt;Jumeirah&gt;Jumeirah 1&gt;Jumeirah Beach Complex</v>
      </c>
      <c r="E7854" s="2"/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</row>
    <row r="7855" spans="1:26" ht="16.5" x14ac:dyDescent="0.35">
      <c r="A7855" s="2" t="str">
        <f ca="1">IFERROR(__xludf.DUMMYFUNCTION("""COMPUTED_VALUE"""),"Dubai")</f>
        <v>Dubai</v>
      </c>
      <c r="B7855" s="2" t="str">
        <f ca="1">IFERROR(__xludf.DUMMYFUNCTION("""COMPUTED_VALUE"""),"Bulgari Residences")</f>
        <v>Bulgari Residences</v>
      </c>
      <c r="C7855" s="2" t="str">
        <f ca="1">IFERROR(__xludf.DUMMYFUNCTION("""COMPUTED_VALUE"""),"Cluster")</f>
        <v>Cluster</v>
      </c>
      <c r="D7855" s="2" t="str">
        <f ca="1">IFERROR(__xludf.DUMMYFUNCTION("""COMPUTED_VALUE"""),"Dubai&gt;Jumeirah&gt;Jumeirah Bay Islands&gt;Bulgari Residences")</f>
        <v>Dubai&gt;Jumeirah&gt;Jumeirah Bay Islands&gt;Bulgari Residences</v>
      </c>
      <c r="E7855" s="2"/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</row>
    <row r="7856" spans="1:26" ht="16.5" x14ac:dyDescent="0.35">
      <c r="A7856" s="2" t="str">
        <f ca="1">IFERROR(__xludf.DUMMYFUNCTION("""COMPUTED_VALUE"""),"Dubai")</f>
        <v>Dubai</v>
      </c>
      <c r="B7856" s="2" t="str">
        <f ca="1">IFERROR(__xludf.DUMMYFUNCTION("""COMPUTED_VALUE"""),"Port de La Mer")</f>
        <v>Port de La Mer</v>
      </c>
      <c r="C7856" s="2" t="str">
        <f ca="1">IFERROR(__xludf.DUMMYFUNCTION("""COMPUTED_VALUE"""),"Neighbourhood")</f>
        <v>Neighbourhood</v>
      </c>
      <c r="D7856" s="2" t="str">
        <f ca="1">IFERROR(__xludf.DUMMYFUNCTION("""COMPUTED_VALUE"""),"Dubai&gt;Jumeirah&gt;La Mer&gt;Port de La Mer")</f>
        <v>Dubai&gt;Jumeirah&gt;La Mer&gt;Port de La Mer</v>
      </c>
      <c r="E7856" s="2"/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</row>
    <row r="7857" spans="1:26" ht="16.5" x14ac:dyDescent="0.35">
      <c r="A7857" s="2" t="str">
        <f ca="1">IFERROR(__xludf.DUMMYFUNCTION("""COMPUTED_VALUE"""),"Dubai")</f>
        <v>Dubai</v>
      </c>
      <c r="B7857" s="2" t="str">
        <f ca="1">IFERROR(__xludf.DUMMYFUNCTION("""COMPUTED_VALUE"""),"Le Ciel Tower 3")</f>
        <v>Le Ciel Tower 3</v>
      </c>
      <c r="C7857" s="2" t="str">
        <f ca="1">IFERROR(__xludf.DUMMYFUNCTION("""COMPUTED_VALUE"""),"Building")</f>
        <v>Building</v>
      </c>
      <c r="D7857" s="2" t="str">
        <f ca="1">IFERROR(__xludf.DUMMYFUNCTION("""COMPUTED_VALUE"""),"Dubai&gt;Jumeirah&gt;La Mer&gt;Port de La Mer&gt;Le Ciel&gt;Le Ciel Tower 3")</f>
        <v>Dubai&gt;Jumeirah&gt;La Mer&gt;Port de La Mer&gt;Le Ciel&gt;Le Ciel Tower 3</v>
      </c>
      <c r="E7857" s="2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</row>
    <row r="7858" spans="1:26" ht="16.5" x14ac:dyDescent="0.35">
      <c r="A7858" s="2" t="str">
        <f ca="1">IFERROR(__xludf.DUMMYFUNCTION("""COMPUTED_VALUE"""),"Dubai")</f>
        <v>Dubai</v>
      </c>
      <c r="B7858" s="2" t="str">
        <f ca="1">IFERROR(__xludf.DUMMYFUNCTION("""COMPUTED_VALUE"""),"Creekside 18 Tower B")</f>
        <v>Creekside 18 Tower B</v>
      </c>
      <c r="C7858" s="2" t="str">
        <f ca="1">IFERROR(__xludf.DUMMYFUNCTION("""COMPUTED_VALUE"""),"Building")</f>
        <v>Building</v>
      </c>
      <c r="D7858" s="2" t="str">
        <f ca="1">IFERROR(__xludf.DUMMYFUNCTION("""COMPUTED_VALUE"""),"Dubai&gt;Dubai Creek Harbour&gt;Creekside 18&gt;Creekside 18 Tower B")</f>
        <v>Dubai&gt;Dubai Creek Harbour&gt;Creekside 18&gt;Creekside 18 Tower B</v>
      </c>
      <c r="E7858" s="2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</row>
    <row r="7859" spans="1:26" ht="16.5" x14ac:dyDescent="0.35">
      <c r="A7859" s="2" t="str">
        <f ca="1">IFERROR(__xludf.DUMMYFUNCTION("""COMPUTED_VALUE"""),"Dubai")</f>
        <v>Dubai</v>
      </c>
      <c r="B7859" s="2" t="str">
        <f ca="1">IFERROR(__xludf.DUMMYFUNCTION("""COMPUTED_VALUE"""),"Summer 1")</f>
        <v>Summer 1</v>
      </c>
      <c r="C7859" s="2" t="str">
        <f ca="1">IFERROR(__xludf.DUMMYFUNCTION("""COMPUTED_VALUE"""),"Building")</f>
        <v>Building</v>
      </c>
      <c r="D7859" s="2" t="str">
        <f ca="1">IFERROR(__xludf.DUMMYFUNCTION("""COMPUTED_VALUE"""),"Dubai&gt;Dubai Creek Harbour&gt;Summer at Creek Beach&gt;Summer 1")</f>
        <v>Dubai&gt;Dubai Creek Harbour&gt;Summer at Creek Beach&gt;Summer 1</v>
      </c>
      <c r="E7859" s="2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</row>
    <row r="7860" spans="1:26" ht="16.5" x14ac:dyDescent="0.35">
      <c r="A7860" s="2" t="str">
        <f ca="1">IFERROR(__xludf.DUMMYFUNCTION("""COMPUTED_VALUE"""),"Dubai")</f>
        <v>Dubai</v>
      </c>
      <c r="B7860" s="2" t="str">
        <f ca="1">IFERROR(__xludf.DUMMYFUNCTION("""COMPUTED_VALUE"""),"Dubai Creek Residence Tower 3 South")</f>
        <v>Dubai Creek Residence Tower 3 South</v>
      </c>
      <c r="C7860" s="2" t="str">
        <f ca="1">IFERROR(__xludf.DUMMYFUNCTION("""COMPUTED_VALUE"""),"Building")</f>
        <v>Building</v>
      </c>
      <c r="D7860" s="2" t="str">
        <f ca="1">IFERROR(__xludf.DUMMYFUNCTION("""COMPUTED_VALUE"""),"Dubai&gt;Dubai Creek Harbour&gt;Dubai Creek Residences&gt;Dubai Creek Residence Tower 3 South")</f>
        <v>Dubai&gt;Dubai Creek Harbour&gt;Dubai Creek Residences&gt;Dubai Creek Residence Tower 3 South</v>
      </c>
      <c r="E7860" s="2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</row>
    <row r="7861" spans="1:26" ht="16.5" x14ac:dyDescent="0.35">
      <c r="A7861" s="2" t="str">
        <f ca="1">IFERROR(__xludf.DUMMYFUNCTION("""COMPUTED_VALUE"""),"Dubai")</f>
        <v>Dubai</v>
      </c>
      <c r="B7861" s="2" t="str">
        <f ca="1">IFERROR(__xludf.DUMMYFUNCTION("""COMPUTED_VALUE"""),"Valo")</f>
        <v>Valo</v>
      </c>
      <c r="C7861" s="2" t="str">
        <f ca="1">IFERROR(__xludf.DUMMYFUNCTION("""COMPUTED_VALUE"""),"Building")</f>
        <v>Building</v>
      </c>
      <c r="D7861" s="2" t="str">
        <f ca="1">IFERROR(__xludf.DUMMYFUNCTION("""COMPUTED_VALUE"""),"Dubai&gt;Dubai Creek Harbour&gt;Valo")</f>
        <v>Dubai&gt;Dubai Creek Harbour&gt;Valo</v>
      </c>
      <c r="E7861" s="2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</row>
    <row r="7862" spans="1:26" ht="16.5" x14ac:dyDescent="0.35">
      <c r="A7862" s="2" t="str">
        <f ca="1">IFERROR(__xludf.DUMMYFUNCTION("""COMPUTED_VALUE"""),"Dubai")</f>
        <v>Dubai</v>
      </c>
      <c r="B7862" s="2" t="str">
        <f ca="1">IFERROR(__xludf.DUMMYFUNCTION("""COMPUTED_VALUE"""),"The Centro")</f>
        <v>The Centro</v>
      </c>
      <c r="C7862" s="2" t="str">
        <f ca="1">IFERROR(__xludf.DUMMYFUNCTION("""COMPUTED_VALUE"""),"Neighbourhood")</f>
        <v>Neighbourhood</v>
      </c>
      <c r="D7862" s="2" t="str">
        <f ca="1">IFERROR(__xludf.DUMMYFUNCTION("""COMPUTED_VALUE"""),"Dubai&gt;The Villa&gt;The Centro")</f>
        <v>Dubai&gt;The Villa&gt;The Centro</v>
      </c>
      <c r="E7862" s="2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</row>
    <row r="7863" spans="1:26" ht="16.5" x14ac:dyDescent="0.35">
      <c r="A7863" s="2" t="str">
        <f ca="1">IFERROR(__xludf.DUMMYFUNCTION("""COMPUTED_VALUE"""),"Dubai")</f>
        <v>Dubai</v>
      </c>
      <c r="B7863" s="2" t="str">
        <f ca="1">IFERROR(__xludf.DUMMYFUNCTION("""COMPUTED_VALUE"""),"Al Shafar Tower 2")</f>
        <v>Al Shafar Tower 2</v>
      </c>
      <c r="C7863" s="2" t="str">
        <f ca="1">IFERROR(__xludf.DUMMYFUNCTION("""COMPUTED_VALUE"""),"Building")</f>
        <v>Building</v>
      </c>
      <c r="D7863" s="2" t="str">
        <f ca="1">IFERROR(__xludf.DUMMYFUNCTION("""COMPUTED_VALUE"""),"Dubai&gt;Barsha Heights (Tecom)&gt;Al Shafar Tower&gt;Al Shafar Tower 2")</f>
        <v>Dubai&gt;Barsha Heights (Tecom)&gt;Al Shafar Tower&gt;Al Shafar Tower 2</v>
      </c>
      <c r="E7863" s="2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</row>
    <row r="7864" spans="1:26" ht="16.5" x14ac:dyDescent="0.35">
      <c r="A7864" s="2" t="str">
        <f ca="1">IFERROR(__xludf.DUMMYFUNCTION("""COMPUTED_VALUE"""),"Dubai")</f>
        <v>Dubai</v>
      </c>
      <c r="B7864" s="2" t="str">
        <f ca="1">IFERROR(__xludf.DUMMYFUNCTION("""COMPUTED_VALUE"""),"Stella")</f>
        <v>Stella</v>
      </c>
      <c r="C7864" s="2" t="str">
        <f ca="1">IFERROR(__xludf.DUMMYFUNCTION("""COMPUTED_VALUE"""),"Building")</f>
        <v>Building</v>
      </c>
      <c r="D7864" s="2" t="str">
        <f ca="1">IFERROR(__xludf.DUMMYFUNCTION("""COMPUTED_VALUE"""),"Dubai&gt;Barsha Heights (Tecom)&gt;Stella")</f>
        <v>Dubai&gt;Barsha Heights (Tecom)&gt;Stella</v>
      </c>
      <c r="E7864" s="2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</row>
    <row r="7865" spans="1:26" ht="16.5" x14ac:dyDescent="0.35">
      <c r="A7865" s="2" t="str">
        <f ca="1">IFERROR(__xludf.DUMMYFUNCTION("""COMPUTED_VALUE"""),"Dubai")</f>
        <v>Dubai</v>
      </c>
      <c r="B7865" s="2" t="str">
        <f ca="1">IFERROR(__xludf.DUMMYFUNCTION("""COMPUTED_VALUE"""),"Boutique 7 Hotel Apartments")</f>
        <v>Boutique 7 Hotel Apartments</v>
      </c>
      <c r="C7865" s="2" t="str">
        <f ca="1">IFERROR(__xludf.DUMMYFUNCTION("""COMPUTED_VALUE"""),"Building")</f>
        <v>Building</v>
      </c>
      <c r="D7865" s="2" t="str">
        <f ca="1">IFERROR(__xludf.DUMMYFUNCTION("""COMPUTED_VALUE"""),"Dubai&gt;Barsha Heights (Tecom)&gt;Boutique 7 Hotel Apartments")</f>
        <v>Dubai&gt;Barsha Heights (Tecom)&gt;Boutique 7 Hotel Apartments</v>
      </c>
      <c r="E7865" s="2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</row>
    <row r="7866" spans="1:26" ht="16.5" x14ac:dyDescent="0.35">
      <c r="A7866" s="2" t="str">
        <f ca="1">IFERROR(__xludf.DUMMYFUNCTION("""COMPUTED_VALUE"""),"Dubai")</f>
        <v>Dubai</v>
      </c>
      <c r="B7866" s="2" t="str">
        <f ca="1">IFERROR(__xludf.DUMMYFUNCTION("""COMPUTED_VALUE"""),"Building Blocks Nursery")</f>
        <v>Building Blocks Nursery</v>
      </c>
      <c r="C7866" s="2" t="str">
        <f ca="1">IFERROR(__xludf.DUMMYFUNCTION("""COMPUTED_VALUE"""),"Nursery")</f>
        <v>Nursery</v>
      </c>
      <c r="D7866" s="2" t="str">
        <f ca="1">IFERROR(__xludf.DUMMYFUNCTION("""COMPUTED_VALUE"""),"Dubai&gt;Motor City&gt;Building Blocks Nursery")</f>
        <v>Dubai&gt;Motor City&gt;Building Blocks Nursery</v>
      </c>
      <c r="E7866" s="2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</row>
    <row r="7867" spans="1:26" ht="16.5" x14ac:dyDescent="0.35">
      <c r="A7867" s="2" t="str">
        <f ca="1">IFERROR(__xludf.DUMMYFUNCTION("""COMPUTED_VALUE"""),"Dubai")</f>
        <v>Dubai</v>
      </c>
      <c r="B7867" s="2" t="str">
        <f ca="1">IFERROR(__xludf.DUMMYFUNCTION("""COMPUTED_VALUE"""),"Dubai Autodrome and Business Park")</f>
        <v>Dubai Autodrome and Business Park</v>
      </c>
      <c r="C7867" s="2" t="str">
        <f ca="1">IFERROR(__xludf.DUMMYFUNCTION("""COMPUTED_VALUE"""),"Building")</f>
        <v>Building</v>
      </c>
      <c r="D7867" s="2" t="str">
        <f ca="1">IFERROR(__xludf.DUMMYFUNCTION("""COMPUTED_VALUE"""),"Dubai&gt;Motor City&gt;Dubai Autodrome and Business Park")</f>
        <v>Dubai&gt;Motor City&gt;Dubai Autodrome and Business Park</v>
      </c>
      <c r="E7867" s="2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</row>
    <row r="7868" spans="1:26" ht="16.5" x14ac:dyDescent="0.35">
      <c r="A7868" s="2" t="str">
        <f ca="1">IFERROR(__xludf.DUMMYFUNCTION("""COMPUTED_VALUE"""),"Dubai")</f>
        <v>Dubai</v>
      </c>
      <c r="B7868" s="2" t="str">
        <f ca="1">IFERROR(__xludf.DUMMYFUNCTION("""COMPUTED_VALUE"""),"Abbey Crescent 3")</f>
        <v>Abbey Crescent 3</v>
      </c>
      <c r="C7868" s="2" t="str">
        <f ca="1">IFERROR(__xludf.DUMMYFUNCTION("""COMPUTED_VALUE"""),"Building")</f>
        <v>Building</v>
      </c>
      <c r="D7868" s="2" t="str">
        <f ca="1">IFERROR(__xludf.DUMMYFUNCTION("""COMPUTED_VALUE"""),"Dubai&gt;Motor City&gt;Uptown Motor City&gt;Abbey Crescent&gt;Abbey Crescent 3")</f>
        <v>Dubai&gt;Motor City&gt;Uptown Motor City&gt;Abbey Crescent&gt;Abbey Crescent 3</v>
      </c>
      <c r="E7868" s="2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</row>
    <row r="7869" spans="1:26" ht="16.5" x14ac:dyDescent="0.35">
      <c r="A7869" s="2" t="str">
        <f ca="1">IFERROR(__xludf.DUMMYFUNCTION("""COMPUTED_VALUE"""),"Dubai")</f>
        <v>Dubai</v>
      </c>
      <c r="B7869" s="2" t="str">
        <f ca="1">IFERROR(__xludf.DUMMYFUNCTION("""COMPUTED_VALUE"""),"Widcombe House 3")</f>
        <v>Widcombe House 3</v>
      </c>
      <c r="C7869" s="2" t="str">
        <f ca="1">IFERROR(__xludf.DUMMYFUNCTION("""COMPUTED_VALUE"""),"Building")</f>
        <v>Building</v>
      </c>
      <c r="D7869" s="2" t="str">
        <f ca="1">IFERROR(__xludf.DUMMYFUNCTION("""COMPUTED_VALUE"""),"Dubai&gt;Motor City&gt;Uptown Motor City&gt;Widcombe House&gt;Widcombe House 3")</f>
        <v>Dubai&gt;Motor City&gt;Uptown Motor City&gt;Widcombe House&gt;Widcombe House 3</v>
      </c>
      <c r="E7869" s="2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</row>
    <row r="7870" spans="1:26" ht="16.5" x14ac:dyDescent="0.35">
      <c r="A7870" s="2" t="str">
        <f ca="1">IFERROR(__xludf.DUMMYFUNCTION("""COMPUTED_VALUE"""),"Dubai")</f>
        <v>Dubai</v>
      </c>
      <c r="B7870" s="2" t="str">
        <f ca="1">IFERROR(__xludf.DUMMYFUNCTION("""COMPUTED_VALUE"""),"Ananda Residences Tower A")</f>
        <v>Ananda Residences Tower A</v>
      </c>
      <c r="C7870" s="2" t="str">
        <f ca="1">IFERROR(__xludf.DUMMYFUNCTION("""COMPUTED_VALUE"""),"Building")</f>
        <v>Building</v>
      </c>
      <c r="D7870" s="2" t="str">
        <f ca="1">IFERROR(__xludf.DUMMYFUNCTION("""COMPUTED_VALUE"""),"Dubai&gt;Motor City&gt;Ananda Residences&gt;Ananda Residences Tower A")</f>
        <v>Dubai&gt;Motor City&gt;Ananda Residences&gt;Ananda Residences Tower A</v>
      </c>
      <c r="E7870" s="2"/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</row>
    <row r="7871" spans="1:26" ht="16.5" x14ac:dyDescent="0.35">
      <c r="A7871" s="2" t="str">
        <f ca="1">IFERROR(__xludf.DUMMYFUNCTION("""COMPUTED_VALUE"""),"Dubai")</f>
        <v>Dubai</v>
      </c>
      <c r="B7871" s="2" t="str">
        <f ca="1">IFERROR(__xludf.DUMMYFUNCTION("""COMPUTED_VALUE"""),"J5")</f>
        <v>J5</v>
      </c>
      <c r="C7871" s="2" t="str">
        <f ca="1">IFERROR(__xludf.DUMMYFUNCTION("""COMPUTED_VALUE"""),"Building")</f>
        <v>Building</v>
      </c>
      <c r="D7871" s="2" t="str">
        <f ca="1">IFERROR(__xludf.DUMMYFUNCTION("""COMPUTED_VALUE"""),"Dubai&gt;Al Sufouh&gt;Al Sufouh 1&gt;J5")</f>
        <v>Dubai&gt;Al Sufouh&gt;Al Sufouh 1&gt;J5</v>
      </c>
      <c r="E7871" s="2"/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</row>
    <row r="7872" spans="1:26" ht="16.5" x14ac:dyDescent="0.35">
      <c r="A7872" s="2" t="str">
        <f ca="1">IFERROR(__xludf.DUMMYFUNCTION("""COMPUTED_VALUE"""),"Dubai")</f>
        <v>Dubai</v>
      </c>
      <c r="B7872" s="2" t="str">
        <f ca="1">IFERROR(__xludf.DUMMYFUNCTION("""COMPUTED_VALUE"""),"Boutique Office 21")</f>
        <v>Boutique Office 21</v>
      </c>
      <c r="C7872" s="2" t="str">
        <f ca="1">IFERROR(__xludf.DUMMYFUNCTION("""COMPUTED_VALUE"""),"Building")</f>
        <v>Building</v>
      </c>
      <c r="D7872" s="2" t="str">
        <f ca="1">IFERROR(__xludf.DUMMYFUNCTION("""COMPUTED_VALUE"""),"Dubai&gt;Al Sufouh&gt;Al Sufouh 2&gt;Boutique Offices&gt;Boutique Office 21")</f>
        <v>Dubai&gt;Al Sufouh&gt;Al Sufouh 2&gt;Boutique Offices&gt;Boutique Office 21</v>
      </c>
      <c r="E7872" s="2"/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</row>
    <row r="7873" spans="1:26" ht="16.5" x14ac:dyDescent="0.35">
      <c r="A7873" s="2" t="str">
        <f ca="1">IFERROR(__xludf.DUMMYFUNCTION("""COMPUTED_VALUE"""),"Dubai")</f>
        <v>Dubai</v>
      </c>
      <c r="B7873" s="2" t="str">
        <f ca="1">IFERROR(__xludf.DUMMYFUNCTION("""COMPUTED_VALUE"""),"Al Badia Residence 21")</f>
        <v>Al Badia Residence 21</v>
      </c>
      <c r="C7873" s="2" t="str">
        <f ca="1">IFERROR(__xludf.DUMMYFUNCTION("""COMPUTED_VALUE"""),"Building")</f>
        <v>Building</v>
      </c>
      <c r="D7873" s="2" t="str">
        <f ca="1">IFERROR(__xludf.DUMMYFUNCTION("""COMPUTED_VALUE"""),"Dubai&gt;Dubai Festival City&gt;Al Badia Buildings&gt;Al Badia Residence 21")</f>
        <v>Dubai&gt;Dubai Festival City&gt;Al Badia Buildings&gt;Al Badia Residence 21</v>
      </c>
      <c r="E7873" s="2"/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</row>
    <row r="7874" spans="1:26" ht="16.5" x14ac:dyDescent="0.35">
      <c r="A7874" s="2" t="str">
        <f ca="1">IFERROR(__xludf.DUMMYFUNCTION("""COMPUTED_VALUE"""),"Dubai")</f>
        <v>Dubai</v>
      </c>
      <c r="B7874" s="2" t="str">
        <f ca="1">IFERROR(__xludf.DUMMYFUNCTION("""COMPUTED_VALUE"""),"Radisson Dubai DAMAC Hills (Artesia A)")</f>
        <v>Radisson Dubai DAMAC Hills (Artesia A)</v>
      </c>
      <c r="C7874" s="2" t="str">
        <f ca="1">IFERROR(__xludf.DUMMYFUNCTION("""COMPUTED_VALUE"""),"Building")</f>
        <v>Building</v>
      </c>
      <c r="D7874" s="2" t="str">
        <f ca="1">IFERROR(__xludf.DUMMYFUNCTION("""COMPUTED_VALUE"""),"Dubai&gt;DAMAC Hills&gt;Radisson Dubai DAMAC Hills (Artesia A)")</f>
        <v>Dubai&gt;DAMAC Hills&gt;Radisson Dubai DAMAC Hills (Artesia A)</v>
      </c>
      <c r="E7874" s="2"/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</row>
    <row r="7875" spans="1:26" ht="16.5" x14ac:dyDescent="0.35">
      <c r="A7875" s="2" t="str">
        <f ca="1">IFERROR(__xludf.DUMMYFUNCTION("""COMPUTED_VALUE"""),"Dubai")</f>
        <v>Dubai</v>
      </c>
      <c r="B7875" s="2" t="str">
        <f ca="1">IFERROR(__xludf.DUMMYFUNCTION("""COMPUTED_VALUE"""),"Artesia B")</f>
        <v>Artesia B</v>
      </c>
      <c r="C7875" s="2" t="str">
        <f ca="1">IFERROR(__xludf.DUMMYFUNCTION("""COMPUTED_VALUE"""),"Building")</f>
        <v>Building</v>
      </c>
      <c r="D7875" s="2" t="str">
        <f ca="1">IFERROR(__xludf.DUMMYFUNCTION("""COMPUTED_VALUE"""),"Dubai&gt;DAMAC Hills&gt;Artesia&gt;Artesia B")</f>
        <v>Dubai&gt;DAMAC Hills&gt;Artesia&gt;Artesia B</v>
      </c>
      <c r="E7875" s="2"/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</row>
    <row r="7876" spans="1:26" ht="16.5" x14ac:dyDescent="0.35">
      <c r="A7876" s="2" t="str">
        <f ca="1">IFERROR(__xludf.DUMMYFUNCTION("""COMPUTED_VALUE"""),"Dubai")</f>
        <v>Dubai</v>
      </c>
      <c r="B7876" s="2" t="str">
        <f ca="1">IFERROR(__xludf.DUMMYFUNCTION("""COMPUTED_VALUE"""),"Phoenix")</f>
        <v>Phoenix</v>
      </c>
      <c r="C7876" s="2" t="str">
        <f ca="1">IFERROR(__xludf.DUMMYFUNCTION("""COMPUTED_VALUE"""),"Neighbourhood")</f>
        <v>Neighbourhood</v>
      </c>
      <c r="D7876" s="2" t="str">
        <f ca="1">IFERROR(__xludf.DUMMYFUNCTION("""COMPUTED_VALUE"""),"Dubai&gt;DAMAC Hills&gt;Phoenix")</f>
        <v>Dubai&gt;DAMAC Hills&gt;Phoenix</v>
      </c>
      <c r="E7876" s="2"/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</row>
    <row r="7877" spans="1:26" ht="16.5" x14ac:dyDescent="0.35">
      <c r="A7877" s="2" t="str">
        <f ca="1">IFERROR(__xludf.DUMMYFUNCTION("""COMPUTED_VALUE"""),"Dubai")</f>
        <v>Dubai</v>
      </c>
      <c r="B7877" s="2" t="str">
        <f ca="1">IFERROR(__xludf.DUMMYFUNCTION("""COMPUTED_VALUE"""),"Autograph Collection")</f>
        <v>Autograph Collection</v>
      </c>
      <c r="C7877" s="2" t="str">
        <f ca="1">IFERROR(__xludf.DUMMYFUNCTION("""COMPUTED_VALUE"""),"Neighbourhood")</f>
        <v>Neighbourhood</v>
      </c>
      <c r="D7877" s="2" t="str">
        <f ca="1">IFERROR(__xludf.DUMMYFUNCTION("""COMPUTED_VALUE"""),"Dubai&gt;DAMAC Hills&gt;Autograph Collection")</f>
        <v>Dubai&gt;DAMAC Hills&gt;Autograph Collection</v>
      </c>
      <c r="E7877" s="2"/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</row>
    <row r="7878" spans="1:26" ht="16.5" x14ac:dyDescent="0.35">
      <c r="A7878" s="2" t="str">
        <f ca="1">IFERROR(__xludf.DUMMYFUNCTION("""COMPUTED_VALUE"""),"Dubai")</f>
        <v>Dubai</v>
      </c>
      <c r="B7878" s="2" t="str">
        <f ca="1">IFERROR(__xludf.DUMMYFUNCTION("""COMPUTED_VALUE"""),"Al Melaheyah Plaza")</f>
        <v>Al Melaheyah Plaza</v>
      </c>
      <c r="C7878" s="2" t="str">
        <f ca="1">IFERROR(__xludf.DUMMYFUNCTION("""COMPUTED_VALUE"""),"Building")</f>
        <v>Building</v>
      </c>
      <c r="D7878" s="2" t="str">
        <f ca="1">IFERROR(__xludf.DUMMYFUNCTION("""COMPUTED_VALUE"""),"Dubai&gt;Al Mina&gt;Al Melaheyah Plaza")</f>
        <v>Dubai&gt;Al Mina&gt;Al Melaheyah Plaza</v>
      </c>
      <c r="E7878" s="2"/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</row>
    <row r="7879" spans="1:26" ht="16.5" x14ac:dyDescent="0.35">
      <c r="A7879" s="2" t="str">
        <f ca="1">IFERROR(__xludf.DUMMYFUNCTION("""COMPUTED_VALUE"""),"Dubai")</f>
        <v>Dubai</v>
      </c>
      <c r="B7879" s="2" t="str">
        <f ca="1">IFERROR(__xludf.DUMMYFUNCTION("""COMPUTED_VALUE"""),"Sensia")</f>
        <v>Sensia</v>
      </c>
      <c r="C7879" s="2" t="str">
        <f ca="1">IFERROR(__xludf.DUMMYFUNCTION("""COMPUTED_VALUE"""),"Building")</f>
        <v>Building</v>
      </c>
      <c r="D7879" s="2" t="str">
        <f ca="1">IFERROR(__xludf.DUMMYFUNCTION("""COMPUTED_VALUE"""),"Dubai&gt;Dubai Maritime City&gt;Sensia")</f>
        <v>Dubai&gt;Dubai Maritime City&gt;Sensia</v>
      </c>
      <c r="E7879" s="2"/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</row>
    <row r="7880" spans="1:26" ht="16.5" x14ac:dyDescent="0.35">
      <c r="A7880" s="2" t="str">
        <f ca="1">IFERROR(__xludf.DUMMYFUNCTION("""COMPUTED_VALUE"""),"Dubai")</f>
        <v>Dubai</v>
      </c>
      <c r="B7880" s="2" t="str">
        <f ca="1">IFERROR(__xludf.DUMMYFUNCTION("""COMPUTED_VALUE"""),"The Views 2B")</f>
        <v>The Views 2B</v>
      </c>
      <c r="C7880" s="2" t="str">
        <f ca="1">IFERROR(__xludf.DUMMYFUNCTION("""COMPUTED_VALUE"""),"Building")</f>
        <v>Building</v>
      </c>
      <c r="D7880" s="2" t="str">
        <f ca="1">IFERROR(__xludf.DUMMYFUNCTION("""COMPUTED_VALUE"""),"Dubai&gt;The Views&gt;The Views 2&gt;The Views 2B")</f>
        <v>Dubai&gt;The Views&gt;The Views 2&gt;The Views 2B</v>
      </c>
      <c r="E7880" s="2"/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</row>
    <row r="7881" spans="1:26" ht="16.5" x14ac:dyDescent="0.35">
      <c r="A7881" s="2" t="str">
        <f ca="1">IFERROR(__xludf.DUMMYFUNCTION("""COMPUTED_VALUE"""),"Dubai")</f>
        <v>Dubai</v>
      </c>
      <c r="B7881" s="2" t="str">
        <f ca="1">IFERROR(__xludf.DUMMYFUNCTION("""COMPUTED_VALUE"""),"Al Quoz")</f>
        <v>Al Quoz</v>
      </c>
      <c r="C7881" s="2" t="str">
        <f ca="1">IFERROR(__xludf.DUMMYFUNCTION("""COMPUTED_VALUE"""),"Neighbourhood")</f>
        <v>Neighbourhood</v>
      </c>
      <c r="D7881" s="2" t="str">
        <f ca="1">IFERROR(__xludf.DUMMYFUNCTION("""COMPUTED_VALUE"""),"Dubai&gt;Al Quoz")</f>
        <v>Dubai&gt;Al Quoz</v>
      </c>
      <c r="E7881" s="2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</row>
    <row r="7882" spans="1:26" ht="16.5" x14ac:dyDescent="0.35">
      <c r="A7882" s="2" t="str">
        <f ca="1">IFERROR(__xludf.DUMMYFUNCTION("""COMPUTED_VALUE"""),"Dubai")</f>
        <v>Dubai</v>
      </c>
      <c r="B7882" s="2" t="str">
        <f ca="1">IFERROR(__xludf.DUMMYFUNCTION("""COMPUTED_VALUE"""),"Gold and Diamond Park Building 1")</f>
        <v>Gold and Diamond Park Building 1</v>
      </c>
      <c r="C7882" s="2" t="str">
        <f ca="1">IFERROR(__xludf.DUMMYFUNCTION("""COMPUTED_VALUE"""),"Building")</f>
        <v>Building</v>
      </c>
      <c r="D7882" s="2" t="str">
        <f ca="1">IFERROR(__xludf.DUMMYFUNCTION("""COMPUTED_VALUE"""),"Dubai&gt;Al Quoz&gt;Al Quoz Industrial Area&gt;Al Quoz Industrial Area 3&gt;Gold and Diamond Park&gt;Gold and Diamond Park Building 1")</f>
        <v>Dubai&gt;Al Quoz&gt;Al Quoz Industrial Area&gt;Al Quoz Industrial Area 3&gt;Gold and Diamond Park&gt;Gold and Diamond Park Building 1</v>
      </c>
      <c r="E7882" s="2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</row>
    <row r="7883" spans="1:26" ht="16.5" x14ac:dyDescent="0.35">
      <c r="A7883" s="2" t="str">
        <f ca="1">IFERROR(__xludf.DUMMYFUNCTION("""COMPUTED_VALUE"""),"Dubai")</f>
        <v>Dubai</v>
      </c>
      <c r="B7883" s="2" t="str">
        <f ca="1">IFERROR(__xludf.DUMMYFUNCTION("""COMPUTED_VALUE"""),"Al Khail Heights Building 2A")</f>
        <v>Al Khail Heights Building 2A</v>
      </c>
      <c r="C7883" s="2" t="str">
        <f ca="1">IFERROR(__xludf.DUMMYFUNCTION("""COMPUTED_VALUE"""),"Building")</f>
        <v>Building</v>
      </c>
      <c r="D7883" s="2" t="str">
        <f ca="1">IFERROR(__xludf.DUMMYFUNCTION("""COMPUTED_VALUE"""),"Dubai&gt;Al Quoz&gt;Al Quoz 4&gt;Al Khail Heights&gt;Al Khail Heights Building 2A")</f>
        <v>Dubai&gt;Al Quoz&gt;Al Quoz 4&gt;Al Khail Heights&gt;Al Khail Heights Building 2A</v>
      </c>
      <c r="E7883" s="2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</row>
    <row r="7884" spans="1:26" ht="16.5" x14ac:dyDescent="0.35">
      <c r="A7884" s="2" t="str">
        <f ca="1">IFERROR(__xludf.DUMMYFUNCTION("""COMPUTED_VALUE"""),"Dubai")</f>
        <v>Dubai</v>
      </c>
      <c r="B7884" s="2" t="str">
        <f ca="1">IFERROR(__xludf.DUMMYFUNCTION("""COMPUTED_VALUE"""),"Silicon Gates 2")</f>
        <v>Silicon Gates 2</v>
      </c>
      <c r="C7884" s="2" t="str">
        <f ca="1">IFERROR(__xludf.DUMMYFUNCTION("""COMPUTED_VALUE"""),"Building")</f>
        <v>Building</v>
      </c>
      <c r="D7884" s="2" t="str">
        <f ca="1">IFERROR(__xludf.DUMMYFUNCTION("""COMPUTED_VALUE"""),"Dubai&gt;Dubai Silicon Oasis (DSO)&gt;Silicon Gates&gt;Silicon Gates 2")</f>
        <v>Dubai&gt;Dubai Silicon Oasis (DSO)&gt;Silicon Gates&gt;Silicon Gates 2</v>
      </c>
      <c r="E7884" s="2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</row>
    <row r="7885" spans="1:26" ht="16.5" x14ac:dyDescent="0.35">
      <c r="A7885" s="2" t="str">
        <f ca="1">IFERROR(__xludf.DUMMYFUNCTION("""COMPUTED_VALUE"""),"Dubai")</f>
        <v>Dubai</v>
      </c>
      <c r="B7885" s="2" t="str">
        <f ca="1">IFERROR(__xludf.DUMMYFUNCTION("""COMPUTED_VALUE"""),"Le Presidium 2")</f>
        <v>Le Presidium 2</v>
      </c>
      <c r="C7885" s="2" t="str">
        <f ca="1">IFERROR(__xludf.DUMMYFUNCTION("""COMPUTED_VALUE"""),"Building")</f>
        <v>Building</v>
      </c>
      <c r="D7885" s="2" t="str">
        <f ca="1">IFERROR(__xludf.DUMMYFUNCTION("""COMPUTED_VALUE"""),"Dubai&gt;Dubai Silicon Oasis (DSO)&gt;Le Presidium&gt;Le Presidium 2")</f>
        <v>Dubai&gt;Dubai Silicon Oasis (DSO)&gt;Le Presidium&gt;Le Presidium 2</v>
      </c>
      <c r="E7885" s="2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</row>
    <row r="7886" spans="1:26" ht="16.5" x14ac:dyDescent="0.35">
      <c r="A7886" s="2" t="str">
        <f ca="1">IFERROR(__xludf.DUMMYFUNCTION("""COMPUTED_VALUE"""),"Dubai")</f>
        <v>Dubai</v>
      </c>
      <c r="B7886" s="2" t="str">
        <f ca="1">IFERROR(__xludf.DUMMYFUNCTION("""COMPUTED_VALUE"""),"Al Waleed Oasis 2")</f>
        <v>Al Waleed Oasis 2</v>
      </c>
      <c r="C7886" s="2" t="str">
        <f ca="1">IFERROR(__xludf.DUMMYFUNCTION("""COMPUTED_VALUE"""),"Building")</f>
        <v>Building</v>
      </c>
      <c r="D7886" s="2" t="str">
        <f ca="1">IFERROR(__xludf.DUMMYFUNCTION("""COMPUTED_VALUE"""),"Dubai&gt;Dubai Silicon Oasis (DSO)&gt;Al Waleed Oasis 2")</f>
        <v>Dubai&gt;Dubai Silicon Oasis (DSO)&gt;Al Waleed Oasis 2</v>
      </c>
      <c r="E7886" s="2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</row>
    <row r="7887" spans="1:26" ht="16.5" x14ac:dyDescent="0.35">
      <c r="A7887" s="2" t="str">
        <f ca="1">IFERROR(__xludf.DUMMYFUNCTION("""COMPUTED_VALUE"""),"Dubai")</f>
        <v>Dubai</v>
      </c>
      <c r="B7887" s="2" t="str">
        <f ca="1">IFERROR(__xludf.DUMMYFUNCTION("""COMPUTED_VALUE"""),"Iliyaa 3")</f>
        <v>Iliyaa 3</v>
      </c>
      <c r="C7887" s="2" t="str">
        <f ca="1">IFERROR(__xludf.DUMMYFUNCTION("""COMPUTED_VALUE"""),"Building")</f>
        <v>Building</v>
      </c>
      <c r="D7887" s="2" t="str">
        <f ca="1">IFERROR(__xludf.DUMMYFUNCTION("""COMPUTED_VALUE"""),"Dubai&gt;Dubai Silicon Oasis (DSO)&gt;Iliyaa 3")</f>
        <v>Dubai&gt;Dubai Silicon Oasis (DSO)&gt;Iliyaa 3</v>
      </c>
      <c r="E7887" s="2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</row>
    <row r="7888" spans="1:26" ht="16.5" x14ac:dyDescent="0.35">
      <c r="A7888" s="2" t="str">
        <f ca="1">IFERROR(__xludf.DUMMYFUNCTION("""COMPUTED_VALUE"""),"Dubai")</f>
        <v>Dubai</v>
      </c>
      <c r="B7888" s="2" t="str">
        <f ca="1">IFERROR(__xludf.DUMMYFUNCTION("""COMPUTED_VALUE"""),"Emerald Residence")</f>
        <v>Emerald Residence</v>
      </c>
      <c r="C7888" s="2" t="str">
        <f ca="1">IFERROR(__xludf.DUMMYFUNCTION("""COMPUTED_VALUE"""),"Building")</f>
        <v>Building</v>
      </c>
      <c r="D7888" s="2" t="str">
        <f ca="1">IFERROR(__xludf.DUMMYFUNCTION("""COMPUTED_VALUE"""),"Dubai&gt;Dubai Silicon Oasis (DSO)&gt;Emerald Residence")</f>
        <v>Dubai&gt;Dubai Silicon Oasis (DSO)&gt;Emerald Residence</v>
      </c>
      <c r="E7888" s="2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</row>
    <row r="7889" spans="1:26" ht="16.5" x14ac:dyDescent="0.35">
      <c r="A7889" s="2" t="str">
        <f ca="1">IFERROR(__xludf.DUMMYFUNCTION("""COMPUTED_VALUE"""),"Dubai")</f>
        <v>Dubai</v>
      </c>
      <c r="B7889" s="2" t="str">
        <f ca="1">IFERROR(__xludf.DUMMYFUNCTION("""COMPUTED_VALUE"""),"MM Towers")</f>
        <v>MM Towers</v>
      </c>
      <c r="C7889" s="2" t="str">
        <f ca="1">IFERROR(__xludf.DUMMYFUNCTION("""COMPUTED_VALUE"""),"Cluster")</f>
        <v>Cluster</v>
      </c>
      <c r="D7889" s="2" t="str">
        <f ca="1">IFERROR(__xludf.DUMMYFUNCTION("""COMPUTED_VALUE"""),"Dubai&gt;Dubai Silicon Oasis (DSO)&gt;MM Towers")</f>
        <v>Dubai&gt;Dubai Silicon Oasis (DSO)&gt;MM Towers</v>
      </c>
      <c r="E7889" s="2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</row>
    <row r="7890" spans="1:26" ht="16.5" x14ac:dyDescent="0.35">
      <c r="A7890" s="2" t="str">
        <f ca="1">IFERROR(__xludf.DUMMYFUNCTION("""COMPUTED_VALUE"""),"Dubai")</f>
        <v>Dubai</v>
      </c>
      <c r="B7890" s="2" t="str">
        <f ca="1">IFERROR(__xludf.DUMMYFUNCTION("""COMPUTED_VALUE"""),"University View Block A")</f>
        <v>University View Block A</v>
      </c>
      <c r="C7890" s="2" t="str">
        <f ca="1">IFERROR(__xludf.DUMMYFUNCTION("""COMPUTED_VALUE"""),"Building")</f>
        <v>Building</v>
      </c>
      <c r="D7890" s="2" t="str">
        <f ca="1">IFERROR(__xludf.DUMMYFUNCTION("""COMPUTED_VALUE"""),"Dubai&gt;Dubai Silicon Oasis (DSO)&gt;University View&gt;University View Block A")</f>
        <v>Dubai&gt;Dubai Silicon Oasis (DSO)&gt;University View&gt;University View Block A</v>
      </c>
      <c r="E7890" s="2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</row>
    <row r="7891" spans="1:26" ht="16.5" x14ac:dyDescent="0.35">
      <c r="A7891" s="2" t="str">
        <f ca="1">IFERROR(__xludf.DUMMYFUNCTION("""COMPUTED_VALUE"""),"Dubai")</f>
        <v>Dubai</v>
      </c>
      <c r="B7891" s="2" t="str">
        <f ca="1">IFERROR(__xludf.DUMMYFUNCTION("""COMPUTED_VALUE"""),"The Neighbourhood B2")</f>
        <v>The Neighbourhood B2</v>
      </c>
      <c r="C7891" s="2" t="str">
        <f ca="1">IFERROR(__xludf.DUMMYFUNCTION("""COMPUTED_VALUE"""),"Building")</f>
        <v>Building</v>
      </c>
      <c r="D7891" s="2" t="str">
        <f ca="1">IFERROR(__xludf.DUMMYFUNCTION("""COMPUTED_VALUE"""),"Dubai&gt;Al Barari&gt;The Neighbourhood&gt;The Neighbourhood B2")</f>
        <v>Dubai&gt;Al Barari&gt;The Neighbourhood&gt;The Neighbourhood B2</v>
      </c>
      <c r="E7891" s="2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</row>
    <row r="7892" spans="1:26" ht="16.5" x14ac:dyDescent="0.35">
      <c r="A7892" s="2" t="str">
        <f ca="1">IFERROR(__xludf.DUMMYFUNCTION("""COMPUTED_VALUE"""),"Dubai")</f>
        <v>Dubai</v>
      </c>
      <c r="B7892" s="2" t="str">
        <f ca="1">IFERROR(__xludf.DUMMYFUNCTION("""COMPUTED_VALUE"""),"The Collection")</f>
        <v>The Collection</v>
      </c>
      <c r="C7892" s="2" t="str">
        <f ca="1">IFERROR(__xludf.DUMMYFUNCTION("""COMPUTED_VALUE"""),"Neighbourhood")</f>
        <v>Neighbourhood</v>
      </c>
      <c r="D7892" s="2" t="str">
        <f ca="1">IFERROR(__xludf.DUMMYFUNCTION("""COMPUTED_VALUE"""),"Dubai&gt;Al Barari&gt;The Collection")</f>
        <v>Dubai&gt;Al Barari&gt;The Collection</v>
      </c>
      <c r="E7892" s="2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</row>
    <row r="7893" spans="1:26" ht="16.5" x14ac:dyDescent="0.35">
      <c r="A7893" s="2" t="str">
        <f ca="1">IFERROR(__xludf.DUMMYFUNCTION("""COMPUTED_VALUE"""),"Dubai")</f>
        <v>Dubai</v>
      </c>
      <c r="B7893" s="2" t="str">
        <f ca="1">IFERROR(__xludf.DUMMYFUNCTION("""COMPUTED_VALUE"""),"The Beachfront")</f>
        <v>The Beachfront</v>
      </c>
      <c r="C7893" s="2" t="str">
        <f ca="1">IFERROR(__xludf.DUMMYFUNCTION("""COMPUTED_VALUE"""),"Neighbourhood")</f>
        <v>Neighbourhood</v>
      </c>
      <c r="D7893" s="2" t="str">
        <f ca="1">IFERROR(__xludf.DUMMYFUNCTION("""COMPUTED_VALUE"""),"Dubai&gt;Mohammed Bin Rashid City&gt;District 11&gt;The Sanctuary by Ellington&gt;The Beachfront")</f>
        <v>Dubai&gt;Mohammed Bin Rashid City&gt;District 11&gt;The Sanctuary by Ellington&gt;The Beachfront</v>
      </c>
      <c r="E7893" s="2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</row>
    <row r="7894" spans="1:26" ht="16.5" x14ac:dyDescent="0.35">
      <c r="A7894" s="2" t="str">
        <f ca="1">IFERROR(__xludf.DUMMYFUNCTION("""COMPUTED_VALUE"""),"Dubai")</f>
        <v>Dubai</v>
      </c>
      <c r="B7894" s="2" t="str">
        <f ca="1">IFERROR(__xludf.DUMMYFUNCTION("""COMPUTED_VALUE"""),"Rome 3 by Samana")</f>
        <v>Rome 3 by Samana</v>
      </c>
      <c r="C7894" s="2" t="str">
        <f ca="1">IFERROR(__xludf.DUMMYFUNCTION("""COMPUTED_VALUE"""),"Building")</f>
        <v>Building</v>
      </c>
      <c r="D7894" s="2" t="str">
        <f ca="1">IFERROR(__xludf.DUMMYFUNCTION("""COMPUTED_VALUE"""),"Dubai&gt;Mohammed Bin Rashid City&gt;District 11&gt;Rome 3 by Samana")</f>
        <v>Dubai&gt;Mohammed Bin Rashid City&gt;District 11&gt;Rome 3 by Samana</v>
      </c>
      <c r="E7894" s="2"/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</row>
    <row r="7895" spans="1:26" ht="16.5" x14ac:dyDescent="0.35">
      <c r="A7895" s="2" t="str">
        <f ca="1">IFERROR(__xludf.DUMMYFUNCTION("""COMPUTED_VALUE"""),"Dubai")</f>
        <v>Dubai</v>
      </c>
      <c r="B7895" s="2" t="str">
        <f ca="1">IFERROR(__xludf.DUMMYFUNCTION("""COMPUTED_VALUE"""),"Residences 19")</f>
        <v>Residences 19</v>
      </c>
      <c r="C7895" s="2" t="str">
        <f ca="1">IFERROR(__xludf.DUMMYFUNCTION("""COMPUTED_VALUE"""),"Building")</f>
        <v>Building</v>
      </c>
      <c r="D7895" s="2" t="str">
        <f ca="1">IFERROR(__xludf.DUMMYFUNCTION("""COMPUTED_VALUE"""),"Dubai&gt;Mohammed Bin Rashid City&gt;District One&gt;The Residences at District One&gt;Residences 19")</f>
        <v>Dubai&gt;Mohammed Bin Rashid City&gt;District One&gt;The Residences at District One&gt;Residences 19</v>
      </c>
      <c r="E7895" s="2"/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</row>
    <row r="7896" spans="1:26" ht="16.5" x14ac:dyDescent="0.35">
      <c r="A7896" s="2" t="str">
        <f ca="1">IFERROR(__xludf.DUMMYFUNCTION("""COMPUTED_VALUE"""),"Dubai")</f>
        <v>Dubai</v>
      </c>
      <c r="B7896" s="2" t="str">
        <f ca="1">IFERROR(__xludf.DUMMYFUNCTION("""COMPUTED_VALUE"""),"Parklane Residence")</f>
        <v>Parklane Residence</v>
      </c>
      <c r="C7896" s="2" t="str">
        <f ca="1">IFERROR(__xludf.DUMMYFUNCTION("""COMPUTED_VALUE"""),"Cluster")</f>
        <v>Cluster</v>
      </c>
      <c r="D7896" s="2" t="str">
        <f ca="1">IFERROR(__xludf.DUMMYFUNCTION("""COMPUTED_VALUE"""),"Dubai&gt;Dubai South&gt;Residential District&gt;The Pulse&gt;The Pulse Villas 2&gt;Parklane Residence")</f>
        <v>Dubai&gt;Dubai South&gt;Residential District&gt;The Pulse&gt;The Pulse Villas 2&gt;Parklane Residence</v>
      </c>
      <c r="E7896" s="2"/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</row>
    <row r="7897" spans="1:26" ht="16.5" x14ac:dyDescent="0.35">
      <c r="A7897" s="2" t="str">
        <f ca="1">IFERROR(__xludf.DUMMYFUNCTION("""COMPUTED_VALUE"""),"Dubai")</f>
        <v>Dubai</v>
      </c>
      <c r="B7897" s="2" t="str">
        <f ca="1">IFERROR(__xludf.DUMMYFUNCTION("""COMPUTED_VALUE"""),"Palma Residences")</f>
        <v>Palma Residences</v>
      </c>
      <c r="C7897" s="2" t="str">
        <f ca="1">IFERROR(__xludf.DUMMYFUNCTION("""COMPUTED_VALUE"""),"Building")</f>
        <v>Building</v>
      </c>
      <c r="D7897" s="2" t="str">
        <f ca="1">IFERROR(__xludf.DUMMYFUNCTION("""COMPUTED_VALUE"""),"Dubai&gt;Dubai South&gt;Residential District&gt;Palma Residences")</f>
        <v>Dubai&gt;Dubai South&gt;Residential District&gt;Palma Residences</v>
      </c>
      <c r="E7897" s="2"/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</row>
    <row r="7898" spans="1:26" ht="16.5" x14ac:dyDescent="0.35">
      <c r="A7898" s="2" t="str">
        <f ca="1">IFERROR(__xludf.DUMMYFUNCTION("""COMPUTED_VALUE"""),"Dubai")</f>
        <v>Dubai</v>
      </c>
      <c r="B7898" s="2" t="str">
        <f ca="1">IFERROR(__xludf.DUMMYFUNCTION("""COMPUTED_VALUE"""),"Cresswell Homes")</f>
        <v>Cresswell Homes</v>
      </c>
      <c r="C7898" s="2" t="str">
        <f ca="1">IFERROR(__xludf.DUMMYFUNCTION("""COMPUTED_VALUE"""),"Building")</f>
        <v>Building</v>
      </c>
      <c r="D7898" s="2" t="str">
        <f ca="1">IFERROR(__xludf.DUMMYFUNCTION("""COMPUTED_VALUE"""),"Dubai&gt;Dubai South&gt;Residential District&gt;Cresswell Homes")</f>
        <v>Dubai&gt;Dubai South&gt;Residential District&gt;Cresswell Homes</v>
      </c>
      <c r="E7898" s="2"/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</row>
    <row r="7899" spans="1:26" ht="16.5" x14ac:dyDescent="0.35">
      <c r="A7899" s="2" t="str">
        <f ca="1">IFERROR(__xludf.DUMMYFUNCTION("""COMPUTED_VALUE"""),"Dubai")</f>
        <v>Dubai</v>
      </c>
      <c r="B7899" s="2" t="str">
        <f ca="1">IFERROR(__xludf.DUMMYFUNCTION("""COMPUTED_VALUE"""),"Kappa Acca 6")</f>
        <v>Kappa Acca 6</v>
      </c>
      <c r="C7899" s="2" t="str">
        <f ca="1">IFERROR(__xludf.DUMMYFUNCTION("""COMPUTED_VALUE"""),"Building")</f>
        <v>Building</v>
      </c>
      <c r="D7899" s="2" t="str">
        <f ca="1">IFERROR(__xludf.DUMMYFUNCTION("""COMPUTED_VALUE"""),"Dubai&gt;Dubai South&gt;Residential District&gt;Kappa Acca 6")</f>
        <v>Dubai&gt;Dubai South&gt;Residential District&gt;Kappa Acca 6</v>
      </c>
      <c r="E7899" s="2"/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</row>
    <row r="7900" spans="1:26" ht="16.5" x14ac:dyDescent="0.35">
      <c r="A7900" s="2" t="str">
        <f ca="1">IFERROR(__xludf.DUMMYFUNCTION("""COMPUTED_VALUE"""),"Dubai")</f>
        <v>Dubai</v>
      </c>
      <c r="B7900" s="2" t="str">
        <f ca="1">IFERROR(__xludf.DUMMYFUNCTION("""COMPUTED_VALUE"""),"Fairway Villas 2")</f>
        <v>Fairway Villas 2</v>
      </c>
      <c r="C7900" s="2" t="str">
        <f ca="1">IFERROR(__xludf.DUMMYFUNCTION("""COMPUTED_VALUE"""),"Neighbourhood")</f>
        <v>Neighbourhood</v>
      </c>
      <c r="D7900" s="2" t="str">
        <f ca="1">IFERROR(__xludf.DUMMYFUNCTION("""COMPUTED_VALUE"""),"Dubai&gt;Dubai South&gt;Emaar South&gt;Fairway Villas 2")</f>
        <v>Dubai&gt;Dubai South&gt;Emaar South&gt;Fairway Villas 2</v>
      </c>
      <c r="E7900" s="2"/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</row>
    <row r="7901" spans="1:26" ht="16.5" x14ac:dyDescent="0.35">
      <c r="A7901" s="2" t="str">
        <f ca="1">IFERROR(__xludf.DUMMYFUNCTION("""COMPUTED_VALUE"""),"Dubai")</f>
        <v>Dubai</v>
      </c>
      <c r="B7901" s="2" t="str">
        <f ca="1">IFERROR(__xludf.DUMMYFUNCTION("""COMPUTED_VALUE"""),"The Avenue")</f>
        <v>The Avenue</v>
      </c>
      <c r="C7901" s="2" t="str">
        <f ca="1">IFERROR(__xludf.DUMMYFUNCTION("""COMPUTED_VALUE"""),"Neighbourhood")</f>
        <v>Neighbourhood</v>
      </c>
      <c r="D7901" s="2" t="str">
        <f ca="1">IFERROR(__xludf.DUMMYFUNCTION("""COMPUTED_VALUE"""),"Dubai&gt;Dubai South&gt;Logistics City&gt;The Avenue")</f>
        <v>Dubai&gt;Dubai South&gt;Logistics City&gt;The Avenue</v>
      </c>
      <c r="E7901" s="2"/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</row>
    <row r="7902" spans="1:26" ht="16.5" x14ac:dyDescent="0.35">
      <c r="A7902" s="2" t="str">
        <f ca="1">IFERROR(__xludf.DUMMYFUNCTION("""COMPUTED_VALUE"""),"Dubai")</f>
        <v>Dubai</v>
      </c>
      <c r="B7902" s="2" t="str">
        <f ca="1">IFERROR(__xludf.DUMMYFUNCTION("""COMPUTED_VALUE"""),"Azizi Venice 4 Building A")</f>
        <v>Azizi Venice 4 Building A</v>
      </c>
      <c r="C7902" s="2" t="str">
        <f ca="1">IFERROR(__xludf.DUMMYFUNCTION("""COMPUTED_VALUE"""),"Building")</f>
        <v>Building</v>
      </c>
      <c r="D7902" s="2" t="str">
        <f ca="1">IFERROR(__xludf.DUMMYFUNCTION("""COMPUTED_VALUE"""),"Dubai&gt;Dubai South&gt;Azizi Venice&gt;Azizi Venice 4&gt;Azizi Venice 4 Building A")</f>
        <v>Dubai&gt;Dubai South&gt;Azizi Venice&gt;Azizi Venice 4&gt;Azizi Venice 4 Building A</v>
      </c>
      <c r="E7902" s="2"/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</row>
    <row r="7903" spans="1:26" ht="16.5" x14ac:dyDescent="0.35">
      <c r="A7903" s="2" t="str">
        <f ca="1">IFERROR(__xludf.DUMMYFUNCTION("""COMPUTED_VALUE"""),"Dubai")</f>
        <v>Dubai</v>
      </c>
      <c r="B7903" s="2" t="str">
        <f ca="1">IFERROR(__xludf.DUMMYFUNCTION("""COMPUTED_VALUE"""),"Azizi Venice 12 Building A")</f>
        <v>Azizi Venice 12 Building A</v>
      </c>
      <c r="C7903" s="2" t="str">
        <f ca="1">IFERROR(__xludf.DUMMYFUNCTION("""COMPUTED_VALUE"""),"Building")</f>
        <v>Building</v>
      </c>
      <c r="D7903" s="2" t="str">
        <f ca="1">IFERROR(__xludf.DUMMYFUNCTION("""COMPUTED_VALUE"""),"Dubai&gt;Dubai South&gt;Azizi Venice&gt;Azizi Venice 12&gt;Azizi Venice 12 Building A")</f>
        <v>Dubai&gt;Dubai South&gt;Azizi Venice&gt;Azizi Venice 12&gt;Azizi Venice 12 Building A</v>
      </c>
      <c r="E7903" s="2"/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</row>
    <row r="7904" spans="1:26" ht="16.5" x14ac:dyDescent="0.35">
      <c r="A7904" s="2" t="str">
        <f ca="1">IFERROR(__xludf.DUMMYFUNCTION("""COMPUTED_VALUE"""),"Dubai")</f>
        <v>Dubai</v>
      </c>
      <c r="B7904" s="2" t="str">
        <f ca="1">IFERROR(__xludf.DUMMYFUNCTION("""COMPUTED_VALUE"""),"The Meadows 7")</f>
        <v>The Meadows 7</v>
      </c>
      <c r="C7904" s="2" t="str">
        <f ca="1">IFERROR(__xludf.DUMMYFUNCTION("""COMPUTED_VALUE"""),"Neighbourhood")</f>
        <v>Neighbourhood</v>
      </c>
      <c r="D7904" s="2" t="str">
        <f ca="1">IFERROR(__xludf.DUMMYFUNCTION("""COMPUTED_VALUE"""),"Dubai&gt;The Meadows&gt;The Meadows 7")</f>
        <v>Dubai&gt;The Meadows&gt;The Meadows 7</v>
      </c>
      <c r="E7904" s="2"/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</row>
    <row r="7905" spans="1:26" ht="16.5" x14ac:dyDescent="0.35">
      <c r="A7905" s="2" t="str">
        <f ca="1">IFERROR(__xludf.DUMMYFUNCTION("""COMPUTED_VALUE"""),"Dubai")</f>
        <v>Dubai</v>
      </c>
      <c r="B7905" s="2" t="str">
        <f ca="1">IFERROR(__xludf.DUMMYFUNCTION("""COMPUTED_VALUE"""),"Al Nasr Building 2")</f>
        <v>Al Nasr Building 2</v>
      </c>
      <c r="C7905" s="2" t="str">
        <f ca="1">IFERROR(__xludf.DUMMYFUNCTION("""COMPUTED_VALUE"""),"Building")</f>
        <v>Building</v>
      </c>
      <c r="D7905" s="2" t="str">
        <f ca="1">IFERROR(__xludf.DUMMYFUNCTION("""COMPUTED_VALUE"""),"Dubai&gt;Bur Dubai&gt;Oud Metha&gt;Al Nasr Building 2")</f>
        <v>Dubai&gt;Bur Dubai&gt;Oud Metha&gt;Al Nasr Building 2</v>
      </c>
      <c r="E7905" s="2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</row>
    <row r="7906" spans="1:26" ht="16.5" x14ac:dyDescent="0.35">
      <c r="A7906" s="2" t="str">
        <f ca="1">IFERROR(__xludf.DUMMYFUNCTION("""COMPUTED_VALUE"""),"Dubai")</f>
        <v>Dubai</v>
      </c>
      <c r="B7906" s="2" t="str">
        <f ca="1">IFERROR(__xludf.DUMMYFUNCTION("""COMPUTED_VALUE"""),"Lamcy B")</f>
        <v>Lamcy B</v>
      </c>
      <c r="C7906" s="2" t="str">
        <f ca="1">IFERROR(__xludf.DUMMYFUNCTION("""COMPUTED_VALUE"""),"Building")</f>
        <v>Building</v>
      </c>
      <c r="D7906" s="2" t="str">
        <f ca="1">IFERROR(__xludf.DUMMYFUNCTION("""COMPUTED_VALUE"""),"Dubai&gt;Bur Dubai&gt;Oud Metha&gt;Lamcy B")</f>
        <v>Dubai&gt;Bur Dubai&gt;Oud Metha&gt;Lamcy B</v>
      </c>
      <c r="E7906" s="2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</row>
    <row r="7907" spans="1:26" ht="16.5" x14ac:dyDescent="0.35">
      <c r="A7907" s="2" t="str">
        <f ca="1">IFERROR(__xludf.DUMMYFUNCTION("""COMPUTED_VALUE"""),"Dubai")</f>
        <v>Dubai</v>
      </c>
      <c r="B7907" s="2" t="str">
        <f ca="1">IFERROR(__xludf.DUMMYFUNCTION("""COMPUTED_VALUE"""),"DotCom B")</f>
        <v>DotCom B</v>
      </c>
      <c r="C7907" s="2" t="str">
        <f ca="1">IFERROR(__xludf.DUMMYFUNCTION("""COMPUTED_VALUE"""),"Building")</f>
        <v>Building</v>
      </c>
      <c r="D7907" s="2" t="str">
        <f ca="1">IFERROR(__xludf.DUMMYFUNCTION("""COMPUTED_VALUE"""),"Dubai&gt;Bur Dubai&gt;Al Raffa&gt;DotCom B")</f>
        <v>Dubai&gt;Bur Dubai&gt;Al Raffa&gt;DotCom B</v>
      </c>
      <c r="E7907" s="2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</row>
    <row r="7908" spans="1:26" ht="16.5" x14ac:dyDescent="0.35">
      <c r="A7908" s="2" t="str">
        <f ca="1">IFERROR(__xludf.DUMMYFUNCTION("""COMPUTED_VALUE"""),"Dubai")</f>
        <v>Dubai</v>
      </c>
      <c r="B7908" s="2" t="str">
        <f ca="1">IFERROR(__xludf.DUMMYFUNCTION("""COMPUTED_VALUE"""),"Abdul Rahim Mohd Al Zarooni Building")</f>
        <v>Abdul Rahim Mohd Al Zarooni Building</v>
      </c>
      <c r="C7908" s="2" t="str">
        <f ca="1">IFERROR(__xludf.DUMMYFUNCTION("""COMPUTED_VALUE"""),"Building")</f>
        <v>Building</v>
      </c>
      <c r="D7908" s="2" t="str">
        <f ca="1">IFERROR(__xludf.DUMMYFUNCTION("""COMPUTED_VALUE"""),"Dubai&gt;Bur Dubai&gt;Al Raffa&gt;Abdul Rahim Mohd Al Zarooni Building")</f>
        <v>Dubai&gt;Bur Dubai&gt;Al Raffa&gt;Abdul Rahim Mohd Al Zarooni Building</v>
      </c>
      <c r="E7908" s="2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</row>
    <row r="7909" spans="1:26" ht="16.5" x14ac:dyDescent="0.35">
      <c r="A7909" s="2" t="str">
        <f ca="1">IFERROR(__xludf.DUMMYFUNCTION("""COMPUTED_VALUE"""),"Dubai")</f>
        <v>Dubai</v>
      </c>
      <c r="B7909" s="2" t="str">
        <f ca="1">IFERROR(__xludf.DUMMYFUNCTION("""COMPUTED_VALUE"""),"Al Mas Tower")</f>
        <v>Al Mas Tower</v>
      </c>
      <c r="C7909" s="2" t="str">
        <f ca="1">IFERROR(__xludf.DUMMYFUNCTION("""COMPUTED_VALUE"""),"Building")</f>
        <v>Building</v>
      </c>
      <c r="D7909" s="2" t="str">
        <f ca="1">IFERROR(__xludf.DUMMYFUNCTION("""COMPUTED_VALUE"""),"Dubai&gt;Bur Dubai&gt;Al Mankhool&gt;Al Mas Tower")</f>
        <v>Dubai&gt;Bur Dubai&gt;Al Mankhool&gt;Al Mas Tower</v>
      </c>
      <c r="E7909" s="2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</row>
    <row r="7910" spans="1:26" ht="16.5" x14ac:dyDescent="0.35">
      <c r="A7910" s="2" t="str">
        <f ca="1">IFERROR(__xludf.DUMMYFUNCTION("""COMPUTED_VALUE"""),"Dubai")</f>
        <v>Dubai</v>
      </c>
      <c r="B7910" s="2" t="str">
        <f ca="1">IFERROR(__xludf.DUMMYFUNCTION("""COMPUTED_VALUE"""),"Afnan Building")</f>
        <v>Afnan Building</v>
      </c>
      <c r="C7910" s="2" t="str">
        <f ca="1">IFERROR(__xludf.DUMMYFUNCTION("""COMPUTED_VALUE"""),"Building")</f>
        <v>Building</v>
      </c>
      <c r="D7910" s="2" t="str">
        <f ca="1">IFERROR(__xludf.DUMMYFUNCTION("""COMPUTED_VALUE"""),"Dubai&gt;Bur Dubai&gt;Al Mankhool&gt;Afnan Building")</f>
        <v>Dubai&gt;Bur Dubai&gt;Al Mankhool&gt;Afnan Building</v>
      </c>
      <c r="E7910" s="2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</row>
    <row r="7911" spans="1:26" ht="16.5" x14ac:dyDescent="0.35">
      <c r="A7911" s="2" t="str">
        <f ca="1">IFERROR(__xludf.DUMMYFUNCTION("""COMPUTED_VALUE"""),"Dubai")</f>
        <v>Dubai</v>
      </c>
      <c r="B7911" s="2" t="str">
        <f ca="1">IFERROR(__xludf.DUMMYFUNCTION("""COMPUTED_VALUE"""),"AAAF 2 Building")</f>
        <v>AAAF 2 Building</v>
      </c>
      <c r="C7911" s="2" t="str">
        <f ca="1">IFERROR(__xludf.DUMMYFUNCTION("""COMPUTED_VALUE"""),"Building")</f>
        <v>Building</v>
      </c>
      <c r="D7911" s="2" t="str">
        <f ca="1">IFERROR(__xludf.DUMMYFUNCTION("""COMPUTED_VALUE"""),"Dubai&gt;Bur Dubai&gt;Al Mankhool&gt;AAAF 2 Building")</f>
        <v>Dubai&gt;Bur Dubai&gt;Al Mankhool&gt;AAAF 2 Building</v>
      </c>
      <c r="E7911" s="2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</row>
    <row r="7912" spans="1:26" ht="16.5" x14ac:dyDescent="0.35">
      <c r="A7912" s="2" t="str">
        <f ca="1">IFERROR(__xludf.DUMMYFUNCTION("""COMPUTED_VALUE"""),"Dubai")</f>
        <v>Dubai</v>
      </c>
      <c r="B7912" s="2" t="str">
        <f ca="1">IFERROR(__xludf.DUMMYFUNCTION("""COMPUTED_VALUE"""),"Umm Hurair")</f>
        <v>Umm Hurair</v>
      </c>
      <c r="C7912" s="2" t="str">
        <f ca="1">IFERROR(__xludf.DUMMYFUNCTION("""COMPUTED_VALUE"""),"Neighbourhood")</f>
        <v>Neighbourhood</v>
      </c>
      <c r="D7912" s="2" t="str">
        <f ca="1">IFERROR(__xludf.DUMMYFUNCTION("""COMPUTED_VALUE"""),"Dubai&gt;Bur Dubai&gt;Umm Hurair")</f>
        <v>Dubai&gt;Bur Dubai&gt;Umm Hurair</v>
      </c>
      <c r="E7912" s="2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</row>
    <row r="7913" spans="1:26" ht="16.5" x14ac:dyDescent="0.35">
      <c r="A7913" s="2" t="str">
        <f ca="1">IFERROR(__xludf.DUMMYFUNCTION("""COMPUTED_VALUE"""),"Dubai")</f>
        <v>Dubai</v>
      </c>
      <c r="B7913" s="2" t="str">
        <f ca="1">IFERROR(__xludf.DUMMYFUNCTION("""COMPUTED_VALUE"""),"Al Rifaa Plaza")</f>
        <v>Al Rifaa Plaza</v>
      </c>
      <c r="C7913" s="2" t="str">
        <f ca="1">IFERROR(__xludf.DUMMYFUNCTION("""COMPUTED_VALUE"""),"Building")</f>
        <v>Building</v>
      </c>
      <c r="D7913" s="2" t="str">
        <f ca="1">IFERROR(__xludf.DUMMYFUNCTION("""COMPUTED_VALUE"""),"Dubai&gt;Bur Dubai&gt;Al Souk Al Kabeer (Al Fahidi)&gt;Al Rifaa Plaza")</f>
        <v>Dubai&gt;Bur Dubai&gt;Al Souk Al Kabeer (Al Fahidi)&gt;Al Rifaa Plaza</v>
      </c>
      <c r="E7913" s="2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</row>
    <row r="7914" spans="1:26" ht="16.5" x14ac:dyDescent="0.35">
      <c r="A7914" s="2" t="str">
        <f ca="1">IFERROR(__xludf.DUMMYFUNCTION("""COMPUTED_VALUE"""),"Dubai")</f>
        <v>Dubai</v>
      </c>
      <c r="B7914" s="2" t="str">
        <f ca="1">IFERROR(__xludf.DUMMYFUNCTION("""COMPUTED_VALUE"""),"Hussain Nasser Lootah 5 Building")</f>
        <v>Hussain Nasser Lootah 5 Building</v>
      </c>
      <c r="C7914" s="2" t="str">
        <f ca="1">IFERROR(__xludf.DUMMYFUNCTION("""COMPUTED_VALUE"""),"Building")</f>
        <v>Building</v>
      </c>
      <c r="D7914" s="2" t="str">
        <f ca="1">IFERROR(__xludf.DUMMYFUNCTION("""COMPUTED_VALUE"""),"Dubai&gt;Bur Dubai&gt;Al Souk Al Kabeer (Al Fahidi)&gt;Hussain Nasser Lootah 5 Building")</f>
        <v>Dubai&gt;Bur Dubai&gt;Al Souk Al Kabeer (Al Fahidi)&gt;Hussain Nasser Lootah 5 Building</v>
      </c>
      <c r="E7914" s="2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</row>
    <row r="7915" spans="1:26" ht="16.5" x14ac:dyDescent="0.35">
      <c r="A7915" s="2" t="str">
        <f ca="1">IFERROR(__xludf.DUMMYFUNCTION("""COMPUTED_VALUE"""),"Dubai")</f>
        <v>Dubai</v>
      </c>
      <c r="B7915" s="2" t="str">
        <f ca="1">IFERROR(__xludf.DUMMYFUNCTION("""COMPUTED_VALUE"""),"London Hotel")</f>
        <v>London Hotel</v>
      </c>
      <c r="C7915" s="2" t="str">
        <f ca="1">IFERROR(__xludf.DUMMYFUNCTION("""COMPUTED_VALUE"""),"Building")</f>
        <v>Building</v>
      </c>
      <c r="D7915" s="2" t="str">
        <f ca="1">IFERROR(__xludf.DUMMYFUNCTION("""COMPUTED_VALUE"""),"Dubai&gt;Bur Dubai&gt;Al Hamriya&gt;London Hotel")</f>
        <v>Dubai&gt;Bur Dubai&gt;Al Hamriya&gt;London Hotel</v>
      </c>
      <c r="E7915" s="2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</row>
    <row r="7916" spans="1:26" ht="16.5" x14ac:dyDescent="0.35">
      <c r="A7916" s="2" t="str">
        <f ca="1">IFERROR(__xludf.DUMMYFUNCTION("""COMPUTED_VALUE"""),"Dubai")</f>
        <v>Dubai</v>
      </c>
      <c r="B7916" s="2" t="str">
        <f ca="1">IFERROR(__xludf.DUMMYFUNCTION("""COMPUTED_VALUE"""),"Jumeirah Golf Estates")</f>
        <v>Jumeirah Golf Estates</v>
      </c>
      <c r="C7916" s="2" t="str">
        <f ca="1">IFERROR(__xludf.DUMMYFUNCTION("""COMPUTED_VALUE"""),"Neighbourhood")</f>
        <v>Neighbourhood</v>
      </c>
      <c r="D7916" s="2" t="str">
        <f ca="1">IFERROR(__xludf.DUMMYFUNCTION("""COMPUTED_VALUE"""),"Dubai&gt;Jumeirah Golf Estates")</f>
        <v>Dubai&gt;Jumeirah Golf Estates</v>
      </c>
      <c r="E7916" s="2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</row>
    <row r="7917" spans="1:26" ht="16.5" x14ac:dyDescent="0.35">
      <c r="A7917" s="2" t="str">
        <f ca="1">IFERROR(__xludf.DUMMYFUNCTION("""COMPUTED_VALUE"""),"Dubai")</f>
        <v>Dubai</v>
      </c>
      <c r="B7917" s="2" t="str">
        <f ca="1">IFERROR(__xludf.DUMMYFUNCTION("""COMPUTED_VALUE"""),"Terra Golf Collection")</f>
        <v>Terra Golf Collection</v>
      </c>
      <c r="C7917" s="2" t="str">
        <f ca="1">IFERROR(__xludf.DUMMYFUNCTION("""COMPUTED_VALUE"""),"Neighbourhood")</f>
        <v>Neighbourhood</v>
      </c>
      <c r="D7917" s="2" t="str">
        <f ca="1">IFERROR(__xludf.DUMMYFUNCTION("""COMPUTED_VALUE"""),"Dubai&gt;Jumeirah Golf Estates&gt;Terra Golf Collection")</f>
        <v>Dubai&gt;Jumeirah Golf Estates&gt;Terra Golf Collection</v>
      </c>
      <c r="E7917" s="2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</row>
    <row r="7918" spans="1:26" ht="16.5" x14ac:dyDescent="0.35">
      <c r="A7918" s="2" t="str">
        <f ca="1">IFERROR(__xludf.DUMMYFUNCTION("""COMPUTED_VALUE"""),"Dubai")</f>
        <v>Dubai</v>
      </c>
      <c r="B7918" s="2" t="str">
        <f ca="1">IFERROR(__xludf.DUMMYFUNCTION("""COMPUTED_VALUE"""),"Address The Bay")</f>
        <v>Address The Bay</v>
      </c>
      <c r="C7918" s="2" t="str">
        <f ca="1">IFERROR(__xludf.DUMMYFUNCTION("""COMPUTED_VALUE"""),"Building")</f>
        <v>Building</v>
      </c>
      <c r="D7918" s="2" t="str">
        <f ca="1">IFERROR(__xludf.DUMMYFUNCTION("""COMPUTED_VALUE"""),"Dubai&gt;Dubai Harbour&gt;Emaar Beachfront&gt;Address The Bay")</f>
        <v>Dubai&gt;Dubai Harbour&gt;Emaar Beachfront&gt;Address The Bay</v>
      </c>
      <c r="E7918" s="2"/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</row>
    <row r="7919" spans="1:26" ht="16.5" x14ac:dyDescent="0.35">
      <c r="A7919" s="2" t="str">
        <f ca="1">IFERROR(__xludf.DUMMYFUNCTION("""COMPUTED_VALUE"""),"Dubai")</f>
        <v>Dubai</v>
      </c>
      <c r="B7919" s="2" t="str">
        <f ca="1">IFERROR(__xludf.DUMMYFUNCTION("""COMPUTED_VALUE"""),"Sanctnary")</f>
        <v>Sanctnary</v>
      </c>
      <c r="C7919" s="2" t="str">
        <f ca="1">IFERROR(__xludf.DUMMYFUNCTION("""COMPUTED_VALUE"""),"Neighbourhood")</f>
        <v>Neighbourhood</v>
      </c>
      <c r="D7919" s="2" t="str">
        <f ca="1">IFERROR(__xludf.DUMMYFUNCTION("""COMPUTED_VALUE"""),"Dubai&gt;DAMAC Hills 2 (Akoya by DAMAC)&gt;Sanctnary")</f>
        <v>Dubai&gt;DAMAC Hills 2 (Akoya by DAMAC)&gt;Sanctnary</v>
      </c>
      <c r="E7919" s="2"/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</row>
    <row r="7920" spans="1:26" ht="16.5" x14ac:dyDescent="0.35">
      <c r="A7920" s="2" t="str">
        <f ca="1">IFERROR(__xludf.DUMMYFUNCTION("""COMPUTED_VALUE"""),"Dubai")</f>
        <v>Dubai</v>
      </c>
      <c r="B7920" s="2" t="str">
        <f ca="1">IFERROR(__xludf.DUMMYFUNCTION("""COMPUTED_VALUE"""),"Natura")</f>
        <v>Natura</v>
      </c>
      <c r="C7920" s="2" t="str">
        <f ca="1">IFERROR(__xludf.DUMMYFUNCTION("""COMPUTED_VALUE"""),"Neighbourhood")</f>
        <v>Neighbourhood</v>
      </c>
      <c r="D7920" s="2" t="str">
        <f ca="1">IFERROR(__xludf.DUMMYFUNCTION("""COMPUTED_VALUE"""),"Dubai&gt;DAMAC Hills 2 (Akoya by DAMAC)&gt;Natura")</f>
        <v>Dubai&gt;DAMAC Hills 2 (Akoya by DAMAC)&gt;Natura</v>
      </c>
      <c r="E7920" s="2"/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</row>
    <row r="7921" spans="1:26" ht="16.5" x14ac:dyDescent="0.35">
      <c r="A7921" s="2" t="str">
        <f ca="1">IFERROR(__xludf.DUMMYFUNCTION("""COMPUTED_VALUE"""),"Dubai")</f>
        <v>Dubai</v>
      </c>
      <c r="B7921" s="2" t="str">
        <f ca="1">IFERROR(__xludf.DUMMYFUNCTION("""COMPUTED_VALUE"""),"I-03")</f>
        <v>I-03</v>
      </c>
      <c r="C7921" s="2" t="str">
        <f ca="1">IFERROR(__xludf.DUMMYFUNCTION("""COMPUTED_VALUE"""),"Building")</f>
        <v>Building</v>
      </c>
      <c r="D7921" s="2" t="str">
        <f ca="1">IFERROR(__xludf.DUMMYFUNCTION("""COMPUTED_VALUE"""),"Dubai&gt;International City&gt;Morocco Cluster&gt;I-03")</f>
        <v>Dubai&gt;International City&gt;Morocco Cluster&gt;I-03</v>
      </c>
      <c r="E7921" s="2"/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</row>
    <row r="7922" spans="1:26" ht="16.5" x14ac:dyDescent="0.35">
      <c r="A7922" s="2" t="str">
        <f ca="1">IFERROR(__xludf.DUMMYFUNCTION("""COMPUTED_VALUE"""),"Dubai")</f>
        <v>Dubai</v>
      </c>
      <c r="B7922" s="2" t="str">
        <f ca="1">IFERROR(__xludf.DUMMYFUNCTION("""COMPUTED_VALUE"""),"Warsan Village C")</f>
        <v>Warsan Village C</v>
      </c>
      <c r="C7922" s="2" t="str">
        <f ca="1">IFERROR(__xludf.DUMMYFUNCTION("""COMPUTED_VALUE"""),"Neighbourhood")</f>
        <v>Neighbourhood</v>
      </c>
      <c r="D7922" s="2" t="str">
        <f ca="1">IFERROR(__xludf.DUMMYFUNCTION("""COMPUTED_VALUE"""),"Dubai&gt;International City&gt;Warsan Village&gt;Warsan Village C")</f>
        <v>Dubai&gt;International City&gt;Warsan Village&gt;Warsan Village C</v>
      </c>
      <c r="E7922" s="2"/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</row>
    <row r="7923" spans="1:26" ht="16.5" x14ac:dyDescent="0.35">
      <c r="A7923" s="2" t="str">
        <f ca="1">IFERROR(__xludf.DUMMYFUNCTION("""COMPUTED_VALUE"""),"Dubai")</f>
        <v>Dubai</v>
      </c>
      <c r="B7923" s="2" t="str">
        <f ca="1">IFERROR(__xludf.DUMMYFUNCTION("""COMPUTED_VALUE"""),"B-07")</f>
        <v>B-07</v>
      </c>
      <c r="C7923" s="2" t="str">
        <f ca="1">IFERROR(__xludf.DUMMYFUNCTION("""COMPUTED_VALUE"""),"Building")</f>
        <v>Building</v>
      </c>
      <c r="D7923" s="2" t="str">
        <f ca="1">IFERROR(__xludf.DUMMYFUNCTION("""COMPUTED_VALUE"""),"Dubai&gt;International City&gt;China Cluster&gt;B-07")</f>
        <v>Dubai&gt;International City&gt;China Cluster&gt;B-07</v>
      </c>
      <c r="E7923" s="2"/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</row>
    <row r="7924" spans="1:26" ht="16.5" x14ac:dyDescent="0.35">
      <c r="A7924" s="2" t="str">
        <f ca="1">IFERROR(__xludf.DUMMYFUNCTION("""COMPUTED_VALUE"""),"Dubai")</f>
        <v>Dubai</v>
      </c>
      <c r="B7924" s="2" t="str">
        <f ca="1">IFERROR(__xludf.DUMMYFUNCTION("""COMPUTED_VALUE"""),"E-07")</f>
        <v>E-07</v>
      </c>
      <c r="C7924" s="2" t="str">
        <f ca="1">IFERROR(__xludf.DUMMYFUNCTION("""COMPUTED_VALUE"""),"Building")</f>
        <v>Building</v>
      </c>
      <c r="D7924" s="2" t="str">
        <f ca="1">IFERROR(__xludf.DUMMYFUNCTION("""COMPUTED_VALUE"""),"Dubai&gt;International City&gt;China Cluster&gt;E-07")</f>
        <v>Dubai&gt;International City&gt;China Cluster&gt;E-07</v>
      </c>
      <c r="E7924" s="2"/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</row>
    <row r="7925" spans="1:26" ht="16.5" x14ac:dyDescent="0.35">
      <c r="A7925" s="2" t="str">
        <f ca="1">IFERROR(__xludf.DUMMYFUNCTION("""COMPUTED_VALUE"""),"Dubai")</f>
        <v>Dubai</v>
      </c>
      <c r="B7925" s="2" t="str">
        <f ca="1">IFERROR(__xludf.DUMMYFUNCTION("""COMPUTED_VALUE"""),"Prime Residence 1")</f>
        <v>Prime Residence 1</v>
      </c>
      <c r="C7925" s="2" t="str">
        <f ca="1">IFERROR(__xludf.DUMMYFUNCTION("""COMPUTED_VALUE"""),"Building")</f>
        <v>Building</v>
      </c>
      <c r="D7925" s="2" t="str">
        <f ca="1">IFERROR(__xludf.DUMMYFUNCTION("""COMPUTED_VALUE"""),"Dubai&gt;International City&gt;Spain Cluster&gt;Prime Residence&gt;Prime Residence 1")</f>
        <v>Dubai&gt;International City&gt;Spain Cluster&gt;Prime Residence&gt;Prime Residence 1</v>
      </c>
      <c r="E7925" s="2"/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</row>
    <row r="7926" spans="1:26" ht="16.5" x14ac:dyDescent="0.35">
      <c r="A7926" s="2" t="str">
        <f ca="1">IFERROR(__xludf.DUMMYFUNCTION("""COMPUTED_VALUE"""),"Dubai")</f>
        <v>Dubai</v>
      </c>
      <c r="B7926" s="2" t="str">
        <f ca="1">IFERROR(__xludf.DUMMYFUNCTION("""COMPUTED_VALUE"""),"Indigo Optima")</f>
        <v>Indigo Optima</v>
      </c>
      <c r="C7926" s="2" t="str">
        <f ca="1">IFERROR(__xludf.DUMMYFUNCTION("""COMPUTED_VALUE"""),"Building")</f>
        <v>Building</v>
      </c>
      <c r="D7926" s="2" t="str">
        <f ca="1">IFERROR(__xludf.DUMMYFUNCTION("""COMPUTED_VALUE"""),"Dubai&gt;International City&gt;Indigo Optima")</f>
        <v>Dubai&gt;International City&gt;Indigo Optima</v>
      </c>
      <c r="E7926" s="2"/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</row>
    <row r="7927" spans="1:26" ht="16.5" x14ac:dyDescent="0.35">
      <c r="A7927" s="2" t="str">
        <f ca="1">IFERROR(__xludf.DUMMYFUNCTION("""COMPUTED_VALUE"""),"Dubai")</f>
        <v>Dubai</v>
      </c>
      <c r="B7927" s="2" t="str">
        <f ca="1">IFERROR(__xludf.DUMMYFUNCTION("""COMPUTED_VALUE"""),"V-02")</f>
        <v>V-02</v>
      </c>
      <c r="C7927" s="2" t="str">
        <f ca="1">IFERROR(__xludf.DUMMYFUNCTION("""COMPUTED_VALUE"""),"Building")</f>
        <v>Building</v>
      </c>
      <c r="D7927" s="2" t="str">
        <f ca="1">IFERROR(__xludf.DUMMYFUNCTION("""COMPUTED_VALUE"""),"Dubai&gt;International City&gt;Russia Cluster&gt;V-02")</f>
        <v>Dubai&gt;International City&gt;Russia Cluster&gt;V-02</v>
      </c>
      <c r="E7927" s="2"/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</row>
    <row r="7928" spans="1:26" ht="16.5" x14ac:dyDescent="0.35">
      <c r="A7928" s="2" t="str">
        <f ca="1">IFERROR(__xludf.DUMMYFUNCTION("""COMPUTED_VALUE"""),"Dubai")</f>
        <v>Dubai</v>
      </c>
      <c r="B7928" s="2" t="str">
        <f ca="1">IFERROR(__xludf.DUMMYFUNCTION("""COMPUTED_VALUE"""),"Al Waleed Building")</f>
        <v>Al Waleed Building</v>
      </c>
      <c r="C7928" s="2" t="str">
        <f ca="1">IFERROR(__xludf.DUMMYFUNCTION("""COMPUTED_VALUE"""),"Building")</f>
        <v>Building</v>
      </c>
      <c r="D7928" s="2" t="str">
        <f ca="1">IFERROR(__xludf.DUMMYFUNCTION("""COMPUTED_VALUE"""),"Dubai&gt;International City&gt;Al Waleed Building")</f>
        <v>Dubai&gt;International City&gt;Al Waleed Building</v>
      </c>
      <c r="E7928" s="2"/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</row>
    <row r="7929" spans="1:26" ht="16.5" x14ac:dyDescent="0.35">
      <c r="A7929" s="2" t="str">
        <f ca="1">IFERROR(__xludf.DUMMYFUNCTION("""COMPUTED_VALUE"""),"Dubai")</f>
        <v>Dubai</v>
      </c>
      <c r="B7929" s="2" t="str">
        <f ca="1">IFERROR(__xludf.DUMMYFUNCTION("""COMPUTED_VALUE"""),"Lawnz by Danube Block 4")</f>
        <v>Lawnz by Danube Block 4</v>
      </c>
      <c r="C7929" s="2" t="str">
        <f ca="1">IFERROR(__xludf.DUMMYFUNCTION("""COMPUTED_VALUE"""),"Building")</f>
        <v>Building</v>
      </c>
      <c r="D7929" s="2" t="str">
        <f ca="1">IFERROR(__xludf.DUMMYFUNCTION("""COMPUTED_VALUE"""),"Dubai&gt;International City&gt;Lawnz by Danube&gt;Lawnz by Danube Block 4")</f>
        <v>Dubai&gt;International City&gt;Lawnz by Danube&gt;Lawnz by Danube Block 4</v>
      </c>
      <c r="E7929" s="2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</row>
    <row r="7930" spans="1:26" ht="16.5" x14ac:dyDescent="0.35">
      <c r="A7930" s="2" t="str">
        <f ca="1">IFERROR(__xludf.DUMMYFUNCTION("""COMPUTED_VALUE"""),"Dubai")</f>
        <v>Dubai</v>
      </c>
      <c r="B7930" s="2" t="str">
        <f ca="1">IFERROR(__xludf.DUMMYFUNCTION("""COMPUTED_VALUE"""),"X-02")</f>
        <v>X-02</v>
      </c>
      <c r="C7930" s="2" t="str">
        <f ca="1">IFERROR(__xludf.DUMMYFUNCTION("""COMPUTED_VALUE"""),"Building")</f>
        <v>Building</v>
      </c>
      <c r="D7930" s="2" t="str">
        <f ca="1">IFERROR(__xludf.DUMMYFUNCTION("""COMPUTED_VALUE"""),"Dubai&gt;International City&gt;England Cluster&gt;X-02")</f>
        <v>Dubai&gt;International City&gt;England Cluster&gt;X-02</v>
      </c>
      <c r="E7930" s="2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</row>
    <row r="7931" spans="1:26" ht="16.5" x14ac:dyDescent="0.35">
      <c r="A7931" s="2" t="str">
        <f ca="1">IFERROR(__xludf.DUMMYFUNCTION("""COMPUTED_VALUE"""),"Dubai")</f>
        <v>Dubai</v>
      </c>
      <c r="B7931" s="2" t="str">
        <f ca="1">IFERROR(__xludf.DUMMYFUNCTION("""COMPUTED_VALUE"""),"Y-08")</f>
        <v>Y-08</v>
      </c>
      <c r="C7931" s="2" t="str">
        <f ca="1">IFERROR(__xludf.DUMMYFUNCTION("""COMPUTED_VALUE"""),"Building")</f>
        <v>Building</v>
      </c>
      <c r="D7931" s="2" t="str">
        <f ca="1">IFERROR(__xludf.DUMMYFUNCTION("""COMPUTED_VALUE"""),"Dubai&gt;International City&gt;England Cluster&gt;Y-08")</f>
        <v>Dubai&gt;International City&gt;England Cluster&gt;Y-08</v>
      </c>
      <c r="E7931" s="2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</row>
    <row r="7932" spans="1:26" ht="16.5" x14ac:dyDescent="0.35">
      <c r="A7932" s="2" t="str">
        <f ca="1">IFERROR(__xludf.DUMMYFUNCTION("""COMPUTED_VALUE"""),"Dubai")</f>
        <v>Dubai</v>
      </c>
      <c r="B7932" s="2" t="str">
        <f ca="1">IFERROR(__xludf.DUMMYFUNCTION("""COMPUTED_VALUE"""),"Berlin Group 1")</f>
        <v>Berlin Group 1</v>
      </c>
      <c r="C7932" s="2" t="str">
        <f ca="1">IFERROR(__xludf.DUMMYFUNCTION("""COMPUTED_VALUE"""),"Building")</f>
        <v>Building</v>
      </c>
      <c r="D7932" s="2" t="str">
        <f ca="1">IFERROR(__xludf.DUMMYFUNCTION("""COMPUTED_VALUE"""),"Dubai&gt;International City&gt;International City Phase 2 (Warsan 4)&gt;Berlin Group 1")</f>
        <v>Dubai&gt;International City&gt;International City Phase 2 (Warsan 4)&gt;Berlin Group 1</v>
      </c>
      <c r="E7932" s="2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</row>
    <row r="7933" spans="1:26" ht="16.5" x14ac:dyDescent="0.35">
      <c r="A7933" s="2" t="str">
        <f ca="1">IFERROR(__xludf.DUMMYFUNCTION("""COMPUTED_VALUE"""),"Dubai")</f>
        <v>Dubai</v>
      </c>
      <c r="B7933" s="2" t="str">
        <f ca="1">IFERROR(__xludf.DUMMYFUNCTION("""COMPUTED_VALUE"""),"Al Marsoumy Building")</f>
        <v>Al Marsoumy Building</v>
      </c>
      <c r="C7933" s="2" t="str">
        <f ca="1">IFERROR(__xludf.DUMMYFUNCTION("""COMPUTED_VALUE"""),"Building")</f>
        <v>Building</v>
      </c>
      <c r="D7933" s="2" t="str">
        <f ca="1">IFERROR(__xludf.DUMMYFUNCTION("""COMPUTED_VALUE"""),"Dubai&gt;International City&gt;International City Phase 2 (Warsan 4)&gt;Al Marsoumy Building")</f>
        <v>Dubai&gt;International City&gt;International City Phase 2 (Warsan 4)&gt;Al Marsoumy Building</v>
      </c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</row>
    <row r="7934" spans="1:26" ht="16.5" x14ac:dyDescent="0.35">
      <c r="A7934" s="2" t="str">
        <f ca="1">IFERROR(__xludf.DUMMYFUNCTION("""COMPUTED_VALUE"""),"Dubai")</f>
        <v>Dubai</v>
      </c>
      <c r="B7934" s="2" t="str">
        <f ca="1">IFERROR(__xludf.DUMMYFUNCTION("""COMPUTED_VALUE"""),"Equiti Apartments")</f>
        <v>Equiti Apartments</v>
      </c>
      <c r="C7934" s="2" t="str">
        <f ca="1">IFERROR(__xludf.DUMMYFUNCTION("""COMPUTED_VALUE"""),"Building")</f>
        <v>Building</v>
      </c>
      <c r="D7934" s="2" t="str">
        <f ca="1">IFERROR(__xludf.DUMMYFUNCTION("""COMPUTED_VALUE"""),"Dubai&gt;International City&gt;International City Phase 2 (Warsan 4)&gt;Equiti Apartments")</f>
        <v>Dubai&gt;International City&gt;International City Phase 2 (Warsan 4)&gt;Equiti Apartments</v>
      </c>
      <c r="E7934" s="2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</row>
    <row r="7935" spans="1:26" ht="16.5" x14ac:dyDescent="0.35">
      <c r="A7935" s="2" t="str">
        <f ca="1">IFERROR(__xludf.DUMMYFUNCTION("""COMPUTED_VALUE"""),"Dubai")</f>
        <v>Dubai</v>
      </c>
      <c r="B7935" s="2" t="str">
        <f ca="1">IFERROR(__xludf.DUMMYFUNCTION("""COMPUTED_VALUE"""),"Mayflower Residences")</f>
        <v>Mayflower Residences</v>
      </c>
      <c r="C7935" s="2" t="str">
        <f ca="1">IFERROR(__xludf.DUMMYFUNCTION("""COMPUTED_VALUE"""),"Building")</f>
        <v>Building</v>
      </c>
      <c r="D7935" s="2" t="str">
        <f ca="1">IFERROR(__xludf.DUMMYFUNCTION("""COMPUTED_VALUE"""),"Dubai&gt;International City&gt;International City Phase 2 (Warsan 4)&gt;Mayflower Residences")</f>
        <v>Dubai&gt;International City&gt;International City Phase 2 (Warsan 4)&gt;Mayflower Residences</v>
      </c>
      <c r="E7935" s="2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</row>
    <row r="7936" spans="1:26" ht="16.5" x14ac:dyDescent="0.35">
      <c r="A7936" s="2" t="str">
        <f ca="1">IFERROR(__xludf.DUMMYFUNCTION("""COMPUTED_VALUE"""),"Dubai")</f>
        <v>Dubai</v>
      </c>
      <c r="B7936" s="2" t="str">
        <f ca="1">IFERROR(__xludf.DUMMYFUNCTION("""COMPUTED_VALUE"""),"Sandy Garden")</f>
        <v>Sandy Garden</v>
      </c>
      <c r="C7936" s="2" t="str">
        <f ca="1">IFERROR(__xludf.DUMMYFUNCTION("""COMPUTED_VALUE"""),"Building")</f>
        <v>Building</v>
      </c>
      <c r="D7936" s="2" t="str">
        <f ca="1">IFERROR(__xludf.DUMMYFUNCTION("""COMPUTED_VALUE"""),"Dubai&gt;International City&gt;International City Phase 2 (Warsan 4)&gt;Sandy Garden")</f>
        <v>Dubai&gt;International City&gt;International City Phase 2 (Warsan 4)&gt;Sandy Garden</v>
      </c>
      <c r="E7936" s="2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</row>
    <row r="7937" spans="1:26" ht="16.5" x14ac:dyDescent="0.35">
      <c r="A7937" s="2" t="str">
        <f ca="1">IFERROR(__xludf.DUMMYFUNCTION("""COMPUTED_VALUE"""),"Dubai")</f>
        <v>Dubai</v>
      </c>
      <c r="B7937" s="2" t="str">
        <f ca="1">IFERROR(__xludf.DUMMYFUNCTION("""COMPUTED_VALUE"""),"L-04")</f>
        <v>L-04</v>
      </c>
      <c r="C7937" s="2" t="str">
        <f ca="1">IFERROR(__xludf.DUMMYFUNCTION("""COMPUTED_VALUE"""),"Building")</f>
        <v>Building</v>
      </c>
      <c r="D7937" s="2" t="str">
        <f ca="1">IFERROR(__xludf.DUMMYFUNCTION("""COMPUTED_VALUE"""),"Dubai&gt;International City&gt;Greece Cluster&gt;L-04")</f>
        <v>Dubai&gt;International City&gt;Greece Cluster&gt;L-04</v>
      </c>
      <c r="E7937" s="2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</row>
    <row r="7938" spans="1:26" ht="16.5" x14ac:dyDescent="0.35">
      <c r="A7938" s="2" t="str">
        <f ca="1">IFERROR(__xludf.DUMMYFUNCTION("""COMPUTED_VALUE"""),"Dubai")</f>
        <v>Dubai</v>
      </c>
      <c r="B7938" s="2" t="str">
        <f ca="1">IFERROR(__xludf.DUMMYFUNCTION("""COMPUTED_VALUE"""),"P-11")</f>
        <v>P-11</v>
      </c>
      <c r="C7938" s="2" t="str">
        <f ca="1">IFERROR(__xludf.DUMMYFUNCTION("""COMPUTED_VALUE"""),"Building")</f>
        <v>Building</v>
      </c>
      <c r="D7938" s="2" t="str">
        <f ca="1">IFERROR(__xludf.DUMMYFUNCTION("""COMPUTED_VALUE"""),"Dubai&gt;International City&gt;France Cluster&gt;P-11")</f>
        <v>Dubai&gt;International City&gt;France Cluster&gt;P-11</v>
      </c>
      <c r="E7938" s="2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</row>
    <row r="7939" spans="1:26" ht="16.5" x14ac:dyDescent="0.35">
      <c r="A7939" s="2" t="str">
        <f ca="1">IFERROR(__xludf.DUMMYFUNCTION("""COMPUTED_VALUE"""),"Dubai")</f>
        <v>Dubai</v>
      </c>
      <c r="B7939" s="2" t="str">
        <f ca="1">IFERROR(__xludf.DUMMYFUNCTION("""COMPUTED_VALUE"""),"R-20")</f>
        <v>R-20</v>
      </c>
      <c r="C7939" s="2" t="str">
        <f ca="1">IFERROR(__xludf.DUMMYFUNCTION("""COMPUTED_VALUE"""),"Building")</f>
        <v>Building</v>
      </c>
      <c r="D7939" s="2" t="str">
        <f ca="1">IFERROR(__xludf.DUMMYFUNCTION("""COMPUTED_VALUE"""),"Dubai&gt;International City&gt;France Cluster&gt;R-20")</f>
        <v>Dubai&gt;International City&gt;France Cluster&gt;R-20</v>
      </c>
      <c r="E7939" s="2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</row>
    <row r="7940" spans="1:26" ht="16.5" x14ac:dyDescent="0.35">
      <c r="A7940" s="2" t="str">
        <f ca="1">IFERROR(__xludf.DUMMYFUNCTION("""COMPUTED_VALUE"""),"Dubai")</f>
        <v>Dubai</v>
      </c>
      <c r="B7940" s="2" t="str">
        <f ca="1">IFERROR(__xludf.DUMMYFUNCTION("""COMPUTED_VALUE"""),"Universal Apartments")</f>
        <v>Universal Apartments</v>
      </c>
      <c r="C7940" s="2" t="str">
        <f ca="1">IFERROR(__xludf.DUMMYFUNCTION("""COMPUTED_VALUE"""),"Building")</f>
        <v>Building</v>
      </c>
      <c r="D7940" s="2" t="str">
        <f ca="1">IFERROR(__xludf.DUMMYFUNCTION("""COMPUTED_VALUE"""),"Dubai&gt;International City&gt;Central Business District&gt;Universal Apartments")</f>
        <v>Dubai&gt;International City&gt;Central Business District&gt;Universal Apartments</v>
      </c>
      <c r="E7940" s="2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</row>
    <row r="7941" spans="1:26" ht="16.5" x14ac:dyDescent="0.35">
      <c r="A7941" s="2" t="str">
        <f ca="1">IFERROR(__xludf.DUMMYFUNCTION("""COMPUTED_VALUE"""),"Dubai")</f>
        <v>Dubai</v>
      </c>
      <c r="B7941" s="2" t="str">
        <f ca="1">IFERROR(__xludf.DUMMYFUNCTION("""COMPUTED_VALUE"""),"Belvedere Building")</f>
        <v>Belvedere Building</v>
      </c>
      <c r="C7941" s="2" t="str">
        <f ca="1">IFERROR(__xludf.DUMMYFUNCTION("""COMPUTED_VALUE"""),"Building")</f>
        <v>Building</v>
      </c>
      <c r="D7941" s="2" t="str">
        <f ca="1">IFERROR(__xludf.DUMMYFUNCTION("""COMPUTED_VALUE"""),"Dubai&gt;International City&gt;Central Business District&gt;Belvedere Building")</f>
        <v>Dubai&gt;International City&gt;Central Business District&gt;Belvedere Building</v>
      </c>
      <c r="E7941" s="2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</row>
    <row r="7942" spans="1:26" ht="16.5" x14ac:dyDescent="0.35">
      <c r="A7942" s="2" t="str">
        <f ca="1">IFERROR(__xludf.DUMMYFUNCTION("""COMPUTED_VALUE"""),"Dubai")</f>
        <v>Dubai</v>
      </c>
      <c r="B7942" s="2" t="str">
        <f ca="1">IFERROR(__xludf.DUMMYFUNCTION("""COMPUTED_VALUE"""),"5242 Podium")</f>
        <v>5242 Podium</v>
      </c>
      <c r="C7942" s="2" t="str">
        <f ca="1">IFERROR(__xludf.DUMMYFUNCTION("""COMPUTED_VALUE"""),"Building")</f>
        <v>Building</v>
      </c>
      <c r="D7942" s="2" t="str">
        <f ca="1">IFERROR(__xludf.DUMMYFUNCTION("""COMPUTED_VALUE"""),"Dubai&gt;Dubai Marina&gt;5242 Towers&gt;5242 Podium")</f>
        <v>Dubai&gt;Dubai Marina&gt;5242 Towers&gt;5242 Podium</v>
      </c>
      <c r="E7942" s="2"/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</row>
    <row r="7943" spans="1:26" ht="16.5" x14ac:dyDescent="0.35">
      <c r="A7943" s="2" t="str">
        <f ca="1">IFERROR(__xludf.DUMMYFUNCTION("""COMPUTED_VALUE"""),"Dubai")</f>
        <v>Dubai</v>
      </c>
      <c r="B7943" s="2" t="str">
        <f ca="1">IFERROR(__xludf.DUMMYFUNCTION("""COMPUTED_VALUE"""),"Al Majara 3")</f>
        <v>Al Majara 3</v>
      </c>
      <c r="C7943" s="2" t="str">
        <f ca="1">IFERROR(__xludf.DUMMYFUNCTION("""COMPUTED_VALUE"""),"Building")</f>
        <v>Building</v>
      </c>
      <c r="D7943" s="2" t="str">
        <f ca="1">IFERROR(__xludf.DUMMYFUNCTION("""COMPUTED_VALUE"""),"Dubai&gt;Dubai Marina&gt;Al Majara&gt;Al Majara 3")</f>
        <v>Dubai&gt;Dubai Marina&gt;Al Majara&gt;Al Majara 3</v>
      </c>
      <c r="E7943" s="2"/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</row>
    <row r="7944" spans="1:26" ht="16.5" x14ac:dyDescent="0.35">
      <c r="A7944" s="2" t="str">
        <f ca="1">IFERROR(__xludf.DUMMYFUNCTION("""COMPUTED_VALUE"""),"Dubai")</f>
        <v>Dubai</v>
      </c>
      <c r="B7944" s="2" t="str">
        <f ca="1">IFERROR(__xludf.DUMMYFUNCTION("""COMPUTED_VALUE"""),"Dubai Marina Walk")</f>
        <v>Dubai Marina Walk</v>
      </c>
      <c r="C7944" s="2" t="str">
        <f ca="1">IFERROR(__xludf.DUMMYFUNCTION("""COMPUTED_VALUE"""),"Landmark")</f>
        <v>Landmark</v>
      </c>
      <c r="D7944" s="2" t="str">
        <f ca="1">IFERROR(__xludf.DUMMYFUNCTION("""COMPUTED_VALUE"""),"Dubai&gt;Dubai Marina&gt;Dubai Marina Walk")</f>
        <v>Dubai&gt;Dubai Marina&gt;Dubai Marina Walk</v>
      </c>
      <c r="E7944" s="2"/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</row>
    <row r="7945" spans="1:26" ht="16.5" x14ac:dyDescent="0.35">
      <c r="A7945" s="2" t="str">
        <f ca="1">IFERROR(__xludf.DUMMYFUNCTION("""COMPUTED_VALUE"""),"Dubai")</f>
        <v>Dubai</v>
      </c>
      <c r="B7945" s="2" t="str">
        <f ca="1">IFERROR(__xludf.DUMMYFUNCTION("""COMPUTED_VALUE"""),"Vida Residences Dubai Marina")</f>
        <v>Vida Residences Dubai Marina</v>
      </c>
      <c r="C7945" s="2" t="str">
        <f ca="1">IFERROR(__xludf.DUMMYFUNCTION("""COMPUTED_VALUE"""),"Building")</f>
        <v>Building</v>
      </c>
      <c r="D7945" s="2" t="str">
        <f ca="1">IFERROR(__xludf.DUMMYFUNCTION("""COMPUTED_VALUE"""),"Dubai&gt;Dubai Marina&gt;Vida Residences Dubai Marina")</f>
        <v>Dubai&gt;Dubai Marina&gt;Vida Residences Dubai Marina</v>
      </c>
      <c r="E7945" s="2"/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</row>
    <row r="7946" spans="1:26" ht="16.5" x14ac:dyDescent="0.35">
      <c r="A7946" s="2" t="str">
        <f ca="1">IFERROR(__xludf.DUMMYFUNCTION("""COMPUTED_VALUE"""),"Dubai")</f>
        <v>Dubai</v>
      </c>
      <c r="B7946" s="2" t="str">
        <f ca="1">IFERROR(__xludf.DUMMYFUNCTION("""COMPUTED_VALUE"""),"The Torch")</f>
        <v>The Torch</v>
      </c>
      <c r="C7946" s="2" t="str">
        <f ca="1">IFERROR(__xludf.DUMMYFUNCTION("""COMPUTED_VALUE"""),"Building")</f>
        <v>Building</v>
      </c>
      <c r="D7946" s="2" t="str">
        <f ca="1">IFERROR(__xludf.DUMMYFUNCTION("""COMPUTED_VALUE"""),"Dubai&gt;Dubai Marina&gt;The Torch")</f>
        <v>Dubai&gt;Dubai Marina&gt;The Torch</v>
      </c>
      <c r="E7946" s="2"/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</row>
    <row r="7947" spans="1:26" ht="16.5" x14ac:dyDescent="0.35">
      <c r="A7947" s="2" t="str">
        <f ca="1">IFERROR(__xludf.DUMMYFUNCTION("""COMPUTED_VALUE"""),"Dubai")</f>
        <v>Dubai</v>
      </c>
      <c r="B7947" s="2" t="str">
        <f ca="1">IFERROR(__xludf.DUMMYFUNCTION("""COMPUTED_VALUE"""),"Marina Shores")</f>
        <v>Marina Shores</v>
      </c>
      <c r="C7947" s="2" t="str">
        <f ca="1">IFERROR(__xludf.DUMMYFUNCTION("""COMPUTED_VALUE"""),"Building")</f>
        <v>Building</v>
      </c>
      <c r="D7947" s="2" t="str">
        <f ca="1">IFERROR(__xludf.DUMMYFUNCTION("""COMPUTED_VALUE"""),"Dubai&gt;Dubai Marina&gt;Marina Shores")</f>
        <v>Dubai&gt;Dubai Marina&gt;Marina Shores</v>
      </c>
      <c r="E7947" s="2"/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</row>
    <row r="7948" spans="1:26" ht="16.5" x14ac:dyDescent="0.35">
      <c r="A7948" s="2" t="str">
        <f ca="1">IFERROR(__xludf.DUMMYFUNCTION("""COMPUTED_VALUE"""),"Dubai")</f>
        <v>Dubai</v>
      </c>
      <c r="B7948" s="2" t="str">
        <f ca="1">IFERROR(__xludf.DUMMYFUNCTION("""COMPUTED_VALUE"""),"Sparkle Tower 3")</f>
        <v>Sparkle Tower 3</v>
      </c>
      <c r="C7948" s="2" t="str">
        <f ca="1">IFERROR(__xludf.DUMMYFUNCTION("""COMPUTED_VALUE"""),"Building")</f>
        <v>Building</v>
      </c>
      <c r="D7948" s="2" t="str">
        <f ca="1">IFERROR(__xludf.DUMMYFUNCTION("""COMPUTED_VALUE"""),"Dubai&gt;Dubai Marina&gt;Sparkle Towers&gt;Sparkle Tower 3")</f>
        <v>Dubai&gt;Dubai Marina&gt;Sparkle Towers&gt;Sparkle Tower 3</v>
      </c>
      <c r="E7948" s="2"/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</row>
    <row r="7949" spans="1:26" ht="16.5" x14ac:dyDescent="0.35">
      <c r="A7949" s="2" t="str">
        <f ca="1">IFERROR(__xludf.DUMMYFUNCTION("""COMPUTED_VALUE"""),"Dubai")</f>
        <v>Dubai</v>
      </c>
      <c r="B7949" s="2" t="str">
        <f ca="1">IFERROR(__xludf.DUMMYFUNCTION("""COMPUTED_VALUE"""),"Jenna Main Square 2")</f>
        <v>Jenna Main Square 2</v>
      </c>
      <c r="C7949" s="2" t="str">
        <f ca="1">IFERROR(__xludf.DUMMYFUNCTION("""COMPUTED_VALUE"""),"Building")</f>
        <v>Building</v>
      </c>
      <c r="D7949" s="2" t="str">
        <f ca="1">IFERROR(__xludf.DUMMYFUNCTION("""COMPUTED_VALUE"""),"Dubai&gt;Town Square&gt;Jenna Main Square&gt;Jenna Main Square 2")</f>
        <v>Dubai&gt;Town Square&gt;Jenna Main Square&gt;Jenna Main Square 2</v>
      </c>
      <c r="E7949" s="2"/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</row>
    <row r="7950" spans="1:26" ht="16.5" x14ac:dyDescent="0.35">
      <c r="A7950" s="2" t="str">
        <f ca="1">IFERROR(__xludf.DUMMYFUNCTION("""COMPUTED_VALUE"""),"Dubai")</f>
        <v>Dubai</v>
      </c>
      <c r="B7950" s="2" t="str">
        <f ca="1">IFERROR(__xludf.DUMMYFUNCTION("""COMPUTED_VALUE"""),"Safi Townhouses")</f>
        <v>Safi Townhouses</v>
      </c>
      <c r="C7950" s="2" t="str">
        <f ca="1">IFERROR(__xludf.DUMMYFUNCTION("""COMPUTED_VALUE"""),"Neighbourhood")</f>
        <v>Neighbourhood</v>
      </c>
      <c r="D7950" s="2" t="str">
        <f ca="1">IFERROR(__xludf.DUMMYFUNCTION("""COMPUTED_VALUE"""),"Dubai&gt;Town Square&gt;Safi Townhouses")</f>
        <v>Dubai&gt;Town Square&gt;Safi Townhouses</v>
      </c>
      <c r="E7950" s="2"/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</row>
    <row r="7951" spans="1:26" ht="16.5" x14ac:dyDescent="0.35">
      <c r="A7951" s="2" t="str">
        <f ca="1">IFERROR(__xludf.DUMMYFUNCTION("""COMPUTED_VALUE"""),"Dubai")</f>
        <v>Dubai</v>
      </c>
      <c r="B7951" s="2" t="str">
        <f ca="1">IFERROR(__xludf.DUMMYFUNCTION("""COMPUTED_VALUE"""),"Savannah")</f>
        <v>Savannah</v>
      </c>
      <c r="C7951" s="2" t="str">
        <f ca="1">IFERROR(__xludf.DUMMYFUNCTION("""COMPUTED_VALUE"""),"Building")</f>
        <v>Building</v>
      </c>
      <c r="D7951" s="2" t="str">
        <f ca="1">IFERROR(__xludf.DUMMYFUNCTION("""COMPUTED_VALUE"""),"Dubai&gt;Town Square&gt;Savannah")</f>
        <v>Dubai&gt;Town Square&gt;Savannah</v>
      </c>
      <c r="E7951" s="2"/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</row>
    <row r="7952" spans="1:26" ht="16.5" x14ac:dyDescent="0.35">
      <c r="A7952" s="2" t="str">
        <f ca="1">IFERROR(__xludf.DUMMYFUNCTION("""COMPUTED_VALUE"""),"Dubai")</f>
        <v>Dubai</v>
      </c>
      <c r="B7952" s="2" t="str">
        <f ca="1">IFERROR(__xludf.DUMMYFUNCTION("""COMPUTED_VALUE"""),"Murano Residences 3")</f>
        <v>Murano Residences 3</v>
      </c>
      <c r="C7952" s="2" t="str">
        <f ca="1">IFERROR(__xludf.DUMMYFUNCTION("""COMPUTED_VALUE"""),"Building")</f>
        <v>Building</v>
      </c>
      <c r="D7952" s="2" t="str">
        <f ca="1">IFERROR(__xludf.DUMMYFUNCTION("""COMPUTED_VALUE"""),"Dubai&gt;Al Furjan&gt;Murano Residences&gt;Murano Residences 3")</f>
        <v>Dubai&gt;Al Furjan&gt;Murano Residences&gt;Murano Residences 3</v>
      </c>
      <c r="E7952" s="2"/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</row>
    <row r="7953" spans="1:26" ht="16.5" x14ac:dyDescent="0.35">
      <c r="A7953" s="2" t="str">
        <f ca="1">IFERROR(__xludf.DUMMYFUNCTION("""COMPUTED_VALUE"""),"Dubai")</f>
        <v>Dubai</v>
      </c>
      <c r="B7953" s="2" t="str">
        <f ca="1">IFERROR(__xludf.DUMMYFUNCTION("""COMPUTED_VALUE"""),"Kingdom Villas")</f>
        <v>Kingdom Villas</v>
      </c>
      <c r="C7953" s="2" t="str">
        <f ca="1">IFERROR(__xludf.DUMMYFUNCTION("""COMPUTED_VALUE"""),"Neighbourhood")</f>
        <v>Neighbourhood</v>
      </c>
      <c r="D7953" s="2" t="str">
        <f ca="1">IFERROR(__xludf.DUMMYFUNCTION("""COMPUTED_VALUE"""),"Dubai&gt;Al Furjan&gt;Al Furjan West&gt;Kingdom Villas")</f>
        <v>Dubai&gt;Al Furjan&gt;Al Furjan West&gt;Kingdom Villas</v>
      </c>
      <c r="E7953" s="2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</row>
    <row r="7954" spans="1:26" ht="16.5" x14ac:dyDescent="0.35">
      <c r="A7954" s="2" t="str">
        <f ca="1">IFERROR(__xludf.DUMMYFUNCTION("""COMPUTED_VALUE"""),"Dubai")</f>
        <v>Dubai</v>
      </c>
      <c r="B7954" s="2" t="str">
        <f ca="1">IFERROR(__xludf.DUMMYFUNCTION("""COMPUTED_VALUE"""),"Masakin Al Furjan Block A")</f>
        <v>Masakin Al Furjan Block A</v>
      </c>
      <c r="C7954" s="2" t="str">
        <f ca="1">IFERROR(__xludf.DUMMYFUNCTION("""COMPUTED_VALUE"""),"Building")</f>
        <v>Building</v>
      </c>
      <c r="D7954" s="2" t="str">
        <f ca="1">IFERROR(__xludf.DUMMYFUNCTION("""COMPUTED_VALUE"""),"Dubai&gt;Al Furjan&gt;Masakin Al Furjan&gt;Masakin Al Furjan Block A")</f>
        <v>Dubai&gt;Al Furjan&gt;Masakin Al Furjan&gt;Masakin Al Furjan Block A</v>
      </c>
      <c r="E7954" s="2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</row>
    <row r="7955" spans="1:26" ht="16.5" x14ac:dyDescent="0.35">
      <c r="A7955" s="2" t="str">
        <f ca="1">IFERROR(__xludf.DUMMYFUNCTION("""COMPUTED_VALUE"""),"Dubai")</f>
        <v>Dubai</v>
      </c>
      <c r="B7955" s="2" t="str">
        <f ca="1">IFERROR(__xludf.DUMMYFUNCTION("""COMPUTED_VALUE"""),"Trussardi Residences")</f>
        <v>Trussardi Residences</v>
      </c>
      <c r="C7955" s="2" t="str">
        <f ca="1">IFERROR(__xludf.DUMMYFUNCTION("""COMPUTED_VALUE"""),"Building")</f>
        <v>Building</v>
      </c>
      <c r="D7955" s="2" t="str">
        <f ca="1">IFERROR(__xludf.DUMMYFUNCTION("""COMPUTED_VALUE"""),"Dubai&gt;Al Furjan&gt;Trussardi Residences")</f>
        <v>Dubai&gt;Al Furjan&gt;Trussardi Residences</v>
      </c>
      <c r="E7955" s="2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</row>
    <row r="7956" spans="1:26" ht="16.5" x14ac:dyDescent="0.35">
      <c r="A7956" s="2" t="str">
        <f ca="1">IFERROR(__xludf.DUMMYFUNCTION("""COMPUTED_VALUE"""),"Dubai")</f>
        <v>Dubai</v>
      </c>
      <c r="B7956" s="2" t="str">
        <f ca="1">IFERROR(__xludf.DUMMYFUNCTION("""COMPUTED_VALUE"""),"Cubital Heights 2")</f>
        <v>Cubital Heights 2</v>
      </c>
      <c r="C7956" s="2" t="str">
        <f ca="1">IFERROR(__xludf.DUMMYFUNCTION("""COMPUTED_VALUE"""),"Building")</f>
        <v>Building</v>
      </c>
      <c r="D7956" s="2" t="str">
        <f ca="1">IFERROR(__xludf.DUMMYFUNCTION("""COMPUTED_VALUE"""),"Dubai&gt;Al Furjan&gt;Cubital Heights 2")</f>
        <v>Dubai&gt;Al Furjan&gt;Cubital Heights 2</v>
      </c>
      <c r="E7956" s="2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</row>
    <row r="7957" spans="1:26" ht="16.5" x14ac:dyDescent="0.35">
      <c r="A7957" s="2" t="str">
        <f ca="1">IFERROR(__xludf.DUMMYFUNCTION("""COMPUTED_VALUE"""),"Dubai")</f>
        <v>Dubai</v>
      </c>
      <c r="B7957" s="2" t="str">
        <f ca="1">IFERROR(__xludf.DUMMYFUNCTION("""COMPUTED_VALUE"""),"Tonino Lamborghini 3")</f>
        <v>Tonino Lamborghini 3</v>
      </c>
      <c r="C7957" s="2" t="str">
        <f ca="1">IFERROR(__xludf.DUMMYFUNCTION("""COMPUTED_VALUE"""),"Building")</f>
        <v>Building</v>
      </c>
      <c r="D7957" s="2" t="str">
        <f ca="1">IFERROR(__xludf.DUMMYFUNCTION("""COMPUTED_VALUE"""),"Dubai&gt;Meydan City&gt;Tonino Lamborghini Residences&gt;Tonino Lamborghini 3")</f>
        <v>Dubai&gt;Meydan City&gt;Tonino Lamborghini Residences&gt;Tonino Lamborghini 3</v>
      </c>
      <c r="E7957" s="2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</row>
    <row r="7958" spans="1:26" ht="16.5" x14ac:dyDescent="0.35">
      <c r="A7958" s="2" t="str">
        <f ca="1">IFERROR(__xludf.DUMMYFUNCTION("""COMPUTED_VALUE"""),"Dubai")</f>
        <v>Dubai</v>
      </c>
      <c r="B7958" s="2" t="str">
        <f ca="1">IFERROR(__xludf.DUMMYFUNCTION("""COMPUTED_VALUE"""),"Azizi Riviera 8")</f>
        <v>Azizi Riviera 8</v>
      </c>
      <c r="C7958" s="2" t="str">
        <f ca="1">IFERROR(__xludf.DUMMYFUNCTION("""COMPUTED_VALUE"""),"Building")</f>
        <v>Building</v>
      </c>
      <c r="D7958" s="2" t="str">
        <f ca="1">IFERROR(__xludf.DUMMYFUNCTION("""COMPUTED_VALUE"""),"Dubai&gt;Meydan City&gt;Meydan One&gt;Azizi Riviera&gt;Azizi Riviera 8")</f>
        <v>Dubai&gt;Meydan City&gt;Meydan One&gt;Azizi Riviera&gt;Azizi Riviera 8</v>
      </c>
      <c r="E7958" s="2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</row>
    <row r="7959" spans="1:26" ht="16.5" x14ac:dyDescent="0.35">
      <c r="A7959" s="2" t="str">
        <f ca="1">IFERROR(__xludf.DUMMYFUNCTION("""COMPUTED_VALUE"""),"Dubai")</f>
        <v>Dubai</v>
      </c>
      <c r="B7959" s="2" t="str">
        <f ca="1">IFERROR(__xludf.DUMMYFUNCTION("""COMPUTED_VALUE"""),"Azizi Riviera 44")</f>
        <v>Azizi Riviera 44</v>
      </c>
      <c r="C7959" s="2" t="str">
        <f ca="1">IFERROR(__xludf.DUMMYFUNCTION("""COMPUTED_VALUE"""),"Building")</f>
        <v>Building</v>
      </c>
      <c r="D7959" s="2" t="str">
        <f ca="1">IFERROR(__xludf.DUMMYFUNCTION("""COMPUTED_VALUE"""),"Dubai&gt;Meydan City&gt;Meydan One&gt;Azizi Riviera&gt;Azizi Riviera 44")</f>
        <v>Dubai&gt;Meydan City&gt;Meydan One&gt;Azizi Riviera&gt;Azizi Riviera 44</v>
      </c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</row>
    <row r="7960" spans="1:26" ht="16.5" x14ac:dyDescent="0.35">
      <c r="A7960" s="2" t="str">
        <f ca="1">IFERROR(__xludf.DUMMYFUNCTION("""COMPUTED_VALUE"""),"Dubai")</f>
        <v>Dubai</v>
      </c>
      <c r="B7960" s="2" t="str">
        <f ca="1">IFERROR(__xludf.DUMMYFUNCTION("""COMPUTED_VALUE"""),"Royal Manor")</f>
        <v>Royal Manor</v>
      </c>
      <c r="C7960" s="2" t="str">
        <f ca="1">IFERROR(__xludf.DUMMYFUNCTION("""COMPUTED_VALUE"""),"Building")</f>
        <v>Building</v>
      </c>
      <c r="D7960" s="2" t="str">
        <f ca="1">IFERROR(__xludf.DUMMYFUNCTION("""COMPUTED_VALUE"""),"Dubai&gt;Meydan City&gt;Meydan Avenue&gt;Royal Manor")</f>
        <v>Dubai&gt;Meydan City&gt;Meydan Avenue&gt;Royal Manor</v>
      </c>
      <c r="E7960" s="2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</row>
    <row r="7961" spans="1:26" ht="16.5" x14ac:dyDescent="0.35">
      <c r="A7961" s="2" t="str">
        <f ca="1">IFERROR(__xludf.DUMMYFUNCTION("""COMPUTED_VALUE"""),"Dubai")</f>
        <v>Dubai</v>
      </c>
      <c r="B7961" s="2" t="str">
        <f ca="1">IFERROR(__xludf.DUMMYFUNCTION("""COMPUTED_VALUE"""),"Polo Residence E4")</f>
        <v>Polo Residence E4</v>
      </c>
      <c r="C7961" s="2" t="str">
        <f ca="1">IFERROR(__xludf.DUMMYFUNCTION("""COMPUTED_VALUE"""),"Building")</f>
        <v>Building</v>
      </c>
      <c r="D7961" s="2" t="str">
        <f ca="1">IFERROR(__xludf.DUMMYFUNCTION("""COMPUTED_VALUE"""),"Dubai&gt;Meydan City&gt;Meydan Avenue&gt;Polo Residence&gt;Polo Residence E4")</f>
        <v>Dubai&gt;Meydan City&gt;Meydan Avenue&gt;Polo Residence&gt;Polo Residence E4</v>
      </c>
      <c r="E7961" s="2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</row>
    <row r="7962" spans="1:26" ht="16.5" x14ac:dyDescent="0.35">
      <c r="A7962" s="2" t="str">
        <f ca="1">IFERROR(__xludf.DUMMYFUNCTION("""COMPUTED_VALUE"""),"Dubai")</f>
        <v>Dubai</v>
      </c>
      <c r="B7962" s="2" t="str">
        <f ca="1">IFERROR(__xludf.DUMMYFUNCTION("""COMPUTED_VALUE"""),"Park Avenue III (Azizi Greenfield)")</f>
        <v>Park Avenue III (Azizi Greenfield)</v>
      </c>
      <c r="C7962" s="2" t="str">
        <f ca="1">IFERROR(__xludf.DUMMYFUNCTION("""COMPUTED_VALUE"""),"Building")</f>
        <v>Building</v>
      </c>
      <c r="D7962" s="2" t="str">
        <f ca="1">IFERROR(__xludf.DUMMYFUNCTION("""COMPUTED_VALUE"""),"Dubai&gt;Meydan City&gt;Park Avenue III (Azizi Greenfield)")</f>
        <v>Dubai&gt;Meydan City&gt;Park Avenue III (Azizi Greenfield)</v>
      </c>
      <c r="E7962" s="2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</row>
    <row r="7963" spans="1:26" ht="16.5" x14ac:dyDescent="0.35">
      <c r="A7963" s="2" t="str">
        <f ca="1">IFERROR(__xludf.DUMMYFUNCTION("""COMPUTED_VALUE"""),"Dubai")</f>
        <v>Dubai</v>
      </c>
      <c r="B7963" s="2" t="str">
        <f ca="1">IFERROR(__xludf.DUMMYFUNCTION("""COMPUTED_VALUE"""),"Al Ghozlan 4")</f>
        <v>Al Ghozlan 4</v>
      </c>
      <c r="C7963" s="2" t="str">
        <f ca="1">IFERROR(__xludf.DUMMYFUNCTION("""COMPUTED_VALUE"""),"Building")</f>
        <v>Building</v>
      </c>
      <c r="D7963" s="2" t="str">
        <f ca="1">IFERROR(__xludf.DUMMYFUNCTION("""COMPUTED_VALUE"""),"Dubai&gt;The Greens&gt;Al Ghozlan&gt;Al Ghozlan 4")</f>
        <v>Dubai&gt;The Greens&gt;Al Ghozlan&gt;Al Ghozlan 4</v>
      </c>
      <c r="E7963" s="2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</row>
    <row r="7964" spans="1:26" ht="16.5" x14ac:dyDescent="0.35">
      <c r="A7964" s="2" t="str">
        <f ca="1">IFERROR(__xludf.DUMMYFUNCTION("""COMPUTED_VALUE"""),"Dubai")</f>
        <v>Dubai</v>
      </c>
      <c r="B7964" s="2" t="str">
        <f ca="1">IFERROR(__xludf.DUMMYFUNCTION("""COMPUTED_VALUE"""),"Kids Kingdom Nurser IMPZ")</f>
        <v>Kids Kingdom Nurser IMPZ</v>
      </c>
      <c r="C7964" s="2" t="str">
        <f ca="1">IFERROR(__xludf.DUMMYFUNCTION("""COMPUTED_VALUE"""),"Nursery")</f>
        <v>Nursery</v>
      </c>
      <c r="D7964" s="2" t="str">
        <f ca="1">IFERROR(__xludf.DUMMYFUNCTION("""COMPUTED_VALUE"""),"Dubai&gt;Dubai Production City (IMPZ)&gt;Kids Kingdom Nurser IMPZ")</f>
        <v>Dubai&gt;Dubai Production City (IMPZ)&gt;Kids Kingdom Nurser IMPZ</v>
      </c>
      <c r="E7964" s="2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</row>
    <row r="7965" spans="1:26" ht="16.5" x14ac:dyDescent="0.35">
      <c r="A7965" s="2" t="str">
        <f ca="1">IFERROR(__xludf.DUMMYFUNCTION("""COMPUTED_VALUE"""),"Dubai")</f>
        <v>Dubai</v>
      </c>
      <c r="B7965" s="2" t="str">
        <f ca="1">IFERROR(__xludf.DUMMYFUNCTION("""COMPUTED_VALUE"""),"Afnan 2")</f>
        <v>Afnan 2</v>
      </c>
      <c r="C7965" s="2" t="str">
        <f ca="1">IFERROR(__xludf.DUMMYFUNCTION("""COMPUTED_VALUE"""),"Building")</f>
        <v>Building</v>
      </c>
      <c r="D7965" s="2" t="str">
        <f ca="1">IFERROR(__xludf.DUMMYFUNCTION("""COMPUTED_VALUE"""),"Dubai&gt;Dubai Production City (IMPZ)&gt;Midtown&gt;Afnan District&gt;Afnan 2")</f>
        <v>Dubai&gt;Dubai Production City (IMPZ)&gt;Midtown&gt;Afnan District&gt;Afnan 2</v>
      </c>
      <c r="E7965" s="2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</row>
    <row r="7966" spans="1:26" ht="16.5" x14ac:dyDescent="0.35">
      <c r="A7966" s="2" t="str">
        <f ca="1">IFERROR(__xludf.DUMMYFUNCTION("""COMPUTED_VALUE"""),"Dubai")</f>
        <v>Dubai</v>
      </c>
      <c r="B7966" s="2" t="str">
        <f ca="1">IFERROR(__xludf.DUMMYFUNCTION("""COMPUTED_VALUE"""),"Lago Vista A")</f>
        <v>Lago Vista A</v>
      </c>
      <c r="C7966" s="2" t="str">
        <f ca="1">IFERROR(__xludf.DUMMYFUNCTION("""COMPUTED_VALUE"""),"Building")</f>
        <v>Building</v>
      </c>
      <c r="D7966" s="2" t="str">
        <f ca="1">IFERROR(__xludf.DUMMYFUNCTION("""COMPUTED_VALUE"""),"Dubai&gt;Dubai Production City (IMPZ)&gt;Lago Vista&gt;Lago Vista A")</f>
        <v>Dubai&gt;Dubai Production City (IMPZ)&gt;Lago Vista&gt;Lago Vista A</v>
      </c>
      <c r="E7966" s="2"/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</row>
    <row r="7967" spans="1:26" ht="16.5" x14ac:dyDescent="0.35">
      <c r="A7967" s="2" t="str">
        <f ca="1">IFERROR(__xludf.DUMMYFUNCTION("""COMPUTED_VALUE"""),"Dubai")</f>
        <v>Dubai</v>
      </c>
      <c r="B7967" s="2" t="str">
        <f ca="1">IFERROR(__xludf.DUMMYFUNCTION("""COMPUTED_VALUE"""),"MYKA Suites")</f>
        <v>MYKA Suites</v>
      </c>
      <c r="C7967" s="2" t="str">
        <f ca="1">IFERROR(__xludf.DUMMYFUNCTION("""COMPUTED_VALUE"""),"Building")</f>
        <v>Building</v>
      </c>
      <c r="D7967" s="2" t="str">
        <f ca="1">IFERROR(__xludf.DUMMYFUNCTION("""COMPUTED_VALUE"""),"Dubai&gt;Dubai Production City (IMPZ)&gt;MYKA Suites")</f>
        <v>Dubai&gt;Dubai Production City (IMPZ)&gt;MYKA Suites</v>
      </c>
      <c r="E7967" s="2"/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</row>
    <row r="7968" spans="1:26" ht="16.5" x14ac:dyDescent="0.35">
      <c r="A7968" s="2" t="str">
        <f ca="1">IFERROR(__xludf.DUMMYFUNCTION("""COMPUTED_VALUE"""),"Dubai")</f>
        <v>Dubai</v>
      </c>
      <c r="B7968" s="2" t="str">
        <f ca="1">IFERROR(__xludf.DUMMYFUNCTION("""COMPUTED_VALUE"""),"Al Haseen Residences")</f>
        <v>Al Haseen Residences</v>
      </c>
      <c r="C7968" s="2" t="str">
        <f ca="1">IFERROR(__xludf.DUMMYFUNCTION("""COMPUTED_VALUE"""),"Building")</f>
        <v>Building</v>
      </c>
      <c r="D7968" s="2" t="str">
        <f ca="1">IFERROR(__xludf.DUMMYFUNCTION("""COMPUTED_VALUE"""),"Dubai&gt;Dubai Industrial City&gt;Al Haseen Residences")</f>
        <v>Dubai&gt;Dubai Industrial City&gt;Al Haseen Residences</v>
      </c>
      <c r="E7968" s="2"/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</row>
    <row r="7969" spans="1:26" ht="16.5" x14ac:dyDescent="0.35">
      <c r="A7969" s="2" t="str">
        <f ca="1">IFERROR(__xludf.DUMMYFUNCTION("""COMPUTED_VALUE"""),"Dubai")</f>
        <v>Dubai</v>
      </c>
      <c r="B7969" s="2" t="str">
        <f ca="1">IFERROR(__xludf.DUMMYFUNCTION("""COMPUTED_VALUE"""),"South Park Residences 2 by Wellington")</f>
        <v>South Park Residences 2 by Wellington</v>
      </c>
      <c r="C7969" s="2" t="str">
        <f ca="1">IFERROR(__xludf.DUMMYFUNCTION("""COMPUTED_VALUE"""),"Neighbourhood")</f>
        <v>Neighbourhood</v>
      </c>
      <c r="D7969" s="2" t="str">
        <f ca="1">IFERROR(__xludf.DUMMYFUNCTION("""COMPUTED_VALUE"""),"Dubai&gt;Dubai Industrial City&gt;South Park Residences 2 by Wellington")</f>
        <v>Dubai&gt;Dubai Industrial City&gt;South Park Residences 2 by Wellington</v>
      </c>
      <c r="E7969" s="2"/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</row>
    <row r="7970" spans="1:26" ht="16.5" x14ac:dyDescent="0.35">
      <c r="A7970" s="2" t="str">
        <f ca="1">IFERROR(__xludf.DUMMYFUNCTION("""COMPUTED_VALUE"""),"Dubai")</f>
        <v>Dubai</v>
      </c>
      <c r="B7970" s="2" t="str">
        <f ca="1">IFERROR(__xludf.DUMMYFUNCTION("""COMPUTED_VALUE"""),"Aura")</f>
        <v>Aura</v>
      </c>
      <c r="C7970" s="2" t="str">
        <f ca="1">IFERROR(__xludf.DUMMYFUNCTION("""COMPUTED_VALUE"""),"Neighbourhood")</f>
        <v>Neighbourhood</v>
      </c>
      <c r="D7970" s="2" t="str">
        <f ca="1">IFERROR(__xludf.DUMMYFUNCTION("""COMPUTED_VALUE"""),"Dubai&gt;Tilal Al Ghaf&gt;Aura")</f>
        <v>Dubai&gt;Tilal Al Ghaf&gt;Aura</v>
      </c>
      <c r="E7970" s="2"/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</row>
    <row r="7971" spans="1:26" ht="16.5" x14ac:dyDescent="0.35">
      <c r="A7971" s="2" t="str">
        <f ca="1">IFERROR(__xludf.DUMMYFUNCTION("""COMPUTED_VALUE"""),"Dubai")</f>
        <v>Dubai</v>
      </c>
      <c r="B7971" s="2" t="str">
        <f ca="1">IFERROR(__xludf.DUMMYFUNCTION("""COMPUTED_VALUE"""),"Beach Walk Residences")</f>
        <v>Beach Walk Residences</v>
      </c>
      <c r="C7971" s="2" t="str">
        <f ca="1">IFERROR(__xludf.DUMMYFUNCTION("""COMPUTED_VALUE"""),"Cluster")</f>
        <v>Cluster</v>
      </c>
      <c r="D7971" s="2" t="str">
        <f ca="1">IFERROR(__xludf.DUMMYFUNCTION("""COMPUTED_VALUE"""),"Dubai&gt;Dubai Islands&gt;Beach Walk Residences")</f>
        <v>Dubai&gt;Dubai Islands&gt;Beach Walk Residences</v>
      </c>
      <c r="E7971" s="2"/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</row>
    <row r="7972" spans="1:26" ht="16.5" x14ac:dyDescent="0.35">
      <c r="A7972" s="2" t="str">
        <f ca="1">IFERROR(__xludf.DUMMYFUNCTION("""COMPUTED_VALUE"""),"Dubai")</f>
        <v>Dubai</v>
      </c>
      <c r="B7972" s="2" t="str">
        <f ca="1">IFERROR(__xludf.DUMMYFUNCTION("""COMPUTED_VALUE"""),"Sunset Bay by Imtiaz")</f>
        <v>Sunset Bay by Imtiaz</v>
      </c>
      <c r="C7972" s="2" t="str">
        <f ca="1">IFERROR(__xludf.DUMMYFUNCTION("""COMPUTED_VALUE"""),"Building")</f>
        <v>Building</v>
      </c>
      <c r="D7972" s="2" t="str">
        <f ca="1">IFERROR(__xludf.DUMMYFUNCTION("""COMPUTED_VALUE"""),"Dubai&gt;Dubai Islands&gt;Sunset Bay by Imtiaz")</f>
        <v>Dubai&gt;Dubai Islands&gt;Sunset Bay by Imtiaz</v>
      </c>
      <c r="E7972" s="2"/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</row>
    <row r="7973" spans="1:26" ht="16.5" x14ac:dyDescent="0.35">
      <c r="A7973" s="2" t="str">
        <f ca="1">IFERROR(__xludf.DUMMYFUNCTION("""COMPUTED_VALUE"""),"Dubai")</f>
        <v>Dubai</v>
      </c>
      <c r="B7973" s="2" t="str">
        <f ca="1">IFERROR(__xludf.DUMMYFUNCTION("""COMPUTED_VALUE"""),"Beach Walk Grand 2 by Imtiaz")</f>
        <v>Beach Walk Grand 2 by Imtiaz</v>
      </c>
      <c r="C7973" s="2" t="str">
        <f ca="1">IFERROR(__xludf.DUMMYFUNCTION("""COMPUTED_VALUE"""),"Building")</f>
        <v>Building</v>
      </c>
      <c r="D7973" s="2" t="str">
        <f ca="1">IFERROR(__xludf.DUMMYFUNCTION("""COMPUTED_VALUE"""),"Dubai&gt;Dubai Islands&gt;Beach Walk Grand 2 by Imtiaz")</f>
        <v>Dubai&gt;Dubai Islands&gt;Beach Walk Grand 2 by Imtiaz</v>
      </c>
      <c r="E7973" s="2"/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</row>
    <row r="7974" spans="1:26" ht="16.5" x14ac:dyDescent="0.35">
      <c r="A7974" s="2" t="str">
        <f ca="1">IFERROR(__xludf.DUMMYFUNCTION("""COMPUTED_VALUE"""),"Dubai")</f>
        <v>Dubai</v>
      </c>
      <c r="B7974" s="2" t="str">
        <f ca="1">IFERROR(__xludf.DUMMYFUNCTION("""COMPUTED_VALUE"""),"Elle Residences")</f>
        <v>Elle Residences</v>
      </c>
      <c r="C7974" s="2" t="str">
        <f ca="1">IFERROR(__xludf.DUMMYFUNCTION("""COMPUTED_VALUE"""),"Building")</f>
        <v>Building</v>
      </c>
      <c r="D7974" s="2" t="str">
        <f ca="1">IFERROR(__xludf.DUMMYFUNCTION("""COMPUTED_VALUE"""),"Dubai&gt;Dubai Islands&gt;Elle Residences")</f>
        <v>Dubai&gt;Dubai Islands&gt;Elle Residences</v>
      </c>
      <c r="E7974" s="2"/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</row>
    <row r="7975" spans="1:26" ht="16.5" x14ac:dyDescent="0.35">
      <c r="A7975" s="2" t="str">
        <f ca="1">IFERROR(__xludf.DUMMYFUNCTION("""COMPUTED_VALUE"""),"Dubai")</f>
        <v>Dubai</v>
      </c>
      <c r="B7975" s="2" t="str">
        <f ca="1">IFERROR(__xludf.DUMMYFUNCTION("""COMPUTED_VALUE"""),"Za'abeel 2")</f>
        <v>Za'abeel 2</v>
      </c>
      <c r="C7975" s="2" t="str">
        <f ca="1">IFERROR(__xludf.DUMMYFUNCTION("""COMPUTED_VALUE"""),"Neighbourhood")</f>
        <v>Neighbourhood</v>
      </c>
      <c r="D7975" s="2" t="str">
        <f ca="1">IFERROR(__xludf.DUMMYFUNCTION("""COMPUTED_VALUE"""),"Dubai&gt;Za'abeel&gt;Za'abeel 2")</f>
        <v>Dubai&gt;Za'abeel&gt;Za'abeel 2</v>
      </c>
      <c r="E7975" s="2"/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</row>
    <row r="7976" spans="1:26" ht="16.5" x14ac:dyDescent="0.35">
      <c r="A7976" s="2" t="str">
        <f ca="1">IFERROR(__xludf.DUMMYFUNCTION("""COMPUTED_VALUE"""),"Dubai")</f>
        <v>Dubai</v>
      </c>
      <c r="B7976" s="2" t="str">
        <f ca="1">IFERROR(__xludf.DUMMYFUNCTION("""COMPUTED_VALUE"""),"Samari Residences 1")</f>
        <v>Samari Residences 1</v>
      </c>
      <c r="C7976" s="2" t="str">
        <f ca="1">IFERROR(__xludf.DUMMYFUNCTION("""COMPUTED_VALUE"""),"Building")</f>
        <v>Building</v>
      </c>
      <c r="D7976" s="2" t="str">
        <f ca="1">IFERROR(__xludf.DUMMYFUNCTION("""COMPUTED_VALUE"""),"Dubai&gt;Ras Al Khor&gt;Ras Al Khor Industrial&gt;Ras Al Khor Industrial 3&gt;Samari Residences&gt;Samari Residences 1")</f>
        <v>Dubai&gt;Ras Al Khor&gt;Ras Al Khor Industrial&gt;Ras Al Khor Industrial 3&gt;Samari Residences&gt;Samari Residences 1</v>
      </c>
      <c r="E7976" s="2"/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</row>
    <row r="7977" spans="1:26" ht="16.5" x14ac:dyDescent="0.35">
      <c r="A7977" s="2" t="str">
        <f ca="1">IFERROR(__xludf.DUMMYFUNCTION("""COMPUTED_VALUE"""),"Dubai")</f>
        <v>Dubai</v>
      </c>
      <c r="B7977" s="2" t="str">
        <f ca="1">IFERROR(__xludf.DUMMYFUNCTION("""COMPUTED_VALUE"""),"Ibn Battuta Gate")</f>
        <v>Ibn Battuta Gate</v>
      </c>
      <c r="C7977" s="2" t="str">
        <f ca="1">IFERROR(__xludf.DUMMYFUNCTION("""COMPUTED_VALUE"""),"Cluster")</f>
        <v>Cluster</v>
      </c>
      <c r="D7977" s="2" t="str">
        <f ca="1">IFERROR(__xludf.DUMMYFUNCTION("""COMPUTED_VALUE"""),"Dubai&gt;Jebel Ali&gt;Ibn Battuta Gate")</f>
        <v>Dubai&gt;Jebel Ali&gt;Ibn Battuta Gate</v>
      </c>
      <c r="E7977" s="2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</row>
    <row r="7978" spans="1:26" ht="16.5" x14ac:dyDescent="0.35">
      <c r="A7978" s="2" t="str">
        <f ca="1">IFERROR(__xludf.DUMMYFUNCTION("""COMPUTED_VALUE"""),"Dubai")</f>
        <v>Dubai</v>
      </c>
      <c r="B7978" s="2" t="str">
        <f ca="1">IFERROR(__xludf.DUMMYFUNCTION("""COMPUTED_VALUE"""),"Jebel Ali Industrial Area 1")</f>
        <v>Jebel Ali Industrial Area 1</v>
      </c>
      <c r="C7978" s="2" t="str">
        <f ca="1">IFERROR(__xludf.DUMMYFUNCTION("""COMPUTED_VALUE"""),"Neighbourhood")</f>
        <v>Neighbourhood</v>
      </c>
      <c r="D7978" s="2" t="str">
        <f ca="1">IFERROR(__xludf.DUMMYFUNCTION("""COMPUTED_VALUE"""),"Dubai&gt;Jebel Ali&gt;Jebel Ali Industrial Area&gt;Jebel Ali Industrial Area 1")</f>
        <v>Dubai&gt;Jebel Ali&gt;Jebel Ali Industrial Area&gt;Jebel Ali Industrial Area 1</v>
      </c>
      <c r="E7978" s="2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</row>
    <row r="7979" spans="1:26" ht="16.5" x14ac:dyDescent="0.35">
      <c r="A7979" s="2" t="str">
        <f ca="1">IFERROR(__xludf.DUMMYFUNCTION("""COMPUTED_VALUE"""),"Dubai")</f>
        <v>Dubai</v>
      </c>
      <c r="B7979" s="2" t="str">
        <f ca="1">IFERROR(__xludf.DUMMYFUNCTION("""COMPUTED_VALUE"""),"Hassani 20")</f>
        <v>Hassani 20</v>
      </c>
      <c r="C7979" s="2" t="str">
        <f ca="1">IFERROR(__xludf.DUMMYFUNCTION("""COMPUTED_VALUE"""),"Building")</f>
        <v>Building</v>
      </c>
      <c r="D7979" s="2" t="str">
        <f ca="1">IFERROR(__xludf.DUMMYFUNCTION("""COMPUTED_VALUE"""),"Dubai&gt;Nad Al Hamar&gt;Hassani 20")</f>
        <v>Dubai&gt;Nad Al Hamar&gt;Hassani 20</v>
      </c>
      <c r="E7979" s="2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</row>
    <row r="7980" spans="1:26" ht="16.5" x14ac:dyDescent="0.35">
      <c r="A7980" s="2" t="str">
        <f ca="1">IFERROR(__xludf.DUMMYFUNCTION("""COMPUTED_VALUE"""),"Dubai")</f>
        <v>Dubai</v>
      </c>
      <c r="B7980" s="2" t="str">
        <f ca="1">IFERROR(__xludf.DUMMYFUNCTION("""COMPUTED_VALUE"""),"Imperial Residence")</f>
        <v>Imperial Residence</v>
      </c>
      <c r="C7980" s="2" t="str">
        <f ca="1">IFERROR(__xludf.DUMMYFUNCTION("""COMPUTED_VALUE"""),"Building")</f>
        <v>Building</v>
      </c>
      <c r="D7980" s="2" t="str">
        <f ca="1">IFERROR(__xludf.DUMMYFUNCTION("""COMPUTED_VALUE"""),"Dubai&gt;Nad Al Hamar&gt;Imperial Residence")</f>
        <v>Dubai&gt;Nad Al Hamar&gt;Imperial Residence</v>
      </c>
      <c r="E7980" s="2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</row>
    <row r="7981" spans="1:26" ht="16.5" x14ac:dyDescent="0.35">
      <c r="A7981" s="2" t="str">
        <f ca="1">IFERROR(__xludf.DUMMYFUNCTION("""COMPUTED_VALUE"""),"Dubai")</f>
        <v>Dubai</v>
      </c>
      <c r="B7981" s="2" t="str">
        <f ca="1">IFERROR(__xludf.DUMMYFUNCTION("""COMPUTED_VALUE"""),"Larimar Apartments")</f>
        <v>Larimar Apartments</v>
      </c>
      <c r="C7981" s="2" t="str">
        <f ca="1">IFERROR(__xludf.DUMMYFUNCTION("""COMPUTED_VALUE"""),"Building")</f>
        <v>Building</v>
      </c>
      <c r="D7981" s="2" t="str">
        <f ca="1">IFERROR(__xludf.DUMMYFUNCTION("""COMPUTED_VALUE"""),"Dubai&gt;Al Barsha&gt;Al Barsha 1&gt;Larimar Apartments")</f>
        <v>Dubai&gt;Al Barsha&gt;Al Barsha 1&gt;Larimar Apartments</v>
      </c>
      <c r="E7981" s="2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</row>
    <row r="7982" spans="1:26" ht="16.5" x14ac:dyDescent="0.35">
      <c r="A7982" s="2" t="str">
        <f ca="1">IFERROR(__xludf.DUMMYFUNCTION("""COMPUTED_VALUE"""),"Dubai")</f>
        <v>Dubai</v>
      </c>
      <c r="B7982" s="2" t="str">
        <f ca="1">IFERROR(__xludf.DUMMYFUNCTION("""COMPUTED_VALUE"""),"Al Thowimah Residences")</f>
        <v>Al Thowimah Residences</v>
      </c>
      <c r="C7982" s="2" t="str">
        <f ca="1">IFERROR(__xludf.DUMMYFUNCTION("""COMPUTED_VALUE"""),"Building")</f>
        <v>Building</v>
      </c>
      <c r="D7982" s="2" t="str">
        <f ca="1">IFERROR(__xludf.DUMMYFUNCTION("""COMPUTED_VALUE"""),"Dubai&gt;Al Barsha&gt;Al Barsha 1&gt;Al Thowimah Residences")</f>
        <v>Dubai&gt;Al Barsha&gt;Al Barsha 1&gt;Al Thowimah Residences</v>
      </c>
      <c r="E7982" s="2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</row>
    <row r="7983" spans="1:26" ht="16.5" x14ac:dyDescent="0.35">
      <c r="A7983" s="2" t="str">
        <f ca="1">IFERROR(__xludf.DUMMYFUNCTION("""COMPUTED_VALUE"""),"Dubai")</f>
        <v>Dubai</v>
      </c>
      <c r="B7983" s="2" t="str">
        <f ca="1">IFERROR(__xludf.DUMMYFUNCTION("""COMPUTED_VALUE"""),"Bedaia Building")</f>
        <v>Bedaia Building</v>
      </c>
      <c r="C7983" s="2" t="str">
        <f ca="1">IFERROR(__xludf.DUMMYFUNCTION("""COMPUTED_VALUE"""),"Building")</f>
        <v>Building</v>
      </c>
      <c r="D7983" s="2" t="str">
        <f ca="1">IFERROR(__xludf.DUMMYFUNCTION("""COMPUTED_VALUE"""),"Dubai&gt;Al Barsha&gt;Al Barsha 1&gt;Bedaia Building")</f>
        <v>Dubai&gt;Al Barsha&gt;Al Barsha 1&gt;Bedaia Building</v>
      </c>
      <c r="E7983" s="2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</row>
    <row r="7984" spans="1:26" ht="16.5" x14ac:dyDescent="0.35">
      <c r="A7984" s="2" t="str">
        <f ca="1">IFERROR(__xludf.DUMMYFUNCTION("""COMPUTED_VALUE"""),"Dubai")</f>
        <v>Dubai</v>
      </c>
      <c r="B7984" s="2" t="str">
        <f ca="1">IFERROR(__xludf.DUMMYFUNCTION("""COMPUTED_VALUE"""),"Al Wasal Building r445")</f>
        <v>Al Wasal Building r445</v>
      </c>
      <c r="C7984" s="2" t="str">
        <f ca="1">IFERROR(__xludf.DUMMYFUNCTION("""COMPUTED_VALUE"""),"Building")</f>
        <v>Building</v>
      </c>
      <c r="D7984" s="2" t="str">
        <f ca="1">IFERROR(__xludf.DUMMYFUNCTION("""COMPUTED_VALUE"""),"Dubai&gt;Al Barsha&gt;Al Barsha 1&gt;Al Wasal Building r445")</f>
        <v>Dubai&gt;Al Barsha&gt;Al Barsha 1&gt;Al Wasal Building r445</v>
      </c>
      <c r="E7984" s="2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</row>
    <row r="7985" spans="1:26" ht="16.5" x14ac:dyDescent="0.35">
      <c r="A7985" s="2" t="str">
        <f ca="1">IFERROR(__xludf.DUMMYFUNCTION("""COMPUTED_VALUE"""),"Dubai")</f>
        <v>Dubai</v>
      </c>
      <c r="B7985" s="2" t="str">
        <f ca="1">IFERROR(__xludf.DUMMYFUNCTION("""COMPUTED_VALUE"""),"Kempinski Hotel")</f>
        <v>Kempinski Hotel</v>
      </c>
      <c r="C7985" s="2" t="str">
        <f ca="1">IFERROR(__xludf.DUMMYFUNCTION("""COMPUTED_VALUE"""),"Building")</f>
        <v>Building</v>
      </c>
      <c r="D7985" s="2" t="str">
        <f ca="1">IFERROR(__xludf.DUMMYFUNCTION("""COMPUTED_VALUE"""),"Dubai&gt;Al Barsha&gt;Al Barsha 1&gt;Kempinski Hotel")</f>
        <v>Dubai&gt;Al Barsha&gt;Al Barsha 1&gt;Kempinski Hotel</v>
      </c>
      <c r="E7985" s="2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</row>
    <row r="7986" spans="1:26" ht="16.5" x14ac:dyDescent="0.35">
      <c r="A7986" s="2" t="str">
        <f ca="1">IFERROR(__xludf.DUMMYFUNCTION("""COMPUTED_VALUE"""),"Dubai")</f>
        <v>Dubai</v>
      </c>
      <c r="B7986" s="2" t="str">
        <f ca="1">IFERROR(__xludf.DUMMYFUNCTION("""COMPUTED_VALUE"""),"Horizon Building")</f>
        <v>Horizon Building</v>
      </c>
      <c r="C7986" s="2" t="str">
        <f ca="1">IFERROR(__xludf.DUMMYFUNCTION("""COMPUTED_VALUE"""),"Building")</f>
        <v>Building</v>
      </c>
      <c r="D7986" s="2" t="str">
        <f ca="1">IFERROR(__xludf.DUMMYFUNCTION("""COMPUTED_VALUE"""),"Dubai&gt;Al Barsha&gt;Al Barsha 1&gt;Horizon Building")</f>
        <v>Dubai&gt;Al Barsha&gt;Al Barsha 1&gt;Horizon Building</v>
      </c>
      <c r="E7986" s="2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</row>
    <row r="7987" spans="1:26" ht="16.5" x14ac:dyDescent="0.35">
      <c r="A7987" s="2" t="str">
        <f ca="1">IFERROR(__xludf.DUMMYFUNCTION("""COMPUTED_VALUE"""),"Dubai")</f>
        <v>Dubai</v>
      </c>
      <c r="B7987" s="2" t="str">
        <f ca="1">IFERROR(__xludf.DUMMYFUNCTION("""COMPUTED_VALUE"""),"Al Tameer Building")</f>
        <v>Al Tameer Building</v>
      </c>
      <c r="C7987" s="2" t="str">
        <f ca="1">IFERROR(__xludf.DUMMYFUNCTION("""COMPUTED_VALUE"""),"Building")</f>
        <v>Building</v>
      </c>
      <c r="D7987" s="2" t="str">
        <f ca="1">IFERROR(__xludf.DUMMYFUNCTION("""COMPUTED_VALUE"""),"Dubai&gt;Al Barsha&gt;Al Barsha 1&gt;Al Tameer Building")</f>
        <v>Dubai&gt;Al Barsha&gt;Al Barsha 1&gt;Al Tameer Building</v>
      </c>
      <c r="E7987" s="2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</row>
    <row r="7988" spans="1:26" ht="16.5" x14ac:dyDescent="0.35">
      <c r="A7988" s="2" t="str">
        <f ca="1">IFERROR(__xludf.DUMMYFUNCTION("""COMPUTED_VALUE"""),"Dubai")</f>
        <v>Dubai</v>
      </c>
      <c r="B7988" s="2" t="str">
        <f ca="1">IFERROR(__xludf.DUMMYFUNCTION("""COMPUTED_VALUE"""),"Courtyard Marriott")</f>
        <v>Courtyard Marriott</v>
      </c>
      <c r="C7988" s="2" t="str">
        <f ca="1">IFERROR(__xludf.DUMMYFUNCTION("""COMPUTED_VALUE"""),"Building")</f>
        <v>Building</v>
      </c>
      <c r="D7988" s="2" t="str">
        <f ca="1">IFERROR(__xludf.DUMMYFUNCTION("""COMPUTED_VALUE"""),"Dubai&gt;Al Barsha&gt;Al Barsha 1&gt;Courtyard Marriott")</f>
        <v>Dubai&gt;Al Barsha&gt;Al Barsha 1&gt;Courtyard Marriott</v>
      </c>
      <c r="E7988" s="2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</row>
    <row r="7989" spans="1:26" ht="16.5" x14ac:dyDescent="0.35">
      <c r="A7989" s="2" t="str">
        <f ca="1">IFERROR(__xludf.DUMMYFUNCTION("""COMPUTED_VALUE"""),"Dubai")</f>
        <v>Dubai</v>
      </c>
      <c r="B7989" s="2" t="str">
        <f ca="1">IFERROR(__xludf.DUMMYFUNCTION("""COMPUTED_VALUE"""),"Mohammad Rafi Building")</f>
        <v>Mohammad Rafi Building</v>
      </c>
      <c r="C7989" s="2" t="str">
        <f ca="1">IFERROR(__xludf.DUMMYFUNCTION("""COMPUTED_VALUE"""),"Building")</f>
        <v>Building</v>
      </c>
      <c r="D7989" s="2" t="str">
        <f ca="1">IFERROR(__xludf.DUMMYFUNCTION("""COMPUTED_VALUE"""),"Dubai&gt;Al Barsha&gt;Al Barsha 1&gt;Mohammad Rafi Building")</f>
        <v>Dubai&gt;Al Barsha&gt;Al Barsha 1&gt;Mohammad Rafi Building</v>
      </c>
      <c r="E7989" s="2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</row>
    <row r="7990" spans="1:26" ht="16.5" x14ac:dyDescent="0.35">
      <c r="A7990" s="2" t="str">
        <f ca="1">IFERROR(__xludf.DUMMYFUNCTION("""COMPUTED_VALUE"""),"Dubai")</f>
        <v>Dubai</v>
      </c>
      <c r="B7990" s="2" t="str">
        <f ca="1">IFERROR(__xludf.DUMMYFUNCTION("""COMPUTED_VALUE"""),"Al Mawakeb School, Al Barsha")</f>
        <v>Al Mawakeb School, Al Barsha</v>
      </c>
      <c r="C7990" s="2" t="str">
        <f ca="1">IFERROR(__xludf.DUMMYFUNCTION("""COMPUTED_VALUE"""),"School")</f>
        <v>School</v>
      </c>
      <c r="D7990" s="2" t="str">
        <f ca="1">IFERROR(__xludf.DUMMYFUNCTION("""COMPUTED_VALUE"""),"Dubai&gt;Al Barsha&gt;Al Barsha 2&gt;Al Mawakeb School, Al Barsha")</f>
        <v>Dubai&gt;Al Barsha&gt;Al Barsha 2&gt;Al Mawakeb School, Al Barsha</v>
      </c>
      <c r="E7990" s="2"/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</row>
    <row r="7991" spans="1:26" ht="16.5" x14ac:dyDescent="0.35">
      <c r="A7991" s="2" t="str">
        <f ca="1">IFERROR(__xludf.DUMMYFUNCTION("""COMPUTED_VALUE"""),"Dubai")</f>
        <v>Dubai</v>
      </c>
      <c r="B7991" s="2" t="str">
        <f ca="1">IFERROR(__xludf.DUMMYFUNCTION("""COMPUTED_VALUE"""),"Boulevard Crescent Towers")</f>
        <v>Boulevard Crescent Towers</v>
      </c>
      <c r="C7991" s="2" t="str">
        <f ca="1">IFERROR(__xludf.DUMMYFUNCTION("""COMPUTED_VALUE"""),"Cluster")</f>
        <v>Cluster</v>
      </c>
      <c r="D7991" s="2" t="str">
        <f ca="1">IFERROR(__xludf.DUMMYFUNCTION("""COMPUTED_VALUE"""),"Dubai&gt;Downtown Dubai&gt;Boulevard Crescent Towers")</f>
        <v>Dubai&gt;Downtown Dubai&gt;Boulevard Crescent Towers</v>
      </c>
      <c r="E7991" s="2"/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</row>
    <row r="7992" spans="1:26" ht="16.5" x14ac:dyDescent="0.35">
      <c r="A7992" s="2" t="str">
        <f ca="1">IFERROR(__xludf.DUMMYFUNCTION("""COMPUTED_VALUE"""),"Dubai")</f>
        <v>Dubai</v>
      </c>
      <c r="B7992" s="2" t="str">
        <f ca="1">IFERROR(__xludf.DUMMYFUNCTION("""COMPUTED_VALUE"""),"The Residence 3")</f>
        <v>The Residence 3</v>
      </c>
      <c r="C7992" s="2" t="str">
        <f ca="1">IFERROR(__xludf.DUMMYFUNCTION("""COMPUTED_VALUE"""),"Building")</f>
        <v>Building</v>
      </c>
      <c r="D7992" s="2" t="str">
        <f ca="1">IFERROR(__xludf.DUMMYFUNCTION("""COMPUTED_VALUE"""),"Dubai&gt;Downtown Dubai&gt;The Residences&gt;The Residence 3")</f>
        <v>Dubai&gt;Downtown Dubai&gt;The Residences&gt;The Residence 3</v>
      </c>
      <c r="E7992" s="2"/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</row>
    <row r="7993" spans="1:26" ht="16.5" x14ac:dyDescent="0.35">
      <c r="A7993" s="2" t="str">
        <f ca="1">IFERROR(__xludf.DUMMYFUNCTION("""COMPUTED_VALUE"""),"Dubai")</f>
        <v>Dubai</v>
      </c>
      <c r="B7993" s="2" t="str">
        <f ca="1">IFERROR(__xludf.DUMMYFUNCTION("""COMPUTED_VALUE"""),"29 Boulevard 1")</f>
        <v>29 Boulevard 1</v>
      </c>
      <c r="C7993" s="2" t="str">
        <f ca="1">IFERROR(__xludf.DUMMYFUNCTION("""COMPUTED_VALUE"""),"Building")</f>
        <v>Building</v>
      </c>
      <c r="D7993" s="2" t="str">
        <f ca="1">IFERROR(__xludf.DUMMYFUNCTION("""COMPUTED_VALUE"""),"Dubai&gt;Downtown Dubai&gt;29 Boulevard&gt;29 Boulevard 1")</f>
        <v>Dubai&gt;Downtown Dubai&gt;29 Boulevard&gt;29 Boulevard 1</v>
      </c>
      <c r="E7993" s="2"/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</row>
    <row r="7994" spans="1:26" ht="16.5" x14ac:dyDescent="0.35">
      <c r="A7994" s="2" t="str">
        <f ca="1">IFERROR(__xludf.DUMMYFUNCTION("""COMPUTED_VALUE"""),"Dubai")</f>
        <v>Dubai</v>
      </c>
      <c r="B7994" s="2" t="str">
        <f ca="1">IFERROR(__xludf.DUMMYFUNCTION("""COMPUTED_VALUE"""),"South Ridge 4")</f>
        <v>South Ridge 4</v>
      </c>
      <c r="C7994" s="2" t="str">
        <f ca="1">IFERROR(__xludf.DUMMYFUNCTION("""COMPUTED_VALUE"""),"Building")</f>
        <v>Building</v>
      </c>
      <c r="D7994" s="2" t="str">
        <f ca="1">IFERROR(__xludf.DUMMYFUNCTION("""COMPUTED_VALUE"""),"Dubai&gt;Downtown Dubai&gt;South Ridge&gt;South Ridge 4")</f>
        <v>Dubai&gt;Downtown Dubai&gt;South Ridge&gt;South Ridge 4</v>
      </c>
      <c r="E7994" s="2"/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</row>
    <row r="7995" spans="1:26" ht="16.5" x14ac:dyDescent="0.35">
      <c r="A7995" s="2" t="str">
        <f ca="1">IFERROR(__xludf.DUMMYFUNCTION("""COMPUTED_VALUE"""),"Dubai")</f>
        <v>Dubai</v>
      </c>
      <c r="B7995" s="2" t="str">
        <f ca="1">IFERROR(__xludf.DUMMYFUNCTION("""COMPUTED_VALUE"""),"Yansoon 8")</f>
        <v>Yansoon 8</v>
      </c>
      <c r="C7995" s="2" t="str">
        <f ca="1">IFERROR(__xludf.DUMMYFUNCTION("""COMPUTED_VALUE"""),"Building")</f>
        <v>Building</v>
      </c>
      <c r="D7995" s="2" t="str">
        <f ca="1">IFERROR(__xludf.DUMMYFUNCTION("""COMPUTED_VALUE"""),"Dubai&gt;Downtown Dubai&gt;Old Town&gt;Yansoon&gt;Yansoon 8")</f>
        <v>Dubai&gt;Downtown Dubai&gt;Old Town&gt;Yansoon&gt;Yansoon 8</v>
      </c>
      <c r="E7995" s="2"/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</row>
    <row r="7996" spans="1:26" ht="16.5" x14ac:dyDescent="0.35">
      <c r="A7996" s="2" t="str">
        <f ca="1">IFERROR(__xludf.DUMMYFUNCTION("""COMPUTED_VALUE"""),"Dubai")</f>
        <v>Dubai</v>
      </c>
      <c r="B7996" s="2" t="str">
        <f ca="1">IFERROR(__xludf.DUMMYFUNCTION("""COMPUTED_VALUE"""),"Upper Crest (Burjside Terrace)")</f>
        <v>Upper Crest (Burjside Terrace)</v>
      </c>
      <c r="C7996" s="2" t="str">
        <f ca="1">IFERROR(__xludf.DUMMYFUNCTION("""COMPUTED_VALUE"""),"Building")</f>
        <v>Building</v>
      </c>
      <c r="D7996" s="2" t="str">
        <f ca="1">IFERROR(__xludf.DUMMYFUNCTION("""COMPUTED_VALUE"""),"Dubai&gt;Downtown Dubai&gt;Upper Crest (Burjside Terrace)")</f>
        <v>Dubai&gt;Downtown Dubai&gt;Upper Crest (Burjside Terrace)</v>
      </c>
      <c r="E7996" s="2"/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</row>
    <row r="7997" spans="1:26" ht="16.5" x14ac:dyDescent="0.35">
      <c r="A7997" s="2" t="str">
        <f ca="1">IFERROR(__xludf.DUMMYFUNCTION("""COMPUTED_VALUE"""),"Dubai")</f>
        <v>Dubai</v>
      </c>
      <c r="B7997" s="2" t="str">
        <f ca="1">IFERROR(__xludf.DUMMYFUNCTION("""COMPUTED_VALUE"""),"Forte 1")</f>
        <v>Forte 1</v>
      </c>
      <c r="C7997" s="2" t="str">
        <f ca="1">IFERROR(__xludf.DUMMYFUNCTION("""COMPUTED_VALUE"""),"Building")</f>
        <v>Building</v>
      </c>
      <c r="D7997" s="2" t="str">
        <f ca="1">IFERROR(__xludf.DUMMYFUNCTION("""COMPUTED_VALUE"""),"Dubai&gt;Downtown Dubai&gt;Forte&gt;Forte 1")</f>
        <v>Dubai&gt;Downtown Dubai&gt;Forte&gt;Forte 1</v>
      </c>
      <c r="E7997" s="2"/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</row>
    <row r="7998" spans="1:26" ht="16.5" x14ac:dyDescent="0.35">
      <c r="A7998" s="2" t="str">
        <f ca="1">IFERROR(__xludf.DUMMYFUNCTION("""COMPUTED_VALUE"""),"Dubai")</f>
        <v>Dubai</v>
      </c>
      <c r="B7998" s="2" t="str">
        <f ca="1">IFERROR(__xludf.DUMMYFUNCTION("""COMPUTED_VALUE"""),"Mazaya 24")</f>
        <v>Mazaya 24</v>
      </c>
      <c r="C7998" s="2" t="str">
        <f ca="1">IFERROR(__xludf.DUMMYFUNCTION("""COMPUTED_VALUE"""),"Building")</f>
        <v>Building</v>
      </c>
      <c r="D7998" s="2" t="str">
        <f ca="1">IFERROR(__xludf.DUMMYFUNCTION("""COMPUTED_VALUE"""),"Dubai&gt;Liwan&gt;Queue Point&gt;Mazaya 24")</f>
        <v>Dubai&gt;Liwan&gt;Queue Point&gt;Mazaya 24</v>
      </c>
      <c r="E7998" s="2"/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</row>
    <row r="7999" spans="1:26" ht="16.5" x14ac:dyDescent="0.35">
      <c r="A7999" s="2" t="str">
        <f ca="1">IFERROR(__xludf.DUMMYFUNCTION("""COMPUTED_VALUE"""),"Dubai")</f>
        <v>Dubai</v>
      </c>
      <c r="B7999" s="2" t="str">
        <f ca="1">IFERROR(__xludf.DUMMYFUNCTION("""COMPUTED_VALUE"""),"Platinum by Vision")</f>
        <v>Platinum by Vision</v>
      </c>
      <c r="C7999" s="2" t="str">
        <f ca="1">IFERROR(__xludf.DUMMYFUNCTION("""COMPUTED_VALUE"""),"Building")</f>
        <v>Building</v>
      </c>
      <c r="D7999" s="2" t="str">
        <f ca="1">IFERROR(__xludf.DUMMYFUNCTION("""COMPUTED_VALUE"""),"Dubai&gt;Liwan&gt;Platinum by Vision")</f>
        <v>Dubai&gt;Liwan&gt;Platinum by Vision</v>
      </c>
      <c r="E7999" s="2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</row>
    <row r="8000" spans="1:26" ht="16.5" x14ac:dyDescent="0.35">
      <c r="A8000" s="2" t="str">
        <f ca="1">IFERROR(__xludf.DUMMYFUNCTION("""COMPUTED_VALUE"""),"Dubai")</f>
        <v>Dubai</v>
      </c>
      <c r="B8000" s="2" t="str">
        <f ca="1">IFERROR(__xludf.DUMMYFUNCTION("""COMPUTED_VALUE"""),"Al Dowais Building")</f>
        <v>Al Dowais Building</v>
      </c>
      <c r="C8000" s="2" t="str">
        <f ca="1">IFERROR(__xludf.DUMMYFUNCTION("""COMPUTED_VALUE"""),"Building")</f>
        <v>Building</v>
      </c>
      <c r="D8000" s="2" t="str">
        <f ca="1">IFERROR(__xludf.DUMMYFUNCTION("""COMPUTED_VALUE"""),"Dubai&gt;Al Jafiliya&gt;Al Dowais Building")</f>
        <v>Dubai&gt;Al Jafiliya&gt;Al Dowais Building</v>
      </c>
      <c r="E8000" s="2"/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</row>
    <row r="8001" spans="1:26" ht="16.5" x14ac:dyDescent="0.35">
      <c r="A8001" s="2" t="str">
        <f ca="1">IFERROR(__xludf.DUMMYFUNCTION("""COMPUTED_VALUE"""),"Dubai")</f>
        <v>Dubai</v>
      </c>
      <c r="B8001" s="2" t="str">
        <f ca="1">IFERROR(__xludf.DUMMYFUNCTION("""COMPUTED_VALUE"""),"The Gate Village 8")</f>
        <v>The Gate Village 8</v>
      </c>
      <c r="C8001" s="2" t="str">
        <f ca="1">IFERROR(__xludf.DUMMYFUNCTION("""COMPUTED_VALUE"""),"Building")</f>
        <v>Building</v>
      </c>
      <c r="D8001" s="2" t="str">
        <f ca="1">IFERROR(__xludf.DUMMYFUNCTION("""COMPUTED_VALUE"""),"Dubai&gt;DIFC&gt;The Gate Village&gt;The Gate Village 8")</f>
        <v>Dubai&gt;DIFC&gt;The Gate Village&gt;The Gate Village 8</v>
      </c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</row>
    <row r="8002" spans="1:26" ht="16.5" x14ac:dyDescent="0.35">
      <c r="A8002" s="2" t="str">
        <f ca="1">IFERROR(__xludf.DUMMYFUNCTION("""COMPUTED_VALUE"""),"Dubai")</f>
        <v>Dubai</v>
      </c>
      <c r="B8002" s="2" t="str">
        <f ca="1">IFERROR(__xludf.DUMMYFUNCTION("""COMPUTED_VALUE"""),"State 2 Building")</f>
        <v>State 2 Building</v>
      </c>
      <c r="C8002" s="2" t="str">
        <f ca="1">IFERROR(__xludf.DUMMYFUNCTION("""COMPUTED_VALUE"""),"Building")</f>
        <v>Building</v>
      </c>
      <c r="D8002" s="2" t="str">
        <f ca="1">IFERROR(__xludf.DUMMYFUNCTION("""COMPUTED_VALUE"""),"Dubai&gt;Al Twar&gt;Al Twar 1&gt;State 2 Building")</f>
        <v>Dubai&gt;Al Twar&gt;Al Twar 1&gt;State 2 Building</v>
      </c>
      <c r="E8002" s="2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</row>
    <row r="8003" spans="1:26" ht="16.5" x14ac:dyDescent="0.35">
      <c r="A8003" s="2" t="str">
        <f ca="1">IFERROR(__xludf.DUMMYFUNCTION("""COMPUTED_VALUE"""),"Dubai")</f>
        <v>Dubai</v>
      </c>
      <c r="B8003" s="2" t="str">
        <f ca="1">IFERROR(__xludf.DUMMYFUNCTION("""COMPUTED_VALUE"""),"Mounati Building")</f>
        <v>Mounati Building</v>
      </c>
      <c r="C8003" s="2" t="str">
        <f ca="1">IFERROR(__xludf.DUMMYFUNCTION("""COMPUTED_VALUE"""),"Building")</f>
        <v>Building</v>
      </c>
      <c r="D8003" s="2" t="str">
        <f ca="1">IFERROR(__xludf.DUMMYFUNCTION("""COMPUTED_VALUE"""),"Dubai&gt;Al Warqaa&gt;Al Warqaa 1&gt;Mounati Building")</f>
        <v>Dubai&gt;Al Warqaa&gt;Al Warqaa 1&gt;Mounati Building</v>
      </c>
      <c r="E8003" s="2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</row>
    <row r="8004" spans="1:26" ht="16.5" x14ac:dyDescent="0.35">
      <c r="A8004" s="2" t="str">
        <f ca="1">IFERROR(__xludf.DUMMYFUNCTION("""COMPUTED_VALUE"""),"Dubai")</f>
        <v>Dubai</v>
      </c>
      <c r="B8004" s="2" t="str">
        <f ca="1">IFERROR(__xludf.DUMMYFUNCTION("""COMPUTED_VALUE"""),"Al Mashroom 3")</f>
        <v>Al Mashroom 3</v>
      </c>
      <c r="C8004" s="2" t="str">
        <f ca="1">IFERROR(__xludf.DUMMYFUNCTION("""COMPUTED_VALUE"""),"Building")</f>
        <v>Building</v>
      </c>
      <c r="D8004" s="2" t="str">
        <f ca="1">IFERROR(__xludf.DUMMYFUNCTION("""COMPUTED_VALUE"""),"Dubai&gt;Al Warqaa&gt;Al Warqaa 1&gt;Al Mashroom 3")</f>
        <v>Dubai&gt;Al Warqaa&gt;Al Warqaa 1&gt;Al Mashroom 3</v>
      </c>
      <c r="E8004" s="2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</row>
    <row r="8005" spans="1:26" ht="16.5" x14ac:dyDescent="0.35">
      <c r="A8005" s="2" t="str">
        <f ca="1">IFERROR(__xludf.DUMMYFUNCTION("""COMPUTED_VALUE"""),"Dubai")</f>
        <v>Dubai</v>
      </c>
      <c r="B8005" s="2" t="str">
        <f ca="1">IFERROR(__xludf.DUMMYFUNCTION("""COMPUTED_VALUE"""),"Khalifa Hassan Abdulkarim Al Darrai Building")</f>
        <v>Khalifa Hassan Abdulkarim Al Darrai Building</v>
      </c>
      <c r="C8005" s="2" t="str">
        <f ca="1">IFERROR(__xludf.DUMMYFUNCTION("""COMPUTED_VALUE"""),"Building")</f>
        <v>Building</v>
      </c>
      <c r="D8005" s="2" t="str">
        <f ca="1">IFERROR(__xludf.DUMMYFUNCTION("""COMPUTED_VALUE"""),"Dubai&gt;Al Warqaa&gt;Al Warqaa 1&gt;Khalifa Hassan Abdulkarim Al Darrai Building")</f>
        <v>Dubai&gt;Al Warqaa&gt;Al Warqaa 1&gt;Khalifa Hassan Abdulkarim Al Darrai Building</v>
      </c>
      <c r="E8005" s="2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</row>
    <row r="8006" spans="1:26" ht="16.5" x14ac:dyDescent="0.35">
      <c r="A8006" s="2" t="str">
        <f ca="1">IFERROR(__xludf.DUMMYFUNCTION("""COMPUTED_VALUE"""),"Dubai")</f>
        <v>Dubai</v>
      </c>
      <c r="B8006" s="2" t="str">
        <f ca="1">IFERROR(__xludf.DUMMYFUNCTION("""COMPUTED_VALUE"""),"Khalid Omar Al Kaf Building")</f>
        <v>Khalid Omar Al Kaf Building</v>
      </c>
      <c r="C8006" s="2" t="str">
        <f ca="1">IFERROR(__xludf.DUMMYFUNCTION("""COMPUTED_VALUE"""),"Building")</f>
        <v>Building</v>
      </c>
      <c r="D8006" s="2" t="str">
        <f ca="1">IFERROR(__xludf.DUMMYFUNCTION("""COMPUTED_VALUE"""),"Dubai&gt;Al Warqaa&gt;Al Warqaa 1&gt;Khalid Omar Al Kaf Building")</f>
        <v>Dubai&gt;Al Warqaa&gt;Al Warqaa 1&gt;Khalid Omar Al Kaf Building</v>
      </c>
      <c r="E8006" s="2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</row>
    <row r="8007" spans="1:26" ht="16.5" x14ac:dyDescent="0.35">
      <c r="A8007" s="2" t="str">
        <f ca="1">IFERROR(__xludf.DUMMYFUNCTION("""COMPUTED_VALUE"""),"Dubai")</f>
        <v>Dubai</v>
      </c>
      <c r="B8007" s="2" t="str">
        <f ca="1">IFERROR(__xludf.DUMMYFUNCTION("""COMPUTED_VALUE"""),"Wind Tower I")</f>
        <v>Wind Tower I</v>
      </c>
      <c r="C8007" s="2" t="str">
        <f ca="1">IFERROR(__xludf.DUMMYFUNCTION("""COMPUTED_VALUE"""),"Building")</f>
        <v>Building</v>
      </c>
      <c r="D8007" s="2" t="str">
        <f ca="1">IFERROR(__xludf.DUMMYFUNCTION("""COMPUTED_VALUE"""),"Dubai&gt;Jumeirah Lake Towers (JLT)&gt;JLT Cluster B&gt;Wind Tower I")</f>
        <v>Dubai&gt;Jumeirah Lake Towers (JLT)&gt;JLT Cluster B&gt;Wind Tower I</v>
      </c>
      <c r="E8007" s="2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</row>
    <row r="8008" spans="1:26" ht="16.5" x14ac:dyDescent="0.35">
      <c r="A8008" s="2" t="str">
        <f ca="1">IFERROR(__xludf.DUMMYFUNCTION("""COMPUTED_VALUE"""),"Dubai")</f>
        <v>Dubai</v>
      </c>
      <c r="B8008" s="2" t="str">
        <f ca="1">IFERROR(__xludf.DUMMYFUNCTION("""COMPUTED_VALUE"""),"Goldcrest Views 2")</f>
        <v>Goldcrest Views 2</v>
      </c>
      <c r="C8008" s="2" t="str">
        <f ca="1">IFERROR(__xludf.DUMMYFUNCTION("""COMPUTED_VALUE"""),"Building")</f>
        <v>Building</v>
      </c>
      <c r="D8008" s="2" t="str">
        <f ca="1">IFERROR(__xludf.DUMMYFUNCTION("""COMPUTED_VALUE"""),"Dubai&gt;Jumeirah Lake Towers (JLT)&gt;JLT Cluster J&gt;Goldcrest Views 2")</f>
        <v>Dubai&gt;Jumeirah Lake Towers (JLT)&gt;JLT Cluster J&gt;Goldcrest Views 2</v>
      </c>
      <c r="E8008" s="2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</row>
    <row r="8009" spans="1:26" ht="16.5" x14ac:dyDescent="0.35">
      <c r="A8009" s="2" t="str">
        <f ca="1">IFERROR(__xludf.DUMMYFUNCTION("""COMPUTED_VALUE"""),"Dubai")</f>
        <v>Dubai</v>
      </c>
      <c r="B8009" s="2" t="str">
        <f ca="1">IFERROR(__xludf.DUMMYFUNCTION("""COMPUTED_VALUE"""),"Saba Tower 2")</f>
        <v>Saba Tower 2</v>
      </c>
      <c r="C8009" s="2" t="str">
        <f ca="1">IFERROR(__xludf.DUMMYFUNCTION("""COMPUTED_VALUE"""),"Building")</f>
        <v>Building</v>
      </c>
      <c r="D8009" s="2" t="str">
        <f ca="1">IFERROR(__xludf.DUMMYFUNCTION("""COMPUTED_VALUE"""),"Dubai&gt;Jumeirah Lake Towers (JLT)&gt;JLT Cluster Q&gt;Saba Tower 2")</f>
        <v>Dubai&gt;Jumeirah Lake Towers (JLT)&gt;JLT Cluster Q&gt;Saba Tower 2</v>
      </c>
      <c r="E8009" s="2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</row>
    <row r="8010" spans="1:26" ht="16.5" x14ac:dyDescent="0.35">
      <c r="A8010" s="2" t="str">
        <f ca="1">IFERROR(__xludf.DUMMYFUNCTION("""COMPUTED_VALUE"""),"Dubai")</f>
        <v>Dubai</v>
      </c>
      <c r="B8010" s="2" t="str">
        <f ca="1">IFERROR(__xludf.DUMMYFUNCTION("""COMPUTED_VALUE"""),"Dewdrops Nursery Jumeirah Lake Towers")</f>
        <v>Dewdrops Nursery Jumeirah Lake Towers</v>
      </c>
      <c r="C8010" s="2" t="str">
        <f ca="1">IFERROR(__xludf.DUMMYFUNCTION("""COMPUTED_VALUE"""),"Nursery")</f>
        <v>Nursery</v>
      </c>
      <c r="D8010" s="2" t="str">
        <f ca="1">IFERROR(__xludf.DUMMYFUNCTION("""COMPUTED_VALUE"""),"Dubai&gt;Jumeirah Lake Towers (JLT)&gt;JLT Cluster Y&gt;Dewdrops Nursery Jumeirah Lake Towers")</f>
        <v>Dubai&gt;Jumeirah Lake Towers (JLT)&gt;JLT Cluster Y&gt;Dewdrops Nursery Jumeirah Lake Towers</v>
      </c>
      <c r="E8010" s="2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</row>
    <row r="8011" spans="1:26" ht="16.5" x14ac:dyDescent="0.35">
      <c r="A8011" s="2" t="str">
        <f ca="1">IFERROR(__xludf.DUMMYFUNCTION("""COMPUTED_VALUE"""),"Dubai")</f>
        <v>Dubai</v>
      </c>
      <c r="B8011" s="2" t="str">
        <f ca="1">IFERROR(__xludf.DUMMYFUNCTION("""COMPUTED_VALUE"""),"Arabella Townhouses")</f>
        <v>Arabella Townhouses</v>
      </c>
      <c r="C8011" s="2" t="str">
        <f ca="1">IFERROR(__xludf.DUMMYFUNCTION("""COMPUTED_VALUE"""),"Neighbourhood")</f>
        <v>Neighbourhood</v>
      </c>
      <c r="D8011" s="2" t="str">
        <f ca="1">IFERROR(__xludf.DUMMYFUNCTION("""COMPUTED_VALUE"""),"Dubai&gt;Mudon&gt;Arabella Townhouses")</f>
        <v>Dubai&gt;Mudon&gt;Arabella Townhouses</v>
      </c>
      <c r="E8011" s="2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</row>
    <row r="8012" spans="1:26" ht="16.5" x14ac:dyDescent="0.35">
      <c r="A8012" s="2" t="str">
        <f ca="1">IFERROR(__xludf.DUMMYFUNCTION("""COMPUTED_VALUE"""),"Dubai")</f>
        <v>Dubai</v>
      </c>
      <c r="B8012" s="2" t="str">
        <f ca="1">IFERROR(__xludf.DUMMYFUNCTION("""COMPUTED_VALUE"""),"Yasmin")</f>
        <v>Yasmin</v>
      </c>
      <c r="C8012" s="2" t="str">
        <f ca="1">IFERROR(__xludf.DUMMYFUNCTION("""COMPUTED_VALUE"""),"Neighbourhood")</f>
        <v>Neighbourhood</v>
      </c>
      <c r="D8012" s="2" t="str">
        <f ca="1">IFERROR(__xludf.DUMMYFUNCTION("""COMPUTED_VALUE"""),"Dubai&gt;Arabian Ranches 2&gt;Yasmin")</f>
        <v>Dubai&gt;Arabian Ranches 2&gt;Yasmin</v>
      </c>
      <c r="E8012" s="2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</row>
    <row r="8013" spans="1:26" ht="16.5" x14ac:dyDescent="0.35">
      <c r="A8013" s="2" t="str">
        <f ca="1">IFERROR(__xludf.DUMMYFUNCTION("""COMPUTED_VALUE"""),"Dubai")</f>
        <v>Dubai</v>
      </c>
      <c r="B8013" s="2" t="str">
        <f ca="1">IFERROR(__xludf.DUMMYFUNCTION("""COMPUTED_VALUE"""),"Elysium 1")</f>
        <v>Elysium 1</v>
      </c>
      <c r="C8013" s="2" t="str">
        <f ca="1">IFERROR(__xludf.DUMMYFUNCTION("""COMPUTED_VALUE"""),"Building")</f>
        <v>Building</v>
      </c>
      <c r="D8013" s="2" t="str">
        <f ca="1">IFERROR(__xludf.DUMMYFUNCTION("""COMPUTED_VALUE"""),"Dubai&gt;Al Satwa&gt;Jumeirah Garden City&gt;Elysium 1")</f>
        <v>Dubai&gt;Al Satwa&gt;Jumeirah Garden City&gt;Elysium 1</v>
      </c>
      <c r="E8013" s="2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</row>
    <row r="8014" spans="1:26" ht="16.5" x14ac:dyDescent="0.35">
      <c r="A8014" s="2" t="str">
        <f ca="1">IFERROR(__xludf.DUMMYFUNCTION("""COMPUTED_VALUE"""),"Dubai")</f>
        <v>Dubai</v>
      </c>
      <c r="B8014" s="2" t="str">
        <f ca="1">IFERROR(__xludf.DUMMYFUNCTION("""COMPUTED_VALUE"""),"Mayfair Gardens")</f>
        <v>Mayfair Gardens</v>
      </c>
      <c r="C8014" s="2" t="str">
        <f ca="1">IFERROR(__xludf.DUMMYFUNCTION("""COMPUTED_VALUE"""),"Building")</f>
        <v>Building</v>
      </c>
      <c r="D8014" s="2" t="str">
        <f ca="1">IFERROR(__xludf.DUMMYFUNCTION("""COMPUTED_VALUE"""),"Dubai&gt;Al Satwa&gt;Jumeirah Garden City&gt;Mayfair Gardens")</f>
        <v>Dubai&gt;Al Satwa&gt;Jumeirah Garden City&gt;Mayfair Gardens</v>
      </c>
      <c r="E8014" s="2"/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</row>
    <row r="8015" spans="1:26" ht="16.5" x14ac:dyDescent="0.35">
      <c r="A8015" s="2" t="str">
        <f ca="1">IFERROR(__xludf.DUMMYFUNCTION("""COMPUTED_VALUE"""),"Dubai")</f>
        <v>Dubai</v>
      </c>
      <c r="B8015" s="2" t="str">
        <f ca="1">IFERROR(__xludf.DUMMYFUNCTION("""COMPUTED_VALUE"""),"Onaya Residences by Kaya")</f>
        <v>Onaya Residences by Kaya</v>
      </c>
      <c r="C8015" s="2" t="str">
        <f ca="1">IFERROR(__xludf.DUMMYFUNCTION("""COMPUTED_VALUE"""),"Building")</f>
        <v>Building</v>
      </c>
      <c r="D8015" s="2" t="str">
        <f ca="1">IFERROR(__xludf.DUMMYFUNCTION("""COMPUTED_VALUE"""),"Dubai&gt;Al Satwa&gt;Jumeirah Garden City&gt;Onaya Residences by Kaya")</f>
        <v>Dubai&gt;Al Satwa&gt;Jumeirah Garden City&gt;Onaya Residences by Kaya</v>
      </c>
      <c r="E8015" s="2"/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</row>
    <row r="8016" spans="1:26" ht="16.5" x14ac:dyDescent="0.35">
      <c r="A8016" s="2" t="str">
        <f ca="1">IFERROR(__xludf.DUMMYFUNCTION("""COMPUTED_VALUE"""),"Dubai")</f>
        <v>Dubai</v>
      </c>
      <c r="B8016" s="2" t="str">
        <f ca="1">IFERROR(__xludf.DUMMYFUNCTION("""COMPUTED_VALUE"""),"Al Habbai 4 Building")</f>
        <v>Al Habbai 4 Building</v>
      </c>
      <c r="C8016" s="2" t="str">
        <f ca="1">IFERROR(__xludf.DUMMYFUNCTION("""COMPUTED_VALUE"""),"Building")</f>
        <v>Building</v>
      </c>
      <c r="D8016" s="2" t="str">
        <f ca="1">IFERROR(__xludf.DUMMYFUNCTION("""COMPUTED_VALUE"""),"Dubai&gt;Al Satwa&gt;Al Habbai 4 Building")</f>
        <v>Dubai&gt;Al Satwa&gt;Al Habbai 4 Building</v>
      </c>
      <c r="E8016" s="2"/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</row>
    <row r="8017" spans="1:26" ht="16.5" x14ac:dyDescent="0.35">
      <c r="A8017" s="2" t="str">
        <f ca="1">IFERROR(__xludf.DUMMYFUNCTION("""COMPUTED_VALUE"""),"Dubai")</f>
        <v>Dubai</v>
      </c>
      <c r="B8017" s="2" t="str">
        <f ca="1">IFERROR(__xludf.DUMMYFUNCTION("""COMPUTED_VALUE"""),"Building 151")</f>
        <v>Building 151</v>
      </c>
      <c r="C8017" s="2" t="str">
        <f ca="1">IFERROR(__xludf.DUMMYFUNCTION("""COMPUTED_VALUE"""),"Building")</f>
        <v>Building</v>
      </c>
      <c r="D8017" s="2" t="str">
        <f ca="1">IFERROR(__xludf.DUMMYFUNCTION("""COMPUTED_VALUE"""),"Dubai&gt;Discovery Gardens&gt;Contemporary&gt;Building 151")</f>
        <v>Dubai&gt;Discovery Gardens&gt;Contemporary&gt;Building 151</v>
      </c>
      <c r="E8017" s="2"/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</row>
    <row r="8018" spans="1:26" ht="16.5" x14ac:dyDescent="0.35">
      <c r="A8018" s="2" t="str">
        <f ca="1">IFERROR(__xludf.DUMMYFUNCTION("""COMPUTED_VALUE"""),"Dubai")</f>
        <v>Dubai</v>
      </c>
      <c r="B8018" s="2" t="str">
        <f ca="1">IFERROR(__xludf.DUMMYFUNCTION("""COMPUTED_VALUE"""),"Building 256")</f>
        <v>Building 256</v>
      </c>
      <c r="C8018" s="2" t="str">
        <f ca="1">IFERROR(__xludf.DUMMYFUNCTION("""COMPUTED_VALUE"""),"Building")</f>
        <v>Building</v>
      </c>
      <c r="D8018" s="2" t="str">
        <f ca="1">IFERROR(__xludf.DUMMYFUNCTION("""COMPUTED_VALUE"""),"Dubai&gt;Discovery Gardens&gt;Mesoamerican&gt;Building 256")</f>
        <v>Dubai&gt;Discovery Gardens&gt;Mesoamerican&gt;Building 256</v>
      </c>
      <c r="E8018" s="2"/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</row>
    <row r="8019" spans="1:26" ht="16.5" x14ac:dyDescent="0.35">
      <c r="A8019" s="2" t="str">
        <f ca="1">IFERROR(__xludf.DUMMYFUNCTION("""COMPUTED_VALUE"""),"Dubai")</f>
        <v>Dubai</v>
      </c>
      <c r="B8019" s="2" t="str">
        <f ca="1">IFERROR(__xludf.DUMMYFUNCTION("""COMPUTED_VALUE"""),"Building 184")</f>
        <v>Building 184</v>
      </c>
      <c r="C8019" s="2" t="str">
        <f ca="1">IFERROR(__xludf.DUMMYFUNCTION("""COMPUTED_VALUE"""),"Building")</f>
        <v>Building</v>
      </c>
      <c r="D8019" s="2" t="str">
        <f ca="1">IFERROR(__xludf.DUMMYFUNCTION("""COMPUTED_VALUE"""),"Dubai&gt;Discovery Gardens&gt;Mogul&gt;Building 184")</f>
        <v>Dubai&gt;Discovery Gardens&gt;Mogul&gt;Building 184</v>
      </c>
      <c r="E8019" s="2"/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</row>
    <row r="8020" spans="1:26" ht="16.5" x14ac:dyDescent="0.35">
      <c r="A8020" s="2" t="str">
        <f ca="1">IFERROR(__xludf.DUMMYFUNCTION("""COMPUTED_VALUE"""),"Dubai")</f>
        <v>Dubai</v>
      </c>
      <c r="B8020" s="2" t="str">
        <f ca="1">IFERROR(__xludf.DUMMYFUNCTION("""COMPUTED_VALUE"""),"Building 225")</f>
        <v>Building 225</v>
      </c>
      <c r="C8020" s="2" t="str">
        <f ca="1">IFERROR(__xludf.DUMMYFUNCTION("""COMPUTED_VALUE"""),"Building")</f>
        <v>Building</v>
      </c>
      <c r="D8020" s="2" t="str">
        <f ca="1">IFERROR(__xludf.DUMMYFUNCTION("""COMPUTED_VALUE"""),"Dubai&gt;Discovery Gardens&gt;Mogul&gt;Building 225")</f>
        <v>Dubai&gt;Discovery Gardens&gt;Mogul&gt;Building 225</v>
      </c>
      <c r="E8020" s="2"/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</row>
    <row r="8021" spans="1:26" ht="16.5" x14ac:dyDescent="0.35">
      <c r="A8021" s="2" t="str">
        <f ca="1">IFERROR(__xludf.DUMMYFUNCTION("""COMPUTED_VALUE"""),"Dubai")</f>
        <v>Dubai</v>
      </c>
      <c r="B8021" s="2" t="str">
        <f ca="1">IFERROR(__xludf.DUMMYFUNCTION("""COMPUTED_VALUE"""),"Building 27")</f>
        <v>Building 27</v>
      </c>
      <c r="C8021" s="2" t="str">
        <f ca="1">IFERROR(__xludf.DUMMYFUNCTION("""COMPUTED_VALUE"""),"Building")</f>
        <v>Building</v>
      </c>
      <c r="D8021" s="2" t="str">
        <f ca="1">IFERROR(__xludf.DUMMYFUNCTION("""COMPUTED_VALUE"""),"Dubai&gt;Discovery Gardens&gt;Zen Cluster&gt;Building 27")</f>
        <v>Dubai&gt;Discovery Gardens&gt;Zen Cluster&gt;Building 27</v>
      </c>
      <c r="E8021" s="2"/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</row>
    <row r="8022" spans="1:26" ht="16.5" x14ac:dyDescent="0.35">
      <c r="A8022" s="2" t="str">
        <f ca="1">IFERROR(__xludf.DUMMYFUNCTION("""COMPUTED_VALUE"""),"Dubai")</f>
        <v>Dubai</v>
      </c>
      <c r="B8022" s="2" t="str">
        <f ca="1">IFERROR(__xludf.DUMMYFUNCTION("""COMPUTED_VALUE"""),"Building 39")</f>
        <v>Building 39</v>
      </c>
      <c r="C8022" s="2" t="str">
        <f ca="1">IFERROR(__xludf.DUMMYFUNCTION("""COMPUTED_VALUE"""),"Building")</f>
        <v>Building</v>
      </c>
      <c r="D8022" s="2" t="str">
        <f ca="1">IFERROR(__xludf.DUMMYFUNCTION("""COMPUTED_VALUE"""),"Dubai&gt;Discovery Gardens&gt;Mediterranean&gt;Building 39")</f>
        <v>Dubai&gt;Discovery Gardens&gt;Mediterranean&gt;Building 39</v>
      </c>
      <c r="E8022" s="2"/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</row>
    <row r="8023" spans="1:26" ht="16.5" x14ac:dyDescent="0.35">
      <c r="A8023" s="2" t="str">
        <f ca="1">IFERROR(__xludf.DUMMYFUNCTION("""COMPUTED_VALUE"""),"Dubai")</f>
        <v>Dubai</v>
      </c>
      <c r="B8023" s="2" t="str">
        <f ca="1">IFERROR(__xludf.DUMMYFUNCTION("""COMPUTED_VALUE"""),"Building 77")</f>
        <v>Building 77</v>
      </c>
      <c r="C8023" s="2" t="str">
        <f ca="1">IFERROR(__xludf.DUMMYFUNCTION("""COMPUTED_VALUE"""),"Building")</f>
        <v>Building</v>
      </c>
      <c r="D8023" s="2" t="str">
        <f ca="1">IFERROR(__xludf.DUMMYFUNCTION("""COMPUTED_VALUE"""),"Dubai&gt;Discovery Gardens&gt;Mediterranean&gt;Building 77")</f>
        <v>Dubai&gt;Discovery Gardens&gt;Mediterranean&gt;Building 77</v>
      </c>
      <c r="E8023" s="2"/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</row>
    <row r="8024" spans="1:26" ht="16.5" x14ac:dyDescent="0.35">
      <c r="A8024" s="2" t="str">
        <f ca="1">IFERROR(__xludf.DUMMYFUNCTION("""COMPUTED_VALUE"""),"Dubai")</f>
        <v>Dubai</v>
      </c>
      <c r="B8024" s="2" t="str">
        <f ca="1">IFERROR(__xludf.DUMMYFUNCTION("""COMPUTED_VALUE"""),"Azure Residences")</f>
        <v>Azure Residences</v>
      </c>
      <c r="C8024" s="2" t="str">
        <f ca="1">IFERROR(__xludf.DUMMYFUNCTION("""COMPUTED_VALUE"""),"Building")</f>
        <v>Building</v>
      </c>
      <c r="D8024" s="2" t="str">
        <f ca="1">IFERROR(__xludf.DUMMYFUNCTION("""COMPUTED_VALUE"""),"Dubai&gt;Palm Jumeirah&gt;Azure Residences")</f>
        <v>Dubai&gt;Palm Jumeirah&gt;Azure Residences</v>
      </c>
      <c r="E8024" s="2"/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</row>
    <row r="8025" spans="1:26" ht="16.5" x14ac:dyDescent="0.35">
      <c r="A8025" s="2" t="str">
        <f ca="1">IFERROR(__xludf.DUMMYFUNCTION("""COMPUTED_VALUE"""),"Dubai")</f>
        <v>Dubai</v>
      </c>
      <c r="B8025" s="2" t="str">
        <f ca="1">IFERROR(__xludf.DUMMYFUNCTION("""COMPUTED_VALUE"""),"Al Nabat")</f>
        <v>Al Nabat</v>
      </c>
      <c r="C8025" s="2" t="str">
        <f ca="1">IFERROR(__xludf.DUMMYFUNCTION("""COMPUTED_VALUE"""),"Building")</f>
        <v>Building</v>
      </c>
      <c r="D8025" s="2" t="str">
        <f ca="1">IFERROR(__xludf.DUMMYFUNCTION("""COMPUTED_VALUE"""),"Dubai&gt;Palm Jumeirah&gt;Shoreline Apartments&gt;Al Nabat")</f>
        <v>Dubai&gt;Palm Jumeirah&gt;Shoreline Apartments&gt;Al Nabat</v>
      </c>
      <c r="E8025" s="2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</row>
    <row r="8026" spans="1:26" ht="16.5" x14ac:dyDescent="0.35">
      <c r="A8026" s="2" t="str">
        <f ca="1">IFERROR(__xludf.DUMMYFUNCTION("""COMPUTED_VALUE"""),"Dubai")</f>
        <v>Dubai</v>
      </c>
      <c r="B8026" s="2" t="str">
        <f ca="1">IFERROR(__xludf.DUMMYFUNCTION("""COMPUTED_VALUE"""),"Signature Villas Frond I")</f>
        <v>Signature Villas Frond I</v>
      </c>
      <c r="C8026" s="2" t="str">
        <f ca="1">IFERROR(__xludf.DUMMYFUNCTION("""COMPUTED_VALUE"""),"Neighbourhood")</f>
        <v>Neighbourhood</v>
      </c>
      <c r="D8026" s="2" t="str">
        <f ca="1">IFERROR(__xludf.DUMMYFUNCTION("""COMPUTED_VALUE"""),"Dubai&gt;Palm Jumeirah&gt;Signature Villas Palm Jumeirah&gt;Signature Villas Frond I")</f>
        <v>Dubai&gt;Palm Jumeirah&gt;Signature Villas Palm Jumeirah&gt;Signature Villas Frond I</v>
      </c>
      <c r="E8026" s="2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</row>
    <row r="8027" spans="1:26" ht="16.5" x14ac:dyDescent="0.35">
      <c r="A8027" s="2" t="str">
        <f ca="1">IFERROR(__xludf.DUMMYFUNCTION("""COMPUTED_VALUE"""),"Dubai")</f>
        <v>Dubai</v>
      </c>
      <c r="B8027" s="2" t="str">
        <f ca="1">IFERROR(__xludf.DUMMYFUNCTION("""COMPUTED_VALUE"""),"Marina Residences 3")</f>
        <v>Marina Residences 3</v>
      </c>
      <c r="C8027" s="2" t="str">
        <f ca="1">IFERROR(__xludf.DUMMYFUNCTION("""COMPUTED_VALUE"""),"Building")</f>
        <v>Building</v>
      </c>
      <c r="D8027" s="2" t="str">
        <f ca="1">IFERROR(__xludf.DUMMYFUNCTION("""COMPUTED_VALUE"""),"Dubai&gt;Palm Jumeirah&gt;Marina Residences&gt;Marina Residences 3")</f>
        <v>Dubai&gt;Palm Jumeirah&gt;Marina Residences&gt;Marina Residences 3</v>
      </c>
      <c r="E8027" s="2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</row>
    <row r="8028" spans="1:26" ht="16.5" x14ac:dyDescent="0.35">
      <c r="A8028" s="2" t="str">
        <f ca="1">IFERROR(__xludf.DUMMYFUNCTION("""COMPUTED_VALUE"""),"Dubai")</f>
        <v>Dubai</v>
      </c>
      <c r="B8028" s="2" t="str">
        <f ca="1">IFERROR(__xludf.DUMMYFUNCTION("""COMPUTED_VALUE"""),"Garden Homes Palm Jumeirah")</f>
        <v>Garden Homes Palm Jumeirah</v>
      </c>
      <c r="C8028" s="2"/>
      <c r="D8028" s="2" t="str">
        <f ca="1">IFERROR(__xludf.DUMMYFUNCTION("""COMPUTED_VALUE"""),"Dubai&gt;Palm Jumeirah&gt;Garden Homes Palm Jumeirah")</f>
        <v>Dubai&gt;Palm Jumeirah&gt;Garden Homes Palm Jumeirah</v>
      </c>
      <c r="E8028" s="2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</row>
    <row r="8029" spans="1:26" ht="16.5" x14ac:dyDescent="0.35">
      <c r="A8029" s="2" t="str">
        <f ca="1">IFERROR(__xludf.DUMMYFUNCTION("""COMPUTED_VALUE"""),"Dubai")</f>
        <v>Dubai</v>
      </c>
      <c r="B8029" s="2" t="str">
        <f ca="1">IFERROR(__xludf.DUMMYFUNCTION("""COMPUTED_VALUE"""),"Canal Cove Frond D")</f>
        <v>Canal Cove Frond D</v>
      </c>
      <c r="C8029" s="2" t="str">
        <f ca="1">IFERROR(__xludf.DUMMYFUNCTION("""COMPUTED_VALUE"""),"Neighbourhood")</f>
        <v>Neighbourhood</v>
      </c>
      <c r="D8029" s="2" t="str">
        <f ca="1">IFERROR(__xludf.DUMMYFUNCTION("""COMPUTED_VALUE"""),"Dubai&gt;Palm Jumeirah&gt;Canal Cove&gt;Canal Cove Frond D")</f>
        <v>Dubai&gt;Palm Jumeirah&gt;Canal Cove&gt;Canal Cove Frond D</v>
      </c>
      <c r="E8029" s="2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</row>
    <row r="8030" spans="1:26" ht="16.5" x14ac:dyDescent="0.35">
      <c r="A8030" s="2" t="str">
        <f ca="1">IFERROR(__xludf.DUMMYFUNCTION("""COMPUTED_VALUE"""),"Dubai")</f>
        <v>Dubai</v>
      </c>
      <c r="B8030" s="2" t="str">
        <f ca="1">IFERROR(__xludf.DUMMYFUNCTION("""COMPUTED_VALUE"""),"NH Collection Dubai The Palm")</f>
        <v>NH Collection Dubai The Palm</v>
      </c>
      <c r="C8030" s="2" t="str">
        <f ca="1">IFERROR(__xludf.DUMMYFUNCTION("""COMPUTED_VALUE"""),"Building")</f>
        <v>Building</v>
      </c>
      <c r="D8030" s="2" t="str">
        <f ca="1">IFERROR(__xludf.DUMMYFUNCTION("""COMPUTED_VALUE"""),"Dubai&gt;Palm Jumeirah&gt;NH Collection Dubai The Palm")</f>
        <v>Dubai&gt;Palm Jumeirah&gt;NH Collection Dubai The Palm</v>
      </c>
      <c r="E8030" s="2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</row>
    <row r="8031" spans="1:26" ht="16.5" x14ac:dyDescent="0.35">
      <c r="A8031" s="2" t="str">
        <f ca="1">IFERROR(__xludf.DUMMYFUNCTION("""COMPUTED_VALUE"""),"Dubai")</f>
        <v>Dubai</v>
      </c>
      <c r="B8031" s="2" t="str">
        <f ca="1">IFERROR(__xludf.DUMMYFUNCTION("""COMPUTED_VALUE"""),"Battersea Residence")</f>
        <v>Battersea Residence</v>
      </c>
      <c r="C8031" s="2" t="str">
        <f ca="1">IFERROR(__xludf.DUMMYFUNCTION("""COMPUTED_VALUE"""),"Building")</f>
        <v>Building</v>
      </c>
      <c r="D8031" s="2" t="str">
        <f ca="1">IFERROR(__xludf.DUMMYFUNCTION("""COMPUTED_VALUE"""),"Dubai&gt;Al Jaddaf&gt;Battersea Residence")</f>
        <v>Dubai&gt;Al Jaddaf&gt;Battersea Residence</v>
      </c>
      <c r="E8031" s="2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</row>
    <row r="8032" spans="1:26" ht="16.5" x14ac:dyDescent="0.35">
      <c r="A8032" s="2" t="str">
        <f ca="1">IFERROR(__xludf.DUMMYFUNCTION("""COMPUTED_VALUE"""),"Dubai")</f>
        <v>Dubai</v>
      </c>
      <c r="B8032" s="2" t="str">
        <f ca="1">IFERROR(__xludf.DUMMYFUNCTION("""COMPUTED_VALUE"""),"N S Building")</f>
        <v>N S Building</v>
      </c>
      <c r="C8032" s="2" t="str">
        <f ca="1">IFERROR(__xludf.DUMMYFUNCTION("""COMPUTED_VALUE"""),"Building")</f>
        <v>Building</v>
      </c>
      <c r="D8032" s="2" t="str">
        <f ca="1">IFERROR(__xludf.DUMMYFUNCTION("""COMPUTED_VALUE"""),"Dubai&gt;Al Jaddaf&gt;Dubai Healthcare City Phase 2&gt;N S Building")</f>
        <v>Dubai&gt;Al Jaddaf&gt;Dubai Healthcare City Phase 2&gt;N S Building</v>
      </c>
      <c r="E8032" s="2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</row>
    <row r="8033" spans="1:26" ht="16.5" x14ac:dyDescent="0.35">
      <c r="A8033" s="2" t="str">
        <f ca="1">IFERROR(__xludf.DUMMYFUNCTION("""COMPUTED_VALUE"""),"Dubai")</f>
        <v>Dubai</v>
      </c>
      <c r="B8033" s="2" t="str">
        <f ca="1">IFERROR(__xludf.DUMMYFUNCTION("""COMPUTED_VALUE"""),"Emerald Jadaf Metro Building")</f>
        <v>Emerald Jadaf Metro Building</v>
      </c>
      <c r="C8033" s="2" t="str">
        <f ca="1">IFERROR(__xludf.DUMMYFUNCTION("""COMPUTED_VALUE"""),"Building")</f>
        <v>Building</v>
      </c>
      <c r="D8033" s="2" t="str">
        <f ca="1">IFERROR(__xludf.DUMMYFUNCTION("""COMPUTED_VALUE"""),"Dubai&gt;Al Jaddaf&gt;Emerald Jadaf Metro Building")</f>
        <v>Dubai&gt;Al Jaddaf&gt;Emerald Jadaf Metro Building</v>
      </c>
      <c r="E8033" s="2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</row>
    <row r="8034" spans="1:26" ht="16.5" x14ac:dyDescent="0.35">
      <c r="A8034" s="2" t="str">
        <f ca="1">IFERROR(__xludf.DUMMYFUNCTION("""COMPUTED_VALUE"""),"Dubai")</f>
        <v>Dubai</v>
      </c>
      <c r="B8034" s="2" t="str">
        <f ca="1">IFERROR(__xludf.DUMMYFUNCTION("""COMPUTED_VALUE"""),"J188")</f>
        <v>J188</v>
      </c>
      <c r="C8034" s="2" t="str">
        <f ca="1">IFERROR(__xludf.DUMMYFUNCTION("""COMPUTED_VALUE"""),"Building")</f>
        <v>Building</v>
      </c>
      <c r="D8034" s="2" t="str">
        <f ca="1">IFERROR(__xludf.DUMMYFUNCTION("""COMPUTED_VALUE"""),"Dubai&gt;Al Jaddaf&gt;J188")</f>
        <v>Dubai&gt;Al Jaddaf&gt;J188</v>
      </c>
      <c r="E8034" s="2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</row>
    <row r="8035" spans="1:26" ht="16.5" x14ac:dyDescent="0.35">
      <c r="A8035" s="2" t="str">
        <f ca="1">IFERROR(__xludf.DUMMYFUNCTION("""COMPUTED_VALUE"""),"Dubai")</f>
        <v>Dubai</v>
      </c>
      <c r="B8035" s="2" t="str">
        <f ca="1">IFERROR(__xludf.DUMMYFUNCTION("""COMPUTED_VALUE"""),"The Beach Collection")</f>
        <v>The Beach Collection</v>
      </c>
      <c r="C8035" s="2" t="str">
        <f ca="1">IFERROR(__xludf.DUMMYFUNCTION("""COMPUTED_VALUE"""),"Neighbourhood")</f>
        <v>Neighbourhood</v>
      </c>
      <c r="D8035" s="2" t="str">
        <f ca="1">IFERROR(__xludf.DUMMYFUNCTION("""COMPUTED_VALUE"""),"Dubai&gt;Palm Jebel Ali&gt;Frond B&gt;The Beach Collection")</f>
        <v>Dubai&gt;Palm Jebel Ali&gt;Frond B&gt;The Beach Collection</v>
      </c>
      <c r="E8035" s="2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</row>
    <row r="8036" spans="1:26" ht="16.5" x14ac:dyDescent="0.35">
      <c r="A8036" s="2" t="str">
        <f ca="1">IFERROR(__xludf.DUMMYFUNCTION("""COMPUTED_VALUE"""),"Dubai")</f>
        <v>Dubai</v>
      </c>
      <c r="B8036" s="2" t="str">
        <f ca="1">IFERROR(__xludf.DUMMYFUNCTION("""COMPUTED_VALUE"""),"Skyhills Residences Tower 1")</f>
        <v>Skyhills Residences Tower 1</v>
      </c>
      <c r="C8036" s="2" t="str">
        <f ca="1">IFERROR(__xludf.DUMMYFUNCTION("""COMPUTED_VALUE"""),"Building")</f>
        <v>Building</v>
      </c>
      <c r="D8036" s="2" t="str">
        <f ca="1">IFERROR(__xludf.DUMMYFUNCTION("""COMPUTED_VALUE"""),"Dubai&gt;Dubai Science Park&gt;Skyhills Residences&gt;Skyhills Residences Tower 1")</f>
        <v>Dubai&gt;Dubai Science Park&gt;Skyhills Residences&gt;Skyhills Residences Tower 1</v>
      </c>
      <c r="E8036" s="2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</row>
    <row r="8037" spans="1:26" ht="16.5" x14ac:dyDescent="0.35">
      <c r="A8037" s="2" t="str">
        <f ca="1">IFERROR(__xludf.DUMMYFUNCTION("""COMPUTED_VALUE"""),"Dubai")</f>
        <v>Dubai</v>
      </c>
      <c r="B8037" s="2" t="str">
        <f ca="1">IFERROR(__xludf.DUMMYFUNCTION("""COMPUTED_VALUE"""),"The Springs 7")</f>
        <v>The Springs 7</v>
      </c>
      <c r="C8037" s="2" t="str">
        <f ca="1">IFERROR(__xludf.DUMMYFUNCTION("""COMPUTED_VALUE"""),"Neighbourhood")</f>
        <v>Neighbourhood</v>
      </c>
      <c r="D8037" s="2" t="str">
        <f ca="1">IFERROR(__xludf.DUMMYFUNCTION("""COMPUTED_VALUE"""),"Dubai&gt;The Springs&gt;The Springs 7")</f>
        <v>Dubai&gt;The Springs&gt;The Springs 7</v>
      </c>
      <c r="E8037" s="2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</row>
    <row r="8038" spans="1:26" ht="16.5" x14ac:dyDescent="0.35">
      <c r="A8038" s="2" t="str">
        <f ca="1">IFERROR(__xludf.DUMMYFUNCTION("""COMPUTED_VALUE"""),"Dubai")</f>
        <v>Dubai</v>
      </c>
      <c r="B8038" s="2" t="str">
        <f ca="1">IFERROR(__xludf.DUMMYFUNCTION("""COMPUTED_VALUE"""),"Hammock Park")</f>
        <v>Hammock Park</v>
      </c>
      <c r="C8038" s="2" t="str">
        <f ca="1">IFERROR(__xludf.DUMMYFUNCTION("""COMPUTED_VALUE"""),"Building")</f>
        <v>Building</v>
      </c>
      <c r="D8038" s="2" t="str">
        <f ca="1">IFERROR(__xludf.DUMMYFUNCTION("""COMPUTED_VALUE"""),"Dubai&gt;Wasl Gate&gt;Hammock Park")</f>
        <v>Dubai&gt;Wasl Gate&gt;Hammock Park</v>
      </c>
      <c r="E8038" s="2"/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</row>
    <row r="8039" spans="1:26" ht="16.5" x14ac:dyDescent="0.35">
      <c r="A8039" s="2" t="str">
        <f ca="1">IFERROR(__xludf.DUMMYFUNCTION("""COMPUTED_VALUE"""),"Dubai")</f>
        <v>Dubai</v>
      </c>
      <c r="B8039" s="2" t="str">
        <f ca="1">IFERROR(__xludf.DUMMYFUNCTION("""COMPUTED_VALUE"""),"Nad Al Sheba Gardens 5")</f>
        <v>Nad Al Sheba Gardens 5</v>
      </c>
      <c r="C8039" s="2" t="str">
        <f ca="1">IFERROR(__xludf.DUMMYFUNCTION("""COMPUTED_VALUE"""),"Neighbourhood")</f>
        <v>Neighbourhood</v>
      </c>
      <c r="D8039" s="2" t="str">
        <f ca="1">IFERROR(__xludf.DUMMYFUNCTION("""COMPUTED_VALUE"""),"Dubai&gt;Nad Al Sheba&gt;Nad Al Sheba 1&gt;Nad Al Sheba Gardens&gt;Nad Al Sheba Gardens 5")</f>
        <v>Dubai&gt;Nad Al Sheba&gt;Nad Al Sheba 1&gt;Nad Al Sheba Gardens&gt;Nad Al Sheba Gardens 5</v>
      </c>
      <c r="E8039" s="2"/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</row>
    <row r="8040" spans="1:26" ht="16.5" x14ac:dyDescent="0.35">
      <c r="A8040" s="2" t="str">
        <f ca="1">IFERROR(__xludf.DUMMYFUNCTION("""COMPUTED_VALUE"""),"Dubai")</f>
        <v>Dubai</v>
      </c>
      <c r="B8040" s="2" t="str">
        <f ca="1">IFERROR(__xludf.DUMMYFUNCTION("""COMPUTED_VALUE"""),"Office Park Block B")</f>
        <v>Office Park Block B</v>
      </c>
      <c r="C8040" s="2" t="str">
        <f ca="1">IFERROR(__xludf.DUMMYFUNCTION("""COMPUTED_VALUE"""),"Building")</f>
        <v>Building</v>
      </c>
      <c r="D8040" s="2" t="str">
        <f ca="1">IFERROR(__xludf.DUMMYFUNCTION("""COMPUTED_VALUE"""),"Dubai&gt;Dubai Internet City&gt;Office Park&gt;Office Park Block B")</f>
        <v>Dubai&gt;Dubai Internet City&gt;Office Park&gt;Office Park Block B</v>
      </c>
      <c r="E8040" s="2"/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</row>
    <row r="8041" spans="1:26" ht="16.5" x14ac:dyDescent="0.35">
      <c r="A8041" s="2" t="str">
        <f ca="1">IFERROR(__xludf.DUMMYFUNCTION("""COMPUTED_VALUE"""),"Dubai")</f>
        <v>Dubai</v>
      </c>
      <c r="B8041" s="2" t="str">
        <f ca="1">IFERROR(__xludf.DUMMYFUNCTION("""COMPUTED_VALUE"""),"Dubai Islamic Bank Building")</f>
        <v>Dubai Islamic Bank Building</v>
      </c>
      <c r="C8041" s="2" t="str">
        <f ca="1">IFERROR(__xludf.DUMMYFUNCTION("""COMPUTED_VALUE"""),"Building")</f>
        <v>Building</v>
      </c>
      <c r="D8041" s="2" t="str">
        <f ca="1">IFERROR(__xludf.DUMMYFUNCTION("""COMPUTED_VALUE"""),"Dubai&gt;Dubai Internet City&gt;Dubai Islamic Bank Building")</f>
        <v>Dubai&gt;Dubai Internet City&gt;Dubai Islamic Bank Building</v>
      </c>
      <c r="E8041" s="2"/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</row>
    <row r="8042" spans="1:26" ht="16.5" x14ac:dyDescent="0.35">
      <c r="A8042" s="2" t="str">
        <f ca="1">IFERROR(__xludf.DUMMYFUNCTION("""COMPUTED_VALUE"""),"Dubai")</f>
        <v>Dubai</v>
      </c>
      <c r="B8042" s="2" t="str">
        <f ca="1">IFERROR(__xludf.DUMMYFUNCTION("""COMPUTED_VALUE"""),"Takreem Building")</f>
        <v>Takreem Building</v>
      </c>
      <c r="C8042" s="2" t="str">
        <f ca="1">IFERROR(__xludf.DUMMYFUNCTION("""COMPUTED_VALUE"""),"Building")</f>
        <v>Building</v>
      </c>
      <c r="D8042" s="2" t="str">
        <f ca="1">IFERROR(__xludf.DUMMYFUNCTION("""COMPUTED_VALUE"""),"Dubai&gt;Al Lisaili&gt;Takreem Building")</f>
        <v>Dubai&gt;Al Lisaili&gt;Takreem Building</v>
      </c>
      <c r="E8042" s="2"/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</row>
    <row r="8043" spans="1:26" ht="16.5" x14ac:dyDescent="0.35">
      <c r="A8043" s="2" t="str">
        <f ca="1">IFERROR(__xludf.DUMMYFUNCTION("""COMPUTED_VALUE"""),"Dubai")</f>
        <v>Dubai</v>
      </c>
      <c r="B8043" s="2" t="str">
        <f ca="1">IFERROR(__xludf.DUMMYFUNCTION("""COMPUTED_VALUE"""),"Marina Views Tower 2")</f>
        <v>Marina Views Tower 2</v>
      </c>
      <c r="C8043" s="2" t="str">
        <f ca="1">IFERROR(__xludf.DUMMYFUNCTION("""COMPUTED_VALUE"""),"Building")</f>
        <v>Building</v>
      </c>
      <c r="D8043" s="2" t="str">
        <f ca="1">IFERROR(__xludf.DUMMYFUNCTION("""COMPUTED_VALUE"""),"Dubai&gt;Mina Rashid&gt;Marina Views&gt;Marina Views Tower 2")</f>
        <v>Dubai&gt;Mina Rashid&gt;Marina Views&gt;Marina Views Tower 2</v>
      </c>
      <c r="E8043" s="2"/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</row>
    <row r="8044" spans="1:26" ht="16.5" x14ac:dyDescent="0.35">
      <c r="A8044" s="2" t="str">
        <f ca="1">IFERROR(__xludf.DUMMYFUNCTION("""COMPUTED_VALUE"""),"Dubai")</f>
        <v>Dubai</v>
      </c>
      <c r="B8044" s="2" t="str">
        <f ca="1">IFERROR(__xludf.DUMMYFUNCTION("""COMPUTED_VALUE"""),"Sector V")</f>
        <v>Sector V</v>
      </c>
      <c r="C8044" s="2" t="str">
        <f ca="1">IFERROR(__xludf.DUMMYFUNCTION("""COMPUTED_VALUE"""),"Neighbourhood")</f>
        <v>Neighbourhood</v>
      </c>
      <c r="D8044" s="2" t="str">
        <f ca="1">IFERROR(__xludf.DUMMYFUNCTION("""COMPUTED_VALUE"""),"Dubai&gt;Emirates Hills&gt;Sector V")</f>
        <v>Dubai&gt;Emirates Hills&gt;Sector V</v>
      </c>
      <c r="E8044" s="2"/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</row>
    <row r="8045" spans="1:26" ht="16.5" x14ac:dyDescent="0.35">
      <c r="A8045" s="2" t="str">
        <f ca="1">IFERROR(__xludf.DUMMYFUNCTION("""COMPUTED_VALUE"""),"Dubai")</f>
        <v>Dubai</v>
      </c>
      <c r="B8045" s="2" t="str">
        <f ca="1">IFERROR(__xludf.DUMMYFUNCTION("""COMPUTED_VALUE"""),"Ovelle")</f>
        <v>Ovelle</v>
      </c>
      <c r="C8045" s="2" t="str">
        <f ca="1">IFERROR(__xludf.DUMMYFUNCTION("""COMPUTED_VALUE"""),"Neighbourhood")</f>
        <v>Neighbourhood</v>
      </c>
      <c r="D8045" s="2" t="str">
        <f ca="1">IFERROR(__xludf.DUMMYFUNCTION("""COMPUTED_VALUE"""),"Dubai&gt;The Valley by Emaar&gt;Ovelle")</f>
        <v>Dubai&gt;The Valley by Emaar&gt;Ovelle</v>
      </c>
      <c r="E8045" s="2"/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</row>
    <row r="8046" spans="1:26" ht="16.5" x14ac:dyDescent="0.35">
      <c r="A8046" s="2" t="str">
        <f ca="1">IFERROR(__xludf.DUMMYFUNCTION("""COMPUTED_VALUE"""),"Dubai")</f>
        <v>Dubai</v>
      </c>
      <c r="B8046" s="2" t="str">
        <f ca="1">IFERROR(__xludf.DUMMYFUNCTION("""COMPUTED_VALUE"""),"Palmera")</f>
        <v>Palmera</v>
      </c>
      <c r="C8046" s="2" t="str">
        <f ca="1">IFERROR(__xludf.DUMMYFUNCTION("""COMPUTED_VALUE"""),"Neighbourhood")</f>
        <v>Neighbourhood</v>
      </c>
      <c r="D8046" s="2" t="str">
        <f ca="1">IFERROR(__xludf.DUMMYFUNCTION("""COMPUTED_VALUE"""),"Dubai&gt;Arabian Ranches&gt;Palmera")</f>
        <v>Dubai&gt;Arabian Ranches&gt;Palmera</v>
      </c>
      <c r="E8046" s="2"/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</row>
    <row r="8047" spans="1:26" ht="16.5" x14ac:dyDescent="0.35">
      <c r="A8047" s="2" t="str">
        <f ca="1">IFERROR(__xludf.DUMMYFUNCTION("""COMPUTED_VALUE"""),"Dubai")</f>
        <v>Dubai</v>
      </c>
      <c r="B8047" s="2" t="str">
        <f ca="1">IFERROR(__xludf.DUMMYFUNCTION("""COMPUTED_VALUE"""),"The Gardens Building 5")</f>
        <v>The Gardens Building 5</v>
      </c>
      <c r="C8047" s="2" t="str">
        <f ca="1">IFERROR(__xludf.DUMMYFUNCTION("""COMPUTED_VALUE"""),"Building")</f>
        <v>Building</v>
      </c>
      <c r="D8047" s="2" t="str">
        <f ca="1">IFERROR(__xludf.DUMMYFUNCTION("""COMPUTED_VALUE"""),"Dubai&gt;The Gardens&gt;The Gardens Building 5")</f>
        <v>Dubai&gt;The Gardens&gt;The Gardens Building 5</v>
      </c>
      <c r="E8047" s="2"/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</row>
    <row r="8048" spans="1:26" ht="16.5" x14ac:dyDescent="0.35">
      <c r="A8048" s="2" t="str">
        <f ca="1">IFERROR(__xludf.DUMMYFUNCTION("""COMPUTED_VALUE"""),"Dubai")</f>
        <v>Dubai</v>
      </c>
      <c r="B8048" s="2" t="str">
        <f ca="1">IFERROR(__xludf.DUMMYFUNCTION("""COMPUTED_VALUE"""),"The Gardens Building 77")</f>
        <v>The Gardens Building 77</v>
      </c>
      <c r="C8048" s="2" t="str">
        <f ca="1">IFERROR(__xludf.DUMMYFUNCTION("""COMPUTED_VALUE"""),"Building")</f>
        <v>Building</v>
      </c>
      <c r="D8048" s="2" t="str">
        <f ca="1">IFERROR(__xludf.DUMMYFUNCTION("""COMPUTED_VALUE"""),"Dubai&gt;The Gardens&gt;The Gardens Building 77")</f>
        <v>Dubai&gt;The Gardens&gt;The Gardens Building 77</v>
      </c>
      <c r="E8048" s="2"/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</row>
    <row r="8049" spans="1:26" ht="16.5" x14ac:dyDescent="0.35">
      <c r="A8049" s="2" t="str">
        <f ca="1">IFERROR(__xludf.DUMMYFUNCTION("""COMPUTED_VALUE"""),"Dubai")</f>
        <v>Dubai</v>
      </c>
      <c r="B8049" s="2" t="str">
        <f ca="1">IFERROR(__xludf.DUMMYFUNCTION("""COMPUTED_VALUE"""),"The Gardens Building 121")</f>
        <v>The Gardens Building 121</v>
      </c>
      <c r="C8049" s="2" t="str">
        <f ca="1">IFERROR(__xludf.DUMMYFUNCTION("""COMPUTED_VALUE"""),"Building")</f>
        <v>Building</v>
      </c>
      <c r="D8049" s="2" t="str">
        <f ca="1">IFERROR(__xludf.DUMMYFUNCTION("""COMPUTED_VALUE"""),"Dubai&gt;The Gardens&gt;The Gardens Building 121")</f>
        <v>Dubai&gt;The Gardens&gt;The Gardens Building 121</v>
      </c>
      <c r="E8049" s="2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</row>
    <row r="8050" spans="1:26" ht="16.5" x14ac:dyDescent="0.35">
      <c r="A8050" s="2" t="str">
        <f ca="1">IFERROR(__xludf.DUMMYFUNCTION("""COMPUTED_VALUE"""),"Dubai")</f>
        <v>Dubai</v>
      </c>
      <c r="B8050" s="2" t="str">
        <f ca="1">IFERROR(__xludf.DUMMYFUNCTION("""COMPUTED_VALUE"""),"The Gardens Building 40")</f>
        <v>The Gardens Building 40</v>
      </c>
      <c r="C8050" s="2" t="str">
        <f ca="1">IFERROR(__xludf.DUMMYFUNCTION("""COMPUTED_VALUE"""),"Building")</f>
        <v>Building</v>
      </c>
      <c r="D8050" s="2" t="str">
        <f ca="1">IFERROR(__xludf.DUMMYFUNCTION("""COMPUTED_VALUE"""),"Dubai&gt;The Gardens&gt;The Gardens Building 40")</f>
        <v>Dubai&gt;The Gardens&gt;The Gardens Building 40</v>
      </c>
      <c r="E8050" s="2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</row>
    <row r="8051" spans="1:26" ht="16.5" x14ac:dyDescent="0.35">
      <c r="A8051" s="2" t="str">
        <f ca="1">IFERROR(__xludf.DUMMYFUNCTION("""COMPUTED_VALUE"""),"Dubai")</f>
        <v>Dubai</v>
      </c>
      <c r="B8051" s="2" t="str">
        <f ca="1">IFERROR(__xludf.DUMMYFUNCTION("""COMPUTED_VALUE"""),"Abraj Al Mamzar Block B")</f>
        <v>Abraj Al Mamzar Block B</v>
      </c>
      <c r="C8051" s="2" t="str">
        <f ca="1">IFERROR(__xludf.DUMMYFUNCTION("""COMPUTED_VALUE"""),"Building")</f>
        <v>Building</v>
      </c>
      <c r="D8051" s="2" t="str">
        <f ca="1">IFERROR(__xludf.DUMMYFUNCTION("""COMPUTED_VALUE"""),"Dubai&gt;Al Mamzar&gt;Abraj Al Mamzar&gt;Abraj Al Mamzar Block B")</f>
        <v>Dubai&gt;Al Mamzar&gt;Abraj Al Mamzar&gt;Abraj Al Mamzar Block B</v>
      </c>
      <c r="E8051" s="2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</row>
    <row r="8052" spans="1:26" ht="16.5" x14ac:dyDescent="0.35">
      <c r="A8052" s="2" t="str">
        <f ca="1">IFERROR(__xludf.DUMMYFUNCTION("""COMPUTED_VALUE"""),"Dubai")</f>
        <v>Dubai</v>
      </c>
      <c r="B8052" s="2" t="str">
        <f ca="1">IFERROR(__xludf.DUMMYFUNCTION("""COMPUTED_VALUE"""),"The Residences At Caesars Resort")</f>
        <v>The Residences At Caesars Resort</v>
      </c>
      <c r="C8052" s="2" t="str">
        <f ca="1">IFERROR(__xludf.DUMMYFUNCTION("""COMPUTED_VALUE"""),"Building")</f>
        <v>Building</v>
      </c>
      <c r="D8052" s="2" t="str">
        <f ca="1">IFERROR(__xludf.DUMMYFUNCTION("""COMPUTED_VALUE"""),"Dubai&gt;Bluewaters Island&gt;Caesars Resort&gt;The Residences At Caesars Resort")</f>
        <v>Dubai&gt;Bluewaters Island&gt;Caesars Resort&gt;The Residences At Caesars Resort</v>
      </c>
      <c r="E8052" s="2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</row>
    <row r="8053" spans="1:26" ht="16.5" x14ac:dyDescent="0.35">
      <c r="A8053" s="2" t="str">
        <f ca="1">IFERROR(__xludf.DUMMYFUNCTION("""COMPUTED_VALUE"""),"Dubai")</f>
        <v>Dubai</v>
      </c>
      <c r="B8053" s="2" t="str">
        <f ca="1">IFERROR(__xludf.DUMMYFUNCTION("""COMPUTED_VALUE"""),"Al Mezan Tower")</f>
        <v>Al Mezan Tower</v>
      </c>
      <c r="C8053" s="2" t="str">
        <f ca="1">IFERROR(__xludf.DUMMYFUNCTION("""COMPUTED_VALUE"""),"Building")</f>
        <v>Building</v>
      </c>
      <c r="D8053" s="2" t="str">
        <f ca="1">IFERROR(__xludf.DUMMYFUNCTION("""COMPUTED_VALUE"""),"Dubai&gt;Muhaisnah&gt;Muhaisnah 4&gt;Al Mezan Tower")</f>
        <v>Dubai&gt;Muhaisnah&gt;Muhaisnah 4&gt;Al Mezan Tower</v>
      </c>
      <c r="E8053" s="2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</row>
    <row r="8054" spans="1:26" ht="16.5" x14ac:dyDescent="0.35">
      <c r="A8054" s="2" t="str">
        <f ca="1">IFERROR(__xludf.DUMMYFUNCTION("""COMPUTED_VALUE"""),"Dubai")</f>
        <v>Dubai</v>
      </c>
      <c r="B8054" s="2" t="str">
        <f ca="1">IFERROR(__xludf.DUMMYFUNCTION("""COMPUTED_VALUE"""),"Philadelphia Private School")</f>
        <v>Philadelphia Private School</v>
      </c>
      <c r="C8054" s="2" t="str">
        <f ca="1">IFERROR(__xludf.DUMMYFUNCTION("""COMPUTED_VALUE"""),"School")</f>
        <v>School</v>
      </c>
      <c r="D8054" s="2" t="str">
        <f ca="1">IFERROR(__xludf.DUMMYFUNCTION("""COMPUTED_VALUE"""),"Dubai&gt;Muhaisnah&gt;Muhaisnah 1&gt;Philadelphia Private School")</f>
        <v>Dubai&gt;Muhaisnah&gt;Muhaisnah 1&gt;Philadelphia Private School</v>
      </c>
      <c r="E8054" s="2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</row>
    <row r="8055" spans="1:26" ht="16.5" x14ac:dyDescent="0.35">
      <c r="A8055" s="2" t="str">
        <f ca="1">IFERROR(__xludf.DUMMYFUNCTION("""COMPUTED_VALUE"""),"Dubai")</f>
        <v>Dubai</v>
      </c>
      <c r="B8055" s="2" t="str">
        <f ca="1">IFERROR(__xludf.DUMMYFUNCTION("""COMPUTED_VALUE"""),"Staybridge Suites")</f>
        <v>Staybridge Suites</v>
      </c>
      <c r="C8055" s="2" t="str">
        <f ca="1">IFERROR(__xludf.DUMMYFUNCTION("""COMPUTED_VALUE"""),"Building")</f>
        <v>Building</v>
      </c>
      <c r="D8055" s="2" t="str">
        <f ca="1">IFERROR(__xludf.DUMMYFUNCTION("""COMPUTED_VALUE"""),"Dubai&gt;Sheikh Zayed Road&gt;Staybridge Suites")</f>
        <v>Dubai&gt;Sheikh Zayed Road&gt;Staybridge Suites</v>
      </c>
      <c r="E8055" s="2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</row>
    <row r="8056" spans="1:26" ht="16.5" x14ac:dyDescent="0.35">
      <c r="A8056" s="2" t="str">
        <f ca="1">IFERROR(__xludf.DUMMYFUNCTION("""COMPUTED_VALUE"""),"Dubai")</f>
        <v>Dubai</v>
      </c>
      <c r="B8056" s="2" t="str">
        <f ca="1">IFERROR(__xludf.DUMMYFUNCTION("""COMPUTED_VALUE"""),"Al Rostamani Tower A")</f>
        <v>Al Rostamani Tower A</v>
      </c>
      <c r="C8056" s="2" t="str">
        <f ca="1">IFERROR(__xludf.DUMMYFUNCTION("""COMPUTED_VALUE"""),"Building")</f>
        <v>Building</v>
      </c>
      <c r="D8056" s="2" t="str">
        <f ca="1">IFERROR(__xludf.DUMMYFUNCTION("""COMPUTED_VALUE"""),"Dubai&gt;Sheikh Zayed Road&gt;Al Rostamani Towers&gt;Al Rostamani Tower A")</f>
        <v>Dubai&gt;Sheikh Zayed Road&gt;Al Rostamani Towers&gt;Al Rostamani Tower A</v>
      </c>
      <c r="E8056" s="2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</row>
    <row r="8057" spans="1:26" ht="16.5" x14ac:dyDescent="0.35">
      <c r="A8057" s="2" t="str">
        <f ca="1">IFERROR(__xludf.DUMMYFUNCTION("""COMPUTED_VALUE"""),"Dubai")</f>
        <v>Dubai</v>
      </c>
      <c r="B8057" s="2" t="str">
        <f ca="1">IFERROR(__xludf.DUMMYFUNCTION("""COMPUTED_VALUE"""),"Up Tower")</f>
        <v>Up Tower</v>
      </c>
      <c r="C8057" s="2" t="str">
        <f ca="1">IFERROR(__xludf.DUMMYFUNCTION("""COMPUTED_VALUE"""),"Building")</f>
        <v>Building</v>
      </c>
      <c r="D8057" s="2" t="str">
        <f ca="1">IFERROR(__xludf.DUMMYFUNCTION("""COMPUTED_VALUE"""),"Dubai&gt;Sheikh Zayed Road&gt;Up Tower")</f>
        <v>Dubai&gt;Sheikh Zayed Road&gt;Up Tower</v>
      </c>
      <c r="E8057" s="2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</row>
    <row r="8058" spans="1:26" ht="16.5" x14ac:dyDescent="0.35">
      <c r="A8058" s="2" t="str">
        <f ca="1">IFERROR(__xludf.DUMMYFUNCTION("""COMPUTED_VALUE"""),"Dubai")</f>
        <v>Dubai</v>
      </c>
      <c r="B8058" s="2" t="str">
        <f ca="1">IFERROR(__xludf.DUMMYFUNCTION("""COMPUTED_VALUE"""),"Al Wafa Tower")</f>
        <v>Al Wafa Tower</v>
      </c>
      <c r="C8058" s="2" t="str">
        <f ca="1">IFERROR(__xludf.DUMMYFUNCTION("""COMPUTED_VALUE"""),"Building")</f>
        <v>Building</v>
      </c>
      <c r="D8058" s="2" t="str">
        <f ca="1">IFERROR(__xludf.DUMMYFUNCTION("""COMPUTED_VALUE"""),"Dubai&gt;Sheikh Zayed Road&gt;Al Wafa Tower")</f>
        <v>Dubai&gt;Sheikh Zayed Road&gt;Al Wafa Tower</v>
      </c>
      <c r="E8058" s="2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</row>
    <row r="8059" spans="1:26" ht="16.5" x14ac:dyDescent="0.35">
      <c r="A8059" s="2" t="str">
        <f ca="1">IFERROR(__xludf.DUMMYFUNCTION("""COMPUTED_VALUE"""),"Dubai")</f>
        <v>Dubai</v>
      </c>
      <c r="B8059" s="2" t="str">
        <f ca="1">IFERROR(__xludf.DUMMYFUNCTION("""COMPUTED_VALUE"""),"Al Karama")</f>
        <v>Al Karama</v>
      </c>
      <c r="C8059" s="2" t="str">
        <f ca="1">IFERROR(__xludf.DUMMYFUNCTION("""COMPUTED_VALUE"""),"Neighbourhood")</f>
        <v>Neighbourhood</v>
      </c>
      <c r="D8059" s="2" t="str">
        <f ca="1">IFERROR(__xludf.DUMMYFUNCTION("""COMPUTED_VALUE"""),"Dubai&gt;Al Karama")</f>
        <v>Dubai&gt;Al Karama</v>
      </c>
      <c r="E8059" s="2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</row>
    <row r="8060" spans="1:26" ht="16.5" x14ac:dyDescent="0.35">
      <c r="A8060" s="2" t="str">
        <f ca="1">IFERROR(__xludf.DUMMYFUNCTION("""COMPUTED_VALUE"""),"Dubai")</f>
        <v>Dubai</v>
      </c>
      <c r="B8060" s="2" t="str">
        <f ca="1">IFERROR(__xludf.DUMMYFUNCTION("""COMPUTED_VALUE"""),"Building 7")</f>
        <v>Building 7</v>
      </c>
      <c r="C8060" s="2" t="str">
        <f ca="1">IFERROR(__xludf.DUMMYFUNCTION("""COMPUTED_VALUE"""),"Building")</f>
        <v>Building</v>
      </c>
      <c r="D8060" s="2" t="str">
        <f ca="1">IFERROR(__xludf.DUMMYFUNCTION("""COMPUTED_VALUE"""),"Dubai&gt;Al Karama&gt;Karam Pioneer Buildings&gt;Building 7")</f>
        <v>Dubai&gt;Al Karama&gt;Karam Pioneer Buildings&gt;Building 7</v>
      </c>
      <c r="E8060" s="2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</row>
    <row r="8061" spans="1:26" ht="16.5" x14ac:dyDescent="0.35">
      <c r="A8061" s="2" t="str">
        <f ca="1">IFERROR(__xludf.DUMMYFUNCTION("""COMPUTED_VALUE"""),"Dubai")</f>
        <v>Dubai</v>
      </c>
      <c r="B8061" s="2" t="str">
        <f ca="1">IFERROR(__xludf.DUMMYFUNCTION("""COMPUTED_VALUE"""),"Building 39")</f>
        <v>Building 39</v>
      </c>
      <c r="C8061" s="2" t="str">
        <f ca="1">IFERROR(__xludf.DUMMYFUNCTION("""COMPUTED_VALUE"""),"Building")</f>
        <v>Building</v>
      </c>
      <c r="D8061" s="2" t="str">
        <f ca="1">IFERROR(__xludf.DUMMYFUNCTION("""COMPUTED_VALUE"""),"Dubai&gt;Al Karama&gt;Karam Pioneer Buildings&gt;Building 39")</f>
        <v>Dubai&gt;Al Karama&gt;Karam Pioneer Buildings&gt;Building 39</v>
      </c>
      <c r="E8061" s="2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</row>
    <row r="8062" spans="1:26" ht="16.5" x14ac:dyDescent="0.35">
      <c r="A8062" s="2" t="str">
        <f ca="1">IFERROR(__xludf.DUMMYFUNCTION("""COMPUTED_VALUE"""),"Dubai")</f>
        <v>Dubai</v>
      </c>
      <c r="B8062" s="2" t="str">
        <f ca="1">IFERROR(__xludf.DUMMYFUNCTION("""COMPUTED_VALUE"""),"Wasl Opal")</f>
        <v>Wasl Opal</v>
      </c>
      <c r="C8062" s="2" t="str">
        <f ca="1">IFERROR(__xludf.DUMMYFUNCTION("""COMPUTED_VALUE"""),"Building")</f>
        <v>Building</v>
      </c>
      <c r="D8062" s="2" t="str">
        <f ca="1">IFERROR(__xludf.DUMMYFUNCTION("""COMPUTED_VALUE"""),"Dubai&gt;Al Karama&gt;Wasl Opal")</f>
        <v>Dubai&gt;Al Karama&gt;Wasl Opal</v>
      </c>
      <c r="E8062" s="2"/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</row>
    <row r="8063" spans="1:26" ht="16.5" x14ac:dyDescent="0.35">
      <c r="A8063" s="2" t="str">
        <f ca="1">IFERROR(__xludf.DUMMYFUNCTION("""COMPUTED_VALUE"""),"Dubai")</f>
        <v>Dubai</v>
      </c>
      <c r="B8063" s="2" t="str">
        <f ca="1">IFERROR(__xludf.DUMMYFUNCTION("""COMPUTED_VALUE"""),"R A Lootah Building")</f>
        <v>R A Lootah Building</v>
      </c>
      <c r="C8063" s="2" t="str">
        <f ca="1">IFERROR(__xludf.DUMMYFUNCTION("""COMPUTED_VALUE"""),"Building")</f>
        <v>Building</v>
      </c>
      <c r="D8063" s="2" t="str">
        <f ca="1">IFERROR(__xludf.DUMMYFUNCTION("""COMPUTED_VALUE"""),"Dubai&gt;Al Karama&gt;R A Lootah Building")</f>
        <v>Dubai&gt;Al Karama&gt;R A Lootah Building</v>
      </c>
      <c r="E8063" s="2"/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</row>
    <row r="8064" spans="1:26" ht="16.5" x14ac:dyDescent="0.35">
      <c r="A8064" s="2" t="str">
        <f ca="1">IFERROR(__xludf.DUMMYFUNCTION("""COMPUTED_VALUE"""),"Dubai")</f>
        <v>Dubai</v>
      </c>
      <c r="B8064" s="2" t="str">
        <f ca="1">IFERROR(__xludf.DUMMYFUNCTION("""COMPUTED_VALUE"""),"Al Shraifi 2")</f>
        <v>Al Shraifi 2</v>
      </c>
      <c r="C8064" s="2" t="str">
        <f ca="1">IFERROR(__xludf.DUMMYFUNCTION("""COMPUTED_VALUE"""),"Building")</f>
        <v>Building</v>
      </c>
      <c r="D8064" s="2" t="str">
        <f ca="1">IFERROR(__xludf.DUMMYFUNCTION("""COMPUTED_VALUE"""),"Dubai&gt;Al Karama&gt;Al Shraifi 2")</f>
        <v>Dubai&gt;Al Karama&gt;Al Shraifi 2</v>
      </c>
      <c r="E8064" s="2"/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</row>
    <row r="8065" spans="1:26" ht="16.5" x14ac:dyDescent="0.35">
      <c r="A8065" s="2" t="str">
        <f ca="1">IFERROR(__xludf.DUMMYFUNCTION("""COMPUTED_VALUE"""),"Dubai")</f>
        <v>Dubai</v>
      </c>
      <c r="B8065" s="2" t="str">
        <f ca="1">IFERROR(__xludf.DUMMYFUNCTION("""COMPUTED_VALUE"""),"R467 Al Wasl Building")</f>
        <v>R467 Al Wasl Building</v>
      </c>
      <c r="C8065" s="2" t="str">
        <f ca="1">IFERROR(__xludf.DUMMYFUNCTION("""COMPUTED_VALUE"""),"Building")</f>
        <v>Building</v>
      </c>
      <c r="D8065" s="2" t="str">
        <f ca="1">IFERROR(__xludf.DUMMYFUNCTION("""COMPUTED_VALUE"""),"Dubai&gt;Al Karama&gt;R467 Al Wasl Building")</f>
        <v>Dubai&gt;Al Karama&gt;R467 Al Wasl Building</v>
      </c>
      <c r="E8065" s="2"/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</row>
    <row r="8066" spans="1:26" ht="16.5" x14ac:dyDescent="0.35">
      <c r="A8066" s="2" t="str">
        <f ca="1">IFERROR(__xludf.DUMMYFUNCTION("""COMPUTED_VALUE"""),"Dubai")</f>
        <v>Dubai</v>
      </c>
      <c r="B8066" s="2" t="str">
        <f ca="1">IFERROR(__xludf.DUMMYFUNCTION("""COMPUTED_VALUE"""),"Abdulla Ali Abdulla Building")</f>
        <v>Abdulla Ali Abdulla Building</v>
      </c>
      <c r="C8066" s="2" t="str">
        <f ca="1">IFERROR(__xludf.DUMMYFUNCTION("""COMPUTED_VALUE"""),"Building")</f>
        <v>Building</v>
      </c>
      <c r="D8066" s="2" t="str">
        <f ca="1">IFERROR(__xludf.DUMMYFUNCTION("""COMPUTED_VALUE"""),"Dubai&gt;Al Karama&gt;Abdulla Ali Abdulla Building")</f>
        <v>Dubai&gt;Al Karama&gt;Abdulla Ali Abdulla Building</v>
      </c>
      <c r="E8066" s="2"/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</row>
    <row r="8067" spans="1:26" ht="16.5" x14ac:dyDescent="0.35">
      <c r="A8067" s="2" t="str">
        <f ca="1">IFERROR(__xludf.DUMMYFUNCTION("""COMPUTED_VALUE"""),"Dubai")</f>
        <v>Dubai</v>
      </c>
      <c r="B8067" s="2" t="str">
        <f ca="1">IFERROR(__xludf.DUMMYFUNCTION("""COMPUTED_VALUE"""),"Emerald Karama")</f>
        <v>Emerald Karama</v>
      </c>
      <c r="C8067" s="2" t="str">
        <f ca="1">IFERROR(__xludf.DUMMYFUNCTION("""COMPUTED_VALUE"""),"Building")</f>
        <v>Building</v>
      </c>
      <c r="D8067" s="2" t="str">
        <f ca="1">IFERROR(__xludf.DUMMYFUNCTION("""COMPUTED_VALUE"""),"Dubai&gt;Al Karama&gt;Emerald Karama")</f>
        <v>Dubai&gt;Al Karama&gt;Emerald Karama</v>
      </c>
      <c r="E8067" s="2"/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</row>
    <row r="8068" spans="1:26" ht="16.5" x14ac:dyDescent="0.35">
      <c r="A8068" s="2" t="str">
        <f ca="1">IFERROR(__xludf.DUMMYFUNCTION("""COMPUTED_VALUE"""),"Dubai")</f>
        <v>Dubai</v>
      </c>
      <c r="B8068" s="2" t="str">
        <f ca="1">IFERROR(__xludf.DUMMYFUNCTION("""COMPUTED_VALUE"""),"Zaabeel Business Centre")</f>
        <v>Zaabeel Business Centre</v>
      </c>
      <c r="C8068" s="2" t="str">
        <f ca="1">IFERROR(__xludf.DUMMYFUNCTION("""COMPUTED_VALUE"""),"Building")</f>
        <v>Building</v>
      </c>
      <c r="D8068" s="2" t="str">
        <f ca="1">IFERROR(__xludf.DUMMYFUNCTION("""COMPUTED_VALUE"""),"Dubai&gt;Al Karama&gt;Zaabeel Business Centre")</f>
        <v>Dubai&gt;Al Karama&gt;Zaabeel Business Centre</v>
      </c>
      <c r="E8068" s="2"/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</row>
    <row r="8069" spans="1:26" ht="16.5" x14ac:dyDescent="0.35">
      <c r="A8069" s="2" t="str">
        <f ca="1">IFERROR(__xludf.DUMMYFUNCTION("""COMPUTED_VALUE"""),"Dubai")</f>
        <v>Dubai</v>
      </c>
      <c r="B8069" s="2" t="str">
        <f ca="1">IFERROR(__xludf.DUMMYFUNCTION("""COMPUTED_VALUE"""),"Easa Salah Gurg Building")</f>
        <v>Easa Salah Gurg Building</v>
      </c>
      <c r="C8069" s="2" t="str">
        <f ca="1">IFERROR(__xludf.DUMMYFUNCTION("""COMPUTED_VALUE"""),"Building")</f>
        <v>Building</v>
      </c>
      <c r="D8069" s="2" t="str">
        <f ca="1">IFERROR(__xludf.DUMMYFUNCTION("""COMPUTED_VALUE"""),"Dubai&gt;Al Karama&gt;Easa Salah Gurg Building")</f>
        <v>Dubai&gt;Al Karama&gt;Easa Salah Gurg Building</v>
      </c>
      <c r="E8069" s="2"/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</row>
    <row r="8070" spans="1:26" ht="16.5" x14ac:dyDescent="0.35">
      <c r="A8070" s="2" t="str">
        <f ca="1">IFERROR(__xludf.DUMMYFUNCTION("""COMPUTED_VALUE"""),"Dubai")</f>
        <v>Dubai</v>
      </c>
      <c r="B8070" s="2" t="str">
        <f ca="1">IFERROR(__xludf.DUMMYFUNCTION("""COMPUTED_VALUE"""),"Star 1 Building")</f>
        <v>Star 1 Building</v>
      </c>
      <c r="C8070" s="2" t="str">
        <f ca="1">IFERROR(__xludf.DUMMYFUNCTION("""COMPUTED_VALUE"""),"Building")</f>
        <v>Building</v>
      </c>
      <c r="D8070" s="2" t="str">
        <f ca="1">IFERROR(__xludf.DUMMYFUNCTION("""COMPUTED_VALUE"""),"Dubai&gt;Al Karama&gt;Star 1 Building")</f>
        <v>Dubai&gt;Al Karama&gt;Star 1 Building</v>
      </c>
      <c r="E8070" s="2"/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</row>
    <row r="8071" spans="1:26" ht="16.5" x14ac:dyDescent="0.35">
      <c r="A8071" s="2" t="str">
        <f ca="1">IFERROR(__xludf.DUMMYFUNCTION("""COMPUTED_VALUE"""),"Dubai")</f>
        <v>Dubai</v>
      </c>
      <c r="B8071" s="2" t="str">
        <f ca="1">IFERROR(__xludf.DUMMYFUNCTION("""COMPUTED_VALUE"""),"Niloofar Tower")</f>
        <v>Niloofar Tower</v>
      </c>
      <c r="C8071" s="2" t="str">
        <f ca="1">IFERROR(__xludf.DUMMYFUNCTION("""COMPUTED_VALUE"""),"Building")</f>
        <v>Building</v>
      </c>
      <c r="D8071" s="2" t="str">
        <f ca="1">IFERROR(__xludf.DUMMYFUNCTION("""COMPUTED_VALUE"""),"Dubai&gt;Culture Village (Jaddaf Waterfront)&gt;Niloofar Tower")</f>
        <v>Dubai&gt;Culture Village (Jaddaf Waterfront)&gt;Niloofar Tower</v>
      </c>
      <c r="E8071" s="2"/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</row>
    <row r="8072" spans="1:26" ht="16.5" x14ac:dyDescent="0.35">
      <c r="A8072" s="2" t="str">
        <f ca="1">IFERROR(__xludf.DUMMYFUNCTION("""COMPUTED_VALUE"""),"Dubai")</f>
        <v>Dubai</v>
      </c>
      <c r="B8072" s="2" t="str">
        <f ca="1">IFERROR(__xludf.DUMMYFUNCTION("""COMPUTED_VALUE"""),"Belgravia Gardens")</f>
        <v>Belgravia Gardens</v>
      </c>
      <c r="C8072" s="2" t="str">
        <f ca="1">IFERROR(__xludf.DUMMYFUNCTION("""COMPUTED_VALUE"""),"Building")</f>
        <v>Building</v>
      </c>
      <c r="D8072" s="2" t="str">
        <f ca="1">IFERROR(__xludf.DUMMYFUNCTION("""COMPUTED_VALUE"""),"Dubai&gt;Falcon City of Wonders&gt;Belgravia Gardens")</f>
        <v>Dubai&gt;Falcon City of Wonders&gt;Belgravia Gardens</v>
      </c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</row>
    <row r="8073" spans="1:26" ht="16.5" x14ac:dyDescent="0.35">
      <c r="A8073" s="2" t="str">
        <f ca="1">IFERROR(__xludf.DUMMYFUNCTION("""COMPUTED_VALUE"""),"Dubai")</f>
        <v>Dubai</v>
      </c>
      <c r="B8073" s="2" t="str">
        <f ca="1">IFERROR(__xludf.DUMMYFUNCTION("""COMPUTED_VALUE"""),"Al Jazi")</f>
        <v>Al Jazi</v>
      </c>
      <c r="C8073" s="2" t="str">
        <f ca="1">IFERROR(__xludf.DUMMYFUNCTION("""COMPUTED_VALUE"""),"Cluster")</f>
        <v>Cluster</v>
      </c>
      <c r="D8073" s="2" t="str">
        <f ca="1">IFERROR(__xludf.DUMMYFUNCTION("""COMPUTED_VALUE"""),"Dubai&gt;Umm Suqeim&gt;Madinat Jumeirah Living&gt;Al Jazi")</f>
        <v>Dubai&gt;Umm Suqeim&gt;Madinat Jumeirah Living&gt;Al Jazi</v>
      </c>
      <c r="E8073" s="2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</row>
    <row r="8074" spans="1:26" ht="16.5" x14ac:dyDescent="0.35">
      <c r="A8074" s="2" t="str">
        <f ca="1">IFERROR(__xludf.DUMMYFUNCTION("""COMPUTED_VALUE"""),"Dubai")</f>
        <v>Dubai</v>
      </c>
      <c r="B8074" s="2" t="str">
        <f ca="1">IFERROR(__xludf.DUMMYFUNCTION("""COMPUTED_VALUE"""),"Collegiate American School")</f>
        <v>Collegiate American School</v>
      </c>
      <c r="C8074" s="2" t="str">
        <f ca="1">IFERROR(__xludf.DUMMYFUNCTION("""COMPUTED_VALUE"""),"School")</f>
        <v>School</v>
      </c>
      <c r="D8074" s="2" t="str">
        <f ca="1">IFERROR(__xludf.DUMMYFUNCTION("""COMPUTED_VALUE"""),"Dubai&gt;Umm Suqeim&gt;Umm Suqeim 2&gt;Collegiate American School")</f>
        <v>Dubai&gt;Umm Suqeim&gt;Umm Suqeim 2&gt;Collegiate American School</v>
      </c>
      <c r="E8074" s="2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</row>
    <row r="8075" spans="1:26" ht="16.5" x14ac:dyDescent="0.35">
      <c r="A8075" s="2" t="str">
        <f ca="1">IFERROR(__xludf.DUMMYFUNCTION("""COMPUTED_VALUE"""),"Dubai")</f>
        <v>Dubai</v>
      </c>
      <c r="B8075" s="2" t="str">
        <f ca="1">IFERROR(__xludf.DUMMYFUNCTION("""COMPUTED_VALUE"""),"Azizi Milan")</f>
        <v>Azizi Milan</v>
      </c>
      <c r="C8075" s="2" t="str">
        <f ca="1">IFERROR(__xludf.DUMMYFUNCTION("""COMPUTED_VALUE"""),"Cluster")</f>
        <v>Cluster</v>
      </c>
      <c r="D8075" s="2" t="str">
        <f ca="1">IFERROR(__xludf.DUMMYFUNCTION("""COMPUTED_VALUE"""),"Dubai&gt;City of Arabia&gt;Azizi Milan")</f>
        <v>Dubai&gt;City of Arabia&gt;Azizi Milan</v>
      </c>
      <c r="E8075" s="2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</row>
    <row r="8076" spans="1:26" ht="16.5" x14ac:dyDescent="0.35">
      <c r="A8076" s="2" t="str">
        <f ca="1">IFERROR(__xludf.DUMMYFUNCTION("""COMPUTED_VALUE"""),"Dubai")</f>
        <v>Dubai</v>
      </c>
      <c r="B8076" s="2" t="str">
        <f ca="1">IFERROR(__xludf.DUMMYFUNCTION("""COMPUTED_VALUE"""),"Al Rowaa 1")</f>
        <v>Al Rowaa 1</v>
      </c>
      <c r="C8076" s="2" t="str">
        <f ca="1">IFERROR(__xludf.DUMMYFUNCTION("""COMPUTED_VALUE"""),"Building")</f>
        <v>Building</v>
      </c>
      <c r="D8076" s="2" t="str">
        <f ca="1">IFERROR(__xludf.DUMMYFUNCTION("""COMPUTED_VALUE"""),"Dubai&gt;Al Badaa&gt;Al Rowaa 1")</f>
        <v>Dubai&gt;Al Badaa&gt;Al Rowaa 1</v>
      </c>
      <c r="E8076" s="2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</row>
    <row r="8077" spans="1:26" ht="16.5" x14ac:dyDescent="0.35">
      <c r="A8077" s="2" t="str">
        <f ca="1">IFERROR(__xludf.DUMMYFUNCTION("""COMPUTED_VALUE"""),"Dubai")</f>
        <v>Dubai</v>
      </c>
      <c r="B8077" s="2" t="str">
        <f ca="1">IFERROR(__xludf.DUMMYFUNCTION("""COMPUTED_VALUE"""),"Al Maha Building")</f>
        <v>Al Maha Building</v>
      </c>
      <c r="C8077" s="2" t="str">
        <f ca="1">IFERROR(__xludf.DUMMYFUNCTION("""COMPUTED_VALUE"""),"Building")</f>
        <v>Building</v>
      </c>
      <c r="D8077" s="2" t="str">
        <f ca="1">IFERROR(__xludf.DUMMYFUNCTION("""COMPUTED_VALUE"""),"Dubai&gt;Al Badaa&gt;Al Maha Building")</f>
        <v>Dubai&gt;Al Badaa&gt;Al Maha Building</v>
      </c>
      <c r="E8077" s="2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</row>
    <row r="8078" spans="1:26" ht="16.5" x14ac:dyDescent="0.35">
      <c r="A8078" s="2" t="str">
        <f ca="1">IFERROR(__xludf.DUMMYFUNCTION("""COMPUTED_VALUE"""),"Dubai")</f>
        <v>Dubai</v>
      </c>
      <c r="B8078" s="2" t="str">
        <f ca="1">IFERROR(__xludf.DUMMYFUNCTION("""COMPUTED_VALUE"""),"Bahwan Villas Al Manara")</f>
        <v>Bahwan Villas Al Manara</v>
      </c>
      <c r="C8078" s="2" t="str">
        <f ca="1">IFERROR(__xludf.DUMMYFUNCTION("""COMPUTED_VALUE"""),"Neighbourhood")</f>
        <v>Neighbourhood</v>
      </c>
      <c r="D8078" s="2" t="str">
        <f ca="1">IFERROR(__xludf.DUMMYFUNCTION("""COMPUTED_VALUE"""),"Dubai&gt;Al Manara&gt;Bahwan Villas Al Manara")</f>
        <v>Dubai&gt;Al Manara&gt;Bahwan Villas Al Manara</v>
      </c>
      <c r="E8078" s="2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</row>
    <row r="8079" spans="1:26" ht="16.5" x14ac:dyDescent="0.35">
      <c r="A8079" s="2" t="str">
        <f ca="1">IFERROR(__xludf.DUMMYFUNCTION("""COMPUTED_VALUE"""),"Dubai")</f>
        <v>Dubai</v>
      </c>
      <c r="B8079" s="2" t="str">
        <f ca="1">IFERROR(__xludf.DUMMYFUNCTION("""COMPUTED_VALUE"""),"DOZ 11 Building")</f>
        <v>DOZ 11 Building</v>
      </c>
      <c r="C8079" s="2" t="str">
        <f ca="1">IFERROR(__xludf.DUMMYFUNCTION("""COMPUTED_VALUE"""),"Building")</f>
        <v>Building</v>
      </c>
      <c r="D8079" s="2" t="str">
        <f ca="1">IFERROR(__xludf.DUMMYFUNCTION("""COMPUTED_VALUE"""),"Dubai&gt;Academic City&gt;DOZ 11 Building")</f>
        <v>Dubai&gt;Academic City&gt;DOZ 11 Building</v>
      </c>
      <c r="E8079" s="2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</row>
    <row r="8080" spans="1:26" ht="16.5" x14ac:dyDescent="0.35">
      <c r="A8080" s="2" t="str">
        <f ca="1">IFERROR(__xludf.DUMMYFUNCTION("""COMPUTED_VALUE"""),"Dubai")</f>
        <v>Dubai</v>
      </c>
      <c r="B8080" s="2" t="str">
        <f ca="1">IFERROR(__xludf.DUMMYFUNCTION("""COMPUTED_VALUE"""),"Design Quarter")</f>
        <v>Design Quarter</v>
      </c>
      <c r="C8080" s="2" t="str">
        <f ca="1">IFERROR(__xludf.DUMMYFUNCTION("""COMPUTED_VALUE"""),"Cluster")</f>
        <v>Cluster</v>
      </c>
      <c r="D8080" s="2" t="str">
        <f ca="1">IFERROR(__xludf.DUMMYFUNCTION("""COMPUTED_VALUE"""),"Dubai&gt;Dubai Design District&gt;Design Quarter")</f>
        <v>Dubai&gt;Dubai Design District&gt;Design Quarter</v>
      </c>
      <c r="E8080" s="2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</row>
    <row r="8081" spans="1:26" ht="16.5" x14ac:dyDescent="0.35">
      <c r="A8081" s="2" t="str">
        <f ca="1">IFERROR(__xludf.DUMMYFUNCTION("""COMPUTED_VALUE"""),"Dubai")</f>
        <v>Dubai</v>
      </c>
      <c r="B8081" s="2" t="str">
        <f ca="1">IFERROR(__xludf.DUMMYFUNCTION("""COMPUTED_VALUE"""),"Z Residence")</f>
        <v>Z Residence</v>
      </c>
      <c r="C8081" s="2" t="str">
        <f ca="1">IFERROR(__xludf.DUMMYFUNCTION("""COMPUTED_VALUE"""),"Building")</f>
        <v>Building</v>
      </c>
      <c r="D8081" s="2" t="str">
        <f ca="1">IFERROR(__xludf.DUMMYFUNCTION("""COMPUTED_VALUE"""),"Dubai&gt;Al Hudaiba&gt;Z Residence")</f>
        <v>Dubai&gt;Al Hudaiba&gt;Z Residence</v>
      </c>
      <c r="E8081" s="2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</row>
    <row r="8082" spans="1:26" ht="16.5" x14ac:dyDescent="0.35">
      <c r="A8082" s="2" t="str">
        <f ca="1">IFERROR(__xludf.DUMMYFUNCTION("""COMPUTED_VALUE"""),"Dubai")</f>
        <v>Dubai</v>
      </c>
      <c r="B8082" s="2" t="str">
        <f ca="1">IFERROR(__xludf.DUMMYFUNCTION("""COMPUTED_VALUE"""),"Wasl 51 Block B")</f>
        <v>Wasl 51 Block B</v>
      </c>
      <c r="C8082" s="2" t="str">
        <f ca="1">IFERROR(__xludf.DUMMYFUNCTION("""COMPUTED_VALUE"""),"Building")</f>
        <v>Building</v>
      </c>
      <c r="D8082" s="2" t="str">
        <f ca="1">IFERROR(__xludf.DUMMYFUNCTION("""COMPUTED_VALUE"""),"Dubai&gt;Jumeirah&gt;Jumeirah 1&gt;Wasl 51&gt;Wasl 51 Block B")</f>
        <v>Dubai&gt;Jumeirah&gt;Jumeirah 1&gt;Wasl 51&gt;Wasl 51 Block B</v>
      </c>
      <c r="E8082" s="2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</row>
    <row r="8083" spans="1:26" ht="16.5" x14ac:dyDescent="0.35">
      <c r="A8083" s="2" t="str">
        <f ca="1">IFERROR(__xludf.DUMMYFUNCTION("""COMPUTED_VALUE"""),"Dubai")</f>
        <v>Dubai</v>
      </c>
      <c r="B8083" s="2" t="str">
        <f ca="1">IFERROR(__xludf.DUMMYFUNCTION("""COMPUTED_VALUE"""),"Sunset Mall")</f>
        <v>Sunset Mall</v>
      </c>
      <c r="C8083" s="2" t="str">
        <f ca="1">IFERROR(__xludf.DUMMYFUNCTION("""COMPUTED_VALUE"""),"Building")</f>
        <v>Building</v>
      </c>
      <c r="D8083" s="2" t="str">
        <f ca="1">IFERROR(__xludf.DUMMYFUNCTION("""COMPUTED_VALUE"""),"Dubai&gt;Jumeirah&gt;Jumeirah 3&gt;Sunset Mall")</f>
        <v>Dubai&gt;Jumeirah&gt;Jumeirah 3&gt;Sunset Mall</v>
      </c>
      <c r="E8083" s="2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</row>
    <row r="8084" spans="1:26" ht="16.5" x14ac:dyDescent="0.35">
      <c r="A8084" s="2" t="str">
        <f ca="1">IFERROR(__xludf.DUMMYFUNCTION("""COMPUTED_VALUE"""),"Dubai")</f>
        <v>Dubai</v>
      </c>
      <c r="B8084" s="2" t="str">
        <f ca="1">IFERROR(__xludf.DUMMYFUNCTION("""COMPUTED_VALUE"""),"Rosewood Residences Dubai")</f>
        <v>Rosewood Residences Dubai</v>
      </c>
      <c r="C8084" s="2" t="str">
        <f ca="1">IFERROR(__xludf.DUMMYFUNCTION("""COMPUTED_VALUE"""),"Neighbourhood")</f>
        <v>Neighbourhood</v>
      </c>
      <c r="D8084" s="2" t="str">
        <f ca="1">IFERROR(__xludf.DUMMYFUNCTION("""COMPUTED_VALUE"""),"Dubai&gt;Jumeirah&gt;Jumeirah 2&gt;Rosewood Residences Dubai")</f>
        <v>Dubai&gt;Jumeirah&gt;Jumeirah 2&gt;Rosewood Residences Dubai</v>
      </c>
      <c r="E8084" s="2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</row>
    <row r="8085" spans="1:26" ht="16.5" x14ac:dyDescent="0.35">
      <c r="A8085" s="2" t="str">
        <f ca="1">IFERROR(__xludf.DUMMYFUNCTION("""COMPUTED_VALUE"""),"Dubai")</f>
        <v>Dubai</v>
      </c>
      <c r="B8085" s="2" t="str">
        <f ca="1">IFERROR(__xludf.DUMMYFUNCTION("""COMPUTED_VALUE"""),"Le Pont Tower 3")</f>
        <v>Le Pont Tower 3</v>
      </c>
      <c r="C8085" s="2" t="str">
        <f ca="1">IFERROR(__xludf.DUMMYFUNCTION("""COMPUTED_VALUE"""),"Building")</f>
        <v>Building</v>
      </c>
      <c r="D8085" s="2" t="str">
        <f ca="1">IFERROR(__xludf.DUMMYFUNCTION("""COMPUTED_VALUE"""),"Dubai&gt;Jumeirah&gt;La Mer&gt;Port de La Mer&gt;Le Pont&gt;Le Pont Tower 3")</f>
        <v>Dubai&gt;Jumeirah&gt;La Mer&gt;Port de La Mer&gt;Le Pont&gt;Le Pont Tower 3</v>
      </c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</row>
    <row r="8086" spans="1:26" ht="16.5" x14ac:dyDescent="0.35">
      <c r="A8086" s="2" t="str">
        <f ca="1">IFERROR(__xludf.DUMMYFUNCTION("""COMPUTED_VALUE"""),"Dubai")</f>
        <v>Dubai</v>
      </c>
      <c r="B8086" s="2" t="str">
        <f ca="1">IFERROR(__xludf.DUMMYFUNCTION("""COMPUTED_VALUE"""),"The Cove Building 1")</f>
        <v>The Cove Building 1</v>
      </c>
      <c r="C8086" s="2" t="str">
        <f ca="1">IFERROR(__xludf.DUMMYFUNCTION("""COMPUTED_VALUE"""),"Building")</f>
        <v>Building</v>
      </c>
      <c r="D8086" s="2" t="str">
        <f ca="1">IFERROR(__xludf.DUMMYFUNCTION("""COMPUTED_VALUE"""),"Dubai&gt;Dubai Creek Harbour&gt;The Cove&gt;The Cove Building 1")</f>
        <v>Dubai&gt;Dubai Creek Harbour&gt;The Cove&gt;The Cove Building 1</v>
      </c>
      <c r="E8086" s="2"/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</row>
    <row r="8087" spans="1:26" ht="16.5" x14ac:dyDescent="0.35">
      <c r="A8087" s="2" t="str">
        <f ca="1">IFERROR(__xludf.DUMMYFUNCTION("""COMPUTED_VALUE"""),"Dubai")</f>
        <v>Dubai</v>
      </c>
      <c r="B8087" s="2" t="str">
        <f ca="1">IFERROR(__xludf.DUMMYFUNCTION("""COMPUTED_VALUE"""),"Creek Edge")</f>
        <v>Creek Edge</v>
      </c>
      <c r="C8087" s="2" t="str">
        <f ca="1">IFERROR(__xludf.DUMMYFUNCTION("""COMPUTED_VALUE"""),"Cluster")</f>
        <v>Cluster</v>
      </c>
      <c r="D8087" s="2" t="str">
        <f ca="1">IFERROR(__xludf.DUMMYFUNCTION("""COMPUTED_VALUE"""),"Dubai&gt;Dubai Creek Harbour&gt;Creek Edge")</f>
        <v>Dubai&gt;Dubai Creek Harbour&gt;Creek Edge</v>
      </c>
      <c r="E8087" s="2"/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</row>
    <row r="8088" spans="1:26" ht="16.5" x14ac:dyDescent="0.35">
      <c r="A8088" s="2" t="str">
        <f ca="1">IFERROR(__xludf.DUMMYFUNCTION("""COMPUTED_VALUE"""),"Dubai")</f>
        <v>Dubai</v>
      </c>
      <c r="B8088" s="2" t="str">
        <f ca="1">IFERROR(__xludf.DUMMYFUNCTION("""COMPUTED_VALUE"""),"Dubai Creek Residence Tower 1 North")</f>
        <v>Dubai Creek Residence Tower 1 North</v>
      </c>
      <c r="C8088" s="2" t="str">
        <f ca="1">IFERROR(__xludf.DUMMYFUNCTION("""COMPUTED_VALUE"""),"Building")</f>
        <v>Building</v>
      </c>
      <c r="D8088" s="2" t="str">
        <f ca="1">IFERROR(__xludf.DUMMYFUNCTION("""COMPUTED_VALUE"""),"Dubai&gt;Dubai Creek Harbour&gt;Dubai Creek Residences&gt;Dubai Creek Residence Tower 1 North")</f>
        <v>Dubai&gt;Dubai Creek Harbour&gt;Dubai Creek Residences&gt;Dubai Creek Residence Tower 1 North</v>
      </c>
      <c r="E8088" s="2"/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</row>
    <row r="8089" spans="1:26" ht="16.5" x14ac:dyDescent="0.35">
      <c r="A8089" s="2" t="str">
        <f ca="1">IFERROR(__xludf.DUMMYFUNCTION("""COMPUTED_VALUE"""),"Dubai")</f>
        <v>Dubai</v>
      </c>
      <c r="B8089" s="2" t="str">
        <f ca="1">IFERROR(__xludf.DUMMYFUNCTION("""COMPUTED_VALUE"""),"Aeon")</f>
        <v>Aeon</v>
      </c>
      <c r="C8089" s="2" t="str">
        <f ca="1">IFERROR(__xludf.DUMMYFUNCTION("""COMPUTED_VALUE"""),"Cluster")</f>
        <v>Cluster</v>
      </c>
      <c r="D8089" s="2" t="str">
        <f ca="1">IFERROR(__xludf.DUMMYFUNCTION("""COMPUTED_VALUE"""),"Dubai&gt;Dubai Creek Harbour&gt;Aeon")</f>
        <v>Dubai&gt;Dubai Creek Harbour&gt;Aeon</v>
      </c>
      <c r="E8089" s="2"/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</row>
    <row r="8090" spans="1:26" ht="16.5" x14ac:dyDescent="0.35">
      <c r="A8090" s="2" t="str">
        <f ca="1">IFERROR(__xludf.DUMMYFUNCTION("""COMPUTED_VALUE"""),"Dubai")</f>
        <v>Dubai</v>
      </c>
      <c r="B8090" s="2" t="str">
        <f ca="1">IFERROR(__xludf.DUMMYFUNCTION("""COMPUTED_VALUE"""),"Emirates Golf Club")</f>
        <v>Emirates Golf Club</v>
      </c>
      <c r="C8090" s="2" t="str">
        <f ca="1">IFERROR(__xludf.DUMMYFUNCTION("""COMPUTED_VALUE"""),"Neighbourhood")</f>
        <v>Neighbourhood</v>
      </c>
      <c r="D8090" s="2" t="str">
        <f ca="1">IFERROR(__xludf.DUMMYFUNCTION("""COMPUTED_VALUE"""),"Dubai&gt;Emirates Golf Club")</f>
        <v>Dubai&gt;Emirates Golf Club</v>
      </c>
      <c r="E8090" s="2"/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</row>
    <row r="8091" spans="1:26" ht="16.5" x14ac:dyDescent="0.35">
      <c r="A8091" s="2" t="str">
        <f ca="1">IFERROR(__xludf.DUMMYFUNCTION("""COMPUTED_VALUE"""),"Dubai")</f>
        <v>Dubai</v>
      </c>
      <c r="B8091" s="2" t="str">
        <f ca="1">IFERROR(__xludf.DUMMYFUNCTION("""COMPUTED_VALUE"""),"Al Fahad Tower 1")</f>
        <v>Al Fahad Tower 1</v>
      </c>
      <c r="C8091" s="2" t="str">
        <f ca="1">IFERROR(__xludf.DUMMYFUNCTION("""COMPUTED_VALUE"""),"Building")</f>
        <v>Building</v>
      </c>
      <c r="D8091" s="2" t="str">
        <f ca="1">IFERROR(__xludf.DUMMYFUNCTION("""COMPUTED_VALUE"""),"Dubai&gt;Barsha Heights (Tecom)&gt;Al Fahad Tower 1")</f>
        <v>Dubai&gt;Barsha Heights (Tecom)&gt;Al Fahad Tower 1</v>
      </c>
      <c r="E8091" s="2"/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</row>
    <row r="8092" spans="1:26" ht="16.5" x14ac:dyDescent="0.35">
      <c r="A8092" s="2" t="str">
        <f ca="1">IFERROR(__xludf.DUMMYFUNCTION("""COMPUTED_VALUE"""),"Dubai")</f>
        <v>Dubai</v>
      </c>
      <c r="B8092" s="2" t="str">
        <f ca="1">IFERROR(__xludf.DUMMYFUNCTION("""COMPUTED_VALUE"""),"Tameem House")</f>
        <v>Tameem House</v>
      </c>
      <c r="C8092" s="2" t="str">
        <f ca="1">IFERROR(__xludf.DUMMYFUNCTION("""COMPUTED_VALUE"""),"Building")</f>
        <v>Building</v>
      </c>
      <c r="D8092" s="2" t="str">
        <f ca="1">IFERROR(__xludf.DUMMYFUNCTION("""COMPUTED_VALUE"""),"Dubai&gt;Barsha Heights (Tecom)&gt;Tameem House")</f>
        <v>Dubai&gt;Barsha Heights (Tecom)&gt;Tameem House</v>
      </c>
      <c r="E8092" s="2"/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</row>
    <row r="8093" spans="1:26" ht="16.5" x14ac:dyDescent="0.35">
      <c r="A8093" s="2" t="str">
        <f ca="1">IFERROR(__xludf.DUMMYFUNCTION("""COMPUTED_VALUE"""),"Dubai")</f>
        <v>Dubai</v>
      </c>
      <c r="B8093" s="2" t="str">
        <f ca="1">IFERROR(__xludf.DUMMYFUNCTION("""COMPUTED_VALUE"""),"Saif Belhasa")</f>
        <v>Saif Belhasa</v>
      </c>
      <c r="C8093" s="2" t="str">
        <f ca="1">IFERROR(__xludf.DUMMYFUNCTION("""COMPUTED_VALUE"""),"Building")</f>
        <v>Building</v>
      </c>
      <c r="D8093" s="2" t="str">
        <f ca="1">IFERROR(__xludf.DUMMYFUNCTION("""COMPUTED_VALUE"""),"Dubai&gt;Barsha Heights (Tecom)&gt;Saif Belhasa")</f>
        <v>Dubai&gt;Barsha Heights (Tecom)&gt;Saif Belhasa</v>
      </c>
      <c r="E8093" s="2"/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</row>
    <row r="8094" spans="1:26" ht="16.5" x14ac:dyDescent="0.35">
      <c r="A8094" s="2" t="str">
        <f ca="1">IFERROR(__xludf.DUMMYFUNCTION("""COMPUTED_VALUE"""),"Dubai")</f>
        <v>Dubai</v>
      </c>
      <c r="B8094" s="2" t="str">
        <f ca="1">IFERROR(__xludf.DUMMYFUNCTION("""COMPUTED_VALUE"""),"Vida Residence 2")</f>
        <v>Vida Residence 2</v>
      </c>
      <c r="C8094" s="2" t="str">
        <f ca="1">IFERROR(__xludf.DUMMYFUNCTION("""COMPUTED_VALUE"""),"Building")</f>
        <v>Building</v>
      </c>
      <c r="D8094" s="2" t="str">
        <f ca="1">IFERROR(__xludf.DUMMYFUNCTION("""COMPUTED_VALUE"""),"Dubai&gt;The Hills&gt;Vida Residence (The Hills)&gt;Vida Residence 2")</f>
        <v>Dubai&gt;The Hills&gt;Vida Residence (The Hills)&gt;Vida Residence 2</v>
      </c>
      <c r="E8094" s="2"/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</row>
    <row r="8095" spans="1:26" ht="16.5" x14ac:dyDescent="0.35">
      <c r="A8095" s="2" t="str">
        <f ca="1">IFERROR(__xludf.DUMMYFUNCTION("""COMPUTED_VALUE"""),"Dubai")</f>
        <v>Dubai</v>
      </c>
      <c r="B8095" s="2" t="str">
        <f ca="1">IFERROR(__xludf.DUMMYFUNCTION("""COMPUTED_VALUE"""),"Casa Flores")</f>
        <v>Casa Flores</v>
      </c>
      <c r="C8095" s="2" t="str">
        <f ca="1">IFERROR(__xludf.DUMMYFUNCTION("""COMPUTED_VALUE"""),"Neighbourhood")</f>
        <v>Neighbourhood</v>
      </c>
      <c r="D8095" s="2" t="str">
        <f ca="1">IFERROR(__xludf.DUMMYFUNCTION("""COMPUTED_VALUE"""),"Dubai&gt;Motor City&gt;Green Community (Motor City)&gt;Casa Flores")</f>
        <v>Dubai&gt;Motor City&gt;Green Community (Motor City)&gt;Casa Flores</v>
      </c>
      <c r="E8095" s="2"/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</row>
    <row r="8096" spans="1:26" ht="16.5" x14ac:dyDescent="0.35">
      <c r="A8096" s="2" t="str">
        <f ca="1">IFERROR(__xludf.DUMMYFUNCTION("""COMPUTED_VALUE"""),"Dubai")</f>
        <v>Dubai</v>
      </c>
      <c r="B8096" s="2" t="str">
        <f ca="1">IFERROR(__xludf.DUMMYFUNCTION("""COMPUTED_VALUE"""),"Shakespeare Circus 2")</f>
        <v>Shakespeare Circus 2</v>
      </c>
      <c r="C8096" s="2" t="str">
        <f ca="1">IFERROR(__xludf.DUMMYFUNCTION("""COMPUTED_VALUE"""),"Building")</f>
        <v>Building</v>
      </c>
      <c r="D8096" s="2" t="str">
        <f ca="1">IFERROR(__xludf.DUMMYFUNCTION("""COMPUTED_VALUE"""),"Dubai&gt;Motor City&gt;Uptown Motor City&gt;Shakespeare Circus&gt;Shakespeare Circus 2")</f>
        <v>Dubai&gt;Motor City&gt;Uptown Motor City&gt;Shakespeare Circus&gt;Shakespeare Circus 2</v>
      </c>
      <c r="E8096" s="2"/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</row>
    <row r="8097" spans="1:26" ht="16.5" x14ac:dyDescent="0.35">
      <c r="A8097" s="2" t="str">
        <f ca="1">IFERROR(__xludf.DUMMYFUNCTION("""COMPUTED_VALUE"""),"Dubai")</f>
        <v>Dubai</v>
      </c>
      <c r="B8097" s="2" t="str">
        <f ca="1">IFERROR(__xludf.DUMMYFUNCTION("""COMPUTED_VALUE"""),"New Bridge Hill 1")</f>
        <v>New Bridge Hill 1</v>
      </c>
      <c r="C8097" s="2" t="str">
        <f ca="1">IFERROR(__xludf.DUMMYFUNCTION("""COMPUTED_VALUE"""),"Building")</f>
        <v>Building</v>
      </c>
      <c r="D8097" s="2" t="str">
        <f ca="1">IFERROR(__xludf.DUMMYFUNCTION("""COMPUTED_VALUE"""),"Dubai&gt;Motor City&gt;Uptown Motor City&gt;New Bridge Hill&gt;New Bridge Hill 1")</f>
        <v>Dubai&gt;Motor City&gt;Uptown Motor City&gt;New Bridge Hill&gt;New Bridge Hill 1</v>
      </c>
      <c r="E8097" s="2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</row>
    <row r="8098" spans="1:26" ht="16.5" x14ac:dyDescent="0.35">
      <c r="A8098" s="2" t="str">
        <f ca="1">IFERROR(__xludf.DUMMYFUNCTION("""COMPUTED_VALUE"""),"Dubai")</f>
        <v>Dubai</v>
      </c>
      <c r="B8098" s="2" t="str">
        <f ca="1">IFERROR(__xludf.DUMMYFUNCTION("""COMPUTED_VALUE"""),"Park Inn by Radisson")</f>
        <v>Park Inn by Radisson</v>
      </c>
      <c r="C8098" s="2" t="str">
        <f ca="1">IFERROR(__xludf.DUMMYFUNCTION("""COMPUTED_VALUE"""),"Building")</f>
        <v>Building</v>
      </c>
      <c r="D8098" s="2" t="str">
        <f ca="1">IFERROR(__xludf.DUMMYFUNCTION("""COMPUTED_VALUE"""),"Dubai&gt;Motor City&gt;Park Inn by Radisson")</f>
        <v>Dubai&gt;Motor City&gt;Park Inn by Radisson</v>
      </c>
      <c r="E8098" s="2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</row>
    <row r="8099" spans="1:26" ht="16.5" x14ac:dyDescent="0.35">
      <c r="A8099" s="2" t="str">
        <f ca="1">IFERROR(__xludf.DUMMYFUNCTION("""COMPUTED_VALUE"""),"Dubai")</f>
        <v>Dubai</v>
      </c>
      <c r="B8099" s="2" t="str">
        <f ca="1">IFERROR(__xludf.DUMMYFUNCTION("""COMPUTED_VALUE"""),"Bahia Residence")</f>
        <v>Bahia Residence</v>
      </c>
      <c r="C8099" s="2" t="str">
        <f ca="1">IFERROR(__xludf.DUMMYFUNCTION("""COMPUTED_VALUE"""),"Cluster")</f>
        <v>Cluster</v>
      </c>
      <c r="D8099" s="2" t="str">
        <f ca="1">IFERROR(__xludf.DUMMYFUNCTION("""COMPUTED_VALUE"""),"Dubai&gt;Al Sufouh&gt;Al Sufouh 1&gt;Acacia Avenues&gt;Bahia Residence")</f>
        <v>Dubai&gt;Al Sufouh&gt;Al Sufouh 1&gt;Acacia Avenues&gt;Bahia Residence</v>
      </c>
      <c r="E8099" s="2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</row>
    <row r="8100" spans="1:26" ht="16.5" x14ac:dyDescent="0.35">
      <c r="A8100" s="2" t="str">
        <f ca="1">IFERROR(__xludf.DUMMYFUNCTION("""COMPUTED_VALUE"""),"Dubai")</f>
        <v>Dubai</v>
      </c>
      <c r="B8100" s="2" t="str">
        <f ca="1">IFERROR(__xludf.DUMMYFUNCTION("""COMPUTED_VALUE"""),"Boutique Office 18")</f>
        <v>Boutique Office 18</v>
      </c>
      <c r="C8100" s="2" t="str">
        <f ca="1">IFERROR(__xludf.DUMMYFUNCTION("""COMPUTED_VALUE"""),"Building")</f>
        <v>Building</v>
      </c>
      <c r="D8100" s="2" t="str">
        <f ca="1">IFERROR(__xludf.DUMMYFUNCTION("""COMPUTED_VALUE"""),"Dubai&gt;Al Sufouh&gt;Al Sufouh 2&gt;Boutique Offices&gt;Boutique Office 18")</f>
        <v>Dubai&gt;Al Sufouh&gt;Al Sufouh 2&gt;Boutique Offices&gt;Boutique Office 18</v>
      </c>
      <c r="E8100" s="2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</row>
    <row r="8101" spans="1:26" ht="16.5" x14ac:dyDescent="0.35">
      <c r="A8101" s="2" t="str">
        <f ca="1">IFERROR(__xludf.DUMMYFUNCTION("""COMPUTED_VALUE"""),"Dubai")</f>
        <v>Dubai</v>
      </c>
      <c r="B8101" s="2" t="str">
        <f ca="1">IFERROR(__xludf.DUMMYFUNCTION("""COMPUTED_VALUE"""),"Al Badia Building 11")</f>
        <v>Al Badia Building 11</v>
      </c>
      <c r="C8101" s="2" t="str">
        <f ca="1">IFERROR(__xludf.DUMMYFUNCTION("""COMPUTED_VALUE"""),"Building")</f>
        <v>Building</v>
      </c>
      <c r="D8101" s="2" t="str">
        <f ca="1">IFERROR(__xludf.DUMMYFUNCTION("""COMPUTED_VALUE"""),"Dubai&gt;Dubai Festival City&gt;Al Badia Buildings&gt;Al Badia Building 11")</f>
        <v>Dubai&gt;Dubai Festival City&gt;Al Badia Buildings&gt;Al Badia Building 11</v>
      </c>
      <c r="E8101" s="2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</row>
    <row r="8102" spans="1:26" ht="16.5" x14ac:dyDescent="0.35">
      <c r="A8102" s="2" t="str">
        <f ca="1">IFERROR(__xludf.DUMMYFUNCTION("""COMPUTED_VALUE"""),"Dubai")</f>
        <v>Dubai</v>
      </c>
      <c r="B8102" s="2" t="str">
        <f ca="1">IFERROR(__xludf.DUMMYFUNCTION("""COMPUTED_VALUE"""),"Carson Tower B")</f>
        <v>Carson Tower B</v>
      </c>
      <c r="C8102" s="2" t="str">
        <f ca="1">IFERROR(__xludf.DUMMYFUNCTION("""COMPUTED_VALUE"""),"Building")</f>
        <v>Building</v>
      </c>
      <c r="D8102" s="2" t="str">
        <f ca="1">IFERROR(__xludf.DUMMYFUNCTION("""COMPUTED_VALUE"""),"Dubai&gt;DAMAC Hills&gt;Carson - The Drive&gt;Carson Tower B")</f>
        <v>Dubai&gt;DAMAC Hills&gt;Carson - The Drive&gt;Carson Tower B</v>
      </c>
      <c r="E8102" s="2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</row>
    <row r="8103" spans="1:26" ht="16.5" x14ac:dyDescent="0.35">
      <c r="A8103" s="2" t="str">
        <f ca="1">IFERROR(__xludf.DUMMYFUNCTION("""COMPUTED_VALUE"""),"Dubai")</f>
        <v>Dubai</v>
      </c>
      <c r="B8103" s="2" t="str">
        <f ca="1">IFERROR(__xludf.DUMMYFUNCTION("""COMPUTED_VALUE"""),"Golf Veduta A")</f>
        <v>Golf Veduta A</v>
      </c>
      <c r="C8103" s="2" t="str">
        <f ca="1">IFERROR(__xludf.DUMMYFUNCTION("""COMPUTED_VALUE"""),"Building")</f>
        <v>Building</v>
      </c>
      <c r="D8103" s="2" t="str">
        <f ca="1">IFERROR(__xludf.DUMMYFUNCTION("""COMPUTED_VALUE"""),"Dubai&gt;DAMAC Hills&gt;Golf Town&gt;Golf Veduta&gt;Golf Veduta A")</f>
        <v>Dubai&gt;DAMAC Hills&gt;Golf Town&gt;Golf Veduta&gt;Golf Veduta A</v>
      </c>
      <c r="E8103" s="2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</row>
    <row r="8104" spans="1:26" ht="16.5" x14ac:dyDescent="0.35">
      <c r="A8104" s="2" t="str">
        <f ca="1">IFERROR(__xludf.DUMMYFUNCTION("""COMPUTED_VALUE"""),"Dubai")</f>
        <v>Dubai</v>
      </c>
      <c r="B8104" s="2" t="str">
        <f ca="1">IFERROR(__xludf.DUMMYFUNCTION("""COMPUTED_VALUE"""),"Brookfield")</f>
        <v>Brookfield</v>
      </c>
      <c r="C8104" s="2" t="str">
        <f ca="1">IFERROR(__xludf.DUMMYFUNCTION("""COMPUTED_VALUE"""),"Neighbourhood")</f>
        <v>Neighbourhood</v>
      </c>
      <c r="D8104" s="2" t="str">
        <f ca="1">IFERROR(__xludf.DUMMYFUNCTION("""COMPUTED_VALUE"""),"Dubai&gt;DAMAC Hills&gt;Brookfield")</f>
        <v>Dubai&gt;DAMAC Hills&gt;Brookfield</v>
      </c>
      <c r="E8104" s="2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</row>
    <row r="8105" spans="1:26" ht="16.5" x14ac:dyDescent="0.35">
      <c r="A8105" s="2" t="str">
        <f ca="1">IFERROR(__xludf.DUMMYFUNCTION("""COMPUTED_VALUE"""),"Dubai")</f>
        <v>Dubai</v>
      </c>
      <c r="B8105" s="2" t="str">
        <f ca="1">IFERROR(__xludf.DUMMYFUNCTION("""COMPUTED_VALUE"""),"Golf Greens 1")</f>
        <v>Golf Greens 1</v>
      </c>
      <c r="C8105" s="2" t="str">
        <f ca="1">IFERROR(__xludf.DUMMYFUNCTION("""COMPUTED_VALUE"""),"Cluster")</f>
        <v>Cluster</v>
      </c>
      <c r="D8105" s="2" t="str">
        <f ca="1">IFERROR(__xludf.DUMMYFUNCTION("""COMPUTED_VALUE"""),"Dubai&gt;DAMAC Hills&gt;Golf Greens 1")</f>
        <v>Dubai&gt;DAMAC Hills&gt;Golf Greens 1</v>
      </c>
      <c r="E8105" s="2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</row>
    <row r="8106" spans="1:26" ht="16.5" x14ac:dyDescent="0.35">
      <c r="A8106" s="2" t="str">
        <f ca="1">IFERROR(__xludf.DUMMYFUNCTION("""COMPUTED_VALUE"""),"Dubai")</f>
        <v>Dubai</v>
      </c>
      <c r="B8106" s="2" t="str">
        <f ca="1">IFERROR(__xludf.DUMMYFUNCTION("""COMPUTED_VALUE"""),"Seven Pearls Block D")</f>
        <v>Seven Pearls Block D</v>
      </c>
      <c r="C8106" s="2" t="str">
        <f ca="1">IFERROR(__xludf.DUMMYFUNCTION("""COMPUTED_VALUE"""),"Building")</f>
        <v>Building</v>
      </c>
      <c r="D8106" s="2" t="str">
        <f ca="1">IFERROR(__xludf.DUMMYFUNCTION("""COMPUTED_VALUE"""),"Dubai&gt;Al Mina&gt;Seven Pearls&gt;Seven Pearls Block D")</f>
        <v>Dubai&gt;Al Mina&gt;Seven Pearls&gt;Seven Pearls Block D</v>
      </c>
      <c r="E8106" s="2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</row>
    <row r="8107" spans="1:26" ht="16.5" x14ac:dyDescent="0.35">
      <c r="A8107" s="2" t="str">
        <f ca="1">IFERROR(__xludf.DUMMYFUNCTION("""COMPUTED_VALUE"""),"Dubai")</f>
        <v>Dubai</v>
      </c>
      <c r="B8107" s="2" t="str">
        <f ca="1">IFERROR(__xludf.DUMMYFUNCTION("""COMPUTED_VALUE"""),"LIV Maritime")</f>
        <v>LIV Maritime</v>
      </c>
      <c r="C8107" s="2" t="str">
        <f ca="1">IFERROR(__xludf.DUMMYFUNCTION("""COMPUTED_VALUE"""),"Building")</f>
        <v>Building</v>
      </c>
      <c r="D8107" s="2" t="str">
        <f ca="1">IFERROR(__xludf.DUMMYFUNCTION("""COMPUTED_VALUE"""),"Dubai&gt;Dubai Maritime City&gt;LIV Maritime")</f>
        <v>Dubai&gt;Dubai Maritime City&gt;LIV Maritime</v>
      </c>
      <c r="E8107" s="2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</row>
    <row r="8108" spans="1:26" ht="16.5" x14ac:dyDescent="0.35">
      <c r="A8108" s="2" t="str">
        <f ca="1">IFERROR(__xludf.DUMMYFUNCTION("""COMPUTED_VALUE"""),"Dubai")</f>
        <v>Dubai</v>
      </c>
      <c r="B8108" s="2" t="str">
        <f ca="1">IFERROR(__xludf.DUMMYFUNCTION("""COMPUTED_VALUE"""),"Panorama Tower 4")</f>
        <v>Panorama Tower 4</v>
      </c>
      <c r="C8108" s="2" t="str">
        <f ca="1">IFERROR(__xludf.DUMMYFUNCTION("""COMPUTED_VALUE"""),"Building")</f>
        <v>Building</v>
      </c>
      <c r="D8108" s="2" t="str">
        <f ca="1">IFERROR(__xludf.DUMMYFUNCTION("""COMPUTED_VALUE"""),"Dubai&gt;The Views&gt;Panorama&gt;Panorama Tower 4")</f>
        <v>Dubai&gt;The Views&gt;Panorama&gt;Panorama Tower 4</v>
      </c>
      <c r="E8108" s="2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</row>
    <row r="8109" spans="1:26" ht="16.5" x14ac:dyDescent="0.35">
      <c r="A8109" s="2" t="str">
        <f ca="1">IFERROR(__xludf.DUMMYFUNCTION("""COMPUTED_VALUE"""),"Dubai")</f>
        <v>Dubai</v>
      </c>
      <c r="B8109" s="2" t="str">
        <f ca="1">IFERROR(__xludf.DUMMYFUNCTION("""COMPUTED_VALUE"""),"The Views 1B")</f>
        <v>The Views 1B</v>
      </c>
      <c r="C8109" s="2" t="str">
        <f ca="1">IFERROR(__xludf.DUMMYFUNCTION("""COMPUTED_VALUE"""),"Building")</f>
        <v>Building</v>
      </c>
      <c r="D8109" s="2" t="str">
        <f ca="1">IFERROR(__xludf.DUMMYFUNCTION("""COMPUTED_VALUE"""),"Dubai&gt;The Views&gt;The Views 1&gt;The Views 1B")</f>
        <v>Dubai&gt;The Views&gt;The Views 1&gt;The Views 1B</v>
      </c>
      <c r="E8109" s="2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</row>
    <row r="8110" spans="1:26" ht="16.5" x14ac:dyDescent="0.35">
      <c r="A8110" s="2" t="str">
        <f ca="1">IFERROR(__xludf.DUMMYFUNCTION("""COMPUTED_VALUE"""),"Dubai")</f>
        <v>Dubai</v>
      </c>
      <c r="B8110" s="2" t="str">
        <f ca="1">IFERROR(__xludf.DUMMYFUNCTION("""COMPUTED_VALUE"""),"Gold and Diamond Park")</f>
        <v>Gold and Diamond Park</v>
      </c>
      <c r="C8110" s="2" t="str">
        <f ca="1">IFERROR(__xludf.DUMMYFUNCTION("""COMPUTED_VALUE"""),"Neighbourhood")</f>
        <v>Neighbourhood</v>
      </c>
      <c r="D8110" s="2" t="str">
        <f ca="1">IFERROR(__xludf.DUMMYFUNCTION("""COMPUTED_VALUE"""),"Dubai&gt;Al Quoz&gt;Al Quoz Industrial Area&gt;Al Quoz Industrial Area 3&gt;Gold and Diamond Park")</f>
        <v>Dubai&gt;Al Quoz&gt;Al Quoz Industrial Area&gt;Al Quoz Industrial Area 3&gt;Gold and Diamond Park</v>
      </c>
      <c r="E8110" s="2"/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</row>
    <row r="8111" spans="1:26" ht="16.5" x14ac:dyDescent="0.35">
      <c r="A8111" s="2" t="str">
        <f ca="1">IFERROR(__xludf.DUMMYFUNCTION("""COMPUTED_VALUE"""),"Dubai")</f>
        <v>Dubai</v>
      </c>
      <c r="B8111" s="2" t="str">
        <f ca="1">IFERROR(__xludf.DUMMYFUNCTION("""COMPUTED_VALUE"""),"Wasl Crystal IV")</f>
        <v>Wasl Crystal IV</v>
      </c>
      <c r="C8111" s="2" t="str">
        <f ca="1">IFERROR(__xludf.DUMMYFUNCTION("""COMPUTED_VALUE"""),"Building")</f>
        <v>Building</v>
      </c>
      <c r="D8111" s="2" t="str">
        <f ca="1">IFERROR(__xludf.DUMMYFUNCTION("""COMPUTED_VALUE"""),"Dubai&gt;Al Quoz&gt;Al Quoz 4&gt;Wasl Crystal IV")</f>
        <v>Dubai&gt;Al Quoz&gt;Al Quoz 4&gt;Wasl Crystal IV</v>
      </c>
      <c r="E8111" s="2"/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</row>
    <row r="8112" spans="1:26" ht="16.5" x14ac:dyDescent="0.35">
      <c r="A8112" s="2" t="str">
        <f ca="1">IFERROR(__xludf.DUMMYFUNCTION("""COMPUTED_VALUE"""),"Dubai")</f>
        <v>Dubai</v>
      </c>
      <c r="B8112" s="2" t="str">
        <f ca="1">IFERROR(__xludf.DUMMYFUNCTION("""COMPUTED_VALUE"""),"Silicon Gates")</f>
        <v>Silicon Gates</v>
      </c>
      <c r="C8112" s="2" t="str">
        <f ca="1">IFERROR(__xludf.DUMMYFUNCTION("""COMPUTED_VALUE"""),"Cluster")</f>
        <v>Cluster</v>
      </c>
      <c r="D8112" s="2" t="str">
        <f ca="1">IFERROR(__xludf.DUMMYFUNCTION("""COMPUTED_VALUE"""),"Dubai&gt;Dubai Silicon Oasis (DSO)&gt;Silicon Gates")</f>
        <v>Dubai&gt;Dubai Silicon Oasis (DSO)&gt;Silicon Gates</v>
      </c>
      <c r="E8112" s="2"/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</row>
    <row r="8113" spans="1:26" ht="16.5" x14ac:dyDescent="0.35">
      <c r="A8113" s="2" t="str">
        <f ca="1">IFERROR(__xludf.DUMMYFUNCTION("""COMPUTED_VALUE"""),"Dubai")</f>
        <v>Dubai</v>
      </c>
      <c r="B8113" s="2" t="str">
        <f ca="1">IFERROR(__xludf.DUMMYFUNCTION("""COMPUTED_VALUE"""),"Ruby Residence")</f>
        <v>Ruby Residence</v>
      </c>
      <c r="C8113" s="2" t="str">
        <f ca="1">IFERROR(__xludf.DUMMYFUNCTION("""COMPUTED_VALUE"""),"Building")</f>
        <v>Building</v>
      </c>
      <c r="D8113" s="2" t="str">
        <f ca="1">IFERROR(__xludf.DUMMYFUNCTION("""COMPUTED_VALUE"""),"Dubai&gt;Dubai Silicon Oasis (DSO)&gt;Ruby Residence")</f>
        <v>Dubai&gt;Dubai Silicon Oasis (DSO)&gt;Ruby Residence</v>
      </c>
      <c r="E8113" s="2"/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</row>
    <row r="8114" spans="1:26" ht="16.5" x14ac:dyDescent="0.35">
      <c r="A8114" s="2" t="str">
        <f ca="1">IFERROR(__xludf.DUMMYFUNCTION("""COMPUTED_VALUE"""),"Dubai")</f>
        <v>Dubai</v>
      </c>
      <c r="B8114" s="2" t="str">
        <f ca="1">IFERROR(__xludf.DUMMYFUNCTION("""COMPUTED_VALUE"""),"The White Palace")</f>
        <v>The White Palace</v>
      </c>
      <c r="C8114" s="2" t="str">
        <f ca="1">IFERROR(__xludf.DUMMYFUNCTION("""COMPUTED_VALUE"""),"Building")</f>
        <v>Building</v>
      </c>
      <c r="D8114" s="2" t="str">
        <f ca="1">IFERROR(__xludf.DUMMYFUNCTION("""COMPUTED_VALUE"""),"Dubai&gt;Dubai Silicon Oasis (DSO)&gt;The White Palace")</f>
        <v>Dubai&gt;Dubai Silicon Oasis (DSO)&gt;The White Palace</v>
      </c>
      <c r="E8114" s="2"/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</row>
    <row r="8115" spans="1:26" ht="16.5" x14ac:dyDescent="0.35">
      <c r="A8115" s="2" t="str">
        <f ca="1">IFERROR(__xludf.DUMMYFUNCTION("""COMPUTED_VALUE"""),"Dubai")</f>
        <v>Dubai</v>
      </c>
      <c r="B8115" s="2" t="str">
        <f ca="1">IFERROR(__xludf.DUMMYFUNCTION("""COMPUTED_VALUE"""),"Binghatti Views")</f>
        <v>Binghatti Views</v>
      </c>
      <c r="C8115" s="2" t="str">
        <f ca="1">IFERROR(__xludf.DUMMYFUNCTION("""COMPUTED_VALUE"""),"Building")</f>
        <v>Building</v>
      </c>
      <c r="D8115" s="2" t="str">
        <f ca="1">IFERROR(__xludf.DUMMYFUNCTION("""COMPUTED_VALUE"""),"Dubai&gt;Dubai Silicon Oasis (DSO)&gt;Binghatti Views")</f>
        <v>Dubai&gt;Dubai Silicon Oasis (DSO)&gt;Binghatti Views</v>
      </c>
      <c r="E8115" s="2"/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</row>
    <row r="8116" spans="1:26" ht="16.5" x14ac:dyDescent="0.35">
      <c r="A8116" s="2" t="str">
        <f ca="1">IFERROR(__xludf.DUMMYFUNCTION("""COMPUTED_VALUE"""),"Dubai")</f>
        <v>Dubai</v>
      </c>
      <c r="B8116" s="2" t="str">
        <f ca="1">IFERROR(__xludf.DUMMYFUNCTION("""COMPUTED_VALUE"""),"Al Asmawi Tower")</f>
        <v>Al Asmawi Tower</v>
      </c>
      <c r="C8116" s="2" t="str">
        <f ca="1">IFERROR(__xludf.DUMMYFUNCTION("""COMPUTED_VALUE"""),"Building")</f>
        <v>Building</v>
      </c>
      <c r="D8116" s="2" t="str">
        <f ca="1">IFERROR(__xludf.DUMMYFUNCTION("""COMPUTED_VALUE"""),"Dubai&gt;Dubai Silicon Oasis (DSO)&gt;Al Asmawi Tower")</f>
        <v>Dubai&gt;Dubai Silicon Oasis (DSO)&gt;Al Asmawi Tower</v>
      </c>
      <c r="E8116" s="2"/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</row>
    <row r="8117" spans="1:26" ht="16.5" x14ac:dyDescent="0.35">
      <c r="A8117" s="2" t="str">
        <f ca="1">IFERROR(__xludf.DUMMYFUNCTION("""COMPUTED_VALUE"""),"Dubai")</f>
        <v>Dubai</v>
      </c>
      <c r="B8117" s="2" t="str">
        <f ca="1">IFERROR(__xludf.DUMMYFUNCTION("""COMPUTED_VALUE"""),"Axis 4")</f>
        <v>Axis 4</v>
      </c>
      <c r="C8117" s="2" t="str">
        <f ca="1">IFERROR(__xludf.DUMMYFUNCTION("""COMPUTED_VALUE"""),"Building")</f>
        <v>Building</v>
      </c>
      <c r="D8117" s="2" t="str">
        <f ca="1">IFERROR(__xludf.DUMMYFUNCTION("""COMPUTED_VALUE"""),"Dubai&gt;Dubai Silicon Oasis (DSO)&gt;Axis Residences&gt;Axis 4")</f>
        <v>Dubai&gt;Dubai Silicon Oasis (DSO)&gt;Axis Residences&gt;Axis 4</v>
      </c>
      <c r="E8117" s="2"/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</row>
    <row r="8118" spans="1:26" ht="16.5" x14ac:dyDescent="0.35">
      <c r="A8118" s="2" t="str">
        <f ca="1">IFERROR(__xludf.DUMMYFUNCTION("""COMPUTED_VALUE"""),"Dubai")</f>
        <v>Dubai</v>
      </c>
      <c r="B8118" s="2" t="str">
        <f ca="1">IFERROR(__xludf.DUMMYFUNCTION("""COMPUTED_VALUE"""),"Oasiz 2 by Danube")</f>
        <v>Oasiz 2 by Danube</v>
      </c>
      <c r="C8118" s="2" t="str">
        <f ca="1">IFERROR(__xludf.DUMMYFUNCTION("""COMPUTED_VALUE"""),"Building")</f>
        <v>Building</v>
      </c>
      <c r="D8118" s="2" t="str">
        <f ca="1">IFERROR(__xludf.DUMMYFUNCTION("""COMPUTED_VALUE"""),"Dubai&gt;Dubai Silicon Oasis (DSO)&gt;Oasiz 2 by Danube")</f>
        <v>Dubai&gt;Dubai Silicon Oasis (DSO)&gt;Oasiz 2 by Danube</v>
      </c>
      <c r="E8118" s="2"/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</row>
    <row r="8119" spans="1:26" ht="16.5" x14ac:dyDescent="0.35">
      <c r="A8119" s="2" t="str">
        <f ca="1">IFERROR(__xludf.DUMMYFUNCTION("""COMPUTED_VALUE"""),"Dubai")</f>
        <v>Dubai</v>
      </c>
      <c r="B8119" s="2" t="str">
        <f ca="1">IFERROR(__xludf.DUMMYFUNCTION("""COMPUTED_VALUE"""),"Seventh Heaven")</f>
        <v>Seventh Heaven</v>
      </c>
      <c r="C8119" s="2" t="str">
        <f ca="1">IFERROR(__xludf.DUMMYFUNCTION("""COMPUTED_VALUE"""),"Building")</f>
        <v>Building</v>
      </c>
      <c r="D8119" s="2" t="str">
        <f ca="1">IFERROR(__xludf.DUMMYFUNCTION("""COMPUTED_VALUE"""),"Dubai&gt;Al Barari&gt;Seventh Heaven")</f>
        <v>Dubai&gt;Al Barari&gt;Seventh Heaven</v>
      </c>
      <c r="E8119" s="2"/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</row>
    <row r="8120" spans="1:26" ht="16.5" x14ac:dyDescent="0.35">
      <c r="A8120" s="2" t="str">
        <f ca="1">IFERROR(__xludf.DUMMYFUNCTION("""COMPUTED_VALUE"""),"Dubai")</f>
        <v>Dubai</v>
      </c>
      <c r="B8120" s="2" t="str">
        <f ca="1">IFERROR(__xludf.DUMMYFUNCTION("""COMPUTED_VALUE"""),"Silk Leaf 5")</f>
        <v>Silk Leaf 5</v>
      </c>
      <c r="C8120" s="2" t="str">
        <f ca="1">IFERROR(__xludf.DUMMYFUNCTION("""COMPUTED_VALUE"""),"Neighbourhood")</f>
        <v>Neighbourhood</v>
      </c>
      <c r="D8120" s="2" t="str">
        <f ca="1">IFERROR(__xludf.DUMMYFUNCTION("""COMPUTED_VALUE"""),"Dubai&gt;Al Barari&gt;The Residences&gt;Silk Leaf&gt;Silk Leaf 5")</f>
        <v>Dubai&gt;Al Barari&gt;The Residences&gt;Silk Leaf&gt;Silk Leaf 5</v>
      </c>
      <c r="E8120" s="2"/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</row>
    <row r="8121" spans="1:26" ht="16.5" x14ac:dyDescent="0.35">
      <c r="A8121" s="2" t="str">
        <f ca="1">IFERROR(__xludf.DUMMYFUNCTION("""COMPUTED_VALUE"""),"Dubai")</f>
        <v>Dubai</v>
      </c>
      <c r="B8121" s="2" t="str">
        <f ca="1">IFERROR(__xludf.DUMMYFUNCTION("""COMPUTED_VALUE"""),"The Sanctuary by Ellington")</f>
        <v>The Sanctuary by Ellington</v>
      </c>
      <c r="C8121" s="2" t="str">
        <f ca="1">IFERROR(__xludf.DUMMYFUNCTION("""COMPUTED_VALUE"""),"Neighbourhood")</f>
        <v>Neighbourhood</v>
      </c>
      <c r="D8121" s="2" t="str">
        <f ca="1">IFERROR(__xludf.DUMMYFUNCTION("""COMPUTED_VALUE"""),"Dubai&gt;Mohammed Bin Rashid City&gt;District 11&gt;The Sanctuary by Ellington")</f>
        <v>Dubai&gt;Mohammed Bin Rashid City&gt;District 11&gt;The Sanctuary by Ellington</v>
      </c>
      <c r="E8121" s="2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</row>
    <row r="8122" spans="1:26" ht="16.5" x14ac:dyDescent="0.35">
      <c r="A8122" s="2" t="str">
        <f ca="1">IFERROR(__xludf.DUMMYFUNCTION("""COMPUTED_VALUE"""),"Dubai")</f>
        <v>Dubai</v>
      </c>
      <c r="B8122" s="2" t="str">
        <f ca="1">IFERROR(__xludf.DUMMYFUNCTION("""COMPUTED_VALUE"""),"Wellington Grand Villas")</f>
        <v>Wellington Grand Villas</v>
      </c>
      <c r="C8122" s="2" t="str">
        <f ca="1">IFERROR(__xludf.DUMMYFUNCTION("""COMPUTED_VALUE"""),"Neighbourhood")</f>
        <v>Neighbourhood</v>
      </c>
      <c r="D8122" s="2" t="str">
        <f ca="1">IFERROR(__xludf.DUMMYFUNCTION("""COMPUTED_VALUE"""),"Dubai&gt;Mohammed Bin Rashid City&gt;District 11&gt;Wellington Grand Villas")</f>
        <v>Dubai&gt;Mohammed Bin Rashid City&gt;District 11&gt;Wellington Grand Villas</v>
      </c>
      <c r="E8122" s="2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</row>
    <row r="8123" spans="1:26" ht="16.5" x14ac:dyDescent="0.35">
      <c r="A8123" s="2" t="str">
        <f ca="1">IFERROR(__xludf.DUMMYFUNCTION("""COMPUTED_VALUE"""),"Dubai")</f>
        <v>Dubai</v>
      </c>
      <c r="B8123" s="2" t="str">
        <f ca="1">IFERROR(__xludf.DUMMYFUNCTION("""COMPUTED_VALUE"""),"Residences 22")</f>
        <v>Residences 22</v>
      </c>
      <c r="C8123" s="2" t="str">
        <f ca="1">IFERROR(__xludf.DUMMYFUNCTION("""COMPUTED_VALUE"""),"Building")</f>
        <v>Building</v>
      </c>
      <c r="D8123" s="2" t="str">
        <f ca="1">IFERROR(__xludf.DUMMYFUNCTION("""COMPUTED_VALUE"""),"Dubai&gt;Mohammed Bin Rashid City&gt;District One&gt;The Residences at District One&gt;Residences 22")</f>
        <v>Dubai&gt;Mohammed Bin Rashid City&gt;District One&gt;The Residences at District One&gt;Residences 22</v>
      </c>
      <c r="E8123" s="2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</row>
    <row r="8124" spans="1:26" ht="16.5" x14ac:dyDescent="0.35">
      <c r="A8124" s="2" t="str">
        <f ca="1">IFERROR(__xludf.DUMMYFUNCTION("""COMPUTED_VALUE"""),"Dubai")</f>
        <v>Dubai</v>
      </c>
      <c r="B8124" s="2" t="str">
        <f ca="1">IFERROR(__xludf.DUMMYFUNCTION("""COMPUTED_VALUE"""),"The Pulse Residence Icon")</f>
        <v>The Pulse Residence Icon</v>
      </c>
      <c r="C8124" s="2" t="str">
        <f ca="1">IFERROR(__xludf.DUMMYFUNCTION("""COMPUTED_VALUE"""),"Building")</f>
        <v>Building</v>
      </c>
      <c r="D8124" s="2" t="str">
        <f ca="1">IFERROR(__xludf.DUMMYFUNCTION("""COMPUTED_VALUE"""),"Dubai&gt;Dubai South&gt;Residential District&gt;The Pulse&gt;The Pulse Residence&gt;The Pulse Residence Icon")</f>
        <v>Dubai&gt;Dubai South&gt;Residential District&gt;The Pulse&gt;The Pulse Residence&gt;The Pulse Residence Icon</v>
      </c>
      <c r="E8124" s="2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</row>
    <row r="8125" spans="1:26" ht="16.5" x14ac:dyDescent="0.35">
      <c r="A8125" s="2" t="str">
        <f ca="1">IFERROR(__xludf.DUMMYFUNCTION("""COMPUTED_VALUE"""),"Dubai")</f>
        <v>Dubai</v>
      </c>
      <c r="B8125" s="2" t="str">
        <f ca="1">IFERROR(__xludf.DUMMYFUNCTION("""COMPUTED_VALUE"""),"MAG 565")</f>
        <v>MAG 565</v>
      </c>
      <c r="C8125" s="2" t="str">
        <f ca="1">IFERROR(__xludf.DUMMYFUNCTION("""COMPUTED_VALUE"""),"Building")</f>
        <v>Building</v>
      </c>
      <c r="D8125" s="2" t="str">
        <f ca="1">IFERROR(__xludf.DUMMYFUNCTION("""COMPUTED_VALUE"""),"Dubai&gt;Dubai South&gt;Residential District&gt;MAG 5 Boulevard&gt;MAG 565")</f>
        <v>Dubai&gt;Dubai South&gt;Residential District&gt;MAG 5 Boulevard&gt;MAG 565</v>
      </c>
      <c r="E8125" s="2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</row>
    <row r="8126" spans="1:26" ht="16.5" x14ac:dyDescent="0.35">
      <c r="A8126" s="2" t="str">
        <f ca="1">IFERROR(__xludf.DUMMYFUNCTION("""COMPUTED_VALUE"""),"Dubai")</f>
        <v>Dubai</v>
      </c>
      <c r="B8126" s="2" t="str">
        <f ca="1">IFERROR(__xludf.DUMMYFUNCTION("""COMPUTED_VALUE"""),"Views 1")</f>
        <v>Views 1</v>
      </c>
      <c r="C8126" s="2" t="str">
        <f ca="1">IFERROR(__xludf.DUMMYFUNCTION("""COMPUTED_VALUE"""),"Building")</f>
        <v>Building</v>
      </c>
      <c r="D8126" s="2" t="str">
        <f ca="1">IFERROR(__xludf.DUMMYFUNCTION("""COMPUTED_VALUE"""),"Dubai&gt;Dubai South&gt;Residential District&gt;Views&gt;Views 1")</f>
        <v>Dubai&gt;Dubai South&gt;Residential District&gt;Views&gt;Views 1</v>
      </c>
      <c r="E8126" s="2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</row>
    <row r="8127" spans="1:26" ht="16.5" x14ac:dyDescent="0.35">
      <c r="A8127" s="2" t="str">
        <f ca="1">IFERROR(__xludf.DUMMYFUNCTION("""COMPUTED_VALUE"""),"Dubai")</f>
        <v>Dubai</v>
      </c>
      <c r="B8127" s="2" t="str">
        <f ca="1">IFERROR(__xludf.DUMMYFUNCTION("""COMPUTED_VALUE"""),"Windsor House")</f>
        <v>Windsor House</v>
      </c>
      <c r="C8127" s="2" t="str">
        <f ca="1">IFERROR(__xludf.DUMMYFUNCTION("""COMPUTED_VALUE"""),"Building")</f>
        <v>Building</v>
      </c>
      <c r="D8127" s="2" t="str">
        <f ca="1">IFERROR(__xludf.DUMMYFUNCTION("""COMPUTED_VALUE"""),"Dubai&gt;Dubai South&gt;Residential District&gt;Windsor House")</f>
        <v>Dubai&gt;Dubai South&gt;Residential District&gt;Windsor House</v>
      </c>
      <c r="E8127" s="2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</row>
    <row r="8128" spans="1:26" ht="16.5" x14ac:dyDescent="0.35">
      <c r="A8128" s="2" t="str">
        <f ca="1">IFERROR(__xludf.DUMMYFUNCTION("""COMPUTED_VALUE"""),"Dubai")</f>
        <v>Dubai</v>
      </c>
      <c r="B8128" s="2" t="str">
        <f ca="1">IFERROR(__xludf.DUMMYFUNCTION("""COMPUTED_VALUE"""),"Golf Views Podium")</f>
        <v>Golf Views Podium</v>
      </c>
      <c r="C8128" s="2" t="str">
        <f ca="1">IFERROR(__xludf.DUMMYFUNCTION("""COMPUTED_VALUE"""),"Building")</f>
        <v>Building</v>
      </c>
      <c r="D8128" s="2" t="str">
        <f ca="1">IFERROR(__xludf.DUMMYFUNCTION("""COMPUTED_VALUE"""),"Dubai&gt;Dubai South&gt;Emaar South&gt;Golf Views&gt;Golf Views Podium")</f>
        <v>Dubai&gt;Dubai South&gt;Emaar South&gt;Golf Views&gt;Golf Views Podium</v>
      </c>
      <c r="E8128" s="2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</row>
    <row r="8129" spans="1:26" ht="16.5" x14ac:dyDescent="0.35">
      <c r="A8129" s="2" t="str">
        <f ca="1">IFERROR(__xludf.DUMMYFUNCTION("""COMPUTED_VALUE"""),"Dubai")</f>
        <v>Dubai</v>
      </c>
      <c r="B8129" s="2" t="str">
        <f ca="1">IFERROR(__xludf.DUMMYFUNCTION("""COMPUTED_VALUE"""),"Vista Ridge Tower 2")</f>
        <v>Vista Ridge Tower 2</v>
      </c>
      <c r="C8129" s="2" t="str">
        <f ca="1">IFERROR(__xludf.DUMMYFUNCTION("""COMPUTED_VALUE"""),"Building")</f>
        <v>Building</v>
      </c>
      <c r="D8129" s="2" t="str">
        <f ca="1">IFERROR(__xludf.DUMMYFUNCTION("""COMPUTED_VALUE"""),"Dubai&gt;Dubai South&gt;Emaar South&gt;Vista Ridge&gt;Vista Ridge Tower 2")</f>
        <v>Dubai&gt;Dubai South&gt;Emaar South&gt;Vista Ridge&gt;Vista Ridge Tower 2</v>
      </c>
      <c r="E8129" s="2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</row>
    <row r="8130" spans="1:26" ht="16.5" x14ac:dyDescent="0.35">
      <c r="A8130" s="2" t="str">
        <f ca="1">IFERROR(__xludf.DUMMYFUNCTION("""COMPUTED_VALUE"""),"Dubai")</f>
        <v>Dubai</v>
      </c>
      <c r="B8130" s="2" t="str">
        <f ca="1">IFERROR(__xludf.DUMMYFUNCTION("""COMPUTED_VALUE"""),"Azizi Venice 3")</f>
        <v>Azizi Venice 3</v>
      </c>
      <c r="C8130" s="2" t="str">
        <f ca="1">IFERROR(__xludf.DUMMYFUNCTION("""COMPUTED_VALUE"""),"Cluster")</f>
        <v>Cluster</v>
      </c>
      <c r="D8130" s="2" t="str">
        <f ca="1">IFERROR(__xludf.DUMMYFUNCTION("""COMPUTED_VALUE"""),"Dubai&gt;Dubai South&gt;Azizi Venice&gt;Azizi Venice 3")</f>
        <v>Dubai&gt;Dubai South&gt;Azizi Venice&gt;Azizi Venice 3</v>
      </c>
      <c r="E8130" s="2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</row>
    <row r="8131" spans="1:26" ht="16.5" x14ac:dyDescent="0.35">
      <c r="A8131" s="2" t="str">
        <f ca="1">IFERROR(__xludf.DUMMYFUNCTION("""COMPUTED_VALUE"""),"Dubai")</f>
        <v>Dubai</v>
      </c>
      <c r="B8131" s="2" t="str">
        <f ca="1">IFERROR(__xludf.DUMMYFUNCTION("""COMPUTED_VALUE"""),"Azizi Venice 14 Building F")</f>
        <v>Azizi Venice 14 Building F</v>
      </c>
      <c r="C8131" s="2" t="str">
        <f ca="1">IFERROR(__xludf.DUMMYFUNCTION("""COMPUTED_VALUE"""),"Building")</f>
        <v>Building</v>
      </c>
      <c r="D8131" s="2" t="str">
        <f ca="1">IFERROR(__xludf.DUMMYFUNCTION("""COMPUTED_VALUE"""),"Dubai&gt;Dubai South&gt;Azizi Venice&gt;Azizi Venice 14&gt;Azizi Venice 14 Building F")</f>
        <v>Dubai&gt;Dubai South&gt;Azizi Venice&gt;Azizi Venice 14&gt;Azizi Venice 14 Building F</v>
      </c>
      <c r="E8131" s="2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</row>
    <row r="8132" spans="1:26" ht="16.5" x14ac:dyDescent="0.35">
      <c r="A8132" s="2" t="str">
        <f ca="1">IFERROR(__xludf.DUMMYFUNCTION("""COMPUTED_VALUE"""),"Dubai")</f>
        <v>Dubai</v>
      </c>
      <c r="B8132" s="2" t="str">
        <f ca="1">IFERROR(__xludf.DUMMYFUNCTION("""COMPUTED_VALUE"""),"The Meadows 1")</f>
        <v>The Meadows 1</v>
      </c>
      <c r="C8132" s="2" t="str">
        <f ca="1">IFERROR(__xludf.DUMMYFUNCTION("""COMPUTED_VALUE"""),"Neighbourhood")</f>
        <v>Neighbourhood</v>
      </c>
      <c r="D8132" s="2" t="str">
        <f ca="1">IFERROR(__xludf.DUMMYFUNCTION("""COMPUTED_VALUE"""),"Dubai&gt;The Meadows&gt;The Meadows 1")</f>
        <v>Dubai&gt;The Meadows&gt;The Meadows 1</v>
      </c>
      <c r="E8132" s="2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</row>
    <row r="8133" spans="1:26" ht="16.5" x14ac:dyDescent="0.35">
      <c r="A8133" s="2" t="str">
        <f ca="1">IFERROR(__xludf.DUMMYFUNCTION("""COMPUTED_VALUE"""),"Dubai")</f>
        <v>Dubai</v>
      </c>
      <c r="B8133" s="2" t="str">
        <f ca="1">IFERROR(__xludf.DUMMYFUNCTION("""COMPUTED_VALUE"""),"Snooker Point Building")</f>
        <v>Snooker Point Building</v>
      </c>
      <c r="C8133" s="2" t="str">
        <f ca="1">IFERROR(__xludf.DUMMYFUNCTION("""COMPUTED_VALUE"""),"Building")</f>
        <v>Building</v>
      </c>
      <c r="D8133" s="2" t="str">
        <f ca="1">IFERROR(__xludf.DUMMYFUNCTION("""COMPUTED_VALUE"""),"Dubai&gt;Bur Dubai&gt;Oud Metha&gt;Snooker Point Building")</f>
        <v>Dubai&gt;Bur Dubai&gt;Oud Metha&gt;Snooker Point Building</v>
      </c>
      <c r="E8133" s="2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</row>
    <row r="8134" spans="1:26" ht="16.5" x14ac:dyDescent="0.35">
      <c r="A8134" s="2" t="str">
        <f ca="1">IFERROR(__xludf.DUMMYFUNCTION("""COMPUTED_VALUE"""),"Dubai")</f>
        <v>Dubai</v>
      </c>
      <c r="B8134" s="2" t="str">
        <f ca="1">IFERROR(__xludf.DUMMYFUNCTION("""COMPUTED_VALUE"""),"Maysoon Building")</f>
        <v>Maysoon Building</v>
      </c>
      <c r="C8134" s="2" t="str">
        <f ca="1">IFERROR(__xludf.DUMMYFUNCTION("""COMPUTED_VALUE"""),"Building")</f>
        <v>Building</v>
      </c>
      <c r="D8134" s="2" t="str">
        <f ca="1">IFERROR(__xludf.DUMMYFUNCTION("""COMPUTED_VALUE"""),"Dubai&gt;Bur Dubai&gt;Oud Metha&gt;Maysoon Building")</f>
        <v>Dubai&gt;Bur Dubai&gt;Oud Metha&gt;Maysoon Building</v>
      </c>
      <c r="E8134" s="2"/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</row>
    <row r="8135" spans="1:26" ht="16.5" x14ac:dyDescent="0.35">
      <c r="A8135" s="2" t="str">
        <f ca="1">IFERROR(__xludf.DUMMYFUNCTION("""COMPUTED_VALUE"""),"Dubai")</f>
        <v>Dubai</v>
      </c>
      <c r="B8135" s="2" t="str">
        <f ca="1">IFERROR(__xludf.DUMMYFUNCTION("""COMPUTED_VALUE"""),"Masaken Al Raffa 01")</f>
        <v>Masaken Al Raffa 01</v>
      </c>
      <c r="C8135" s="2" t="str">
        <f ca="1">IFERROR(__xludf.DUMMYFUNCTION("""COMPUTED_VALUE"""),"Building")</f>
        <v>Building</v>
      </c>
      <c r="D8135" s="2" t="str">
        <f ca="1">IFERROR(__xludf.DUMMYFUNCTION("""COMPUTED_VALUE"""),"Dubai&gt;Bur Dubai&gt;Al Raffa&gt;Masaken Al Raffa 01")</f>
        <v>Dubai&gt;Bur Dubai&gt;Al Raffa&gt;Masaken Al Raffa 01</v>
      </c>
      <c r="E8135" s="2"/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</row>
    <row r="8136" spans="1:26" ht="16.5" x14ac:dyDescent="0.35">
      <c r="A8136" s="2" t="str">
        <f ca="1">IFERROR(__xludf.DUMMYFUNCTION("""COMPUTED_VALUE"""),"Dubai")</f>
        <v>Dubai</v>
      </c>
      <c r="B8136" s="2" t="str">
        <f ca="1">IFERROR(__xludf.DUMMYFUNCTION("""COMPUTED_VALUE"""),"KJN Reffa A")</f>
        <v>KJN Reffa A</v>
      </c>
      <c r="C8136" s="2" t="str">
        <f ca="1">IFERROR(__xludf.DUMMYFUNCTION("""COMPUTED_VALUE"""),"Building")</f>
        <v>Building</v>
      </c>
      <c r="D8136" s="2" t="str">
        <f ca="1">IFERROR(__xludf.DUMMYFUNCTION("""COMPUTED_VALUE"""),"Dubai&gt;Bur Dubai&gt;Al Raffa&gt;KJN Reffa A")</f>
        <v>Dubai&gt;Bur Dubai&gt;Al Raffa&gt;KJN Reffa A</v>
      </c>
      <c r="E8136" s="2"/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</row>
    <row r="8137" spans="1:26" ht="16.5" x14ac:dyDescent="0.35">
      <c r="A8137" s="2" t="str">
        <f ca="1">IFERROR(__xludf.DUMMYFUNCTION("""COMPUTED_VALUE"""),"Dubai")</f>
        <v>Dubai</v>
      </c>
      <c r="B8137" s="2" t="str">
        <f ca="1">IFERROR(__xludf.DUMMYFUNCTION("""COMPUTED_VALUE"""),"Al Noor Building")</f>
        <v>Al Noor Building</v>
      </c>
      <c r="C8137" s="2" t="str">
        <f ca="1">IFERROR(__xludf.DUMMYFUNCTION("""COMPUTED_VALUE"""),"Building")</f>
        <v>Building</v>
      </c>
      <c r="D8137" s="2" t="str">
        <f ca="1">IFERROR(__xludf.DUMMYFUNCTION("""COMPUTED_VALUE"""),"Dubai&gt;Bur Dubai&gt;Al Mankhool&gt;Al Noor Building")</f>
        <v>Dubai&gt;Bur Dubai&gt;Al Mankhool&gt;Al Noor Building</v>
      </c>
      <c r="E8137" s="2"/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</row>
    <row r="8138" spans="1:26" ht="16.5" x14ac:dyDescent="0.35">
      <c r="A8138" s="2" t="str">
        <f ca="1">IFERROR(__xludf.DUMMYFUNCTION("""COMPUTED_VALUE"""),"Dubai")</f>
        <v>Dubai</v>
      </c>
      <c r="B8138" s="2" t="str">
        <f ca="1">IFERROR(__xludf.DUMMYFUNCTION("""COMPUTED_VALUE"""),"Noor Building 3")</f>
        <v>Noor Building 3</v>
      </c>
      <c r="C8138" s="2" t="str">
        <f ca="1">IFERROR(__xludf.DUMMYFUNCTION("""COMPUTED_VALUE"""),"Building")</f>
        <v>Building</v>
      </c>
      <c r="D8138" s="2" t="str">
        <f ca="1">IFERROR(__xludf.DUMMYFUNCTION("""COMPUTED_VALUE"""),"Dubai&gt;Bur Dubai&gt;Al Mankhool&gt;Noor Building 3")</f>
        <v>Dubai&gt;Bur Dubai&gt;Al Mankhool&gt;Noor Building 3</v>
      </c>
      <c r="E8138" s="2"/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</row>
    <row r="8139" spans="1:26" ht="16.5" x14ac:dyDescent="0.35">
      <c r="A8139" s="2" t="str">
        <f ca="1">IFERROR(__xludf.DUMMYFUNCTION("""COMPUTED_VALUE"""),"Dubai")</f>
        <v>Dubai</v>
      </c>
      <c r="B8139" s="2" t="str">
        <f ca="1">IFERROR(__xludf.DUMMYFUNCTION("""COMPUTED_VALUE"""),"Binhendi Tower")</f>
        <v>Binhendi Tower</v>
      </c>
      <c r="C8139" s="2" t="str">
        <f ca="1">IFERROR(__xludf.DUMMYFUNCTION("""COMPUTED_VALUE"""),"Building")</f>
        <v>Building</v>
      </c>
      <c r="D8139" s="2" t="str">
        <f ca="1">IFERROR(__xludf.DUMMYFUNCTION("""COMPUTED_VALUE"""),"Dubai&gt;Bur Dubai&gt;Al Mankhool&gt;Binhendi Tower")</f>
        <v>Dubai&gt;Bur Dubai&gt;Al Mankhool&gt;Binhendi Tower</v>
      </c>
      <c r="E8139" s="2"/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</row>
    <row r="8140" spans="1:26" ht="16.5" x14ac:dyDescent="0.35">
      <c r="A8140" s="2" t="str">
        <f ca="1">IFERROR(__xludf.DUMMYFUNCTION("""COMPUTED_VALUE"""),"Dubai")</f>
        <v>Dubai</v>
      </c>
      <c r="B8140" s="2" t="str">
        <f ca="1">IFERROR(__xludf.DUMMYFUNCTION("""COMPUTED_VALUE"""),"Avenue Park Towers")</f>
        <v>Avenue Park Towers</v>
      </c>
      <c r="C8140" s="2" t="str">
        <f ca="1">IFERROR(__xludf.DUMMYFUNCTION("""COMPUTED_VALUE"""),"Cluster")</f>
        <v>Cluster</v>
      </c>
      <c r="D8140" s="2" t="str">
        <f ca="1">IFERROR(__xludf.DUMMYFUNCTION("""COMPUTED_VALUE"""),"Dubai&gt;Bur Dubai&gt;Al Kifaf&gt;Avenue Park Towers")</f>
        <v>Dubai&gt;Bur Dubai&gt;Al Kifaf&gt;Avenue Park Towers</v>
      </c>
      <c r="E8140" s="2"/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</row>
    <row r="8141" spans="1:26" ht="16.5" x14ac:dyDescent="0.35">
      <c r="A8141" s="2" t="str">
        <f ca="1">IFERROR(__xludf.DUMMYFUNCTION("""COMPUTED_VALUE"""),"Dubai")</f>
        <v>Dubai</v>
      </c>
      <c r="B8141" s="2" t="str">
        <f ca="1">IFERROR(__xludf.DUMMYFUNCTION("""COMPUTED_VALUE"""),"Al Raien Hotel Apartments")</f>
        <v>Al Raien Hotel Apartments</v>
      </c>
      <c r="C8141" s="2" t="str">
        <f ca="1">IFERROR(__xludf.DUMMYFUNCTION("""COMPUTED_VALUE"""),"Building")</f>
        <v>Building</v>
      </c>
      <c r="D8141" s="2" t="str">
        <f ca="1">IFERROR(__xludf.DUMMYFUNCTION("""COMPUTED_VALUE"""),"Dubai&gt;Bur Dubai&gt;Al Souk Al Kabeer (Al Fahidi)&gt;Al Raien Hotel Apartments")</f>
        <v>Dubai&gt;Bur Dubai&gt;Al Souk Al Kabeer (Al Fahidi)&gt;Al Raien Hotel Apartments</v>
      </c>
      <c r="E8141" s="2"/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</row>
    <row r="8142" spans="1:26" ht="16.5" x14ac:dyDescent="0.35">
      <c r="A8142" s="2" t="str">
        <f ca="1">IFERROR(__xludf.DUMMYFUNCTION("""COMPUTED_VALUE"""),"Dubai")</f>
        <v>Dubai</v>
      </c>
      <c r="B8142" s="2" t="str">
        <f ca="1">IFERROR(__xludf.DUMMYFUNCTION("""COMPUTED_VALUE"""),"Al Mirzab Building")</f>
        <v>Al Mirzab Building</v>
      </c>
      <c r="C8142" s="2" t="str">
        <f ca="1">IFERROR(__xludf.DUMMYFUNCTION("""COMPUTED_VALUE"""),"Building")</f>
        <v>Building</v>
      </c>
      <c r="D8142" s="2" t="str">
        <f ca="1">IFERROR(__xludf.DUMMYFUNCTION("""COMPUTED_VALUE"""),"Dubai&gt;Bur Dubai&gt;Al Souk Al Kabeer (Al Fahidi)&gt;Al Mirzab Building")</f>
        <v>Dubai&gt;Bur Dubai&gt;Al Souk Al Kabeer (Al Fahidi)&gt;Al Mirzab Building</v>
      </c>
      <c r="E8142" s="2"/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</row>
    <row r="8143" spans="1:26" ht="16.5" x14ac:dyDescent="0.35">
      <c r="A8143" s="2" t="str">
        <f ca="1">IFERROR(__xludf.DUMMYFUNCTION("""COMPUTED_VALUE"""),"Dubai")</f>
        <v>Dubai</v>
      </c>
      <c r="B8143" s="2" t="str">
        <f ca="1">IFERROR(__xludf.DUMMYFUNCTION("""COMPUTED_VALUE"""),"Bayt Al Hamriya 01")</f>
        <v>Bayt Al Hamriya 01</v>
      </c>
      <c r="C8143" s="2" t="str">
        <f ca="1">IFERROR(__xludf.DUMMYFUNCTION("""COMPUTED_VALUE"""),"Building")</f>
        <v>Building</v>
      </c>
      <c r="D8143" s="2" t="str">
        <f ca="1">IFERROR(__xludf.DUMMYFUNCTION("""COMPUTED_VALUE"""),"Dubai&gt;Bur Dubai&gt;Al Hamriya&gt;Bayt Al Hamriya 01")</f>
        <v>Dubai&gt;Bur Dubai&gt;Al Hamriya&gt;Bayt Al Hamriya 01</v>
      </c>
      <c r="E8143" s="2"/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</row>
    <row r="8144" spans="1:26" ht="16.5" x14ac:dyDescent="0.35">
      <c r="A8144" s="2" t="str">
        <f ca="1">IFERROR(__xludf.DUMMYFUNCTION("""COMPUTED_VALUE"""),"Dubai")</f>
        <v>Dubai</v>
      </c>
      <c r="B8144" s="2" t="str">
        <f ca="1">IFERROR(__xludf.DUMMYFUNCTION("""COMPUTED_VALUE"""),"Marina Cube 1")</f>
        <v>Marina Cube 1</v>
      </c>
      <c r="C8144" s="2" t="str">
        <f ca="1">IFERROR(__xludf.DUMMYFUNCTION("""COMPUTED_VALUE"""),"Building")</f>
        <v>Building</v>
      </c>
      <c r="D8144" s="2" t="str">
        <f ca="1">IFERROR(__xludf.DUMMYFUNCTION("""COMPUTED_VALUE"""),"Dubai&gt;Bur Dubai&gt;Marina Cubes&gt;Marina Cube 1")</f>
        <v>Dubai&gt;Bur Dubai&gt;Marina Cubes&gt;Marina Cube 1</v>
      </c>
      <c r="E8144" s="2"/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</row>
    <row r="8145" spans="1:26" ht="16.5" x14ac:dyDescent="0.35">
      <c r="A8145" s="2" t="str">
        <f ca="1">IFERROR(__xludf.DUMMYFUNCTION("""COMPUTED_VALUE"""),"Dubai")</f>
        <v>Dubai</v>
      </c>
      <c r="B8145" s="2" t="str">
        <f ca="1">IFERROR(__xludf.DUMMYFUNCTION("""COMPUTED_VALUE"""),"Al Andalus Townhouses")</f>
        <v>Al Andalus Townhouses</v>
      </c>
      <c r="C8145" s="2" t="str">
        <f ca="1">IFERROR(__xludf.DUMMYFUNCTION("""COMPUTED_VALUE"""),"Neighbourhood")</f>
        <v>Neighbourhood</v>
      </c>
      <c r="D8145" s="2" t="str">
        <f ca="1">IFERROR(__xludf.DUMMYFUNCTION("""COMPUTED_VALUE"""),"Dubai&gt;Jumeirah Golf Estates&gt;Al Andalus Townhouses")</f>
        <v>Dubai&gt;Jumeirah Golf Estates&gt;Al Andalus Townhouses</v>
      </c>
      <c r="E8145" s="2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</row>
    <row r="8146" spans="1:26" ht="16.5" x14ac:dyDescent="0.35">
      <c r="A8146" s="2" t="str">
        <f ca="1">IFERROR(__xludf.DUMMYFUNCTION("""COMPUTED_VALUE"""),"Dubai")</f>
        <v>Dubai</v>
      </c>
      <c r="B8146" s="2" t="str">
        <f ca="1">IFERROR(__xludf.DUMMYFUNCTION("""COMPUTED_VALUE"""),"Beach Mansion Tower 2")</f>
        <v>Beach Mansion Tower 2</v>
      </c>
      <c r="C8146" s="2" t="str">
        <f ca="1">IFERROR(__xludf.DUMMYFUNCTION("""COMPUTED_VALUE"""),"Building")</f>
        <v>Building</v>
      </c>
      <c r="D8146" s="2" t="str">
        <f ca="1">IFERROR(__xludf.DUMMYFUNCTION("""COMPUTED_VALUE"""),"Dubai&gt;Dubai Harbour&gt;Emaar Beachfront&gt;Beach Mansion&gt;Beach Mansion Tower 2")</f>
        <v>Dubai&gt;Dubai Harbour&gt;Emaar Beachfront&gt;Beach Mansion&gt;Beach Mansion Tower 2</v>
      </c>
      <c r="E8146" s="2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</row>
    <row r="8147" spans="1:26" ht="16.5" x14ac:dyDescent="0.35">
      <c r="A8147" s="2" t="str">
        <f ca="1">IFERROR(__xludf.DUMMYFUNCTION("""COMPUTED_VALUE"""),"Dubai")</f>
        <v>Dubai</v>
      </c>
      <c r="B8147" s="2" t="str">
        <f ca="1">IFERROR(__xludf.DUMMYFUNCTION("""COMPUTED_VALUE"""),"Fiora")</f>
        <v>Fiora</v>
      </c>
      <c r="C8147" s="2" t="str">
        <f ca="1">IFERROR(__xludf.DUMMYFUNCTION("""COMPUTED_VALUE"""),"Building")</f>
        <v>Building</v>
      </c>
      <c r="D8147" s="2" t="str">
        <f ca="1">IFERROR(__xludf.DUMMYFUNCTION("""COMPUTED_VALUE"""),"Dubai&gt;DAMAC Hills 2 (Akoya by DAMAC)&gt;Fiora")</f>
        <v>Dubai&gt;DAMAC Hills 2 (Akoya by DAMAC)&gt;Fiora</v>
      </c>
      <c r="E8147" s="2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</row>
    <row r="8148" spans="1:26" ht="16.5" x14ac:dyDescent="0.35">
      <c r="A8148" s="2" t="str">
        <f ca="1">IFERROR(__xludf.DUMMYFUNCTION("""COMPUTED_VALUE"""),"Dubai")</f>
        <v>Dubai</v>
      </c>
      <c r="B8148" s="2" t="str">
        <f ca="1">IFERROR(__xludf.DUMMYFUNCTION("""COMPUTED_VALUE"""),"Verona")</f>
        <v>Verona</v>
      </c>
      <c r="C8148" s="2" t="str">
        <f ca="1">IFERROR(__xludf.DUMMYFUNCTION("""COMPUTED_VALUE"""),"Neighbourhood")</f>
        <v>Neighbourhood</v>
      </c>
      <c r="D8148" s="2" t="str">
        <f ca="1">IFERROR(__xludf.DUMMYFUNCTION("""COMPUTED_VALUE"""),"Dubai&gt;DAMAC Hills 2 (Akoya by DAMAC)&gt;Verona")</f>
        <v>Dubai&gt;DAMAC Hills 2 (Akoya by DAMAC)&gt;Verona</v>
      </c>
      <c r="E8148" s="2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</row>
    <row r="8149" spans="1:26" ht="16.5" x14ac:dyDescent="0.35">
      <c r="A8149" s="2" t="str">
        <f ca="1">IFERROR(__xludf.DUMMYFUNCTION("""COMPUTED_VALUE"""),"Dubai")</f>
        <v>Dubai</v>
      </c>
      <c r="B8149" s="2" t="str">
        <f ca="1">IFERROR(__xludf.DUMMYFUNCTION("""COMPUTED_VALUE"""),"I-10")</f>
        <v>I-10</v>
      </c>
      <c r="C8149" s="2" t="str">
        <f ca="1">IFERROR(__xludf.DUMMYFUNCTION("""COMPUTED_VALUE"""),"Building")</f>
        <v>Building</v>
      </c>
      <c r="D8149" s="2" t="str">
        <f ca="1">IFERROR(__xludf.DUMMYFUNCTION("""COMPUTED_VALUE"""),"Dubai&gt;International City&gt;Morocco Cluster&gt;I-10")</f>
        <v>Dubai&gt;International City&gt;Morocco Cluster&gt;I-10</v>
      </c>
      <c r="E8149" s="2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</row>
    <row r="8150" spans="1:26" ht="16.5" x14ac:dyDescent="0.35">
      <c r="A8150" s="2" t="str">
        <f ca="1">IFERROR(__xludf.DUMMYFUNCTION("""COMPUTED_VALUE"""),"Dubai")</f>
        <v>Dubai</v>
      </c>
      <c r="B8150" s="2" t="str">
        <f ca="1">IFERROR(__xludf.DUMMYFUNCTION("""COMPUTED_VALUE"""),"Souk Warsan Block H")</f>
        <v>Souk Warsan Block H</v>
      </c>
      <c r="C8150" s="2" t="str">
        <f ca="1">IFERROR(__xludf.DUMMYFUNCTION("""COMPUTED_VALUE"""),"Building")</f>
        <v>Building</v>
      </c>
      <c r="D8150" s="2" t="str">
        <f ca="1">IFERROR(__xludf.DUMMYFUNCTION("""COMPUTED_VALUE"""),"Dubai&gt;International City&gt;Warsan Village&gt;Souk Warsan&gt;Souk Warsan Block H")</f>
        <v>Dubai&gt;International City&gt;Warsan Village&gt;Souk Warsan&gt;Souk Warsan Block H</v>
      </c>
      <c r="E8150" s="2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</row>
    <row r="8151" spans="1:26" ht="16.5" x14ac:dyDescent="0.35">
      <c r="A8151" s="2" t="str">
        <f ca="1">IFERROR(__xludf.DUMMYFUNCTION("""COMPUTED_VALUE"""),"Dubai")</f>
        <v>Dubai</v>
      </c>
      <c r="B8151" s="2" t="str">
        <f ca="1">IFERROR(__xludf.DUMMYFUNCTION("""COMPUTED_VALUE"""),"B-03")</f>
        <v>B-03</v>
      </c>
      <c r="C8151" s="2" t="str">
        <f ca="1">IFERROR(__xludf.DUMMYFUNCTION("""COMPUTED_VALUE"""),"Building")</f>
        <v>Building</v>
      </c>
      <c r="D8151" s="2" t="str">
        <f ca="1">IFERROR(__xludf.DUMMYFUNCTION("""COMPUTED_VALUE"""),"Dubai&gt;International City&gt;China Cluster&gt;B-03")</f>
        <v>Dubai&gt;International City&gt;China Cluster&gt;B-03</v>
      </c>
      <c r="E8151" s="2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</row>
    <row r="8152" spans="1:26" ht="16.5" x14ac:dyDescent="0.35">
      <c r="A8152" s="2" t="str">
        <f ca="1">IFERROR(__xludf.DUMMYFUNCTION("""COMPUTED_VALUE"""),"Dubai")</f>
        <v>Dubai</v>
      </c>
      <c r="B8152" s="2" t="str">
        <f ca="1">IFERROR(__xludf.DUMMYFUNCTION("""COMPUTED_VALUE"""),"E-02")</f>
        <v>E-02</v>
      </c>
      <c r="C8152" s="2" t="str">
        <f ca="1">IFERROR(__xludf.DUMMYFUNCTION("""COMPUTED_VALUE"""),"Building")</f>
        <v>Building</v>
      </c>
      <c r="D8152" s="2" t="str">
        <f ca="1">IFERROR(__xludf.DUMMYFUNCTION("""COMPUTED_VALUE"""),"Dubai&gt;International City&gt;China Cluster&gt;E-02")</f>
        <v>Dubai&gt;International City&gt;China Cluster&gt;E-02</v>
      </c>
      <c r="E8152" s="2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</row>
    <row r="8153" spans="1:26" ht="16.5" x14ac:dyDescent="0.35">
      <c r="A8153" s="2" t="str">
        <f ca="1">IFERROR(__xludf.DUMMYFUNCTION("""COMPUTED_VALUE"""),"Dubai")</f>
        <v>Dubai</v>
      </c>
      <c r="B8153" s="2" t="str">
        <f ca="1">IFERROR(__xludf.DUMMYFUNCTION("""COMPUTED_VALUE"""),"T-10")</f>
        <v>T-10</v>
      </c>
      <c r="C8153" s="2" t="str">
        <f ca="1">IFERROR(__xludf.DUMMYFUNCTION("""COMPUTED_VALUE"""),"Building")</f>
        <v>Building</v>
      </c>
      <c r="D8153" s="2" t="str">
        <f ca="1">IFERROR(__xludf.DUMMYFUNCTION("""COMPUTED_VALUE"""),"Dubai&gt;International City&gt;Spain Cluster&gt;T-10")</f>
        <v>Dubai&gt;International City&gt;Spain Cluster&gt;T-10</v>
      </c>
      <c r="E8153" s="2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</row>
    <row r="8154" spans="1:26" ht="16.5" x14ac:dyDescent="0.35">
      <c r="A8154" s="2" t="str">
        <f ca="1">IFERROR(__xludf.DUMMYFUNCTION("""COMPUTED_VALUE"""),"Dubai")</f>
        <v>Dubai</v>
      </c>
      <c r="B8154" s="2" t="str">
        <f ca="1">IFERROR(__xludf.DUMMYFUNCTION("""COMPUTED_VALUE"""),"S-06")</f>
        <v>S-06</v>
      </c>
      <c r="C8154" s="2" t="str">
        <f ca="1">IFERROR(__xludf.DUMMYFUNCTION("""COMPUTED_VALUE"""),"Building")</f>
        <v>Building</v>
      </c>
      <c r="D8154" s="2" t="str">
        <f ca="1">IFERROR(__xludf.DUMMYFUNCTION("""COMPUTED_VALUE"""),"Dubai&gt;International City&gt;Spain Cluster&gt;S-06")</f>
        <v>Dubai&gt;International City&gt;Spain Cluster&gt;S-06</v>
      </c>
      <c r="E8154" s="2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</row>
    <row r="8155" spans="1:26" ht="16.5" x14ac:dyDescent="0.35">
      <c r="A8155" s="2" t="str">
        <f ca="1">IFERROR(__xludf.DUMMYFUNCTION("""COMPUTED_VALUE"""),"Dubai")</f>
        <v>Dubai</v>
      </c>
      <c r="B8155" s="2" t="str">
        <f ca="1">IFERROR(__xludf.DUMMYFUNCTION("""COMPUTED_VALUE"""),"Chubby Cheeks International City")</f>
        <v>Chubby Cheeks International City</v>
      </c>
      <c r="C8155" s="2" t="str">
        <f ca="1">IFERROR(__xludf.DUMMYFUNCTION("""COMPUTED_VALUE"""),"Nursery")</f>
        <v>Nursery</v>
      </c>
      <c r="D8155" s="2" t="str">
        <f ca="1">IFERROR(__xludf.DUMMYFUNCTION("""COMPUTED_VALUE"""),"Dubai&gt;International City&gt;Russia Cluster&gt;Chubby Cheeks International City")</f>
        <v>Dubai&gt;International City&gt;Russia Cluster&gt;Chubby Cheeks International City</v>
      </c>
      <c r="E8155" s="2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</row>
    <row r="8156" spans="1:26" ht="16.5" x14ac:dyDescent="0.35">
      <c r="A8156" s="2" t="str">
        <f ca="1">IFERROR(__xludf.DUMMYFUNCTION("""COMPUTED_VALUE"""),"Dubai")</f>
        <v>Dubai</v>
      </c>
      <c r="B8156" s="2" t="str">
        <f ca="1">IFERROR(__xludf.DUMMYFUNCTION("""COMPUTED_VALUE"""),"W-08")</f>
        <v>W-08</v>
      </c>
      <c r="C8156" s="2" t="str">
        <f ca="1">IFERROR(__xludf.DUMMYFUNCTION("""COMPUTED_VALUE"""),"Building")</f>
        <v>Building</v>
      </c>
      <c r="D8156" s="2" t="str">
        <f ca="1">IFERROR(__xludf.DUMMYFUNCTION("""COMPUTED_VALUE"""),"Dubai&gt;International City&gt;Russia Cluster&gt;W-08")</f>
        <v>Dubai&gt;International City&gt;Russia Cluster&gt;W-08</v>
      </c>
      <c r="E8156" s="2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</row>
    <row r="8157" spans="1:26" ht="16.5" x14ac:dyDescent="0.35">
      <c r="A8157" s="2" t="str">
        <f ca="1">IFERROR(__xludf.DUMMYFUNCTION("""COMPUTED_VALUE"""),"Dubai")</f>
        <v>Dubai</v>
      </c>
      <c r="B8157" s="2" t="str">
        <f ca="1">IFERROR(__xludf.DUMMYFUNCTION("""COMPUTED_VALUE"""),"Lawnz by Danube")</f>
        <v>Lawnz by Danube</v>
      </c>
      <c r="C8157" s="2" t="str">
        <f ca="1">IFERROR(__xludf.DUMMYFUNCTION("""COMPUTED_VALUE"""),"Cluster")</f>
        <v>Cluster</v>
      </c>
      <c r="D8157" s="2" t="str">
        <f ca="1">IFERROR(__xludf.DUMMYFUNCTION("""COMPUTED_VALUE"""),"Dubai&gt;International City&gt;Lawnz by Danube")</f>
        <v>Dubai&gt;International City&gt;Lawnz by Danube</v>
      </c>
      <c r="E8157" s="2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</row>
    <row r="8158" spans="1:26" ht="16.5" x14ac:dyDescent="0.35">
      <c r="A8158" s="2" t="str">
        <f ca="1">IFERROR(__xludf.DUMMYFUNCTION("""COMPUTED_VALUE"""),"Dubai")</f>
        <v>Dubai</v>
      </c>
      <c r="B8158" s="2" t="str">
        <f ca="1">IFERROR(__xludf.DUMMYFUNCTION("""COMPUTED_VALUE"""),"EMR-23")</f>
        <v>EMR-23</v>
      </c>
      <c r="C8158" s="2" t="str">
        <f ca="1">IFERROR(__xludf.DUMMYFUNCTION("""COMPUTED_VALUE"""),"Building")</f>
        <v>Building</v>
      </c>
      <c r="D8158" s="2" t="str">
        <f ca="1">IFERROR(__xludf.DUMMYFUNCTION("""COMPUTED_VALUE"""),"Dubai&gt;International City&gt;Emirates Cluster&gt;EMR-23")</f>
        <v>Dubai&gt;International City&gt;Emirates Cluster&gt;EMR-23</v>
      </c>
      <c r="E8158" s="2"/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</row>
    <row r="8159" spans="1:26" ht="16.5" x14ac:dyDescent="0.35">
      <c r="A8159" s="2" t="str">
        <f ca="1">IFERROR(__xludf.DUMMYFUNCTION("""COMPUTED_VALUE"""),"Dubai")</f>
        <v>Dubai</v>
      </c>
      <c r="B8159" s="2" t="str">
        <f ca="1">IFERROR(__xludf.DUMMYFUNCTION("""COMPUTED_VALUE"""),"Y-04")</f>
        <v>Y-04</v>
      </c>
      <c r="C8159" s="2" t="str">
        <f ca="1">IFERROR(__xludf.DUMMYFUNCTION("""COMPUTED_VALUE"""),"Building")</f>
        <v>Building</v>
      </c>
      <c r="D8159" s="2" t="str">
        <f ca="1">IFERROR(__xludf.DUMMYFUNCTION("""COMPUTED_VALUE"""),"Dubai&gt;International City&gt;England Cluster&gt;Y-04")</f>
        <v>Dubai&gt;International City&gt;England Cluster&gt;Y-04</v>
      </c>
      <c r="E8159" s="2"/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</row>
    <row r="8160" spans="1:26" ht="16.5" x14ac:dyDescent="0.35">
      <c r="A8160" s="2" t="str">
        <f ca="1">IFERROR(__xludf.DUMMYFUNCTION("""COMPUTED_VALUE"""),"Dubai")</f>
        <v>Dubai</v>
      </c>
      <c r="B8160" s="2" t="str">
        <f ca="1">IFERROR(__xludf.DUMMYFUNCTION("""COMPUTED_VALUE"""),"Al Jumaa Residence")</f>
        <v>Al Jumaa Residence</v>
      </c>
      <c r="C8160" s="2" t="str">
        <f ca="1">IFERROR(__xludf.DUMMYFUNCTION("""COMPUTED_VALUE"""),"Building")</f>
        <v>Building</v>
      </c>
      <c r="D8160" s="2" t="str">
        <f ca="1">IFERROR(__xludf.DUMMYFUNCTION("""COMPUTED_VALUE"""),"Dubai&gt;International City&gt;International City Phase 2 (Warsan 4)&gt;Al Jumaa Residence")</f>
        <v>Dubai&gt;International City&gt;International City Phase 2 (Warsan 4)&gt;Al Jumaa Residence</v>
      </c>
      <c r="E8160" s="2"/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</row>
    <row r="8161" spans="1:26" ht="16.5" x14ac:dyDescent="0.35">
      <c r="A8161" s="2" t="str">
        <f ca="1">IFERROR(__xludf.DUMMYFUNCTION("""COMPUTED_VALUE"""),"Dubai")</f>
        <v>Dubai</v>
      </c>
      <c r="B8161" s="2" t="str">
        <f ca="1">IFERROR(__xludf.DUMMYFUNCTION("""COMPUTED_VALUE"""),"Makeen Residence 3")</f>
        <v>Makeen Residence 3</v>
      </c>
      <c r="C8161" s="2" t="str">
        <f ca="1">IFERROR(__xludf.DUMMYFUNCTION("""COMPUTED_VALUE"""),"Building")</f>
        <v>Building</v>
      </c>
      <c r="D8161" s="2" t="str">
        <f ca="1">IFERROR(__xludf.DUMMYFUNCTION("""COMPUTED_VALUE"""),"Dubai&gt;International City&gt;International City Phase 2 (Warsan 4)&gt;Makeen Residence 3")</f>
        <v>Dubai&gt;International City&gt;International City Phase 2 (Warsan 4)&gt;Makeen Residence 3</v>
      </c>
      <c r="E8161" s="2"/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</row>
    <row r="8162" spans="1:26" ht="16.5" x14ac:dyDescent="0.35">
      <c r="A8162" s="2" t="str">
        <f ca="1">IFERROR(__xludf.DUMMYFUNCTION("""COMPUTED_VALUE"""),"Dubai")</f>
        <v>Dubai</v>
      </c>
      <c r="B8162" s="2" t="str">
        <f ca="1">IFERROR(__xludf.DUMMYFUNCTION("""COMPUTED_VALUE"""),"Sannat Residency")</f>
        <v>Sannat Residency</v>
      </c>
      <c r="C8162" s="2" t="str">
        <f ca="1">IFERROR(__xludf.DUMMYFUNCTION("""COMPUTED_VALUE"""),"Building")</f>
        <v>Building</v>
      </c>
      <c r="D8162" s="2" t="str">
        <f ca="1">IFERROR(__xludf.DUMMYFUNCTION("""COMPUTED_VALUE"""),"Dubai&gt;International City&gt;International City Phase 2 (Warsan 4)&gt;Sannat Residency")</f>
        <v>Dubai&gt;International City&gt;International City Phase 2 (Warsan 4)&gt;Sannat Residency</v>
      </c>
      <c r="E8162" s="2"/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</row>
    <row r="8163" spans="1:26" ht="16.5" x14ac:dyDescent="0.35">
      <c r="A8163" s="2" t="str">
        <f ca="1">IFERROR(__xludf.DUMMYFUNCTION("""COMPUTED_VALUE"""),"Dubai")</f>
        <v>Dubai</v>
      </c>
      <c r="B8163" s="2" t="str">
        <f ca="1">IFERROR(__xludf.DUMMYFUNCTION("""COMPUTED_VALUE"""),"Pine Residence")</f>
        <v>Pine Residence</v>
      </c>
      <c r="C8163" s="2" t="str">
        <f ca="1">IFERROR(__xludf.DUMMYFUNCTION("""COMPUTED_VALUE"""),"Building")</f>
        <v>Building</v>
      </c>
      <c r="D8163" s="2" t="str">
        <f ca="1">IFERROR(__xludf.DUMMYFUNCTION("""COMPUTED_VALUE"""),"Dubai&gt;International City&gt;International City Phase 2 (Warsan 4)&gt;Pine Residence")</f>
        <v>Dubai&gt;International City&gt;International City Phase 2 (Warsan 4)&gt;Pine Residence</v>
      </c>
      <c r="E8163" s="2"/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</row>
    <row r="8164" spans="1:26" ht="16.5" x14ac:dyDescent="0.35">
      <c r="A8164" s="2" t="str">
        <f ca="1">IFERROR(__xludf.DUMMYFUNCTION("""COMPUTED_VALUE"""),"Dubai")</f>
        <v>Dubai</v>
      </c>
      <c r="B8164" s="2" t="str">
        <f ca="1">IFERROR(__xludf.DUMMYFUNCTION("""COMPUTED_VALUE"""),"Vio Residences")</f>
        <v>Vio Residences</v>
      </c>
      <c r="C8164" s="2" t="str">
        <f ca="1">IFERROR(__xludf.DUMMYFUNCTION("""COMPUTED_VALUE"""),"Building")</f>
        <v>Building</v>
      </c>
      <c r="D8164" s="2" t="str">
        <f ca="1">IFERROR(__xludf.DUMMYFUNCTION("""COMPUTED_VALUE"""),"Dubai&gt;International City&gt;International City Phase 2 (Warsan 4)&gt;Vio Residences")</f>
        <v>Dubai&gt;International City&gt;International City Phase 2 (Warsan 4)&gt;Vio Residences</v>
      </c>
      <c r="E8164" s="2"/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</row>
    <row r="8165" spans="1:26" ht="16.5" x14ac:dyDescent="0.35">
      <c r="A8165" s="2" t="str">
        <f ca="1">IFERROR(__xludf.DUMMYFUNCTION("""COMPUTED_VALUE"""),"Dubai")</f>
        <v>Dubai</v>
      </c>
      <c r="B8165" s="2" t="str">
        <f ca="1">IFERROR(__xludf.DUMMYFUNCTION("""COMPUTED_VALUE"""),"L-03")</f>
        <v>L-03</v>
      </c>
      <c r="C8165" s="2" t="str">
        <f ca="1">IFERROR(__xludf.DUMMYFUNCTION("""COMPUTED_VALUE"""),"Building")</f>
        <v>Building</v>
      </c>
      <c r="D8165" s="2" t="str">
        <f ca="1">IFERROR(__xludf.DUMMYFUNCTION("""COMPUTED_VALUE"""),"Dubai&gt;International City&gt;Greece Cluster&gt;L-03")</f>
        <v>Dubai&gt;International City&gt;Greece Cluster&gt;L-03</v>
      </c>
      <c r="E8165" s="2"/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</row>
    <row r="8166" spans="1:26" ht="16.5" x14ac:dyDescent="0.35">
      <c r="A8166" s="2" t="str">
        <f ca="1">IFERROR(__xludf.DUMMYFUNCTION("""COMPUTED_VALUE"""),"Dubai")</f>
        <v>Dubai</v>
      </c>
      <c r="B8166" s="2" t="str">
        <f ca="1">IFERROR(__xludf.DUMMYFUNCTION("""COMPUTED_VALUE"""),"P-21")</f>
        <v>P-21</v>
      </c>
      <c r="C8166" s="2" t="str">
        <f ca="1">IFERROR(__xludf.DUMMYFUNCTION("""COMPUTED_VALUE"""),"Building")</f>
        <v>Building</v>
      </c>
      <c r="D8166" s="2" t="str">
        <f ca="1">IFERROR(__xludf.DUMMYFUNCTION("""COMPUTED_VALUE"""),"Dubai&gt;International City&gt;France Cluster&gt;P-21")</f>
        <v>Dubai&gt;International City&gt;France Cluster&gt;P-21</v>
      </c>
      <c r="E8166" s="2"/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</row>
    <row r="8167" spans="1:26" ht="16.5" x14ac:dyDescent="0.35">
      <c r="A8167" s="2" t="str">
        <f ca="1">IFERROR(__xludf.DUMMYFUNCTION("""COMPUTED_VALUE"""),"Dubai")</f>
        <v>Dubai</v>
      </c>
      <c r="B8167" s="2" t="str">
        <f ca="1">IFERROR(__xludf.DUMMYFUNCTION("""COMPUTED_VALUE"""),"R-14")</f>
        <v>R-14</v>
      </c>
      <c r="C8167" s="2" t="str">
        <f ca="1">IFERROR(__xludf.DUMMYFUNCTION("""COMPUTED_VALUE"""),"Building")</f>
        <v>Building</v>
      </c>
      <c r="D8167" s="2" t="str">
        <f ca="1">IFERROR(__xludf.DUMMYFUNCTION("""COMPUTED_VALUE"""),"Dubai&gt;International City&gt;France Cluster&gt;R-14")</f>
        <v>Dubai&gt;International City&gt;France Cluster&gt;R-14</v>
      </c>
      <c r="E8167" s="2"/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</row>
    <row r="8168" spans="1:26" ht="16.5" x14ac:dyDescent="0.35">
      <c r="A8168" s="2" t="str">
        <f ca="1">IFERROR(__xludf.DUMMYFUNCTION("""COMPUTED_VALUE"""),"Dubai")</f>
        <v>Dubai</v>
      </c>
      <c r="B8168" s="2" t="str">
        <f ca="1">IFERROR(__xludf.DUMMYFUNCTION("""COMPUTED_VALUE"""),"CBD-F05")</f>
        <v>CBD-F05</v>
      </c>
      <c r="C8168" s="2" t="str">
        <f ca="1">IFERROR(__xludf.DUMMYFUNCTION("""COMPUTED_VALUE"""),"Building")</f>
        <v>Building</v>
      </c>
      <c r="D8168" s="2" t="str">
        <f ca="1">IFERROR(__xludf.DUMMYFUNCTION("""COMPUTED_VALUE"""),"Dubai&gt;International City&gt;Central Business District&gt;CBD-F05")</f>
        <v>Dubai&gt;International City&gt;Central Business District&gt;CBD-F05</v>
      </c>
      <c r="E8168" s="2"/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</row>
    <row r="8169" spans="1:26" ht="16.5" x14ac:dyDescent="0.35">
      <c r="A8169" s="2" t="str">
        <f ca="1">IFERROR(__xludf.DUMMYFUNCTION("""COMPUTED_VALUE"""),"Dubai")</f>
        <v>Dubai</v>
      </c>
      <c r="B8169" s="2" t="str">
        <f ca="1">IFERROR(__xludf.DUMMYFUNCTION("""COMPUTED_VALUE"""),"CBD-D07")</f>
        <v>CBD-D07</v>
      </c>
      <c r="C8169" s="2" t="str">
        <f ca="1">IFERROR(__xludf.DUMMYFUNCTION("""COMPUTED_VALUE"""),"Building")</f>
        <v>Building</v>
      </c>
      <c r="D8169" s="2" t="str">
        <f ca="1">IFERROR(__xludf.DUMMYFUNCTION("""COMPUTED_VALUE"""),"Dubai&gt;International City&gt;Central Business District&gt;CBD-D07")</f>
        <v>Dubai&gt;International City&gt;Central Business District&gt;CBD-D07</v>
      </c>
      <c r="E8169" s="2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</row>
    <row r="8170" spans="1:26" ht="16.5" x14ac:dyDescent="0.35">
      <c r="A8170" s="2" t="str">
        <f ca="1">IFERROR(__xludf.DUMMYFUNCTION("""COMPUTED_VALUE"""),"Dubai")</f>
        <v>Dubai</v>
      </c>
      <c r="B8170" s="2" t="str">
        <f ca="1">IFERROR(__xludf.DUMMYFUNCTION("""COMPUTED_VALUE"""),"Marina Sail")</f>
        <v>Marina Sail</v>
      </c>
      <c r="C8170" s="2" t="str">
        <f ca="1">IFERROR(__xludf.DUMMYFUNCTION("""COMPUTED_VALUE"""),"Building")</f>
        <v>Building</v>
      </c>
      <c r="D8170" s="2" t="str">
        <f ca="1">IFERROR(__xludf.DUMMYFUNCTION("""COMPUTED_VALUE"""),"Dubai&gt;Dubai Marina&gt;Marina Sail")</f>
        <v>Dubai&gt;Dubai Marina&gt;Marina Sail</v>
      </c>
      <c r="E8170" s="2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</row>
    <row r="8171" spans="1:26" ht="16.5" x14ac:dyDescent="0.35">
      <c r="A8171" s="2" t="str">
        <f ca="1">IFERROR(__xludf.DUMMYFUNCTION("""COMPUTED_VALUE"""),"Dubai")</f>
        <v>Dubai</v>
      </c>
      <c r="B8171" s="2" t="str">
        <f ca="1">IFERROR(__xludf.DUMMYFUNCTION("""COMPUTED_VALUE"""),"Trident Waterfront")</f>
        <v>Trident Waterfront</v>
      </c>
      <c r="C8171" s="2" t="str">
        <f ca="1">IFERROR(__xludf.DUMMYFUNCTION("""COMPUTED_VALUE"""),"Building")</f>
        <v>Building</v>
      </c>
      <c r="D8171" s="2" t="str">
        <f ca="1">IFERROR(__xludf.DUMMYFUNCTION("""COMPUTED_VALUE"""),"Dubai&gt;Dubai Marina&gt;Trident Waterfront")</f>
        <v>Dubai&gt;Dubai Marina&gt;Trident Waterfront</v>
      </c>
      <c r="E8171" s="2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</row>
    <row r="8172" spans="1:26" ht="16.5" x14ac:dyDescent="0.35">
      <c r="A8172" s="2" t="str">
        <f ca="1">IFERROR(__xludf.DUMMYFUNCTION("""COMPUTED_VALUE"""),"Dubai")</f>
        <v>Dubai</v>
      </c>
      <c r="B8172" s="2" t="str">
        <f ca="1">IFERROR(__xludf.DUMMYFUNCTION("""COMPUTED_VALUE"""),"Princess Tower")</f>
        <v>Princess Tower</v>
      </c>
      <c r="C8172" s="2" t="str">
        <f ca="1">IFERROR(__xludf.DUMMYFUNCTION("""COMPUTED_VALUE"""),"Building")</f>
        <v>Building</v>
      </c>
      <c r="D8172" s="2" t="str">
        <f ca="1">IFERROR(__xludf.DUMMYFUNCTION("""COMPUTED_VALUE"""),"Dubai&gt;Dubai Marina&gt;Princess Tower")</f>
        <v>Dubai&gt;Dubai Marina&gt;Princess Tower</v>
      </c>
      <c r="E8172" s="2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</row>
    <row r="8173" spans="1:26" ht="16.5" x14ac:dyDescent="0.35">
      <c r="A8173" s="2" t="str">
        <f ca="1">IFERROR(__xludf.DUMMYFUNCTION("""COMPUTED_VALUE"""),"Dubai")</f>
        <v>Dubai</v>
      </c>
      <c r="B8173" s="2" t="str">
        <f ca="1">IFERROR(__xludf.DUMMYFUNCTION("""COMPUTED_VALUE"""),"Al Fairooz Villas")</f>
        <v>Al Fairooz Villas</v>
      </c>
      <c r="C8173" s="2" t="str">
        <f ca="1">IFERROR(__xludf.DUMMYFUNCTION("""COMPUTED_VALUE"""),"Neighbourhood")</f>
        <v>Neighbourhood</v>
      </c>
      <c r="D8173" s="2" t="str">
        <f ca="1">IFERROR(__xludf.DUMMYFUNCTION("""COMPUTED_VALUE"""),"Dubai&gt;Dubai Marina&gt;Dubai Marina Towers&gt;Al Fairooz Villas")</f>
        <v>Dubai&gt;Dubai Marina&gt;Dubai Marina Towers&gt;Al Fairooz Villas</v>
      </c>
      <c r="E8173" s="2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</row>
    <row r="8174" spans="1:26" ht="16.5" x14ac:dyDescent="0.35">
      <c r="A8174" s="2" t="str">
        <f ca="1">IFERROR(__xludf.DUMMYFUNCTION("""COMPUTED_VALUE"""),"Dubai")</f>
        <v>Dubai</v>
      </c>
      <c r="B8174" s="2" t="str">
        <f ca="1">IFERROR(__xludf.DUMMYFUNCTION("""COMPUTED_VALUE"""),"La Verda Dubai Marina Suites &amp; Villas Hotel")</f>
        <v>La Verda Dubai Marina Suites &amp; Villas Hotel</v>
      </c>
      <c r="C8174" s="2" t="str">
        <f ca="1">IFERROR(__xludf.DUMMYFUNCTION("""COMPUTED_VALUE"""),"Building")</f>
        <v>Building</v>
      </c>
      <c r="D8174" s="2" t="str">
        <f ca="1">IFERROR(__xludf.DUMMYFUNCTION("""COMPUTED_VALUE"""),"Dubai&gt;Dubai Marina&gt;La Verda Dubai Marina Suites &amp; Villas Hotel")</f>
        <v>Dubai&gt;Dubai Marina&gt;La Verda Dubai Marina Suites &amp; Villas Hotel</v>
      </c>
      <c r="E8174" s="2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</row>
    <row r="8175" spans="1:26" ht="16.5" x14ac:dyDescent="0.35">
      <c r="A8175" s="2" t="str">
        <f ca="1">IFERROR(__xludf.DUMMYFUNCTION("""COMPUTED_VALUE"""),"Dubai")</f>
        <v>Dubai</v>
      </c>
      <c r="B8175" s="2" t="str">
        <f ca="1">IFERROR(__xludf.DUMMYFUNCTION("""COMPUTED_VALUE"""),"LIV Marina")</f>
        <v>LIV Marina</v>
      </c>
      <c r="C8175" s="2" t="str">
        <f ca="1">IFERROR(__xludf.DUMMYFUNCTION("""COMPUTED_VALUE"""),"Building")</f>
        <v>Building</v>
      </c>
      <c r="D8175" s="2" t="str">
        <f ca="1">IFERROR(__xludf.DUMMYFUNCTION("""COMPUTED_VALUE"""),"Dubai&gt;Dubai Marina&gt;LIV Marina")</f>
        <v>Dubai&gt;Dubai Marina&gt;LIV Marina</v>
      </c>
      <c r="E8175" s="2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</row>
    <row r="8176" spans="1:26" ht="16.5" x14ac:dyDescent="0.35">
      <c r="A8176" s="2" t="str">
        <f ca="1">IFERROR(__xludf.DUMMYFUNCTION("""COMPUTED_VALUE"""),"Dubai")</f>
        <v>Dubai</v>
      </c>
      <c r="B8176" s="2" t="str">
        <f ca="1">IFERROR(__xludf.DUMMYFUNCTION("""COMPUTED_VALUE"""),"Silverene Tower A")</f>
        <v>Silverene Tower A</v>
      </c>
      <c r="C8176" s="2" t="str">
        <f ca="1">IFERROR(__xludf.DUMMYFUNCTION("""COMPUTED_VALUE"""),"Building")</f>
        <v>Building</v>
      </c>
      <c r="D8176" s="2" t="str">
        <f ca="1">IFERROR(__xludf.DUMMYFUNCTION("""COMPUTED_VALUE"""),"Dubai&gt;Dubai Marina&gt;Silverene&gt;Silverene Tower A")</f>
        <v>Dubai&gt;Dubai Marina&gt;Silverene&gt;Silverene Tower A</v>
      </c>
      <c r="E8176" s="2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</row>
    <row r="8177" spans="1:26" ht="16.5" x14ac:dyDescent="0.35">
      <c r="A8177" s="2" t="str">
        <f ca="1">IFERROR(__xludf.DUMMYFUNCTION("""COMPUTED_VALUE"""),"Dubai")</f>
        <v>Dubai</v>
      </c>
      <c r="B8177" s="2" t="str">
        <f ca="1">IFERROR(__xludf.DUMMYFUNCTION("""COMPUTED_VALUE"""),"Fairfield Tower")</f>
        <v>Fairfield Tower</v>
      </c>
      <c r="C8177" s="2" t="str">
        <f ca="1">IFERROR(__xludf.DUMMYFUNCTION("""COMPUTED_VALUE"""),"Building")</f>
        <v>Building</v>
      </c>
      <c r="D8177" s="2" t="str">
        <f ca="1">IFERROR(__xludf.DUMMYFUNCTION("""COMPUTED_VALUE"""),"Dubai&gt;Dubai Marina&gt;Park Island&gt;Fairfield Tower")</f>
        <v>Dubai&gt;Dubai Marina&gt;Park Island&gt;Fairfield Tower</v>
      </c>
      <c r="E8177" s="2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</row>
    <row r="8178" spans="1:26" ht="16.5" x14ac:dyDescent="0.35">
      <c r="A8178" s="2" t="str">
        <f ca="1">IFERROR(__xludf.DUMMYFUNCTION("""COMPUTED_VALUE"""),"Dubai")</f>
        <v>Dubai</v>
      </c>
      <c r="B8178" s="2" t="str">
        <f ca="1">IFERROR(__xludf.DUMMYFUNCTION("""COMPUTED_VALUE"""),"Hayat Boulevard 1A")</f>
        <v>Hayat Boulevard 1A</v>
      </c>
      <c r="C8178" s="2" t="str">
        <f ca="1">IFERROR(__xludf.DUMMYFUNCTION("""COMPUTED_VALUE"""),"Building")</f>
        <v>Building</v>
      </c>
      <c r="D8178" s="2" t="str">
        <f ca="1">IFERROR(__xludf.DUMMYFUNCTION("""COMPUTED_VALUE"""),"Dubai&gt;Town Square&gt;Hayat Boulevard&gt;Hayat Boulevard 1A")</f>
        <v>Dubai&gt;Town Square&gt;Hayat Boulevard&gt;Hayat Boulevard 1A</v>
      </c>
      <c r="E8178" s="2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</row>
    <row r="8179" spans="1:26" ht="16.5" x14ac:dyDescent="0.35">
      <c r="A8179" s="2" t="str">
        <f ca="1">IFERROR(__xludf.DUMMYFUNCTION("""COMPUTED_VALUE"""),"Dubai")</f>
        <v>Dubai</v>
      </c>
      <c r="B8179" s="2" t="str">
        <f ca="1">IFERROR(__xludf.DUMMYFUNCTION("""COMPUTED_VALUE"""),"FIA")</f>
        <v>FIA</v>
      </c>
      <c r="C8179" s="2" t="str">
        <f ca="1">IFERROR(__xludf.DUMMYFUNCTION("""COMPUTED_VALUE"""),"Building")</f>
        <v>Building</v>
      </c>
      <c r="D8179" s="2" t="str">
        <f ca="1">IFERROR(__xludf.DUMMYFUNCTION("""COMPUTED_VALUE"""),"Dubai&gt;Town Square&gt;FIA")</f>
        <v>Dubai&gt;Town Square&gt;FIA</v>
      </c>
      <c r="E8179" s="2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</row>
    <row r="8180" spans="1:26" ht="16.5" x14ac:dyDescent="0.35">
      <c r="A8180" s="2" t="str">
        <f ca="1">IFERROR(__xludf.DUMMYFUNCTION("""COMPUTED_VALUE"""),"Dubai")</f>
        <v>Dubai</v>
      </c>
      <c r="B8180" s="2" t="str">
        <f ca="1">IFERROR(__xludf.DUMMYFUNCTION("""COMPUTED_VALUE"""),"Redwood Montessori Nursery Al Furjan")</f>
        <v>Redwood Montessori Nursery Al Furjan</v>
      </c>
      <c r="C8180" s="2" t="str">
        <f ca="1">IFERROR(__xludf.DUMMYFUNCTION("""COMPUTED_VALUE"""),"Nursery")</f>
        <v>Nursery</v>
      </c>
      <c r="D8180" s="2" t="str">
        <f ca="1">IFERROR(__xludf.DUMMYFUNCTION("""COMPUTED_VALUE"""),"Dubai&gt;Al Furjan&gt;Redwood Montessori Nursery Al Furjan")</f>
        <v>Dubai&gt;Al Furjan&gt;Redwood Montessori Nursery Al Furjan</v>
      </c>
      <c r="E8180" s="2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</row>
    <row r="8181" spans="1:26" ht="16.5" x14ac:dyDescent="0.35">
      <c r="A8181" s="2" t="str">
        <f ca="1">IFERROR(__xludf.DUMMYFUNCTION("""COMPUTED_VALUE"""),"Dubai")</f>
        <v>Dubai</v>
      </c>
      <c r="B8181" s="2" t="str">
        <f ca="1">IFERROR(__xludf.DUMMYFUNCTION("""COMPUTED_VALUE"""),"Murooj Al Furjan West")</f>
        <v>Murooj Al Furjan West</v>
      </c>
      <c r="C8181" s="2" t="str">
        <f ca="1">IFERROR(__xludf.DUMMYFUNCTION("""COMPUTED_VALUE"""),"Neighbourhood")</f>
        <v>Neighbourhood</v>
      </c>
      <c r="D8181" s="2" t="str">
        <f ca="1">IFERROR(__xludf.DUMMYFUNCTION("""COMPUTED_VALUE"""),"Dubai&gt;Al Furjan&gt;Al Furjan West&gt;Murooj Al Furjan West")</f>
        <v>Dubai&gt;Al Furjan&gt;Al Furjan West&gt;Murooj Al Furjan West</v>
      </c>
      <c r="E8181" s="2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</row>
    <row r="8182" spans="1:26" ht="16.5" x14ac:dyDescent="0.35">
      <c r="A8182" s="2" t="str">
        <f ca="1">IFERROR(__xludf.DUMMYFUNCTION("""COMPUTED_VALUE"""),"Dubai")</f>
        <v>Dubai</v>
      </c>
      <c r="B8182" s="2" t="str">
        <f ca="1">IFERROR(__xludf.DUMMYFUNCTION("""COMPUTED_VALUE"""),"Pearlz by Danube")</f>
        <v>Pearlz by Danube</v>
      </c>
      <c r="C8182" s="2" t="str">
        <f ca="1">IFERROR(__xludf.DUMMYFUNCTION("""COMPUTED_VALUE"""),"Building")</f>
        <v>Building</v>
      </c>
      <c r="D8182" s="2" t="str">
        <f ca="1">IFERROR(__xludf.DUMMYFUNCTION("""COMPUTED_VALUE"""),"Dubai&gt;Al Furjan&gt;Pearlz by Danube")</f>
        <v>Dubai&gt;Al Furjan&gt;Pearlz by Danube</v>
      </c>
      <c r="E8182" s="2"/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</row>
    <row r="8183" spans="1:26" ht="16.5" x14ac:dyDescent="0.35">
      <c r="A8183" s="2" t="str">
        <f ca="1">IFERROR(__xludf.DUMMYFUNCTION("""COMPUTED_VALUE"""),"Dubai")</f>
        <v>Dubai</v>
      </c>
      <c r="B8183" s="2" t="str">
        <f ca="1">IFERROR(__xludf.DUMMYFUNCTION("""COMPUTED_VALUE"""),"Nadine Residence")</f>
        <v>Nadine Residence</v>
      </c>
      <c r="C8183" s="2" t="str">
        <f ca="1">IFERROR(__xludf.DUMMYFUNCTION("""COMPUTED_VALUE"""),"Cluster")</f>
        <v>Cluster</v>
      </c>
      <c r="D8183" s="2" t="str">
        <f ca="1">IFERROR(__xludf.DUMMYFUNCTION("""COMPUTED_VALUE"""),"Dubai&gt;Al Furjan&gt;Nadine Residence")</f>
        <v>Dubai&gt;Al Furjan&gt;Nadine Residence</v>
      </c>
      <c r="E8183" s="2"/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</row>
    <row r="8184" spans="1:26" ht="16.5" x14ac:dyDescent="0.35">
      <c r="A8184" s="2" t="str">
        <f ca="1">IFERROR(__xludf.DUMMYFUNCTION("""COMPUTED_VALUE"""),"Dubai")</f>
        <v>Dubai</v>
      </c>
      <c r="B8184" s="2" t="str">
        <f ca="1">IFERROR(__xludf.DUMMYFUNCTION("""COMPUTED_VALUE"""),"La Cle by Maaia")</f>
        <v>La Cle by Maaia</v>
      </c>
      <c r="C8184" s="2" t="str">
        <f ca="1">IFERROR(__xludf.DUMMYFUNCTION("""COMPUTED_VALUE"""),"Building")</f>
        <v>Building</v>
      </c>
      <c r="D8184" s="2" t="str">
        <f ca="1">IFERROR(__xludf.DUMMYFUNCTION("""COMPUTED_VALUE"""),"Dubai&gt;Al Furjan&gt;La Cle by Maaia")</f>
        <v>Dubai&gt;Al Furjan&gt;La Cle by Maaia</v>
      </c>
      <c r="E8184" s="2"/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</row>
    <row r="8185" spans="1:26" ht="16.5" x14ac:dyDescent="0.35">
      <c r="A8185" s="2" t="str">
        <f ca="1">IFERROR(__xludf.DUMMYFUNCTION("""COMPUTED_VALUE"""),"Dubai")</f>
        <v>Dubai</v>
      </c>
      <c r="B8185" s="2" t="str">
        <f ca="1">IFERROR(__xludf.DUMMYFUNCTION("""COMPUTED_VALUE"""),"Grand Views")</f>
        <v>Grand Views</v>
      </c>
      <c r="C8185" s="2" t="str">
        <f ca="1">IFERROR(__xludf.DUMMYFUNCTION("""COMPUTED_VALUE"""),"Neighbourhood")</f>
        <v>Neighbourhood</v>
      </c>
      <c r="D8185" s="2" t="str">
        <f ca="1">IFERROR(__xludf.DUMMYFUNCTION("""COMPUTED_VALUE"""),"Dubai&gt;Meydan City&gt;Meydan Gated Community&gt;Grand Views")</f>
        <v>Dubai&gt;Meydan City&gt;Meydan Gated Community&gt;Grand Views</v>
      </c>
      <c r="E8185" s="2"/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</row>
    <row r="8186" spans="1:26" ht="16.5" x14ac:dyDescent="0.35">
      <c r="A8186" s="2" t="str">
        <f ca="1">IFERROR(__xludf.DUMMYFUNCTION("""COMPUTED_VALUE"""),"Dubai")</f>
        <v>Dubai</v>
      </c>
      <c r="B8186" s="2" t="str">
        <f ca="1">IFERROR(__xludf.DUMMYFUNCTION("""COMPUTED_VALUE"""),"Azizi Riviera 13")</f>
        <v>Azizi Riviera 13</v>
      </c>
      <c r="C8186" s="2" t="str">
        <f ca="1">IFERROR(__xludf.DUMMYFUNCTION("""COMPUTED_VALUE"""),"Building")</f>
        <v>Building</v>
      </c>
      <c r="D8186" s="2" t="str">
        <f ca="1">IFERROR(__xludf.DUMMYFUNCTION("""COMPUTED_VALUE"""),"Dubai&gt;Meydan City&gt;Meydan One&gt;Azizi Riviera&gt;Azizi Riviera 13")</f>
        <v>Dubai&gt;Meydan City&gt;Meydan One&gt;Azizi Riviera&gt;Azizi Riviera 13</v>
      </c>
      <c r="E8186" s="2"/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</row>
    <row r="8187" spans="1:26" ht="16.5" x14ac:dyDescent="0.35">
      <c r="A8187" s="2" t="str">
        <f ca="1">IFERROR(__xludf.DUMMYFUNCTION("""COMPUTED_VALUE"""),"Dubai")</f>
        <v>Dubai</v>
      </c>
      <c r="B8187" s="2" t="str">
        <f ca="1">IFERROR(__xludf.DUMMYFUNCTION("""COMPUTED_VALUE"""),"Azizi Riviera Reve Tower 2")</f>
        <v>Azizi Riviera Reve Tower 2</v>
      </c>
      <c r="C8187" s="2" t="str">
        <f ca="1">IFERROR(__xludf.DUMMYFUNCTION("""COMPUTED_VALUE"""),"Building")</f>
        <v>Building</v>
      </c>
      <c r="D8187" s="2" t="str">
        <f ca="1">IFERROR(__xludf.DUMMYFUNCTION("""COMPUTED_VALUE"""),"Dubai&gt;Meydan City&gt;Meydan One&gt;Azizi Riviera&gt;Azizi Riviera Reve&gt;Azizi Riviera Reve Tower 2")</f>
        <v>Dubai&gt;Meydan City&gt;Meydan One&gt;Azizi Riviera&gt;Azizi Riviera Reve&gt;Azizi Riviera Reve Tower 2</v>
      </c>
      <c r="E8187" s="2"/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</row>
    <row r="8188" spans="1:26" ht="16.5" x14ac:dyDescent="0.35">
      <c r="A8188" s="2" t="str">
        <f ca="1">IFERROR(__xludf.DUMMYFUNCTION("""COMPUTED_VALUE"""),"Dubai")</f>
        <v>Dubai</v>
      </c>
      <c r="B8188" s="2" t="str">
        <f ca="1">IFERROR(__xludf.DUMMYFUNCTION("""COMPUTED_VALUE"""),"Residence 1 Block C")</f>
        <v>Residence 1 Block C</v>
      </c>
      <c r="C8188" s="2" t="str">
        <f ca="1">IFERROR(__xludf.DUMMYFUNCTION("""COMPUTED_VALUE"""),"Building")</f>
        <v>Building</v>
      </c>
      <c r="D8188" s="2" t="str">
        <f ca="1">IFERROR(__xludf.DUMMYFUNCTION("""COMPUTED_VALUE"""),"Dubai&gt;Meydan City&gt;Meydan Avenue&gt;Residence 1 at Meydan Avenue&gt;Residence 1 Block C")</f>
        <v>Dubai&gt;Meydan City&gt;Meydan Avenue&gt;Residence 1 at Meydan Avenue&gt;Residence 1 Block C</v>
      </c>
      <c r="E8188" s="2"/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</row>
    <row r="8189" spans="1:26" ht="16.5" x14ac:dyDescent="0.35">
      <c r="A8189" s="2" t="str">
        <f ca="1">IFERROR(__xludf.DUMMYFUNCTION("""COMPUTED_VALUE"""),"Dubai")</f>
        <v>Dubai</v>
      </c>
      <c r="B8189" s="2" t="str">
        <f ca="1">IFERROR(__xludf.DUMMYFUNCTION("""COMPUTED_VALUE"""),"Polo Residence D6")</f>
        <v>Polo Residence D6</v>
      </c>
      <c r="C8189" s="2" t="str">
        <f ca="1">IFERROR(__xludf.DUMMYFUNCTION("""COMPUTED_VALUE"""),"Building")</f>
        <v>Building</v>
      </c>
      <c r="D8189" s="2" t="str">
        <f ca="1">IFERROR(__xludf.DUMMYFUNCTION("""COMPUTED_VALUE"""),"Dubai&gt;Meydan City&gt;Meydan Avenue&gt;Polo Residence&gt;Polo Residence D6")</f>
        <v>Dubai&gt;Meydan City&gt;Meydan Avenue&gt;Polo Residence&gt;Polo Residence D6</v>
      </c>
      <c r="E8189" s="2"/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</row>
    <row r="8190" spans="1:26" ht="16.5" x14ac:dyDescent="0.35">
      <c r="A8190" s="2" t="str">
        <f ca="1">IFERROR(__xludf.DUMMYFUNCTION("""COMPUTED_VALUE"""),"Dubai")</f>
        <v>Dubai</v>
      </c>
      <c r="B8190" s="2" t="str">
        <f ca="1">IFERROR(__xludf.DUMMYFUNCTION("""COMPUTED_VALUE"""),"Meydan Avenue B")</f>
        <v>Meydan Avenue B</v>
      </c>
      <c r="C8190" s="2" t="str">
        <f ca="1">IFERROR(__xludf.DUMMYFUNCTION("""COMPUTED_VALUE"""),"Building")</f>
        <v>Building</v>
      </c>
      <c r="D8190" s="2" t="str">
        <f ca="1">IFERROR(__xludf.DUMMYFUNCTION("""COMPUTED_VALUE"""),"Dubai&gt;Meydan City&gt;Meydan Avenue&gt;Meydan Avenue B")</f>
        <v>Dubai&gt;Meydan City&gt;Meydan Avenue&gt;Meydan Avenue B</v>
      </c>
      <c r="E8190" s="2"/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</row>
    <row r="8191" spans="1:26" ht="16.5" x14ac:dyDescent="0.35">
      <c r="A8191" s="2" t="str">
        <f ca="1">IFERROR(__xludf.DUMMYFUNCTION("""COMPUTED_VALUE"""),"Dubai")</f>
        <v>Dubai</v>
      </c>
      <c r="B8191" s="2" t="str">
        <f ca="1">IFERROR(__xludf.DUMMYFUNCTION("""COMPUTED_VALUE"""),"Al Ghozlan")</f>
        <v>Al Ghozlan</v>
      </c>
      <c r="C8191" s="2" t="str">
        <f ca="1">IFERROR(__xludf.DUMMYFUNCTION("""COMPUTED_VALUE"""),"Cluster")</f>
        <v>Cluster</v>
      </c>
      <c r="D8191" s="2" t="str">
        <f ca="1">IFERROR(__xludf.DUMMYFUNCTION("""COMPUTED_VALUE"""),"Dubai&gt;The Greens&gt;Al Ghozlan")</f>
        <v>Dubai&gt;The Greens&gt;Al Ghozlan</v>
      </c>
      <c r="E8191" s="2"/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</row>
    <row r="8192" spans="1:26" ht="16.5" x14ac:dyDescent="0.35">
      <c r="A8192" s="2" t="str">
        <f ca="1">IFERROR(__xludf.DUMMYFUNCTION("""COMPUTED_VALUE"""),"Dubai")</f>
        <v>Dubai</v>
      </c>
      <c r="B8192" s="2" t="str">
        <f ca="1">IFERROR(__xludf.DUMMYFUNCTION("""COMPUTED_VALUE"""),"Al Sidir 2")</f>
        <v>Al Sidir 2</v>
      </c>
      <c r="C8192" s="2" t="str">
        <f ca="1">IFERROR(__xludf.DUMMYFUNCTION("""COMPUTED_VALUE"""),"Building")</f>
        <v>Building</v>
      </c>
      <c r="D8192" s="2" t="str">
        <f ca="1">IFERROR(__xludf.DUMMYFUNCTION("""COMPUTED_VALUE"""),"Dubai&gt;The Greens&gt;Al Sidir&gt;Al Sidir 2")</f>
        <v>Dubai&gt;The Greens&gt;Al Sidir&gt;Al Sidir 2</v>
      </c>
      <c r="E8192" s="2"/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</row>
    <row r="8193" spans="1:26" ht="16.5" x14ac:dyDescent="0.35">
      <c r="A8193" s="2" t="str">
        <f ca="1">IFERROR(__xludf.DUMMYFUNCTION("""COMPUTED_VALUE"""),"Dubai")</f>
        <v>Dubai</v>
      </c>
      <c r="B8193" s="2" t="str">
        <f ca="1">IFERROR(__xludf.DUMMYFUNCTION("""COMPUTED_VALUE"""),"Afnan 4")</f>
        <v>Afnan 4</v>
      </c>
      <c r="C8193" s="2" t="str">
        <f ca="1">IFERROR(__xludf.DUMMYFUNCTION("""COMPUTED_VALUE"""),"Building")</f>
        <v>Building</v>
      </c>
      <c r="D8193" s="2" t="str">
        <f ca="1">IFERROR(__xludf.DUMMYFUNCTION("""COMPUTED_VALUE"""),"Dubai&gt;Dubai Production City (IMPZ)&gt;Midtown&gt;Afnan District&gt;Afnan 4")</f>
        <v>Dubai&gt;Dubai Production City (IMPZ)&gt;Midtown&gt;Afnan District&gt;Afnan 4</v>
      </c>
      <c r="E8193" s="2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</row>
    <row r="8194" spans="1:26" ht="16.5" x14ac:dyDescent="0.35">
      <c r="A8194" s="2" t="str">
        <f ca="1">IFERROR(__xludf.DUMMYFUNCTION("""COMPUTED_VALUE"""),"Dubai")</f>
        <v>Dubai</v>
      </c>
      <c r="B8194" s="2" t="str">
        <f ca="1">IFERROR(__xludf.DUMMYFUNCTION("""COMPUTED_VALUE"""),"Jamal Building")</f>
        <v>Jamal Building</v>
      </c>
      <c r="C8194" s="2" t="str">
        <f ca="1">IFERROR(__xludf.DUMMYFUNCTION("""COMPUTED_VALUE"""),"Building")</f>
        <v>Building</v>
      </c>
      <c r="D8194" s="2" t="str">
        <f ca="1">IFERROR(__xludf.DUMMYFUNCTION("""COMPUTED_VALUE"""),"Dubai&gt;Dubai Production City (IMPZ)&gt;MJM Residences&gt;Jamal Building")</f>
        <v>Dubai&gt;Dubai Production City (IMPZ)&gt;MJM Residences&gt;Jamal Building</v>
      </c>
      <c r="E8194" s="2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</row>
    <row r="8195" spans="1:26" ht="16.5" x14ac:dyDescent="0.35">
      <c r="A8195" s="2" t="str">
        <f ca="1">IFERROR(__xludf.DUMMYFUNCTION("""COMPUTED_VALUE"""),"Dubai")</f>
        <v>Dubai</v>
      </c>
      <c r="B8195" s="2" t="str">
        <f ca="1">IFERROR(__xludf.DUMMYFUNCTION("""COMPUTED_VALUE"""),"Domus Indigo 3")</f>
        <v>Domus Indigo 3</v>
      </c>
      <c r="C8195" s="2" t="str">
        <f ca="1">IFERROR(__xludf.DUMMYFUNCTION("""COMPUTED_VALUE"""),"Building")</f>
        <v>Building</v>
      </c>
      <c r="D8195" s="2" t="str">
        <f ca="1">IFERROR(__xludf.DUMMYFUNCTION("""COMPUTED_VALUE"""),"Dubai&gt;Dubai Production City (IMPZ)&gt;Domus Indigo&gt;Domus Indigo 3")</f>
        <v>Dubai&gt;Dubai Production City (IMPZ)&gt;Domus Indigo&gt;Domus Indigo 3</v>
      </c>
      <c r="E8195" s="2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</row>
    <row r="8196" spans="1:26" ht="16.5" x14ac:dyDescent="0.35">
      <c r="A8196" s="2" t="str">
        <f ca="1">IFERROR(__xludf.DUMMYFUNCTION("""COMPUTED_VALUE"""),"Dubai")</f>
        <v>Dubai</v>
      </c>
      <c r="B8196" s="2" t="str">
        <f ca="1">IFERROR(__xludf.DUMMYFUNCTION("""COMPUTED_VALUE"""),"Sunbeam Homes Block B")</f>
        <v>Sunbeam Homes Block B</v>
      </c>
      <c r="C8196" s="2" t="str">
        <f ca="1">IFERROR(__xludf.DUMMYFUNCTION("""COMPUTED_VALUE"""),"Building")</f>
        <v>Building</v>
      </c>
      <c r="D8196" s="2" t="str">
        <f ca="1">IFERROR(__xludf.DUMMYFUNCTION("""COMPUTED_VALUE"""),"Dubai&gt;Dubai Industrial City&gt;Sunbeam Homes&gt;Sunbeam Homes Block B")</f>
        <v>Dubai&gt;Dubai Industrial City&gt;Sunbeam Homes&gt;Sunbeam Homes Block B</v>
      </c>
      <c r="E8196" s="2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</row>
    <row r="8197" spans="1:26" ht="16.5" x14ac:dyDescent="0.35">
      <c r="A8197" s="2" t="str">
        <f ca="1">IFERROR(__xludf.DUMMYFUNCTION("""COMPUTED_VALUE"""),"Dubai")</f>
        <v>Dubai</v>
      </c>
      <c r="B8197" s="2" t="str">
        <f ca="1">IFERROR(__xludf.DUMMYFUNCTION("""COMPUTED_VALUE"""),"Elegant Homes Building B")</f>
        <v>Elegant Homes Building B</v>
      </c>
      <c r="C8197" s="2" t="str">
        <f ca="1">IFERROR(__xludf.DUMMYFUNCTION("""COMPUTED_VALUE"""),"Building")</f>
        <v>Building</v>
      </c>
      <c r="D8197" s="2" t="str">
        <f ca="1">IFERROR(__xludf.DUMMYFUNCTION("""COMPUTED_VALUE"""),"Dubai&gt;Dubai Industrial City&gt;Elegant Homes&gt;Elegant Homes Building B")</f>
        <v>Dubai&gt;Dubai Industrial City&gt;Elegant Homes&gt;Elegant Homes Building B</v>
      </c>
      <c r="E8197" s="2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</row>
    <row r="8198" spans="1:26" ht="16.5" x14ac:dyDescent="0.35">
      <c r="A8198" s="2" t="str">
        <f ca="1">IFERROR(__xludf.DUMMYFUNCTION("""COMPUTED_VALUE"""),"Dubai")</f>
        <v>Dubai</v>
      </c>
      <c r="B8198" s="2" t="str">
        <f ca="1">IFERROR(__xludf.DUMMYFUNCTION("""COMPUTED_VALUE"""),"Emirates Oasis Villas")</f>
        <v>Emirates Oasis Villas</v>
      </c>
      <c r="C8198" s="2" t="str">
        <f ca="1">IFERROR(__xludf.DUMMYFUNCTION("""COMPUTED_VALUE"""),"Neighbourhood")</f>
        <v>Neighbourhood</v>
      </c>
      <c r="D8198" s="2" t="str">
        <f ca="1">IFERROR(__xludf.DUMMYFUNCTION("""COMPUTED_VALUE"""),"Dubai&gt;Umm Al Sheif&gt;Emirates Oasis Villas")</f>
        <v>Dubai&gt;Umm Al Sheif&gt;Emirates Oasis Villas</v>
      </c>
      <c r="E8198" s="2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</row>
    <row r="8199" spans="1:26" ht="16.5" x14ac:dyDescent="0.35">
      <c r="A8199" s="2" t="str">
        <f ca="1">IFERROR(__xludf.DUMMYFUNCTION("""COMPUTED_VALUE"""),"Dubai")</f>
        <v>Dubai</v>
      </c>
      <c r="B8199" s="2" t="str">
        <f ca="1">IFERROR(__xludf.DUMMYFUNCTION("""COMPUTED_VALUE"""),"Edgewater Residences 1")</f>
        <v>Edgewater Residences 1</v>
      </c>
      <c r="C8199" s="2" t="str">
        <f ca="1">IFERROR(__xludf.DUMMYFUNCTION("""COMPUTED_VALUE"""),"Building")</f>
        <v>Building</v>
      </c>
      <c r="D8199" s="2" t="str">
        <f ca="1">IFERROR(__xludf.DUMMYFUNCTION("""COMPUTED_VALUE"""),"Dubai&gt;Dubai Islands&gt;Edgewater Residences&gt;Edgewater Residences 1")</f>
        <v>Dubai&gt;Dubai Islands&gt;Edgewater Residences&gt;Edgewater Residences 1</v>
      </c>
      <c r="E8199" s="2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</row>
    <row r="8200" spans="1:26" ht="16.5" x14ac:dyDescent="0.35">
      <c r="A8200" s="2" t="str">
        <f ca="1">IFERROR(__xludf.DUMMYFUNCTION("""COMPUTED_VALUE"""),"Dubai")</f>
        <v>Dubai</v>
      </c>
      <c r="B8200" s="2" t="str">
        <f ca="1">IFERROR(__xludf.DUMMYFUNCTION("""COMPUTED_VALUE"""),"Bay Grove Residences C Building 11")</f>
        <v>Bay Grove Residences C Building 11</v>
      </c>
      <c r="C8200" s="2" t="str">
        <f ca="1">IFERROR(__xludf.DUMMYFUNCTION("""COMPUTED_VALUE"""),"Building")</f>
        <v>Building</v>
      </c>
      <c r="D8200" s="2" t="str">
        <f ca="1">IFERROR(__xludf.DUMMYFUNCTION("""COMPUTED_VALUE"""),"Dubai&gt;Dubai Islands&gt;Bay Grove Residences C&gt;Bay Grove Residences C Building 11")</f>
        <v>Dubai&gt;Dubai Islands&gt;Bay Grove Residences C&gt;Bay Grove Residences C Building 11</v>
      </c>
      <c r="E8200" s="2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</row>
    <row r="8201" spans="1:26" ht="16.5" x14ac:dyDescent="0.35">
      <c r="A8201" s="2" t="str">
        <f ca="1">IFERROR(__xludf.DUMMYFUNCTION("""COMPUTED_VALUE"""),"Dubai")</f>
        <v>Dubai</v>
      </c>
      <c r="B8201" s="2" t="str">
        <f ca="1">IFERROR(__xludf.DUMMYFUNCTION("""COMPUTED_VALUE"""),"Coral Isle Residences")</f>
        <v>Coral Isle Residences</v>
      </c>
      <c r="C8201" s="2" t="str">
        <f ca="1">IFERROR(__xludf.DUMMYFUNCTION("""COMPUTED_VALUE"""),"Building")</f>
        <v>Building</v>
      </c>
      <c r="D8201" s="2" t="str">
        <f ca="1">IFERROR(__xludf.DUMMYFUNCTION("""COMPUTED_VALUE"""),"Dubai&gt;Dubai Islands&gt;Coral Isle Residences")</f>
        <v>Dubai&gt;Dubai Islands&gt;Coral Isle Residences</v>
      </c>
      <c r="E8201" s="2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</row>
    <row r="8202" spans="1:26" ht="16.5" x14ac:dyDescent="0.35">
      <c r="A8202" s="2" t="str">
        <f ca="1">IFERROR(__xludf.DUMMYFUNCTION("""COMPUTED_VALUE"""),"Dubai")</f>
        <v>Dubai</v>
      </c>
      <c r="B8202" s="2" t="str">
        <f ca="1">IFERROR(__xludf.DUMMYFUNCTION("""COMPUTED_VALUE"""),"Villa del Brunello")</f>
        <v>Villa del Brunello</v>
      </c>
      <c r="C8202" s="2" t="str">
        <f ca="1">IFERROR(__xludf.DUMMYFUNCTION("""COMPUTED_VALUE"""),"Building")</f>
        <v>Building</v>
      </c>
      <c r="D8202" s="2" t="str">
        <f ca="1">IFERROR(__xludf.DUMMYFUNCTION("""COMPUTED_VALUE"""),"Dubai&gt;Dubai Islands&gt;Villa del Brunello")</f>
        <v>Dubai&gt;Dubai Islands&gt;Villa del Brunello</v>
      </c>
      <c r="E8202" s="2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</row>
    <row r="8203" spans="1:26" ht="16.5" x14ac:dyDescent="0.35">
      <c r="A8203" s="2" t="str">
        <f ca="1">IFERROR(__xludf.DUMMYFUNCTION("""COMPUTED_VALUE"""),"Dubai")</f>
        <v>Dubai</v>
      </c>
      <c r="B8203" s="2" t="str">
        <f ca="1">IFERROR(__xludf.DUMMYFUNCTION("""COMPUTED_VALUE"""),"Hado by Beyond")</f>
        <v>Hado by Beyond</v>
      </c>
      <c r="C8203" s="2" t="str">
        <f ca="1">IFERROR(__xludf.DUMMYFUNCTION("""COMPUTED_VALUE"""),"Cluster")</f>
        <v>Cluster</v>
      </c>
      <c r="D8203" s="2" t="str">
        <f ca="1">IFERROR(__xludf.DUMMYFUNCTION("""COMPUTED_VALUE"""),"Dubai&gt;Dubai Islands&gt;Hado by Beyond")</f>
        <v>Dubai&gt;Dubai Islands&gt;Hado by Beyond</v>
      </c>
      <c r="E8203" s="2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</row>
    <row r="8204" spans="1:26" ht="16.5" x14ac:dyDescent="0.35">
      <c r="A8204" s="2" t="str">
        <f ca="1">IFERROR(__xludf.DUMMYFUNCTION("""COMPUTED_VALUE"""),"Dubai")</f>
        <v>Dubai</v>
      </c>
      <c r="B8204" s="2" t="str">
        <f ca="1">IFERROR(__xludf.DUMMYFUNCTION("""COMPUTED_VALUE"""),"The Palmarosa")</f>
        <v>The Palmarosa</v>
      </c>
      <c r="C8204" s="2" t="str">
        <f ca="1">IFERROR(__xludf.DUMMYFUNCTION("""COMPUTED_VALUE"""),"Neighbourhood")</f>
        <v>Neighbourhood</v>
      </c>
      <c r="D8204" s="2" t="str">
        <f ca="1">IFERROR(__xludf.DUMMYFUNCTION("""COMPUTED_VALUE"""),"Dubai&gt;Dubailand&gt;The Palmarosa")</f>
        <v>Dubai&gt;Dubailand&gt;The Palmarosa</v>
      </c>
      <c r="E8204" s="2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</row>
    <row r="8205" spans="1:26" ht="16.5" x14ac:dyDescent="0.35">
      <c r="A8205" s="2" t="str">
        <f ca="1">IFERROR(__xludf.DUMMYFUNCTION("""COMPUTED_VALUE"""),"Dubai")</f>
        <v>Dubai</v>
      </c>
      <c r="B8205" s="2" t="str">
        <f ca="1">IFERROR(__xludf.DUMMYFUNCTION("""COMPUTED_VALUE"""),"The Heights Country Club")</f>
        <v>The Heights Country Club</v>
      </c>
      <c r="C8205" s="2" t="str">
        <f ca="1">IFERROR(__xludf.DUMMYFUNCTION("""COMPUTED_VALUE"""),"Neighbourhood")</f>
        <v>Neighbourhood</v>
      </c>
      <c r="D8205" s="2" t="str">
        <f ca="1">IFERROR(__xludf.DUMMYFUNCTION("""COMPUTED_VALUE"""),"Dubai&gt;Dubailand&gt;The Heights Country Club")</f>
        <v>Dubai&gt;Dubailand&gt;The Heights Country Club</v>
      </c>
      <c r="E8205" s="2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</row>
    <row r="8206" spans="1:26" ht="16.5" x14ac:dyDescent="0.35">
      <c r="A8206" s="2" t="str">
        <f ca="1">IFERROR(__xludf.DUMMYFUNCTION("""COMPUTED_VALUE"""),"Dubai")</f>
        <v>Dubai</v>
      </c>
      <c r="B8206" s="2" t="str">
        <f ca="1">IFERROR(__xludf.DUMMYFUNCTION("""COMPUTED_VALUE"""),"Amaranta 2")</f>
        <v>Amaranta 2</v>
      </c>
      <c r="C8206" s="2" t="str">
        <f ca="1">IFERROR(__xludf.DUMMYFUNCTION("""COMPUTED_VALUE"""),"Neighbourhood")</f>
        <v>Neighbourhood</v>
      </c>
      <c r="D8206" s="2" t="str">
        <f ca="1">IFERROR(__xludf.DUMMYFUNCTION("""COMPUTED_VALUE"""),"Dubai&gt;Dubailand&gt;Villanova&gt;Amaranta&gt;Amaranta 2")</f>
        <v>Dubai&gt;Dubailand&gt;Villanova&gt;Amaranta&gt;Amaranta 2</v>
      </c>
      <c r="E8206" s="2"/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</row>
    <row r="8207" spans="1:26" ht="16.5" x14ac:dyDescent="0.35">
      <c r="A8207" s="2" t="str">
        <f ca="1">IFERROR(__xludf.DUMMYFUNCTION("""COMPUTED_VALUE"""),"Dubai")</f>
        <v>Dubai</v>
      </c>
      <c r="B8207" s="2" t="str">
        <f ca="1">IFERROR(__xludf.DUMMYFUNCTION("""COMPUTED_VALUE"""),"Serro 2")</f>
        <v>Serro 2</v>
      </c>
      <c r="C8207" s="2" t="str">
        <f ca="1">IFERROR(__xludf.DUMMYFUNCTION("""COMPUTED_VALUE"""),"Neighbourhood")</f>
        <v>Neighbourhood</v>
      </c>
      <c r="D8207" s="2" t="str">
        <f ca="1">IFERROR(__xludf.DUMMYFUNCTION("""COMPUTED_VALUE"""),"Dubai&gt;Dubailand&gt;The Heights Country Club&gt;Serro 2")</f>
        <v>Dubai&gt;Dubailand&gt;The Heights Country Club&gt;Serro 2</v>
      </c>
      <c r="E8207" s="2"/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</row>
    <row r="8208" spans="1:26" ht="16.5" x14ac:dyDescent="0.35">
      <c r="A8208" s="2" t="str">
        <f ca="1">IFERROR(__xludf.DUMMYFUNCTION("""COMPUTED_VALUE"""),"Dubai")</f>
        <v>Dubai</v>
      </c>
      <c r="B8208" s="2" t="str">
        <f ca="1">IFERROR(__xludf.DUMMYFUNCTION("""COMPUTED_VALUE"""),"Sheikh Rashid Tower")</f>
        <v>Sheikh Rashid Tower</v>
      </c>
      <c r="C8208" s="2" t="str">
        <f ca="1">IFERROR(__xludf.DUMMYFUNCTION("""COMPUTED_VALUE"""),"Building")</f>
        <v>Building</v>
      </c>
      <c r="D8208" s="2" t="str">
        <f ca="1">IFERROR(__xludf.DUMMYFUNCTION("""COMPUTED_VALUE"""),"Dubai&gt;World Trade Centre&gt;Sheikh Rashid Tower")</f>
        <v>Dubai&gt;World Trade Centre&gt;Sheikh Rashid Tower</v>
      </c>
      <c r="E8208" s="2"/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</row>
    <row r="8209" spans="1:26" ht="16.5" x14ac:dyDescent="0.35">
      <c r="A8209" s="2" t="str">
        <f ca="1">IFERROR(__xludf.DUMMYFUNCTION("""COMPUTED_VALUE"""),"Dubai")</f>
        <v>Dubai</v>
      </c>
      <c r="B8209" s="2" t="str">
        <f ca="1">IFERROR(__xludf.DUMMYFUNCTION("""COMPUTED_VALUE"""),"Manazel Deira Building")</f>
        <v>Manazel Deira Building</v>
      </c>
      <c r="C8209" s="2" t="str">
        <f ca="1">IFERROR(__xludf.DUMMYFUNCTION("""COMPUTED_VALUE"""),"Building")</f>
        <v>Building</v>
      </c>
      <c r="D8209" s="2" t="str">
        <f ca="1">IFERROR(__xludf.DUMMYFUNCTION("""COMPUTED_VALUE"""),"Dubai&gt;Al Qusais&gt;Al Qusais Residential Area&gt;Al Qusais 2&gt;Manazel Deira Building")</f>
        <v>Dubai&gt;Al Qusais&gt;Al Qusais Residential Area&gt;Al Qusais 2&gt;Manazel Deira Building</v>
      </c>
      <c r="E8209" s="2"/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</row>
    <row r="8210" spans="1:26" ht="16.5" x14ac:dyDescent="0.35">
      <c r="A8210" s="2" t="str">
        <f ca="1">IFERROR(__xludf.DUMMYFUNCTION("""COMPUTED_VALUE"""),"Dubai")</f>
        <v>Dubai</v>
      </c>
      <c r="B8210" s="2" t="str">
        <f ca="1">IFERROR(__xludf.DUMMYFUNCTION("""COMPUTED_VALUE"""),"Al Fattan Charity Building")</f>
        <v>Al Fattan Charity Building</v>
      </c>
      <c r="C8210" s="2" t="str">
        <f ca="1">IFERROR(__xludf.DUMMYFUNCTION("""COMPUTED_VALUE"""),"Building")</f>
        <v>Building</v>
      </c>
      <c r="D8210" s="2" t="str">
        <f ca="1">IFERROR(__xludf.DUMMYFUNCTION("""COMPUTED_VALUE"""),"Dubai&gt;Al Qusais&gt;Al Qusais Residential Area&gt;Al Qusais 1&gt;Al Fattan Charity Building")</f>
        <v>Dubai&gt;Al Qusais&gt;Al Qusais Residential Area&gt;Al Qusais 1&gt;Al Fattan Charity Building</v>
      </c>
      <c r="E8210" s="2"/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</row>
    <row r="8211" spans="1:26" ht="16.5" x14ac:dyDescent="0.35">
      <c r="A8211" s="2" t="str">
        <f ca="1">IFERROR(__xludf.DUMMYFUNCTION("""COMPUTED_VALUE"""),"Dubai")</f>
        <v>Dubai</v>
      </c>
      <c r="B8211" s="2" t="str">
        <f ca="1">IFERROR(__xludf.DUMMYFUNCTION("""COMPUTED_VALUE"""),"Lootah Building")</f>
        <v>Lootah Building</v>
      </c>
      <c r="C8211" s="2" t="str">
        <f ca="1">IFERROR(__xludf.DUMMYFUNCTION("""COMPUTED_VALUE"""),"Building")</f>
        <v>Building</v>
      </c>
      <c r="D8211" s="2" t="str">
        <f ca="1">IFERROR(__xludf.DUMMYFUNCTION("""COMPUTED_VALUE"""),"Dubai&gt;Al Qusais&gt;Al Qusais Residential Area&gt;Al Qusais 1&gt;Lootah Building")</f>
        <v>Dubai&gt;Al Qusais&gt;Al Qusais Residential Area&gt;Al Qusais 1&gt;Lootah Building</v>
      </c>
      <c r="E8211" s="2"/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</row>
    <row r="8212" spans="1:26" ht="16.5" x14ac:dyDescent="0.35">
      <c r="A8212" s="2" t="str">
        <f ca="1">IFERROR(__xludf.DUMMYFUNCTION("""COMPUTED_VALUE"""),"Dubai")</f>
        <v>Dubai</v>
      </c>
      <c r="B8212" s="2" t="str">
        <f ca="1">IFERROR(__xludf.DUMMYFUNCTION("""COMPUTED_VALUE"""),"Al Khayyal Building 102")</f>
        <v>Al Khayyal Building 102</v>
      </c>
      <c r="C8212" s="2" t="str">
        <f ca="1">IFERROR(__xludf.DUMMYFUNCTION("""COMPUTED_VALUE"""),"Building")</f>
        <v>Building</v>
      </c>
      <c r="D8212" s="2" t="str">
        <f ca="1">IFERROR(__xludf.DUMMYFUNCTION("""COMPUTED_VALUE"""),"Dubai&gt;Al Qusais&gt;Al Qusais Industrial Area&gt;Al Qusais Industrial 1&gt;Al Khayyal Building 102")</f>
        <v>Dubai&gt;Al Qusais&gt;Al Qusais Industrial Area&gt;Al Qusais Industrial 1&gt;Al Khayyal Building 102</v>
      </c>
      <c r="E8212" s="2"/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</row>
    <row r="8213" spans="1:26" ht="16.5" x14ac:dyDescent="0.35">
      <c r="A8213" s="2" t="str">
        <f ca="1">IFERROR(__xludf.DUMMYFUNCTION("""COMPUTED_VALUE"""),"Dubai")</f>
        <v>Dubai</v>
      </c>
      <c r="B8213" s="2" t="str">
        <f ca="1">IFERROR(__xludf.DUMMYFUNCTION("""COMPUTED_VALUE"""),"Mulberry 1 Building A2")</f>
        <v>Mulberry 1 Building A2</v>
      </c>
      <c r="C8213" s="2" t="str">
        <f ca="1">IFERROR(__xludf.DUMMYFUNCTION("""COMPUTED_VALUE"""),"Building")</f>
        <v>Building</v>
      </c>
      <c r="D8213" s="2" t="str">
        <f ca="1">IFERROR(__xludf.DUMMYFUNCTION("""COMPUTED_VALUE"""),"Dubai&gt;Dubai Hills Estate&gt;Park Heights&gt;Mulberry 1&gt;Mulberry 1 Building A2")</f>
        <v>Dubai&gt;Dubai Hills Estate&gt;Park Heights&gt;Mulberry 1&gt;Mulberry 1 Building A2</v>
      </c>
      <c r="E8213" s="2"/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</row>
    <row r="8214" spans="1:26" ht="16.5" x14ac:dyDescent="0.35">
      <c r="A8214" s="2" t="str">
        <f ca="1">IFERROR(__xludf.DUMMYFUNCTION("""COMPUTED_VALUE"""),"Dubai")</f>
        <v>Dubai</v>
      </c>
      <c r="B8214" s="2" t="str">
        <f ca="1">IFERROR(__xludf.DUMMYFUNCTION("""COMPUTED_VALUE"""),"Executive Residences 1")</f>
        <v>Executive Residences 1</v>
      </c>
      <c r="C8214" s="2" t="str">
        <f ca="1">IFERROR(__xludf.DUMMYFUNCTION("""COMPUTED_VALUE"""),"Building")</f>
        <v>Building</v>
      </c>
      <c r="D8214" s="2" t="str">
        <f ca="1">IFERROR(__xludf.DUMMYFUNCTION("""COMPUTED_VALUE"""),"Dubai&gt;Dubai Hills Estate&gt;Executive Residences&gt;Executive Residences 1")</f>
        <v>Dubai&gt;Dubai Hills Estate&gt;Executive Residences&gt;Executive Residences 1</v>
      </c>
      <c r="E8214" s="2"/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</row>
    <row r="8215" spans="1:26" ht="16.5" x14ac:dyDescent="0.35">
      <c r="A8215" s="2" t="str">
        <f ca="1">IFERROR(__xludf.DUMMYFUNCTION("""COMPUTED_VALUE"""),"Dubai")</f>
        <v>Dubai</v>
      </c>
      <c r="B8215" s="2" t="str">
        <f ca="1">IFERROR(__xludf.DUMMYFUNCTION("""COMPUTED_VALUE"""),"Ellington House 4")</f>
        <v>Ellington House 4</v>
      </c>
      <c r="C8215" s="2" t="str">
        <f ca="1">IFERROR(__xludf.DUMMYFUNCTION("""COMPUTED_VALUE"""),"Building")</f>
        <v>Building</v>
      </c>
      <c r="D8215" s="2" t="str">
        <f ca="1">IFERROR(__xludf.DUMMYFUNCTION("""COMPUTED_VALUE"""),"Dubai&gt;Dubai Hills Estate&gt;Ellington House&gt;Ellington House 4")</f>
        <v>Dubai&gt;Dubai Hills Estate&gt;Ellington House&gt;Ellington House 4</v>
      </c>
      <c r="E8215" s="2"/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</row>
    <row r="8216" spans="1:26" ht="16.5" x14ac:dyDescent="0.35">
      <c r="A8216" s="2" t="str">
        <f ca="1">IFERROR(__xludf.DUMMYFUNCTION("""COMPUTED_VALUE"""),"Dubai")</f>
        <v>Dubai</v>
      </c>
      <c r="B8216" s="2" t="str">
        <f ca="1">IFERROR(__xludf.DUMMYFUNCTION("""COMPUTED_VALUE"""),"Club Drive Tower A")</f>
        <v>Club Drive Tower A</v>
      </c>
      <c r="C8216" s="2" t="str">
        <f ca="1">IFERROR(__xludf.DUMMYFUNCTION("""COMPUTED_VALUE"""),"Building")</f>
        <v>Building</v>
      </c>
      <c r="D8216" s="2" t="str">
        <f ca="1">IFERROR(__xludf.DUMMYFUNCTION("""COMPUTED_VALUE"""),"Dubai&gt;Dubai Hills Estate&gt;Club Drive&gt;Club Drive Tower A")</f>
        <v>Dubai&gt;Dubai Hills Estate&gt;Club Drive&gt;Club Drive Tower A</v>
      </c>
      <c r="E8216" s="2"/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</row>
    <row r="8217" spans="1:26" ht="16.5" x14ac:dyDescent="0.35">
      <c r="A8217" s="2" t="str">
        <f ca="1">IFERROR(__xludf.DUMMYFUNCTION("""COMPUTED_VALUE"""),"Dubai")</f>
        <v>Dubai</v>
      </c>
      <c r="B8217" s="2" t="str">
        <f ca="1">IFERROR(__xludf.DUMMYFUNCTION("""COMPUTED_VALUE"""),"Vida Residences Hillside Tower A")</f>
        <v>Vida Residences Hillside Tower A</v>
      </c>
      <c r="C8217" s="2" t="str">
        <f ca="1">IFERROR(__xludf.DUMMYFUNCTION("""COMPUTED_VALUE"""),"Building")</f>
        <v>Building</v>
      </c>
      <c r="D8217" s="2" t="str">
        <f ca="1">IFERROR(__xludf.DUMMYFUNCTION("""COMPUTED_VALUE"""),"Dubai&gt;Dubai Hills Estate&gt;Vida Residences Hillside&gt;Vida Residences Hillside Tower A")</f>
        <v>Dubai&gt;Dubai Hills Estate&gt;Vida Residences Hillside&gt;Vida Residences Hillside Tower A</v>
      </c>
      <c r="E8217" s="2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</row>
    <row r="8218" spans="1:26" ht="16.5" x14ac:dyDescent="0.35">
      <c r="A8218" s="2" t="str">
        <f ca="1">IFERROR(__xludf.DUMMYFUNCTION("""COMPUTED_VALUE"""),"Dubai")</f>
        <v>Dubai</v>
      </c>
      <c r="B8218" s="2" t="str">
        <f ca="1">IFERROR(__xludf.DUMMYFUNCTION("""COMPUTED_VALUE"""),"Al Khabeesi Building")</f>
        <v>Al Khabeesi Building</v>
      </c>
      <c r="C8218" s="2" t="str">
        <f ca="1">IFERROR(__xludf.DUMMYFUNCTION("""COMPUTED_VALUE"""),"Building")</f>
        <v>Building</v>
      </c>
      <c r="D8218" s="2" t="str">
        <f ca="1">IFERROR(__xludf.DUMMYFUNCTION("""COMPUTED_VALUE"""),"Dubai&gt;Deira&gt;Al Muraqqabat&gt;Al Khabeesi Building")</f>
        <v>Dubai&gt;Deira&gt;Al Muraqqabat&gt;Al Khabeesi Building</v>
      </c>
      <c r="E8218" s="2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</row>
    <row r="8219" spans="1:26" ht="16.5" x14ac:dyDescent="0.35">
      <c r="A8219" s="2" t="str">
        <f ca="1">IFERROR(__xludf.DUMMYFUNCTION("""COMPUTED_VALUE"""),"Dubai")</f>
        <v>Dubai</v>
      </c>
      <c r="B8219" s="2" t="str">
        <f ca="1">IFERROR(__xludf.DUMMYFUNCTION("""COMPUTED_VALUE"""),"ibis Dubai Al Rigga")</f>
        <v>ibis Dubai Al Rigga</v>
      </c>
      <c r="C8219" s="2" t="str">
        <f ca="1">IFERROR(__xludf.DUMMYFUNCTION("""COMPUTED_VALUE"""),"Building")</f>
        <v>Building</v>
      </c>
      <c r="D8219" s="2" t="str">
        <f ca="1">IFERROR(__xludf.DUMMYFUNCTION("""COMPUTED_VALUE"""),"Dubai&gt;Deira&gt;Al Muraqqabat&gt;ibis Dubai Al Rigga")</f>
        <v>Dubai&gt;Deira&gt;Al Muraqqabat&gt;ibis Dubai Al Rigga</v>
      </c>
      <c r="E8219" s="2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</row>
    <row r="8220" spans="1:26" ht="16.5" x14ac:dyDescent="0.35">
      <c r="A8220" s="2" t="str">
        <f ca="1">IFERROR(__xludf.DUMMYFUNCTION("""COMPUTED_VALUE"""),"Dubai")</f>
        <v>Dubai</v>
      </c>
      <c r="B8220" s="2" t="str">
        <f ca="1">IFERROR(__xludf.DUMMYFUNCTION("""COMPUTED_VALUE"""),"Al Bandar Rotana Hotel")</f>
        <v>Al Bandar Rotana Hotel</v>
      </c>
      <c r="C8220" s="2" t="str">
        <f ca="1">IFERROR(__xludf.DUMMYFUNCTION("""COMPUTED_VALUE"""),"Building")</f>
        <v>Building</v>
      </c>
      <c r="D8220" s="2" t="str">
        <f ca="1">IFERROR(__xludf.DUMMYFUNCTION("""COMPUTED_VALUE"""),"Dubai&gt;Deira&gt;Riggat Al Buteen&gt;Al Bandar Rotana Hotel")</f>
        <v>Dubai&gt;Deira&gt;Riggat Al Buteen&gt;Al Bandar Rotana Hotel</v>
      </c>
      <c r="E8220" s="2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</row>
    <row r="8221" spans="1:26" ht="16.5" x14ac:dyDescent="0.35">
      <c r="A8221" s="2" t="str">
        <f ca="1">IFERROR(__xludf.DUMMYFUNCTION("""COMPUTED_VALUE"""),"Dubai")</f>
        <v>Dubai</v>
      </c>
      <c r="B8221" s="2" t="str">
        <f ca="1">IFERROR(__xludf.DUMMYFUNCTION("""COMPUTED_VALUE"""),"Hor Al Anz East")</f>
        <v>Hor Al Anz East</v>
      </c>
      <c r="C8221" s="2" t="str">
        <f ca="1">IFERROR(__xludf.DUMMYFUNCTION("""COMPUTED_VALUE"""),"Neighbourhood")</f>
        <v>Neighbourhood</v>
      </c>
      <c r="D8221" s="2" t="str">
        <f ca="1">IFERROR(__xludf.DUMMYFUNCTION("""COMPUTED_VALUE"""),"Dubai&gt;Deira&gt;Hor Al Anz&gt;Hor Al Anz East")</f>
        <v>Dubai&gt;Deira&gt;Hor Al Anz&gt;Hor Al Anz East</v>
      </c>
      <c r="E8221" s="2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</row>
    <row r="8222" spans="1:26" ht="16.5" x14ac:dyDescent="0.35">
      <c r="A8222" s="2" t="str">
        <f ca="1">IFERROR(__xludf.DUMMYFUNCTION("""COMPUTED_VALUE"""),"Dubai")</f>
        <v>Dubai</v>
      </c>
      <c r="B8222" s="2" t="str">
        <f ca="1">IFERROR(__xludf.DUMMYFUNCTION("""COMPUTED_VALUE"""),"MRK 2 SBK")</f>
        <v>MRK 2 SBK</v>
      </c>
      <c r="C8222" s="2" t="str">
        <f ca="1">IFERROR(__xludf.DUMMYFUNCTION("""COMPUTED_VALUE"""),"Building")</f>
        <v>Building</v>
      </c>
      <c r="D8222" s="2" t="str">
        <f ca="1">IFERROR(__xludf.DUMMYFUNCTION("""COMPUTED_VALUE"""),"Dubai&gt;Deira&gt;Al Muteena&gt;MRK 2 SBK")</f>
        <v>Dubai&gt;Deira&gt;Al Muteena&gt;MRK 2 SBK</v>
      </c>
      <c r="E8222" s="2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</row>
    <row r="8223" spans="1:26" ht="16.5" x14ac:dyDescent="0.35">
      <c r="A8223" s="2" t="str">
        <f ca="1">IFERROR(__xludf.DUMMYFUNCTION("""COMPUTED_VALUE"""),"Dubai")</f>
        <v>Dubai</v>
      </c>
      <c r="B8223" s="2" t="str">
        <f ca="1">IFERROR(__xludf.DUMMYFUNCTION("""COMPUTED_VALUE"""),"Jamal Lootah Building")</f>
        <v>Jamal Lootah Building</v>
      </c>
      <c r="C8223" s="2" t="str">
        <f ca="1">IFERROR(__xludf.DUMMYFUNCTION("""COMPUTED_VALUE"""),"Building")</f>
        <v>Building</v>
      </c>
      <c r="D8223" s="2" t="str">
        <f ca="1">IFERROR(__xludf.DUMMYFUNCTION("""COMPUTED_VALUE"""),"Dubai&gt;Deira&gt;Al Muteena&gt;Jamal Lootah Building")</f>
        <v>Dubai&gt;Deira&gt;Al Muteena&gt;Jamal Lootah Building</v>
      </c>
      <c r="E8223" s="2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</row>
    <row r="8224" spans="1:26" ht="16.5" x14ac:dyDescent="0.35">
      <c r="A8224" s="2" t="str">
        <f ca="1">IFERROR(__xludf.DUMMYFUNCTION("""COMPUTED_VALUE"""),"Dubai")</f>
        <v>Dubai</v>
      </c>
      <c r="B8224" s="2" t="str">
        <f ca="1">IFERROR(__xludf.DUMMYFUNCTION("""COMPUTED_VALUE"""),"Union Square Building")</f>
        <v>Union Square Building</v>
      </c>
      <c r="C8224" s="2" t="str">
        <f ca="1">IFERROR(__xludf.DUMMYFUNCTION("""COMPUTED_VALUE"""),"Building")</f>
        <v>Building</v>
      </c>
      <c r="D8224" s="2" t="str">
        <f ca="1">IFERROR(__xludf.DUMMYFUNCTION("""COMPUTED_VALUE"""),"Dubai&gt;Deira&gt;Al Rigga&gt;Union Square Building")</f>
        <v>Dubai&gt;Deira&gt;Al Rigga&gt;Union Square Building</v>
      </c>
      <c r="E8224" s="2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</row>
    <row r="8225" spans="1:26" ht="16.5" x14ac:dyDescent="0.35">
      <c r="A8225" s="2" t="str">
        <f ca="1">IFERROR(__xludf.DUMMYFUNCTION("""COMPUTED_VALUE"""),"Dubai")</f>
        <v>Dubai</v>
      </c>
      <c r="B8225" s="2" t="str">
        <f ca="1">IFERROR(__xludf.DUMMYFUNCTION("""COMPUTED_VALUE"""),"Hind Plaza 6")</f>
        <v>Hind Plaza 6</v>
      </c>
      <c r="C8225" s="2" t="str">
        <f ca="1">IFERROR(__xludf.DUMMYFUNCTION("""COMPUTED_VALUE"""),"Building")</f>
        <v>Building</v>
      </c>
      <c r="D8225" s="2" t="str">
        <f ca="1">IFERROR(__xludf.DUMMYFUNCTION("""COMPUTED_VALUE"""),"Dubai&gt;Deira&gt;Deira Enrichment Project&gt;Hind Plaza&gt;Hind Plaza 6")</f>
        <v>Dubai&gt;Deira&gt;Deira Enrichment Project&gt;Hind Plaza&gt;Hind Plaza 6</v>
      </c>
      <c r="E8225" s="2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</row>
    <row r="8226" spans="1:26" ht="16.5" x14ac:dyDescent="0.35">
      <c r="A8226" s="2" t="str">
        <f ca="1">IFERROR(__xludf.DUMMYFUNCTION("""COMPUTED_VALUE"""),"Dubai")</f>
        <v>Dubai</v>
      </c>
      <c r="B8226" s="2" t="str">
        <f ca="1">IFERROR(__xludf.DUMMYFUNCTION("""COMPUTED_VALUE"""),"Central Building")</f>
        <v>Central Building</v>
      </c>
      <c r="C8226" s="2" t="str">
        <f ca="1">IFERROR(__xludf.DUMMYFUNCTION("""COMPUTED_VALUE"""),"Building")</f>
        <v>Building</v>
      </c>
      <c r="D8226" s="2" t="str">
        <f ca="1">IFERROR(__xludf.DUMMYFUNCTION("""COMPUTED_VALUE"""),"Dubai&gt;Deira&gt;Naif&gt;Central Building")</f>
        <v>Dubai&gt;Deira&gt;Naif&gt;Central Building</v>
      </c>
      <c r="E8226" s="2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</row>
    <row r="8227" spans="1:26" ht="16.5" x14ac:dyDescent="0.35">
      <c r="A8227" s="2" t="str">
        <f ca="1">IFERROR(__xludf.DUMMYFUNCTION("""COMPUTED_VALUE"""),"Dubai")</f>
        <v>Dubai</v>
      </c>
      <c r="B8227" s="2" t="str">
        <f ca="1">IFERROR(__xludf.DUMMYFUNCTION("""COMPUTED_VALUE"""),"Mohd Habib Al Yousuf Building")</f>
        <v>Mohd Habib Al Yousuf Building</v>
      </c>
      <c r="C8227" s="2" t="str">
        <f ca="1">IFERROR(__xludf.DUMMYFUNCTION("""COMPUTED_VALUE"""),"Building")</f>
        <v>Building</v>
      </c>
      <c r="D8227" s="2" t="str">
        <f ca="1">IFERROR(__xludf.DUMMYFUNCTION("""COMPUTED_VALUE"""),"Dubai&gt;Deira&gt;Al Murar&gt;Mohd Habib Al Yousuf Building")</f>
        <v>Dubai&gt;Deira&gt;Al Murar&gt;Mohd Habib Al Yousuf Building</v>
      </c>
      <c r="E8227" s="2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</row>
    <row r="8228" spans="1:26" ht="16.5" x14ac:dyDescent="0.35">
      <c r="A8228" s="2" t="str">
        <f ca="1">IFERROR(__xludf.DUMMYFUNCTION("""COMPUTED_VALUE"""),"Dubai")</f>
        <v>Dubai</v>
      </c>
      <c r="B8228" s="2" t="str">
        <f ca="1">IFERROR(__xludf.DUMMYFUNCTION("""COMPUTED_VALUE"""),"Abdulla Building 2")</f>
        <v>Abdulla Building 2</v>
      </c>
      <c r="C8228" s="2" t="str">
        <f ca="1">IFERROR(__xludf.DUMMYFUNCTION("""COMPUTED_VALUE"""),"Building")</f>
        <v>Building</v>
      </c>
      <c r="D8228" s="2" t="str">
        <f ca="1">IFERROR(__xludf.DUMMYFUNCTION("""COMPUTED_VALUE"""),"Dubai&gt;Deira&gt;Al Murar&gt;Abdulla Building 2")</f>
        <v>Dubai&gt;Deira&gt;Al Murar&gt;Abdulla Building 2</v>
      </c>
      <c r="E8228" s="2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</row>
    <row r="8229" spans="1:26" ht="16.5" x14ac:dyDescent="0.35">
      <c r="A8229" s="2" t="str">
        <f ca="1">IFERROR(__xludf.DUMMYFUNCTION("""COMPUTED_VALUE"""),"Dubai")</f>
        <v>Dubai</v>
      </c>
      <c r="B8229" s="2" t="str">
        <f ca="1">IFERROR(__xludf.DUMMYFUNCTION("""COMPUTED_VALUE"""),"Obaid Ghanim Abdulrahman Mutaiwei Building")</f>
        <v>Obaid Ghanim Abdulrahman Mutaiwei Building</v>
      </c>
      <c r="C8229" s="2" t="str">
        <f ca="1">IFERROR(__xludf.DUMMYFUNCTION("""COMPUTED_VALUE"""),"Building")</f>
        <v>Building</v>
      </c>
      <c r="D8229" s="2" t="str">
        <f ca="1">IFERROR(__xludf.DUMMYFUNCTION("""COMPUTED_VALUE"""),"Dubai&gt;Deira&gt;Al Ras&gt;Obaid Ghanim Abdulrahman Mutaiwei Building")</f>
        <v>Dubai&gt;Deira&gt;Al Ras&gt;Obaid Ghanim Abdulrahman Mutaiwei Building</v>
      </c>
      <c r="E8229" s="2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</row>
    <row r="8230" spans="1:26" ht="16.5" x14ac:dyDescent="0.35">
      <c r="A8230" s="2" t="str">
        <f ca="1">IFERROR(__xludf.DUMMYFUNCTION("""COMPUTED_VALUE"""),"Dubai")</f>
        <v>Dubai</v>
      </c>
      <c r="B8230" s="2" t="str">
        <f ca="1">IFERROR(__xludf.DUMMYFUNCTION("""COMPUTED_VALUE"""),"Creekside Residence")</f>
        <v>Creekside Residence</v>
      </c>
      <c r="C8230" s="2" t="str">
        <f ca="1">IFERROR(__xludf.DUMMYFUNCTION("""COMPUTED_VALUE"""),"Building")</f>
        <v>Building</v>
      </c>
      <c r="D8230" s="2" t="str">
        <f ca="1">IFERROR(__xludf.DUMMYFUNCTION("""COMPUTED_VALUE"""),"Dubai&gt;Deira&gt;Port Saeed&gt;Creekside Residence")</f>
        <v>Dubai&gt;Deira&gt;Port Saeed&gt;Creekside Residence</v>
      </c>
      <c r="E8230" s="2"/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</row>
    <row r="8231" spans="1:26" ht="16.5" x14ac:dyDescent="0.35">
      <c r="A8231" s="2" t="str">
        <f ca="1">IFERROR(__xludf.DUMMYFUNCTION("""COMPUTED_VALUE"""),"Dubai")</f>
        <v>Dubai</v>
      </c>
      <c r="B8231" s="2" t="str">
        <f ca="1">IFERROR(__xludf.DUMMYFUNCTION("""COMPUTED_VALUE"""),"Maple Bear Nursery Business Bay")</f>
        <v>Maple Bear Nursery Business Bay</v>
      </c>
      <c r="C8231" s="2" t="str">
        <f ca="1">IFERROR(__xludf.DUMMYFUNCTION("""COMPUTED_VALUE"""),"Nursery")</f>
        <v>Nursery</v>
      </c>
      <c r="D8231" s="2" t="str">
        <f ca="1">IFERROR(__xludf.DUMMYFUNCTION("""COMPUTED_VALUE"""),"Dubai&gt;Business Bay&gt;Maple Bear Nursery Business Bay")</f>
        <v>Dubai&gt;Business Bay&gt;Maple Bear Nursery Business Bay</v>
      </c>
      <c r="E8231" s="2"/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</row>
    <row r="8232" spans="1:26" ht="16.5" x14ac:dyDescent="0.35">
      <c r="A8232" s="2" t="str">
        <f ca="1">IFERROR(__xludf.DUMMYFUNCTION("""COMPUTED_VALUE"""),"Dubai")</f>
        <v>Dubai</v>
      </c>
      <c r="B8232" s="2" t="str">
        <f ca="1">IFERROR(__xludf.DUMMYFUNCTION("""COMPUTED_VALUE"""),"V Hotel Dubai")</f>
        <v>V Hotel Dubai</v>
      </c>
      <c r="C8232" s="2" t="str">
        <f ca="1">IFERROR(__xludf.DUMMYFUNCTION("""COMPUTED_VALUE"""),"Building")</f>
        <v>Building</v>
      </c>
      <c r="D8232" s="2" t="str">
        <f ca="1">IFERROR(__xludf.DUMMYFUNCTION("""COMPUTED_VALUE"""),"Dubai&gt;Business Bay&gt;Al Habtoor City&gt;V Hotel Dubai")</f>
        <v>Dubai&gt;Business Bay&gt;Al Habtoor City&gt;V Hotel Dubai</v>
      </c>
      <c r="E8232" s="2"/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</row>
    <row r="8233" spans="1:26" ht="16.5" x14ac:dyDescent="0.35">
      <c r="A8233" s="2" t="str">
        <f ca="1">IFERROR(__xludf.DUMMYFUNCTION("""COMPUTED_VALUE"""),"Dubai")</f>
        <v>Dubai</v>
      </c>
      <c r="B8233" s="2" t="str">
        <f ca="1">IFERROR(__xludf.DUMMYFUNCTION("""COMPUTED_VALUE"""),"Bay Square")</f>
        <v>Bay Square</v>
      </c>
      <c r="C8233" s="2" t="str">
        <f ca="1">IFERROR(__xludf.DUMMYFUNCTION("""COMPUTED_VALUE"""),"Cluster")</f>
        <v>Cluster</v>
      </c>
      <c r="D8233" s="2" t="str">
        <f ca="1">IFERROR(__xludf.DUMMYFUNCTION("""COMPUTED_VALUE"""),"Dubai&gt;Business Bay&gt;Bay Square")</f>
        <v>Dubai&gt;Business Bay&gt;Bay Square</v>
      </c>
      <c r="E8233" s="2"/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</row>
    <row r="8234" spans="1:26" ht="16.5" x14ac:dyDescent="0.35">
      <c r="A8234" s="2" t="str">
        <f ca="1">IFERROR(__xludf.DUMMYFUNCTION("""COMPUTED_VALUE"""),"Dubai")</f>
        <v>Dubai</v>
      </c>
      <c r="B8234" s="2" t="str">
        <f ca="1">IFERROR(__xludf.DUMMYFUNCTION("""COMPUTED_VALUE"""),"Bay View Tower")</f>
        <v>Bay View Tower</v>
      </c>
      <c r="C8234" s="2" t="str">
        <f ca="1">IFERROR(__xludf.DUMMYFUNCTION("""COMPUTED_VALUE"""),"Building")</f>
        <v>Building</v>
      </c>
      <c r="D8234" s="2" t="str">
        <f ca="1">IFERROR(__xludf.DUMMYFUNCTION("""COMPUTED_VALUE"""),"Dubai&gt;Business Bay&gt;Bay View Tower")</f>
        <v>Dubai&gt;Business Bay&gt;Bay View Tower</v>
      </c>
      <c r="E8234" s="2"/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</row>
    <row r="8235" spans="1:26" ht="16.5" x14ac:dyDescent="0.35">
      <c r="A8235" s="2" t="str">
        <f ca="1">IFERROR(__xludf.DUMMYFUNCTION("""COMPUTED_VALUE"""),"Dubai")</f>
        <v>Dubai</v>
      </c>
      <c r="B8235" s="2" t="str">
        <f ca="1">IFERROR(__xludf.DUMMYFUNCTION("""COMPUTED_VALUE"""),"Scala Tower")</f>
        <v>Scala Tower</v>
      </c>
      <c r="C8235" s="2" t="str">
        <f ca="1">IFERROR(__xludf.DUMMYFUNCTION("""COMPUTED_VALUE"""),"Building")</f>
        <v>Building</v>
      </c>
      <c r="D8235" s="2" t="str">
        <f ca="1">IFERROR(__xludf.DUMMYFUNCTION("""COMPUTED_VALUE"""),"Dubai&gt;Business Bay&gt;Scala Tower")</f>
        <v>Dubai&gt;Business Bay&gt;Scala Tower</v>
      </c>
      <c r="E8235" s="2"/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</row>
    <row r="8236" spans="1:26" ht="16.5" x14ac:dyDescent="0.35">
      <c r="A8236" s="2" t="str">
        <f ca="1">IFERROR(__xludf.DUMMYFUNCTION("""COMPUTED_VALUE"""),"Dubai")</f>
        <v>Dubai</v>
      </c>
      <c r="B8236" s="2" t="str">
        <f ca="1">IFERROR(__xludf.DUMMYFUNCTION("""COMPUTED_VALUE"""),"Al Manara Tower")</f>
        <v>Al Manara Tower</v>
      </c>
      <c r="C8236" s="2" t="str">
        <f ca="1">IFERROR(__xludf.DUMMYFUNCTION("""COMPUTED_VALUE"""),"Building")</f>
        <v>Building</v>
      </c>
      <c r="D8236" s="2" t="str">
        <f ca="1">IFERROR(__xludf.DUMMYFUNCTION("""COMPUTED_VALUE"""),"Dubai&gt;Business Bay&gt;Al Manara Tower")</f>
        <v>Dubai&gt;Business Bay&gt;Al Manara Tower</v>
      </c>
      <c r="E8236" s="2"/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</row>
    <row r="8237" spans="1:26" ht="16.5" x14ac:dyDescent="0.35">
      <c r="A8237" s="2" t="str">
        <f ca="1">IFERROR(__xludf.DUMMYFUNCTION("""COMPUTED_VALUE"""),"Dubai")</f>
        <v>Dubai</v>
      </c>
      <c r="B8237" s="2" t="str">
        <f ca="1">IFERROR(__xludf.DUMMYFUNCTION("""COMPUTED_VALUE"""),"Da Vinci Tower")</f>
        <v>Da Vinci Tower</v>
      </c>
      <c r="C8237" s="2" t="str">
        <f ca="1">IFERROR(__xludf.DUMMYFUNCTION("""COMPUTED_VALUE"""),"Building")</f>
        <v>Building</v>
      </c>
      <c r="D8237" s="2" t="str">
        <f ca="1">IFERROR(__xludf.DUMMYFUNCTION("""COMPUTED_VALUE"""),"Dubai&gt;Business Bay&gt;Da Vinci Tower")</f>
        <v>Dubai&gt;Business Bay&gt;Da Vinci Tower</v>
      </c>
      <c r="E8237" s="2"/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</row>
    <row r="8238" spans="1:26" ht="16.5" x14ac:dyDescent="0.35">
      <c r="A8238" s="2" t="str">
        <f ca="1">IFERROR(__xludf.DUMMYFUNCTION("""COMPUTED_VALUE"""),"Dubai")</f>
        <v>Dubai</v>
      </c>
      <c r="B8238" s="2" t="str">
        <f ca="1">IFERROR(__xludf.DUMMYFUNCTION("""COMPUTED_VALUE"""),"Marriott Residences (West Five)")</f>
        <v>Marriott Residences (West Five)</v>
      </c>
      <c r="C8238" s="2" t="str">
        <f ca="1">IFERROR(__xludf.DUMMYFUNCTION("""COMPUTED_VALUE"""),"Building")</f>
        <v>Building</v>
      </c>
      <c r="D8238" s="2" t="str">
        <f ca="1">IFERROR(__xludf.DUMMYFUNCTION("""COMPUTED_VALUE"""),"Dubai&gt;Business Bay&gt;Marriott Residences (West Five)")</f>
        <v>Dubai&gt;Business Bay&gt;Marriott Residences (West Five)</v>
      </c>
      <c r="E8238" s="2"/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</row>
    <row r="8239" spans="1:26" ht="16.5" x14ac:dyDescent="0.35">
      <c r="A8239" s="2" t="str">
        <f ca="1">IFERROR(__xludf.DUMMYFUNCTION("""COMPUTED_VALUE"""),"Dubai")</f>
        <v>Dubai</v>
      </c>
      <c r="B8239" s="2" t="str">
        <f ca="1">IFERROR(__xludf.DUMMYFUNCTION("""COMPUTED_VALUE"""),"Peninsula Five Waterfront Duplexes")</f>
        <v>Peninsula Five Waterfront Duplexes</v>
      </c>
      <c r="C8239" s="2" t="str">
        <f ca="1">IFERROR(__xludf.DUMMYFUNCTION("""COMPUTED_VALUE"""),"Building")</f>
        <v>Building</v>
      </c>
      <c r="D8239" s="2" t="str">
        <f ca="1">IFERROR(__xludf.DUMMYFUNCTION("""COMPUTED_VALUE"""),"Dubai&gt;Business Bay&gt;Peninsula&gt;Peninsula Five Waterfront Duplexes")</f>
        <v>Dubai&gt;Business Bay&gt;Peninsula&gt;Peninsula Five Waterfront Duplexes</v>
      </c>
      <c r="E8239" s="2"/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</row>
    <row r="8240" spans="1:26" ht="16.5" x14ac:dyDescent="0.35">
      <c r="A8240" s="2" t="str">
        <f ca="1">IFERROR(__xludf.DUMMYFUNCTION("""COMPUTED_VALUE"""),"Dubai")</f>
        <v>Dubai</v>
      </c>
      <c r="B8240" s="2" t="str">
        <f ca="1">IFERROR(__xludf.DUMMYFUNCTION("""COMPUTED_VALUE"""),"Elire")</f>
        <v>Elire</v>
      </c>
      <c r="C8240" s="2" t="str">
        <f ca="1">IFERROR(__xludf.DUMMYFUNCTION("""COMPUTED_VALUE"""),"Building")</f>
        <v>Building</v>
      </c>
      <c r="D8240" s="2" t="str">
        <f ca="1">IFERROR(__xludf.DUMMYFUNCTION("""COMPUTED_VALUE"""),"Dubai&gt;Business Bay&gt;Elire")</f>
        <v>Dubai&gt;Business Bay&gt;Elire</v>
      </c>
      <c r="E8240" s="2"/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</row>
    <row r="8241" spans="1:26" ht="16.5" x14ac:dyDescent="0.35">
      <c r="A8241" s="2" t="str">
        <f ca="1">IFERROR(__xludf.DUMMYFUNCTION("""COMPUTED_VALUE"""),"Dubai")</f>
        <v>Dubai</v>
      </c>
      <c r="B8241" s="2" t="str">
        <f ca="1">IFERROR(__xludf.DUMMYFUNCTION("""COMPUTED_VALUE"""),"Mediterranean Villas")</f>
        <v>Mediterranean Villas</v>
      </c>
      <c r="C8241" s="2" t="str">
        <f ca="1">IFERROR(__xludf.DUMMYFUNCTION("""COMPUTED_VALUE"""),"Neighbourhood")</f>
        <v>Neighbourhood</v>
      </c>
      <c r="D8241" s="2" t="str">
        <f ca="1">IFERROR(__xludf.DUMMYFUNCTION("""COMPUTED_VALUE"""),"Dubai&gt;Jumeirah Village Triangle (JVT)&gt;JVT District 5&gt;Mediterranean Villas")</f>
        <v>Dubai&gt;Jumeirah Village Triangle (JVT)&gt;JVT District 5&gt;Mediterranean Villas</v>
      </c>
      <c r="E8241" s="2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</row>
    <row r="8242" spans="1:26" ht="16.5" x14ac:dyDescent="0.35">
      <c r="A8242" s="2" t="str">
        <f ca="1">IFERROR(__xludf.DUMMYFUNCTION("""COMPUTED_VALUE"""),"Dubai")</f>
        <v>Dubai</v>
      </c>
      <c r="B8242" s="2" t="str">
        <f ca="1">IFERROR(__xludf.DUMMYFUNCTION("""COMPUTED_VALUE"""),"Arcadia School")</f>
        <v>Arcadia School</v>
      </c>
      <c r="C8242" s="2" t="str">
        <f ca="1">IFERROR(__xludf.DUMMYFUNCTION("""COMPUTED_VALUE"""),"School")</f>
        <v>School</v>
      </c>
      <c r="D8242" s="2" t="str">
        <f ca="1">IFERROR(__xludf.DUMMYFUNCTION("""COMPUTED_VALUE"""),"Dubai&gt;Jumeirah Village Triangle (JVT)&gt;JVT District 9&gt;Arcadia School")</f>
        <v>Dubai&gt;Jumeirah Village Triangle (JVT)&gt;JVT District 9&gt;Arcadia School</v>
      </c>
      <c r="E8242" s="2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</row>
    <row r="8243" spans="1:26" ht="16.5" x14ac:dyDescent="0.35">
      <c r="A8243" s="2" t="str">
        <f ca="1">IFERROR(__xludf.DUMMYFUNCTION("""COMPUTED_VALUE"""),"Dubai")</f>
        <v>Dubai</v>
      </c>
      <c r="B8243" s="2" t="str">
        <f ca="1">IFERROR(__xludf.DUMMYFUNCTION("""COMPUTED_VALUE"""),"Santorini Residences by Loutraki")</f>
        <v>Santorini Residences by Loutraki</v>
      </c>
      <c r="C8243" s="2" t="str">
        <f ca="1">IFERROR(__xludf.DUMMYFUNCTION("""COMPUTED_VALUE"""),"Building")</f>
        <v>Building</v>
      </c>
      <c r="D8243" s="2" t="str">
        <f ca="1">IFERROR(__xludf.DUMMYFUNCTION("""COMPUTED_VALUE"""),"Dubai&gt;Jumeirah Village Triangle (JVT)&gt;JVT District 2&gt;Santorini Residences by Loutraki")</f>
        <v>Dubai&gt;Jumeirah Village Triangle (JVT)&gt;JVT District 2&gt;Santorini Residences by Loutraki</v>
      </c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</row>
    <row r="8244" spans="1:26" ht="16.5" x14ac:dyDescent="0.35">
      <c r="A8244" s="2" t="str">
        <f ca="1">IFERROR(__xludf.DUMMYFUNCTION("""COMPUTED_VALUE"""),"Dubai")</f>
        <v>Dubai</v>
      </c>
      <c r="B8244" s="2" t="str">
        <f ca="1">IFERROR(__xludf.DUMMYFUNCTION("""COMPUTED_VALUE"""),"District 1C")</f>
        <v>District 1C</v>
      </c>
      <c r="C8244" s="2" t="str">
        <f ca="1">IFERROR(__xludf.DUMMYFUNCTION("""COMPUTED_VALUE"""),"Neighbourhood")</f>
        <v>Neighbourhood</v>
      </c>
      <c r="D8244" s="2" t="str">
        <f ca="1">IFERROR(__xludf.DUMMYFUNCTION("""COMPUTED_VALUE"""),"Dubai&gt;Jumeirah Village Triangle (JVT)&gt;JVT District 1&gt;District 1C")</f>
        <v>Dubai&gt;Jumeirah Village Triangle (JVT)&gt;JVT District 1&gt;District 1C</v>
      </c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</row>
    <row r="8245" spans="1:26" ht="16.5" x14ac:dyDescent="0.35">
      <c r="A8245" s="2" t="str">
        <f ca="1">IFERROR(__xludf.DUMMYFUNCTION("""COMPUTED_VALUE"""),"Dubai")</f>
        <v>Dubai</v>
      </c>
      <c r="B8245" s="2" t="str">
        <f ca="1">IFERROR(__xludf.DUMMYFUNCTION("""COMPUTED_VALUE"""),"Jeera V")</f>
        <v>Jeera V</v>
      </c>
      <c r="C8245" s="2" t="str">
        <f ca="1">IFERROR(__xludf.DUMMYFUNCTION("""COMPUTED_VALUE"""),"Building")</f>
        <v>Building</v>
      </c>
      <c r="D8245" s="2" t="str">
        <f ca="1">IFERROR(__xludf.DUMMYFUNCTION("""COMPUTED_VALUE"""),"Dubai&gt;Jumeirah Village Triangle (JVT)&gt;JVT District 4&gt;Jeera V")</f>
        <v>Dubai&gt;Jumeirah Village Triangle (JVT)&gt;JVT District 4&gt;Jeera V</v>
      </c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</row>
    <row r="8246" spans="1:26" ht="16.5" x14ac:dyDescent="0.35">
      <c r="A8246" s="2" t="str">
        <f ca="1">IFERROR(__xludf.DUMMYFUNCTION("""COMPUTED_VALUE"""),"Dubai")</f>
        <v>Dubai</v>
      </c>
      <c r="B8246" s="2" t="str">
        <f ca="1">IFERROR(__xludf.DUMMYFUNCTION("""COMPUTED_VALUE"""),"Red Square Tower 2")</f>
        <v>Red Square Tower 2</v>
      </c>
      <c r="C8246" s="2" t="str">
        <f ca="1">IFERROR(__xludf.DUMMYFUNCTION("""COMPUTED_VALUE"""),"Building")</f>
        <v>Building</v>
      </c>
      <c r="D8246" s="2" t="str">
        <f ca="1">IFERROR(__xludf.DUMMYFUNCTION("""COMPUTED_VALUE"""),"Dubai&gt;Jumeirah Village Triangle (JVT)&gt;JVT District 3&gt;Red Square&gt;Red Square Tower 2")</f>
        <v>Dubai&gt;Jumeirah Village Triangle (JVT)&gt;JVT District 3&gt;Red Square&gt;Red Square Tower 2</v>
      </c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</row>
    <row r="8247" spans="1:26" ht="16.5" x14ac:dyDescent="0.35">
      <c r="A8247" s="2" t="str">
        <f ca="1">IFERROR(__xludf.DUMMYFUNCTION("""COMPUTED_VALUE"""),"Dubai")</f>
        <v>Dubai</v>
      </c>
      <c r="B8247" s="2" t="str">
        <f ca="1">IFERROR(__xludf.DUMMYFUNCTION("""COMPUTED_VALUE"""),"Al Ramth 51")</f>
        <v>Al Ramth 51</v>
      </c>
      <c r="C8247" s="2" t="str">
        <f ca="1">IFERROR(__xludf.DUMMYFUNCTION("""COMPUTED_VALUE"""),"Building")</f>
        <v>Building</v>
      </c>
      <c r="D8247" s="2" t="str">
        <f ca="1">IFERROR(__xludf.DUMMYFUNCTION("""COMPUTED_VALUE"""),"Dubai&gt;Remraam&gt;Al Ramth&gt;Al Ramth 51")</f>
        <v>Dubai&gt;Remraam&gt;Al Ramth&gt;Al Ramth 51</v>
      </c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</row>
    <row r="8248" spans="1:26" ht="16.5" x14ac:dyDescent="0.35">
      <c r="A8248" s="2" t="str">
        <f ca="1">IFERROR(__xludf.DUMMYFUNCTION("""COMPUTED_VALUE"""),"Dubai")</f>
        <v>Dubai</v>
      </c>
      <c r="B8248" s="2" t="str">
        <f ca="1">IFERROR(__xludf.DUMMYFUNCTION("""COMPUTED_VALUE"""),"Al Thamam 03")</f>
        <v>Al Thamam 03</v>
      </c>
      <c r="C8248" s="2" t="str">
        <f ca="1">IFERROR(__xludf.DUMMYFUNCTION("""COMPUTED_VALUE"""),"Building")</f>
        <v>Building</v>
      </c>
      <c r="D8248" s="2" t="str">
        <f ca="1">IFERROR(__xludf.DUMMYFUNCTION("""COMPUTED_VALUE"""),"Dubai&gt;Remraam&gt;Al Thamam&gt;Al Thamam 03")</f>
        <v>Dubai&gt;Remraam&gt;Al Thamam&gt;Al Thamam 03</v>
      </c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</row>
    <row r="8249" spans="1:26" ht="16.5" x14ac:dyDescent="0.35">
      <c r="A8249" s="2" t="str">
        <f ca="1">IFERROR(__xludf.DUMMYFUNCTION("""COMPUTED_VALUE"""),"Dubai")</f>
        <v>Dubai</v>
      </c>
      <c r="B8249" s="2" t="str">
        <f ca="1">IFERROR(__xludf.DUMMYFUNCTION("""COMPUTED_VALUE"""),"Al Thamam 14")</f>
        <v>Al Thamam 14</v>
      </c>
      <c r="C8249" s="2" t="str">
        <f ca="1">IFERROR(__xludf.DUMMYFUNCTION("""COMPUTED_VALUE"""),"Building")</f>
        <v>Building</v>
      </c>
      <c r="D8249" s="2" t="str">
        <f ca="1">IFERROR(__xludf.DUMMYFUNCTION("""COMPUTED_VALUE"""),"Dubai&gt;Remraam&gt;Al Thamam&gt;Al Thamam 14")</f>
        <v>Dubai&gt;Remraam&gt;Al Thamam&gt;Al Thamam 14</v>
      </c>
      <c r="E8249" s="2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</row>
    <row r="8250" spans="1:26" ht="16.5" x14ac:dyDescent="0.35">
      <c r="A8250" s="2" t="str">
        <f ca="1">IFERROR(__xludf.DUMMYFUNCTION("""COMPUTED_VALUE"""),"Dubai")</f>
        <v>Dubai</v>
      </c>
      <c r="B8250" s="2" t="str">
        <f ca="1">IFERROR(__xludf.DUMMYFUNCTION("""COMPUTED_VALUE"""),"Celestara Residences")</f>
        <v>Celestara Residences</v>
      </c>
      <c r="C8250" s="2" t="str">
        <f ca="1">IFERROR(__xludf.DUMMYFUNCTION("""COMPUTED_VALUE"""),"Building")</f>
        <v>Building</v>
      </c>
      <c r="D8250" s="2" t="str">
        <f ca="1">IFERROR(__xludf.DUMMYFUNCTION("""COMPUTED_VALUE"""),"Dubai&gt;Jumeirah Village Circle (JVC)&gt;JVC District 17&gt;Celestara Residences")</f>
        <v>Dubai&gt;Jumeirah Village Circle (JVC)&gt;JVC District 17&gt;Celestara Residences</v>
      </c>
      <c r="E8250" s="2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</row>
    <row r="8251" spans="1:26" ht="16.5" x14ac:dyDescent="0.35">
      <c r="A8251" s="2" t="str">
        <f ca="1">IFERROR(__xludf.DUMMYFUNCTION("""COMPUTED_VALUE"""),"Dubai")</f>
        <v>Dubai</v>
      </c>
      <c r="B8251" s="2" t="str">
        <f ca="1">IFERROR(__xludf.DUMMYFUNCTION("""COMPUTED_VALUE"""),"Signature Villas XII")</f>
        <v>Signature Villas XII</v>
      </c>
      <c r="C8251" s="2" t="str">
        <f ca="1">IFERROR(__xludf.DUMMYFUNCTION("""COMPUTED_VALUE"""),"Neighbourhood")</f>
        <v>Neighbourhood</v>
      </c>
      <c r="D8251" s="2" t="str">
        <f ca="1">IFERROR(__xludf.DUMMYFUNCTION("""COMPUTED_VALUE"""),"Dubai&gt;Jumeirah Village Circle (JVC)&gt;JVC District 12&gt;Signature Villas XII")</f>
        <v>Dubai&gt;Jumeirah Village Circle (JVC)&gt;JVC District 12&gt;Signature Villas XII</v>
      </c>
      <c r="E8251" s="2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</row>
    <row r="8252" spans="1:26" ht="16.5" x14ac:dyDescent="0.35">
      <c r="A8252" s="2" t="str">
        <f ca="1">IFERROR(__xludf.DUMMYFUNCTION("""COMPUTED_VALUE"""),"Dubai")</f>
        <v>Dubai</v>
      </c>
      <c r="B8252" s="2" t="str">
        <f ca="1">IFERROR(__xludf.DUMMYFUNCTION("""COMPUTED_VALUE"""),"The Orchard Place Tower C")</f>
        <v>The Orchard Place Tower C</v>
      </c>
      <c r="C8252" s="2" t="str">
        <f ca="1">IFERROR(__xludf.DUMMYFUNCTION("""COMPUTED_VALUE"""),"Building")</f>
        <v>Building</v>
      </c>
      <c r="D8252" s="2" t="str">
        <f ca="1">IFERROR(__xludf.DUMMYFUNCTION("""COMPUTED_VALUE"""),"Dubai&gt;Jumeirah Village Circle (JVC)&gt;JVC District 12&gt;The Orchard Place&gt;The Orchard Place Tower C")</f>
        <v>Dubai&gt;Jumeirah Village Circle (JVC)&gt;JVC District 12&gt;The Orchard Place&gt;The Orchard Place Tower C</v>
      </c>
      <c r="E8252" s="2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</row>
    <row r="8253" spans="1:26" ht="16.5" x14ac:dyDescent="0.35">
      <c r="A8253" s="2" t="str">
        <f ca="1">IFERROR(__xludf.DUMMYFUNCTION("""COMPUTED_VALUE"""),"Dubai")</f>
        <v>Dubai</v>
      </c>
      <c r="B8253" s="2" t="str">
        <f ca="1">IFERROR(__xludf.DUMMYFUNCTION("""COMPUTED_VALUE"""),"Majestic Villas")</f>
        <v>Majestic Villas</v>
      </c>
      <c r="C8253" s="2" t="str">
        <f ca="1">IFERROR(__xludf.DUMMYFUNCTION("""COMPUTED_VALUE"""),"Neighbourhood")</f>
        <v>Neighbourhood</v>
      </c>
      <c r="D8253" s="2" t="str">
        <f ca="1">IFERROR(__xludf.DUMMYFUNCTION("""COMPUTED_VALUE"""),"Dubai&gt;Jumeirah Village Circle (JVC)&gt;JVC District 12&gt;Majestic Villas")</f>
        <v>Dubai&gt;Jumeirah Village Circle (JVC)&gt;JVC District 12&gt;Majestic Villas</v>
      </c>
      <c r="E8253" s="2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</row>
    <row r="8254" spans="1:26" ht="16.5" x14ac:dyDescent="0.35">
      <c r="A8254" s="2" t="str">
        <f ca="1">IFERROR(__xludf.DUMMYFUNCTION("""COMPUTED_VALUE"""),"Dubai")</f>
        <v>Dubai</v>
      </c>
      <c r="B8254" s="2" t="str">
        <f ca="1">IFERROR(__xludf.DUMMYFUNCTION("""COMPUTED_VALUE"""),"Al Jaziah Building")</f>
        <v>Al Jaziah Building</v>
      </c>
      <c r="C8254" s="2" t="str">
        <f ca="1">IFERROR(__xludf.DUMMYFUNCTION("""COMPUTED_VALUE"""),"Building")</f>
        <v>Building</v>
      </c>
      <c r="D8254" s="2" t="str">
        <f ca="1">IFERROR(__xludf.DUMMYFUNCTION("""COMPUTED_VALUE"""),"Dubai&gt;Jumeirah Village Circle (JVC)&gt;JVC District 13&gt;Al Jaziah Building")</f>
        <v>Dubai&gt;Jumeirah Village Circle (JVC)&gt;JVC District 13&gt;Al Jaziah Building</v>
      </c>
      <c r="E8254" s="2"/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</row>
    <row r="8255" spans="1:26" ht="16.5" x14ac:dyDescent="0.35">
      <c r="A8255" s="2" t="str">
        <f ca="1">IFERROR(__xludf.DUMMYFUNCTION("""COMPUTED_VALUE"""),"Dubai")</f>
        <v>Dubai</v>
      </c>
      <c r="B8255" s="2" t="str">
        <f ca="1">IFERROR(__xludf.DUMMYFUNCTION("""COMPUTED_VALUE"""),"Levanto By Oro24")</f>
        <v>Levanto By Oro24</v>
      </c>
      <c r="C8255" s="2" t="str">
        <f ca="1">IFERROR(__xludf.DUMMYFUNCTION("""COMPUTED_VALUE"""),"Building")</f>
        <v>Building</v>
      </c>
      <c r="D8255" s="2" t="str">
        <f ca="1">IFERROR(__xludf.DUMMYFUNCTION("""COMPUTED_VALUE"""),"Dubai&gt;Jumeirah Village Circle (JVC)&gt;JVC District 13&gt;Levanto By Oro24")</f>
        <v>Dubai&gt;Jumeirah Village Circle (JVC)&gt;JVC District 13&gt;Levanto By Oro24</v>
      </c>
      <c r="E8255" s="2"/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</row>
    <row r="8256" spans="1:26" ht="16.5" x14ac:dyDescent="0.35">
      <c r="A8256" s="2" t="str">
        <f ca="1">IFERROR(__xludf.DUMMYFUNCTION("""COMPUTED_VALUE"""),"Dubai")</f>
        <v>Dubai</v>
      </c>
      <c r="B8256" s="2" t="str">
        <f ca="1">IFERROR(__xludf.DUMMYFUNCTION("""COMPUTED_VALUE"""),"Sobha Daffodil Wing A")</f>
        <v>Sobha Daffodil Wing A</v>
      </c>
      <c r="C8256" s="2" t="str">
        <f ca="1">IFERROR(__xludf.DUMMYFUNCTION("""COMPUTED_VALUE"""),"Building")</f>
        <v>Building</v>
      </c>
      <c r="D8256" s="2" t="str">
        <f ca="1">IFERROR(__xludf.DUMMYFUNCTION("""COMPUTED_VALUE"""),"Dubai&gt;Jumeirah Village Circle (JVC)&gt;JVC District 13&gt;Sobha Daffodil&gt;Sobha Daffodil Wing A")</f>
        <v>Dubai&gt;Jumeirah Village Circle (JVC)&gt;JVC District 13&gt;Sobha Daffodil&gt;Sobha Daffodil Wing A</v>
      </c>
      <c r="E8256" s="2"/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</row>
    <row r="8257" spans="1:26" ht="16.5" x14ac:dyDescent="0.35">
      <c r="A8257" s="2" t="str">
        <f ca="1">IFERROR(__xludf.DUMMYFUNCTION("""COMPUTED_VALUE"""),"Dubai")</f>
        <v>Dubai</v>
      </c>
      <c r="B8257" s="2" t="str">
        <f ca="1">IFERROR(__xludf.DUMMYFUNCTION("""COMPUTED_VALUE"""),"Bloom Tower C")</f>
        <v>Bloom Tower C</v>
      </c>
      <c r="C8257" s="2" t="str">
        <f ca="1">IFERROR(__xludf.DUMMYFUNCTION("""COMPUTED_VALUE"""),"Building")</f>
        <v>Building</v>
      </c>
      <c r="D8257" s="2" t="str">
        <f ca="1">IFERROR(__xludf.DUMMYFUNCTION("""COMPUTED_VALUE"""),"Dubai&gt;Jumeirah Village Circle (JVC)&gt;JVC District 10&gt;Bloom Towers&gt;Bloom Tower C")</f>
        <v>Dubai&gt;Jumeirah Village Circle (JVC)&gt;JVC District 10&gt;Bloom Towers&gt;Bloom Tower C</v>
      </c>
      <c r="E8257" s="2"/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</row>
    <row r="8258" spans="1:26" ht="16.5" x14ac:dyDescent="0.35">
      <c r="A8258" s="2" t="str">
        <f ca="1">IFERROR(__xludf.DUMMYFUNCTION("""COMPUTED_VALUE"""),"Dubai")</f>
        <v>Dubai</v>
      </c>
      <c r="B8258" s="2" t="str">
        <f ca="1">IFERROR(__xludf.DUMMYFUNCTION("""COMPUTED_VALUE"""),"La Riviera Estates")</f>
        <v>La Riviera Estates</v>
      </c>
      <c r="C8258" s="2" t="str">
        <f ca="1">IFERROR(__xludf.DUMMYFUNCTION("""COMPUTED_VALUE"""),"Cluster")</f>
        <v>Cluster</v>
      </c>
      <c r="D8258" s="2" t="str">
        <f ca="1">IFERROR(__xludf.DUMMYFUNCTION("""COMPUTED_VALUE"""),"Dubai&gt;Jumeirah Village Circle (JVC)&gt;JVC District 10&gt;La Riviera Estates")</f>
        <v>Dubai&gt;Jumeirah Village Circle (JVC)&gt;JVC District 10&gt;La Riviera Estates</v>
      </c>
      <c r="E8258" s="2"/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</row>
    <row r="8259" spans="1:26" ht="16.5" x14ac:dyDescent="0.35">
      <c r="A8259" s="2" t="str">
        <f ca="1">IFERROR(__xludf.DUMMYFUNCTION("""COMPUTED_VALUE"""),"Dubai")</f>
        <v>Dubai</v>
      </c>
      <c r="B8259" s="2" t="str">
        <f ca="1">IFERROR(__xludf.DUMMYFUNCTION("""COMPUTED_VALUE"""),"Binghatti Heights")</f>
        <v>Binghatti Heights</v>
      </c>
      <c r="C8259" s="2" t="str">
        <f ca="1">IFERROR(__xludf.DUMMYFUNCTION("""COMPUTED_VALUE"""),"Building")</f>
        <v>Building</v>
      </c>
      <c r="D8259" s="2" t="str">
        <f ca="1">IFERROR(__xludf.DUMMYFUNCTION("""COMPUTED_VALUE"""),"Dubai&gt;Jumeirah Village Circle (JVC)&gt;JVC District 10&gt;Binghatti Heights")</f>
        <v>Dubai&gt;Jumeirah Village Circle (JVC)&gt;JVC District 10&gt;Binghatti Heights</v>
      </c>
      <c r="E8259" s="2"/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</row>
    <row r="8260" spans="1:26" ht="16.5" x14ac:dyDescent="0.35">
      <c r="A8260" s="2" t="str">
        <f ca="1">IFERROR(__xludf.DUMMYFUNCTION("""COMPUTED_VALUE"""),"Dubai")</f>
        <v>Dubai</v>
      </c>
      <c r="B8260" s="2" t="str">
        <f ca="1">IFERROR(__xludf.DUMMYFUNCTION("""COMPUTED_VALUE"""),"Binghatti Apex")</f>
        <v>Binghatti Apex</v>
      </c>
      <c r="C8260" s="2" t="str">
        <f ca="1">IFERROR(__xludf.DUMMYFUNCTION("""COMPUTED_VALUE"""),"Building")</f>
        <v>Building</v>
      </c>
      <c r="D8260" s="2" t="str">
        <f ca="1">IFERROR(__xludf.DUMMYFUNCTION("""COMPUTED_VALUE"""),"Dubai&gt;Jumeirah Village Circle (JVC)&gt;JVC District 10&gt;Binghatti Apex")</f>
        <v>Dubai&gt;Jumeirah Village Circle (JVC)&gt;JVC District 10&gt;Binghatti Apex</v>
      </c>
      <c r="E8260" s="2"/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</row>
    <row r="8261" spans="1:26" ht="16.5" x14ac:dyDescent="0.35">
      <c r="A8261" s="2" t="str">
        <f ca="1">IFERROR(__xludf.DUMMYFUNCTION("""COMPUTED_VALUE"""),"Dubai")</f>
        <v>Dubai</v>
      </c>
      <c r="B8261" s="2" t="str">
        <f ca="1">IFERROR(__xludf.DUMMYFUNCTION("""COMPUTED_VALUE"""),"Jehaan 1")</f>
        <v>Jehaan 1</v>
      </c>
      <c r="C8261" s="2" t="str">
        <f ca="1">IFERROR(__xludf.DUMMYFUNCTION("""COMPUTED_VALUE"""),"Building")</f>
        <v>Building</v>
      </c>
      <c r="D8261" s="2" t="str">
        <f ca="1">IFERROR(__xludf.DUMMYFUNCTION("""COMPUTED_VALUE"""),"Dubai&gt;Jumeirah Village Circle (JVC)&gt;JVC District 16&gt;Jehaan&gt;Jehaan 1")</f>
        <v>Dubai&gt;Jumeirah Village Circle (JVC)&gt;JVC District 16&gt;Jehaan&gt;Jehaan 1</v>
      </c>
      <c r="E8261" s="2"/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</row>
    <row r="8262" spans="1:26" ht="16.5" x14ac:dyDescent="0.35">
      <c r="A8262" s="2" t="str">
        <f ca="1">IFERROR(__xludf.DUMMYFUNCTION("""COMPUTED_VALUE"""),"Dubai")</f>
        <v>Dubai</v>
      </c>
      <c r="B8262" s="2" t="str">
        <f ca="1">IFERROR(__xludf.DUMMYFUNCTION("""COMPUTED_VALUE"""),"Autumn 1 Block B")</f>
        <v>Autumn 1 Block B</v>
      </c>
      <c r="C8262" s="2" t="str">
        <f ca="1">IFERROR(__xludf.DUMMYFUNCTION("""COMPUTED_VALUE"""),"Building")</f>
        <v>Building</v>
      </c>
      <c r="D8262" s="2" t="str">
        <f ca="1">IFERROR(__xludf.DUMMYFUNCTION("""COMPUTED_VALUE"""),"Dubai&gt;Jumeirah Village Circle (JVC)&gt;JVC District 15&gt;Seasons Community&gt;Autumn&gt;Autumn 1 Block B")</f>
        <v>Dubai&gt;Jumeirah Village Circle (JVC)&gt;JVC District 15&gt;Seasons Community&gt;Autumn&gt;Autumn 1 Block B</v>
      </c>
      <c r="E8262" s="2"/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</row>
    <row r="8263" spans="1:26" ht="16.5" x14ac:dyDescent="0.35">
      <c r="A8263" s="2" t="str">
        <f ca="1">IFERROR(__xludf.DUMMYFUNCTION("""COMPUTED_VALUE"""),"Dubai")</f>
        <v>Dubai</v>
      </c>
      <c r="B8263" s="2" t="str">
        <f ca="1">IFERROR(__xludf.DUMMYFUNCTION("""COMPUTED_VALUE"""),"Indigo Ville 7")</f>
        <v>Indigo Ville 7</v>
      </c>
      <c r="C8263" s="2" t="str">
        <f ca="1">IFERROR(__xludf.DUMMYFUNCTION("""COMPUTED_VALUE"""),"Neighbourhood")</f>
        <v>Neighbourhood</v>
      </c>
      <c r="D8263" s="2" t="str">
        <f ca="1">IFERROR(__xludf.DUMMYFUNCTION("""COMPUTED_VALUE"""),"Dubai&gt;Jumeirah Village Circle (JVC)&gt;JVC District 15&gt;Indigo Ville 7")</f>
        <v>Dubai&gt;Jumeirah Village Circle (JVC)&gt;JVC District 15&gt;Indigo Ville 7</v>
      </c>
      <c r="E8263" s="2"/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</row>
    <row r="8264" spans="1:26" ht="16.5" x14ac:dyDescent="0.35">
      <c r="A8264" s="2" t="str">
        <f ca="1">IFERROR(__xludf.DUMMYFUNCTION("""COMPUTED_VALUE"""),"Dubai")</f>
        <v>Dubai</v>
      </c>
      <c r="B8264" s="2" t="str">
        <f ca="1">IFERROR(__xludf.DUMMYFUNCTION("""COMPUTED_VALUE"""),"Masaar Residence")</f>
        <v>Masaar Residence</v>
      </c>
      <c r="C8264" s="2" t="str">
        <f ca="1">IFERROR(__xludf.DUMMYFUNCTION("""COMPUTED_VALUE"""),"Building")</f>
        <v>Building</v>
      </c>
      <c r="D8264" s="2" t="str">
        <f ca="1">IFERROR(__xludf.DUMMYFUNCTION("""COMPUTED_VALUE"""),"Dubai&gt;Jumeirah Village Circle (JVC)&gt;JVC District 15&gt;Masaar Residence")</f>
        <v>Dubai&gt;Jumeirah Village Circle (JVC)&gt;JVC District 15&gt;Masaar Residence</v>
      </c>
      <c r="E8264" s="2"/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</row>
    <row r="8265" spans="1:26" ht="16.5" x14ac:dyDescent="0.35">
      <c r="A8265" s="2" t="str">
        <f ca="1">IFERROR(__xludf.DUMMYFUNCTION("""COMPUTED_VALUE"""),"Dubai")</f>
        <v>Dubai</v>
      </c>
      <c r="B8265" s="2" t="str">
        <f ca="1">IFERROR(__xludf.DUMMYFUNCTION("""COMPUTED_VALUE"""),"City Apartments")</f>
        <v>City Apartments</v>
      </c>
      <c r="C8265" s="2" t="str">
        <f ca="1">IFERROR(__xludf.DUMMYFUNCTION("""COMPUTED_VALUE"""),"Building")</f>
        <v>Building</v>
      </c>
      <c r="D8265" s="2" t="str">
        <f ca="1">IFERROR(__xludf.DUMMYFUNCTION("""COMPUTED_VALUE"""),"Dubai&gt;Jumeirah Village Circle (JVC)&gt;JVC District 11&gt;City Apartments")</f>
        <v>Dubai&gt;Jumeirah Village Circle (JVC)&gt;JVC District 11&gt;City Apartments</v>
      </c>
      <c r="E8265" s="2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</row>
    <row r="8266" spans="1:26" ht="16.5" x14ac:dyDescent="0.35">
      <c r="A8266" s="2" t="str">
        <f ca="1">IFERROR(__xludf.DUMMYFUNCTION("""COMPUTED_VALUE"""),"Dubai")</f>
        <v>Dubai</v>
      </c>
      <c r="B8266" s="2" t="str">
        <f ca="1">IFERROR(__xludf.DUMMYFUNCTION("""COMPUTED_VALUE"""),"Casa Grande")</f>
        <v>Casa Grande</v>
      </c>
      <c r="C8266" s="2" t="str">
        <f ca="1">IFERROR(__xludf.DUMMYFUNCTION("""COMPUTED_VALUE"""),"Building")</f>
        <v>Building</v>
      </c>
      <c r="D8266" s="2" t="str">
        <f ca="1">IFERROR(__xludf.DUMMYFUNCTION("""COMPUTED_VALUE"""),"Dubai&gt;Jumeirah Village Circle (JVC)&gt;JVC District 11&gt;Casa Grande")</f>
        <v>Dubai&gt;Jumeirah Village Circle (JVC)&gt;JVC District 11&gt;Casa Grande</v>
      </c>
      <c r="E8266" s="2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</row>
    <row r="8267" spans="1:26" ht="16.5" x14ac:dyDescent="0.35">
      <c r="A8267" s="2" t="str">
        <f ca="1">IFERROR(__xludf.DUMMYFUNCTION("""COMPUTED_VALUE"""),"Dubai")</f>
        <v>Dubai</v>
      </c>
      <c r="B8267" s="2" t="str">
        <f ca="1">IFERROR(__xludf.DUMMYFUNCTION("""COMPUTED_VALUE"""),"The Icon Casa 4")</f>
        <v>The Icon Casa 4</v>
      </c>
      <c r="C8267" s="2" t="str">
        <f ca="1">IFERROR(__xludf.DUMMYFUNCTION("""COMPUTED_VALUE"""),"Building")</f>
        <v>Building</v>
      </c>
      <c r="D8267" s="2" t="str">
        <f ca="1">IFERROR(__xludf.DUMMYFUNCTION("""COMPUTED_VALUE"""),"Dubai&gt;Jumeirah Village Circle (JVC)&gt;JVC District 11&gt;The Icon Casa 4")</f>
        <v>Dubai&gt;Jumeirah Village Circle (JVC)&gt;JVC District 11&gt;The Icon Casa 4</v>
      </c>
      <c r="E8267" s="2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</row>
    <row r="8268" spans="1:26" ht="16.5" x14ac:dyDescent="0.35">
      <c r="A8268" s="2" t="str">
        <f ca="1">IFERROR(__xludf.DUMMYFUNCTION("""COMPUTED_VALUE"""),"Dubai")</f>
        <v>Dubai</v>
      </c>
      <c r="B8268" s="2" t="str">
        <f ca="1">IFERROR(__xludf.DUMMYFUNCTION("""COMPUTED_VALUE"""),"Sandoval Park Residence")</f>
        <v>Sandoval Park Residence</v>
      </c>
      <c r="C8268" s="2" t="str">
        <f ca="1">IFERROR(__xludf.DUMMYFUNCTION("""COMPUTED_VALUE"""),"Building")</f>
        <v>Building</v>
      </c>
      <c r="D8268" s="2" t="str">
        <f ca="1">IFERROR(__xludf.DUMMYFUNCTION("""COMPUTED_VALUE"""),"Dubai&gt;Jumeirah Village Circle (JVC)&gt;JVC District 14&gt;Sandoval Park Residence")</f>
        <v>Dubai&gt;Jumeirah Village Circle (JVC)&gt;JVC District 14&gt;Sandoval Park Residence</v>
      </c>
      <c r="E8268" s="2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</row>
    <row r="8269" spans="1:26" ht="16.5" x14ac:dyDescent="0.35">
      <c r="A8269" s="2" t="str">
        <f ca="1">IFERROR(__xludf.DUMMYFUNCTION("""COMPUTED_VALUE"""),"Dubai")</f>
        <v>Dubai</v>
      </c>
      <c r="B8269" s="2" t="str">
        <f ca="1">IFERROR(__xludf.DUMMYFUNCTION("""COMPUTED_VALUE"""),"Miami by Samana")</f>
        <v>Miami by Samana</v>
      </c>
      <c r="C8269" s="2" t="str">
        <f ca="1">IFERROR(__xludf.DUMMYFUNCTION("""COMPUTED_VALUE"""),"Building")</f>
        <v>Building</v>
      </c>
      <c r="D8269" s="2" t="str">
        <f ca="1">IFERROR(__xludf.DUMMYFUNCTION("""COMPUTED_VALUE"""),"Dubai&gt;Jumeirah Village Circle (JVC)&gt;JVC District 14&gt;Miami by Samana")</f>
        <v>Dubai&gt;Jumeirah Village Circle (JVC)&gt;JVC District 14&gt;Miami by Samana</v>
      </c>
      <c r="E8269" s="2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</row>
    <row r="8270" spans="1:26" ht="16.5" x14ac:dyDescent="0.35">
      <c r="A8270" s="2" t="str">
        <f ca="1">IFERROR(__xludf.DUMMYFUNCTION("""COMPUTED_VALUE"""),"Dubai")</f>
        <v>Dubai</v>
      </c>
      <c r="B8270" s="2" t="str">
        <f ca="1">IFERROR(__xludf.DUMMYFUNCTION("""COMPUTED_VALUE"""),"Arenco Villas")</f>
        <v>Arenco Villas</v>
      </c>
      <c r="C8270" s="2" t="str">
        <f ca="1">IFERROR(__xludf.DUMMYFUNCTION("""COMPUTED_VALUE"""),"Neighbourhood")</f>
        <v>Neighbourhood</v>
      </c>
      <c r="D8270" s="2" t="str">
        <f ca="1">IFERROR(__xludf.DUMMYFUNCTION("""COMPUTED_VALUE"""),"Dubai&gt;Jumeirah Village Circle (JVC)&gt;JVC District 14&gt;Arenco Villas")</f>
        <v>Dubai&gt;Jumeirah Village Circle (JVC)&gt;JVC District 14&gt;Arenco Villas</v>
      </c>
      <c r="E8270" s="2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</row>
    <row r="8271" spans="1:26" ht="16.5" x14ac:dyDescent="0.35">
      <c r="A8271" s="2" t="str">
        <f ca="1">IFERROR(__xludf.DUMMYFUNCTION("""COMPUTED_VALUE"""),"Dubai")</f>
        <v>Dubai</v>
      </c>
      <c r="B8271" s="2" t="str">
        <f ca="1">IFERROR(__xludf.DUMMYFUNCTION("""COMPUTED_VALUE"""),"J One Tower")</f>
        <v>J One Tower</v>
      </c>
      <c r="C8271" s="2" t="str">
        <f ca="1">IFERROR(__xludf.DUMMYFUNCTION("""COMPUTED_VALUE"""),"Building")</f>
        <v>Building</v>
      </c>
      <c r="D8271" s="2" t="str">
        <f ca="1">IFERROR(__xludf.DUMMYFUNCTION("""COMPUTED_VALUE"""),"Dubai&gt;Dubai Land Residence Complex&gt;J One Tower")</f>
        <v>Dubai&gt;Dubai Land Residence Complex&gt;J One Tower</v>
      </c>
      <c r="E8271" s="2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</row>
    <row r="8272" spans="1:26" ht="16.5" x14ac:dyDescent="0.35">
      <c r="A8272" s="2" t="str">
        <f ca="1">IFERROR(__xludf.DUMMYFUNCTION("""COMPUTED_VALUE"""),"Dubai")</f>
        <v>Dubai</v>
      </c>
      <c r="B8272" s="2" t="str">
        <f ca="1">IFERROR(__xludf.DUMMYFUNCTION("""COMPUTED_VALUE"""),"Samana Ivy Gardens")</f>
        <v>Samana Ivy Gardens</v>
      </c>
      <c r="C8272" s="2" t="str">
        <f ca="1">IFERROR(__xludf.DUMMYFUNCTION("""COMPUTED_VALUE"""),"Building")</f>
        <v>Building</v>
      </c>
      <c r="D8272" s="2" t="str">
        <f ca="1">IFERROR(__xludf.DUMMYFUNCTION("""COMPUTED_VALUE"""),"Dubai&gt;Dubai Land Residence Complex&gt;Samana Ivy Gardens")</f>
        <v>Dubai&gt;Dubai Land Residence Complex&gt;Samana Ivy Gardens</v>
      </c>
      <c r="E8272" s="2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</row>
    <row r="8273" spans="1:26" ht="16.5" x14ac:dyDescent="0.35">
      <c r="A8273" s="2" t="str">
        <f ca="1">IFERROR(__xludf.DUMMYFUNCTION("""COMPUTED_VALUE"""),"Dubai")</f>
        <v>Dubai</v>
      </c>
      <c r="B8273" s="2" t="str">
        <f ca="1">IFERROR(__xludf.DUMMYFUNCTION("""COMPUTED_VALUE"""),"Skycourts Tower D")</f>
        <v>Skycourts Tower D</v>
      </c>
      <c r="C8273" s="2" t="str">
        <f ca="1">IFERROR(__xludf.DUMMYFUNCTION("""COMPUTED_VALUE"""),"Building")</f>
        <v>Building</v>
      </c>
      <c r="D8273" s="2" t="str">
        <f ca="1">IFERROR(__xludf.DUMMYFUNCTION("""COMPUTED_VALUE"""),"Dubai&gt;Dubai Land Residence Complex&gt;Skycourts Towers&gt;Skycourts Tower D")</f>
        <v>Dubai&gt;Dubai Land Residence Complex&gt;Skycourts Towers&gt;Skycourts Tower D</v>
      </c>
      <c r="E8273" s="2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</row>
    <row r="8274" spans="1:26" ht="16.5" x14ac:dyDescent="0.35">
      <c r="A8274" s="2" t="str">
        <f ca="1">IFERROR(__xludf.DUMMYFUNCTION("""COMPUTED_VALUE"""),"Dubai")</f>
        <v>Dubai</v>
      </c>
      <c r="B8274" s="2" t="str">
        <f ca="1">IFERROR(__xludf.DUMMYFUNCTION("""COMPUTED_VALUE"""),"Marquis Vista")</f>
        <v>Marquis Vista</v>
      </c>
      <c r="C8274" s="2" t="str">
        <f ca="1">IFERROR(__xludf.DUMMYFUNCTION("""COMPUTED_VALUE"""),"Building")</f>
        <v>Building</v>
      </c>
      <c r="D8274" s="2" t="str">
        <f ca="1">IFERROR(__xludf.DUMMYFUNCTION("""COMPUTED_VALUE"""),"Dubai&gt;Dubai Land Residence Complex&gt;Marquis Vista")</f>
        <v>Dubai&gt;Dubai Land Residence Complex&gt;Marquis Vista</v>
      </c>
      <c r="E8274" s="2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</row>
    <row r="8275" spans="1:26" ht="16.5" x14ac:dyDescent="0.35">
      <c r="A8275" s="2" t="str">
        <f ca="1">IFERROR(__xludf.DUMMYFUNCTION("""COMPUTED_VALUE"""),"Dubai")</f>
        <v>Dubai</v>
      </c>
      <c r="B8275" s="2" t="str">
        <f ca="1">IFERROR(__xludf.DUMMYFUNCTION("""COMPUTED_VALUE"""),"Star International School, Mirdif")</f>
        <v>Star International School, Mirdif</v>
      </c>
      <c r="C8275" s="2" t="str">
        <f ca="1">IFERROR(__xludf.DUMMYFUNCTION("""COMPUTED_VALUE"""),"School")</f>
        <v>School</v>
      </c>
      <c r="D8275" s="2" t="str">
        <f ca="1">IFERROR(__xludf.DUMMYFUNCTION("""COMPUTED_VALUE"""),"Dubai&gt;Mirdif&gt;Star International School, Mirdif")</f>
        <v>Dubai&gt;Mirdif&gt;Star International School, Mirdif</v>
      </c>
      <c r="E8275" s="2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</row>
    <row r="8276" spans="1:26" ht="16.5" x14ac:dyDescent="0.35">
      <c r="A8276" s="2" t="str">
        <f ca="1">IFERROR(__xludf.DUMMYFUNCTION("""COMPUTED_VALUE"""),"Dubai")</f>
        <v>Dubai</v>
      </c>
      <c r="B8276" s="2" t="str">
        <f ca="1">IFERROR(__xludf.DUMMYFUNCTION("""COMPUTED_VALUE"""),"Nasayem Avenue Block A")</f>
        <v>Nasayem Avenue Block A</v>
      </c>
      <c r="C8276" s="2" t="str">
        <f ca="1">IFERROR(__xludf.DUMMYFUNCTION("""COMPUTED_VALUE"""),"Building")</f>
        <v>Building</v>
      </c>
      <c r="D8276" s="2" t="str">
        <f ca="1">IFERROR(__xludf.DUMMYFUNCTION("""COMPUTED_VALUE"""),"Dubai&gt;Mirdif&gt;Mirdif Hills&gt;Nasayem Avenue&gt;Nasayem Avenue Block A")</f>
        <v>Dubai&gt;Mirdif&gt;Mirdif Hills&gt;Nasayem Avenue&gt;Nasayem Avenue Block A</v>
      </c>
      <c r="E8276" s="2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</row>
    <row r="8277" spans="1:26" ht="16.5" x14ac:dyDescent="0.35">
      <c r="A8277" s="2" t="str">
        <f ca="1">IFERROR(__xludf.DUMMYFUNCTION("""COMPUTED_VALUE"""),"Dubai")</f>
        <v>Dubai</v>
      </c>
      <c r="B8277" s="2" t="str">
        <f ca="1">IFERROR(__xludf.DUMMYFUNCTION("""COMPUTED_VALUE"""),"PG Avenue")</f>
        <v>PG Avenue</v>
      </c>
      <c r="C8277" s="2" t="str">
        <f ca="1">IFERROR(__xludf.DUMMYFUNCTION("""COMPUTED_VALUE"""),"Building")</f>
        <v>Building</v>
      </c>
      <c r="D8277" s="2" t="str">
        <f ca="1">IFERROR(__xludf.DUMMYFUNCTION("""COMPUTED_VALUE"""),"Dubai&gt;Mirdif&gt;PG Avenue")</f>
        <v>Dubai&gt;Mirdif&gt;PG Avenue</v>
      </c>
      <c r="E8277" s="2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</row>
    <row r="8278" spans="1:26" ht="16.5" x14ac:dyDescent="0.35">
      <c r="A8278" s="2" t="str">
        <f ca="1">IFERROR(__xludf.DUMMYFUNCTION("""COMPUTED_VALUE"""),"Dubai")</f>
        <v>Dubai</v>
      </c>
      <c r="B8278" s="2" t="str">
        <f ca="1">IFERROR(__xludf.DUMMYFUNCTION("""COMPUTED_VALUE"""),"Grammar School Dubai")</f>
        <v>Grammar School Dubai</v>
      </c>
      <c r="C8278" s="2" t="str">
        <f ca="1">IFERROR(__xludf.DUMMYFUNCTION("""COMPUTED_VALUE"""),"School")</f>
        <v>School</v>
      </c>
      <c r="D8278" s="2" t="str">
        <f ca="1">IFERROR(__xludf.DUMMYFUNCTION("""COMPUTED_VALUE"""),"Dubai&gt;Al Garhoud&gt;Grammar School Dubai")</f>
        <v>Dubai&gt;Al Garhoud&gt;Grammar School Dubai</v>
      </c>
      <c r="E8278" s="2"/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</row>
    <row r="8279" spans="1:26" ht="16.5" x14ac:dyDescent="0.35">
      <c r="A8279" s="2" t="str">
        <f ca="1">IFERROR(__xludf.DUMMYFUNCTION("""COMPUTED_VALUE"""),"Dubai")</f>
        <v>Dubai</v>
      </c>
      <c r="B8279" s="2" t="str">
        <f ca="1">IFERROR(__xludf.DUMMYFUNCTION("""COMPUTED_VALUE"""),"Liberty Building")</f>
        <v>Liberty Building</v>
      </c>
      <c r="C8279" s="2" t="str">
        <f ca="1">IFERROR(__xludf.DUMMYFUNCTION("""COMPUTED_VALUE"""),"Building")</f>
        <v>Building</v>
      </c>
      <c r="D8279" s="2" t="str">
        <f ca="1">IFERROR(__xludf.DUMMYFUNCTION("""COMPUTED_VALUE"""),"Dubai&gt;Al Garhoud&gt;Liberty Building")</f>
        <v>Dubai&gt;Al Garhoud&gt;Liberty Building</v>
      </c>
      <c r="E8279" s="2"/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</row>
    <row r="8280" spans="1:26" ht="16.5" x14ac:dyDescent="0.35">
      <c r="A8280" s="2" t="str">
        <f ca="1">IFERROR(__xludf.DUMMYFUNCTION("""COMPUTED_VALUE"""),"Dubai")</f>
        <v>Dubai</v>
      </c>
      <c r="B8280" s="2" t="str">
        <f ca="1">IFERROR(__xludf.DUMMYFUNCTION("""COMPUTED_VALUE"""),"Bin Lootah 17")</f>
        <v>Bin Lootah 17</v>
      </c>
      <c r="C8280" s="2" t="str">
        <f ca="1">IFERROR(__xludf.DUMMYFUNCTION("""COMPUTED_VALUE"""),"Building")</f>
        <v>Building</v>
      </c>
      <c r="D8280" s="2" t="str">
        <f ca="1">IFERROR(__xludf.DUMMYFUNCTION("""COMPUTED_VALUE"""),"Dubai&gt;Al Garhoud&gt;Bin Lootah 17")</f>
        <v>Dubai&gt;Al Garhoud&gt;Bin Lootah 17</v>
      </c>
      <c r="E8280" s="2"/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</row>
    <row r="8281" spans="1:26" ht="16.5" x14ac:dyDescent="0.35">
      <c r="A8281" s="2" t="str">
        <f ca="1">IFERROR(__xludf.DUMMYFUNCTION("""COMPUTED_VALUE"""),"Dubai")</f>
        <v>Dubai</v>
      </c>
      <c r="B8281" s="2" t="str">
        <f ca="1">IFERROR(__xludf.DUMMYFUNCTION("""COMPUTED_VALUE"""),"Cluster 14")</f>
        <v>Cluster 14</v>
      </c>
      <c r="C8281" s="2" t="str">
        <f ca="1">IFERROR(__xludf.DUMMYFUNCTION("""COMPUTED_VALUE"""),"Neighbourhood")</f>
        <v>Neighbourhood</v>
      </c>
      <c r="D8281" s="2" t="str">
        <f ca="1">IFERROR(__xludf.DUMMYFUNCTION("""COMPUTED_VALUE"""),"Dubai&gt;Jumeirah Islands&gt;Cluster 14")</f>
        <v>Dubai&gt;Jumeirah Islands&gt;Cluster 14</v>
      </c>
      <c r="E8281" s="2"/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</row>
    <row r="8282" spans="1:26" ht="16.5" x14ac:dyDescent="0.35">
      <c r="A8282" s="2" t="str">
        <f ca="1">IFERROR(__xludf.DUMMYFUNCTION("""COMPUTED_VALUE"""),"Dubai")</f>
        <v>Dubai</v>
      </c>
      <c r="B8282" s="2" t="str">
        <f ca="1">IFERROR(__xludf.DUMMYFUNCTION("""COMPUTED_VALUE"""),"Cluster 46")</f>
        <v>Cluster 46</v>
      </c>
      <c r="C8282" s="2" t="str">
        <f ca="1">IFERROR(__xludf.DUMMYFUNCTION("""COMPUTED_VALUE"""),"Neighbourhood")</f>
        <v>Neighbourhood</v>
      </c>
      <c r="D8282" s="2" t="str">
        <f ca="1">IFERROR(__xludf.DUMMYFUNCTION("""COMPUTED_VALUE"""),"Dubai&gt;Jumeirah Islands&gt;Cluster 46")</f>
        <v>Dubai&gt;Jumeirah Islands&gt;Cluster 46</v>
      </c>
      <c r="E8282" s="2"/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</row>
    <row r="8283" spans="1:26" ht="16.5" x14ac:dyDescent="0.35">
      <c r="A8283" s="2" t="str">
        <f ca="1">IFERROR(__xludf.DUMMYFUNCTION("""COMPUTED_VALUE"""),"Dubai")</f>
        <v>Dubai</v>
      </c>
      <c r="B8283" s="2" t="str">
        <f ca="1">IFERROR(__xludf.DUMMYFUNCTION("""COMPUTED_VALUE"""),"Garden Apartments East F")</f>
        <v>Garden Apartments East F</v>
      </c>
      <c r="C8283" s="2" t="str">
        <f ca="1">IFERROR(__xludf.DUMMYFUNCTION("""COMPUTED_VALUE"""),"Building")</f>
        <v>Building</v>
      </c>
      <c r="D8283" s="2" t="str">
        <f ca="1">IFERROR(__xludf.DUMMYFUNCTION("""COMPUTED_VALUE"""),"Dubai&gt;Green Community&gt;Garden East Apartments&gt;Garden Apartments East F")</f>
        <v>Dubai&gt;Green Community&gt;Garden East Apartments&gt;Garden Apartments East F</v>
      </c>
      <c r="E8283" s="2"/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</row>
    <row r="8284" spans="1:26" ht="16.5" x14ac:dyDescent="0.35">
      <c r="A8284" s="2" t="str">
        <f ca="1">IFERROR(__xludf.DUMMYFUNCTION("""COMPUTED_VALUE"""),"Dubai")</f>
        <v>Dubai</v>
      </c>
      <c r="B8284" s="2" t="str">
        <f ca="1">IFERROR(__xludf.DUMMYFUNCTION("""COMPUTED_VALUE"""),"Southwest Apartments 4")</f>
        <v>Southwest Apartments 4</v>
      </c>
      <c r="C8284" s="2" t="str">
        <f ca="1">IFERROR(__xludf.DUMMYFUNCTION("""COMPUTED_VALUE"""),"Building")</f>
        <v>Building</v>
      </c>
      <c r="D8284" s="2" t="str">
        <f ca="1">IFERROR(__xludf.DUMMYFUNCTION("""COMPUTED_VALUE"""),"Dubai&gt;Green Community&gt;Green Community West&gt;Southwest Apartments&gt;Southwest Apartments 4")</f>
        <v>Dubai&gt;Green Community&gt;Green Community West&gt;Southwest Apartments&gt;Southwest Apartments 4</v>
      </c>
      <c r="E8284" s="2"/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</row>
    <row r="8285" spans="1:26" ht="16.5" x14ac:dyDescent="0.35">
      <c r="A8285" s="2" t="str">
        <f ca="1">IFERROR(__xludf.DUMMYFUNCTION("""COMPUTED_VALUE"""),"Dubai")</f>
        <v>Dubai</v>
      </c>
      <c r="B8285" s="2" t="str">
        <f ca="1">IFERROR(__xludf.DUMMYFUNCTION("""COMPUTED_VALUE"""),"Elite Sports Residence 5")</f>
        <v>Elite Sports Residence 5</v>
      </c>
      <c r="C8285" s="2" t="str">
        <f ca="1">IFERROR(__xludf.DUMMYFUNCTION("""COMPUTED_VALUE"""),"Building")</f>
        <v>Building</v>
      </c>
      <c r="D8285" s="2" t="str">
        <f ca="1">IFERROR(__xludf.DUMMYFUNCTION("""COMPUTED_VALUE"""),"Dubai&gt;Dubai Sports City&gt;Elite Sports Residence&gt;Elite Sports Residence 5")</f>
        <v>Dubai&gt;Dubai Sports City&gt;Elite Sports Residence&gt;Elite Sports Residence 5</v>
      </c>
      <c r="E8285" s="2"/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</row>
    <row r="8286" spans="1:26" ht="16.5" x14ac:dyDescent="0.35">
      <c r="A8286" s="2" t="str">
        <f ca="1">IFERROR(__xludf.DUMMYFUNCTION("""COMPUTED_VALUE"""),"Dubai")</f>
        <v>Dubai</v>
      </c>
      <c r="B8286" s="2" t="str">
        <f ca="1">IFERROR(__xludf.DUMMYFUNCTION("""COMPUTED_VALUE"""),"Olympic Park 4")</f>
        <v>Olympic Park 4</v>
      </c>
      <c r="C8286" s="2" t="str">
        <f ca="1">IFERROR(__xludf.DUMMYFUNCTION("""COMPUTED_VALUE"""),"Building")</f>
        <v>Building</v>
      </c>
      <c r="D8286" s="2" t="str">
        <f ca="1">IFERROR(__xludf.DUMMYFUNCTION("""COMPUTED_VALUE"""),"Dubai&gt;Dubai Sports City&gt;Olympic Park&gt;Olympic Park 4")</f>
        <v>Dubai&gt;Dubai Sports City&gt;Olympic Park&gt;Olympic Park 4</v>
      </c>
      <c r="E8286" s="2"/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</row>
    <row r="8287" spans="1:26" ht="16.5" x14ac:dyDescent="0.35">
      <c r="A8287" s="2" t="str">
        <f ca="1">IFERROR(__xludf.DUMMYFUNCTION("""COMPUTED_VALUE"""),"Dubai")</f>
        <v>Dubai</v>
      </c>
      <c r="B8287" s="2" t="str">
        <f ca="1">IFERROR(__xludf.DUMMYFUNCTION("""COMPUTED_VALUE"""),"Esmeralda")</f>
        <v>Esmeralda</v>
      </c>
      <c r="C8287" s="2" t="str">
        <f ca="1">IFERROR(__xludf.DUMMYFUNCTION("""COMPUTED_VALUE"""),"Neighbourhood")</f>
        <v>Neighbourhood</v>
      </c>
      <c r="D8287" s="2" t="str">
        <f ca="1">IFERROR(__xludf.DUMMYFUNCTION("""COMPUTED_VALUE"""),"Dubai&gt;Dubai Sports City&gt;Victory Heights&gt;Esmeralda")</f>
        <v>Dubai&gt;Dubai Sports City&gt;Victory Heights&gt;Esmeralda</v>
      </c>
      <c r="E8287" s="2"/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</row>
    <row r="8288" spans="1:26" ht="16.5" x14ac:dyDescent="0.35">
      <c r="A8288" s="2" t="str">
        <f ca="1">IFERROR(__xludf.DUMMYFUNCTION("""COMPUTED_VALUE"""),"Dubai")</f>
        <v>Dubai</v>
      </c>
      <c r="B8288" s="2" t="str">
        <f ca="1">IFERROR(__xludf.DUMMYFUNCTION("""COMPUTED_VALUE"""),"The Place by Prestige One")</f>
        <v>The Place by Prestige One</v>
      </c>
      <c r="C8288" s="2" t="str">
        <f ca="1">IFERROR(__xludf.DUMMYFUNCTION("""COMPUTED_VALUE"""),"Building")</f>
        <v>Building</v>
      </c>
      <c r="D8288" s="2" t="str">
        <f ca="1">IFERROR(__xludf.DUMMYFUNCTION("""COMPUTED_VALUE"""),"Dubai&gt;Dubai Sports City&gt;The Place by Prestige One")</f>
        <v>Dubai&gt;Dubai Sports City&gt;The Place by Prestige One</v>
      </c>
      <c r="E8288" s="2"/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</row>
    <row r="8289" spans="1:26" ht="16.5" x14ac:dyDescent="0.35">
      <c r="A8289" s="2" t="str">
        <f ca="1">IFERROR(__xludf.DUMMYFUNCTION("""COMPUTED_VALUE"""),"Dubai")</f>
        <v>Dubai</v>
      </c>
      <c r="B8289" s="2" t="str">
        <f ca="1">IFERROR(__xludf.DUMMYFUNCTION("""COMPUTED_VALUE"""),"Mattar Plaza")</f>
        <v>Mattar Plaza</v>
      </c>
      <c r="C8289" s="2" t="str">
        <f ca="1">IFERROR(__xludf.DUMMYFUNCTION("""COMPUTED_VALUE"""),"Building")</f>
        <v>Building</v>
      </c>
      <c r="D8289" s="2" t="str">
        <f ca="1">IFERROR(__xludf.DUMMYFUNCTION("""COMPUTED_VALUE"""),"Dubai&gt;Al Nahda (Dubai)&gt;Al Nahda 1&gt;Mattar Plaza")</f>
        <v>Dubai&gt;Al Nahda (Dubai)&gt;Al Nahda 1&gt;Mattar Plaza</v>
      </c>
      <c r="E8289" s="2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</row>
    <row r="8290" spans="1:26" ht="16.5" x14ac:dyDescent="0.35">
      <c r="A8290" s="2" t="str">
        <f ca="1">IFERROR(__xludf.DUMMYFUNCTION("""COMPUTED_VALUE"""),"Dubai")</f>
        <v>Dubai</v>
      </c>
      <c r="B8290" s="2" t="str">
        <f ca="1">IFERROR(__xludf.DUMMYFUNCTION("""COMPUTED_VALUE"""),"Maj. General Juma Aman Obaid 3 Building")</f>
        <v>Maj. General Juma Aman Obaid 3 Building</v>
      </c>
      <c r="C8290" s="2" t="str">
        <f ca="1">IFERROR(__xludf.DUMMYFUNCTION("""COMPUTED_VALUE"""),"Building")</f>
        <v>Building</v>
      </c>
      <c r="D8290" s="2" t="str">
        <f ca="1">IFERROR(__xludf.DUMMYFUNCTION("""COMPUTED_VALUE"""),"Dubai&gt;Al Nahda (Dubai)&gt;Al Nahda 1&gt;Maj. General Juma Aman Obaid 3 Building")</f>
        <v>Dubai&gt;Al Nahda (Dubai)&gt;Al Nahda 1&gt;Maj. General Juma Aman Obaid 3 Building</v>
      </c>
      <c r="E8290" s="2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</row>
    <row r="8291" spans="1:26" ht="16.5" x14ac:dyDescent="0.35">
      <c r="A8291" s="2" t="str">
        <f ca="1">IFERROR(__xludf.DUMMYFUNCTION("""COMPUTED_VALUE"""),"Dubai")</f>
        <v>Dubai</v>
      </c>
      <c r="B8291" s="2" t="str">
        <f ca="1">IFERROR(__xludf.DUMMYFUNCTION("""COMPUTED_VALUE"""),"Hassani Tower 2")</f>
        <v>Hassani Tower 2</v>
      </c>
      <c r="C8291" s="2" t="str">
        <f ca="1">IFERROR(__xludf.DUMMYFUNCTION("""COMPUTED_VALUE"""),"Building")</f>
        <v>Building</v>
      </c>
      <c r="D8291" s="2" t="str">
        <f ca="1">IFERROR(__xludf.DUMMYFUNCTION("""COMPUTED_VALUE"""),"Dubai&gt;Al Nahda (Dubai)&gt;Al Nahda 2&gt;Hassani Tower 2")</f>
        <v>Dubai&gt;Al Nahda (Dubai)&gt;Al Nahda 2&gt;Hassani Tower 2</v>
      </c>
      <c r="E8291" s="2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</row>
    <row r="8292" spans="1:26" ht="16.5" x14ac:dyDescent="0.35">
      <c r="A8292" s="2" t="str">
        <f ca="1">IFERROR(__xludf.DUMMYFUNCTION("""COMPUTED_VALUE"""),"Dubai")</f>
        <v>Dubai</v>
      </c>
      <c r="B8292" s="2" t="str">
        <f ca="1">IFERROR(__xludf.DUMMYFUNCTION("""COMPUTED_VALUE"""),"Emirates Stars Hotel Apartments Dubai")</f>
        <v>Emirates Stars Hotel Apartments Dubai</v>
      </c>
      <c r="C8292" s="2" t="str">
        <f ca="1">IFERROR(__xludf.DUMMYFUNCTION("""COMPUTED_VALUE"""),"Building")</f>
        <v>Building</v>
      </c>
      <c r="D8292" s="2" t="str">
        <f ca="1">IFERROR(__xludf.DUMMYFUNCTION("""COMPUTED_VALUE"""),"Dubai&gt;Al Nahda (Dubai)&gt;Al Nahda 2&gt;Emirates Stars Hotel Apartments Dubai")</f>
        <v>Dubai&gt;Al Nahda (Dubai)&gt;Al Nahda 2&gt;Emirates Stars Hotel Apartments Dubai</v>
      </c>
      <c r="E8292" s="2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</row>
    <row r="8293" spans="1:26" ht="16.5" x14ac:dyDescent="0.35">
      <c r="A8293" s="2" t="str">
        <f ca="1">IFERROR(__xludf.DUMMYFUNCTION("""COMPUTED_VALUE"""),"Dubai")</f>
        <v>Dubai</v>
      </c>
      <c r="B8293" s="2" t="str">
        <f ca="1">IFERROR(__xludf.DUMMYFUNCTION("""COMPUTED_VALUE"""),"Abdulla Abdul Rasool Building")</f>
        <v>Abdulla Abdul Rasool Building</v>
      </c>
      <c r="C8293" s="2" t="str">
        <f ca="1">IFERROR(__xludf.DUMMYFUNCTION("""COMPUTED_VALUE"""),"Building")</f>
        <v>Building</v>
      </c>
      <c r="D8293" s="2" t="str">
        <f ca="1">IFERROR(__xludf.DUMMYFUNCTION("""COMPUTED_VALUE"""),"Dubai&gt;Al Nahda (Dubai)&gt;Al Nahda 2&gt;Abdulla Abdul Rasool Building")</f>
        <v>Dubai&gt;Al Nahda (Dubai)&gt;Al Nahda 2&gt;Abdulla Abdul Rasool Building</v>
      </c>
      <c r="E8293" s="2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</row>
    <row r="8294" spans="1:26" ht="16.5" x14ac:dyDescent="0.35">
      <c r="A8294" s="2" t="str">
        <f ca="1">IFERROR(__xludf.DUMMYFUNCTION("""COMPUTED_VALUE"""),"Dubai")</f>
        <v>Dubai</v>
      </c>
      <c r="B8294" s="2" t="str">
        <f ca="1">IFERROR(__xludf.DUMMYFUNCTION("""COMPUTED_VALUE"""),"Beit Al Khair Society Building")</f>
        <v>Beit Al Khair Society Building</v>
      </c>
      <c r="C8294" s="2" t="str">
        <f ca="1">IFERROR(__xludf.DUMMYFUNCTION("""COMPUTED_VALUE"""),"Building")</f>
        <v>Building</v>
      </c>
      <c r="D8294" s="2" t="str">
        <f ca="1">IFERROR(__xludf.DUMMYFUNCTION("""COMPUTED_VALUE"""),"Dubai&gt;Al Nahda (Dubai)&gt;Al Nahda 2&gt;Beit Al Khair Society Building")</f>
        <v>Dubai&gt;Al Nahda (Dubai)&gt;Al Nahda 2&gt;Beit Al Khair Society Building</v>
      </c>
      <c r="E8294" s="2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</row>
    <row r="8295" spans="1:26" ht="16.5" x14ac:dyDescent="0.35">
      <c r="A8295" s="2" t="str">
        <f ca="1">IFERROR(__xludf.DUMMYFUNCTION("""COMPUTED_VALUE"""),"Dubai")</f>
        <v>Dubai</v>
      </c>
      <c r="B8295" s="2" t="str">
        <f ca="1">IFERROR(__xludf.DUMMYFUNCTION("""COMPUTED_VALUE"""),"Sunrise Living")</f>
        <v>Sunrise Living</v>
      </c>
      <c r="C8295" s="2" t="str">
        <f ca="1">IFERROR(__xludf.DUMMYFUNCTION("""COMPUTED_VALUE"""),"Neighbourhood")</f>
        <v>Neighbourhood</v>
      </c>
      <c r="D8295" s="2" t="str">
        <f ca="1">IFERROR(__xludf.DUMMYFUNCTION("""COMPUTED_VALUE"""),"Dubai&gt;Jumeirah Park&gt;District 9&gt;Sunrise Living")</f>
        <v>Dubai&gt;Jumeirah Park&gt;District 9&gt;Sunrise Living</v>
      </c>
      <c r="E8295" s="2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</row>
    <row r="8296" spans="1:26" ht="16.5" x14ac:dyDescent="0.35">
      <c r="A8296" s="2" t="str">
        <f ca="1">IFERROR(__xludf.DUMMYFUNCTION("""COMPUTED_VALUE"""),"Dubai")</f>
        <v>Dubai</v>
      </c>
      <c r="B8296" s="2" t="str">
        <f ca="1">IFERROR(__xludf.DUMMYFUNCTION("""COMPUTED_VALUE"""),"Lagoon Views 3 Tower A")</f>
        <v>Lagoon Views 3 Tower A</v>
      </c>
      <c r="C8296" s="2" t="str">
        <f ca="1">IFERROR(__xludf.DUMMYFUNCTION("""COMPUTED_VALUE"""),"Building")</f>
        <v>Building</v>
      </c>
      <c r="D8296" s="2" t="str">
        <f ca="1">IFERROR(__xludf.DUMMYFUNCTION("""COMPUTED_VALUE"""),"Dubai&gt;DAMAC Lagoons&gt;Lagoon Views&gt;Lagoon Views 3&gt;Lagoon Views 3 Tower A")</f>
        <v>Dubai&gt;DAMAC Lagoons&gt;Lagoon Views&gt;Lagoon Views 3&gt;Lagoon Views 3 Tower A</v>
      </c>
      <c r="E8296" s="2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</row>
    <row r="8297" spans="1:26" ht="16.5" x14ac:dyDescent="0.35">
      <c r="A8297" s="2" t="str">
        <f ca="1">IFERROR(__xludf.DUMMYFUNCTION("""COMPUTED_VALUE"""),"Dubai")</f>
        <v>Dubai</v>
      </c>
      <c r="B8297" s="2" t="str">
        <f ca="1">IFERROR(__xludf.DUMMYFUNCTION("""COMPUTED_VALUE"""),"Al Kharbash Building 3")</f>
        <v>Al Kharbash Building 3</v>
      </c>
      <c r="C8297" s="2" t="str">
        <f ca="1">IFERROR(__xludf.DUMMYFUNCTION("""COMPUTED_VALUE"""),"Building")</f>
        <v>Building</v>
      </c>
      <c r="D8297" s="2" t="str">
        <f ca="1">IFERROR(__xludf.DUMMYFUNCTION("""COMPUTED_VALUE"""),"Dubai&gt;Liwan 2&gt;Al Kharbash Building 3")</f>
        <v>Dubai&gt;Liwan 2&gt;Al Kharbash Building 3</v>
      </c>
      <c r="E8297" s="2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</row>
    <row r="8298" spans="1:26" ht="16.5" x14ac:dyDescent="0.35">
      <c r="A8298" s="2" t="str">
        <f ca="1">IFERROR(__xludf.DUMMYFUNCTION("""COMPUTED_VALUE"""),"Dubai")</f>
        <v>Dubai</v>
      </c>
      <c r="B8298" s="2" t="str">
        <f ca="1">IFERROR(__xludf.DUMMYFUNCTION("""COMPUTED_VALUE"""),"Rami Park View")</f>
        <v>Rami Park View</v>
      </c>
      <c r="C8298" s="2" t="str">
        <f ca="1">IFERROR(__xludf.DUMMYFUNCTION("""COMPUTED_VALUE"""),"Building")</f>
        <v>Building</v>
      </c>
      <c r="D8298" s="2" t="str">
        <f ca="1">IFERROR(__xludf.DUMMYFUNCTION("""COMPUTED_VALUE"""),"Dubai&gt;Liwan 2&gt;Rami Park View")</f>
        <v>Dubai&gt;Liwan 2&gt;Rami Park View</v>
      </c>
      <c r="E8298" s="2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</row>
    <row r="8299" spans="1:26" ht="16.5" x14ac:dyDescent="0.35">
      <c r="A8299" s="2" t="str">
        <f ca="1">IFERROR(__xludf.DUMMYFUNCTION("""COMPUTED_VALUE"""),"Dubai")</f>
        <v>Dubai</v>
      </c>
      <c r="B8299" s="2" t="str">
        <f ca="1">IFERROR(__xludf.DUMMYFUNCTION("""COMPUTED_VALUE"""),"CEO Building")</f>
        <v>CEO Building</v>
      </c>
      <c r="C8299" s="2" t="str">
        <f ca="1">IFERROR(__xludf.DUMMYFUNCTION("""COMPUTED_VALUE"""),"Building")</f>
        <v>Building</v>
      </c>
      <c r="D8299" s="2" t="str">
        <f ca="1">IFERROR(__xludf.DUMMYFUNCTION("""COMPUTED_VALUE"""),"Dubai&gt;Dubai Investment Park (DIP)&gt;Dubai Investment Park 1&gt;CEO Building")</f>
        <v>Dubai&gt;Dubai Investment Park (DIP)&gt;Dubai Investment Park 1&gt;CEO Building</v>
      </c>
      <c r="E8299" s="2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</row>
    <row r="8300" spans="1:26" ht="16.5" x14ac:dyDescent="0.35">
      <c r="A8300" s="2" t="str">
        <f ca="1">IFERROR(__xludf.DUMMYFUNCTION("""COMPUTED_VALUE"""),"Dubai")</f>
        <v>Dubai</v>
      </c>
      <c r="B8300" s="2" t="str">
        <f ca="1">IFERROR(__xludf.DUMMYFUNCTION("""COMPUTED_VALUE"""),"Dubai Driving Centre Staff Accommodation")</f>
        <v>Dubai Driving Centre Staff Accommodation</v>
      </c>
      <c r="C8300" s="2" t="str">
        <f ca="1">IFERROR(__xludf.DUMMYFUNCTION("""COMPUTED_VALUE"""),"Cluster")</f>
        <v>Cluster</v>
      </c>
      <c r="D8300" s="2" t="str">
        <f ca="1">IFERROR(__xludf.DUMMYFUNCTION("""COMPUTED_VALUE"""),"Dubai&gt;Dubai Investment Park (DIP)&gt;Dubai Investment Park 1&gt;Dubai Driving Centre Staff Accommodation")</f>
        <v>Dubai&gt;Dubai Investment Park (DIP)&gt;Dubai Investment Park 1&gt;Dubai Driving Centre Staff Accommodation</v>
      </c>
      <c r="E8300" s="2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</row>
    <row r="8301" spans="1:26" ht="16.5" x14ac:dyDescent="0.35">
      <c r="A8301" s="2" t="str">
        <f ca="1">IFERROR(__xludf.DUMMYFUNCTION("""COMPUTED_VALUE"""),"Dubai")</f>
        <v>Dubai</v>
      </c>
      <c r="B8301" s="2" t="str">
        <f ca="1">IFERROR(__xludf.DUMMYFUNCTION("""COMPUTED_VALUE"""),"Peony Hotel")</f>
        <v>Peony Hotel</v>
      </c>
      <c r="C8301" s="2" t="str">
        <f ca="1">IFERROR(__xludf.DUMMYFUNCTION("""COMPUTED_VALUE"""),"Building")</f>
        <v>Building</v>
      </c>
      <c r="D8301" s="2" t="str">
        <f ca="1">IFERROR(__xludf.DUMMYFUNCTION("""COMPUTED_VALUE"""),"Dubai&gt;Dubai Investment Park (DIP)&gt;Dubai Investment Park 1&gt;Peony Hotel")</f>
        <v>Dubai&gt;Dubai Investment Park (DIP)&gt;Dubai Investment Park 1&gt;Peony Hotel</v>
      </c>
      <c r="E8301" s="2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</row>
    <row r="8302" spans="1:26" ht="16.5" x14ac:dyDescent="0.35">
      <c r="A8302" s="2" t="str">
        <f ca="1">IFERROR(__xludf.DUMMYFUNCTION("""COMPUTED_VALUE"""),"Dubai")</f>
        <v>Dubai</v>
      </c>
      <c r="B8302" s="2" t="str">
        <f ca="1">IFERROR(__xludf.DUMMYFUNCTION("""COMPUTED_VALUE"""),"Saleh Bin Lahej Building")</f>
        <v>Saleh Bin Lahej Building</v>
      </c>
      <c r="C8302" s="2" t="str">
        <f ca="1">IFERROR(__xludf.DUMMYFUNCTION("""COMPUTED_VALUE"""),"Building")</f>
        <v>Building</v>
      </c>
      <c r="D8302" s="2" t="str">
        <f ca="1">IFERROR(__xludf.DUMMYFUNCTION("""COMPUTED_VALUE"""),"Dubai&gt;Dubai Investment Park (DIP)&gt;Dubai Investment Park 2&gt;Saleh Bin Lahej Building")</f>
        <v>Dubai&gt;Dubai Investment Park (DIP)&gt;Dubai Investment Park 2&gt;Saleh Bin Lahej Building</v>
      </c>
      <c r="E8302" s="2"/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</row>
    <row r="8303" spans="1:26" ht="16.5" x14ac:dyDescent="0.35">
      <c r="A8303" s="2" t="str">
        <f ca="1">IFERROR(__xludf.DUMMYFUNCTION("""COMPUTED_VALUE"""),"Dubai")</f>
        <v>Dubai</v>
      </c>
      <c r="B8303" s="2" t="str">
        <f ca="1">IFERROR(__xludf.DUMMYFUNCTION("""COMPUTED_VALUE"""),"B19")</f>
        <v>B19</v>
      </c>
      <c r="C8303" s="2" t="str">
        <f ca="1">IFERROR(__xludf.DUMMYFUNCTION("""COMPUTED_VALUE"""),"Building")</f>
        <v>Building</v>
      </c>
      <c r="D8303" s="2" t="str">
        <f ca="1">IFERROR(__xludf.DUMMYFUNCTION("""COMPUTED_VALUE"""),"Dubai&gt;Dubai Investment Park (DIP)&gt;Dubai Investment Park 2&gt;Dunes Village&gt;B19")</f>
        <v>Dubai&gt;Dubai Investment Park (DIP)&gt;Dubai Investment Park 2&gt;Dunes Village&gt;B19</v>
      </c>
      <c r="E8303" s="2"/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</row>
    <row r="8304" spans="1:26" ht="16.5" x14ac:dyDescent="0.35">
      <c r="A8304" s="2" t="str">
        <f ca="1">IFERROR(__xludf.DUMMYFUNCTION("""COMPUTED_VALUE"""),"Dubai")</f>
        <v>Dubai</v>
      </c>
      <c r="B8304" s="2" t="str">
        <f ca="1">IFERROR(__xludf.DUMMYFUNCTION("""COMPUTED_VALUE"""),"Olivia Residences")</f>
        <v>Olivia Residences</v>
      </c>
      <c r="C8304" s="2" t="str">
        <f ca="1">IFERROR(__xludf.DUMMYFUNCTION("""COMPUTED_VALUE"""),"Building")</f>
        <v>Building</v>
      </c>
      <c r="D8304" s="2" t="str">
        <f ca="1">IFERROR(__xludf.DUMMYFUNCTION("""COMPUTED_VALUE"""),"Dubai&gt;Dubai Investment Park (DIP)&gt;Olivia Residences")</f>
        <v>Dubai&gt;Dubai Investment Park (DIP)&gt;Olivia Residences</v>
      </c>
      <c r="E8304" s="2"/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</row>
    <row r="8305" spans="1:26" ht="16.5" x14ac:dyDescent="0.35">
      <c r="A8305" s="2" t="str">
        <f ca="1">IFERROR(__xludf.DUMMYFUNCTION("""COMPUTED_VALUE"""),"Dubai")</f>
        <v>Dubai</v>
      </c>
      <c r="B8305" s="2" t="str">
        <f ca="1">IFERROR(__xludf.DUMMYFUNCTION("""COMPUTED_VALUE"""),"Chevalia Estate 2")</f>
        <v>Chevalia Estate 2</v>
      </c>
      <c r="C8305" s="2" t="str">
        <f ca="1">IFERROR(__xludf.DUMMYFUNCTION("""COMPUTED_VALUE"""),"Neighbourhood")</f>
        <v>Neighbourhood</v>
      </c>
      <c r="D8305" s="2" t="str">
        <f ca="1">IFERROR(__xludf.DUMMYFUNCTION("""COMPUTED_VALUE"""),"Dubai&gt;Dubai Investment Park (DIP)&gt;Grand Polo Club &amp; Resort&gt;Chevalia Estate 2")</f>
        <v>Dubai&gt;Dubai Investment Park (DIP)&gt;Grand Polo Club &amp; Resort&gt;Chevalia Estate 2</v>
      </c>
      <c r="E8305" s="2"/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</row>
    <row r="8306" spans="1:26" ht="16.5" x14ac:dyDescent="0.35">
      <c r="A8306" s="2" t="str">
        <f ca="1">IFERROR(__xludf.DUMMYFUNCTION("""COMPUTED_VALUE"""),"Dubai")</f>
        <v>Dubai</v>
      </c>
      <c r="B8306" s="2" t="str">
        <f ca="1">IFERROR(__xludf.DUMMYFUNCTION("""COMPUTED_VALUE"""),"Forum Residences")</f>
        <v>Forum Residences</v>
      </c>
      <c r="C8306" s="2" t="str">
        <f ca="1">IFERROR(__xludf.DUMMYFUNCTION("""COMPUTED_VALUE"""),"Building")</f>
        <v>Building</v>
      </c>
      <c r="D8306" s="2" t="str">
        <f ca="1">IFERROR(__xludf.DUMMYFUNCTION("""COMPUTED_VALUE"""),"Dubai&gt;Majan&gt;Forum Residences")</f>
        <v>Dubai&gt;Majan&gt;Forum Residences</v>
      </c>
      <c r="E8306" s="2"/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</row>
    <row r="8307" spans="1:26" ht="16.5" x14ac:dyDescent="0.35">
      <c r="A8307" s="2" t="str">
        <f ca="1">IFERROR(__xludf.DUMMYFUNCTION("""COMPUTED_VALUE"""),"Dubai")</f>
        <v>Dubai</v>
      </c>
      <c r="B8307" s="2" t="str">
        <f ca="1">IFERROR(__xludf.DUMMYFUNCTION("""COMPUTED_VALUE"""),"Iliyaa 5")</f>
        <v>Iliyaa 5</v>
      </c>
      <c r="C8307" s="2" t="str">
        <f ca="1">IFERROR(__xludf.DUMMYFUNCTION("""COMPUTED_VALUE"""),"Building")</f>
        <v>Building</v>
      </c>
      <c r="D8307" s="2" t="str">
        <f ca="1">IFERROR(__xludf.DUMMYFUNCTION("""COMPUTED_VALUE"""),"Dubai&gt;Majan&gt;Iliyaa 5")</f>
        <v>Dubai&gt;Majan&gt;Iliyaa 5</v>
      </c>
      <c r="E8307" s="2"/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</row>
    <row r="8308" spans="1:26" ht="16.5" x14ac:dyDescent="0.35">
      <c r="A8308" s="2" t="str">
        <f ca="1">IFERROR(__xludf.DUMMYFUNCTION("""COMPUTED_VALUE"""),"Dubai")</f>
        <v>Dubai</v>
      </c>
      <c r="B8308" s="2" t="str">
        <f ca="1">IFERROR(__xludf.DUMMYFUNCTION("""COMPUTED_VALUE"""),"The Oasis by Emaar")</f>
        <v>The Oasis by Emaar</v>
      </c>
      <c r="C8308" s="2" t="str">
        <f ca="1">IFERROR(__xludf.DUMMYFUNCTION("""COMPUTED_VALUE"""),"Neighbourhood")</f>
        <v>Neighbourhood</v>
      </c>
      <c r="D8308" s="2" t="str">
        <f ca="1">IFERROR(__xludf.DUMMYFUNCTION("""COMPUTED_VALUE"""),"Dubai&gt;The Oasis by Emaar")</f>
        <v>Dubai&gt;The Oasis by Emaar</v>
      </c>
      <c r="E8308" s="2"/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</row>
    <row r="8309" spans="1:26" ht="16.5" x14ac:dyDescent="0.35">
      <c r="A8309" s="2" t="str">
        <f ca="1">IFERROR(__xludf.DUMMYFUNCTION("""COMPUTED_VALUE"""),"Dubai")</f>
        <v>Dubai</v>
      </c>
      <c r="B8309" s="2" t="str">
        <f ca="1">IFERROR(__xludf.DUMMYFUNCTION("""COMPUTED_VALUE"""),"Skyvue Solair")</f>
        <v>Skyvue Solair</v>
      </c>
      <c r="C8309" s="2" t="str">
        <f ca="1">IFERROR(__xludf.DUMMYFUNCTION("""COMPUTED_VALUE"""),"Building")</f>
        <v>Building</v>
      </c>
      <c r="D8309" s="2" t="str">
        <f ca="1">IFERROR(__xludf.DUMMYFUNCTION("""COMPUTED_VALUE"""),"Dubai&gt;Sobha Hartland 2&gt;Skyvue&gt;Skyvue Solair")</f>
        <v>Dubai&gt;Sobha Hartland 2&gt;Skyvue&gt;Skyvue Solair</v>
      </c>
      <c r="E8309" s="2"/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</row>
    <row r="8310" spans="1:26" ht="16.5" x14ac:dyDescent="0.35">
      <c r="A8310" s="2" t="str">
        <f ca="1">IFERROR(__xludf.DUMMYFUNCTION("""COMPUTED_VALUE"""),"Dubai")</f>
        <v>Dubai</v>
      </c>
      <c r="B8310" s="2" t="str">
        <f ca="1">IFERROR(__xludf.DUMMYFUNCTION("""COMPUTED_VALUE"""),"BS-01")</f>
        <v>BS-01</v>
      </c>
      <c r="C8310" s="2" t="str">
        <f ca="1">IFERROR(__xludf.DUMMYFUNCTION("""COMPUTED_VALUE"""),"Building")</f>
        <v>Building</v>
      </c>
      <c r="D8310" s="2" t="str">
        <f ca="1">IFERROR(__xludf.DUMMYFUNCTION("""COMPUTED_VALUE"""),"Dubai&gt;Dubai Studio City&gt;Boutique Studios&gt;BS-01")</f>
        <v>Dubai&gt;Dubai Studio City&gt;Boutique Studios&gt;BS-01</v>
      </c>
      <c r="E8310" s="2"/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</row>
    <row r="8311" spans="1:26" ht="16.5" x14ac:dyDescent="0.35">
      <c r="A8311" s="2" t="str">
        <f ca="1">IFERROR(__xludf.DUMMYFUNCTION("""COMPUTED_VALUE"""),"Dubai")</f>
        <v>Dubai</v>
      </c>
      <c r="B8311" s="2" t="str">
        <f ca="1">IFERROR(__xludf.DUMMYFUNCTION("""COMPUTED_VALUE"""),"Hadaeq Sheikh Mohammed Bin Rashid")</f>
        <v>Hadaeq Sheikh Mohammed Bin Rashid</v>
      </c>
      <c r="C8311" s="2" t="str">
        <f ca="1">IFERROR(__xludf.DUMMYFUNCTION("""COMPUTED_VALUE"""),"Neighbourhood")</f>
        <v>Neighbourhood</v>
      </c>
      <c r="D8311" s="2" t="str">
        <f ca="1">IFERROR(__xludf.DUMMYFUNCTION("""COMPUTED_VALUE"""),"Dubai&gt;Hadaeq Sheikh Mohammed Bin Rashid")</f>
        <v>Dubai&gt;Hadaeq Sheikh Mohammed Bin Rashid</v>
      </c>
      <c r="E8311" s="2"/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</row>
    <row r="8312" spans="1:26" ht="16.5" x14ac:dyDescent="0.35">
      <c r="A8312" s="2" t="str">
        <f ca="1">IFERROR(__xludf.DUMMYFUNCTION("""COMPUTED_VALUE"""),"Dubai")</f>
        <v>Dubai</v>
      </c>
      <c r="B8312" s="2" t="str">
        <f ca="1">IFERROR(__xludf.DUMMYFUNCTION("""COMPUTED_VALUE"""),"Sobha Creek Vistas Tower A")</f>
        <v>Sobha Creek Vistas Tower A</v>
      </c>
      <c r="C8312" s="2" t="str">
        <f ca="1">IFERROR(__xludf.DUMMYFUNCTION("""COMPUTED_VALUE"""),"Building")</f>
        <v>Building</v>
      </c>
      <c r="D8312" s="2" t="str">
        <f ca="1">IFERROR(__xludf.DUMMYFUNCTION("""COMPUTED_VALUE"""),"Dubai&gt;Sobha Hartland&gt;Sobha Creek Vistas&gt;Sobha Creek Vistas Tower A")</f>
        <v>Dubai&gt;Sobha Hartland&gt;Sobha Creek Vistas&gt;Sobha Creek Vistas Tower A</v>
      </c>
      <c r="E8312" s="2"/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</row>
    <row r="8313" spans="1:26" ht="16.5" x14ac:dyDescent="0.35">
      <c r="A8313" s="2" t="str">
        <f ca="1">IFERROR(__xludf.DUMMYFUNCTION("""COMPUTED_VALUE"""),"Dubai")</f>
        <v>Dubai</v>
      </c>
      <c r="B8313" s="2" t="str">
        <f ca="1">IFERROR(__xludf.DUMMYFUNCTION("""COMPUTED_VALUE"""),"Al Layan")</f>
        <v>Al Layan</v>
      </c>
      <c r="C8313" s="2" t="str">
        <f ca="1">IFERROR(__xludf.DUMMYFUNCTION("""COMPUTED_VALUE"""),"Neighbourhood")</f>
        <v>Neighbourhood</v>
      </c>
      <c r="D8313" s="2" t="str">
        <f ca="1">IFERROR(__xludf.DUMMYFUNCTION("""COMPUTED_VALUE"""),"Dubai&gt;Al Layan")</f>
        <v>Dubai&gt;Al Layan</v>
      </c>
      <c r="E8313" s="2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</row>
    <row r="8314" spans="1:26" ht="16.5" x14ac:dyDescent="0.35">
      <c r="A8314" s="2" t="str">
        <f ca="1">IFERROR(__xludf.DUMMYFUNCTION("""COMPUTED_VALUE"""),"Dubai")</f>
        <v>Dubai</v>
      </c>
      <c r="B8314" s="2" t="str">
        <f ca="1">IFERROR(__xludf.DUMMYFUNCTION("""COMPUTED_VALUE"""),"Building 4D")</f>
        <v>Building 4D</v>
      </c>
      <c r="C8314" s="2" t="str">
        <f ca="1">IFERROR(__xludf.DUMMYFUNCTION("""COMPUTED_VALUE"""),"Building")</f>
        <v>Building</v>
      </c>
      <c r="D8314" s="2" t="str">
        <f ca="1">IFERROR(__xludf.DUMMYFUNCTION("""COMPUTED_VALUE"""),"Dubai&gt;Expo City&gt;Expo Village&gt;Residences 4&gt;Building 4D")</f>
        <v>Dubai&gt;Expo City&gt;Expo Village&gt;Residences 4&gt;Building 4D</v>
      </c>
      <c r="E8314" s="2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</row>
    <row r="8315" spans="1:26" ht="16.5" x14ac:dyDescent="0.35">
      <c r="A8315" s="2" t="str">
        <f ca="1">IFERROR(__xludf.DUMMYFUNCTION("""COMPUTED_VALUE"""),"Dubai")</f>
        <v>Dubai</v>
      </c>
      <c r="B8315" s="2" t="str">
        <f ca="1">IFERROR(__xludf.DUMMYFUNCTION("""COMPUTED_VALUE"""),"The Floating Venice")</f>
        <v>The Floating Venice</v>
      </c>
      <c r="C8315" s="2" t="str">
        <f ca="1">IFERROR(__xludf.DUMMYFUNCTION("""COMPUTED_VALUE"""),"Building")</f>
        <v>Building</v>
      </c>
      <c r="D8315" s="2" t="str">
        <f ca="1">IFERROR(__xludf.DUMMYFUNCTION("""COMPUTED_VALUE"""),"Dubai&gt;The World Islands&gt;The Heart of Europe&gt;The Floating Venice")</f>
        <v>Dubai&gt;The World Islands&gt;The Heart of Europe&gt;The Floating Venice</v>
      </c>
      <c r="E8315" s="2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</row>
    <row r="8316" spans="1:26" ht="16.5" x14ac:dyDescent="0.35">
      <c r="A8316" s="2" t="str">
        <f ca="1">IFERROR(__xludf.DUMMYFUNCTION("""COMPUTED_VALUE"""),"Dubai")</f>
        <v>Dubai</v>
      </c>
      <c r="B8316" s="2" t="str">
        <f ca="1">IFERROR(__xludf.DUMMYFUNCTION("""COMPUTED_VALUE"""),"Serenity")</f>
        <v>Serenity</v>
      </c>
      <c r="C8316" s="2" t="str">
        <f ca="1">IFERROR(__xludf.DUMMYFUNCTION("""COMPUTED_VALUE"""),"Neighbourhood")</f>
        <v>Neighbourhood</v>
      </c>
      <c r="D8316" s="2" t="str">
        <f ca="1">IFERROR(__xludf.DUMMYFUNCTION("""COMPUTED_VALUE"""),"Dubai&gt;Haven by Aldar&gt;Serenity")</f>
        <v>Dubai&gt;Haven by Aldar&gt;Serenity</v>
      </c>
      <c r="E8316" s="2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</row>
    <row r="8317" spans="1:26" ht="16.5" x14ac:dyDescent="0.35">
      <c r="A8317" s="2" t="str">
        <f ca="1">IFERROR(__xludf.DUMMYFUNCTION("""COMPUTED_VALUE"""),"Dubai")</f>
        <v>Dubai</v>
      </c>
      <c r="B8317" s="2" t="str">
        <f ca="1">IFERROR(__xludf.DUMMYFUNCTION("""COMPUTED_VALUE"""),"Diagon")</f>
        <v>Diagon</v>
      </c>
      <c r="C8317" s="2" t="str">
        <f ca="1">IFERROR(__xludf.DUMMYFUNCTION("""COMPUTED_VALUE"""),"Neighbourhood")</f>
        <v>Neighbourhood</v>
      </c>
      <c r="D8317" s="2" t="str">
        <f ca="1">IFERROR(__xludf.DUMMYFUNCTION("""COMPUTED_VALUE"""),"Dubai&gt;Athlon by Aldar&gt;Diagon")</f>
        <v>Dubai&gt;Athlon by Aldar&gt;Diagon</v>
      </c>
      <c r="E8317" s="2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</row>
    <row r="8318" spans="1:26" ht="16.5" x14ac:dyDescent="0.35">
      <c r="A8318" s="2" t="str">
        <f ca="1">IFERROR(__xludf.DUMMYFUNCTION("""COMPUTED_VALUE"""),"Dubai")</f>
        <v>Dubai</v>
      </c>
      <c r="B8318" s="2" t="str">
        <f ca="1">IFERROR(__xludf.DUMMYFUNCTION("""COMPUTED_VALUE"""),"Cilia Building 5")</f>
        <v>Cilia Building 5</v>
      </c>
      <c r="C8318" s="2" t="str">
        <f ca="1">IFERROR(__xludf.DUMMYFUNCTION("""COMPUTED_VALUE"""),"Building")</f>
        <v>Building</v>
      </c>
      <c r="D8318" s="2" t="str">
        <f ca="1">IFERROR(__xludf.DUMMYFUNCTION("""COMPUTED_VALUE"""),"Dubai&gt;Ghaf Woods&gt;Cilia&gt;Cilia Building 5")</f>
        <v>Dubai&gt;Ghaf Woods&gt;Cilia&gt;Cilia Building 5</v>
      </c>
      <c r="E8318" s="2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</row>
    <row r="8319" spans="1:26" ht="16.5" x14ac:dyDescent="0.35">
      <c r="A8319" s="2" t="str">
        <f ca="1">IFERROR(__xludf.DUMMYFUNCTION("""COMPUTED_VALUE"""),"Dubai")</f>
        <v>Dubai</v>
      </c>
      <c r="B8319" s="2" t="str">
        <f ca="1">IFERROR(__xludf.DUMMYFUNCTION("""COMPUTED_VALUE"""),"Bali 1")</f>
        <v>Bali 1</v>
      </c>
      <c r="C8319" s="2" t="str">
        <f ca="1">IFERROR(__xludf.DUMMYFUNCTION("""COMPUTED_VALUE"""),"Neighbourhood")</f>
        <v>Neighbourhood</v>
      </c>
      <c r="D8319" s="2" t="str">
        <f ca="1">IFERROR(__xludf.DUMMYFUNCTION("""COMPUTED_VALUE"""),"Dubai&gt;DAMAC Islands&gt;Bali 1")</f>
        <v>Dubai&gt;DAMAC Islands&gt;Bali 1</v>
      </c>
      <c r="E8319" s="2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</row>
    <row r="8320" spans="1:26" ht="16.5" x14ac:dyDescent="0.35">
      <c r="A8320" s="2" t="str">
        <f ca="1">IFERROR(__xludf.DUMMYFUNCTION("""COMPUTED_VALUE"""),"Dubai")</f>
        <v>Dubai</v>
      </c>
      <c r="B8320" s="2" t="str">
        <f ca="1">IFERROR(__xludf.DUMMYFUNCTION("""COMPUTED_VALUE"""),"The Address Residences Jumeirah Resort and Spa")</f>
        <v>The Address Residences Jumeirah Resort and Spa</v>
      </c>
      <c r="C8320" s="2" t="str">
        <f ca="1">IFERROR(__xludf.DUMMYFUNCTION("""COMPUTED_VALUE"""),"Cluster")</f>
        <v>Cluster</v>
      </c>
      <c r="D8320" s="2" t="str">
        <f ca="1">IFERROR(__xludf.DUMMYFUNCTION("""COMPUTED_VALUE"""),"Dubai&gt;Jumeirah Beach Residence (JBR)&gt;The Address Residences Jumeirah Resort and Spa")</f>
        <v>Dubai&gt;Jumeirah Beach Residence (JBR)&gt;The Address Residences Jumeirah Resort and Spa</v>
      </c>
      <c r="E8320" s="2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</row>
    <row r="8321" spans="1:26" ht="16.5" x14ac:dyDescent="0.35">
      <c r="A8321" s="2" t="str">
        <f ca="1">IFERROR(__xludf.DUMMYFUNCTION("""COMPUTED_VALUE"""),"Dubai")</f>
        <v>Dubai</v>
      </c>
      <c r="B8321" s="2" t="str">
        <f ca="1">IFERROR(__xludf.DUMMYFUNCTION("""COMPUTED_VALUE"""),"Bahar 5")</f>
        <v>Bahar 5</v>
      </c>
      <c r="C8321" s="2" t="str">
        <f ca="1">IFERROR(__xludf.DUMMYFUNCTION("""COMPUTED_VALUE"""),"Building")</f>
        <v>Building</v>
      </c>
      <c r="D8321" s="2" t="str">
        <f ca="1">IFERROR(__xludf.DUMMYFUNCTION("""COMPUTED_VALUE"""),"Dubai&gt;Jumeirah Beach Residence (JBR)&gt;Bahar&gt;Bahar 5")</f>
        <v>Dubai&gt;Jumeirah Beach Residence (JBR)&gt;Bahar&gt;Bahar 5</v>
      </c>
      <c r="E8321" s="2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</row>
    <row r="8322" spans="1:26" ht="16.5" x14ac:dyDescent="0.35">
      <c r="A8322" s="2" t="str">
        <f ca="1">IFERROR(__xludf.DUMMYFUNCTION("""COMPUTED_VALUE"""),"Dubai")</f>
        <v>Dubai</v>
      </c>
      <c r="B8322" s="2" t="str">
        <f ca="1">IFERROR(__xludf.DUMMYFUNCTION("""COMPUTED_VALUE"""),"Al Vista")</f>
        <v>Al Vista</v>
      </c>
      <c r="C8322" s="2" t="str">
        <f ca="1">IFERROR(__xludf.DUMMYFUNCTION("""COMPUTED_VALUE"""),"Cluster")</f>
        <v>Cluster</v>
      </c>
      <c r="D8322" s="2" t="str">
        <f ca="1">IFERROR(__xludf.DUMMYFUNCTION("""COMPUTED_VALUE"""),"Dubai&gt;Meydan Horizon&gt;Al Vista")</f>
        <v>Dubai&gt;Meydan Horizon&gt;Al Vista</v>
      </c>
      <c r="E8322" s="2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</row>
    <row r="8323" spans="1:26" ht="16.5" x14ac:dyDescent="0.35">
      <c r="A8323" s="2" t="str">
        <f ca="1">IFERROR(__xludf.DUMMYFUNCTION("""COMPUTED_VALUE"""),"Dubai")</f>
        <v>Dubai</v>
      </c>
      <c r="B8323" s="2" t="str">
        <f ca="1">IFERROR(__xludf.DUMMYFUNCTION("""COMPUTED_VALUE"""),"Block G")</f>
        <v>Block G</v>
      </c>
      <c r="C8323" s="2" t="str">
        <f ca="1">IFERROR(__xludf.DUMMYFUNCTION("""COMPUTED_VALUE"""),"Neighbourhood")</f>
        <v>Neighbourhood</v>
      </c>
      <c r="D8323" s="2" t="str">
        <f ca="1">IFERROR(__xludf.DUMMYFUNCTION("""COMPUTED_VALUE"""),"Dubai&gt;Al Wasl&gt;Dar Wasl&gt;Block G")</f>
        <v>Dubai&gt;Al Wasl&gt;Dar Wasl&gt;Block G</v>
      </c>
      <c r="E8323" s="2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</row>
    <row r="8324" spans="1:26" ht="16.5" x14ac:dyDescent="0.35">
      <c r="A8324" s="2" t="str">
        <f ca="1">IFERROR(__xludf.DUMMYFUNCTION("""COMPUTED_VALUE"""),"Dubai")</f>
        <v>Dubai</v>
      </c>
      <c r="B8324" s="2" t="str">
        <f ca="1">IFERROR(__xludf.DUMMYFUNCTION("""COMPUTED_VALUE"""),"Celadon 3")</f>
        <v>Celadon 3</v>
      </c>
      <c r="C8324" s="2" t="str">
        <f ca="1">IFERROR(__xludf.DUMMYFUNCTION("""COMPUTED_VALUE"""),"Building")</f>
        <v>Building</v>
      </c>
      <c r="D8324" s="2" t="str">
        <f ca="1">IFERROR(__xludf.DUMMYFUNCTION("""COMPUTED_VALUE"""),"Dubai&gt;Al Wasl&gt;City Walk&gt;Central Park&gt;Celadon&gt;Celadon 3")</f>
        <v>Dubai&gt;Al Wasl&gt;City Walk&gt;Central Park&gt;Celadon&gt;Celadon 3</v>
      </c>
      <c r="E8324" s="2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</row>
    <row r="8325" spans="1:26" ht="16.5" x14ac:dyDescent="0.35">
      <c r="A8325" s="2" t="str">
        <f ca="1">IFERROR(__xludf.DUMMYFUNCTION("""COMPUTED_VALUE"""),"Dubai")</f>
        <v>Dubai</v>
      </c>
      <c r="B8325" s="2" t="str">
        <f ca="1">IFERROR(__xludf.DUMMYFUNCTION("""COMPUTED_VALUE"""),"City Walk Crestlane 1 Building A")</f>
        <v>City Walk Crestlane 1 Building A</v>
      </c>
      <c r="C8325" s="2" t="str">
        <f ca="1">IFERROR(__xludf.DUMMYFUNCTION("""COMPUTED_VALUE"""),"Building")</f>
        <v>Building</v>
      </c>
      <c r="D8325" s="2" t="str">
        <f ca="1">IFERROR(__xludf.DUMMYFUNCTION("""COMPUTED_VALUE"""),"Dubai&gt;Al Wasl&gt;City Walk&gt;City Walk Crestlane 1&gt;City Walk Crestlane 1 Building A")</f>
        <v>Dubai&gt;Al Wasl&gt;City Walk&gt;City Walk Crestlane 1&gt;City Walk Crestlane 1 Building A</v>
      </c>
      <c r="E8325" s="2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</row>
    <row r="8326" spans="1:26" ht="16.5" x14ac:dyDescent="0.35">
      <c r="A8326" s="2" t="str">
        <f ca="1">IFERROR(__xludf.DUMMYFUNCTION("""COMPUTED_VALUE"""),"Dubai")</f>
        <v>Dubai</v>
      </c>
      <c r="B8326" s="2" t="str">
        <f ca="1">IFERROR(__xludf.DUMMYFUNCTION("""COMPUTED_VALUE"""),"Casa Canal")</f>
        <v>Casa Canal</v>
      </c>
      <c r="C8326" s="2" t="str">
        <f ca="1">IFERROR(__xludf.DUMMYFUNCTION("""COMPUTED_VALUE"""),"Building")</f>
        <v>Building</v>
      </c>
      <c r="D8326" s="2" t="str">
        <f ca="1">IFERROR(__xludf.DUMMYFUNCTION("""COMPUTED_VALUE"""),"Dubai&gt;Al Wasl&gt;Casa Canal")</f>
        <v>Dubai&gt;Al Wasl&gt;Casa Canal</v>
      </c>
      <c r="E8326" s="2"/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</row>
    <row r="8327" spans="1:26" ht="16.5" x14ac:dyDescent="0.35">
      <c r="A8327" s="2" t="str">
        <f ca="1">IFERROR(__xludf.DUMMYFUNCTION("""COMPUTED_VALUE"""),"Dubai")</f>
        <v>Dubai</v>
      </c>
      <c r="B8327" s="2" t="str">
        <f ca="1">IFERROR(__xludf.DUMMYFUNCTION("""COMPUTED_VALUE"""),"Vincitore Boulevard A")</f>
        <v>Vincitore Boulevard A</v>
      </c>
      <c r="C8327" s="2" t="str">
        <f ca="1">IFERROR(__xludf.DUMMYFUNCTION("""COMPUTED_VALUE"""),"Building")</f>
        <v>Building</v>
      </c>
      <c r="D8327" s="2" t="str">
        <f ca="1">IFERROR(__xludf.DUMMYFUNCTION("""COMPUTED_VALUE"""),"Dubai&gt;Arjan&gt;Vincitore Boulevard&gt;Vincitore Boulevard A")</f>
        <v>Dubai&gt;Arjan&gt;Vincitore Boulevard&gt;Vincitore Boulevard A</v>
      </c>
      <c r="E8327" s="2"/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</row>
    <row r="8328" spans="1:26" ht="16.5" x14ac:dyDescent="0.35">
      <c r="A8328" s="2" t="str">
        <f ca="1">IFERROR(__xludf.DUMMYFUNCTION("""COMPUTED_VALUE"""),"Dubai")</f>
        <v>Dubai</v>
      </c>
      <c r="B8328" s="2" t="str">
        <f ca="1">IFERROR(__xludf.DUMMYFUNCTION("""COMPUTED_VALUE"""),"Central Towers Block B")</f>
        <v>Central Towers Block B</v>
      </c>
      <c r="C8328" s="2" t="str">
        <f ca="1">IFERROR(__xludf.DUMMYFUNCTION("""COMPUTED_VALUE"""),"Building")</f>
        <v>Building</v>
      </c>
      <c r="D8328" s="2" t="str">
        <f ca="1">IFERROR(__xludf.DUMMYFUNCTION("""COMPUTED_VALUE"""),"Dubai&gt;Arjan&gt;Central Towers&gt;Central Towers Block B")</f>
        <v>Dubai&gt;Arjan&gt;Central Towers&gt;Central Towers Block B</v>
      </c>
      <c r="E8328" s="2"/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</row>
    <row r="8329" spans="1:26" ht="16.5" x14ac:dyDescent="0.35">
      <c r="A8329" s="2" t="str">
        <f ca="1">IFERROR(__xludf.DUMMYFUNCTION("""COMPUTED_VALUE"""),"Dubai")</f>
        <v>Dubai</v>
      </c>
      <c r="B8329" s="2" t="str">
        <f ca="1">IFERROR(__xludf.DUMMYFUNCTION("""COMPUTED_VALUE"""),"Miraclz Tower by Danube")</f>
        <v>Miraclz Tower by Danube</v>
      </c>
      <c r="C8329" s="2" t="str">
        <f ca="1">IFERROR(__xludf.DUMMYFUNCTION("""COMPUTED_VALUE"""),"Building")</f>
        <v>Building</v>
      </c>
      <c r="D8329" s="2" t="str">
        <f ca="1">IFERROR(__xludf.DUMMYFUNCTION("""COMPUTED_VALUE"""),"Dubai&gt;Arjan&gt;Miraclz Tower by Danube")</f>
        <v>Dubai&gt;Arjan&gt;Miraclz Tower by Danube</v>
      </c>
      <c r="E8329" s="2"/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</row>
    <row r="8330" spans="1:26" ht="16.5" x14ac:dyDescent="0.35">
      <c r="A8330" s="2" t="str">
        <f ca="1">IFERROR(__xludf.DUMMYFUNCTION("""COMPUTED_VALUE"""),"Dubai")</f>
        <v>Dubai</v>
      </c>
      <c r="B8330" s="2" t="str">
        <f ca="1">IFERROR(__xludf.DUMMYFUNCTION("""COMPUTED_VALUE"""),"Torino by ORO24 Building 4")</f>
        <v>Torino by ORO24 Building 4</v>
      </c>
      <c r="C8330" s="2" t="str">
        <f ca="1">IFERROR(__xludf.DUMMYFUNCTION("""COMPUTED_VALUE"""),"Building")</f>
        <v>Building</v>
      </c>
      <c r="D8330" s="2" t="str">
        <f ca="1">IFERROR(__xludf.DUMMYFUNCTION("""COMPUTED_VALUE"""),"Dubai&gt;Arjan&gt;Torino by ORO24&gt;Torino by ORO24 Building 4")</f>
        <v>Dubai&gt;Arjan&gt;Torino by ORO24&gt;Torino by ORO24 Building 4</v>
      </c>
      <c r="E8330" s="2"/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</row>
    <row r="8331" spans="1:26" ht="16.5" x14ac:dyDescent="0.35">
      <c r="A8331" s="2" t="str">
        <f ca="1">IFERROR(__xludf.DUMMYFUNCTION("""COMPUTED_VALUE"""),"Dubai")</f>
        <v>Dubai</v>
      </c>
      <c r="B8331" s="2" t="str">
        <f ca="1">IFERROR(__xludf.DUMMYFUNCTION("""COMPUTED_VALUE"""),"Uniestate Supreme Residence")</f>
        <v>Uniestate Supreme Residence</v>
      </c>
      <c r="C8331" s="2" t="str">
        <f ca="1">IFERROR(__xludf.DUMMYFUNCTION("""COMPUTED_VALUE"""),"Building")</f>
        <v>Building</v>
      </c>
      <c r="D8331" s="2" t="str">
        <f ca="1">IFERROR(__xludf.DUMMYFUNCTION("""COMPUTED_VALUE"""),"Dubai&gt;Arjan&gt;Uniestate Supreme Residence")</f>
        <v>Dubai&gt;Arjan&gt;Uniestate Supreme Residence</v>
      </c>
      <c r="E8331" s="2"/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</row>
    <row r="8332" spans="1:26" ht="16.5" x14ac:dyDescent="0.35">
      <c r="A8332" s="2" t="str">
        <f ca="1">IFERROR(__xludf.DUMMYFUNCTION("""COMPUTED_VALUE"""),"Dubai")</f>
        <v>Dubai</v>
      </c>
      <c r="B8332" s="2" t="str">
        <f ca="1">IFERROR(__xludf.DUMMYFUNCTION("""COMPUTED_VALUE"""),"Arjan Seven")</f>
        <v>Arjan Seven</v>
      </c>
      <c r="C8332" s="2" t="str">
        <f ca="1">IFERROR(__xludf.DUMMYFUNCTION("""COMPUTED_VALUE"""),"Cluster")</f>
        <v>Cluster</v>
      </c>
      <c r="D8332" s="2" t="str">
        <f ca="1">IFERROR(__xludf.DUMMYFUNCTION("""COMPUTED_VALUE"""),"Dubai&gt;Arjan&gt;Arjan Seven")</f>
        <v>Dubai&gt;Arjan&gt;Arjan Seven</v>
      </c>
      <c r="E8332" s="2"/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</row>
    <row r="8333" spans="1:26" ht="16.5" x14ac:dyDescent="0.35">
      <c r="A8333" s="2" t="str">
        <f ca="1">IFERROR(__xludf.DUMMYFUNCTION("""COMPUTED_VALUE"""),"Dubai")</f>
        <v>Dubai</v>
      </c>
      <c r="B8333" s="2" t="str">
        <f ca="1">IFERROR(__xludf.DUMMYFUNCTION("""COMPUTED_VALUE"""),"Ashley Hills")</f>
        <v>Ashley Hills</v>
      </c>
      <c r="C8333" s="2" t="str">
        <f ca="1">IFERROR(__xludf.DUMMYFUNCTION("""COMPUTED_VALUE"""),"Building")</f>
        <v>Building</v>
      </c>
      <c r="D8333" s="2" t="str">
        <f ca="1">IFERROR(__xludf.DUMMYFUNCTION("""COMPUTED_VALUE"""),"Dubai&gt;Arjan&gt;Ashley Hills")</f>
        <v>Dubai&gt;Arjan&gt;Ashley Hills</v>
      </c>
      <c r="E8333" s="2"/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</row>
    <row r="8334" spans="1:26" ht="16.5" x14ac:dyDescent="0.35">
      <c r="A8334" s="2" t="str">
        <f ca="1">IFERROR(__xludf.DUMMYFUNCTION("""COMPUTED_VALUE"""),"Dubai")</f>
        <v>Dubai</v>
      </c>
      <c r="B8334" s="2" t="str">
        <f ca="1">IFERROR(__xludf.DUMMYFUNCTION("""COMPUTED_VALUE"""),"The Loft Offices")</f>
        <v>The Loft Offices</v>
      </c>
      <c r="C8334" s="2" t="str">
        <f ca="1">IFERROR(__xludf.DUMMYFUNCTION("""COMPUTED_VALUE"""),"Cluster")</f>
        <v>Cluster</v>
      </c>
      <c r="D8334" s="2" t="str">
        <f ca="1">IFERROR(__xludf.DUMMYFUNCTION("""COMPUTED_VALUE"""),"Dubai&gt;Dubai Media City&gt;The Loft Offices")</f>
        <v>Dubai&gt;Dubai Media City&gt;The Loft Offices</v>
      </c>
      <c r="E8334" s="2"/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</row>
    <row r="8335" spans="1:26" ht="16.5" x14ac:dyDescent="0.35">
      <c r="A8335" s="2" t="str">
        <f ca="1">IFERROR(__xludf.DUMMYFUNCTION("""COMPUTED_VALUE"""),"Abu Dhabi")</f>
        <v>Abu Dhabi</v>
      </c>
      <c r="B8335" s="2" t="str">
        <f ca="1">IFERROR(__xludf.DUMMYFUNCTION("""COMPUTED_VALUE"""),"SRK Nursery")</f>
        <v>SRK Nursery</v>
      </c>
      <c r="C8335" s="2" t="str">
        <f ca="1">IFERROR(__xludf.DUMMYFUNCTION("""COMPUTED_VALUE"""),"Nursery")</f>
        <v>Nursery</v>
      </c>
      <c r="D8335" s="2" t="str">
        <f ca="1">IFERROR(__xludf.DUMMYFUNCTION("""COMPUTED_VALUE"""),"Abu Dhabi&gt;Al Dhafrah&gt;SRK Nursery")</f>
        <v>Abu Dhabi&gt;Al Dhafrah&gt;SRK Nursery</v>
      </c>
      <c r="E8335" s="2"/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</row>
    <row r="8336" spans="1:26" ht="16.5" x14ac:dyDescent="0.35">
      <c r="A8336" s="2" t="str">
        <f ca="1">IFERROR(__xludf.DUMMYFUNCTION("""COMPUTED_VALUE"""),"Abu Dhabi")</f>
        <v>Abu Dhabi</v>
      </c>
      <c r="B8336" s="2" t="str">
        <f ca="1">IFERROR(__xludf.DUMMYFUNCTION("""COMPUTED_VALUE"""),"Lycée Français Théodore Monod, Al Bateen, Abu Dhabi")</f>
        <v>Lycée Français Théodore Monod, Al Bateen, Abu Dhabi</v>
      </c>
      <c r="C8336" s="2" t="str">
        <f ca="1">IFERROR(__xludf.DUMMYFUNCTION("""COMPUTED_VALUE"""),"School")</f>
        <v>School</v>
      </c>
      <c r="D8336" s="2" t="str">
        <f ca="1">IFERROR(__xludf.DUMMYFUNCTION("""COMPUTED_VALUE"""),"Abu Dhabi&gt;Al Bateen&gt;Lycée Français Théodore Monod, Al Bateen, Abu Dhabi")</f>
        <v>Abu Dhabi&gt;Al Bateen&gt;Lycée Français Théodore Monod, Al Bateen, Abu Dhabi</v>
      </c>
      <c r="E8336" s="2"/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</row>
    <row r="8337" spans="1:26" ht="16.5" x14ac:dyDescent="0.35">
      <c r="A8337" s="2" t="str">
        <f ca="1">IFERROR(__xludf.DUMMYFUNCTION("""COMPUTED_VALUE"""),"Abu Dhabi")</f>
        <v>Abu Dhabi</v>
      </c>
      <c r="B8337" s="2" t="str">
        <f ca="1">IFERROR(__xludf.DUMMYFUNCTION("""COMPUTED_VALUE"""),"1928 Building")</f>
        <v>1928 Building</v>
      </c>
      <c r="C8337" s="2"/>
      <c r="D8337" s="2" t="str">
        <f ca="1">IFERROR(__xludf.DUMMYFUNCTION("""COMPUTED_VALUE"""),"Abu Dhabi&gt;Airport Street&gt;1928 Building")</f>
        <v>Abu Dhabi&gt;Airport Street&gt;1928 Building</v>
      </c>
      <c r="E8337" s="2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</row>
    <row r="8338" spans="1:26" ht="16.5" x14ac:dyDescent="0.35">
      <c r="A8338" s="2" t="str">
        <f ca="1">IFERROR(__xludf.DUMMYFUNCTION("""COMPUTED_VALUE"""),"Abu Dhabi")</f>
        <v>Abu Dhabi</v>
      </c>
      <c r="B8338" s="2" t="str">
        <f ca="1">IFERROR(__xludf.DUMMYFUNCTION("""COMPUTED_VALUE"""),"Farha Tower")</f>
        <v>Farha Tower</v>
      </c>
      <c r="C8338" s="2" t="str">
        <f ca="1">IFERROR(__xludf.DUMMYFUNCTION("""COMPUTED_VALUE"""),"Building")</f>
        <v>Building</v>
      </c>
      <c r="D8338" s="2" t="str">
        <f ca="1">IFERROR(__xludf.DUMMYFUNCTION("""COMPUTED_VALUE"""),"Abu Dhabi&gt;Tourist Club Area (TCA)&gt;Farha Tower")</f>
        <v>Abu Dhabi&gt;Tourist Club Area (TCA)&gt;Farha Tower</v>
      </c>
      <c r="E8338" s="2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</row>
    <row r="8339" spans="1:26" ht="16.5" x14ac:dyDescent="0.35">
      <c r="A8339" s="2" t="str">
        <f ca="1">IFERROR(__xludf.DUMMYFUNCTION("""COMPUTED_VALUE"""),"Abu Dhabi")</f>
        <v>Abu Dhabi</v>
      </c>
      <c r="B8339" s="2" t="str">
        <f ca="1">IFERROR(__xludf.DUMMYFUNCTION("""COMPUTED_VALUE"""),"Al Mushrif")</f>
        <v>Al Mushrif</v>
      </c>
      <c r="C8339" s="2" t="str">
        <f ca="1">IFERROR(__xludf.DUMMYFUNCTION("""COMPUTED_VALUE"""),"Neighbourhood")</f>
        <v>Neighbourhood</v>
      </c>
      <c r="D8339" s="2" t="str">
        <f ca="1">IFERROR(__xludf.DUMMYFUNCTION("""COMPUTED_VALUE"""),"Abu Dhabi&gt;Al Mushrif")</f>
        <v>Abu Dhabi&gt;Al Mushrif</v>
      </c>
      <c r="E8339" s="2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</row>
    <row r="8340" spans="1:26" ht="16.5" x14ac:dyDescent="0.35">
      <c r="A8340" s="2" t="str">
        <f ca="1">IFERROR(__xludf.DUMMYFUNCTION("""COMPUTED_VALUE"""),"Abu Dhabi")</f>
        <v>Abu Dhabi</v>
      </c>
      <c r="B8340" s="2" t="str">
        <f ca="1">IFERROR(__xludf.DUMMYFUNCTION("""COMPUTED_VALUE"""),"Kayan")</f>
        <v>Kayan</v>
      </c>
      <c r="C8340" s="2" t="str">
        <f ca="1">IFERROR(__xludf.DUMMYFUNCTION("""COMPUTED_VALUE"""),"Neighbourhood")</f>
        <v>Neighbourhood</v>
      </c>
      <c r="D8340" s="2" t="str">
        <f ca="1">IFERROR(__xludf.DUMMYFUNCTION("""COMPUTED_VALUE"""),"Abu Dhabi&gt;Al Jurf&gt;Al Jurf Gardens&gt;Kayan")</f>
        <v>Abu Dhabi&gt;Al Jurf&gt;Al Jurf Gardens&gt;Kayan</v>
      </c>
      <c r="E8340" s="2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</row>
    <row r="8341" spans="1:26" ht="16.5" x14ac:dyDescent="0.35">
      <c r="A8341" s="2" t="str">
        <f ca="1">IFERROR(__xludf.DUMMYFUNCTION("""COMPUTED_VALUE"""),"Abu Dhabi")</f>
        <v>Abu Dhabi</v>
      </c>
      <c r="B8341" s="2" t="str">
        <f ca="1">IFERROR(__xludf.DUMMYFUNCTION("""COMPUTED_VALUE"""),"Sheikh Ahmed Bin Mubarak Building")</f>
        <v>Sheikh Ahmed Bin Mubarak Building</v>
      </c>
      <c r="C8341" s="2"/>
      <c r="D8341" s="2" t="str">
        <f ca="1">IFERROR(__xludf.DUMMYFUNCTION("""COMPUTED_VALUE"""),"Abu Dhabi&gt;Corniche Area&gt;Sheikh Ahmed Bin Mubarak Building")</f>
        <v>Abu Dhabi&gt;Corniche Area&gt;Sheikh Ahmed Bin Mubarak Building</v>
      </c>
      <c r="E8341" s="2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</row>
    <row r="8342" spans="1:26" ht="16.5" x14ac:dyDescent="0.35">
      <c r="A8342" s="2" t="str">
        <f ca="1">IFERROR(__xludf.DUMMYFUNCTION("""COMPUTED_VALUE"""),"Abu Dhabi")</f>
        <v>Abu Dhabi</v>
      </c>
      <c r="B8342" s="2" t="str">
        <f ca="1">IFERROR(__xludf.DUMMYFUNCTION("""COMPUTED_VALUE"""),"Al Mahra Residence")</f>
        <v>Al Mahra Residence</v>
      </c>
      <c r="C8342" s="2" t="str">
        <f ca="1">IFERROR(__xludf.DUMMYFUNCTION("""COMPUTED_VALUE"""),"Building")</f>
        <v>Building</v>
      </c>
      <c r="D8342" s="2" t="str">
        <f ca="1">IFERROR(__xludf.DUMMYFUNCTION("""COMPUTED_VALUE"""),"Abu Dhabi&gt;Masdar City&gt;Al Mahra Residence")</f>
        <v>Abu Dhabi&gt;Masdar City&gt;Al Mahra Residence</v>
      </c>
      <c r="E8342" s="2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</row>
    <row r="8343" spans="1:26" ht="16.5" x14ac:dyDescent="0.35">
      <c r="A8343" s="2" t="str">
        <f ca="1">IFERROR(__xludf.DUMMYFUNCTION("""COMPUTED_VALUE"""),"Abu Dhabi")</f>
        <v>Abu Dhabi</v>
      </c>
      <c r="B8343" s="2" t="str">
        <f ca="1">IFERROR(__xludf.DUMMYFUNCTION("""COMPUTED_VALUE"""),"East Cornich Road")</f>
        <v>East Cornich Road</v>
      </c>
      <c r="C8343" s="2"/>
      <c r="D8343" s="2" t="str">
        <f ca="1">IFERROR(__xludf.DUMMYFUNCTION("""COMPUTED_VALUE"""),"Abu Dhabi&gt;Eastern Road&gt;East Cornich Road")</f>
        <v>Abu Dhabi&gt;Eastern Road&gt;East Cornich Road</v>
      </c>
      <c r="E8343" s="2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</row>
    <row r="8344" spans="1:26" ht="16.5" x14ac:dyDescent="0.35">
      <c r="A8344" s="2" t="str">
        <f ca="1">IFERROR(__xludf.DUMMYFUNCTION("""COMPUTED_VALUE"""),"Abu Dhabi")</f>
        <v>Abu Dhabi</v>
      </c>
      <c r="B8344" s="2" t="str">
        <f ca="1">IFERROR(__xludf.DUMMYFUNCTION("""COMPUTED_VALUE"""),"Al Maryah Island")</f>
        <v>Al Maryah Island</v>
      </c>
      <c r="C8344" s="2" t="str">
        <f ca="1">IFERROR(__xludf.DUMMYFUNCTION("""COMPUTED_VALUE"""),"Neighbourhood")</f>
        <v>Neighbourhood</v>
      </c>
      <c r="D8344" s="2" t="str">
        <f ca="1">IFERROR(__xludf.DUMMYFUNCTION("""COMPUTED_VALUE"""),"Abu Dhabi&gt;Al Maryah Island")</f>
        <v>Abu Dhabi&gt;Al Maryah Island</v>
      </c>
      <c r="E8344" s="2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</row>
    <row r="8345" spans="1:26" ht="16.5" x14ac:dyDescent="0.35">
      <c r="A8345" s="2" t="str">
        <f ca="1">IFERROR(__xludf.DUMMYFUNCTION("""COMPUTED_VALUE"""),"Abu Dhabi")</f>
        <v>Abu Dhabi</v>
      </c>
      <c r="B8345" s="2" t="str">
        <f ca="1">IFERROR(__xludf.DUMMYFUNCTION("""COMPUTED_VALUE"""),"Khalifa Bin Shakhbout Street")</f>
        <v>Khalifa Bin Shakhbout Street</v>
      </c>
      <c r="C8345" s="2"/>
      <c r="D8345" s="2" t="str">
        <f ca="1">IFERROR(__xludf.DUMMYFUNCTION("""COMPUTED_VALUE"""),"Abu Dhabi&gt;Al Manaseer&gt;Khalifa Bin Shakhbout Street")</f>
        <v>Abu Dhabi&gt;Al Manaseer&gt;Khalifa Bin Shakhbout Street</v>
      </c>
      <c r="E8345" s="2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</row>
    <row r="8346" spans="1:26" ht="16.5" x14ac:dyDescent="0.35">
      <c r="A8346" s="2" t="str">
        <f ca="1">IFERROR(__xludf.DUMMYFUNCTION("""COMPUTED_VALUE"""),"Abu Dhabi")</f>
        <v>Abu Dhabi</v>
      </c>
      <c r="B8346" s="2" t="str">
        <f ca="1">IFERROR(__xludf.DUMMYFUNCTION("""COMPUTED_VALUE"""),"MSH11")</f>
        <v>MSH11</v>
      </c>
      <c r="C8346" s="2" t="str">
        <f ca="1">IFERROR(__xludf.DUMMYFUNCTION("""COMPUTED_VALUE"""),"Neighbourhood")</f>
        <v>Neighbourhood</v>
      </c>
      <c r="D8346" s="2" t="str">
        <f ca="1">IFERROR(__xludf.DUMMYFUNCTION("""COMPUTED_VALUE"""),"Abu Dhabi&gt;Shakhbout City&gt;MSH11")</f>
        <v>Abu Dhabi&gt;Shakhbout City&gt;MSH11</v>
      </c>
      <c r="E8346" s="2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</row>
    <row r="8347" spans="1:26" ht="16.5" x14ac:dyDescent="0.35">
      <c r="A8347" s="2" t="str">
        <f ca="1">IFERROR(__xludf.DUMMYFUNCTION("""COMPUTED_VALUE"""),"Abu Dhabi")</f>
        <v>Abu Dhabi</v>
      </c>
      <c r="B8347" s="2" t="str">
        <f ca="1">IFERROR(__xludf.DUMMYFUNCTION("""COMPUTED_VALUE"""),"MSH43")</f>
        <v>MSH43</v>
      </c>
      <c r="C8347" s="2" t="str">
        <f ca="1">IFERROR(__xludf.DUMMYFUNCTION("""COMPUTED_VALUE"""),"Neighbourhood")</f>
        <v>Neighbourhood</v>
      </c>
      <c r="D8347" s="2" t="str">
        <f ca="1">IFERROR(__xludf.DUMMYFUNCTION("""COMPUTED_VALUE"""),"Abu Dhabi&gt;Shakhbout City&gt;MSH43")</f>
        <v>Abu Dhabi&gt;Shakhbout City&gt;MSH43</v>
      </c>
      <c r="E8347" s="2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</row>
    <row r="8348" spans="1:26" ht="16.5" x14ac:dyDescent="0.35">
      <c r="A8348" s="2" t="str">
        <f ca="1">IFERROR(__xludf.DUMMYFUNCTION("""COMPUTED_VALUE"""),"Abu Dhabi")</f>
        <v>Abu Dhabi</v>
      </c>
      <c r="B8348" s="2" t="str">
        <f ca="1">IFERROR(__xludf.DUMMYFUNCTION("""COMPUTED_VALUE"""),"Ladybird Nursery Abu Dhabi")</f>
        <v>Ladybird Nursery Abu Dhabi</v>
      </c>
      <c r="C8348" s="2" t="str">
        <f ca="1">IFERROR(__xludf.DUMMYFUNCTION("""COMPUTED_VALUE"""),"Nursery")</f>
        <v>Nursery</v>
      </c>
      <c r="D8348" s="2" t="str">
        <f ca="1">IFERROR(__xludf.DUMMYFUNCTION("""COMPUTED_VALUE"""),"Abu Dhabi&gt;Al Zaab&gt;Ladybird Nursery Abu Dhabi")</f>
        <v>Abu Dhabi&gt;Al Zaab&gt;Ladybird Nursery Abu Dhabi</v>
      </c>
      <c r="E8348" s="2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</row>
    <row r="8349" spans="1:26" ht="16.5" x14ac:dyDescent="0.35">
      <c r="A8349" s="2" t="str">
        <f ca="1">IFERROR(__xludf.DUMMYFUNCTION("""COMPUTED_VALUE"""),"Abu Dhabi")</f>
        <v>Abu Dhabi</v>
      </c>
      <c r="B8349" s="2" t="str">
        <f ca="1">IFERROR(__xludf.DUMMYFUNCTION("""COMPUTED_VALUE"""),"Baynuna Tower 1")</f>
        <v>Baynuna Tower 1</v>
      </c>
      <c r="C8349" s="2" t="str">
        <f ca="1">IFERROR(__xludf.DUMMYFUNCTION("""COMPUTED_VALUE"""),"Building")</f>
        <v>Building</v>
      </c>
      <c r="D8349" s="2" t="str">
        <f ca="1">IFERROR(__xludf.DUMMYFUNCTION("""COMPUTED_VALUE"""),"Abu Dhabi&gt;Al Hisn&gt;Baynuna Tower 1")</f>
        <v>Abu Dhabi&gt;Al Hisn&gt;Baynuna Tower 1</v>
      </c>
      <c r="E8349" s="2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</row>
    <row r="8350" spans="1:26" ht="16.5" x14ac:dyDescent="0.35">
      <c r="A8350" s="2" t="str">
        <f ca="1">IFERROR(__xludf.DUMMYFUNCTION("""COMPUTED_VALUE"""),"Abu Dhabi")</f>
        <v>Abu Dhabi</v>
      </c>
      <c r="B8350" s="2" t="str">
        <f ca="1">IFERROR(__xludf.DUMMYFUNCTION("""COMPUTED_VALUE"""),"Rahbah R")</f>
        <v>Rahbah R</v>
      </c>
      <c r="C8350" s="2" t="str">
        <f ca="1">IFERROR(__xludf.DUMMYFUNCTION("""COMPUTED_VALUE"""),"Neighbourhood")</f>
        <v>Neighbourhood</v>
      </c>
      <c r="D8350" s="2" t="str">
        <f ca="1">IFERROR(__xludf.DUMMYFUNCTION("""COMPUTED_VALUE"""),"Abu Dhabi&gt;Al Samha&gt;Rahbah R")</f>
        <v>Abu Dhabi&gt;Al Samha&gt;Rahbah R</v>
      </c>
      <c r="E8350" s="2"/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</row>
    <row r="8351" spans="1:26" ht="16.5" x14ac:dyDescent="0.35">
      <c r="A8351" s="2" t="str">
        <f ca="1">IFERROR(__xludf.DUMMYFUNCTION("""COMPUTED_VALUE"""),"Abu Dhabi")</f>
        <v>Abu Dhabi</v>
      </c>
      <c r="B8351" s="2" t="str">
        <f ca="1">IFERROR(__xludf.DUMMYFUNCTION("""COMPUTED_VALUE"""),"Fahid Beach Residences Tower B3")</f>
        <v>Fahid Beach Residences Tower B3</v>
      </c>
      <c r="C8351" s="2" t="str">
        <f ca="1">IFERROR(__xludf.DUMMYFUNCTION("""COMPUTED_VALUE"""),"Building")</f>
        <v>Building</v>
      </c>
      <c r="D8351" s="2" t="str">
        <f ca="1">IFERROR(__xludf.DUMMYFUNCTION("""COMPUTED_VALUE"""),"Abu Dhabi&gt;Fahid Island&gt;Fahid Beach Residences&gt;Fahid Beach Residences Tower B3")</f>
        <v>Abu Dhabi&gt;Fahid Island&gt;Fahid Beach Residences&gt;Fahid Beach Residences Tower B3</v>
      </c>
      <c r="E8351" s="2"/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</row>
    <row r="8352" spans="1:26" ht="16.5" x14ac:dyDescent="0.35">
      <c r="A8352" s="2" t="str">
        <f ca="1">IFERROR(__xludf.DUMMYFUNCTION("""COMPUTED_VALUE"""),"Abu Dhabi")</f>
        <v>Abu Dhabi</v>
      </c>
      <c r="B8352" s="2" t="str">
        <f ca="1">IFERROR(__xludf.DUMMYFUNCTION("""COMPUTED_VALUE"""),"Canal Residence")</f>
        <v>Canal Residence</v>
      </c>
      <c r="C8352" s="2" t="str">
        <f ca="1">IFERROR(__xludf.DUMMYFUNCTION("""COMPUTED_VALUE"""),"Building")</f>
        <v>Building</v>
      </c>
      <c r="D8352" s="2" t="str">
        <f ca="1">IFERROR(__xludf.DUMMYFUNCTION("""COMPUTED_VALUE"""),"Abu Dhabi&gt;Al Reem Island&gt;Canal Residence")</f>
        <v>Abu Dhabi&gt;Al Reem Island&gt;Canal Residence</v>
      </c>
      <c r="E8352" s="2"/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</row>
    <row r="8353" spans="1:26" ht="16.5" x14ac:dyDescent="0.35">
      <c r="A8353" s="2" t="str">
        <f ca="1">IFERROR(__xludf.DUMMYFUNCTION("""COMPUTED_VALUE"""),"Abu Dhabi")</f>
        <v>Abu Dhabi</v>
      </c>
      <c r="B8353" s="2" t="str">
        <f ca="1">IFERROR(__xludf.DUMMYFUNCTION("""COMPUTED_VALUE"""),"Makers District")</f>
        <v>Makers District</v>
      </c>
      <c r="C8353" s="2" t="str">
        <f ca="1">IFERROR(__xludf.DUMMYFUNCTION("""COMPUTED_VALUE"""),"Neighbourhood")</f>
        <v>Neighbourhood</v>
      </c>
      <c r="D8353" s="2" t="str">
        <f ca="1">IFERROR(__xludf.DUMMYFUNCTION("""COMPUTED_VALUE"""),"Abu Dhabi&gt;Al Reem Island&gt;Makers District")</f>
        <v>Abu Dhabi&gt;Al Reem Island&gt;Makers District</v>
      </c>
      <c r="E8353" s="2"/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</row>
    <row r="8354" spans="1:26" ht="16.5" x14ac:dyDescent="0.35">
      <c r="A8354" s="2" t="str">
        <f ca="1">IFERROR(__xludf.DUMMYFUNCTION("""COMPUTED_VALUE"""),"Abu Dhabi")</f>
        <v>Abu Dhabi</v>
      </c>
      <c r="B8354" s="2" t="str">
        <f ca="1">IFERROR(__xludf.DUMMYFUNCTION("""COMPUTED_VALUE"""),"Parkside Residence B")</f>
        <v>Parkside Residence B</v>
      </c>
      <c r="C8354" s="2" t="str">
        <f ca="1">IFERROR(__xludf.DUMMYFUNCTION("""COMPUTED_VALUE"""),"Building")</f>
        <v>Building</v>
      </c>
      <c r="D8354" s="2" t="str">
        <f ca="1">IFERROR(__xludf.DUMMYFUNCTION("""COMPUTED_VALUE"""),"Abu Dhabi&gt;Al Reem Island&gt;Shams Abu Dhabi&gt;Parkside Residence&gt;Parkside Residence B")</f>
        <v>Abu Dhabi&gt;Al Reem Island&gt;Shams Abu Dhabi&gt;Parkside Residence&gt;Parkside Residence B</v>
      </c>
      <c r="E8354" s="2"/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</row>
    <row r="8355" spans="1:26" ht="16.5" x14ac:dyDescent="0.35">
      <c r="A8355" s="2" t="str">
        <f ca="1">IFERROR(__xludf.DUMMYFUNCTION("""COMPUTED_VALUE"""),"Abu Dhabi")</f>
        <v>Abu Dhabi</v>
      </c>
      <c r="B8355" s="2" t="str">
        <f ca="1">IFERROR(__xludf.DUMMYFUNCTION("""COMPUTED_VALUE"""),"Atlantis Towers")</f>
        <v>Atlantis Towers</v>
      </c>
      <c r="C8355" s="2" t="str">
        <f ca="1">IFERROR(__xludf.DUMMYFUNCTION("""COMPUTED_VALUE"""),"Building")</f>
        <v>Building</v>
      </c>
      <c r="D8355" s="2" t="str">
        <f ca="1">IFERROR(__xludf.DUMMYFUNCTION("""COMPUTED_VALUE"""),"Abu Dhabi&gt;Al Reem Island&gt;Shams Abu Dhabi&gt;Atlantis Towers")</f>
        <v>Abu Dhabi&gt;Al Reem Island&gt;Shams Abu Dhabi&gt;Atlantis Towers</v>
      </c>
      <c r="E8355" s="2"/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</row>
    <row r="8356" spans="1:26" ht="16.5" x14ac:dyDescent="0.35">
      <c r="A8356" s="2" t="str">
        <f ca="1">IFERROR(__xludf.DUMMYFUNCTION("""COMPUTED_VALUE"""),"Abu Dhabi")</f>
        <v>Abu Dhabi</v>
      </c>
      <c r="B8356" s="2" t="str">
        <f ca="1">IFERROR(__xludf.DUMMYFUNCTION("""COMPUTED_VALUE"""),"Marina Bay Tower 1")</f>
        <v>Marina Bay Tower 1</v>
      </c>
      <c r="C8356" s="2" t="str">
        <f ca="1">IFERROR(__xludf.DUMMYFUNCTION("""COMPUTED_VALUE"""),"Building")</f>
        <v>Building</v>
      </c>
      <c r="D8356" s="2" t="str">
        <f ca="1">IFERROR(__xludf.DUMMYFUNCTION("""COMPUTED_VALUE"""),"Abu Dhabi&gt;Al Reem Island&gt;City of Lights&gt;Marina Bay&gt;Marina Bay Tower 1")</f>
        <v>Abu Dhabi&gt;Al Reem Island&gt;City of Lights&gt;Marina Bay&gt;Marina Bay Tower 1</v>
      </c>
      <c r="E8356" s="2"/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</row>
    <row r="8357" spans="1:26" ht="16.5" x14ac:dyDescent="0.35">
      <c r="A8357" s="2" t="str">
        <f ca="1">IFERROR(__xludf.DUMMYFUNCTION("""COMPUTED_VALUE"""),"Abu Dhabi")</f>
        <v>Abu Dhabi</v>
      </c>
      <c r="B8357" s="2" t="str">
        <f ca="1">IFERROR(__xludf.DUMMYFUNCTION("""COMPUTED_VALUE"""),"Hydra Premier Tower")</f>
        <v>Hydra Premier Tower</v>
      </c>
      <c r="C8357" s="2" t="str">
        <f ca="1">IFERROR(__xludf.DUMMYFUNCTION("""COMPUTED_VALUE"""),"Building")</f>
        <v>Building</v>
      </c>
      <c r="D8357" s="2" t="str">
        <f ca="1">IFERROR(__xludf.DUMMYFUNCTION("""COMPUTED_VALUE"""),"Abu Dhabi&gt;Al Reem Island&gt;Hydra Premier Tower")</f>
        <v>Abu Dhabi&gt;Al Reem Island&gt;Hydra Premier Tower</v>
      </c>
      <c r="E8357" s="2"/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</row>
    <row r="8358" spans="1:26" ht="16.5" x14ac:dyDescent="0.35">
      <c r="A8358" s="2" t="str">
        <f ca="1">IFERROR(__xludf.DUMMYFUNCTION("""COMPUTED_VALUE"""),"Abu Dhabi")</f>
        <v>Abu Dhabi</v>
      </c>
      <c r="B8358" s="2" t="str">
        <f ca="1">IFERROR(__xludf.DUMMYFUNCTION("""COMPUTED_VALUE"""),"Marina Sunset Bay")</f>
        <v>Marina Sunset Bay</v>
      </c>
      <c r="C8358" s="2" t="str">
        <f ca="1">IFERROR(__xludf.DUMMYFUNCTION("""COMPUTED_VALUE"""),"Neighbourhood")</f>
        <v>Neighbourhood</v>
      </c>
      <c r="D8358" s="2" t="str">
        <f ca="1">IFERROR(__xludf.DUMMYFUNCTION("""COMPUTED_VALUE"""),"Abu Dhabi&gt;The Marina&gt;Marina Sunset Bay")</f>
        <v>Abu Dhabi&gt;The Marina&gt;Marina Sunset Bay</v>
      </c>
      <c r="E8358" s="2"/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</row>
    <row r="8359" spans="1:26" ht="16.5" x14ac:dyDescent="0.35">
      <c r="A8359" s="2" t="str">
        <f ca="1">IFERROR(__xludf.DUMMYFUNCTION("""COMPUTED_VALUE"""),"Abu Dhabi")</f>
        <v>Abu Dhabi</v>
      </c>
      <c r="B8359" s="2" t="str">
        <f ca="1">IFERROR(__xludf.DUMMYFUNCTION("""COMPUTED_VALUE"""),"Royal Tower")</f>
        <v>Royal Tower</v>
      </c>
      <c r="C8359" s="2" t="str">
        <f ca="1">IFERROR(__xludf.DUMMYFUNCTION("""COMPUTED_VALUE"""),"Building")</f>
        <v>Building</v>
      </c>
      <c r="D8359" s="2" t="str">
        <f ca="1">IFERROR(__xludf.DUMMYFUNCTION("""COMPUTED_VALUE"""),"Abu Dhabi&gt;Hamdan Street&gt;Royal Tower")</f>
        <v>Abu Dhabi&gt;Hamdan Street&gt;Royal Tower</v>
      </c>
      <c r="E8359" s="2"/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</row>
    <row r="8360" spans="1:26" ht="16.5" x14ac:dyDescent="0.35">
      <c r="A8360" s="2" t="str">
        <f ca="1">IFERROR(__xludf.DUMMYFUNCTION("""COMPUTED_VALUE"""),"Abu Dhabi")</f>
        <v>Abu Dhabi</v>
      </c>
      <c r="B8360" s="2" t="str">
        <f ca="1">IFERROR(__xludf.DUMMYFUNCTION("""COMPUTED_VALUE"""),"Khalidiyah Twin Towers")</f>
        <v>Khalidiyah Twin Towers</v>
      </c>
      <c r="C8360" s="2" t="str">
        <f ca="1">IFERROR(__xludf.DUMMYFUNCTION("""COMPUTED_VALUE"""),"Cluster")</f>
        <v>Cluster</v>
      </c>
      <c r="D8360" s="2" t="str">
        <f ca="1">IFERROR(__xludf.DUMMYFUNCTION("""COMPUTED_VALUE"""),"Abu Dhabi&gt;Al Khalidiyah&gt;Khalidiyah Twin Towers")</f>
        <v>Abu Dhabi&gt;Al Khalidiyah&gt;Khalidiyah Twin Towers</v>
      </c>
      <c r="E8360" s="2"/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</row>
    <row r="8361" spans="1:26" ht="16.5" x14ac:dyDescent="0.35">
      <c r="A8361" s="2" t="str">
        <f ca="1">IFERROR(__xludf.DUMMYFUNCTION("""COMPUTED_VALUE"""),"Abu Dhabi")</f>
        <v>Abu Dhabi</v>
      </c>
      <c r="B8361" s="2" t="str">
        <f ca="1">IFERROR(__xludf.DUMMYFUNCTION("""COMPUTED_VALUE"""),"Al Bahia Private School")</f>
        <v>Al Bahia Private School</v>
      </c>
      <c r="C8361" s="2" t="str">
        <f ca="1">IFERROR(__xludf.DUMMYFUNCTION("""COMPUTED_VALUE"""),"School")</f>
        <v>School</v>
      </c>
      <c r="D8361" s="2" t="str">
        <f ca="1">IFERROR(__xludf.DUMMYFUNCTION("""COMPUTED_VALUE"""),"Abu Dhabi&gt;Khalifa City&gt;Al Bahia Private School")</f>
        <v>Abu Dhabi&gt;Khalifa City&gt;Al Bahia Private School</v>
      </c>
      <c r="E8361" s="2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</row>
    <row r="8362" spans="1:26" ht="16.5" x14ac:dyDescent="0.35">
      <c r="A8362" s="2" t="str">
        <f ca="1">IFERROR(__xludf.DUMMYFUNCTION("""COMPUTED_VALUE"""),"Abu Dhabi")</f>
        <v>Abu Dhabi</v>
      </c>
      <c r="B8362" s="2" t="str">
        <f ca="1">IFERROR(__xludf.DUMMYFUNCTION("""COMPUTED_VALUE"""),"SE23")</f>
        <v>SE23</v>
      </c>
      <c r="C8362" s="2" t="str">
        <f ca="1">IFERROR(__xludf.DUMMYFUNCTION("""COMPUTED_VALUE"""),"Neighbourhood")</f>
        <v>Neighbourhood</v>
      </c>
      <c r="D8362" s="2" t="str">
        <f ca="1">IFERROR(__xludf.DUMMYFUNCTION("""COMPUTED_VALUE"""),"Abu Dhabi&gt;Khalifa City&gt;SE23")</f>
        <v>Abu Dhabi&gt;Khalifa City&gt;SE23</v>
      </c>
      <c r="E8362" s="2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</row>
    <row r="8363" spans="1:26" ht="16.5" x14ac:dyDescent="0.35">
      <c r="A8363" s="2" t="str">
        <f ca="1">IFERROR(__xludf.DUMMYFUNCTION("""COMPUTED_VALUE"""),"Abu Dhabi")</f>
        <v>Abu Dhabi</v>
      </c>
      <c r="B8363" s="2" t="str">
        <f ca="1">IFERROR(__xludf.DUMMYFUNCTION("""COMPUTED_VALUE"""),"Al Ittihad Road")</f>
        <v>Al Ittihad Road</v>
      </c>
      <c r="C8363" s="2"/>
      <c r="D8363" s="2" t="str">
        <f ca="1">IFERROR(__xludf.DUMMYFUNCTION("""COMPUTED_VALUE"""),"Abu Dhabi&gt;Al Markaziya&gt;Al Ittihad Road")</f>
        <v>Abu Dhabi&gt;Al Markaziya&gt;Al Ittihad Road</v>
      </c>
      <c r="E8363" s="2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</row>
    <row r="8364" spans="1:26" ht="16.5" x14ac:dyDescent="0.35">
      <c r="A8364" s="2" t="str">
        <f ca="1">IFERROR(__xludf.DUMMYFUNCTION("""COMPUTED_VALUE"""),"Abu Dhabi")</f>
        <v>Abu Dhabi</v>
      </c>
      <c r="B8364" s="2" t="str">
        <f ca="1">IFERROR(__xludf.DUMMYFUNCTION("""COMPUTED_VALUE"""),"Breeze Community")</f>
        <v>Breeze Community</v>
      </c>
      <c r="C8364" s="2" t="str">
        <f ca="1">IFERROR(__xludf.DUMMYFUNCTION("""COMPUTED_VALUE"""),"Neighbourhood")</f>
        <v>Neighbourhood</v>
      </c>
      <c r="D8364" s="2" t="str">
        <f ca="1">IFERROR(__xludf.DUMMYFUNCTION("""COMPUTED_VALUE"""),"Abu Dhabi&gt;Al Ghadeer&gt;Breeze Community")</f>
        <v>Abu Dhabi&gt;Al Ghadeer&gt;Breeze Community</v>
      </c>
      <c r="E8364" s="2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</row>
    <row r="8365" spans="1:26" ht="16.5" x14ac:dyDescent="0.35">
      <c r="A8365" s="2" t="str">
        <f ca="1">IFERROR(__xludf.DUMMYFUNCTION("""COMPUTED_VALUE"""),"Abu Dhabi")</f>
        <v>Abu Dhabi</v>
      </c>
      <c r="B8365" s="2" t="str">
        <f ca="1">IFERROR(__xludf.DUMMYFUNCTION("""COMPUTED_VALUE"""),"Grove Beach Views")</f>
        <v>Grove Beach Views</v>
      </c>
      <c r="C8365" s="2" t="str">
        <f ca="1">IFERROR(__xludf.DUMMYFUNCTION("""COMPUTED_VALUE"""),"Building")</f>
        <v>Building</v>
      </c>
      <c r="D8365" s="2" t="str">
        <f ca="1">IFERROR(__xludf.DUMMYFUNCTION("""COMPUTED_VALUE"""),"Abu Dhabi&gt;Saadiyat Island&gt;Saadiyat Cultural District&gt;Saadiyat Grove&gt;Grove Beach Views")</f>
        <v>Abu Dhabi&gt;Saadiyat Island&gt;Saadiyat Cultural District&gt;Saadiyat Grove&gt;Grove Beach Views</v>
      </c>
      <c r="E8365" s="2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</row>
    <row r="8366" spans="1:26" ht="16.5" x14ac:dyDescent="0.35">
      <c r="A8366" s="2" t="str">
        <f ca="1">IFERROR(__xludf.DUMMYFUNCTION("""COMPUTED_VALUE"""),"Abu Dhabi")</f>
        <v>Abu Dhabi</v>
      </c>
      <c r="B8366" s="2" t="str">
        <f ca="1">IFERROR(__xludf.DUMMYFUNCTION("""COMPUTED_VALUE"""),"HIDD Al Saadiyat")</f>
        <v>HIDD Al Saadiyat</v>
      </c>
      <c r="C8366" s="2" t="str">
        <f ca="1">IFERROR(__xludf.DUMMYFUNCTION("""COMPUTED_VALUE"""),"Neighbourhood")</f>
        <v>Neighbourhood</v>
      </c>
      <c r="D8366" s="2" t="str">
        <f ca="1">IFERROR(__xludf.DUMMYFUNCTION("""COMPUTED_VALUE"""),"Abu Dhabi&gt;Saadiyat Island&gt;HIDD Al Saadiyat")</f>
        <v>Abu Dhabi&gt;Saadiyat Island&gt;HIDD Al Saadiyat</v>
      </c>
      <c r="E8366" s="2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</row>
    <row r="8367" spans="1:26" ht="16.5" x14ac:dyDescent="0.35">
      <c r="A8367" s="2" t="str">
        <f ca="1">IFERROR(__xludf.DUMMYFUNCTION("""COMPUTED_VALUE"""),"Abu Dhabi")</f>
        <v>Abu Dhabi</v>
      </c>
      <c r="B8367" s="2" t="str">
        <f ca="1">IFERROR(__xludf.DUMMYFUNCTION("""COMPUTED_VALUE"""),"Global Gate")</f>
        <v>Global Gate</v>
      </c>
      <c r="C8367" s="2" t="str">
        <f ca="1">IFERROR(__xludf.DUMMYFUNCTION("""COMPUTED_VALUE"""),"Neighbourhood")</f>
        <v>Neighbourhood</v>
      </c>
      <c r="D8367" s="2" t="str">
        <f ca="1">IFERROR(__xludf.DUMMYFUNCTION("""COMPUTED_VALUE"""),"Abu Dhabi&gt;Saadiyat Island&gt;Global Gate")</f>
        <v>Abu Dhabi&gt;Saadiyat Island&gt;Global Gate</v>
      </c>
      <c r="E8367" s="2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</row>
    <row r="8368" spans="1:26" ht="16.5" x14ac:dyDescent="0.35">
      <c r="A8368" s="2" t="str">
        <f ca="1">IFERROR(__xludf.DUMMYFUNCTION("""COMPUTED_VALUE"""),"Abu Dhabi")</f>
        <v>Abu Dhabi</v>
      </c>
      <c r="B8368" s="2" t="str">
        <f ca="1">IFERROR(__xludf.DUMMYFUNCTION("""COMPUTED_VALUE"""),"Al Muneera Island")</f>
        <v>Al Muneera Island</v>
      </c>
      <c r="C8368" s="2" t="str">
        <f ca="1">IFERROR(__xludf.DUMMYFUNCTION("""COMPUTED_VALUE"""),"Neighbourhood")</f>
        <v>Neighbourhood</v>
      </c>
      <c r="D8368" s="2" t="str">
        <f ca="1">IFERROR(__xludf.DUMMYFUNCTION("""COMPUTED_VALUE"""),"Abu Dhabi&gt;Al Raha Beach&gt;Al Muneera Island")</f>
        <v>Abu Dhabi&gt;Al Raha Beach&gt;Al Muneera Island</v>
      </c>
      <c r="E8368" s="2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</row>
    <row r="8369" spans="1:26" ht="16.5" x14ac:dyDescent="0.35">
      <c r="A8369" s="2" t="str">
        <f ca="1">IFERROR(__xludf.DUMMYFUNCTION("""COMPUTED_VALUE"""),"Abu Dhabi")</f>
        <v>Abu Dhabi</v>
      </c>
      <c r="B8369" s="2" t="str">
        <f ca="1">IFERROR(__xludf.DUMMYFUNCTION("""COMPUTED_VALUE"""),"Al Muneera")</f>
        <v>Al Muneera</v>
      </c>
      <c r="C8369" s="2" t="str">
        <f ca="1">IFERROR(__xludf.DUMMYFUNCTION("""COMPUTED_VALUE"""),"Neighbourhood")</f>
        <v>Neighbourhood</v>
      </c>
      <c r="D8369" s="2" t="str">
        <f ca="1">IFERROR(__xludf.DUMMYFUNCTION("""COMPUTED_VALUE"""),"Abu Dhabi&gt;Al Raha Beach&gt;Al Muneera")</f>
        <v>Abu Dhabi&gt;Al Raha Beach&gt;Al Muneera</v>
      </c>
      <c r="E8369" s="2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</row>
    <row r="8370" spans="1:26" ht="16.5" x14ac:dyDescent="0.35">
      <c r="A8370" s="2" t="str">
        <f ca="1">IFERROR(__xludf.DUMMYFUNCTION("""COMPUTED_VALUE"""),"Abu Dhabi")</f>
        <v>Abu Dhabi</v>
      </c>
      <c r="B8370" s="2" t="str">
        <f ca="1">IFERROR(__xludf.DUMMYFUNCTION("""COMPUTED_VALUE"""),"Al Thuraya")</f>
        <v>Al Thuraya</v>
      </c>
      <c r="C8370" s="2" t="str">
        <f ca="1">IFERROR(__xludf.DUMMYFUNCTION("""COMPUTED_VALUE"""),"Neighbourhood")</f>
        <v>Neighbourhood</v>
      </c>
      <c r="D8370" s="2" t="str">
        <f ca="1">IFERROR(__xludf.DUMMYFUNCTION("""COMPUTED_VALUE"""),"Abu Dhabi&gt;Al Raha Beach&gt;Al Thuraya")</f>
        <v>Abu Dhabi&gt;Al Raha Beach&gt;Al Thuraya</v>
      </c>
      <c r="E8370" s="2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</row>
    <row r="8371" spans="1:26" ht="16.5" x14ac:dyDescent="0.35">
      <c r="A8371" s="2" t="str">
        <f ca="1">IFERROR(__xludf.DUMMYFUNCTION("""COMPUTED_VALUE"""),"Abu Dhabi")</f>
        <v>Abu Dhabi</v>
      </c>
      <c r="B8371" s="2" t="str">
        <f ca="1">IFERROR(__xludf.DUMMYFUNCTION("""COMPUTED_VALUE"""),"P-1912")</f>
        <v>P-1912</v>
      </c>
      <c r="C8371" s="2" t="str">
        <f ca="1">IFERROR(__xludf.DUMMYFUNCTION("""COMPUTED_VALUE"""),"Building")</f>
        <v>Building</v>
      </c>
      <c r="D8371" s="2" t="str">
        <f ca="1">IFERROR(__xludf.DUMMYFUNCTION("""COMPUTED_VALUE"""),"Abu Dhabi&gt;Al Raha Beach&gt;P-1912")</f>
        <v>Abu Dhabi&gt;Al Raha Beach&gt;P-1912</v>
      </c>
      <c r="E8371" s="2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</row>
    <row r="8372" spans="1:26" ht="16.5" x14ac:dyDescent="0.35">
      <c r="A8372" s="2" t="str">
        <f ca="1">IFERROR(__xludf.DUMMYFUNCTION("""COMPUTED_VALUE"""),"Abu Dhabi")</f>
        <v>Abu Dhabi</v>
      </c>
      <c r="B8372" s="2" t="str">
        <f ca="1">IFERROR(__xludf.DUMMYFUNCTION("""COMPUTED_VALUE"""),"Al Salam Street")</f>
        <v>Al Salam Street</v>
      </c>
      <c r="C8372" s="2" t="str">
        <f ca="1">IFERROR(__xludf.DUMMYFUNCTION("""COMPUTED_VALUE"""),"Neighbourhood")</f>
        <v>Neighbourhood</v>
      </c>
      <c r="D8372" s="2" t="str">
        <f ca="1">IFERROR(__xludf.DUMMYFUNCTION("""COMPUTED_VALUE"""),"Abu Dhabi&gt;Al Salam Street")</f>
        <v>Abu Dhabi&gt;Al Salam Street</v>
      </c>
      <c r="E8372" s="2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</row>
    <row r="8373" spans="1:26" ht="16.5" x14ac:dyDescent="0.35">
      <c r="A8373" s="2" t="str">
        <f ca="1">IFERROR(__xludf.DUMMYFUNCTION("""COMPUTED_VALUE"""),"Abu Dhabi")</f>
        <v>Abu Dhabi</v>
      </c>
      <c r="B8373" s="2" t="str">
        <f ca="1">IFERROR(__xludf.DUMMYFUNCTION("""COMPUTED_VALUE"""),"Shining Star International School")</f>
        <v>Shining Star International School</v>
      </c>
      <c r="C8373" s="2" t="str">
        <f ca="1">IFERROR(__xludf.DUMMYFUNCTION("""COMPUTED_VALUE"""),"School")</f>
        <v>School</v>
      </c>
      <c r="D8373" s="2" t="str">
        <f ca="1">IFERROR(__xludf.DUMMYFUNCTION("""COMPUTED_VALUE"""),"Abu Dhabi&gt;Mohamed Bin Zayed City&gt;Shining Star International School")</f>
        <v>Abu Dhabi&gt;Mohamed Bin Zayed City&gt;Shining Star International School</v>
      </c>
      <c r="E8373" s="2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</row>
    <row r="8374" spans="1:26" ht="16.5" x14ac:dyDescent="0.35">
      <c r="A8374" s="2" t="str">
        <f ca="1">IFERROR(__xludf.DUMMYFUNCTION("""COMPUTED_VALUE"""),"Abu Dhabi")</f>
        <v>Abu Dhabi</v>
      </c>
      <c r="B8374" s="2" t="str">
        <f ca="1">IFERROR(__xludf.DUMMYFUNCTION("""COMPUTED_VALUE"""),"Jawaher Madinat MBZ")</f>
        <v>Jawaher Madinat MBZ</v>
      </c>
      <c r="C8374" s="2" t="str">
        <f ca="1">IFERROR(__xludf.DUMMYFUNCTION("""COMPUTED_VALUE"""),"Building")</f>
        <v>Building</v>
      </c>
      <c r="D8374" s="2" t="str">
        <f ca="1">IFERROR(__xludf.DUMMYFUNCTION("""COMPUTED_VALUE"""),"Abu Dhabi&gt;Mohamed Bin Zayed City&gt;Jawaher Madinat MBZ")</f>
        <v>Abu Dhabi&gt;Mohamed Bin Zayed City&gt;Jawaher Madinat MBZ</v>
      </c>
      <c r="E8374" s="2"/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</row>
    <row r="8375" spans="1:26" ht="16.5" x14ac:dyDescent="0.35">
      <c r="A8375" s="2" t="str">
        <f ca="1">IFERROR(__xludf.DUMMYFUNCTION("""COMPUTED_VALUE"""),"Abu Dhabi")</f>
        <v>Abu Dhabi</v>
      </c>
      <c r="B8375" s="2" t="str">
        <f ca="1">IFERROR(__xludf.DUMMYFUNCTION("""COMPUTED_VALUE"""),"Building 10")</f>
        <v>Building 10</v>
      </c>
      <c r="C8375" s="2" t="str">
        <f ca="1">IFERROR(__xludf.DUMMYFUNCTION("""COMPUTED_VALUE"""),"Building")</f>
        <v>Building</v>
      </c>
      <c r="D8375" s="2" t="str">
        <f ca="1">IFERROR(__xludf.DUMMYFUNCTION("""COMPUTED_VALUE"""),"Abu Dhabi&gt;Al Reef&gt;Al Reef Downtown&gt;Building 10")</f>
        <v>Abu Dhabi&gt;Al Reef&gt;Al Reef Downtown&gt;Building 10</v>
      </c>
      <c r="E8375" s="2"/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</row>
    <row r="8376" spans="1:26" ht="16.5" x14ac:dyDescent="0.35">
      <c r="A8376" s="2" t="str">
        <f ca="1">IFERROR(__xludf.DUMMYFUNCTION("""COMPUTED_VALUE"""),"Abu Dhabi")</f>
        <v>Abu Dhabi</v>
      </c>
      <c r="B8376" s="2" t="str">
        <f ca="1">IFERROR(__xludf.DUMMYFUNCTION("""COMPUTED_VALUE"""),"Building 5")</f>
        <v>Building 5</v>
      </c>
      <c r="C8376" s="2" t="str">
        <f ca="1">IFERROR(__xludf.DUMMYFUNCTION("""COMPUTED_VALUE"""),"Building")</f>
        <v>Building</v>
      </c>
      <c r="D8376" s="2" t="str">
        <f ca="1">IFERROR(__xludf.DUMMYFUNCTION("""COMPUTED_VALUE"""),"Abu Dhabi&gt;Al Reef&gt;Al Reef Downtown&gt;Building 5")</f>
        <v>Abu Dhabi&gt;Al Reef&gt;Al Reef Downtown&gt;Building 5</v>
      </c>
      <c r="E8376" s="2"/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</row>
    <row r="8377" spans="1:26" ht="16.5" x14ac:dyDescent="0.35">
      <c r="A8377" s="2" t="str">
        <f ca="1">IFERROR(__xludf.DUMMYFUNCTION("""COMPUTED_VALUE"""),"Abu Dhabi")</f>
        <v>Abu Dhabi</v>
      </c>
      <c r="B8377" s="2" t="str">
        <f ca="1">IFERROR(__xludf.DUMMYFUNCTION("""COMPUTED_VALUE"""),"Sola Tower")</f>
        <v>Sola Tower</v>
      </c>
      <c r="C8377" s="2" t="str">
        <f ca="1">IFERROR(__xludf.DUMMYFUNCTION("""COMPUTED_VALUE"""),"Building")</f>
        <v>Building</v>
      </c>
      <c r="D8377" s="2" t="str">
        <f ca="1">IFERROR(__xludf.DUMMYFUNCTION("""COMPUTED_VALUE"""),"Abu Dhabi&gt;Al Najda Street&gt;Sola Tower")</f>
        <v>Abu Dhabi&gt;Al Najda Street&gt;Sola Tower</v>
      </c>
      <c r="E8377" s="2"/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</row>
    <row r="8378" spans="1:26" ht="16.5" x14ac:dyDescent="0.35">
      <c r="A8378" s="2" t="str">
        <f ca="1">IFERROR(__xludf.DUMMYFUNCTION("""COMPUTED_VALUE"""),"Abu Dhabi")</f>
        <v>Abu Dhabi</v>
      </c>
      <c r="B8378" s="2" t="str">
        <f ca="1">IFERROR(__xludf.DUMMYFUNCTION("""COMPUTED_VALUE"""),"Capital Tower")</f>
        <v>Capital Tower</v>
      </c>
      <c r="C8378" s="2" t="str">
        <f ca="1">IFERROR(__xludf.DUMMYFUNCTION("""COMPUTED_VALUE"""),"Building")</f>
        <v>Building</v>
      </c>
      <c r="D8378" s="2" t="str">
        <f ca="1">IFERROR(__xludf.DUMMYFUNCTION("""COMPUTED_VALUE"""),"Abu Dhabi&gt;Capital Centre&gt;Capital Tower")</f>
        <v>Abu Dhabi&gt;Capital Centre&gt;Capital Tower</v>
      </c>
      <c r="E8378" s="2"/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</row>
    <row r="8379" spans="1:26" ht="16.5" x14ac:dyDescent="0.35">
      <c r="A8379" s="2" t="str">
        <f ca="1">IFERROR(__xludf.DUMMYFUNCTION("""COMPUTED_VALUE"""),"Abu Dhabi")</f>
        <v>Abu Dhabi</v>
      </c>
      <c r="B8379" s="2" t="str">
        <f ca="1">IFERROR(__xludf.DUMMYFUNCTION("""COMPUTED_VALUE"""),"SABIS International School")</f>
        <v>SABIS International School</v>
      </c>
      <c r="C8379" s="2" t="str">
        <f ca="1">IFERROR(__xludf.DUMMYFUNCTION("""COMPUTED_VALUE"""),"School")</f>
        <v>School</v>
      </c>
      <c r="D8379" s="2" t="str">
        <f ca="1">IFERROR(__xludf.DUMMYFUNCTION("""COMPUTED_VALUE"""),"Abu Dhabi&gt;Yas Island&gt;SABIS International School")</f>
        <v>Abu Dhabi&gt;Yas Island&gt;SABIS International School</v>
      </c>
      <c r="E8379" s="2"/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</row>
    <row r="8380" spans="1:26" ht="16.5" x14ac:dyDescent="0.35">
      <c r="A8380" s="2" t="str">
        <f ca="1">IFERROR(__xludf.DUMMYFUNCTION("""COMPUTED_VALUE"""),"Abu Dhabi")</f>
        <v>Abu Dhabi</v>
      </c>
      <c r="B8380" s="2" t="str">
        <f ca="1">IFERROR(__xludf.DUMMYFUNCTION("""COMPUTED_VALUE"""),"The Cedars")</f>
        <v>The Cedars</v>
      </c>
      <c r="C8380" s="2" t="str">
        <f ca="1">IFERROR(__xludf.DUMMYFUNCTION("""COMPUTED_VALUE"""),"Neighbourhood")</f>
        <v>Neighbourhood</v>
      </c>
      <c r="D8380" s="2" t="str">
        <f ca="1">IFERROR(__xludf.DUMMYFUNCTION("""COMPUTED_VALUE"""),"Abu Dhabi&gt;Yas Island&gt;Yas Acres&gt;The Cedars")</f>
        <v>Abu Dhabi&gt;Yas Island&gt;Yas Acres&gt;The Cedars</v>
      </c>
      <c r="E8380" s="2"/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</row>
    <row r="8381" spans="1:26" ht="16.5" x14ac:dyDescent="0.35">
      <c r="A8381" s="2" t="str">
        <f ca="1">IFERROR(__xludf.DUMMYFUNCTION("""COMPUTED_VALUE"""),"Abu Dhabi")</f>
        <v>Abu Dhabi</v>
      </c>
      <c r="B8381" s="2" t="str">
        <f ca="1">IFERROR(__xludf.DUMMYFUNCTION("""COMPUTED_VALUE"""),"Yas Mall")</f>
        <v>Yas Mall</v>
      </c>
      <c r="C8381" s="2" t="str">
        <f ca="1">IFERROR(__xludf.DUMMYFUNCTION("""COMPUTED_VALUE"""),"Building")</f>
        <v>Building</v>
      </c>
      <c r="D8381" s="2" t="str">
        <f ca="1">IFERROR(__xludf.DUMMYFUNCTION("""COMPUTED_VALUE"""),"Abu Dhabi&gt;Yas Island&gt;Yas Mall")</f>
        <v>Abu Dhabi&gt;Yas Island&gt;Yas Mall</v>
      </c>
      <c r="E8381" s="2"/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</row>
    <row r="8382" spans="1:26" ht="16.5" x14ac:dyDescent="0.35">
      <c r="A8382" s="2" t="str">
        <f ca="1">IFERROR(__xludf.DUMMYFUNCTION("""COMPUTED_VALUE"""),"Abu Dhabi")</f>
        <v>Abu Dhabi</v>
      </c>
      <c r="B8382" s="2" t="str">
        <f ca="1">IFERROR(__xludf.DUMMYFUNCTION("""COMPUTED_VALUE"""),"Al Shamkha")</f>
        <v>Al Shamkha</v>
      </c>
      <c r="C8382" s="2" t="str">
        <f ca="1">IFERROR(__xludf.DUMMYFUNCTION("""COMPUTED_VALUE"""),"Neighbourhood")</f>
        <v>Neighbourhood</v>
      </c>
      <c r="D8382" s="2" t="str">
        <f ca="1">IFERROR(__xludf.DUMMYFUNCTION("""COMPUTED_VALUE"""),"Abu Dhabi&gt;Al Shamkha")</f>
        <v>Abu Dhabi&gt;Al Shamkha</v>
      </c>
      <c r="E8382" s="2"/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</row>
    <row r="8383" spans="1:26" ht="16.5" x14ac:dyDescent="0.35">
      <c r="A8383" s="2" t="str">
        <f ca="1">IFERROR(__xludf.DUMMYFUNCTION("""COMPUTED_VALUE"""),"Ajman")</f>
        <v>Ajman</v>
      </c>
      <c r="B8383" s="2" t="str">
        <f ca="1">IFERROR(__xludf.DUMMYFUNCTION("""COMPUTED_VALUE"""),"Azha Community")</f>
        <v>Azha Community</v>
      </c>
      <c r="C8383" s="2" t="str">
        <f ca="1">IFERROR(__xludf.DUMMYFUNCTION("""COMPUTED_VALUE"""),"Neighbourhood")</f>
        <v>Neighbourhood</v>
      </c>
      <c r="D8383" s="2" t="str">
        <f ca="1">IFERROR(__xludf.DUMMYFUNCTION("""COMPUTED_VALUE"""),"Ajman&gt;Al Amerah&gt;Azha Community")</f>
        <v>Ajman&gt;Al Amerah&gt;Azha Community</v>
      </c>
      <c r="E8383" s="2"/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</row>
    <row r="8384" spans="1:26" ht="16.5" x14ac:dyDescent="0.35">
      <c r="A8384" s="2" t="str">
        <f ca="1">IFERROR(__xludf.DUMMYFUNCTION("""COMPUTED_VALUE"""),"Ajman")</f>
        <v>Ajman</v>
      </c>
      <c r="B8384" s="2" t="str">
        <f ca="1">IFERROR(__xludf.DUMMYFUNCTION("""COMPUTED_VALUE"""),"Paradise Lakes B3")</f>
        <v>Paradise Lakes B3</v>
      </c>
      <c r="C8384" s="2" t="str">
        <f ca="1">IFERROR(__xludf.DUMMYFUNCTION("""COMPUTED_VALUE"""),"Building")</f>
        <v>Building</v>
      </c>
      <c r="D8384" s="2" t="str">
        <f ca="1">IFERROR(__xludf.DUMMYFUNCTION("""COMPUTED_VALUE"""),"Ajman&gt;Emirates City&gt;Paradise Lakes&gt;Paradise Lakes B3")</f>
        <v>Ajman&gt;Emirates City&gt;Paradise Lakes&gt;Paradise Lakes B3</v>
      </c>
      <c r="E8384" s="2"/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</row>
    <row r="8385" spans="1:26" ht="16.5" x14ac:dyDescent="0.35">
      <c r="A8385" s="2" t="str">
        <f ca="1">IFERROR(__xludf.DUMMYFUNCTION("""COMPUTED_VALUE"""),"Ajman")</f>
        <v>Ajman</v>
      </c>
      <c r="B8385" s="2" t="str">
        <f ca="1">IFERROR(__xludf.DUMMYFUNCTION("""COMPUTED_VALUE"""),"Eden Tower")</f>
        <v>Eden Tower</v>
      </c>
      <c r="C8385" s="2"/>
      <c r="D8385" s="2" t="str">
        <f ca="1">IFERROR(__xludf.DUMMYFUNCTION("""COMPUTED_VALUE"""),"Ajman&gt;Emirates City&gt;Eden Tower")</f>
        <v>Ajman&gt;Emirates City&gt;Eden Tower</v>
      </c>
      <c r="E8385" s="2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</row>
    <row r="8386" spans="1:26" ht="16.5" x14ac:dyDescent="0.35">
      <c r="A8386" s="2" t="str">
        <f ca="1">IFERROR(__xludf.DUMMYFUNCTION("""COMPUTED_VALUE"""),"Ajman")</f>
        <v>Ajman</v>
      </c>
      <c r="B8386" s="2" t="str">
        <f ca="1">IFERROR(__xludf.DUMMYFUNCTION("""COMPUTED_VALUE"""),"International Indian School, Ajman")</f>
        <v>International Indian School, Ajman</v>
      </c>
      <c r="C8386" s="2" t="str">
        <f ca="1">IFERROR(__xludf.DUMMYFUNCTION("""COMPUTED_VALUE"""),"School")</f>
        <v>School</v>
      </c>
      <c r="D8386" s="2" t="str">
        <f ca="1">IFERROR(__xludf.DUMMYFUNCTION("""COMPUTED_VALUE"""),"Ajman&gt;Al Jurf&gt;Al Jurf 2&gt;International Indian School, Ajman")</f>
        <v>Ajman&gt;Al Jurf&gt;Al Jurf 2&gt;International Indian School, Ajman</v>
      </c>
      <c r="E8386" s="2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</row>
    <row r="8387" spans="1:26" ht="16.5" x14ac:dyDescent="0.35">
      <c r="A8387" s="2" t="str">
        <f ca="1">IFERROR(__xludf.DUMMYFUNCTION("""COMPUTED_VALUE"""),"Ajman")</f>
        <v>Ajman</v>
      </c>
      <c r="B8387" s="2" t="str">
        <f ca="1">IFERROR(__xludf.DUMMYFUNCTION("""COMPUTED_VALUE"""),"Al Bustan")</f>
        <v>Al Bustan</v>
      </c>
      <c r="C8387" s="2" t="str">
        <f ca="1">IFERROR(__xludf.DUMMYFUNCTION("""COMPUTED_VALUE"""),"Neighbourhood")</f>
        <v>Neighbourhood</v>
      </c>
      <c r="D8387" s="2" t="str">
        <f ca="1">IFERROR(__xludf.DUMMYFUNCTION("""COMPUTED_VALUE"""),"Ajman&gt;Al Bustan")</f>
        <v>Ajman&gt;Al Bustan</v>
      </c>
      <c r="E8387" s="2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</row>
    <row r="8388" spans="1:26" ht="16.5" x14ac:dyDescent="0.35">
      <c r="A8388" s="2" t="str">
        <f ca="1">IFERROR(__xludf.DUMMYFUNCTION("""COMPUTED_VALUE"""),"Ajman")</f>
        <v>Ajman</v>
      </c>
      <c r="B8388" s="2" t="str">
        <f ca="1">IFERROR(__xludf.DUMMYFUNCTION("""COMPUTED_VALUE"""),"Al Banoosh Building")</f>
        <v>Al Banoosh Building</v>
      </c>
      <c r="C8388" s="2"/>
      <c r="D8388" s="2" t="str">
        <f ca="1">IFERROR(__xludf.DUMMYFUNCTION("""COMPUTED_VALUE"""),"Ajman&gt;Al Rashidiya&gt;Al Rashidiya 1&gt;Al Banoosh Building")</f>
        <v>Ajman&gt;Al Rashidiya&gt;Al Rashidiya 1&gt;Al Banoosh Building</v>
      </c>
      <c r="E8388" s="2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</row>
    <row r="8389" spans="1:26" ht="16.5" x14ac:dyDescent="0.35">
      <c r="A8389" s="2" t="str">
        <f ca="1">IFERROR(__xludf.DUMMYFUNCTION("""COMPUTED_VALUE"""),"Ajman")</f>
        <v>Ajman</v>
      </c>
      <c r="B8389" s="2" t="str">
        <f ca="1">IFERROR(__xludf.DUMMYFUNCTION("""COMPUTED_VALUE"""),"Ajman One Tower 10")</f>
        <v>Ajman One Tower 10</v>
      </c>
      <c r="C8389" s="2"/>
      <c r="D8389" s="2" t="str">
        <f ca="1">IFERROR(__xludf.DUMMYFUNCTION("""COMPUTED_VALUE"""),"Ajman&gt;Al Rashidiya&gt;Al Rashidiya 3&gt;Ajman One Towers&gt;Ajman One Tower 10")</f>
        <v>Ajman&gt;Al Rashidiya&gt;Al Rashidiya 3&gt;Ajman One Towers&gt;Ajman One Tower 10</v>
      </c>
      <c r="E8389" s="2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</row>
    <row r="8390" spans="1:26" ht="16.5" x14ac:dyDescent="0.35">
      <c r="A8390" s="2" t="str">
        <f ca="1">IFERROR(__xludf.DUMMYFUNCTION("""COMPUTED_VALUE"""),"Ajman")</f>
        <v>Ajman</v>
      </c>
      <c r="B8390" s="2" t="str">
        <f ca="1">IFERROR(__xludf.DUMMYFUNCTION("""COMPUTED_VALUE"""),"JR Residence 2")</f>
        <v>JR Residence 2</v>
      </c>
      <c r="C8390" s="2" t="str">
        <f ca="1">IFERROR(__xludf.DUMMYFUNCTION("""COMPUTED_VALUE"""),"Building")</f>
        <v>Building</v>
      </c>
      <c r="D8390" s="2" t="str">
        <f ca="1">IFERROR(__xludf.DUMMYFUNCTION("""COMPUTED_VALUE"""),"Ajman&gt;Al Mowaihat&gt;Al Mowaihat 3&gt;JR Residence 2")</f>
        <v>Ajman&gt;Al Mowaihat&gt;Al Mowaihat 3&gt;JR Residence 2</v>
      </c>
      <c r="E8390" s="2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</row>
    <row r="8391" spans="1:26" ht="16.5" x14ac:dyDescent="0.35">
      <c r="A8391" s="2" t="str">
        <f ca="1">IFERROR(__xludf.DUMMYFUNCTION("""COMPUTED_VALUE"""),"Ajman")</f>
        <v>Ajman</v>
      </c>
      <c r="B8391" s="2" t="str">
        <f ca="1">IFERROR(__xludf.DUMMYFUNCTION("""COMPUTED_VALUE"""),"Emirates Lake Towers")</f>
        <v>Emirates Lake Towers</v>
      </c>
      <c r="C8391" s="2" t="str">
        <f ca="1">IFERROR(__xludf.DUMMYFUNCTION("""COMPUTED_VALUE"""),"Neighbourhood")</f>
        <v>Neighbourhood</v>
      </c>
      <c r="D8391" s="2" t="str">
        <f ca="1">IFERROR(__xludf.DUMMYFUNCTION("""COMPUTED_VALUE"""),"Ajman&gt;Emirates Lake Towers")</f>
        <v>Ajman&gt;Emirates Lake Towers</v>
      </c>
      <c r="E8391" s="2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</row>
    <row r="8392" spans="1:26" ht="16.5" x14ac:dyDescent="0.35">
      <c r="A8392" s="2" t="str">
        <f ca="1">IFERROR(__xludf.DUMMYFUNCTION("""COMPUTED_VALUE"""),"Ajman")</f>
        <v>Ajman</v>
      </c>
      <c r="B8392" s="2" t="str">
        <f ca="1">IFERROR(__xludf.DUMMYFUNCTION("""COMPUTED_VALUE"""),"Tiger Downtown Ajman Tower C")</f>
        <v>Tiger Downtown Ajman Tower C</v>
      </c>
      <c r="C8392" s="2" t="str">
        <f ca="1">IFERROR(__xludf.DUMMYFUNCTION("""COMPUTED_VALUE"""),"Building")</f>
        <v>Building</v>
      </c>
      <c r="D8392" s="2" t="str">
        <f ca="1">IFERROR(__xludf.DUMMYFUNCTION("""COMPUTED_VALUE"""),"Ajman&gt;Al Alia&gt;Tiger Downtown Ajman&gt;Tiger Downtown Ajman Tower C")</f>
        <v>Ajman&gt;Al Alia&gt;Tiger Downtown Ajman&gt;Tiger Downtown Ajman Tower C</v>
      </c>
      <c r="E8392" s="2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</row>
    <row r="8393" spans="1:26" ht="16.5" x14ac:dyDescent="0.35">
      <c r="A8393" s="2" t="str">
        <f ca="1">IFERROR(__xludf.DUMMYFUNCTION("""COMPUTED_VALUE"""),"Ajman")</f>
        <v>Ajman</v>
      </c>
      <c r="B8393" s="2" t="str">
        <f ca="1">IFERROR(__xludf.DUMMYFUNCTION("""COMPUTED_VALUE"""),"Sky Tower")</f>
        <v>Sky Tower</v>
      </c>
      <c r="C8393" s="2"/>
      <c r="D8393" s="2" t="str">
        <f ca="1">IFERROR(__xludf.DUMMYFUNCTION("""COMPUTED_VALUE"""),"Ajman&gt;Al Humaid City&gt;Sky Tower")</f>
        <v>Ajman&gt;Al Humaid City&gt;Sky Tower</v>
      </c>
      <c r="E8393" s="2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</row>
    <row r="8394" spans="1:26" ht="16.5" x14ac:dyDescent="0.35">
      <c r="A8394" s="2" t="str">
        <f ca="1">IFERROR(__xludf.DUMMYFUNCTION("""COMPUTED_VALUE"""),"Ajman")</f>
        <v>Ajman</v>
      </c>
      <c r="B8394" s="2" t="str">
        <f ca="1">IFERROR(__xludf.DUMMYFUNCTION("""COMPUTED_VALUE"""),"Masfout")</f>
        <v>Masfout</v>
      </c>
      <c r="C8394" s="2" t="str">
        <f ca="1">IFERROR(__xludf.DUMMYFUNCTION("""COMPUTED_VALUE"""),"Neighbourhood")</f>
        <v>Neighbourhood</v>
      </c>
      <c r="D8394" s="2" t="str">
        <f ca="1">IFERROR(__xludf.DUMMYFUNCTION("""COMPUTED_VALUE"""),"Ajman&gt;Masfout")</f>
        <v>Ajman&gt;Masfout</v>
      </c>
      <c r="E8394" s="2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</row>
    <row r="8395" spans="1:26" ht="16.5" x14ac:dyDescent="0.35">
      <c r="A8395" s="2" t="str">
        <f ca="1">IFERROR(__xludf.DUMMYFUNCTION("""COMPUTED_VALUE"""),"Ajman")</f>
        <v>Ajman</v>
      </c>
      <c r="B8395" s="2" t="str">
        <f ca="1">IFERROR(__xludf.DUMMYFUNCTION("""COMPUTED_VALUE"""),"Nuaimeya Tower C")</f>
        <v>Nuaimeya Tower C</v>
      </c>
      <c r="C8395" s="2" t="str">
        <f ca="1">IFERROR(__xludf.DUMMYFUNCTION("""COMPUTED_VALUE"""),"Building")</f>
        <v>Building</v>
      </c>
      <c r="D8395" s="2" t="str">
        <f ca="1">IFERROR(__xludf.DUMMYFUNCTION("""COMPUTED_VALUE"""),"Ajman&gt;Al Nuaimiya&gt;Al Nuaimiya 1&gt;Nuaimeya Tower C")</f>
        <v>Ajman&gt;Al Nuaimiya&gt;Al Nuaimiya 1&gt;Nuaimeya Tower C</v>
      </c>
      <c r="E8395" s="2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</row>
    <row r="8396" spans="1:26" ht="16.5" x14ac:dyDescent="0.35">
      <c r="A8396" s="2" t="str">
        <f ca="1">IFERROR(__xludf.DUMMYFUNCTION("""COMPUTED_VALUE"""),"Ajman")</f>
        <v>Ajman</v>
      </c>
      <c r="B8396" s="2" t="str">
        <f ca="1">IFERROR(__xludf.DUMMYFUNCTION("""COMPUTED_VALUE"""),"T. Ten Tower")</f>
        <v>T. Ten Tower</v>
      </c>
      <c r="C8396" s="2"/>
      <c r="D8396" s="2" t="str">
        <f ca="1">IFERROR(__xludf.DUMMYFUNCTION("""COMPUTED_VALUE"""),"Ajman&gt;Park View City&gt;T. Ten Tower")</f>
        <v>Ajman&gt;Park View City&gt;T. Ten Tower</v>
      </c>
      <c r="E8396" s="2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</row>
    <row r="8397" spans="1:26" ht="16.5" x14ac:dyDescent="0.35">
      <c r="A8397" s="2" t="str">
        <f ca="1">IFERROR(__xludf.DUMMYFUNCTION("""COMPUTED_VALUE"""),"Sharjah")</f>
        <v>Sharjah</v>
      </c>
      <c r="B8397" s="2" t="str">
        <f ca="1">IFERROR(__xludf.DUMMYFUNCTION("""COMPUTED_VALUE"""),"Al Buhaira Towers")</f>
        <v>Al Buhaira Towers</v>
      </c>
      <c r="C8397" s="2"/>
      <c r="D8397" s="2" t="str">
        <f ca="1">IFERROR(__xludf.DUMMYFUNCTION("""COMPUTED_VALUE"""),"Sharjah&gt;Al Nahda (Sharjah)&gt;Al Buhaira Towers")</f>
        <v>Sharjah&gt;Al Nahda (Sharjah)&gt;Al Buhaira Towers</v>
      </c>
      <c r="E8397" s="2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</row>
    <row r="8398" spans="1:26" ht="16.5" x14ac:dyDescent="0.35">
      <c r="A8398" s="2" t="str">
        <f ca="1">IFERROR(__xludf.DUMMYFUNCTION("""COMPUTED_VALUE"""),"Sharjah")</f>
        <v>Sharjah</v>
      </c>
      <c r="B8398" s="2" t="str">
        <f ca="1">IFERROR(__xludf.DUMMYFUNCTION("""COMPUTED_VALUE"""),"Ansar Building")</f>
        <v>Ansar Building</v>
      </c>
      <c r="C8398" s="2"/>
      <c r="D8398" s="2" t="str">
        <f ca="1">IFERROR(__xludf.DUMMYFUNCTION("""COMPUTED_VALUE"""),"Sharjah&gt;Al Nahda (Sharjah)&gt;Ansar Building")</f>
        <v>Sharjah&gt;Al Nahda (Sharjah)&gt;Ansar Building</v>
      </c>
      <c r="E8398" s="2"/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</row>
    <row r="8399" spans="1:26" ht="16.5" x14ac:dyDescent="0.35">
      <c r="A8399" s="2" t="str">
        <f ca="1">IFERROR(__xludf.DUMMYFUNCTION("""COMPUTED_VALUE"""),"Sharjah")</f>
        <v>Sharjah</v>
      </c>
      <c r="B8399" s="2" t="str">
        <f ca="1">IFERROR(__xludf.DUMMYFUNCTION("""COMPUTED_VALUE"""),"Al Tahiera Tower")</f>
        <v>Al Tahiera Tower</v>
      </c>
      <c r="C8399" s="2"/>
      <c r="D8399" s="2" t="str">
        <f ca="1">IFERROR(__xludf.DUMMYFUNCTION("""COMPUTED_VALUE"""),"Sharjah&gt;Al Nahda (Sharjah)&gt;Al Tahiera Tower")</f>
        <v>Sharjah&gt;Al Nahda (Sharjah)&gt;Al Tahiera Tower</v>
      </c>
      <c r="E8399" s="2"/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</row>
    <row r="8400" spans="1:26" ht="16.5" x14ac:dyDescent="0.35">
      <c r="A8400" s="2" t="str">
        <f ca="1">IFERROR(__xludf.DUMMYFUNCTION("""COMPUTED_VALUE"""),"Sharjah")</f>
        <v>Sharjah</v>
      </c>
      <c r="B8400" s="2" t="str">
        <f ca="1">IFERROR(__xludf.DUMMYFUNCTION("""COMPUTED_VALUE"""),"Shaifa Building")</f>
        <v>Shaifa Building</v>
      </c>
      <c r="C8400" s="2"/>
      <c r="D8400" s="2" t="str">
        <f ca="1">IFERROR(__xludf.DUMMYFUNCTION("""COMPUTED_VALUE"""),"Sharjah&gt;Al Nahda (Sharjah)&gt;Shaifa Building")</f>
        <v>Sharjah&gt;Al Nahda (Sharjah)&gt;Shaifa Building</v>
      </c>
      <c r="E8400" s="2"/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</row>
    <row r="8401" spans="1:26" ht="16.5" x14ac:dyDescent="0.35">
      <c r="A8401" s="2" t="str">
        <f ca="1">IFERROR(__xludf.DUMMYFUNCTION("""COMPUTED_VALUE"""),"Sharjah")</f>
        <v>Sharjah</v>
      </c>
      <c r="B8401" s="2" t="str">
        <f ca="1">IFERROR(__xludf.DUMMYFUNCTION("""COMPUTED_VALUE"""),"Al Zubair")</f>
        <v>Al Zubair</v>
      </c>
      <c r="C8401" s="2" t="str">
        <f ca="1">IFERROR(__xludf.DUMMYFUNCTION("""COMPUTED_VALUE"""),"Neighbourhood")</f>
        <v>Neighbourhood</v>
      </c>
      <c r="D8401" s="2" t="str">
        <f ca="1">IFERROR(__xludf.DUMMYFUNCTION("""COMPUTED_VALUE"""),"Sharjah&gt;Al Zubair")</f>
        <v>Sharjah&gt;Al Zubair</v>
      </c>
      <c r="E8401" s="2"/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</row>
    <row r="8402" spans="1:26" ht="16.5" x14ac:dyDescent="0.35">
      <c r="A8402" s="2" t="str">
        <f ca="1">IFERROR(__xludf.DUMMYFUNCTION("""COMPUTED_VALUE"""),"Sharjah")</f>
        <v>Sharjah</v>
      </c>
      <c r="B8402" s="2" t="str">
        <f ca="1">IFERROR(__xludf.DUMMYFUNCTION("""COMPUTED_VALUE"""),"The Riff")</f>
        <v>The Riff</v>
      </c>
      <c r="C8402" s="2" t="str">
        <f ca="1">IFERROR(__xludf.DUMMYFUNCTION("""COMPUTED_VALUE"""),"Cluster")</f>
        <v>Cluster</v>
      </c>
      <c r="D8402" s="2" t="str">
        <f ca="1">IFERROR(__xludf.DUMMYFUNCTION("""COMPUTED_VALUE"""),"Sharjah&gt;Aljada&gt;East Village&gt;The Riff")</f>
        <v>Sharjah&gt;Aljada&gt;East Village&gt;The Riff</v>
      </c>
      <c r="E8402" s="2"/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</row>
    <row r="8403" spans="1:26" ht="16.5" x14ac:dyDescent="0.35">
      <c r="A8403" s="2" t="str">
        <f ca="1">IFERROR(__xludf.DUMMYFUNCTION("""COMPUTED_VALUE"""),"Sharjah")</f>
        <v>Sharjah</v>
      </c>
      <c r="B8403" s="2" t="str">
        <f ca="1">IFERROR(__xludf.DUMMYFUNCTION("""COMPUTED_VALUE"""),"Tiraz")</f>
        <v>Tiraz</v>
      </c>
      <c r="C8403" s="2" t="str">
        <f ca="1">IFERROR(__xludf.DUMMYFUNCTION("""COMPUTED_VALUE"""),"Cluster")</f>
        <v>Cluster</v>
      </c>
      <c r="D8403" s="2" t="str">
        <f ca="1">IFERROR(__xludf.DUMMYFUNCTION("""COMPUTED_VALUE"""),"Sharjah&gt;Aljada&gt;Naseej District&gt;Tiraz")</f>
        <v>Sharjah&gt;Aljada&gt;Naseej District&gt;Tiraz</v>
      </c>
      <c r="E8403" s="2"/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</row>
    <row r="8404" spans="1:26" ht="16.5" x14ac:dyDescent="0.35">
      <c r="A8404" s="2" t="str">
        <f ca="1">IFERROR(__xludf.DUMMYFUNCTION("""COMPUTED_VALUE"""),"Sharjah")</f>
        <v>Sharjah</v>
      </c>
      <c r="B8404" s="2" t="str">
        <f ca="1">IFERROR(__xludf.DUMMYFUNCTION("""COMPUTED_VALUE"""),"Nesba 2")</f>
        <v>Nesba 2</v>
      </c>
      <c r="C8404" s="2" t="str">
        <f ca="1">IFERROR(__xludf.DUMMYFUNCTION("""COMPUTED_VALUE"""),"Building")</f>
        <v>Building</v>
      </c>
      <c r="D8404" s="2" t="str">
        <f ca="1">IFERROR(__xludf.DUMMYFUNCTION("""COMPUTED_VALUE"""),"Sharjah&gt;Aljada&gt;Nesba&gt;Nesba 2")</f>
        <v>Sharjah&gt;Aljada&gt;Nesba&gt;Nesba 2</v>
      </c>
      <c r="E8404" s="2"/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</row>
    <row r="8405" spans="1:26" ht="16.5" x14ac:dyDescent="0.35">
      <c r="A8405" s="2" t="str">
        <f ca="1">IFERROR(__xludf.DUMMYFUNCTION("""COMPUTED_VALUE"""),"Sharjah")</f>
        <v>Sharjah</v>
      </c>
      <c r="B8405" s="2" t="str">
        <f ca="1">IFERROR(__xludf.DUMMYFUNCTION("""COMPUTED_VALUE"""),"Al Mujarrah")</f>
        <v>Al Mujarrah</v>
      </c>
      <c r="C8405" s="2" t="str">
        <f ca="1">IFERROR(__xludf.DUMMYFUNCTION("""COMPUTED_VALUE"""),"Neighbourhood")</f>
        <v>Neighbourhood</v>
      </c>
      <c r="D8405" s="2" t="str">
        <f ca="1">IFERROR(__xludf.DUMMYFUNCTION("""COMPUTED_VALUE"""),"Sharjah&gt;Al Mujarrah")</f>
        <v>Sharjah&gt;Al Mujarrah</v>
      </c>
      <c r="E8405" s="2"/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</row>
    <row r="8406" spans="1:26" ht="16.5" x14ac:dyDescent="0.35">
      <c r="A8406" s="2" t="str">
        <f ca="1">IFERROR(__xludf.DUMMYFUNCTION("""COMPUTED_VALUE"""),"Sharjah")</f>
        <v>Sharjah</v>
      </c>
      <c r="B8406" s="2" t="str">
        <f ca="1">IFERROR(__xludf.DUMMYFUNCTION("""COMPUTED_VALUE"""),"Al Sadek 1")</f>
        <v>Al Sadek 1</v>
      </c>
      <c r="C8406" s="2"/>
      <c r="D8406" s="2" t="str">
        <f ca="1">IFERROR(__xludf.DUMMYFUNCTION("""COMPUTED_VALUE"""),"Sharjah&gt;Abu Shagara&gt;Al Sadek 1")</f>
        <v>Sharjah&gt;Abu Shagara&gt;Al Sadek 1</v>
      </c>
      <c r="E8406" s="2"/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</row>
    <row r="8407" spans="1:26" ht="16.5" x14ac:dyDescent="0.35">
      <c r="A8407" s="2" t="str">
        <f ca="1">IFERROR(__xludf.DUMMYFUNCTION("""COMPUTED_VALUE"""),"Sharjah")</f>
        <v>Sharjah</v>
      </c>
      <c r="B8407" s="2" t="str">
        <f ca="1">IFERROR(__xludf.DUMMYFUNCTION("""COMPUTED_VALUE"""),"Manazil Tower 3")</f>
        <v>Manazil Tower 3</v>
      </c>
      <c r="C8407" s="2" t="str">
        <f ca="1">IFERROR(__xludf.DUMMYFUNCTION("""COMPUTED_VALUE"""),"Building")</f>
        <v>Building</v>
      </c>
      <c r="D8407" s="2" t="str">
        <f ca="1">IFERROR(__xludf.DUMMYFUNCTION("""COMPUTED_VALUE"""),"Sharjah&gt;Al Mamzar&gt;Manazil Tower 3")</f>
        <v>Sharjah&gt;Al Mamzar&gt;Manazil Tower 3</v>
      </c>
      <c r="E8407" s="2"/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</row>
    <row r="8408" spans="1:26" ht="16.5" x14ac:dyDescent="0.35">
      <c r="A8408" s="2" t="str">
        <f ca="1">IFERROR(__xludf.DUMMYFUNCTION("""COMPUTED_VALUE"""),"Sharjah")</f>
        <v>Sharjah</v>
      </c>
      <c r="B8408" s="2" t="str">
        <f ca="1">IFERROR(__xludf.DUMMYFUNCTION("""COMPUTED_VALUE"""),"Al Shumais Towers")</f>
        <v>Al Shumais Towers</v>
      </c>
      <c r="C8408" s="2"/>
      <c r="D8408" s="2" t="str">
        <f ca="1">IFERROR(__xludf.DUMMYFUNCTION("""COMPUTED_VALUE"""),"Sharjah&gt;Al Jubail&gt;Al Shumais Towers")</f>
        <v>Sharjah&gt;Al Jubail&gt;Al Shumais Towers</v>
      </c>
      <c r="E8408" s="2"/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</row>
    <row r="8409" spans="1:26" ht="16.5" x14ac:dyDescent="0.35">
      <c r="A8409" s="2" t="str">
        <f ca="1">IFERROR(__xludf.DUMMYFUNCTION("""COMPUTED_VALUE"""),"Sharjah")</f>
        <v>Sharjah</v>
      </c>
      <c r="B8409" s="2" t="str">
        <f ca="1">IFERROR(__xludf.DUMMYFUNCTION("""COMPUTED_VALUE"""),"Morooj")</f>
        <v>Morooj</v>
      </c>
      <c r="C8409" s="2" t="str">
        <f ca="1">IFERROR(__xludf.DUMMYFUNCTION("""COMPUTED_VALUE"""),"Neighbourhood")</f>
        <v>Neighbourhood</v>
      </c>
      <c r="D8409" s="2" t="str">
        <f ca="1">IFERROR(__xludf.DUMMYFUNCTION("""COMPUTED_VALUE"""),"Sharjah&gt;Tilal City&gt;Morooj")</f>
        <v>Sharjah&gt;Tilal City&gt;Morooj</v>
      </c>
      <c r="E8409" s="2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</row>
    <row r="8410" spans="1:26" ht="16.5" x14ac:dyDescent="0.35">
      <c r="A8410" s="2" t="str">
        <f ca="1">IFERROR(__xludf.DUMMYFUNCTION("""COMPUTED_VALUE"""),"Sharjah")</f>
        <v>Sharjah</v>
      </c>
      <c r="B8410" s="2" t="str">
        <f ca="1">IFERROR(__xludf.DUMMYFUNCTION("""COMPUTED_VALUE"""),"Al Noaf 4")</f>
        <v>Al Noaf 4</v>
      </c>
      <c r="C8410" s="2"/>
      <c r="D8410" s="2" t="str">
        <f ca="1">IFERROR(__xludf.DUMMYFUNCTION("""COMPUTED_VALUE"""),"Sharjah&gt;Al Noaf&gt;Al Noaf 4")</f>
        <v>Sharjah&gt;Al Noaf&gt;Al Noaf 4</v>
      </c>
      <c r="E8410" s="2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</row>
    <row r="8411" spans="1:26" ht="16.5" x14ac:dyDescent="0.35">
      <c r="A8411" s="2" t="str">
        <f ca="1">IFERROR(__xludf.DUMMYFUNCTION("""COMPUTED_VALUE"""),"Sharjah")</f>
        <v>Sharjah</v>
      </c>
      <c r="B8411" s="2" t="str">
        <f ca="1">IFERROR(__xludf.DUMMYFUNCTION("""COMPUTED_VALUE"""),"Lootah Al Musalla")</f>
        <v>Lootah Al Musalla</v>
      </c>
      <c r="C8411" s="2" t="str">
        <f ca="1">IFERROR(__xludf.DUMMYFUNCTION("""COMPUTED_VALUE"""),"Building")</f>
        <v>Building</v>
      </c>
      <c r="D8411" s="2" t="str">
        <f ca="1">IFERROR(__xludf.DUMMYFUNCTION("""COMPUTED_VALUE"""),"Sharjah&gt;Al Musalla&gt;Lootah Al Musalla")</f>
        <v>Sharjah&gt;Al Musalla&gt;Lootah Al Musalla</v>
      </c>
      <c r="E8411" s="2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</row>
    <row r="8412" spans="1:26" ht="16.5" x14ac:dyDescent="0.35">
      <c r="A8412" s="2" t="str">
        <f ca="1">IFERROR(__xludf.DUMMYFUNCTION("""COMPUTED_VALUE"""),"Sharjah")</f>
        <v>Sharjah</v>
      </c>
      <c r="B8412" s="2" t="str">
        <f ca="1">IFERROR(__xludf.DUMMYFUNCTION("""COMPUTED_VALUE"""),"Maysaloon")</f>
        <v>Maysaloon</v>
      </c>
      <c r="C8412" s="2" t="str">
        <f ca="1">IFERROR(__xludf.DUMMYFUNCTION("""COMPUTED_VALUE"""),"Neighbourhood")</f>
        <v>Neighbourhood</v>
      </c>
      <c r="D8412" s="2" t="str">
        <f ca="1">IFERROR(__xludf.DUMMYFUNCTION("""COMPUTED_VALUE"""),"Sharjah&gt;Maysaloon")</f>
        <v>Sharjah&gt;Maysaloon</v>
      </c>
      <c r="E8412" s="2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</row>
    <row r="8413" spans="1:26" ht="16.5" x14ac:dyDescent="0.35">
      <c r="A8413" s="2" t="str">
        <f ca="1">IFERROR(__xludf.DUMMYFUNCTION("""COMPUTED_VALUE"""),"Sharjah")</f>
        <v>Sharjah</v>
      </c>
      <c r="B8413" s="2" t="str">
        <f ca="1">IFERROR(__xludf.DUMMYFUNCTION("""COMPUTED_VALUE"""),"Sheikh Saqir Bin Hamid Al Qasimi")</f>
        <v>Sheikh Saqir Bin Hamid Al Qasimi</v>
      </c>
      <c r="C8413" s="2"/>
      <c r="D8413" s="2" t="str">
        <f ca="1">IFERROR(__xludf.DUMMYFUNCTION("""COMPUTED_VALUE"""),"Sharjah&gt;Al Mareija&gt;Sheikh Saqir Bin Hamid Al Qasimi")</f>
        <v>Sharjah&gt;Al Mareija&gt;Sheikh Saqir Bin Hamid Al Qasimi</v>
      </c>
      <c r="E8413" s="2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</row>
    <row r="8414" spans="1:26" ht="16.5" x14ac:dyDescent="0.35">
      <c r="A8414" s="2" t="str">
        <f ca="1">IFERROR(__xludf.DUMMYFUNCTION("""COMPUTED_VALUE"""),"Sharjah")</f>
        <v>Sharjah</v>
      </c>
      <c r="B8414" s="2" t="str">
        <f ca="1">IFERROR(__xludf.DUMMYFUNCTION("""COMPUTED_VALUE"""),"Bluebells Nursery Sharjah")</f>
        <v>Bluebells Nursery Sharjah</v>
      </c>
      <c r="C8414" s="2" t="str">
        <f ca="1">IFERROR(__xludf.DUMMYFUNCTION("""COMPUTED_VALUE"""),"Nursery")</f>
        <v>Nursery</v>
      </c>
      <c r="D8414" s="2" t="str">
        <f ca="1">IFERROR(__xludf.DUMMYFUNCTION("""COMPUTED_VALUE"""),"Sharjah&gt;Al Khaledia Suburb&gt;Bluebells Nursery Sharjah")</f>
        <v>Sharjah&gt;Al Khaledia Suburb&gt;Bluebells Nursery Sharjah</v>
      </c>
      <c r="E8414" s="2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</row>
    <row r="8415" spans="1:26" ht="16.5" x14ac:dyDescent="0.35">
      <c r="A8415" s="2" t="str">
        <f ca="1">IFERROR(__xludf.DUMMYFUNCTION("""COMPUTED_VALUE"""),"Sharjah")</f>
        <v>Sharjah</v>
      </c>
      <c r="B8415" s="2" t="str">
        <f ca="1">IFERROR(__xludf.DUMMYFUNCTION("""COMPUTED_VALUE"""),"Al Mahata Building")</f>
        <v>Al Mahata Building</v>
      </c>
      <c r="C8415" s="2" t="str">
        <f ca="1">IFERROR(__xludf.DUMMYFUNCTION("""COMPUTED_VALUE"""),"Building")</f>
        <v>Building</v>
      </c>
      <c r="D8415" s="2" t="str">
        <f ca="1">IFERROR(__xludf.DUMMYFUNCTION("""COMPUTED_VALUE"""),"Sharjah&gt;Al Mahatah&gt;Al Mahata Building")</f>
        <v>Sharjah&gt;Al Mahatah&gt;Al Mahata Building</v>
      </c>
      <c r="E8415" s="2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</row>
    <row r="8416" spans="1:26" ht="16.5" x14ac:dyDescent="0.35">
      <c r="A8416" s="2" t="str">
        <f ca="1">IFERROR(__xludf.DUMMYFUNCTION("""COMPUTED_VALUE"""),"Sharjah")</f>
        <v>Sharjah</v>
      </c>
      <c r="B8416" s="2" t="str">
        <f ca="1">IFERROR(__xludf.DUMMYFUNCTION("""COMPUTED_VALUE"""),"Al Bandary Tower A")</f>
        <v>Al Bandary Tower A</v>
      </c>
      <c r="C8416" s="2" t="str">
        <f ca="1">IFERROR(__xludf.DUMMYFUNCTION("""COMPUTED_VALUE"""),"Building")</f>
        <v>Building</v>
      </c>
      <c r="D8416" s="2" t="str">
        <f ca="1">IFERROR(__xludf.DUMMYFUNCTION("""COMPUTED_VALUE"""),"Sharjah&gt;Al Khan&gt;Al Bandary Twin Towers&gt;Al Bandary Tower A")</f>
        <v>Sharjah&gt;Al Khan&gt;Al Bandary Twin Towers&gt;Al Bandary Tower A</v>
      </c>
      <c r="E8416" s="2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</row>
    <row r="8417" spans="1:26" ht="16.5" x14ac:dyDescent="0.35">
      <c r="A8417" s="2" t="str">
        <f ca="1">IFERROR(__xludf.DUMMYFUNCTION("""COMPUTED_VALUE"""),"Sharjah")</f>
        <v>Sharjah</v>
      </c>
      <c r="B8417" s="2" t="str">
        <f ca="1">IFERROR(__xludf.DUMMYFUNCTION("""COMPUTED_VALUE"""),"Future Tower 2")</f>
        <v>Future Tower 2</v>
      </c>
      <c r="C8417" s="2" t="str">
        <f ca="1">IFERROR(__xludf.DUMMYFUNCTION("""COMPUTED_VALUE"""),"Building")</f>
        <v>Building</v>
      </c>
      <c r="D8417" s="2" t="str">
        <f ca="1">IFERROR(__xludf.DUMMYFUNCTION("""COMPUTED_VALUE"""),"Sharjah&gt;Al Khan&gt;Future Tower&gt;Future Tower 2")</f>
        <v>Sharjah&gt;Al Khan&gt;Future Tower&gt;Future Tower 2</v>
      </c>
      <c r="E8417" s="2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</row>
    <row r="8418" spans="1:26" ht="16.5" x14ac:dyDescent="0.35">
      <c r="A8418" s="2" t="str">
        <f ca="1">IFERROR(__xludf.DUMMYFUNCTION("""COMPUTED_VALUE"""),"Sharjah")</f>
        <v>Sharjah</v>
      </c>
      <c r="B8418" s="2" t="str">
        <f ca="1">IFERROR(__xludf.DUMMYFUNCTION("""COMPUTED_VALUE"""),"Aysha Residences")</f>
        <v>Aysha Residences</v>
      </c>
      <c r="C8418" s="2" t="str">
        <f ca="1">IFERROR(__xludf.DUMMYFUNCTION("""COMPUTED_VALUE"""),"Building")</f>
        <v>Building</v>
      </c>
      <c r="D8418" s="2" t="str">
        <f ca="1">IFERROR(__xludf.DUMMYFUNCTION("""COMPUTED_VALUE"""),"Sharjah&gt;Al Khan&gt;Maryam Island&gt;Aysha Residences")</f>
        <v>Sharjah&gt;Al Khan&gt;Maryam Island&gt;Aysha Residences</v>
      </c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</row>
    <row r="8419" spans="1:26" ht="16.5" x14ac:dyDescent="0.35">
      <c r="A8419" s="2" t="str">
        <f ca="1">IFERROR(__xludf.DUMMYFUNCTION("""COMPUTED_VALUE"""),"Sharjah")</f>
        <v>Sharjah</v>
      </c>
      <c r="B8419" s="2" t="str">
        <f ca="1">IFERROR(__xludf.DUMMYFUNCTION("""COMPUTED_VALUE"""),"Golden Crown Tower")</f>
        <v>Golden Crown Tower</v>
      </c>
      <c r="C8419" s="2"/>
      <c r="D8419" s="2" t="str">
        <f ca="1">IFERROR(__xludf.DUMMYFUNCTION("""COMPUTED_VALUE"""),"Sharjah&gt;Al Khan&gt;Golden Crown Tower")</f>
        <v>Sharjah&gt;Al Khan&gt;Golden Crown Tower</v>
      </c>
      <c r="E8419" s="2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</row>
    <row r="8420" spans="1:26" ht="16.5" x14ac:dyDescent="0.35">
      <c r="A8420" s="2" t="str">
        <f ca="1">IFERROR(__xludf.DUMMYFUNCTION("""COMPUTED_VALUE"""),"Sharjah")</f>
        <v>Sharjah</v>
      </c>
      <c r="B8420" s="2" t="str">
        <f ca="1">IFERROR(__xludf.DUMMYFUNCTION("""COMPUTED_VALUE"""),"Alfa Centre Building")</f>
        <v>Alfa Centre Building</v>
      </c>
      <c r="C8420" s="2" t="str">
        <f ca="1">IFERROR(__xludf.DUMMYFUNCTION("""COMPUTED_VALUE"""),"Building")</f>
        <v>Building</v>
      </c>
      <c r="D8420" s="2" t="str">
        <f ca="1">IFERROR(__xludf.DUMMYFUNCTION("""COMPUTED_VALUE"""),"Sharjah&gt;Al Majaz&gt;Al Majaz 2&gt;Alfa Centre Building")</f>
        <v>Sharjah&gt;Al Majaz&gt;Al Majaz 2&gt;Alfa Centre Building</v>
      </c>
      <c r="E8420" s="2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</row>
    <row r="8421" spans="1:26" ht="16.5" x14ac:dyDescent="0.35">
      <c r="A8421" s="2" t="str">
        <f ca="1">IFERROR(__xludf.DUMMYFUNCTION("""COMPUTED_VALUE"""),"Sharjah")</f>
        <v>Sharjah</v>
      </c>
      <c r="B8421" s="2" t="str">
        <f ca="1">IFERROR(__xludf.DUMMYFUNCTION("""COMPUTED_VALUE"""),"Atlas Tower")</f>
        <v>Atlas Tower</v>
      </c>
      <c r="C8421" s="2"/>
      <c r="D8421" s="2" t="str">
        <f ca="1">IFERROR(__xludf.DUMMYFUNCTION("""COMPUTED_VALUE"""),"Sharjah&gt;Al Majaz&gt;Al Majaz 2&gt;Atlas Tower")</f>
        <v>Sharjah&gt;Al Majaz&gt;Al Majaz 2&gt;Atlas Tower</v>
      </c>
      <c r="E8421" s="2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</row>
    <row r="8422" spans="1:26" ht="16.5" x14ac:dyDescent="0.35">
      <c r="A8422" s="2" t="str">
        <f ca="1">IFERROR(__xludf.DUMMYFUNCTION("""COMPUTED_VALUE"""),"Sharjah")</f>
        <v>Sharjah</v>
      </c>
      <c r="B8422" s="2" t="str">
        <f ca="1">IFERROR(__xludf.DUMMYFUNCTION("""COMPUTED_VALUE"""),"Al Murjan Tower")</f>
        <v>Al Murjan Tower</v>
      </c>
      <c r="C8422" s="2" t="str">
        <f ca="1">IFERROR(__xludf.DUMMYFUNCTION("""COMPUTED_VALUE"""),"Building")</f>
        <v>Building</v>
      </c>
      <c r="D8422" s="2" t="str">
        <f ca="1">IFERROR(__xludf.DUMMYFUNCTION("""COMPUTED_VALUE"""),"Sharjah&gt;Al Majaz&gt;Al Majaz 2&gt;Al Murjan Tower")</f>
        <v>Sharjah&gt;Al Majaz&gt;Al Majaz 2&gt;Al Murjan Tower</v>
      </c>
      <c r="E8422" s="2"/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</row>
    <row r="8423" spans="1:26" ht="16.5" x14ac:dyDescent="0.35">
      <c r="A8423" s="2" t="str">
        <f ca="1">IFERROR(__xludf.DUMMYFUNCTION("""COMPUTED_VALUE"""),"Sharjah")</f>
        <v>Sharjah</v>
      </c>
      <c r="B8423" s="2" t="str">
        <f ca="1">IFERROR(__xludf.DUMMYFUNCTION("""COMPUTED_VALUE"""),"Al Fardan Centre")</f>
        <v>Al Fardan Centre</v>
      </c>
      <c r="C8423" s="2" t="str">
        <f ca="1">IFERROR(__xludf.DUMMYFUNCTION("""COMPUTED_VALUE"""),"Building")</f>
        <v>Building</v>
      </c>
      <c r="D8423" s="2" t="str">
        <f ca="1">IFERROR(__xludf.DUMMYFUNCTION("""COMPUTED_VALUE"""),"Sharjah&gt;Al Majaz&gt;Al Majaz 3&gt;Al Fardan Centre")</f>
        <v>Sharjah&gt;Al Majaz&gt;Al Majaz 3&gt;Al Fardan Centre</v>
      </c>
      <c r="E8423" s="2"/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</row>
    <row r="8424" spans="1:26" ht="16.5" x14ac:dyDescent="0.35">
      <c r="A8424" s="2" t="str">
        <f ca="1">IFERROR(__xludf.DUMMYFUNCTION("""COMPUTED_VALUE"""),"Sharjah")</f>
        <v>Sharjah</v>
      </c>
      <c r="B8424" s="2" t="str">
        <f ca="1">IFERROR(__xludf.DUMMYFUNCTION("""COMPUTED_VALUE"""),"Eagle Tower")</f>
        <v>Eagle Tower</v>
      </c>
      <c r="C8424" s="2"/>
      <c r="D8424" s="2" t="str">
        <f ca="1">IFERROR(__xludf.DUMMYFUNCTION("""COMPUTED_VALUE"""),"Sharjah&gt;Al Majaz&gt;Al Majaz 3&gt;Eagle Tower")</f>
        <v>Sharjah&gt;Al Majaz&gt;Al Majaz 3&gt;Eagle Tower</v>
      </c>
      <c r="E8424" s="2"/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</row>
    <row r="8425" spans="1:26" ht="16.5" x14ac:dyDescent="0.35">
      <c r="A8425" s="2" t="str">
        <f ca="1">IFERROR(__xludf.DUMMYFUNCTION("""COMPUTED_VALUE"""),"Sharjah")</f>
        <v>Sharjah</v>
      </c>
      <c r="B8425" s="2" t="str">
        <f ca="1">IFERROR(__xludf.DUMMYFUNCTION("""COMPUTED_VALUE"""),"Embassy Suites Building")</f>
        <v>Embassy Suites Building</v>
      </c>
      <c r="C8425" s="2" t="str">
        <f ca="1">IFERROR(__xludf.DUMMYFUNCTION("""COMPUTED_VALUE"""),"Building")</f>
        <v>Building</v>
      </c>
      <c r="D8425" s="2" t="str">
        <f ca="1">IFERROR(__xludf.DUMMYFUNCTION("""COMPUTED_VALUE"""),"Sharjah&gt;Al Majaz&gt;Al Majaz 1&gt;Embassy Suites Building")</f>
        <v>Sharjah&gt;Al Majaz&gt;Al Majaz 1&gt;Embassy Suites Building</v>
      </c>
      <c r="E8425" s="2"/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</row>
    <row r="8426" spans="1:26" ht="16.5" x14ac:dyDescent="0.35">
      <c r="A8426" s="2" t="str">
        <f ca="1">IFERROR(__xludf.DUMMYFUNCTION("""COMPUTED_VALUE"""),"Sharjah")</f>
        <v>Sharjah</v>
      </c>
      <c r="B8426" s="2" t="str">
        <f ca="1">IFERROR(__xludf.DUMMYFUNCTION("""COMPUTED_VALUE"""),"Shaheen Tower")</f>
        <v>Shaheen Tower</v>
      </c>
      <c r="C8426" s="2"/>
      <c r="D8426" s="2" t="str">
        <f ca="1">IFERROR(__xludf.DUMMYFUNCTION("""COMPUTED_VALUE"""),"Sharjah&gt;Al Majaz&gt;Al Majaz 1&gt;Shaheen Tower")</f>
        <v>Sharjah&gt;Al Majaz&gt;Al Majaz 1&gt;Shaheen Tower</v>
      </c>
      <c r="E8426" s="2"/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</row>
    <row r="8427" spans="1:26" ht="16.5" x14ac:dyDescent="0.35">
      <c r="A8427" s="2" t="str">
        <f ca="1">IFERROR(__xludf.DUMMYFUNCTION("""COMPUTED_VALUE"""),"Sharjah")</f>
        <v>Sharjah</v>
      </c>
      <c r="B8427" s="2" t="str">
        <f ca="1">IFERROR(__xludf.DUMMYFUNCTION("""COMPUTED_VALUE"""),"New Al Taawun Road")</f>
        <v>New Al Taawun Road</v>
      </c>
      <c r="C8427" s="2"/>
      <c r="D8427" s="2" t="str">
        <f ca="1">IFERROR(__xludf.DUMMYFUNCTION("""COMPUTED_VALUE"""),"Sharjah&gt;Al Taawun&gt;New Al Taawun Road")</f>
        <v>Sharjah&gt;Al Taawun&gt;New Al Taawun Road</v>
      </c>
      <c r="E8427" s="2"/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</row>
    <row r="8428" spans="1:26" ht="16.5" x14ac:dyDescent="0.35">
      <c r="A8428" s="2" t="str">
        <f ca="1">IFERROR(__xludf.DUMMYFUNCTION("""COMPUTED_VALUE"""),"Sharjah")</f>
        <v>Sharjah</v>
      </c>
      <c r="B8428" s="2" t="str">
        <f ca="1">IFERROR(__xludf.DUMMYFUNCTION("""COMPUTED_VALUE"""),"Lootah Tower")</f>
        <v>Lootah Tower</v>
      </c>
      <c r="C8428" s="2" t="str">
        <f ca="1">IFERROR(__xludf.DUMMYFUNCTION("""COMPUTED_VALUE"""),"Building")</f>
        <v>Building</v>
      </c>
      <c r="D8428" s="2" t="str">
        <f ca="1">IFERROR(__xludf.DUMMYFUNCTION("""COMPUTED_VALUE"""),"Sharjah&gt;Al Taawun&gt;Lootah Tower")</f>
        <v>Sharjah&gt;Al Taawun&gt;Lootah Tower</v>
      </c>
      <c r="E8428" s="2"/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</row>
    <row r="8429" spans="1:26" ht="16.5" x14ac:dyDescent="0.35">
      <c r="A8429" s="2" t="str">
        <f ca="1">IFERROR(__xludf.DUMMYFUNCTION("""COMPUTED_VALUE"""),"Sharjah")</f>
        <v>Sharjah</v>
      </c>
      <c r="B8429" s="2" t="str">
        <f ca="1">IFERROR(__xludf.DUMMYFUNCTION("""COMPUTED_VALUE"""),"Sana Residence")</f>
        <v>Sana Residence</v>
      </c>
      <c r="C8429" s="2" t="str">
        <f ca="1">IFERROR(__xludf.DUMMYFUNCTION("""COMPUTED_VALUE"""),"Building")</f>
        <v>Building</v>
      </c>
      <c r="D8429" s="2" t="str">
        <f ca="1">IFERROR(__xludf.DUMMYFUNCTION("""COMPUTED_VALUE"""),"Sharjah&gt;Al Qasimia&gt;Al Nad&gt;Sana Residence")</f>
        <v>Sharjah&gt;Al Qasimia&gt;Al Nad&gt;Sana Residence</v>
      </c>
      <c r="E8429" s="2"/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</row>
    <row r="8430" spans="1:26" ht="16.5" x14ac:dyDescent="0.35">
      <c r="A8430" s="2" t="str">
        <f ca="1">IFERROR(__xludf.DUMMYFUNCTION("""COMPUTED_VALUE"""),"Sharjah")</f>
        <v>Sharjah</v>
      </c>
      <c r="B8430" s="2" t="str">
        <f ca="1">IFERROR(__xludf.DUMMYFUNCTION("""COMPUTED_VALUE"""),"Al Qussima")</f>
        <v>Al Qussima</v>
      </c>
      <c r="C8430" s="2"/>
      <c r="D8430" s="2" t="str">
        <f ca="1">IFERROR(__xludf.DUMMYFUNCTION("""COMPUTED_VALUE"""),"Sharjah&gt;Al Qasimia&gt;Al Nad&gt;Al Qussima")</f>
        <v>Sharjah&gt;Al Qasimia&gt;Al Nad&gt;Al Qussima</v>
      </c>
      <c r="E8430" s="2"/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</row>
    <row r="8431" spans="1:26" ht="16.5" x14ac:dyDescent="0.35">
      <c r="A8431" s="2" t="str">
        <f ca="1">IFERROR(__xludf.DUMMYFUNCTION("""COMPUTED_VALUE"""),"Sharjah")</f>
        <v>Sharjah</v>
      </c>
      <c r="B8431" s="2" t="str">
        <f ca="1">IFERROR(__xludf.DUMMYFUNCTION("""COMPUTED_VALUE"""),"Nova Park Hotel")</f>
        <v>Nova Park Hotel</v>
      </c>
      <c r="C8431" s="2"/>
      <c r="D8431" s="2" t="str">
        <f ca="1">IFERROR(__xludf.DUMMYFUNCTION("""COMPUTED_VALUE"""),"Sharjah&gt;Al Qasimia&gt;Al Nad&gt;Nova Park Hotel")</f>
        <v>Sharjah&gt;Al Qasimia&gt;Al Nad&gt;Nova Park Hotel</v>
      </c>
      <c r="E8431" s="2"/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</row>
    <row r="8432" spans="1:26" ht="16.5" x14ac:dyDescent="0.35">
      <c r="A8432" s="2" t="str">
        <f ca="1">IFERROR(__xludf.DUMMYFUNCTION("""COMPUTED_VALUE"""),"Sharjah")</f>
        <v>Sharjah</v>
      </c>
      <c r="B8432" s="2" t="str">
        <f ca="1">IFERROR(__xludf.DUMMYFUNCTION("""COMPUTED_VALUE"""),"Al Wahda Street")</f>
        <v>Al Wahda Street</v>
      </c>
      <c r="C8432" s="2" t="str">
        <f ca="1">IFERROR(__xludf.DUMMYFUNCTION("""COMPUTED_VALUE"""),"Neighbourhood")</f>
        <v>Neighbourhood</v>
      </c>
      <c r="D8432" s="2" t="str">
        <f ca="1">IFERROR(__xludf.DUMMYFUNCTION("""COMPUTED_VALUE"""),"Sharjah&gt;Al Wahda Street")</f>
        <v>Sharjah&gt;Al Wahda Street</v>
      </c>
      <c r="E8432" s="2"/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</row>
    <row r="8433" spans="1:26" ht="16.5" x14ac:dyDescent="0.35">
      <c r="A8433" s="2" t="str">
        <f ca="1">IFERROR(__xludf.DUMMYFUNCTION("""COMPUTED_VALUE"""),"Sharjah")</f>
        <v>Sharjah</v>
      </c>
      <c r="B8433" s="2" t="str">
        <f ca="1">IFERROR(__xludf.DUMMYFUNCTION("""COMPUTED_VALUE"""),"Gazib")</f>
        <v>Gazib</v>
      </c>
      <c r="C8433" s="2"/>
      <c r="D8433" s="2" t="str">
        <f ca="1">IFERROR(__xludf.DUMMYFUNCTION("""COMPUTED_VALUE"""),"Sharjah&gt;Al Nabba&gt;Gazib")</f>
        <v>Sharjah&gt;Al Nabba&gt;Gazib</v>
      </c>
      <c r="E8433" s="2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</row>
    <row r="8434" spans="1:26" ht="16.5" x14ac:dyDescent="0.35">
      <c r="A8434" s="2" t="str">
        <f ca="1">IFERROR(__xludf.DUMMYFUNCTION("""COMPUTED_VALUE"""),"Sharjah")</f>
        <v>Sharjah</v>
      </c>
      <c r="B8434" s="2" t="str">
        <f ca="1">IFERROR(__xludf.DUMMYFUNCTION("""COMPUTED_VALUE"""),"Sharjah English School")</f>
        <v>Sharjah English School</v>
      </c>
      <c r="C8434" s="2" t="str">
        <f ca="1">IFERROR(__xludf.DUMMYFUNCTION("""COMPUTED_VALUE"""),"School")</f>
        <v>School</v>
      </c>
      <c r="D8434" s="2" t="str">
        <f ca="1">IFERROR(__xludf.DUMMYFUNCTION("""COMPUTED_VALUE"""),"Sharjah&gt;Industrial Area&gt;Industrial Area 18&gt;Sharjah English School")</f>
        <v>Sharjah&gt;Industrial Area&gt;Industrial Area 18&gt;Sharjah English School</v>
      </c>
      <c r="E8434" s="2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</row>
    <row r="8435" spans="1:26" ht="16.5" x14ac:dyDescent="0.35">
      <c r="A8435" s="2" t="str">
        <f ca="1">IFERROR(__xludf.DUMMYFUNCTION("""COMPUTED_VALUE"""),"Dubai")</f>
        <v>Dubai</v>
      </c>
      <c r="B8435" s="2" t="str">
        <f ca="1">IFERROR(__xludf.DUMMYFUNCTION("""COMPUTED_VALUE"""),"Bellaria")</f>
        <v>Bellaria</v>
      </c>
      <c r="C8435" s="2" t="str">
        <f ca="1">IFERROR(__xludf.DUMMYFUNCTION("""COMPUTED_VALUE"""),"Neighbourhood")</f>
        <v>Neighbourhood</v>
      </c>
      <c r="D8435" s="2" t="str">
        <f ca="1">IFERROR(__xludf.DUMMYFUNCTION("""COMPUTED_VALUE"""),"Dubai&gt;Dubailand&gt;The Heights Country Club&gt;Bellaria")</f>
        <v>Dubai&gt;Dubailand&gt;The Heights Country Club&gt;Bellaria</v>
      </c>
      <c r="E8435" s="2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</row>
    <row r="8436" spans="1:26" ht="16.5" x14ac:dyDescent="0.35">
      <c r="A8436" s="2" t="str">
        <f ca="1">IFERROR(__xludf.DUMMYFUNCTION("""COMPUTED_VALUE"""),"Dubai")</f>
        <v>Dubai</v>
      </c>
      <c r="B8436" s="2" t="str">
        <f ca="1">IFERROR(__xludf.DUMMYFUNCTION("""COMPUTED_VALUE"""),"Convention Tower")</f>
        <v>Convention Tower</v>
      </c>
      <c r="C8436" s="2" t="str">
        <f ca="1">IFERROR(__xludf.DUMMYFUNCTION("""COMPUTED_VALUE"""),"Building")</f>
        <v>Building</v>
      </c>
      <c r="D8436" s="2" t="str">
        <f ca="1">IFERROR(__xludf.DUMMYFUNCTION("""COMPUTED_VALUE"""),"Dubai&gt;World Trade Centre&gt;Convention Tower")</f>
        <v>Dubai&gt;World Trade Centre&gt;Convention Tower</v>
      </c>
      <c r="E8436" s="2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</row>
    <row r="8437" spans="1:26" ht="16.5" x14ac:dyDescent="0.35">
      <c r="A8437" s="2" t="str">
        <f ca="1">IFERROR(__xludf.DUMMYFUNCTION("""COMPUTED_VALUE"""),"Dubai")</f>
        <v>Dubai</v>
      </c>
      <c r="B8437" s="2" t="str">
        <f ca="1">IFERROR(__xludf.DUMMYFUNCTION("""COMPUTED_VALUE"""),"Dubai Co-operative Society Building")</f>
        <v>Dubai Co-operative Society Building</v>
      </c>
      <c r="C8437" s="2" t="str">
        <f ca="1">IFERROR(__xludf.DUMMYFUNCTION("""COMPUTED_VALUE"""),"Building")</f>
        <v>Building</v>
      </c>
      <c r="D8437" s="2" t="str">
        <f ca="1">IFERROR(__xludf.DUMMYFUNCTION("""COMPUTED_VALUE"""),"Dubai&gt;Al Qusais&gt;Al Qusais Residential Area&gt;Al Qusais 2&gt;Dubai Co-operative Society Building")</f>
        <v>Dubai&gt;Al Qusais&gt;Al Qusais Residential Area&gt;Al Qusais 2&gt;Dubai Co-operative Society Building</v>
      </c>
      <c r="E8437" s="2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</row>
    <row r="8438" spans="1:26" ht="16.5" x14ac:dyDescent="0.35">
      <c r="A8438" s="2" t="str">
        <f ca="1">IFERROR(__xludf.DUMMYFUNCTION("""COMPUTED_VALUE"""),"Dubai")</f>
        <v>Dubai</v>
      </c>
      <c r="B8438" s="2" t="str">
        <f ca="1">IFERROR(__xludf.DUMMYFUNCTION("""COMPUTED_VALUE"""),"Al Sowaidan Residence")</f>
        <v>Al Sowaidan Residence</v>
      </c>
      <c r="C8438" s="2" t="str">
        <f ca="1">IFERROR(__xludf.DUMMYFUNCTION("""COMPUTED_VALUE"""),"Building")</f>
        <v>Building</v>
      </c>
      <c r="D8438" s="2" t="str">
        <f ca="1">IFERROR(__xludf.DUMMYFUNCTION("""COMPUTED_VALUE"""),"Dubai&gt;Al Qusais&gt;Al Qusais Residential Area&gt;Al Qusais 1&gt;Al Sowaidan Residence")</f>
        <v>Dubai&gt;Al Qusais&gt;Al Qusais Residential Area&gt;Al Qusais 1&gt;Al Sowaidan Residence</v>
      </c>
      <c r="E8438" s="2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</row>
    <row r="8439" spans="1:26" ht="16.5" x14ac:dyDescent="0.35">
      <c r="A8439" s="2" t="str">
        <f ca="1">IFERROR(__xludf.DUMMYFUNCTION("""COMPUTED_VALUE"""),"Dubai")</f>
        <v>Dubai</v>
      </c>
      <c r="B8439" s="2" t="str">
        <f ca="1">IFERROR(__xludf.DUMMYFUNCTION("""COMPUTED_VALUE"""),"Al Wasl P480 Building")</f>
        <v>Al Wasl P480 Building</v>
      </c>
      <c r="C8439" s="2" t="str">
        <f ca="1">IFERROR(__xludf.DUMMYFUNCTION("""COMPUTED_VALUE"""),"Building")</f>
        <v>Building</v>
      </c>
      <c r="D8439" s="2" t="str">
        <f ca="1">IFERROR(__xludf.DUMMYFUNCTION("""COMPUTED_VALUE"""),"Dubai&gt;Al Qusais&gt;Al Qusais Residential Area&gt;Al Qusais 1&gt;Al Wasl P480 Building")</f>
        <v>Dubai&gt;Al Qusais&gt;Al Qusais Residential Area&gt;Al Qusais 1&gt;Al Wasl P480 Building</v>
      </c>
      <c r="E8439" s="2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</row>
    <row r="8440" spans="1:26" ht="16.5" x14ac:dyDescent="0.35">
      <c r="A8440" s="2" t="str">
        <f ca="1">IFERROR(__xludf.DUMMYFUNCTION("""COMPUTED_VALUE"""),"Dubai")</f>
        <v>Dubai</v>
      </c>
      <c r="B8440" s="2" t="str">
        <f ca="1">IFERROR(__xludf.DUMMYFUNCTION("""COMPUTED_VALUE"""),"Belrafia Building")</f>
        <v>Belrafia Building</v>
      </c>
      <c r="C8440" s="2" t="str">
        <f ca="1">IFERROR(__xludf.DUMMYFUNCTION("""COMPUTED_VALUE"""),"Building")</f>
        <v>Building</v>
      </c>
      <c r="D8440" s="2" t="str">
        <f ca="1">IFERROR(__xludf.DUMMYFUNCTION("""COMPUTED_VALUE"""),"Dubai&gt;Al Qusais&gt;Al Qusais Industrial Area&gt;Al Qusais Industrial 1&gt;Belrafia Building")</f>
        <v>Dubai&gt;Al Qusais&gt;Al Qusais Industrial Area&gt;Al Qusais Industrial 1&gt;Belrafia Building</v>
      </c>
      <c r="E8440" s="2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</row>
    <row r="8441" spans="1:26" ht="16.5" x14ac:dyDescent="0.35">
      <c r="A8441" s="2" t="str">
        <f ca="1">IFERROR(__xludf.DUMMYFUNCTION("""COMPUTED_VALUE"""),"Dubai")</f>
        <v>Dubai</v>
      </c>
      <c r="B8441" s="2" t="str">
        <f ca="1">IFERROR(__xludf.DUMMYFUNCTION("""COMPUTED_VALUE"""),"Mulberry 1")</f>
        <v>Mulberry 1</v>
      </c>
      <c r="C8441" s="2" t="str">
        <f ca="1">IFERROR(__xludf.DUMMYFUNCTION("""COMPUTED_VALUE"""),"Neighbourhood")</f>
        <v>Neighbourhood</v>
      </c>
      <c r="D8441" s="2" t="str">
        <f ca="1">IFERROR(__xludf.DUMMYFUNCTION("""COMPUTED_VALUE"""),"Dubai&gt;Dubai Hills Estate&gt;Park Heights&gt;Mulberry 1")</f>
        <v>Dubai&gt;Dubai Hills Estate&gt;Park Heights&gt;Mulberry 1</v>
      </c>
      <c r="E8441" s="2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</row>
    <row r="8442" spans="1:26" ht="16.5" x14ac:dyDescent="0.35">
      <c r="A8442" s="2" t="str">
        <f ca="1">IFERROR(__xludf.DUMMYFUNCTION("""COMPUTED_VALUE"""),"Dubai")</f>
        <v>Dubai</v>
      </c>
      <c r="B8442" s="2" t="str">
        <f ca="1">IFERROR(__xludf.DUMMYFUNCTION("""COMPUTED_VALUE"""),"Executive Residences")</f>
        <v>Executive Residences</v>
      </c>
      <c r="C8442" s="2" t="str">
        <f ca="1">IFERROR(__xludf.DUMMYFUNCTION("""COMPUTED_VALUE"""),"Cluster")</f>
        <v>Cluster</v>
      </c>
      <c r="D8442" s="2" t="str">
        <f ca="1">IFERROR(__xludf.DUMMYFUNCTION("""COMPUTED_VALUE"""),"Dubai&gt;Dubai Hills Estate&gt;Executive Residences")</f>
        <v>Dubai&gt;Dubai Hills Estate&gt;Executive Residences</v>
      </c>
      <c r="E8442" s="2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</row>
    <row r="8443" spans="1:26" ht="16.5" x14ac:dyDescent="0.35">
      <c r="A8443" s="2" t="str">
        <f ca="1">IFERROR(__xludf.DUMMYFUNCTION("""COMPUTED_VALUE"""),"Dubai")</f>
        <v>Dubai</v>
      </c>
      <c r="B8443" s="2" t="str">
        <f ca="1">IFERROR(__xludf.DUMMYFUNCTION("""COMPUTED_VALUE"""),"Ellington House II")</f>
        <v>Ellington House II</v>
      </c>
      <c r="C8443" s="2" t="str">
        <f ca="1">IFERROR(__xludf.DUMMYFUNCTION("""COMPUTED_VALUE"""),"Building")</f>
        <v>Building</v>
      </c>
      <c r="D8443" s="2" t="str">
        <f ca="1">IFERROR(__xludf.DUMMYFUNCTION("""COMPUTED_VALUE"""),"Dubai&gt;Dubai Hills Estate&gt;Ellington House&gt;Ellington House II")</f>
        <v>Dubai&gt;Dubai Hills Estate&gt;Ellington House&gt;Ellington House II</v>
      </c>
      <c r="E8443" s="2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</row>
    <row r="8444" spans="1:26" ht="16.5" x14ac:dyDescent="0.35">
      <c r="A8444" s="2" t="str">
        <f ca="1">IFERROR(__xludf.DUMMYFUNCTION("""COMPUTED_VALUE"""),"Dubai")</f>
        <v>Dubai</v>
      </c>
      <c r="B8444" s="2" t="str">
        <f ca="1">IFERROR(__xludf.DUMMYFUNCTION("""COMPUTED_VALUE"""),"Club Drive")</f>
        <v>Club Drive</v>
      </c>
      <c r="C8444" s="2" t="str">
        <f ca="1">IFERROR(__xludf.DUMMYFUNCTION("""COMPUTED_VALUE"""),"Cluster")</f>
        <v>Cluster</v>
      </c>
      <c r="D8444" s="2" t="str">
        <f ca="1">IFERROR(__xludf.DUMMYFUNCTION("""COMPUTED_VALUE"""),"Dubai&gt;Dubai Hills Estate&gt;Club Drive")</f>
        <v>Dubai&gt;Dubai Hills Estate&gt;Club Drive</v>
      </c>
      <c r="E8444" s="2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</row>
    <row r="8445" spans="1:26" ht="16.5" x14ac:dyDescent="0.35">
      <c r="A8445" s="2" t="str">
        <f ca="1">IFERROR(__xludf.DUMMYFUNCTION("""COMPUTED_VALUE"""),"Dubai")</f>
        <v>Dubai</v>
      </c>
      <c r="B8445" s="2" t="str">
        <f ca="1">IFERROR(__xludf.DUMMYFUNCTION("""COMPUTED_VALUE"""),"Parkwood Podium")</f>
        <v>Parkwood Podium</v>
      </c>
      <c r="C8445" s="2" t="str">
        <f ca="1">IFERROR(__xludf.DUMMYFUNCTION("""COMPUTED_VALUE"""),"Building")</f>
        <v>Building</v>
      </c>
      <c r="D8445" s="2" t="str">
        <f ca="1">IFERROR(__xludf.DUMMYFUNCTION("""COMPUTED_VALUE"""),"Dubai&gt;Dubai Hills Estate&gt;Parkwood&gt;Parkwood Podium")</f>
        <v>Dubai&gt;Dubai Hills Estate&gt;Parkwood&gt;Parkwood Podium</v>
      </c>
      <c r="E8445" s="2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</row>
    <row r="8446" spans="1:26" ht="16.5" x14ac:dyDescent="0.35">
      <c r="A8446" s="2" t="str">
        <f ca="1">IFERROR(__xludf.DUMMYFUNCTION("""COMPUTED_VALUE"""),"Dubai")</f>
        <v>Dubai</v>
      </c>
      <c r="B8446" s="2" t="str">
        <f ca="1">IFERROR(__xludf.DUMMYFUNCTION("""COMPUTED_VALUE"""),"Masaken Al Muraqqabat 07")</f>
        <v>Masaken Al Muraqqabat 07</v>
      </c>
      <c r="C8446" s="2" t="str">
        <f ca="1">IFERROR(__xludf.DUMMYFUNCTION("""COMPUTED_VALUE"""),"Building")</f>
        <v>Building</v>
      </c>
      <c r="D8446" s="2" t="str">
        <f ca="1">IFERROR(__xludf.DUMMYFUNCTION("""COMPUTED_VALUE"""),"Dubai&gt;Deira&gt;Al Muraqqabat&gt;Masaken Al Muraqqabat 07")</f>
        <v>Dubai&gt;Deira&gt;Al Muraqqabat&gt;Masaken Al Muraqqabat 07</v>
      </c>
      <c r="E8446" s="2"/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</row>
    <row r="8447" spans="1:26" ht="16.5" x14ac:dyDescent="0.35">
      <c r="A8447" s="2" t="str">
        <f ca="1">IFERROR(__xludf.DUMMYFUNCTION("""COMPUTED_VALUE"""),"Dubai")</f>
        <v>Dubai</v>
      </c>
      <c r="B8447" s="2" t="str">
        <f ca="1">IFERROR(__xludf.DUMMYFUNCTION("""COMPUTED_VALUE"""),"R408 Building")</f>
        <v>R408 Building</v>
      </c>
      <c r="C8447" s="2" t="str">
        <f ca="1">IFERROR(__xludf.DUMMYFUNCTION("""COMPUTED_VALUE"""),"Building")</f>
        <v>Building</v>
      </c>
      <c r="D8447" s="2" t="str">
        <f ca="1">IFERROR(__xludf.DUMMYFUNCTION("""COMPUTED_VALUE"""),"Dubai&gt;Deira&gt;Al Muraqqabat&gt;R408 Building")</f>
        <v>Dubai&gt;Deira&gt;Al Muraqqabat&gt;R408 Building</v>
      </c>
      <c r="E8447" s="2"/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</row>
    <row r="8448" spans="1:26" ht="16.5" x14ac:dyDescent="0.35">
      <c r="A8448" s="2" t="str">
        <f ca="1">IFERROR(__xludf.DUMMYFUNCTION("""COMPUTED_VALUE"""),"Dubai")</f>
        <v>Dubai</v>
      </c>
      <c r="B8448" s="2" t="str">
        <f ca="1">IFERROR(__xludf.DUMMYFUNCTION("""COMPUTED_VALUE"""),"Legend Plaza")</f>
        <v>Legend Plaza</v>
      </c>
      <c r="C8448" s="2" t="str">
        <f ca="1">IFERROR(__xludf.DUMMYFUNCTION("""COMPUTED_VALUE"""),"Building")</f>
        <v>Building</v>
      </c>
      <c r="D8448" s="2" t="str">
        <f ca="1">IFERROR(__xludf.DUMMYFUNCTION("""COMPUTED_VALUE"""),"Dubai&gt;Deira&gt;Riggat Al Buteen&gt;Legend Plaza")</f>
        <v>Dubai&gt;Deira&gt;Riggat Al Buteen&gt;Legend Plaza</v>
      </c>
      <c r="E8448" s="2"/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</row>
    <row r="8449" spans="1:26" ht="16.5" x14ac:dyDescent="0.35">
      <c r="A8449" s="2" t="str">
        <f ca="1">IFERROR(__xludf.DUMMYFUNCTION("""COMPUTED_VALUE"""),"Dubai")</f>
        <v>Dubai</v>
      </c>
      <c r="B8449" s="2" t="str">
        <f ca="1">IFERROR(__xludf.DUMMYFUNCTION("""COMPUTED_VALUE"""),"Dar Al Maha Building")</f>
        <v>Dar Al Maha Building</v>
      </c>
      <c r="C8449" s="2" t="str">
        <f ca="1">IFERROR(__xludf.DUMMYFUNCTION("""COMPUTED_VALUE"""),"Building")</f>
        <v>Building</v>
      </c>
      <c r="D8449" s="2" t="str">
        <f ca="1">IFERROR(__xludf.DUMMYFUNCTION("""COMPUTED_VALUE"""),"Dubai&gt;Deira&gt;Hor Al Anz&gt;Dar Al Maha Building")</f>
        <v>Dubai&gt;Deira&gt;Hor Al Anz&gt;Dar Al Maha Building</v>
      </c>
      <c r="E8449" s="2"/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</row>
    <row r="8450" spans="1:26" ht="16.5" x14ac:dyDescent="0.35">
      <c r="A8450" s="2" t="str">
        <f ca="1">IFERROR(__xludf.DUMMYFUNCTION("""COMPUTED_VALUE"""),"Dubai")</f>
        <v>Dubai</v>
      </c>
      <c r="B8450" s="2" t="str">
        <f ca="1">IFERROR(__xludf.DUMMYFUNCTION("""COMPUTED_VALUE"""),"Al Safiya Corner")</f>
        <v>Al Safiya Corner</v>
      </c>
      <c r="C8450" s="2" t="str">
        <f ca="1">IFERROR(__xludf.DUMMYFUNCTION("""COMPUTED_VALUE"""),"Building")</f>
        <v>Building</v>
      </c>
      <c r="D8450" s="2" t="str">
        <f ca="1">IFERROR(__xludf.DUMMYFUNCTION("""COMPUTED_VALUE"""),"Dubai&gt;Deira&gt;Hor Al Anz&gt;Al Safiya Corner")</f>
        <v>Dubai&gt;Deira&gt;Hor Al Anz&gt;Al Safiya Corner</v>
      </c>
      <c r="E8450" s="2"/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</row>
    <row r="8451" spans="1:26" ht="16.5" x14ac:dyDescent="0.35">
      <c r="A8451" s="2" t="str">
        <f ca="1">IFERROR(__xludf.DUMMYFUNCTION("""COMPUTED_VALUE"""),"Dubai")</f>
        <v>Dubai</v>
      </c>
      <c r="B8451" s="2" t="str">
        <f ca="1">IFERROR(__xludf.DUMMYFUNCTION("""COMPUTED_VALUE"""),"Block E Building")</f>
        <v>Block E Building</v>
      </c>
      <c r="C8451" s="2" t="str">
        <f ca="1">IFERROR(__xludf.DUMMYFUNCTION("""COMPUTED_VALUE"""),"Building")</f>
        <v>Building</v>
      </c>
      <c r="D8451" s="2" t="str">
        <f ca="1">IFERROR(__xludf.DUMMYFUNCTION("""COMPUTED_VALUE"""),"Dubai&gt;Deira&gt;Al Muteena&gt;Block E Building")</f>
        <v>Dubai&gt;Deira&gt;Al Muteena&gt;Block E Building</v>
      </c>
      <c r="E8451" s="2"/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</row>
    <row r="8452" spans="1:26" ht="16.5" x14ac:dyDescent="0.35">
      <c r="A8452" s="2" t="str">
        <f ca="1">IFERROR(__xludf.DUMMYFUNCTION("""COMPUTED_VALUE"""),"Dubai")</f>
        <v>Dubai</v>
      </c>
      <c r="B8452" s="2" t="str">
        <f ca="1">IFERROR(__xludf.DUMMYFUNCTION("""COMPUTED_VALUE"""),"Al Futtaim Tower")</f>
        <v>Al Futtaim Tower</v>
      </c>
      <c r="C8452" s="2" t="str">
        <f ca="1">IFERROR(__xludf.DUMMYFUNCTION("""COMPUTED_VALUE"""),"Building")</f>
        <v>Building</v>
      </c>
      <c r="D8452" s="2" t="str">
        <f ca="1">IFERROR(__xludf.DUMMYFUNCTION("""COMPUTED_VALUE"""),"Dubai&gt;Deira&gt;Al Rigga&gt;Al Futtaim Tower")</f>
        <v>Dubai&gt;Deira&gt;Al Rigga&gt;Al Futtaim Tower</v>
      </c>
      <c r="E8452" s="2"/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</row>
    <row r="8453" spans="1:26" ht="16.5" x14ac:dyDescent="0.35">
      <c r="A8453" s="2" t="str">
        <f ca="1">IFERROR(__xludf.DUMMYFUNCTION("""COMPUTED_VALUE"""),"Dubai")</f>
        <v>Dubai</v>
      </c>
      <c r="B8453" s="2" t="str">
        <f ca="1">IFERROR(__xludf.DUMMYFUNCTION("""COMPUTED_VALUE"""),"Hind Plaza 4")</f>
        <v>Hind Plaza 4</v>
      </c>
      <c r="C8453" s="2" t="str">
        <f ca="1">IFERROR(__xludf.DUMMYFUNCTION("""COMPUTED_VALUE"""),"Building")</f>
        <v>Building</v>
      </c>
      <c r="D8453" s="2" t="str">
        <f ca="1">IFERROR(__xludf.DUMMYFUNCTION("""COMPUTED_VALUE"""),"Dubai&gt;Deira&gt;Deira Enrichment Project&gt;Hind Plaza&gt;Hind Plaza 4")</f>
        <v>Dubai&gt;Deira&gt;Deira Enrichment Project&gt;Hind Plaza&gt;Hind Plaza 4</v>
      </c>
      <c r="E8453" s="2"/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</row>
    <row r="8454" spans="1:26" ht="16.5" x14ac:dyDescent="0.35">
      <c r="A8454" s="2" t="str">
        <f ca="1">IFERROR(__xludf.DUMMYFUNCTION("""COMPUTED_VALUE"""),"Dubai")</f>
        <v>Dubai</v>
      </c>
      <c r="B8454" s="2" t="str">
        <f ca="1">IFERROR(__xludf.DUMMYFUNCTION("""COMPUTED_VALUE"""),"Naif Oasis 1")</f>
        <v>Naif Oasis 1</v>
      </c>
      <c r="C8454" s="2" t="str">
        <f ca="1">IFERROR(__xludf.DUMMYFUNCTION("""COMPUTED_VALUE"""),"Building")</f>
        <v>Building</v>
      </c>
      <c r="D8454" s="2" t="str">
        <f ca="1">IFERROR(__xludf.DUMMYFUNCTION("""COMPUTED_VALUE"""),"Dubai&gt;Deira&gt;Naif&gt;Naif Oasis 1")</f>
        <v>Dubai&gt;Deira&gt;Naif&gt;Naif Oasis 1</v>
      </c>
      <c r="E8454" s="2"/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</row>
    <row r="8455" spans="1:26" ht="16.5" x14ac:dyDescent="0.35">
      <c r="A8455" s="2" t="str">
        <f ca="1">IFERROR(__xludf.DUMMYFUNCTION("""COMPUTED_VALUE"""),"Dubai")</f>
        <v>Dubai</v>
      </c>
      <c r="B8455" s="2" t="str">
        <f ca="1">IFERROR(__xludf.DUMMYFUNCTION("""COMPUTED_VALUE"""),"Al Rimal Building")</f>
        <v>Al Rimal Building</v>
      </c>
      <c r="C8455" s="2" t="str">
        <f ca="1">IFERROR(__xludf.DUMMYFUNCTION("""COMPUTED_VALUE"""),"Building")</f>
        <v>Building</v>
      </c>
      <c r="D8455" s="2" t="str">
        <f ca="1">IFERROR(__xludf.DUMMYFUNCTION("""COMPUTED_VALUE"""),"Dubai&gt;Deira&gt;Naif&gt;Al Rimal Building")</f>
        <v>Dubai&gt;Deira&gt;Naif&gt;Al Rimal Building</v>
      </c>
      <c r="E8455" s="2"/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</row>
    <row r="8456" spans="1:26" ht="16.5" x14ac:dyDescent="0.35">
      <c r="A8456" s="2" t="str">
        <f ca="1">IFERROR(__xludf.DUMMYFUNCTION("""COMPUTED_VALUE"""),"Dubai")</f>
        <v>Dubai</v>
      </c>
      <c r="B8456" s="2" t="str">
        <f ca="1">IFERROR(__xludf.DUMMYFUNCTION("""COMPUTED_VALUE"""),"Afra Bader Bin Thani Building")</f>
        <v>Afra Bader Bin Thani Building</v>
      </c>
      <c r="C8456" s="2" t="str">
        <f ca="1">IFERROR(__xludf.DUMMYFUNCTION("""COMPUTED_VALUE"""),"Building")</f>
        <v>Building</v>
      </c>
      <c r="D8456" s="2" t="str">
        <f ca="1">IFERROR(__xludf.DUMMYFUNCTION("""COMPUTED_VALUE"""),"Dubai&gt;Deira&gt;Al Murar&gt;Afra Bader Bin Thani Building")</f>
        <v>Dubai&gt;Deira&gt;Al Murar&gt;Afra Bader Bin Thani Building</v>
      </c>
      <c r="E8456" s="2"/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</row>
    <row r="8457" spans="1:26" ht="16.5" x14ac:dyDescent="0.35">
      <c r="A8457" s="2" t="str">
        <f ca="1">IFERROR(__xludf.DUMMYFUNCTION("""COMPUTED_VALUE"""),"Dubai")</f>
        <v>Dubai</v>
      </c>
      <c r="B8457" s="2" t="str">
        <f ca="1">IFERROR(__xludf.DUMMYFUNCTION("""COMPUTED_VALUE"""),"Toufiq G")</f>
        <v>Toufiq G</v>
      </c>
      <c r="C8457" s="2" t="str">
        <f ca="1">IFERROR(__xludf.DUMMYFUNCTION("""COMPUTED_VALUE"""),"Building")</f>
        <v>Building</v>
      </c>
      <c r="D8457" s="2" t="str">
        <f ca="1">IFERROR(__xludf.DUMMYFUNCTION("""COMPUTED_VALUE"""),"Dubai&gt;Deira&gt;Al Ras&gt;Toufiq G")</f>
        <v>Dubai&gt;Deira&gt;Al Ras&gt;Toufiq G</v>
      </c>
      <c r="E8457" s="2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</row>
    <row r="8458" spans="1:26" ht="16.5" x14ac:dyDescent="0.35">
      <c r="A8458" s="2" t="str">
        <f ca="1">IFERROR(__xludf.DUMMYFUNCTION("""COMPUTED_VALUE"""),"Dubai")</f>
        <v>Dubai</v>
      </c>
      <c r="B8458" s="2" t="str">
        <f ca="1">IFERROR(__xludf.DUMMYFUNCTION("""COMPUTED_VALUE"""),"Noor Building")</f>
        <v>Noor Building</v>
      </c>
      <c r="C8458" s="2" t="str">
        <f ca="1">IFERROR(__xludf.DUMMYFUNCTION("""COMPUTED_VALUE"""),"Building")</f>
        <v>Building</v>
      </c>
      <c r="D8458" s="2" t="str">
        <f ca="1">IFERROR(__xludf.DUMMYFUNCTION("""COMPUTED_VALUE"""),"Dubai&gt;Deira&gt;Port Saeed&gt;Noor Building")</f>
        <v>Dubai&gt;Deira&gt;Port Saeed&gt;Noor Building</v>
      </c>
      <c r="E8458" s="2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</row>
    <row r="8459" spans="1:26" ht="16.5" x14ac:dyDescent="0.35">
      <c r="A8459" s="2" t="str">
        <f ca="1">IFERROR(__xludf.DUMMYFUNCTION("""COMPUTED_VALUE"""),"Dubai")</f>
        <v>Dubai</v>
      </c>
      <c r="B8459" s="2" t="str">
        <f ca="1">IFERROR(__xludf.DUMMYFUNCTION("""COMPUTED_VALUE"""),"Business Village")</f>
        <v>Business Village</v>
      </c>
      <c r="C8459" s="2" t="str">
        <f ca="1">IFERROR(__xludf.DUMMYFUNCTION("""COMPUTED_VALUE"""),"Building")</f>
        <v>Building</v>
      </c>
      <c r="D8459" s="2" t="str">
        <f ca="1">IFERROR(__xludf.DUMMYFUNCTION("""COMPUTED_VALUE"""),"Dubai&gt;Deira&gt;Port Saeed&gt;Business Village")</f>
        <v>Dubai&gt;Deira&gt;Port Saeed&gt;Business Village</v>
      </c>
      <c r="E8459" s="2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</row>
    <row r="8460" spans="1:26" ht="16.5" x14ac:dyDescent="0.35">
      <c r="A8460" s="2" t="str">
        <f ca="1">IFERROR(__xludf.DUMMYFUNCTION("""COMPUTED_VALUE"""),"Dubai")</f>
        <v>Dubai</v>
      </c>
      <c r="B8460" s="2" t="str">
        <f ca="1">IFERROR(__xludf.DUMMYFUNCTION("""COMPUTED_VALUE"""),"Amna")</f>
        <v>Amna</v>
      </c>
      <c r="C8460" s="2" t="str">
        <f ca="1">IFERROR(__xludf.DUMMYFUNCTION("""COMPUTED_VALUE"""),"Building")</f>
        <v>Building</v>
      </c>
      <c r="D8460" s="2" t="str">
        <f ca="1">IFERROR(__xludf.DUMMYFUNCTION("""COMPUTED_VALUE"""),"Dubai&gt;Business Bay&gt;Al Habtoor City&gt;Amna")</f>
        <v>Dubai&gt;Business Bay&gt;Al Habtoor City&gt;Amna</v>
      </c>
      <c r="E8460" s="2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</row>
    <row r="8461" spans="1:26" ht="16.5" x14ac:dyDescent="0.35">
      <c r="A8461" s="2" t="str">
        <f ca="1">IFERROR(__xludf.DUMMYFUNCTION("""COMPUTED_VALUE"""),"Dubai")</f>
        <v>Dubai</v>
      </c>
      <c r="B8461" s="2" t="str">
        <f ca="1">IFERROR(__xludf.DUMMYFUNCTION("""COMPUTED_VALUE"""),"XL Tower")</f>
        <v>XL Tower</v>
      </c>
      <c r="C8461" s="2" t="str">
        <f ca="1">IFERROR(__xludf.DUMMYFUNCTION("""COMPUTED_VALUE"""),"Building")</f>
        <v>Building</v>
      </c>
      <c r="D8461" s="2" t="str">
        <f ca="1">IFERROR(__xludf.DUMMYFUNCTION("""COMPUTED_VALUE"""),"Dubai&gt;Business Bay&gt;XL Tower")</f>
        <v>Dubai&gt;Business Bay&gt;XL Tower</v>
      </c>
      <c r="E8461" s="2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</row>
    <row r="8462" spans="1:26" ht="16.5" x14ac:dyDescent="0.35">
      <c r="A8462" s="2" t="str">
        <f ca="1">IFERROR(__xludf.DUMMYFUNCTION("""COMPUTED_VALUE"""),"Dubai")</f>
        <v>Dubai</v>
      </c>
      <c r="B8462" s="2" t="str">
        <f ca="1">IFERROR(__xludf.DUMMYFUNCTION("""COMPUTED_VALUE"""),"Capital Golden Tower")</f>
        <v>Capital Golden Tower</v>
      </c>
      <c r="C8462" s="2" t="str">
        <f ca="1">IFERROR(__xludf.DUMMYFUNCTION("""COMPUTED_VALUE"""),"Building")</f>
        <v>Building</v>
      </c>
      <c r="D8462" s="2" t="str">
        <f ca="1">IFERROR(__xludf.DUMMYFUNCTION("""COMPUTED_VALUE"""),"Dubai&gt;Business Bay&gt;Capital Golden Tower")</f>
        <v>Dubai&gt;Business Bay&gt;Capital Golden Tower</v>
      </c>
      <c r="E8462" s="2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</row>
    <row r="8463" spans="1:26" ht="16.5" x14ac:dyDescent="0.35">
      <c r="A8463" s="2" t="str">
        <f ca="1">IFERROR(__xludf.DUMMYFUNCTION("""COMPUTED_VALUE"""),"Dubai")</f>
        <v>Dubai</v>
      </c>
      <c r="B8463" s="2" t="str">
        <f ca="1">IFERROR(__xludf.DUMMYFUNCTION("""COMPUTED_VALUE"""),"Damac Maison Prive Tower B")</f>
        <v>Damac Maison Prive Tower B</v>
      </c>
      <c r="C8463" s="2" t="str">
        <f ca="1">IFERROR(__xludf.DUMMYFUNCTION("""COMPUTED_VALUE"""),"Building")</f>
        <v>Building</v>
      </c>
      <c r="D8463" s="2" t="str">
        <f ca="1">IFERROR(__xludf.DUMMYFUNCTION("""COMPUTED_VALUE"""),"Dubai&gt;Business Bay&gt;DAMAC Maison Prive&gt;Damac Maison Prive Tower B")</f>
        <v>Dubai&gt;Business Bay&gt;DAMAC Maison Prive&gt;Damac Maison Prive Tower B</v>
      </c>
      <c r="E8463" s="2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</row>
    <row r="8464" spans="1:26" ht="16.5" x14ac:dyDescent="0.35">
      <c r="A8464" s="2" t="str">
        <f ca="1">IFERROR(__xludf.DUMMYFUNCTION("""COMPUTED_VALUE"""),"Dubai")</f>
        <v>Dubai</v>
      </c>
      <c r="B8464" s="2" t="str">
        <f ca="1">IFERROR(__xludf.DUMMYFUNCTION("""COMPUTED_VALUE"""),"Bay Avenue Mall")</f>
        <v>Bay Avenue Mall</v>
      </c>
      <c r="C8464" s="2" t="str">
        <f ca="1">IFERROR(__xludf.DUMMYFUNCTION("""COMPUTED_VALUE"""),"Building")</f>
        <v>Building</v>
      </c>
      <c r="D8464" s="2" t="str">
        <f ca="1">IFERROR(__xludf.DUMMYFUNCTION("""COMPUTED_VALUE"""),"Dubai&gt;Business Bay&gt;Bay Avenue Mall")</f>
        <v>Dubai&gt;Business Bay&gt;Bay Avenue Mall</v>
      </c>
      <c r="E8464" s="2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</row>
    <row r="8465" spans="1:26" ht="16.5" x14ac:dyDescent="0.35">
      <c r="A8465" s="2" t="str">
        <f ca="1">IFERROR(__xludf.DUMMYFUNCTION("""COMPUTED_VALUE"""),"Dubai")</f>
        <v>Dubai</v>
      </c>
      <c r="B8465" s="2" t="str">
        <f ca="1">IFERROR(__xludf.DUMMYFUNCTION("""COMPUTED_VALUE"""),"Park Lane Tower")</f>
        <v>Park Lane Tower</v>
      </c>
      <c r="C8465" s="2" t="str">
        <f ca="1">IFERROR(__xludf.DUMMYFUNCTION("""COMPUTED_VALUE"""),"Building")</f>
        <v>Building</v>
      </c>
      <c r="D8465" s="2" t="str">
        <f ca="1">IFERROR(__xludf.DUMMYFUNCTION("""COMPUTED_VALUE"""),"Dubai&gt;Business Bay&gt;Park Lane Tower")</f>
        <v>Dubai&gt;Business Bay&gt;Park Lane Tower</v>
      </c>
      <c r="E8465" s="2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</row>
    <row r="8466" spans="1:26" ht="16.5" x14ac:dyDescent="0.35">
      <c r="A8466" s="2" t="str">
        <f ca="1">IFERROR(__xludf.DUMMYFUNCTION("""COMPUTED_VALUE"""),"Dubai")</f>
        <v>Dubai</v>
      </c>
      <c r="B8466" s="2" t="str">
        <f ca="1">IFERROR(__xludf.DUMMYFUNCTION("""COMPUTED_VALUE"""),"The Crestmark")</f>
        <v>The Crestmark</v>
      </c>
      <c r="C8466" s="2" t="str">
        <f ca="1">IFERROR(__xludf.DUMMYFUNCTION("""COMPUTED_VALUE"""),"Building")</f>
        <v>Building</v>
      </c>
      <c r="D8466" s="2" t="str">
        <f ca="1">IFERROR(__xludf.DUMMYFUNCTION("""COMPUTED_VALUE"""),"Dubai&gt;Business Bay&gt;The Crestmark")</f>
        <v>Dubai&gt;Business Bay&gt;The Crestmark</v>
      </c>
      <c r="E8466" s="2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</row>
    <row r="8467" spans="1:26" ht="16.5" x14ac:dyDescent="0.35">
      <c r="A8467" s="2" t="str">
        <f ca="1">IFERROR(__xludf.DUMMYFUNCTION("""COMPUTED_VALUE"""),"Dubai")</f>
        <v>Dubai</v>
      </c>
      <c r="B8467" s="2" t="str">
        <f ca="1">IFERROR(__xludf.DUMMYFUNCTION("""COMPUTED_VALUE"""),"Peninsula Three")</f>
        <v>Peninsula Three</v>
      </c>
      <c r="C8467" s="2" t="str">
        <f ca="1">IFERROR(__xludf.DUMMYFUNCTION("""COMPUTED_VALUE"""),"Building")</f>
        <v>Building</v>
      </c>
      <c r="D8467" s="2" t="str">
        <f ca="1">IFERROR(__xludf.DUMMYFUNCTION("""COMPUTED_VALUE"""),"Dubai&gt;Business Bay&gt;Peninsula&gt;Peninsula Three")</f>
        <v>Dubai&gt;Business Bay&gt;Peninsula&gt;Peninsula Three</v>
      </c>
      <c r="E8467" s="2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</row>
    <row r="8468" spans="1:26" ht="16.5" x14ac:dyDescent="0.35">
      <c r="A8468" s="2" t="str">
        <f ca="1">IFERROR(__xludf.DUMMYFUNCTION("""COMPUTED_VALUE"""),"Dubai")</f>
        <v>Dubai</v>
      </c>
      <c r="B8468" s="2" t="str">
        <f ca="1">IFERROR(__xludf.DUMMYFUNCTION("""COMPUTED_VALUE"""),"Nabni Sky Royal Residences")</f>
        <v>Nabni Sky Royal Residences</v>
      </c>
      <c r="C8468" s="2" t="str">
        <f ca="1">IFERROR(__xludf.DUMMYFUNCTION("""COMPUTED_VALUE"""),"Building")</f>
        <v>Building</v>
      </c>
      <c r="D8468" s="2" t="str">
        <f ca="1">IFERROR(__xludf.DUMMYFUNCTION("""COMPUTED_VALUE"""),"Dubai&gt;Business Bay&gt;Nabni Sky Royal Residences")</f>
        <v>Dubai&gt;Business Bay&gt;Nabni Sky Royal Residences</v>
      </c>
      <c r="E8468" s="2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</row>
    <row r="8469" spans="1:26" ht="16.5" x14ac:dyDescent="0.35">
      <c r="A8469" s="2" t="str">
        <f ca="1">IFERROR(__xludf.DUMMYFUNCTION("""COMPUTED_VALUE"""),"Dubai")</f>
        <v>Dubai</v>
      </c>
      <c r="B8469" s="2" t="str">
        <f ca="1">IFERROR(__xludf.DUMMYFUNCTION("""COMPUTED_VALUE"""),"District 5G")</f>
        <v>District 5G</v>
      </c>
      <c r="C8469" s="2" t="str">
        <f ca="1">IFERROR(__xludf.DUMMYFUNCTION("""COMPUTED_VALUE"""),"Neighbourhood")</f>
        <v>Neighbourhood</v>
      </c>
      <c r="D8469" s="2" t="str">
        <f ca="1">IFERROR(__xludf.DUMMYFUNCTION("""COMPUTED_VALUE"""),"Dubai&gt;Jumeirah Village Triangle (JVT)&gt;JVT District 5&gt;District 5G")</f>
        <v>Dubai&gt;Jumeirah Village Triangle (JVT)&gt;JVT District 5&gt;District 5G</v>
      </c>
      <c r="E8469" s="2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</row>
    <row r="8470" spans="1:26" ht="16.5" x14ac:dyDescent="0.35">
      <c r="A8470" s="2" t="str">
        <f ca="1">IFERROR(__xludf.DUMMYFUNCTION("""COMPUTED_VALUE"""),"Dubai")</f>
        <v>Dubai</v>
      </c>
      <c r="B8470" s="2" t="str">
        <f ca="1">IFERROR(__xludf.DUMMYFUNCTION("""COMPUTED_VALUE"""),"District 8A")</f>
        <v>District 8A</v>
      </c>
      <c r="C8470" s="2" t="str">
        <f ca="1">IFERROR(__xludf.DUMMYFUNCTION("""COMPUTED_VALUE"""),"Neighbourhood")</f>
        <v>Neighbourhood</v>
      </c>
      <c r="D8470" s="2" t="str">
        <f ca="1">IFERROR(__xludf.DUMMYFUNCTION("""COMPUTED_VALUE"""),"Dubai&gt;Jumeirah Village Triangle (JVT)&gt;JVT District 8&gt;District 8A")</f>
        <v>Dubai&gt;Jumeirah Village Triangle (JVT)&gt;JVT District 8&gt;District 8A</v>
      </c>
      <c r="E8470" s="2"/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</row>
    <row r="8471" spans="1:26" ht="16.5" x14ac:dyDescent="0.35">
      <c r="A8471" s="2" t="str">
        <f ca="1">IFERROR(__xludf.DUMMYFUNCTION("""COMPUTED_VALUE"""),"Dubai")</f>
        <v>Dubai</v>
      </c>
      <c r="B8471" s="2" t="str">
        <f ca="1">IFERROR(__xludf.DUMMYFUNCTION("""COMPUTED_VALUE"""),"Lilium Tower")</f>
        <v>Lilium Tower</v>
      </c>
      <c r="C8471" s="2" t="str">
        <f ca="1">IFERROR(__xludf.DUMMYFUNCTION("""COMPUTED_VALUE"""),"Building")</f>
        <v>Building</v>
      </c>
      <c r="D8471" s="2" t="str">
        <f ca="1">IFERROR(__xludf.DUMMYFUNCTION("""COMPUTED_VALUE"""),"Dubai&gt;Jumeirah Village Triangle (JVT)&gt;JVT District 2&gt;Lilium Tower")</f>
        <v>Dubai&gt;Jumeirah Village Triangle (JVT)&gt;JVT District 2&gt;Lilium Tower</v>
      </c>
      <c r="E8471" s="2"/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</row>
    <row r="8472" spans="1:26" ht="16.5" x14ac:dyDescent="0.35">
      <c r="A8472" s="2" t="str">
        <f ca="1">IFERROR(__xludf.DUMMYFUNCTION("""COMPUTED_VALUE"""),"Dubai")</f>
        <v>Dubai</v>
      </c>
      <c r="B8472" s="2" t="str">
        <f ca="1">IFERROR(__xludf.DUMMYFUNCTION("""COMPUTED_VALUE"""),"District 7A")</f>
        <v>District 7A</v>
      </c>
      <c r="C8472" s="2" t="str">
        <f ca="1">IFERROR(__xludf.DUMMYFUNCTION("""COMPUTED_VALUE"""),"Neighbourhood")</f>
        <v>Neighbourhood</v>
      </c>
      <c r="D8472" s="2" t="str">
        <f ca="1">IFERROR(__xludf.DUMMYFUNCTION("""COMPUTED_VALUE"""),"Dubai&gt;Jumeirah Village Triangle (JVT)&gt;JVT District 7&gt;District 7A")</f>
        <v>Dubai&gt;Jumeirah Village Triangle (JVT)&gt;JVT District 7&gt;District 7A</v>
      </c>
      <c r="E8472" s="2"/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</row>
    <row r="8473" spans="1:26" ht="16.5" x14ac:dyDescent="0.35">
      <c r="A8473" s="2" t="str">
        <f ca="1">IFERROR(__xludf.DUMMYFUNCTION("""COMPUTED_VALUE"""),"Dubai")</f>
        <v>Dubai</v>
      </c>
      <c r="B8473" s="2" t="str">
        <f ca="1">IFERROR(__xludf.DUMMYFUNCTION("""COMPUTED_VALUE"""),"Paradise One")</f>
        <v>Paradise One</v>
      </c>
      <c r="C8473" s="2" t="str">
        <f ca="1">IFERROR(__xludf.DUMMYFUNCTION("""COMPUTED_VALUE"""),"Building")</f>
        <v>Building</v>
      </c>
      <c r="D8473" s="2" t="str">
        <f ca="1">IFERROR(__xludf.DUMMYFUNCTION("""COMPUTED_VALUE"""),"Dubai&gt;Jumeirah Village Triangle (JVT)&gt;JVT District 4&gt;Paradise One")</f>
        <v>Dubai&gt;Jumeirah Village Triangle (JVT)&gt;JVT District 4&gt;Paradise One</v>
      </c>
      <c r="E8473" s="2"/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</row>
    <row r="8474" spans="1:26" ht="16.5" x14ac:dyDescent="0.35">
      <c r="A8474" s="2" t="str">
        <f ca="1">IFERROR(__xludf.DUMMYFUNCTION("""COMPUTED_VALUE"""),"Dubai")</f>
        <v>Dubai</v>
      </c>
      <c r="B8474" s="2" t="str">
        <f ca="1">IFERROR(__xludf.DUMMYFUNCTION("""COMPUTED_VALUE"""),"Red Square")</f>
        <v>Red Square</v>
      </c>
      <c r="C8474" s="2" t="str">
        <f ca="1">IFERROR(__xludf.DUMMYFUNCTION("""COMPUTED_VALUE"""),"Cluster")</f>
        <v>Cluster</v>
      </c>
      <c r="D8474" s="2" t="str">
        <f ca="1">IFERROR(__xludf.DUMMYFUNCTION("""COMPUTED_VALUE"""),"Dubai&gt;Jumeirah Village Triangle (JVT)&gt;JVT District 3&gt;Red Square")</f>
        <v>Dubai&gt;Jumeirah Village Triangle (JVT)&gt;JVT District 3&gt;Red Square</v>
      </c>
      <c r="E8474" s="2"/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</row>
    <row r="8475" spans="1:26" ht="16.5" x14ac:dyDescent="0.35">
      <c r="A8475" s="2" t="str">
        <f ca="1">IFERROR(__xludf.DUMMYFUNCTION("""COMPUTED_VALUE"""),"Dubai")</f>
        <v>Dubai</v>
      </c>
      <c r="B8475" s="2" t="str">
        <f ca="1">IFERROR(__xludf.DUMMYFUNCTION("""COMPUTED_VALUE"""),"Al Ramth 63")</f>
        <v>Al Ramth 63</v>
      </c>
      <c r="C8475" s="2" t="str">
        <f ca="1">IFERROR(__xludf.DUMMYFUNCTION("""COMPUTED_VALUE"""),"Building")</f>
        <v>Building</v>
      </c>
      <c r="D8475" s="2" t="str">
        <f ca="1">IFERROR(__xludf.DUMMYFUNCTION("""COMPUTED_VALUE"""),"Dubai&gt;Remraam&gt;Al Ramth&gt;Al Ramth 63")</f>
        <v>Dubai&gt;Remraam&gt;Al Ramth&gt;Al Ramth 63</v>
      </c>
      <c r="E8475" s="2"/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</row>
    <row r="8476" spans="1:26" ht="16.5" x14ac:dyDescent="0.35">
      <c r="A8476" s="2" t="str">
        <f ca="1">IFERROR(__xludf.DUMMYFUNCTION("""COMPUTED_VALUE"""),"Dubai")</f>
        <v>Dubai</v>
      </c>
      <c r="B8476" s="2" t="str">
        <f ca="1">IFERROR(__xludf.DUMMYFUNCTION("""COMPUTED_VALUE"""),"Al Thamam 49")</f>
        <v>Al Thamam 49</v>
      </c>
      <c r="C8476" s="2" t="str">
        <f ca="1">IFERROR(__xludf.DUMMYFUNCTION("""COMPUTED_VALUE"""),"Building")</f>
        <v>Building</v>
      </c>
      <c r="D8476" s="2" t="str">
        <f ca="1">IFERROR(__xludf.DUMMYFUNCTION("""COMPUTED_VALUE"""),"Dubai&gt;Remraam&gt;Al Thamam&gt;Al Thamam 49")</f>
        <v>Dubai&gt;Remraam&gt;Al Thamam&gt;Al Thamam 49</v>
      </c>
      <c r="E8476" s="2"/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</row>
    <row r="8477" spans="1:26" ht="16.5" x14ac:dyDescent="0.35">
      <c r="A8477" s="2" t="str">
        <f ca="1">IFERROR(__xludf.DUMMYFUNCTION("""COMPUTED_VALUE"""),"Dubai")</f>
        <v>Dubai</v>
      </c>
      <c r="B8477" s="2" t="str">
        <f ca="1">IFERROR(__xludf.DUMMYFUNCTION("""COMPUTED_VALUE"""),"Al Thamam 11")</f>
        <v>Al Thamam 11</v>
      </c>
      <c r="C8477" s="2" t="str">
        <f ca="1">IFERROR(__xludf.DUMMYFUNCTION("""COMPUTED_VALUE"""),"Building")</f>
        <v>Building</v>
      </c>
      <c r="D8477" s="2" t="str">
        <f ca="1">IFERROR(__xludf.DUMMYFUNCTION("""COMPUTED_VALUE"""),"Dubai&gt;Remraam&gt;Al Thamam&gt;Al Thamam 11")</f>
        <v>Dubai&gt;Remraam&gt;Al Thamam&gt;Al Thamam 11</v>
      </c>
      <c r="E8477" s="2"/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</row>
    <row r="8478" spans="1:26" ht="16.5" x14ac:dyDescent="0.35">
      <c r="A8478" s="2" t="str">
        <f ca="1">IFERROR(__xludf.DUMMYFUNCTION("""COMPUTED_VALUE"""),"Dubai")</f>
        <v>Dubai</v>
      </c>
      <c r="B8478" s="2" t="str">
        <f ca="1">IFERROR(__xludf.DUMMYFUNCTION("""COMPUTED_VALUE"""),"Binghatti Grove")</f>
        <v>Binghatti Grove</v>
      </c>
      <c r="C8478" s="2" t="str">
        <f ca="1">IFERROR(__xludf.DUMMYFUNCTION("""COMPUTED_VALUE"""),"Building")</f>
        <v>Building</v>
      </c>
      <c r="D8478" s="2" t="str">
        <f ca="1">IFERROR(__xludf.DUMMYFUNCTION("""COMPUTED_VALUE"""),"Dubai&gt;Jumeirah Village Circle (JVC)&gt;JVC District 17&gt;Binghatti Grove")</f>
        <v>Dubai&gt;Jumeirah Village Circle (JVC)&gt;JVC District 17&gt;Binghatti Grove</v>
      </c>
      <c r="E8478" s="2"/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</row>
    <row r="8479" spans="1:26" ht="16.5" x14ac:dyDescent="0.35">
      <c r="A8479" s="2" t="str">
        <f ca="1">IFERROR(__xludf.DUMMYFUNCTION("""COMPUTED_VALUE"""),"Dubai")</f>
        <v>Dubai</v>
      </c>
      <c r="B8479" s="2" t="str">
        <f ca="1">IFERROR(__xludf.DUMMYFUNCTION("""COMPUTED_VALUE"""),"Westar Casablanca East")</f>
        <v>Westar Casablanca East</v>
      </c>
      <c r="C8479" s="2" t="str">
        <f ca="1">IFERROR(__xludf.DUMMYFUNCTION("""COMPUTED_VALUE"""),"Neighbourhood")</f>
        <v>Neighbourhood</v>
      </c>
      <c r="D8479" s="2" t="str">
        <f ca="1">IFERROR(__xludf.DUMMYFUNCTION("""COMPUTED_VALUE"""),"Dubai&gt;Jumeirah Village Circle (JVC)&gt;JVC District 12&gt;Westar Casablanca East")</f>
        <v>Dubai&gt;Jumeirah Village Circle (JVC)&gt;JVC District 12&gt;Westar Casablanca East</v>
      </c>
      <c r="E8479" s="2"/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</row>
    <row r="8480" spans="1:26" ht="16.5" x14ac:dyDescent="0.35">
      <c r="A8480" s="2" t="str">
        <f ca="1">IFERROR(__xludf.DUMMYFUNCTION("""COMPUTED_VALUE"""),"Dubai")</f>
        <v>Dubai</v>
      </c>
      <c r="B8480" s="2" t="str">
        <f ca="1">IFERROR(__xludf.DUMMYFUNCTION("""COMPUTED_VALUE"""),"The Orchard Place Tower A")</f>
        <v>The Orchard Place Tower A</v>
      </c>
      <c r="C8480" s="2" t="str">
        <f ca="1">IFERROR(__xludf.DUMMYFUNCTION("""COMPUTED_VALUE"""),"Building")</f>
        <v>Building</v>
      </c>
      <c r="D8480" s="2" t="str">
        <f ca="1">IFERROR(__xludf.DUMMYFUNCTION("""COMPUTED_VALUE"""),"Dubai&gt;Jumeirah Village Circle (JVC)&gt;JVC District 12&gt;The Orchard Place&gt;The Orchard Place Tower A")</f>
        <v>Dubai&gt;Jumeirah Village Circle (JVC)&gt;JVC District 12&gt;The Orchard Place&gt;The Orchard Place Tower A</v>
      </c>
      <c r="E8480" s="2"/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</row>
    <row r="8481" spans="1:26" ht="16.5" x14ac:dyDescent="0.35">
      <c r="A8481" s="2" t="str">
        <f ca="1">IFERROR(__xludf.DUMMYFUNCTION("""COMPUTED_VALUE"""),"Dubai")</f>
        <v>Dubai</v>
      </c>
      <c r="B8481" s="2" t="str">
        <f ca="1">IFERROR(__xludf.DUMMYFUNCTION("""COMPUTED_VALUE"""),"Ashton Park Townhouses")</f>
        <v>Ashton Park Townhouses</v>
      </c>
      <c r="C8481" s="2" t="str">
        <f ca="1">IFERROR(__xludf.DUMMYFUNCTION("""COMPUTED_VALUE"""),"Neighbourhood")</f>
        <v>Neighbourhood</v>
      </c>
      <c r="D8481" s="2" t="str">
        <f ca="1">IFERROR(__xludf.DUMMYFUNCTION("""COMPUTED_VALUE"""),"Dubai&gt;Jumeirah Village Circle (JVC)&gt;JVC District 12&gt;Ashton Park&gt;Ashton Park Townhouses")</f>
        <v>Dubai&gt;Jumeirah Village Circle (JVC)&gt;JVC District 12&gt;Ashton Park&gt;Ashton Park Townhouses</v>
      </c>
      <c r="E8481" s="2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</row>
    <row r="8482" spans="1:26" ht="16.5" x14ac:dyDescent="0.35">
      <c r="A8482" s="2" t="str">
        <f ca="1">IFERROR(__xludf.DUMMYFUNCTION("""COMPUTED_VALUE"""),"Dubai")</f>
        <v>Dubai</v>
      </c>
      <c r="B8482" s="2" t="str">
        <f ca="1">IFERROR(__xludf.DUMMYFUNCTION("""COMPUTED_VALUE"""),"Alfa Villas")</f>
        <v>Alfa Villas</v>
      </c>
      <c r="C8482" s="2" t="str">
        <f ca="1">IFERROR(__xludf.DUMMYFUNCTION("""COMPUTED_VALUE"""),"Neighbourhood")</f>
        <v>Neighbourhood</v>
      </c>
      <c r="D8482" s="2" t="str">
        <f ca="1">IFERROR(__xludf.DUMMYFUNCTION("""COMPUTED_VALUE"""),"Dubai&gt;Jumeirah Village Circle (JVC)&gt;JVC District 13&gt;Alfa Villas")</f>
        <v>Dubai&gt;Jumeirah Village Circle (JVC)&gt;JVC District 13&gt;Alfa Villas</v>
      </c>
      <c r="E8482" s="2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</row>
    <row r="8483" spans="1:26" ht="16.5" x14ac:dyDescent="0.35">
      <c r="A8483" s="2" t="str">
        <f ca="1">IFERROR(__xludf.DUMMYFUNCTION("""COMPUTED_VALUE"""),"Dubai")</f>
        <v>Dubai</v>
      </c>
      <c r="B8483" s="2" t="str">
        <f ca="1">IFERROR(__xludf.DUMMYFUNCTION("""COMPUTED_VALUE"""),"Reef Residence")</f>
        <v>Reef Residence</v>
      </c>
      <c r="C8483" s="2" t="str">
        <f ca="1">IFERROR(__xludf.DUMMYFUNCTION("""COMPUTED_VALUE"""),"Building")</f>
        <v>Building</v>
      </c>
      <c r="D8483" s="2" t="str">
        <f ca="1">IFERROR(__xludf.DUMMYFUNCTION("""COMPUTED_VALUE"""),"Dubai&gt;Jumeirah Village Circle (JVC)&gt;JVC District 13&gt;Reef Residence")</f>
        <v>Dubai&gt;Jumeirah Village Circle (JVC)&gt;JVC District 13&gt;Reef Residence</v>
      </c>
      <c r="E8483" s="2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</row>
    <row r="8484" spans="1:26" ht="16.5" x14ac:dyDescent="0.35">
      <c r="A8484" s="2" t="str">
        <f ca="1">IFERROR(__xludf.DUMMYFUNCTION("""COMPUTED_VALUE"""),"Dubai")</f>
        <v>Dubai</v>
      </c>
      <c r="B8484" s="2" t="str">
        <f ca="1">IFERROR(__xludf.DUMMYFUNCTION("""COMPUTED_VALUE"""),"Carmel Residence")</f>
        <v>Carmel Residence</v>
      </c>
      <c r="C8484" s="2" t="str">
        <f ca="1">IFERROR(__xludf.DUMMYFUNCTION("""COMPUTED_VALUE"""),"Building")</f>
        <v>Building</v>
      </c>
      <c r="D8484" s="2" t="str">
        <f ca="1">IFERROR(__xludf.DUMMYFUNCTION("""COMPUTED_VALUE"""),"Dubai&gt;Jumeirah Village Circle (JVC)&gt;JVC District 13&gt;Carmel Residence")</f>
        <v>Dubai&gt;Jumeirah Village Circle (JVC)&gt;JVC District 13&gt;Carmel Residence</v>
      </c>
      <c r="E8484" s="2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</row>
    <row r="8485" spans="1:26" ht="16.5" x14ac:dyDescent="0.35">
      <c r="A8485" s="2" t="str">
        <f ca="1">IFERROR(__xludf.DUMMYFUNCTION("""COMPUTED_VALUE"""),"Dubai")</f>
        <v>Dubai</v>
      </c>
      <c r="B8485" s="2" t="str">
        <f ca="1">IFERROR(__xludf.DUMMYFUNCTION("""COMPUTED_VALUE"""),"Bloom Towers")</f>
        <v>Bloom Towers</v>
      </c>
      <c r="C8485" s="2" t="str">
        <f ca="1">IFERROR(__xludf.DUMMYFUNCTION("""COMPUTED_VALUE"""),"Cluster")</f>
        <v>Cluster</v>
      </c>
      <c r="D8485" s="2" t="str">
        <f ca="1">IFERROR(__xludf.DUMMYFUNCTION("""COMPUTED_VALUE"""),"Dubai&gt;Jumeirah Village Circle (JVC)&gt;JVC District 10&gt;Bloom Towers")</f>
        <v>Dubai&gt;Jumeirah Village Circle (JVC)&gt;JVC District 10&gt;Bloom Towers</v>
      </c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</row>
    <row r="8486" spans="1:26" ht="16.5" x14ac:dyDescent="0.35">
      <c r="A8486" s="2" t="str">
        <f ca="1">IFERROR(__xludf.DUMMYFUNCTION("""COMPUTED_VALUE"""),"Dubai")</f>
        <v>Dubai</v>
      </c>
      <c r="B8486" s="2" t="str">
        <f ca="1">IFERROR(__xludf.DUMMYFUNCTION("""COMPUTED_VALUE"""),"Uniestate Prime Tower")</f>
        <v>Uniestate Prime Tower</v>
      </c>
      <c r="C8486" s="2" t="str">
        <f ca="1">IFERROR(__xludf.DUMMYFUNCTION("""COMPUTED_VALUE"""),"Building")</f>
        <v>Building</v>
      </c>
      <c r="D8486" s="2" t="str">
        <f ca="1">IFERROR(__xludf.DUMMYFUNCTION("""COMPUTED_VALUE"""),"Dubai&gt;Jumeirah Village Circle (JVC)&gt;JVC District 10&gt;Uniestate Prime Tower")</f>
        <v>Dubai&gt;Jumeirah Village Circle (JVC)&gt;JVC District 10&gt;Uniestate Prime Tower</v>
      </c>
      <c r="E8486" s="2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</row>
    <row r="8487" spans="1:26" ht="16.5" x14ac:dyDescent="0.35">
      <c r="A8487" s="2" t="str">
        <f ca="1">IFERROR(__xludf.DUMMYFUNCTION("""COMPUTED_VALUE"""),"Dubai")</f>
        <v>Dubai</v>
      </c>
      <c r="B8487" s="2" t="str">
        <f ca="1">IFERROR(__xludf.DUMMYFUNCTION("""COMPUTED_VALUE"""),"Avanos Residence")</f>
        <v>Avanos Residence</v>
      </c>
      <c r="C8487" s="2" t="str">
        <f ca="1">IFERROR(__xludf.DUMMYFUNCTION("""COMPUTED_VALUE"""),"Building")</f>
        <v>Building</v>
      </c>
      <c r="D8487" s="2" t="str">
        <f ca="1">IFERROR(__xludf.DUMMYFUNCTION("""COMPUTED_VALUE"""),"Dubai&gt;Jumeirah Village Circle (JVC)&gt;JVC District 10&gt;Avanos Residence")</f>
        <v>Dubai&gt;Jumeirah Village Circle (JVC)&gt;JVC District 10&gt;Avanos Residence</v>
      </c>
      <c r="E8487" s="2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</row>
    <row r="8488" spans="1:26" ht="16.5" x14ac:dyDescent="0.35">
      <c r="A8488" s="2" t="str">
        <f ca="1">IFERROR(__xludf.DUMMYFUNCTION("""COMPUTED_VALUE"""),"Dubai")</f>
        <v>Dubai</v>
      </c>
      <c r="B8488" s="2" t="str">
        <f ca="1">IFERROR(__xludf.DUMMYFUNCTION("""COMPUTED_VALUE"""),"Lucky Royale Residence")</f>
        <v>Lucky Royale Residence</v>
      </c>
      <c r="C8488" s="2" t="str">
        <f ca="1">IFERROR(__xludf.DUMMYFUNCTION("""COMPUTED_VALUE"""),"Building")</f>
        <v>Building</v>
      </c>
      <c r="D8488" s="2" t="str">
        <f ca="1">IFERROR(__xludf.DUMMYFUNCTION("""COMPUTED_VALUE"""),"Dubai&gt;Jumeirah Village Circle (JVC)&gt;JVC District 10&gt;Lucky Royale Residence")</f>
        <v>Dubai&gt;Jumeirah Village Circle (JVC)&gt;JVC District 10&gt;Lucky Royale Residence</v>
      </c>
      <c r="E8488" s="2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</row>
    <row r="8489" spans="1:26" ht="16.5" x14ac:dyDescent="0.35">
      <c r="A8489" s="2" t="str">
        <f ca="1">IFERROR(__xludf.DUMMYFUNCTION("""COMPUTED_VALUE"""),"Dubai")</f>
        <v>Dubai</v>
      </c>
      <c r="B8489" s="2" t="str">
        <f ca="1">IFERROR(__xludf.DUMMYFUNCTION("""COMPUTED_VALUE"""),"JVC District 16")</f>
        <v>JVC District 16</v>
      </c>
      <c r="C8489" s="2" t="str">
        <f ca="1">IFERROR(__xludf.DUMMYFUNCTION("""COMPUTED_VALUE"""),"Neighbourhood")</f>
        <v>Neighbourhood</v>
      </c>
      <c r="D8489" s="2" t="str">
        <f ca="1">IFERROR(__xludf.DUMMYFUNCTION("""COMPUTED_VALUE"""),"Dubai&gt;Jumeirah Village Circle (JVC)&gt;JVC District 16")</f>
        <v>Dubai&gt;Jumeirah Village Circle (JVC)&gt;JVC District 16</v>
      </c>
      <c r="E8489" s="2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</row>
    <row r="8490" spans="1:26" ht="16.5" x14ac:dyDescent="0.35">
      <c r="A8490" s="2" t="str">
        <f ca="1">IFERROR(__xludf.DUMMYFUNCTION("""COMPUTED_VALUE"""),"Dubai")</f>
        <v>Dubai</v>
      </c>
      <c r="B8490" s="2" t="str">
        <f ca="1">IFERROR(__xludf.DUMMYFUNCTION("""COMPUTED_VALUE"""),"Autumn")</f>
        <v>Autumn</v>
      </c>
      <c r="C8490" s="2" t="str">
        <f ca="1">IFERROR(__xludf.DUMMYFUNCTION("""COMPUTED_VALUE"""),"Cluster")</f>
        <v>Cluster</v>
      </c>
      <c r="D8490" s="2" t="str">
        <f ca="1">IFERROR(__xludf.DUMMYFUNCTION("""COMPUTED_VALUE"""),"Dubai&gt;Jumeirah Village Circle (JVC)&gt;JVC District 15&gt;Seasons Community&gt;Autumn")</f>
        <v>Dubai&gt;Jumeirah Village Circle (JVC)&gt;JVC District 15&gt;Seasons Community&gt;Autumn</v>
      </c>
      <c r="E8490" s="2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</row>
    <row r="8491" spans="1:26" ht="16.5" x14ac:dyDescent="0.35">
      <c r="A8491" s="2" t="str">
        <f ca="1">IFERROR(__xludf.DUMMYFUNCTION("""COMPUTED_VALUE"""),"Dubai")</f>
        <v>Dubai</v>
      </c>
      <c r="B8491" s="2" t="str">
        <f ca="1">IFERROR(__xludf.DUMMYFUNCTION("""COMPUTED_VALUE"""),"Sobo Apartments")</f>
        <v>Sobo Apartments</v>
      </c>
      <c r="C8491" s="2" t="str">
        <f ca="1">IFERROR(__xludf.DUMMYFUNCTION("""COMPUTED_VALUE"""),"Building")</f>
        <v>Building</v>
      </c>
      <c r="D8491" s="2" t="str">
        <f ca="1">IFERROR(__xludf.DUMMYFUNCTION("""COMPUTED_VALUE"""),"Dubai&gt;Jumeirah Village Circle (JVC)&gt;JVC District 15&gt;Sobo Apartments")</f>
        <v>Dubai&gt;Jumeirah Village Circle (JVC)&gt;JVC District 15&gt;Sobo Apartments</v>
      </c>
      <c r="E8491" s="2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</row>
    <row r="8492" spans="1:26" ht="16.5" x14ac:dyDescent="0.35">
      <c r="A8492" s="2" t="str">
        <f ca="1">IFERROR(__xludf.DUMMYFUNCTION("""COMPUTED_VALUE"""),"Dubai")</f>
        <v>Dubai</v>
      </c>
      <c r="B8492" s="2" t="str">
        <f ca="1">IFERROR(__xludf.DUMMYFUNCTION("""COMPUTED_VALUE"""),"Stax Tower B")</f>
        <v>Stax Tower B</v>
      </c>
      <c r="C8492" s="2" t="str">
        <f ca="1">IFERROR(__xludf.DUMMYFUNCTION("""COMPUTED_VALUE"""),"Building")</f>
        <v>Building</v>
      </c>
      <c r="D8492" s="2" t="str">
        <f ca="1">IFERROR(__xludf.DUMMYFUNCTION("""COMPUTED_VALUE"""),"Dubai&gt;Jumeirah Village Circle (JVC)&gt;JVC District 15&gt;Stax&gt;Stax Tower B")</f>
        <v>Dubai&gt;Jumeirah Village Circle (JVC)&gt;JVC District 15&gt;Stax&gt;Stax Tower B</v>
      </c>
      <c r="E8492" s="2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</row>
    <row r="8493" spans="1:26" ht="16.5" x14ac:dyDescent="0.35">
      <c r="A8493" s="2" t="str">
        <f ca="1">IFERROR(__xludf.DUMMYFUNCTION("""COMPUTED_VALUE"""),"Dubai")</f>
        <v>Dubai</v>
      </c>
      <c r="B8493" s="2" t="str">
        <f ca="1">IFERROR(__xludf.DUMMYFUNCTION("""COMPUTED_VALUE"""),"Mirabella 5")</f>
        <v>Mirabella 5</v>
      </c>
      <c r="C8493" s="2" t="str">
        <f ca="1">IFERROR(__xludf.DUMMYFUNCTION("""COMPUTED_VALUE"""),"Neighbourhood")</f>
        <v>Neighbourhood</v>
      </c>
      <c r="D8493" s="2" t="str">
        <f ca="1">IFERROR(__xludf.DUMMYFUNCTION("""COMPUTED_VALUE"""),"Dubai&gt;Jumeirah Village Circle (JVC)&gt;JVC District 11&gt;Mirabella 5")</f>
        <v>Dubai&gt;Jumeirah Village Circle (JVC)&gt;JVC District 11&gt;Mirabella 5</v>
      </c>
      <c r="E8493" s="2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</row>
    <row r="8494" spans="1:26" ht="16.5" x14ac:dyDescent="0.35">
      <c r="A8494" s="2" t="str">
        <f ca="1">IFERROR(__xludf.DUMMYFUNCTION("""COMPUTED_VALUE"""),"Dubai")</f>
        <v>Dubai</v>
      </c>
      <c r="B8494" s="2" t="str">
        <f ca="1">IFERROR(__xludf.DUMMYFUNCTION("""COMPUTED_VALUE"""),"Hadley Heights")</f>
        <v>Hadley Heights</v>
      </c>
      <c r="C8494" s="2" t="str">
        <f ca="1">IFERROR(__xludf.DUMMYFUNCTION("""COMPUTED_VALUE"""),"Building")</f>
        <v>Building</v>
      </c>
      <c r="D8494" s="2" t="str">
        <f ca="1">IFERROR(__xludf.DUMMYFUNCTION("""COMPUTED_VALUE"""),"Dubai&gt;Jumeirah Village Circle (JVC)&gt;JVC District 11&gt;Hadley Heights")</f>
        <v>Dubai&gt;Jumeirah Village Circle (JVC)&gt;JVC District 11&gt;Hadley Heights</v>
      </c>
      <c r="E8494" s="2"/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</row>
    <row r="8495" spans="1:26" ht="16.5" x14ac:dyDescent="0.35">
      <c r="A8495" s="2" t="str">
        <f ca="1">IFERROR(__xludf.DUMMYFUNCTION("""COMPUTED_VALUE"""),"Dubai")</f>
        <v>Dubai</v>
      </c>
      <c r="B8495" s="2" t="str">
        <f ca="1">IFERROR(__xludf.DUMMYFUNCTION("""COMPUTED_VALUE"""),"Alta by Meteora")</f>
        <v>Alta by Meteora</v>
      </c>
      <c r="C8495" s="2" t="str">
        <f ca="1">IFERROR(__xludf.DUMMYFUNCTION("""COMPUTED_VALUE"""),"Building")</f>
        <v>Building</v>
      </c>
      <c r="D8495" s="2" t="str">
        <f ca="1">IFERROR(__xludf.DUMMYFUNCTION("""COMPUTED_VALUE"""),"Dubai&gt;Jumeirah Village Circle (JVC)&gt;JVC District 11&gt;Alta by Meteora")</f>
        <v>Dubai&gt;Jumeirah Village Circle (JVC)&gt;JVC District 11&gt;Alta by Meteora</v>
      </c>
      <c r="E8495" s="2"/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</row>
    <row r="8496" spans="1:26" ht="16.5" x14ac:dyDescent="0.35">
      <c r="A8496" s="2" t="str">
        <f ca="1">IFERROR(__xludf.DUMMYFUNCTION("""COMPUTED_VALUE"""),"Dubai")</f>
        <v>Dubai</v>
      </c>
      <c r="B8496" s="2" t="str">
        <f ca="1">IFERROR(__xludf.DUMMYFUNCTION("""COMPUTED_VALUE"""),"Belgravia Square")</f>
        <v>Belgravia Square</v>
      </c>
      <c r="C8496" s="2" t="str">
        <f ca="1">IFERROR(__xludf.DUMMYFUNCTION("""COMPUTED_VALUE"""),"Building")</f>
        <v>Building</v>
      </c>
      <c r="D8496" s="2" t="str">
        <f ca="1">IFERROR(__xludf.DUMMYFUNCTION("""COMPUTED_VALUE"""),"Dubai&gt;Jumeirah Village Circle (JVC)&gt;JVC District 14&gt;Belgravia Square")</f>
        <v>Dubai&gt;Jumeirah Village Circle (JVC)&gt;JVC District 14&gt;Belgravia Square</v>
      </c>
      <c r="E8496" s="2"/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</row>
    <row r="8497" spans="1:26" ht="16.5" x14ac:dyDescent="0.35">
      <c r="A8497" s="2" t="str">
        <f ca="1">IFERROR(__xludf.DUMMYFUNCTION("""COMPUTED_VALUE"""),"Dubai")</f>
        <v>Dubai</v>
      </c>
      <c r="B8497" s="2" t="str">
        <f ca="1">IFERROR(__xludf.DUMMYFUNCTION("""COMPUTED_VALUE"""),"LOCI Residences")</f>
        <v>LOCI Residences</v>
      </c>
      <c r="C8497" s="2" t="str">
        <f ca="1">IFERROR(__xludf.DUMMYFUNCTION("""COMPUTED_VALUE"""),"Building")</f>
        <v>Building</v>
      </c>
      <c r="D8497" s="2" t="str">
        <f ca="1">IFERROR(__xludf.DUMMYFUNCTION("""COMPUTED_VALUE"""),"Dubai&gt;Jumeirah Village Circle (JVC)&gt;JVC District 14&gt;LOCI Residences")</f>
        <v>Dubai&gt;Jumeirah Village Circle (JVC)&gt;JVC District 14&gt;LOCI Residences</v>
      </c>
      <c r="E8497" s="2"/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</row>
    <row r="8498" spans="1:26" ht="16.5" x14ac:dyDescent="0.35">
      <c r="A8498" s="2" t="str">
        <f ca="1">IFERROR(__xludf.DUMMYFUNCTION("""COMPUTED_VALUE"""),"Dubai")</f>
        <v>Dubai</v>
      </c>
      <c r="B8498" s="2" t="str">
        <f ca="1">IFERROR(__xludf.DUMMYFUNCTION("""COMPUTED_VALUE"""),"Legado by Prescott")</f>
        <v>Legado by Prescott</v>
      </c>
      <c r="C8498" s="2" t="str">
        <f ca="1">IFERROR(__xludf.DUMMYFUNCTION("""COMPUTED_VALUE"""),"Building")</f>
        <v>Building</v>
      </c>
      <c r="D8498" s="2" t="str">
        <f ca="1">IFERROR(__xludf.DUMMYFUNCTION("""COMPUTED_VALUE"""),"Dubai&gt;Jumeirah Village Circle (JVC)&gt;JVC District 14&gt;Legado by Prescott")</f>
        <v>Dubai&gt;Jumeirah Village Circle (JVC)&gt;JVC District 14&gt;Legado by Prescott</v>
      </c>
      <c r="E8498" s="2"/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</row>
    <row r="8499" spans="1:26" ht="16.5" x14ac:dyDescent="0.35">
      <c r="A8499" s="2" t="str">
        <f ca="1">IFERROR(__xludf.DUMMYFUNCTION("""COMPUTED_VALUE"""),"Dubai")</f>
        <v>Dubai</v>
      </c>
      <c r="B8499" s="2" t="str">
        <f ca="1">IFERROR(__xludf.DUMMYFUNCTION("""COMPUTED_VALUE"""),"Kappa Acca 2")</f>
        <v>Kappa Acca 2</v>
      </c>
      <c r="C8499" s="2" t="str">
        <f ca="1">IFERROR(__xludf.DUMMYFUNCTION("""COMPUTED_VALUE"""),"Building")</f>
        <v>Building</v>
      </c>
      <c r="D8499" s="2" t="str">
        <f ca="1">IFERROR(__xludf.DUMMYFUNCTION("""COMPUTED_VALUE"""),"Dubai&gt;Dubai Land Residence Complex&gt;Kappa Acca 2")</f>
        <v>Dubai&gt;Dubai Land Residence Complex&gt;Kappa Acca 2</v>
      </c>
      <c r="E8499" s="2"/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</row>
    <row r="8500" spans="1:26" ht="16.5" x14ac:dyDescent="0.35">
      <c r="A8500" s="2" t="str">
        <f ca="1">IFERROR(__xludf.DUMMYFUNCTION("""COMPUTED_VALUE"""),"Dubai")</f>
        <v>Dubai</v>
      </c>
      <c r="B8500" s="2" t="str">
        <f ca="1">IFERROR(__xludf.DUMMYFUNCTION("""COMPUTED_VALUE"""),"AG Seven")</f>
        <v>AG Seven</v>
      </c>
      <c r="C8500" s="2" t="str">
        <f ca="1">IFERROR(__xludf.DUMMYFUNCTION("""COMPUTED_VALUE"""),"Building")</f>
        <v>Building</v>
      </c>
      <c r="D8500" s="2" t="str">
        <f ca="1">IFERROR(__xludf.DUMMYFUNCTION("""COMPUTED_VALUE"""),"Dubai&gt;Dubai Land Residence Complex&gt;AG Seven")</f>
        <v>Dubai&gt;Dubai Land Residence Complex&gt;AG Seven</v>
      </c>
      <c r="E8500" s="2"/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</row>
    <row r="8501" spans="1:26" ht="16.5" x14ac:dyDescent="0.35">
      <c r="A8501" s="2" t="str">
        <f ca="1">IFERROR(__xludf.DUMMYFUNCTION("""COMPUTED_VALUE"""),"Dubai")</f>
        <v>Dubai</v>
      </c>
      <c r="B8501" s="2" t="str">
        <f ca="1">IFERROR(__xludf.DUMMYFUNCTION("""COMPUTED_VALUE"""),"Skycourts Tower E")</f>
        <v>Skycourts Tower E</v>
      </c>
      <c r="C8501" s="2" t="str">
        <f ca="1">IFERROR(__xludf.DUMMYFUNCTION("""COMPUTED_VALUE"""),"Building")</f>
        <v>Building</v>
      </c>
      <c r="D8501" s="2" t="str">
        <f ca="1">IFERROR(__xludf.DUMMYFUNCTION("""COMPUTED_VALUE"""),"Dubai&gt;Dubai Land Residence Complex&gt;Skycourts Towers&gt;Skycourts Tower E")</f>
        <v>Dubai&gt;Dubai Land Residence Complex&gt;Skycourts Towers&gt;Skycourts Tower E</v>
      </c>
      <c r="E8501" s="2"/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</row>
    <row r="8502" spans="1:26" ht="16.5" x14ac:dyDescent="0.35">
      <c r="A8502" s="2" t="str">
        <f ca="1">IFERROR(__xludf.DUMMYFUNCTION("""COMPUTED_VALUE"""),"Dubai")</f>
        <v>Dubai</v>
      </c>
      <c r="B8502" s="2" t="str">
        <f ca="1">IFERROR(__xludf.DUMMYFUNCTION("""COMPUTED_VALUE"""),"Cove Grand Residence by Imtiaz")</f>
        <v>Cove Grand Residence by Imtiaz</v>
      </c>
      <c r="C8502" s="2" t="str">
        <f ca="1">IFERROR(__xludf.DUMMYFUNCTION("""COMPUTED_VALUE"""),"Building")</f>
        <v>Building</v>
      </c>
      <c r="D8502" s="2" t="str">
        <f ca="1">IFERROR(__xludf.DUMMYFUNCTION("""COMPUTED_VALUE"""),"Dubai&gt;Dubai Land Residence Complex&gt;Cove Grand Residence by Imtiaz")</f>
        <v>Dubai&gt;Dubai Land Residence Complex&gt;Cove Grand Residence by Imtiaz</v>
      </c>
      <c r="E8502" s="2"/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</row>
    <row r="8503" spans="1:26" ht="16.5" x14ac:dyDescent="0.35">
      <c r="A8503" s="2" t="str">
        <f ca="1">IFERROR(__xludf.DUMMYFUNCTION("""COMPUTED_VALUE"""),"Dubai")</f>
        <v>Dubai</v>
      </c>
      <c r="B8503" s="2" t="str">
        <f ca="1">IFERROR(__xludf.DUMMYFUNCTION("""COMPUTED_VALUE"""),"KHK 31")</f>
        <v>KHK 31</v>
      </c>
      <c r="C8503" s="2" t="str">
        <f ca="1">IFERROR(__xludf.DUMMYFUNCTION("""COMPUTED_VALUE"""),"Building")</f>
        <v>Building</v>
      </c>
      <c r="D8503" s="2" t="str">
        <f ca="1">IFERROR(__xludf.DUMMYFUNCTION("""COMPUTED_VALUE"""),"Dubai&gt;Dubai Land Residence Complex&gt;KHK 31")</f>
        <v>Dubai&gt;Dubai Land Residence Complex&gt;KHK 31</v>
      </c>
      <c r="E8503" s="2"/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</row>
    <row r="8504" spans="1:26" ht="16.5" x14ac:dyDescent="0.35">
      <c r="A8504" s="2" t="str">
        <f ca="1">IFERROR(__xludf.DUMMYFUNCTION("""COMPUTED_VALUE"""),"Dubai")</f>
        <v>Dubai</v>
      </c>
      <c r="B8504" s="2" t="str">
        <f ca="1">IFERROR(__xludf.DUMMYFUNCTION("""COMPUTED_VALUE"""),"Al Multaqa Avenue")</f>
        <v>Al Multaqa Avenue</v>
      </c>
      <c r="C8504" s="2" t="str">
        <f ca="1">IFERROR(__xludf.DUMMYFUNCTION("""COMPUTED_VALUE"""),"Building")</f>
        <v>Building</v>
      </c>
      <c r="D8504" s="2" t="str">
        <f ca="1">IFERROR(__xludf.DUMMYFUNCTION("""COMPUTED_VALUE"""),"Dubai&gt;Mirdif&gt;Mirdif Hills&gt;Al Multaqa Avenue")</f>
        <v>Dubai&gt;Mirdif&gt;Mirdif Hills&gt;Al Multaqa Avenue</v>
      </c>
      <c r="E8504" s="2"/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</row>
    <row r="8505" spans="1:26" ht="16.5" x14ac:dyDescent="0.35">
      <c r="A8505" s="2" t="str">
        <f ca="1">IFERROR(__xludf.DUMMYFUNCTION("""COMPUTED_VALUE"""),"Dubai")</f>
        <v>Dubai</v>
      </c>
      <c r="B8505" s="2" t="str">
        <f ca="1">IFERROR(__xludf.DUMMYFUNCTION("""COMPUTED_VALUE"""),"Lootah Compound")</f>
        <v>Lootah Compound</v>
      </c>
      <c r="C8505" s="2" t="str">
        <f ca="1">IFERROR(__xludf.DUMMYFUNCTION("""COMPUTED_VALUE"""),"Neighbourhood")</f>
        <v>Neighbourhood</v>
      </c>
      <c r="D8505" s="2" t="str">
        <f ca="1">IFERROR(__xludf.DUMMYFUNCTION("""COMPUTED_VALUE"""),"Dubai&gt;Mirdif&gt;Lootah Compound")</f>
        <v>Dubai&gt;Mirdif&gt;Lootah Compound</v>
      </c>
      <c r="E8505" s="2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</row>
    <row r="8506" spans="1:26" ht="16.5" x14ac:dyDescent="0.35">
      <c r="A8506" s="2" t="str">
        <f ca="1">IFERROR(__xludf.DUMMYFUNCTION("""COMPUTED_VALUE"""),"Dubai")</f>
        <v>Dubai</v>
      </c>
      <c r="B8506" s="2" t="str">
        <f ca="1">IFERROR(__xludf.DUMMYFUNCTION("""COMPUTED_VALUE"""),"Al Mawakeb School, Al Garhoud")</f>
        <v>Al Mawakeb School, Al Garhoud</v>
      </c>
      <c r="C8506" s="2" t="str">
        <f ca="1">IFERROR(__xludf.DUMMYFUNCTION("""COMPUTED_VALUE"""),"School")</f>
        <v>School</v>
      </c>
      <c r="D8506" s="2" t="str">
        <f ca="1">IFERROR(__xludf.DUMMYFUNCTION("""COMPUTED_VALUE"""),"Dubai&gt;Al Garhoud&gt;Al Mawakeb School, Al Garhoud")</f>
        <v>Dubai&gt;Al Garhoud&gt;Al Mawakeb School, Al Garhoud</v>
      </c>
      <c r="E8506" s="2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</row>
    <row r="8507" spans="1:26" ht="16.5" x14ac:dyDescent="0.35">
      <c r="A8507" s="2" t="str">
        <f ca="1">IFERROR(__xludf.DUMMYFUNCTION("""COMPUTED_VALUE"""),"Dubai")</f>
        <v>Dubai</v>
      </c>
      <c r="B8507" s="2" t="str">
        <f ca="1">IFERROR(__xludf.DUMMYFUNCTION("""COMPUTED_VALUE"""),"The Falcon Villas")</f>
        <v>The Falcon Villas</v>
      </c>
      <c r="C8507" s="2" t="str">
        <f ca="1">IFERROR(__xludf.DUMMYFUNCTION("""COMPUTED_VALUE"""),"Neighbourhood")</f>
        <v>Neighbourhood</v>
      </c>
      <c r="D8507" s="2" t="str">
        <f ca="1">IFERROR(__xludf.DUMMYFUNCTION("""COMPUTED_VALUE"""),"Dubai&gt;Al Garhoud&gt;The Falcon Villas")</f>
        <v>Dubai&gt;Al Garhoud&gt;The Falcon Villas</v>
      </c>
      <c r="E8507" s="2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</row>
    <row r="8508" spans="1:26" ht="16.5" x14ac:dyDescent="0.35">
      <c r="A8508" s="2" t="str">
        <f ca="1">IFERROR(__xludf.DUMMYFUNCTION("""COMPUTED_VALUE"""),"Dubai")</f>
        <v>Dubai</v>
      </c>
      <c r="B8508" s="2" t="str">
        <f ca="1">IFERROR(__xludf.DUMMYFUNCTION("""COMPUTED_VALUE"""),"Airport View Building")</f>
        <v>Airport View Building</v>
      </c>
      <c r="C8508" s="2" t="str">
        <f ca="1">IFERROR(__xludf.DUMMYFUNCTION("""COMPUTED_VALUE"""),"Building")</f>
        <v>Building</v>
      </c>
      <c r="D8508" s="2" t="str">
        <f ca="1">IFERROR(__xludf.DUMMYFUNCTION("""COMPUTED_VALUE"""),"Dubai&gt;Al Garhoud&gt;Airport View Building")</f>
        <v>Dubai&gt;Al Garhoud&gt;Airport View Building</v>
      </c>
      <c r="E8508" s="2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</row>
    <row r="8509" spans="1:26" ht="16.5" x14ac:dyDescent="0.35">
      <c r="A8509" s="2" t="str">
        <f ca="1">IFERROR(__xludf.DUMMYFUNCTION("""COMPUTED_VALUE"""),"Dubai")</f>
        <v>Dubai</v>
      </c>
      <c r="B8509" s="2" t="str">
        <f ca="1">IFERROR(__xludf.DUMMYFUNCTION("""COMPUTED_VALUE"""),"Cluster 12")</f>
        <v>Cluster 12</v>
      </c>
      <c r="C8509" s="2" t="str">
        <f ca="1">IFERROR(__xludf.DUMMYFUNCTION("""COMPUTED_VALUE"""),"Neighbourhood")</f>
        <v>Neighbourhood</v>
      </c>
      <c r="D8509" s="2" t="str">
        <f ca="1">IFERROR(__xludf.DUMMYFUNCTION("""COMPUTED_VALUE"""),"Dubai&gt;Jumeirah Islands&gt;Cluster 12")</f>
        <v>Dubai&gt;Jumeirah Islands&gt;Cluster 12</v>
      </c>
      <c r="E8509" s="2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</row>
    <row r="8510" spans="1:26" ht="16.5" x14ac:dyDescent="0.35">
      <c r="A8510" s="2" t="str">
        <f ca="1">IFERROR(__xludf.DUMMYFUNCTION("""COMPUTED_VALUE"""),"Dubai")</f>
        <v>Dubai</v>
      </c>
      <c r="B8510" s="2" t="str">
        <f ca="1">IFERROR(__xludf.DUMMYFUNCTION("""COMPUTED_VALUE"""),"Cluster 44")</f>
        <v>Cluster 44</v>
      </c>
      <c r="C8510" s="2" t="str">
        <f ca="1">IFERROR(__xludf.DUMMYFUNCTION("""COMPUTED_VALUE"""),"Neighbourhood")</f>
        <v>Neighbourhood</v>
      </c>
      <c r="D8510" s="2" t="str">
        <f ca="1">IFERROR(__xludf.DUMMYFUNCTION("""COMPUTED_VALUE"""),"Dubai&gt;Jumeirah Islands&gt;Cluster 44")</f>
        <v>Dubai&gt;Jumeirah Islands&gt;Cluster 44</v>
      </c>
      <c r="E8510" s="2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</row>
    <row r="8511" spans="1:26" ht="16.5" x14ac:dyDescent="0.35">
      <c r="A8511" s="2" t="str">
        <f ca="1">IFERROR(__xludf.DUMMYFUNCTION("""COMPUTED_VALUE"""),"Dubai")</f>
        <v>Dubai</v>
      </c>
      <c r="B8511" s="2" t="str">
        <f ca="1">IFERROR(__xludf.DUMMYFUNCTION("""COMPUTED_VALUE"""),"Garden Apartments East D")</f>
        <v>Garden Apartments East D</v>
      </c>
      <c r="C8511" s="2" t="str">
        <f ca="1">IFERROR(__xludf.DUMMYFUNCTION("""COMPUTED_VALUE"""),"Building")</f>
        <v>Building</v>
      </c>
      <c r="D8511" s="2" t="str">
        <f ca="1">IFERROR(__xludf.DUMMYFUNCTION("""COMPUTED_VALUE"""),"Dubai&gt;Green Community&gt;Garden East Apartments&gt;Garden Apartments East D")</f>
        <v>Dubai&gt;Green Community&gt;Garden East Apartments&gt;Garden Apartments East D</v>
      </c>
      <c r="E8511" s="2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</row>
    <row r="8512" spans="1:26" ht="16.5" x14ac:dyDescent="0.35">
      <c r="A8512" s="2" t="str">
        <f ca="1">IFERROR(__xludf.DUMMYFUNCTION("""COMPUTED_VALUE"""),"Dubai")</f>
        <v>Dubai</v>
      </c>
      <c r="B8512" s="2" t="str">
        <f ca="1">IFERROR(__xludf.DUMMYFUNCTION("""COMPUTED_VALUE"""),"Southwest Apartments 2")</f>
        <v>Southwest Apartments 2</v>
      </c>
      <c r="C8512" s="2" t="str">
        <f ca="1">IFERROR(__xludf.DUMMYFUNCTION("""COMPUTED_VALUE"""),"Building")</f>
        <v>Building</v>
      </c>
      <c r="D8512" s="2" t="str">
        <f ca="1">IFERROR(__xludf.DUMMYFUNCTION("""COMPUTED_VALUE"""),"Dubai&gt;Green Community&gt;Green Community West&gt;Southwest Apartments&gt;Southwest Apartments 2")</f>
        <v>Dubai&gt;Green Community&gt;Green Community West&gt;Southwest Apartments&gt;Southwest Apartments 2</v>
      </c>
      <c r="E8512" s="2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</row>
    <row r="8513" spans="1:26" ht="16.5" x14ac:dyDescent="0.35">
      <c r="A8513" s="2" t="str">
        <f ca="1">IFERROR(__xludf.DUMMYFUNCTION("""COMPUTED_VALUE"""),"Dubai")</f>
        <v>Dubai</v>
      </c>
      <c r="B8513" s="2" t="str">
        <f ca="1">IFERROR(__xludf.DUMMYFUNCTION("""COMPUTED_VALUE"""),"Elite Sports Residence 4")</f>
        <v>Elite Sports Residence 4</v>
      </c>
      <c r="C8513" s="2" t="str">
        <f ca="1">IFERROR(__xludf.DUMMYFUNCTION("""COMPUTED_VALUE"""),"Building")</f>
        <v>Building</v>
      </c>
      <c r="D8513" s="2" t="str">
        <f ca="1">IFERROR(__xludf.DUMMYFUNCTION("""COMPUTED_VALUE"""),"Dubai&gt;Dubai Sports City&gt;Elite Sports Residence&gt;Elite Sports Residence 4")</f>
        <v>Dubai&gt;Dubai Sports City&gt;Elite Sports Residence&gt;Elite Sports Residence 4</v>
      </c>
      <c r="E8513" s="2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</row>
    <row r="8514" spans="1:26" ht="16.5" x14ac:dyDescent="0.35">
      <c r="A8514" s="2" t="str">
        <f ca="1">IFERROR(__xludf.DUMMYFUNCTION("""COMPUTED_VALUE"""),"Dubai")</f>
        <v>Dubai</v>
      </c>
      <c r="B8514" s="2" t="str">
        <f ca="1">IFERROR(__xludf.DUMMYFUNCTION("""COMPUTED_VALUE"""),"Olympic Park 3")</f>
        <v>Olympic Park 3</v>
      </c>
      <c r="C8514" s="2" t="str">
        <f ca="1">IFERROR(__xludf.DUMMYFUNCTION("""COMPUTED_VALUE"""),"Building")</f>
        <v>Building</v>
      </c>
      <c r="D8514" s="2" t="str">
        <f ca="1">IFERROR(__xludf.DUMMYFUNCTION("""COMPUTED_VALUE"""),"Dubai&gt;Dubai Sports City&gt;Olympic Park&gt;Olympic Park 3")</f>
        <v>Dubai&gt;Dubai Sports City&gt;Olympic Park&gt;Olympic Park 3</v>
      </c>
      <c r="E8514" s="2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</row>
    <row r="8515" spans="1:26" ht="16.5" x14ac:dyDescent="0.35">
      <c r="A8515" s="2" t="str">
        <f ca="1">IFERROR(__xludf.DUMMYFUNCTION("""COMPUTED_VALUE"""),"Dubai")</f>
        <v>Dubai</v>
      </c>
      <c r="B8515" s="2" t="str">
        <f ca="1">IFERROR(__xludf.DUMMYFUNCTION("""COMPUTED_VALUE"""),"Fortuna Village")</f>
        <v>Fortuna Village</v>
      </c>
      <c r="C8515" s="2" t="str">
        <f ca="1">IFERROR(__xludf.DUMMYFUNCTION("""COMPUTED_VALUE"""),"Neighbourhood")</f>
        <v>Neighbourhood</v>
      </c>
      <c r="D8515" s="2" t="str">
        <f ca="1">IFERROR(__xludf.DUMMYFUNCTION("""COMPUTED_VALUE"""),"Dubai&gt;Dubai Sports City&gt;Victory Heights&gt;Fortuna Village")</f>
        <v>Dubai&gt;Dubai Sports City&gt;Victory Heights&gt;Fortuna Village</v>
      </c>
      <c r="E8515" s="2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</row>
    <row r="8516" spans="1:26" ht="16.5" x14ac:dyDescent="0.35">
      <c r="A8516" s="2" t="str">
        <f ca="1">IFERROR(__xludf.DUMMYFUNCTION("""COMPUTED_VALUE"""),"Dubai")</f>
        <v>Dubai</v>
      </c>
      <c r="B8516" s="2" t="str">
        <f ca="1">IFERROR(__xludf.DUMMYFUNCTION("""COMPUTED_VALUE"""),"The First Collection at Dubai Sports City")</f>
        <v>The First Collection at Dubai Sports City</v>
      </c>
      <c r="C8516" s="2" t="str">
        <f ca="1">IFERROR(__xludf.DUMMYFUNCTION("""COMPUTED_VALUE"""),"Building")</f>
        <v>Building</v>
      </c>
      <c r="D8516" s="2" t="str">
        <f ca="1">IFERROR(__xludf.DUMMYFUNCTION("""COMPUTED_VALUE"""),"Dubai&gt;Dubai Sports City&gt;The First Collection at Dubai Sports City")</f>
        <v>Dubai&gt;Dubai Sports City&gt;The First Collection at Dubai Sports City</v>
      </c>
      <c r="E8516" s="2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</row>
    <row r="8517" spans="1:26" ht="16.5" x14ac:dyDescent="0.35">
      <c r="A8517" s="2" t="str">
        <f ca="1">IFERROR(__xludf.DUMMYFUNCTION("""COMPUTED_VALUE"""),"Dubai")</f>
        <v>Dubai</v>
      </c>
      <c r="B8517" s="2" t="str">
        <f ca="1">IFERROR(__xludf.DUMMYFUNCTION("""COMPUTED_VALUE"""),"Al Salem Tower 2")</f>
        <v>Al Salem Tower 2</v>
      </c>
      <c r="C8517" s="2" t="str">
        <f ca="1">IFERROR(__xludf.DUMMYFUNCTION("""COMPUTED_VALUE"""),"Building")</f>
        <v>Building</v>
      </c>
      <c r="D8517" s="2" t="str">
        <f ca="1">IFERROR(__xludf.DUMMYFUNCTION("""COMPUTED_VALUE"""),"Dubai&gt;Al Nahda (Dubai)&gt;Al Nahda 1&gt;Al Salem Tower 2")</f>
        <v>Dubai&gt;Al Nahda (Dubai)&gt;Al Nahda 1&gt;Al Salem Tower 2</v>
      </c>
      <c r="E8517" s="2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</row>
    <row r="8518" spans="1:26" ht="16.5" x14ac:dyDescent="0.35">
      <c r="A8518" s="2" t="str">
        <f ca="1">IFERROR(__xludf.DUMMYFUNCTION("""COMPUTED_VALUE"""),"Dubai")</f>
        <v>Dubai</v>
      </c>
      <c r="B8518" s="2" t="str">
        <f ca="1">IFERROR(__xludf.DUMMYFUNCTION("""COMPUTED_VALUE"""),"Maria 1 Building")</f>
        <v>Maria 1 Building</v>
      </c>
      <c r="C8518" s="2" t="str">
        <f ca="1">IFERROR(__xludf.DUMMYFUNCTION("""COMPUTED_VALUE"""),"Building")</f>
        <v>Building</v>
      </c>
      <c r="D8518" s="2" t="str">
        <f ca="1">IFERROR(__xludf.DUMMYFUNCTION("""COMPUTED_VALUE"""),"Dubai&gt;Al Nahda (Dubai)&gt;Al Nahda 1&gt;Maria 1 Building")</f>
        <v>Dubai&gt;Al Nahda (Dubai)&gt;Al Nahda 1&gt;Maria 1 Building</v>
      </c>
      <c r="E8518" s="2"/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</row>
    <row r="8519" spans="1:26" ht="16.5" x14ac:dyDescent="0.35">
      <c r="A8519" s="2" t="str">
        <f ca="1">IFERROR(__xludf.DUMMYFUNCTION("""COMPUTED_VALUE"""),"Dubai")</f>
        <v>Dubai</v>
      </c>
      <c r="B8519" s="2" t="str">
        <f ca="1">IFERROR(__xludf.DUMMYFUNCTION("""COMPUTED_VALUE"""),"Al Falasi Building")</f>
        <v>Al Falasi Building</v>
      </c>
      <c r="C8519" s="2" t="str">
        <f ca="1">IFERROR(__xludf.DUMMYFUNCTION("""COMPUTED_VALUE"""),"Building")</f>
        <v>Building</v>
      </c>
      <c r="D8519" s="2" t="str">
        <f ca="1">IFERROR(__xludf.DUMMYFUNCTION("""COMPUTED_VALUE"""),"Dubai&gt;Al Nahda (Dubai)&gt;Al Nahda 2&gt;Al Falasi Building")</f>
        <v>Dubai&gt;Al Nahda (Dubai)&gt;Al Nahda 2&gt;Al Falasi Building</v>
      </c>
      <c r="E8519" s="2"/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</row>
    <row r="8520" spans="1:26" ht="16.5" x14ac:dyDescent="0.35">
      <c r="A8520" s="2" t="str">
        <f ca="1">IFERROR(__xludf.DUMMYFUNCTION("""COMPUTED_VALUE"""),"Dubai")</f>
        <v>Dubai</v>
      </c>
      <c r="B8520" s="2" t="str">
        <f ca="1">IFERROR(__xludf.DUMMYFUNCTION("""COMPUTED_VALUE"""),"Manara Residence")</f>
        <v>Manara Residence</v>
      </c>
      <c r="C8520" s="2" t="str">
        <f ca="1">IFERROR(__xludf.DUMMYFUNCTION("""COMPUTED_VALUE"""),"Building")</f>
        <v>Building</v>
      </c>
      <c r="D8520" s="2" t="str">
        <f ca="1">IFERROR(__xludf.DUMMYFUNCTION("""COMPUTED_VALUE"""),"Dubai&gt;Al Nahda (Dubai)&gt;Al Nahda 2&gt;Manara Residence")</f>
        <v>Dubai&gt;Al Nahda (Dubai)&gt;Al Nahda 2&gt;Manara Residence</v>
      </c>
      <c r="E8520" s="2"/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</row>
    <row r="8521" spans="1:26" ht="16.5" x14ac:dyDescent="0.35">
      <c r="A8521" s="2" t="str">
        <f ca="1">IFERROR(__xludf.DUMMYFUNCTION("""COMPUTED_VALUE"""),"Dubai")</f>
        <v>Dubai</v>
      </c>
      <c r="B8521" s="2" t="str">
        <f ca="1">IFERROR(__xludf.DUMMYFUNCTION("""COMPUTED_VALUE"""),"Yellow 1 Building")</f>
        <v>Yellow 1 Building</v>
      </c>
      <c r="C8521" s="2" t="str">
        <f ca="1">IFERROR(__xludf.DUMMYFUNCTION("""COMPUTED_VALUE"""),"Building")</f>
        <v>Building</v>
      </c>
      <c r="D8521" s="2" t="str">
        <f ca="1">IFERROR(__xludf.DUMMYFUNCTION("""COMPUTED_VALUE"""),"Dubai&gt;Al Nahda (Dubai)&gt;Al Nahda 2&gt;Yellow 1 Building")</f>
        <v>Dubai&gt;Al Nahda (Dubai)&gt;Al Nahda 2&gt;Yellow 1 Building</v>
      </c>
      <c r="E8521" s="2"/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</row>
    <row r="8522" spans="1:26" ht="16.5" x14ac:dyDescent="0.35">
      <c r="A8522" s="2" t="str">
        <f ca="1">IFERROR(__xludf.DUMMYFUNCTION("""COMPUTED_VALUE"""),"Dubai")</f>
        <v>Dubai</v>
      </c>
      <c r="B8522" s="2" t="str">
        <f ca="1">IFERROR(__xludf.DUMMYFUNCTION("""COMPUTED_VALUE"""),"Mirage Tower")</f>
        <v>Mirage Tower</v>
      </c>
      <c r="C8522" s="2" t="str">
        <f ca="1">IFERROR(__xludf.DUMMYFUNCTION("""COMPUTED_VALUE"""),"Building")</f>
        <v>Building</v>
      </c>
      <c r="D8522" s="2" t="str">
        <f ca="1">IFERROR(__xludf.DUMMYFUNCTION("""COMPUTED_VALUE"""),"Dubai&gt;Al Nahda (Dubai)&gt;Al Nahda 2&gt;Mirage Tower")</f>
        <v>Dubai&gt;Al Nahda (Dubai)&gt;Al Nahda 2&gt;Mirage Tower</v>
      </c>
      <c r="E8522" s="2"/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</row>
    <row r="8523" spans="1:26" ht="16.5" x14ac:dyDescent="0.35">
      <c r="A8523" s="2" t="str">
        <f ca="1">IFERROR(__xludf.DUMMYFUNCTION("""COMPUTED_VALUE"""),"Dubai")</f>
        <v>Dubai</v>
      </c>
      <c r="B8523" s="2" t="str">
        <f ca="1">IFERROR(__xludf.DUMMYFUNCTION("""COMPUTED_VALUE"""),"District 8")</f>
        <v>District 8</v>
      </c>
      <c r="C8523" s="2" t="str">
        <f ca="1">IFERROR(__xludf.DUMMYFUNCTION("""COMPUTED_VALUE"""),"Neighbourhood")</f>
        <v>Neighbourhood</v>
      </c>
      <c r="D8523" s="2" t="str">
        <f ca="1">IFERROR(__xludf.DUMMYFUNCTION("""COMPUTED_VALUE"""),"Dubai&gt;Jumeirah Park&gt;District 8")</f>
        <v>Dubai&gt;Jumeirah Park&gt;District 8</v>
      </c>
      <c r="E8523" s="2"/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</row>
    <row r="8524" spans="1:26" ht="16.5" x14ac:dyDescent="0.35">
      <c r="A8524" s="2" t="str">
        <f ca="1">IFERROR(__xludf.DUMMYFUNCTION("""COMPUTED_VALUE"""),"Dubai")</f>
        <v>Dubai</v>
      </c>
      <c r="B8524" s="2" t="str">
        <f ca="1">IFERROR(__xludf.DUMMYFUNCTION("""COMPUTED_VALUE"""),"Lagoon Views 2 Tower C")</f>
        <v>Lagoon Views 2 Tower C</v>
      </c>
      <c r="C8524" s="2" t="str">
        <f ca="1">IFERROR(__xludf.DUMMYFUNCTION("""COMPUTED_VALUE"""),"Building")</f>
        <v>Building</v>
      </c>
      <c r="D8524" s="2" t="str">
        <f ca="1">IFERROR(__xludf.DUMMYFUNCTION("""COMPUTED_VALUE"""),"Dubai&gt;DAMAC Lagoons&gt;Lagoon Views&gt;Lagoon Views 2 Tower C")</f>
        <v>Dubai&gt;DAMAC Lagoons&gt;Lagoon Views&gt;Lagoon Views 2 Tower C</v>
      </c>
      <c r="E8524" s="2"/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</row>
    <row r="8525" spans="1:26" ht="16.5" x14ac:dyDescent="0.35">
      <c r="A8525" s="2" t="str">
        <f ca="1">IFERROR(__xludf.DUMMYFUNCTION("""COMPUTED_VALUE"""),"Dubai")</f>
        <v>Dubai</v>
      </c>
      <c r="B8525" s="2" t="str">
        <f ca="1">IFERROR(__xludf.DUMMYFUNCTION("""COMPUTED_VALUE"""),"Rami Residences 2")</f>
        <v>Rami Residences 2</v>
      </c>
      <c r="C8525" s="2" t="str">
        <f ca="1">IFERROR(__xludf.DUMMYFUNCTION("""COMPUTED_VALUE"""),"Building")</f>
        <v>Building</v>
      </c>
      <c r="D8525" s="2" t="str">
        <f ca="1">IFERROR(__xludf.DUMMYFUNCTION("""COMPUTED_VALUE"""),"Dubai&gt;Liwan 2&gt;Rami Residences 2")</f>
        <v>Dubai&gt;Liwan 2&gt;Rami Residences 2</v>
      </c>
      <c r="E8525" s="2"/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</row>
    <row r="8526" spans="1:26" ht="16.5" x14ac:dyDescent="0.35">
      <c r="A8526" s="2" t="str">
        <f ca="1">IFERROR(__xludf.DUMMYFUNCTION("""COMPUTED_VALUE"""),"Dubai")</f>
        <v>Dubai</v>
      </c>
      <c r="B8526" s="2" t="str">
        <f ca="1">IFERROR(__xludf.DUMMYFUNCTION("""COMPUTED_VALUE"""),"Al Hosam Building")</f>
        <v>Al Hosam Building</v>
      </c>
      <c r="C8526" s="2" t="str">
        <f ca="1">IFERROR(__xludf.DUMMYFUNCTION("""COMPUTED_VALUE"""),"Building")</f>
        <v>Building</v>
      </c>
      <c r="D8526" s="2" t="str">
        <f ca="1">IFERROR(__xludf.DUMMYFUNCTION("""COMPUTED_VALUE"""),"Dubai&gt;Liwan 2&gt;Al Hosam Building")</f>
        <v>Dubai&gt;Liwan 2&gt;Al Hosam Building</v>
      </c>
      <c r="E8526" s="2"/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</row>
    <row r="8527" spans="1:26" ht="16.5" x14ac:dyDescent="0.35">
      <c r="A8527" s="2" t="str">
        <f ca="1">IFERROR(__xludf.DUMMYFUNCTION("""COMPUTED_VALUE"""),"Dubai")</f>
        <v>Dubai</v>
      </c>
      <c r="B8527" s="2" t="str">
        <f ca="1">IFERROR(__xludf.DUMMYFUNCTION("""COMPUTED_VALUE"""),"Bayan Business Centre")</f>
        <v>Bayan Business Centre</v>
      </c>
      <c r="C8527" s="2" t="str">
        <f ca="1">IFERROR(__xludf.DUMMYFUNCTION("""COMPUTED_VALUE"""),"Building")</f>
        <v>Building</v>
      </c>
      <c r="D8527" s="2" t="str">
        <f ca="1">IFERROR(__xludf.DUMMYFUNCTION("""COMPUTED_VALUE"""),"Dubai&gt;Dubai Investment Park (DIP)&gt;Dubai Investment Park 1&gt;Bayan Business Centre")</f>
        <v>Dubai&gt;Dubai Investment Park (DIP)&gt;Dubai Investment Park 1&gt;Bayan Business Centre</v>
      </c>
      <c r="E8527" s="2"/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</row>
    <row r="8528" spans="1:26" ht="16.5" x14ac:dyDescent="0.35">
      <c r="A8528" s="2" t="str">
        <f ca="1">IFERROR(__xludf.DUMMYFUNCTION("""COMPUTED_VALUE"""),"Dubai")</f>
        <v>Dubai</v>
      </c>
      <c r="B8528" s="2" t="str">
        <f ca="1">IFERROR(__xludf.DUMMYFUNCTION("""COMPUTED_VALUE"""),"City Experts Group Block C")</f>
        <v>City Experts Group Block C</v>
      </c>
      <c r="C8528" s="2" t="str">
        <f ca="1">IFERROR(__xludf.DUMMYFUNCTION("""COMPUTED_VALUE"""),"Building")</f>
        <v>Building</v>
      </c>
      <c r="D8528" s="2" t="str">
        <f ca="1">IFERROR(__xludf.DUMMYFUNCTION("""COMPUTED_VALUE"""),"Dubai&gt;Dubai Investment Park (DIP)&gt;Dubai Investment Park 1&gt;City Experts Group Labour Accommodation&gt;City Experts Group Block C")</f>
        <v>Dubai&gt;Dubai Investment Park (DIP)&gt;Dubai Investment Park 1&gt;City Experts Group Labour Accommodation&gt;City Experts Group Block C</v>
      </c>
      <c r="E8528" s="2"/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</row>
    <row r="8529" spans="1:26" ht="16.5" x14ac:dyDescent="0.35">
      <c r="A8529" s="2" t="str">
        <f ca="1">IFERROR(__xludf.DUMMYFUNCTION("""COMPUTED_VALUE"""),"Dubai")</f>
        <v>Dubai</v>
      </c>
      <c r="B8529" s="2" t="str">
        <f ca="1">IFERROR(__xludf.DUMMYFUNCTION("""COMPUTED_VALUE"""),"Bin Sougat Building")</f>
        <v>Bin Sougat Building</v>
      </c>
      <c r="C8529" s="2" t="str">
        <f ca="1">IFERROR(__xludf.DUMMYFUNCTION("""COMPUTED_VALUE"""),"Building")</f>
        <v>Building</v>
      </c>
      <c r="D8529" s="2" t="str">
        <f ca="1">IFERROR(__xludf.DUMMYFUNCTION("""COMPUTED_VALUE"""),"Dubai&gt;Dubai Investment Park (DIP)&gt;Dubai Investment Park 1&gt;Bin Sougat Building")</f>
        <v>Dubai&gt;Dubai Investment Park (DIP)&gt;Dubai Investment Park 1&gt;Bin Sougat Building</v>
      </c>
      <c r="E8529" s="2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</row>
    <row r="8530" spans="1:26" ht="16.5" x14ac:dyDescent="0.35">
      <c r="A8530" s="2" t="str">
        <f ca="1">IFERROR(__xludf.DUMMYFUNCTION("""COMPUTED_VALUE"""),"Dubai")</f>
        <v>Dubai</v>
      </c>
      <c r="B8530" s="2" t="str">
        <f ca="1">IFERROR(__xludf.DUMMYFUNCTION("""COMPUTED_VALUE"""),"Uniestate Mansion")</f>
        <v>Uniestate Mansion</v>
      </c>
      <c r="C8530" s="2" t="str">
        <f ca="1">IFERROR(__xludf.DUMMYFUNCTION("""COMPUTED_VALUE"""),"Building")</f>
        <v>Building</v>
      </c>
      <c r="D8530" s="2" t="str">
        <f ca="1">IFERROR(__xludf.DUMMYFUNCTION("""COMPUTED_VALUE"""),"Dubai&gt;Dubai Investment Park (DIP)&gt;Uniestate Mansion")</f>
        <v>Dubai&gt;Dubai Investment Park (DIP)&gt;Uniestate Mansion</v>
      </c>
      <c r="E8530" s="2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</row>
    <row r="8531" spans="1:26" ht="16.5" x14ac:dyDescent="0.35">
      <c r="A8531" s="2" t="str">
        <f ca="1">IFERROR(__xludf.DUMMYFUNCTION("""COMPUTED_VALUE"""),"Dubai")</f>
        <v>Dubai</v>
      </c>
      <c r="B8531" s="2" t="str">
        <f ca="1">IFERROR(__xludf.DUMMYFUNCTION("""COMPUTED_VALUE"""),"B17")</f>
        <v>B17</v>
      </c>
      <c r="C8531" s="2" t="str">
        <f ca="1">IFERROR(__xludf.DUMMYFUNCTION("""COMPUTED_VALUE"""),"Building")</f>
        <v>Building</v>
      </c>
      <c r="D8531" s="2" t="str">
        <f ca="1">IFERROR(__xludf.DUMMYFUNCTION("""COMPUTED_VALUE"""),"Dubai&gt;Dubai Investment Park (DIP)&gt;Dubai Investment Park 2&gt;Dunes Village&gt;B17")</f>
        <v>Dubai&gt;Dubai Investment Park (DIP)&gt;Dubai Investment Park 2&gt;Dunes Village&gt;B17</v>
      </c>
      <c r="E8531" s="2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</row>
    <row r="8532" spans="1:26" ht="16.5" x14ac:dyDescent="0.35">
      <c r="A8532" s="2" t="str">
        <f ca="1">IFERROR(__xludf.DUMMYFUNCTION("""COMPUTED_VALUE"""),"Dubai")</f>
        <v>Dubai</v>
      </c>
      <c r="B8532" s="2" t="str">
        <f ca="1">IFERROR(__xludf.DUMMYFUNCTION("""COMPUTED_VALUE"""),"Imperial Residence D")</f>
        <v>Imperial Residence D</v>
      </c>
      <c r="C8532" s="2" t="str">
        <f ca="1">IFERROR(__xludf.DUMMYFUNCTION("""COMPUTED_VALUE"""),"Building")</f>
        <v>Building</v>
      </c>
      <c r="D8532" s="2" t="str">
        <f ca="1">IFERROR(__xludf.DUMMYFUNCTION("""COMPUTED_VALUE"""),"Dubai&gt;Dubai Investment Park (DIP)&gt;Imperial Residences (DIP)&gt;Imperial Residence D")</f>
        <v>Dubai&gt;Dubai Investment Park (DIP)&gt;Imperial Residences (DIP)&gt;Imperial Residence D</v>
      </c>
      <c r="E8532" s="2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</row>
    <row r="8533" spans="1:26" ht="16.5" x14ac:dyDescent="0.35">
      <c r="A8533" s="2" t="str">
        <f ca="1">IFERROR(__xludf.DUMMYFUNCTION("""COMPUTED_VALUE"""),"Dubai")</f>
        <v>Dubai</v>
      </c>
      <c r="B8533" s="2" t="str">
        <f ca="1">IFERROR(__xludf.DUMMYFUNCTION("""COMPUTED_VALUE"""),"Selvara 3")</f>
        <v>Selvara 3</v>
      </c>
      <c r="C8533" s="2" t="str">
        <f ca="1">IFERROR(__xludf.DUMMYFUNCTION("""COMPUTED_VALUE"""),"Neighbourhood")</f>
        <v>Neighbourhood</v>
      </c>
      <c r="D8533" s="2" t="str">
        <f ca="1">IFERROR(__xludf.DUMMYFUNCTION("""COMPUTED_VALUE"""),"Dubai&gt;Dubai Investment Park (DIP)&gt;Grand Polo Club &amp; Resort&gt;Selvara 3")</f>
        <v>Dubai&gt;Dubai Investment Park (DIP)&gt;Grand Polo Club &amp; Resort&gt;Selvara 3</v>
      </c>
      <c r="E8533" s="2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</row>
    <row r="8534" spans="1:26" ht="16.5" x14ac:dyDescent="0.35">
      <c r="A8534" s="2" t="str">
        <f ca="1">IFERROR(__xludf.DUMMYFUNCTION("""COMPUTED_VALUE"""),"Dubai")</f>
        <v>Dubai</v>
      </c>
      <c r="B8534" s="2" t="str">
        <f ca="1">IFERROR(__xludf.DUMMYFUNCTION("""COMPUTED_VALUE"""),"Mizin 4")</f>
        <v>Mizin 4</v>
      </c>
      <c r="C8534" s="2" t="str">
        <f ca="1">IFERROR(__xludf.DUMMYFUNCTION("""COMPUTED_VALUE"""),"Building")</f>
        <v>Building</v>
      </c>
      <c r="D8534" s="2" t="str">
        <f ca="1">IFERROR(__xludf.DUMMYFUNCTION("""COMPUTED_VALUE"""),"Dubai&gt;Majan&gt;Mizin 4")</f>
        <v>Dubai&gt;Majan&gt;Mizin 4</v>
      </c>
      <c r="E8534" s="2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</row>
    <row r="8535" spans="1:26" ht="16.5" x14ac:dyDescent="0.35">
      <c r="A8535" s="2" t="str">
        <f ca="1">IFERROR(__xludf.DUMMYFUNCTION("""COMPUTED_VALUE"""),"Dubai")</f>
        <v>Dubai</v>
      </c>
      <c r="B8535" s="2" t="str">
        <f ca="1">IFERROR(__xludf.DUMMYFUNCTION("""COMPUTED_VALUE"""),"Jade Tower")</f>
        <v>Jade Tower</v>
      </c>
      <c r="C8535" s="2" t="str">
        <f ca="1">IFERROR(__xludf.DUMMYFUNCTION("""COMPUTED_VALUE"""),"Building")</f>
        <v>Building</v>
      </c>
      <c r="D8535" s="2" t="str">
        <f ca="1">IFERROR(__xludf.DUMMYFUNCTION("""COMPUTED_VALUE"""),"Dubai&gt;Majan&gt;Jade Tower")</f>
        <v>Dubai&gt;Majan&gt;Jade Tower</v>
      </c>
      <c r="E8535" s="2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</row>
    <row r="8536" spans="1:26" ht="16.5" x14ac:dyDescent="0.35">
      <c r="A8536" s="2" t="str">
        <f ca="1">IFERROR(__xludf.DUMMYFUNCTION("""COMPUTED_VALUE"""),"Dubai")</f>
        <v>Dubai</v>
      </c>
      <c r="B8536" s="2" t="str">
        <f ca="1">IFERROR(__xludf.DUMMYFUNCTION("""COMPUTED_VALUE"""),"Bararigate by ADE")</f>
        <v>Bararigate by ADE</v>
      </c>
      <c r="C8536" s="2" t="str">
        <f ca="1">IFERROR(__xludf.DUMMYFUNCTION("""COMPUTED_VALUE"""),"Building")</f>
        <v>Building</v>
      </c>
      <c r="D8536" s="2" t="str">
        <f ca="1">IFERROR(__xludf.DUMMYFUNCTION("""COMPUTED_VALUE"""),"Dubai&gt;Majan&gt;Bararigate by ADE")</f>
        <v>Dubai&gt;Majan&gt;Bararigate by ADE</v>
      </c>
      <c r="E8536" s="2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</row>
    <row r="8537" spans="1:26" ht="16.5" x14ac:dyDescent="0.35">
      <c r="A8537" s="2" t="str">
        <f ca="1">IFERROR(__xludf.DUMMYFUNCTION("""COMPUTED_VALUE"""),"Dubai")</f>
        <v>Dubai</v>
      </c>
      <c r="B8537" s="2" t="str">
        <f ca="1">IFERROR(__xludf.DUMMYFUNCTION("""COMPUTED_VALUE"""),"Sobha Estates")</f>
        <v>Sobha Estates</v>
      </c>
      <c r="C8537" s="2" t="str">
        <f ca="1">IFERROR(__xludf.DUMMYFUNCTION("""COMPUTED_VALUE"""),"Neighbourhood")</f>
        <v>Neighbourhood</v>
      </c>
      <c r="D8537" s="2" t="str">
        <f ca="1">IFERROR(__xludf.DUMMYFUNCTION("""COMPUTED_VALUE"""),"Dubai&gt;Sobha Hartland 2&gt;Sobha Estates")</f>
        <v>Dubai&gt;Sobha Hartland 2&gt;Sobha Estates</v>
      </c>
      <c r="E8537" s="2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</row>
    <row r="8538" spans="1:26" ht="16.5" x14ac:dyDescent="0.35">
      <c r="A8538" s="2" t="str">
        <f ca="1">IFERROR(__xludf.DUMMYFUNCTION("""COMPUTED_VALUE"""),"Dubai")</f>
        <v>Dubai</v>
      </c>
      <c r="B8538" s="2" t="str">
        <f ca="1">IFERROR(__xludf.DUMMYFUNCTION("""COMPUTED_VALUE"""),"Taaleem Residence")</f>
        <v>Taaleem Residence</v>
      </c>
      <c r="C8538" s="2" t="str">
        <f ca="1">IFERROR(__xludf.DUMMYFUNCTION("""COMPUTED_VALUE"""),"Building")</f>
        <v>Building</v>
      </c>
      <c r="D8538" s="2" t="str">
        <f ca="1">IFERROR(__xludf.DUMMYFUNCTION("""COMPUTED_VALUE"""),"Dubai&gt;Dubai Studio City&gt;Taaleem Residence")</f>
        <v>Dubai&gt;Dubai Studio City&gt;Taaleem Residence</v>
      </c>
      <c r="E8538" s="2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</row>
    <row r="8539" spans="1:26" ht="16.5" x14ac:dyDescent="0.35">
      <c r="A8539" s="2" t="str">
        <f ca="1">IFERROR(__xludf.DUMMYFUNCTION("""COMPUTED_VALUE"""),"Dubai")</f>
        <v>Dubai</v>
      </c>
      <c r="B8539" s="2" t="str">
        <f ca="1">IFERROR(__xludf.DUMMYFUNCTION("""COMPUTED_VALUE"""),"Ryah Living")</f>
        <v>Ryah Living</v>
      </c>
      <c r="C8539" s="2" t="str">
        <f ca="1">IFERROR(__xludf.DUMMYFUNCTION("""COMPUTED_VALUE"""),"Building")</f>
        <v>Building</v>
      </c>
      <c r="D8539" s="2" t="str">
        <f ca="1">IFERROR(__xludf.DUMMYFUNCTION("""COMPUTED_VALUE"""),"Dubai&gt;Dubai Studio City&gt;Ryah Living")</f>
        <v>Dubai&gt;Dubai Studio City&gt;Ryah Living</v>
      </c>
      <c r="E8539" s="2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</row>
    <row r="8540" spans="1:26" ht="16.5" x14ac:dyDescent="0.35">
      <c r="A8540" s="2" t="str">
        <f ca="1">IFERROR(__xludf.DUMMYFUNCTION("""COMPUTED_VALUE"""),"Dubai")</f>
        <v>Dubai</v>
      </c>
      <c r="B8540" s="2" t="str">
        <f ca="1">IFERROR(__xludf.DUMMYFUNCTION("""COMPUTED_VALUE"""),"Wilton Terraces 2")</f>
        <v>Wilton Terraces 2</v>
      </c>
      <c r="C8540" s="2" t="str">
        <f ca="1">IFERROR(__xludf.DUMMYFUNCTION("""COMPUTED_VALUE"""),"Building")</f>
        <v>Building</v>
      </c>
      <c r="D8540" s="2" t="str">
        <f ca="1">IFERROR(__xludf.DUMMYFUNCTION("""COMPUTED_VALUE"""),"Dubai&gt;Sobha Hartland&gt;Wilton Terraces 2")</f>
        <v>Dubai&gt;Sobha Hartland&gt;Wilton Terraces 2</v>
      </c>
      <c r="E8540" s="2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</row>
    <row r="8541" spans="1:26" ht="16.5" x14ac:dyDescent="0.35">
      <c r="A8541" s="2" t="str">
        <f ca="1">IFERROR(__xludf.DUMMYFUNCTION("""COMPUTED_VALUE"""),"Dubai")</f>
        <v>Dubai</v>
      </c>
      <c r="B8541" s="2" t="str">
        <f ca="1">IFERROR(__xludf.DUMMYFUNCTION("""COMPUTED_VALUE"""),"Lehbab")</f>
        <v>Lehbab</v>
      </c>
      <c r="C8541" s="2" t="str">
        <f ca="1">IFERROR(__xludf.DUMMYFUNCTION("""COMPUTED_VALUE"""),"Neighbourhood")</f>
        <v>Neighbourhood</v>
      </c>
      <c r="D8541" s="2" t="str">
        <f ca="1">IFERROR(__xludf.DUMMYFUNCTION("""COMPUTED_VALUE"""),"Dubai&gt;Lehbab")</f>
        <v>Dubai&gt;Lehbab</v>
      </c>
      <c r="E8541" s="2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</row>
    <row r="8542" spans="1:26" ht="16.5" x14ac:dyDescent="0.35">
      <c r="A8542" s="2" t="str">
        <f ca="1">IFERROR(__xludf.DUMMYFUNCTION("""COMPUTED_VALUE"""),"Dubai")</f>
        <v>Dubai</v>
      </c>
      <c r="B8542" s="2" t="str">
        <f ca="1">IFERROR(__xludf.DUMMYFUNCTION("""COMPUTED_VALUE"""),"Building 4B")</f>
        <v>Building 4B</v>
      </c>
      <c r="C8542" s="2" t="str">
        <f ca="1">IFERROR(__xludf.DUMMYFUNCTION("""COMPUTED_VALUE"""),"Building")</f>
        <v>Building</v>
      </c>
      <c r="D8542" s="2" t="str">
        <f ca="1">IFERROR(__xludf.DUMMYFUNCTION("""COMPUTED_VALUE"""),"Dubai&gt;Expo City&gt;Expo Village&gt;Residences 4&gt;Building 4B")</f>
        <v>Dubai&gt;Expo City&gt;Expo Village&gt;Residences 4&gt;Building 4B</v>
      </c>
      <c r="E8542" s="2"/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</row>
    <row r="8543" spans="1:26" ht="16.5" x14ac:dyDescent="0.35">
      <c r="A8543" s="2" t="str">
        <f ca="1">IFERROR(__xludf.DUMMYFUNCTION("""COMPUTED_VALUE"""),"Dubai")</f>
        <v>Dubai</v>
      </c>
      <c r="B8543" s="2" t="str">
        <f ca="1">IFERROR(__xludf.DUMMYFUNCTION("""COMPUTED_VALUE"""),"The World Islands")</f>
        <v>The World Islands</v>
      </c>
      <c r="C8543" s="2" t="str">
        <f ca="1">IFERROR(__xludf.DUMMYFUNCTION("""COMPUTED_VALUE"""),"Neighbourhood")</f>
        <v>Neighbourhood</v>
      </c>
      <c r="D8543" s="2" t="str">
        <f ca="1">IFERROR(__xludf.DUMMYFUNCTION("""COMPUTED_VALUE"""),"Dubai&gt;The World Islands")</f>
        <v>Dubai&gt;The World Islands</v>
      </c>
      <c r="E8543" s="2"/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</row>
    <row r="8544" spans="1:26" ht="16.5" x14ac:dyDescent="0.35">
      <c r="A8544" s="2" t="str">
        <f ca="1">IFERROR(__xludf.DUMMYFUNCTION("""COMPUTED_VALUE"""),"Dubai")</f>
        <v>Dubai</v>
      </c>
      <c r="B8544" s="2" t="str">
        <f ca="1">IFERROR(__xludf.DUMMYFUNCTION("""COMPUTED_VALUE"""),"Oasis")</f>
        <v>Oasis</v>
      </c>
      <c r="C8544" s="2" t="str">
        <f ca="1">IFERROR(__xludf.DUMMYFUNCTION("""COMPUTED_VALUE"""),"Neighbourhood")</f>
        <v>Neighbourhood</v>
      </c>
      <c r="D8544" s="2" t="str">
        <f ca="1">IFERROR(__xludf.DUMMYFUNCTION("""COMPUTED_VALUE"""),"Dubai&gt;Haven by Aldar&gt;Oasis")</f>
        <v>Dubai&gt;Haven by Aldar&gt;Oasis</v>
      </c>
      <c r="E8544" s="2"/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</row>
    <row r="8545" spans="1:26" ht="16.5" x14ac:dyDescent="0.35">
      <c r="A8545" s="2" t="str">
        <f ca="1">IFERROR(__xludf.DUMMYFUNCTION("""COMPUTED_VALUE"""),"Dubai")</f>
        <v>Dubai</v>
      </c>
      <c r="B8545" s="2" t="str">
        <f ca="1">IFERROR(__xludf.DUMMYFUNCTION("""COMPUTED_VALUE"""),"Delphi")</f>
        <v>Delphi</v>
      </c>
      <c r="C8545" s="2" t="str">
        <f ca="1">IFERROR(__xludf.DUMMYFUNCTION("""COMPUTED_VALUE"""),"Neighbourhood")</f>
        <v>Neighbourhood</v>
      </c>
      <c r="D8545" s="2" t="str">
        <f ca="1">IFERROR(__xludf.DUMMYFUNCTION("""COMPUTED_VALUE"""),"Dubai&gt;Athlon by Aldar&gt;Delphi")</f>
        <v>Dubai&gt;Athlon by Aldar&gt;Delphi</v>
      </c>
      <c r="E8545" s="2"/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</row>
    <row r="8546" spans="1:26" ht="16.5" x14ac:dyDescent="0.35">
      <c r="A8546" s="2" t="str">
        <f ca="1">IFERROR(__xludf.DUMMYFUNCTION("""COMPUTED_VALUE"""),"Dubai")</f>
        <v>Dubai</v>
      </c>
      <c r="B8546" s="2" t="str">
        <f ca="1">IFERROR(__xludf.DUMMYFUNCTION("""COMPUTED_VALUE"""),"Cilia Building 3")</f>
        <v>Cilia Building 3</v>
      </c>
      <c r="C8546" s="2" t="str">
        <f ca="1">IFERROR(__xludf.DUMMYFUNCTION("""COMPUTED_VALUE"""),"Building")</f>
        <v>Building</v>
      </c>
      <c r="D8546" s="2" t="str">
        <f ca="1">IFERROR(__xludf.DUMMYFUNCTION("""COMPUTED_VALUE"""),"Dubai&gt;Ghaf Woods&gt;Cilia&gt;Cilia Building 3")</f>
        <v>Dubai&gt;Ghaf Woods&gt;Cilia&gt;Cilia Building 3</v>
      </c>
      <c r="E8546" s="2"/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</row>
    <row r="8547" spans="1:26" ht="16.5" x14ac:dyDescent="0.35">
      <c r="A8547" s="2" t="str">
        <f ca="1">IFERROR(__xludf.DUMMYFUNCTION("""COMPUTED_VALUE"""),"Dubai")</f>
        <v>Dubai</v>
      </c>
      <c r="B8547" s="2" t="str">
        <f ca="1">IFERROR(__xludf.DUMMYFUNCTION("""COMPUTED_VALUE"""),"Fiji 2")</f>
        <v>Fiji 2</v>
      </c>
      <c r="C8547" s="2" t="str">
        <f ca="1">IFERROR(__xludf.DUMMYFUNCTION("""COMPUTED_VALUE"""),"Neighbourhood")</f>
        <v>Neighbourhood</v>
      </c>
      <c r="D8547" s="2" t="str">
        <f ca="1">IFERROR(__xludf.DUMMYFUNCTION("""COMPUTED_VALUE"""),"Dubai&gt;DAMAC Islands&gt;Fiji 2")</f>
        <v>Dubai&gt;DAMAC Islands&gt;Fiji 2</v>
      </c>
      <c r="E8547" s="2"/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</row>
    <row r="8548" spans="1:26" ht="16.5" x14ac:dyDescent="0.35">
      <c r="A8548" s="2" t="str">
        <f ca="1">IFERROR(__xludf.DUMMYFUNCTION("""COMPUTED_VALUE"""),"Dubai")</f>
        <v>Dubai</v>
      </c>
      <c r="B8548" s="2" t="str">
        <f ca="1">IFERROR(__xludf.DUMMYFUNCTION("""COMPUTED_VALUE"""),"The Walk")</f>
        <v>The Walk</v>
      </c>
      <c r="C8548" s="2" t="str">
        <f ca="1">IFERROR(__xludf.DUMMYFUNCTION("""COMPUTED_VALUE"""),"Neighbourhood")</f>
        <v>Neighbourhood</v>
      </c>
      <c r="D8548" s="2" t="str">
        <f ca="1">IFERROR(__xludf.DUMMYFUNCTION("""COMPUTED_VALUE"""),"Dubai&gt;Jumeirah Beach Residence (JBR)&gt;The Walk")</f>
        <v>Dubai&gt;Jumeirah Beach Residence (JBR)&gt;The Walk</v>
      </c>
      <c r="E8548" s="2"/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</row>
    <row r="8549" spans="1:26" ht="16.5" x14ac:dyDescent="0.35">
      <c r="A8549" s="2" t="str">
        <f ca="1">IFERROR(__xludf.DUMMYFUNCTION("""COMPUTED_VALUE"""),"Dubai")</f>
        <v>Dubai</v>
      </c>
      <c r="B8549" s="2" t="str">
        <f ca="1">IFERROR(__xludf.DUMMYFUNCTION("""COMPUTED_VALUE"""),"Bahar 6")</f>
        <v>Bahar 6</v>
      </c>
      <c r="C8549" s="2" t="str">
        <f ca="1">IFERROR(__xludf.DUMMYFUNCTION("""COMPUTED_VALUE"""),"Building")</f>
        <v>Building</v>
      </c>
      <c r="D8549" s="2" t="str">
        <f ca="1">IFERROR(__xludf.DUMMYFUNCTION("""COMPUTED_VALUE"""),"Dubai&gt;Jumeirah Beach Residence (JBR)&gt;Bahar&gt;Bahar 6")</f>
        <v>Dubai&gt;Jumeirah Beach Residence (JBR)&gt;Bahar&gt;Bahar 6</v>
      </c>
      <c r="E8549" s="2"/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</row>
    <row r="8550" spans="1:26" ht="16.5" x14ac:dyDescent="0.35">
      <c r="A8550" s="2" t="str">
        <f ca="1">IFERROR(__xludf.DUMMYFUNCTION("""COMPUTED_VALUE"""),"Dubai")</f>
        <v>Dubai</v>
      </c>
      <c r="B8550" s="2" t="str">
        <f ca="1">IFERROR(__xludf.DUMMYFUNCTION("""COMPUTED_VALUE"""),"The Caden by Prescott")</f>
        <v>The Caden by Prescott</v>
      </c>
      <c r="C8550" s="2" t="str">
        <f ca="1">IFERROR(__xludf.DUMMYFUNCTION("""COMPUTED_VALUE"""),"Building")</f>
        <v>Building</v>
      </c>
      <c r="D8550" s="2" t="str">
        <f ca="1">IFERROR(__xludf.DUMMYFUNCTION("""COMPUTED_VALUE"""),"Dubai&gt;Meydan Horizon&gt;The Caden by Prescott")</f>
        <v>Dubai&gt;Meydan Horizon&gt;The Caden by Prescott</v>
      </c>
      <c r="E8550" s="2"/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</row>
    <row r="8551" spans="1:26" ht="16.5" x14ac:dyDescent="0.35">
      <c r="A8551" s="2" t="str">
        <f ca="1">IFERROR(__xludf.DUMMYFUNCTION("""COMPUTED_VALUE"""),"Dubai")</f>
        <v>Dubai</v>
      </c>
      <c r="B8551" s="2" t="str">
        <f ca="1">IFERROR(__xludf.DUMMYFUNCTION("""COMPUTED_VALUE"""),"Block E")</f>
        <v>Block E</v>
      </c>
      <c r="C8551" s="2" t="str">
        <f ca="1">IFERROR(__xludf.DUMMYFUNCTION("""COMPUTED_VALUE"""),"Neighbourhood")</f>
        <v>Neighbourhood</v>
      </c>
      <c r="D8551" s="2" t="str">
        <f ca="1">IFERROR(__xludf.DUMMYFUNCTION("""COMPUTED_VALUE"""),"Dubai&gt;Al Wasl&gt;Dar Wasl&gt;Block E")</f>
        <v>Dubai&gt;Al Wasl&gt;Dar Wasl&gt;Block E</v>
      </c>
      <c r="E8551" s="2"/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</row>
    <row r="8552" spans="1:26" ht="16.5" x14ac:dyDescent="0.35">
      <c r="A8552" s="2" t="str">
        <f ca="1">IFERROR(__xludf.DUMMYFUNCTION("""COMPUTED_VALUE"""),"Dubai")</f>
        <v>Dubai</v>
      </c>
      <c r="B8552" s="2" t="str">
        <f ca="1">IFERROR(__xludf.DUMMYFUNCTION("""COMPUTED_VALUE"""),"Celadon 1")</f>
        <v>Celadon 1</v>
      </c>
      <c r="C8552" s="2" t="str">
        <f ca="1">IFERROR(__xludf.DUMMYFUNCTION("""COMPUTED_VALUE"""),"Building")</f>
        <v>Building</v>
      </c>
      <c r="D8552" s="2" t="str">
        <f ca="1">IFERROR(__xludf.DUMMYFUNCTION("""COMPUTED_VALUE"""),"Dubai&gt;Al Wasl&gt;City Walk&gt;Central Park&gt;Celadon&gt;Celadon 1")</f>
        <v>Dubai&gt;Al Wasl&gt;City Walk&gt;Central Park&gt;Celadon&gt;Celadon 1</v>
      </c>
      <c r="E8552" s="2"/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</row>
    <row r="8553" spans="1:26" ht="16.5" x14ac:dyDescent="0.35">
      <c r="A8553" s="2" t="str">
        <f ca="1">IFERROR(__xludf.DUMMYFUNCTION("""COMPUTED_VALUE"""),"Dubai")</f>
        <v>Dubai</v>
      </c>
      <c r="B8553" s="2" t="str">
        <f ca="1">IFERROR(__xludf.DUMMYFUNCTION("""COMPUTED_VALUE"""),"Verve Tower B")</f>
        <v>Verve Tower B</v>
      </c>
      <c r="C8553" s="2" t="str">
        <f ca="1">IFERROR(__xludf.DUMMYFUNCTION("""COMPUTED_VALUE"""),"Building")</f>
        <v>Building</v>
      </c>
      <c r="D8553" s="2" t="str">
        <f ca="1">IFERROR(__xludf.DUMMYFUNCTION("""COMPUTED_VALUE"""),"Dubai&gt;Al Wasl&gt;City Walk&gt;Verve&gt;Verve Tower B")</f>
        <v>Dubai&gt;Al Wasl&gt;City Walk&gt;Verve&gt;Verve Tower B</v>
      </c>
      <c r="E8553" s="2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</row>
    <row r="8554" spans="1:26" ht="16.5" x14ac:dyDescent="0.35">
      <c r="A8554" s="2" t="str">
        <f ca="1">IFERROR(__xludf.DUMMYFUNCTION("""COMPUTED_VALUE"""),"Dubai")</f>
        <v>Dubai</v>
      </c>
      <c r="B8554" s="2" t="str">
        <f ca="1">IFERROR(__xludf.DUMMYFUNCTION("""COMPUTED_VALUE"""),"Cavalli Couture")</f>
        <v>Cavalli Couture</v>
      </c>
      <c r="C8554" s="2" t="str">
        <f ca="1">IFERROR(__xludf.DUMMYFUNCTION("""COMPUTED_VALUE"""),"Building")</f>
        <v>Building</v>
      </c>
      <c r="D8554" s="2" t="str">
        <f ca="1">IFERROR(__xludf.DUMMYFUNCTION("""COMPUTED_VALUE"""),"Dubai&gt;Al Wasl&gt;Cavalli Couture")</f>
        <v>Dubai&gt;Al Wasl&gt;Cavalli Couture</v>
      </c>
      <c r="E8554" s="2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</row>
    <row r="8555" spans="1:26" ht="16.5" x14ac:dyDescent="0.35">
      <c r="A8555" s="2" t="str">
        <f ca="1">IFERROR(__xludf.DUMMYFUNCTION("""COMPUTED_VALUE"""),"Dubai")</f>
        <v>Dubai</v>
      </c>
      <c r="B8555" s="2" t="str">
        <f ca="1">IFERROR(__xludf.DUMMYFUNCTION("""COMPUTED_VALUE"""),"Resortz Residence Block 3")</f>
        <v>Resortz Residence Block 3</v>
      </c>
      <c r="C8555" s="2" t="str">
        <f ca="1">IFERROR(__xludf.DUMMYFUNCTION("""COMPUTED_VALUE"""),"Building")</f>
        <v>Building</v>
      </c>
      <c r="D8555" s="2" t="str">
        <f ca="1">IFERROR(__xludf.DUMMYFUNCTION("""COMPUTED_VALUE"""),"Dubai&gt;Arjan&gt;Resortz by Danube&gt;Resortz Residence Block 3")</f>
        <v>Dubai&gt;Arjan&gt;Resortz by Danube&gt;Resortz Residence Block 3</v>
      </c>
      <c r="E8555" s="2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</row>
    <row r="8556" spans="1:26" ht="16.5" x14ac:dyDescent="0.35">
      <c r="A8556" s="2" t="str">
        <f ca="1">IFERROR(__xludf.DUMMYFUNCTION("""COMPUTED_VALUE"""),"Dubai")</f>
        <v>Dubai</v>
      </c>
      <c r="B8556" s="2" t="str">
        <f ca="1">IFERROR(__xludf.DUMMYFUNCTION("""COMPUTED_VALUE"""),"Central Towers")</f>
        <v>Central Towers</v>
      </c>
      <c r="C8556" s="2" t="str">
        <f ca="1">IFERROR(__xludf.DUMMYFUNCTION("""COMPUTED_VALUE"""),"Cluster")</f>
        <v>Cluster</v>
      </c>
      <c r="D8556" s="2" t="str">
        <f ca="1">IFERROR(__xludf.DUMMYFUNCTION("""COMPUTED_VALUE"""),"Dubai&gt;Arjan&gt;Central Towers")</f>
        <v>Dubai&gt;Arjan&gt;Central Towers</v>
      </c>
      <c r="E8556" s="2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</row>
    <row r="8557" spans="1:26" ht="16.5" x14ac:dyDescent="0.35">
      <c r="A8557" s="2" t="str">
        <f ca="1">IFERROR(__xludf.DUMMYFUNCTION("""COMPUTED_VALUE"""),"Dubai")</f>
        <v>Dubai</v>
      </c>
      <c r="B8557" s="2" t="str">
        <f ca="1">IFERROR(__xludf.DUMMYFUNCTION("""COMPUTED_VALUE"""),"Lincoln Park Sheffield")</f>
        <v>Lincoln Park Sheffield</v>
      </c>
      <c r="C8557" s="2" t="str">
        <f ca="1">IFERROR(__xludf.DUMMYFUNCTION("""COMPUTED_VALUE"""),"Building")</f>
        <v>Building</v>
      </c>
      <c r="D8557" s="2" t="str">
        <f ca="1">IFERROR(__xludf.DUMMYFUNCTION("""COMPUTED_VALUE"""),"Dubai&gt;Arjan&gt;Lincoln Park&gt;Lincoln Park Sheffield")</f>
        <v>Dubai&gt;Arjan&gt;Lincoln Park&gt;Lincoln Park Sheffield</v>
      </c>
      <c r="E8557" s="2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</row>
    <row r="8558" spans="1:26" ht="16.5" x14ac:dyDescent="0.35">
      <c r="A8558" s="2" t="str">
        <f ca="1">IFERROR(__xludf.DUMMYFUNCTION("""COMPUTED_VALUE"""),"Dubai")</f>
        <v>Dubai</v>
      </c>
      <c r="B8558" s="2" t="str">
        <f ca="1">IFERROR(__xludf.DUMMYFUNCTION("""COMPUTED_VALUE"""),"Torino by ORO24 Building 2")</f>
        <v>Torino by ORO24 Building 2</v>
      </c>
      <c r="C8558" s="2" t="str">
        <f ca="1">IFERROR(__xludf.DUMMYFUNCTION("""COMPUTED_VALUE"""),"Building")</f>
        <v>Building</v>
      </c>
      <c r="D8558" s="2" t="str">
        <f ca="1">IFERROR(__xludf.DUMMYFUNCTION("""COMPUTED_VALUE"""),"Dubai&gt;Arjan&gt;Torino by ORO24&gt;Torino by ORO24 Building 2")</f>
        <v>Dubai&gt;Arjan&gt;Torino by ORO24&gt;Torino by ORO24 Building 2</v>
      </c>
      <c r="E8558" s="2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</row>
    <row r="8559" spans="1:26" ht="16.5" x14ac:dyDescent="0.35">
      <c r="A8559" s="2" t="str">
        <f ca="1">IFERROR(__xludf.DUMMYFUNCTION("""COMPUTED_VALUE"""),"Dubai")</f>
        <v>Dubai</v>
      </c>
      <c r="B8559" s="2" t="str">
        <f ca="1">IFERROR(__xludf.DUMMYFUNCTION("""COMPUTED_VALUE"""),"Adhara Star")</f>
        <v>Adhara Star</v>
      </c>
      <c r="C8559" s="2" t="str">
        <f ca="1">IFERROR(__xludf.DUMMYFUNCTION("""COMPUTED_VALUE"""),"Building")</f>
        <v>Building</v>
      </c>
      <c r="D8559" s="2" t="str">
        <f ca="1">IFERROR(__xludf.DUMMYFUNCTION("""COMPUTED_VALUE"""),"Dubai&gt;Arjan&gt;Adhara Star")</f>
        <v>Dubai&gt;Arjan&gt;Adhara Star</v>
      </c>
      <c r="E8559" s="2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</row>
    <row r="8560" spans="1:26" ht="16.5" x14ac:dyDescent="0.35">
      <c r="A8560" s="2" t="str">
        <f ca="1">IFERROR(__xludf.DUMMYFUNCTION("""COMPUTED_VALUE"""),"Dubai")</f>
        <v>Dubai</v>
      </c>
      <c r="B8560" s="2" t="str">
        <f ca="1">IFERROR(__xludf.DUMMYFUNCTION("""COMPUTED_VALUE"""),"Trinity by Karma")</f>
        <v>Trinity by Karma</v>
      </c>
      <c r="C8560" s="2" t="str">
        <f ca="1">IFERROR(__xludf.DUMMYFUNCTION("""COMPUTED_VALUE"""),"Building")</f>
        <v>Building</v>
      </c>
      <c r="D8560" s="2" t="str">
        <f ca="1">IFERROR(__xludf.DUMMYFUNCTION("""COMPUTED_VALUE"""),"Dubai&gt;Arjan&gt;Trinity by Karma")</f>
        <v>Dubai&gt;Arjan&gt;Trinity by Karma</v>
      </c>
      <c r="E8560" s="2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</row>
    <row r="8561" spans="1:26" ht="16.5" x14ac:dyDescent="0.35">
      <c r="A8561" s="2" t="str">
        <f ca="1">IFERROR(__xludf.DUMMYFUNCTION("""COMPUTED_VALUE"""),"Dubai")</f>
        <v>Dubai</v>
      </c>
      <c r="B8561" s="2" t="str">
        <f ca="1">IFERROR(__xludf.DUMMYFUNCTION("""COMPUTED_VALUE"""),"Oak House Arjan")</f>
        <v>Oak House Arjan</v>
      </c>
      <c r="C8561" s="2" t="str">
        <f ca="1">IFERROR(__xludf.DUMMYFUNCTION("""COMPUTED_VALUE"""),"Building")</f>
        <v>Building</v>
      </c>
      <c r="D8561" s="2" t="str">
        <f ca="1">IFERROR(__xludf.DUMMYFUNCTION("""COMPUTED_VALUE"""),"Dubai&gt;Arjan&gt;Oak House Arjan")</f>
        <v>Dubai&gt;Arjan&gt;Oak House Arjan</v>
      </c>
      <c r="E8561" s="2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</row>
    <row r="8562" spans="1:26" ht="16.5" x14ac:dyDescent="0.35">
      <c r="A8562" s="2" t="str">
        <f ca="1">IFERROR(__xludf.DUMMYFUNCTION("""COMPUTED_VALUE"""),"Dubai")</f>
        <v>Dubai</v>
      </c>
      <c r="B8562" s="2" t="str">
        <f ca="1">IFERROR(__xludf.DUMMYFUNCTION("""COMPUTED_VALUE"""),"Ghafat Villas")</f>
        <v>Ghafat Villas</v>
      </c>
      <c r="C8562" s="2" t="str">
        <f ca="1">IFERROR(__xludf.DUMMYFUNCTION("""COMPUTED_VALUE"""),"Neighbourhood")</f>
        <v>Neighbourhood</v>
      </c>
      <c r="D8562" s="2" t="str">
        <f ca="1">IFERROR(__xludf.DUMMYFUNCTION("""COMPUTED_VALUE"""),"Dubai&gt;Al Safa&gt;Al Safa 1&gt;Ghafat Villas")</f>
        <v>Dubai&gt;Al Safa&gt;Al Safa 1&gt;Ghafat Villas</v>
      </c>
      <c r="E8562" s="2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</row>
    <row r="8563" spans="1:26" ht="16.5" x14ac:dyDescent="0.35">
      <c r="A8563" s="2" t="str">
        <f ca="1">IFERROR(__xludf.DUMMYFUNCTION("""COMPUTED_VALUE"""),"Abu Dhabi")</f>
        <v>Abu Dhabi</v>
      </c>
      <c r="B8563" s="2" t="str">
        <f ca="1">IFERROR(__xludf.DUMMYFUNCTION("""COMPUTED_VALUE"""),"Polaris Private Academy")</f>
        <v>Polaris Private Academy</v>
      </c>
      <c r="C8563" s="2" t="str">
        <f ca="1">IFERROR(__xludf.DUMMYFUNCTION("""COMPUTED_VALUE"""),"School")</f>
        <v>School</v>
      </c>
      <c r="D8563" s="2" t="str">
        <f ca="1">IFERROR(__xludf.DUMMYFUNCTION("""COMPUTED_VALUE"""),"Abu Dhabi&gt;Al Dhafrah&gt;Polaris Private Academy")</f>
        <v>Abu Dhabi&gt;Al Dhafrah&gt;Polaris Private Academy</v>
      </c>
      <c r="E8563" s="2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</row>
    <row r="8564" spans="1:26" ht="16.5" x14ac:dyDescent="0.35">
      <c r="A8564" s="2" t="str">
        <f ca="1">IFERROR(__xludf.DUMMYFUNCTION("""COMPUTED_VALUE"""),"Abu Dhabi")</f>
        <v>Abu Dhabi</v>
      </c>
      <c r="B8564" s="2" t="str">
        <f ca="1">IFERROR(__xludf.DUMMYFUNCTION("""COMPUTED_VALUE"""),"American Community School of Abu Dhabi")</f>
        <v>American Community School of Abu Dhabi</v>
      </c>
      <c r="C8564" s="2" t="str">
        <f ca="1">IFERROR(__xludf.DUMMYFUNCTION("""COMPUTED_VALUE"""),"School")</f>
        <v>School</v>
      </c>
      <c r="D8564" s="2" t="str">
        <f ca="1">IFERROR(__xludf.DUMMYFUNCTION("""COMPUTED_VALUE"""),"Abu Dhabi&gt;Al Bateen&gt;American Community School of Abu Dhabi")</f>
        <v>Abu Dhabi&gt;Al Bateen&gt;American Community School of Abu Dhabi</v>
      </c>
      <c r="E8564" s="2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</row>
    <row r="8565" spans="1:26" ht="16.5" x14ac:dyDescent="0.35">
      <c r="A8565" s="2" t="str">
        <f ca="1">IFERROR(__xludf.DUMMYFUNCTION("""COMPUTED_VALUE"""),"Abu Dhabi")</f>
        <v>Abu Dhabi</v>
      </c>
      <c r="B8565" s="2" t="str">
        <f ca="1">IFERROR(__xludf.DUMMYFUNCTION("""COMPUTED_VALUE"""),"Tariq and Amina Building")</f>
        <v>Tariq and Amina Building</v>
      </c>
      <c r="C8565" s="2" t="str">
        <f ca="1">IFERROR(__xludf.DUMMYFUNCTION("""COMPUTED_VALUE"""),"Building")</f>
        <v>Building</v>
      </c>
      <c r="D8565" s="2" t="str">
        <f ca="1">IFERROR(__xludf.DUMMYFUNCTION("""COMPUTED_VALUE"""),"Abu Dhabi&gt;Al Wahdah&gt;Tariq and Amina Building")</f>
        <v>Abu Dhabi&gt;Al Wahdah&gt;Tariq and Amina Building</v>
      </c>
      <c r="E8565" s="2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</row>
    <row r="8566" spans="1:26" ht="16.5" x14ac:dyDescent="0.35">
      <c r="A8566" s="2" t="str">
        <f ca="1">IFERROR(__xludf.DUMMYFUNCTION("""COMPUTED_VALUE"""),"Abu Dhabi")</f>
        <v>Abu Dhabi</v>
      </c>
      <c r="B8566" s="2" t="str">
        <f ca="1">IFERROR(__xludf.DUMMYFUNCTION("""COMPUTED_VALUE"""),"Al Ramhan Tower")</f>
        <v>Al Ramhan Tower</v>
      </c>
      <c r="C8566" s="2" t="str">
        <f ca="1">IFERROR(__xludf.DUMMYFUNCTION("""COMPUTED_VALUE"""),"Building")</f>
        <v>Building</v>
      </c>
      <c r="D8566" s="2" t="str">
        <f ca="1">IFERROR(__xludf.DUMMYFUNCTION("""COMPUTED_VALUE"""),"Abu Dhabi&gt;Tourist Club Area (TCA)&gt;Al Ramhan Tower")</f>
        <v>Abu Dhabi&gt;Tourist Club Area (TCA)&gt;Al Ramhan Tower</v>
      </c>
      <c r="E8566" s="2"/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</row>
    <row r="8567" spans="1:26" ht="16.5" x14ac:dyDescent="0.35">
      <c r="A8567" s="2" t="str">
        <f ca="1">IFERROR(__xludf.DUMMYFUNCTION("""COMPUTED_VALUE"""),"Abu Dhabi")</f>
        <v>Abu Dhabi</v>
      </c>
      <c r="B8567" s="2" t="str">
        <f ca="1">IFERROR(__xludf.DUMMYFUNCTION("""COMPUTED_VALUE"""),"Al Rahbah")</f>
        <v>Al Rahbah</v>
      </c>
      <c r="C8567" s="2" t="str">
        <f ca="1">IFERROR(__xludf.DUMMYFUNCTION("""COMPUTED_VALUE"""),"Neighbourhood")</f>
        <v>Neighbourhood</v>
      </c>
      <c r="D8567" s="2" t="str">
        <f ca="1">IFERROR(__xludf.DUMMYFUNCTION("""COMPUTED_VALUE"""),"Abu Dhabi&gt;Al Rahbah")</f>
        <v>Abu Dhabi&gt;Al Rahbah</v>
      </c>
      <c r="E8567" s="2"/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</row>
    <row r="8568" spans="1:26" ht="16.5" x14ac:dyDescent="0.35">
      <c r="A8568" s="2" t="str">
        <f ca="1">IFERROR(__xludf.DUMMYFUNCTION("""COMPUTED_VALUE"""),"Abu Dhabi")</f>
        <v>Abu Dhabi</v>
      </c>
      <c r="B8568" s="2" t="str">
        <f ca="1">IFERROR(__xludf.DUMMYFUNCTION("""COMPUTED_VALUE"""),"Rabia")</f>
        <v>Rabia</v>
      </c>
      <c r="C8568" s="2" t="str">
        <f ca="1">IFERROR(__xludf.DUMMYFUNCTION("""COMPUTED_VALUE"""),"Neighbourhood")</f>
        <v>Neighbourhood</v>
      </c>
      <c r="D8568" s="2" t="str">
        <f ca="1">IFERROR(__xludf.DUMMYFUNCTION("""COMPUTED_VALUE"""),"Abu Dhabi&gt;Al Jurf&gt;Al Jurf Gardens&gt;Rabia")</f>
        <v>Abu Dhabi&gt;Al Jurf&gt;Al Jurf Gardens&gt;Rabia</v>
      </c>
      <c r="E8568" s="2"/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</row>
    <row r="8569" spans="1:26" ht="16.5" x14ac:dyDescent="0.35">
      <c r="A8569" s="2" t="str">
        <f ca="1">IFERROR(__xludf.DUMMYFUNCTION("""COMPUTED_VALUE"""),"Abu Dhabi")</f>
        <v>Abu Dhabi</v>
      </c>
      <c r="B8569" s="2" t="str">
        <f ca="1">IFERROR(__xludf.DUMMYFUNCTION("""COMPUTED_VALUE"""),"Al Reef Tower")</f>
        <v>Al Reef Tower</v>
      </c>
      <c r="C8569" s="2" t="str">
        <f ca="1">IFERROR(__xludf.DUMMYFUNCTION("""COMPUTED_VALUE"""),"Building")</f>
        <v>Building</v>
      </c>
      <c r="D8569" s="2" t="str">
        <f ca="1">IFERROR(__xludf.DUMMYFUNCTION("""COMPUTED_VALUE"""),"Abu Dhabi&gt;Corniche Area&gt;Al Reef Tower")</f>
        <v>Abu Dhabi&gt;Corniche Area&gt;Al Reef Tower</v>
      </c>
      <c r="E8569" s="2"/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</row>
    <row r="8570" spans="1:26" ht="16.5" x14ac:dyDescent="0.35">
      <c r="A8570" s="2" t="str">
        <f ca="1">IFERROR(__xludf.DUMMYFUNCTION("""COMPUTED_VALUE"""),"Abu Dhabi")</f>
        <v>Abu Dhabi</v>
      </c>
      <c r="B8570" s="2" t="str">
        <f ca="1">IFERROR(__xludf.DUMMYFUNCTION("""COMPUTED_VALUE"""),"Masdar City")</f>
        <v>Masdar City</v>
      </c>
      <c r="C8570" s="2" t="str">
        <f ca="1">IFERROR(__xludf.DUMMYFUNCTION("""COMPUTED_VALUE"""),"Neighbourhood")</f>
        <v>Neighbourhood</v>
      </c>
      <c r="D8570" s="2" t="str">
        <f ca="1">IFERROR(__xludf.DUMMYFUNCTION("""COMPUTED_VALUE"""),"Abu Dhabi&gt;Masdar City")</f>
        <v>Abu Dhabi&gt;Masdar City</v>
      </c>
      <c r="E8570" s="2"/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</row>
    <row r="8571" spans="1:26" ht="16.5" x14ac:dyDescent="0.35">
      <c r="A8571" s="2" t="str">
        <f ca="1">IFERROR(__xludf.DUMMYFUNCTION("""COMPUTED_VALUE"""),"Abu Dhabi")</f>
        <v>Abu Dhabi</v>
      </c>
      <c r="B8571" s="2" t="str">
        <f ca="1">IFERROR(__xludf.DUMMYFUNCTION("""COMPUTED_VALUE"""),"Park Residence")</f>
        <v>Park Residence</v>
      </c>
      <c r="C8571" s="2" t="str">
        <f ca="1">IFERROR(__xludf.DUMMYFUNCTION("""COMPUTED_VALUE"""),"Building")</f>
        <v>Building</v>
      </c>
      <c r="D8571" s="2" t="str">
        <f ca="1">IFERROR(__xludf.DUMMYFUNCTION("""COMPUTED_VALUE"""),"Abu Dhabi&gt;Eastern Road&gt;Khalifa Park&gt;Park Residence")</f>
        <v>Abu Dhabi&gt;Eastern Road&gt;Khalifa Park&gt;Park Residence</v>
      </c>
      <c r="E8571" s="2"/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</row>
    <row r="8572" spans="1:26" ht="16.5" x14ac:dyDescent="0.35">
      <c r="A8572" s="2" t="str">
        <f ca="1">IFERROR(__xludf.DUMMYFUNCTION("""COMPUTED_VALUE"""),"Abu Dhabi")</f>
        <v>Abu Dhabi</v>
      </c>
      <c r="B8572" s="2" t="str">
        <f ca="1">IFERROR(__xludf.DUMMYFUNCTION("""COMPUTED_VALUE"""),"Bainouna")</f>
        <v>Bainouna</v>
      </c>
      <c r="C8572" s="2"/>
      <c r="D8572" s="2" t="str">
        <f ca="1">IFERROR(__xludf.DUMMYFUNCTION("""COMPUTED_VALUE"""),"Abu Dhabi&gt;Madinat Zayed&gt;Bainouna")</f>
        <v>Abu Dhabi&gt;Madinat Zayed&gt;Bainouna</v>
      </c>
      <c r="E8572" s="2"/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</row>
    <row r="8573" spans="1:26" ht="16.5" x14ac:dyDescent="0.35">
      <c r="A8573" s="2" t="str">
        <f ca="1">IFERROR(__xludf.DUMMYFUNCTION("""COMPUTED_VALUE"""),"Abu Dhabi")</f>
        <v>Abu Dhabi</v>
      </c>
      <c r="B8573" s="2" t="str">
        <f ca="1">IFERROR(__xludf.DUMMYFUNCTION("""COMPUTED_VALUE"""),"Al Bateen Academy")</f>
        <v>Al Bateen Academy</v>
      </c>
      <c r="C8573" s="2" t="str">
        <f ca="1">IFERROR(__xludf.DUMMYFUNCTION("""COMPUTED_VALUE"""),"School")</f>
        <v>School</v>
      </c>
      <c r="D8573" s="2" t="str">
        <f ca="1">IFERROR(__xludf.DUMMYFUNCTION("""COMPUTED_VALUE"""),"Abu Dhabi&gt;Al Manaseer&gt;Al Bateen Academy")</f>
        <v>Abu Dhabi&gt;Al Manaseer&gt;Al Bateen Academy</v>
      </c>
      <c r="E8573" s="2"/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</row>
    <row r="8574" spans="1:26" ht="16.5" x14ac:dyDescent="0.35">
      <c r="A8574" s="2" t="str">
        <f ca="1">IFERROR(__xludf.DUMMYFUNCTION("""COMPUTED_VALUE"""),"Abu Dhabi")</f>
        <v>Abu Dhabi</v>
      </c>
      <c r="B8574" s="2" t="str">
        <f ca="1">IFERROR(__xludf.DUMMYFUNCTION("""COMPUTED_VALUE"""),"MSH9")</f>
        <v>MSH9</v>
      </c>
      <c r="C8574" s="2" t="str">
        <f ca="1">IFERROR(__xludf.DUMMYFUNCTION("""COMPUTED_VALUE"""),"Neighbourhood")</f>
        <v>Neighbourhood</v>
      </c>
      <c r="D8574" s="2" t="str">
        <f ca="1">IFERROR(__xludf.DUMMYFUNCTION("""COMPUTED_VALUE"""),"Abu Dhabi&gt;Shakhbout City&gt;MSH9")</f>
        <v>Abu Dhabi&gt;Shakhbout City&gt;MSH9</v>
      </c>
      <c r="E8574" s="2"/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</row>
    <row r="8575" spans="1:26" ht="16.5" x14ac:dyDescent="0.35">
      <c r="A8575" s="2" t="str">
        <f ca="1">IFERROR(__xludf.DUMMYFUNCTION("""COMPUTED_VALUE"""),"Abu Dhabi")</f>
        <v>Abu Dhabi</v>
      </c>
      <c r="B8575" s="2" t="str">
        <f ca="1">IFERROR(__xludf.DUMMYFUNCTION("""COMPUTED_VALUE"""),"MSH41")</f>
        <v>MSH41</v>
      </c>
      <c r="C8575" s="2" t="str">
        <f ca="1">IFERROR(__xludf.DUMMYFUNCTION("""COMPUTED_VALUE"""),"Neighbourhood")</f>
        <v>Neighbourhood</v>
      </c>
      <c r="D8575" s="2" t="str">
        <f ca="1">IFERROR(__xludf.DUMMYFUNCTION("""COMPUTED_VALUE"""),"Abu Dhabi&gt;Shakhbout City&gt;MSH41")</f>
        <v>Abu Dhabi&gt;Shakhbout City&gt;MSH41</v>
      </c>
      <c r="E8575" s="2"/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</row>
    <row r="8576" spans="1:26" ht="16.5" x14ac:dyDescent="0.35">
      <c r="A8576" s="2" t="str">
        <f ca="1">IFERROR(__xludf.DUMMYFUNCTION("""COMPUTED_VALUE"""),"Abu Dhabi")</f>
        <v>Abu Dhabi</v>
      </c>
      <c r="B8576" s="2" t="str">
        <f ca="1">IFERROR(__xludf.DUMMYFUNCTION("""COMPUTED_VALUE"""),"Al Zaab")</f>
        <v>Al Zaab</v>
      </c>
      <c r="C8576" s="2" t="str">
        <f ca="1">IFERROR(__xludf.DUMMYFUNCTION("""COMPUTED_VALUE"""),"Neighbourhood")</f>
        <v>Neighbourhood</v>
      </c>
      <c r="D8576" s="2" t="str">
        <f ca="1">IFERROR(__xludf.DUMMYFUNCTION("""COMPUTED_VALUE"""),"Abu Dhabi&gt;Al Zaab")</f>
        <v>Abu Dhabi&gt;Al Zaab</v>
      </c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</row>
    <row r="8577" spans="1:26" ht="16.5" x14ac:dyDescent="0.35">
      <c r="A8577" s="2" t="str">
        <f ca="1">IFERROR(__xludf.DUMMYFUNCTION("""COMPUTED_VALUE"""),"Abu Dhabi")</f>
        <v>Abu Dhabi</v>
      </c>
      <c r="B8577" s="2" t="str">
        <f ca="1">IFERROR(__xludf.DUMMYFUNCTION("""COMPUTED_VALUE"""),"Royal Group Headquarters")</f>
        <v>Royal Group Headquarters</v>
      </c>
      <c r="C8577" s="2"/>
      <c r="D8577" s="2" t="str">
        <f ca="1">IFERROR(__xludf.DUMMYFUNCTION("""COMPUTED_VALUE"""),"Abu Dhabi&gt;Al Zahraa&gt;Royal Group Headquarters")</f>
        <v>Abu Dhabi&gt;Al Zahraa&gt;Royal Group Headquarters</v>
      </c>
      <c r="E8577" s="2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</row>
    <row r="8578" spans="1:26" ht="16.5" x14ac:dyDescent="0.35">
      <c r="A8578" s="2" t="str">
        <f ca="1">IFERROR(__xludf.DUMMYFUNCTION("""COMPUTED_VALUE"""),"Abu Dhabi")</f>
        <v>Abu Dhabi</v>
      </c>
      <c r="B8578" s="2" t="str">
        <f ca="1">IFERROR(__xludf.DUMMYFUNCTION("""COMPUTED_VALUE"""),"Al Samha")</f>
        <v>Al Samha</v>
      </c>
      <c r="C8578" s="2" t="str">
        <f ca="1">IFERROR(__xludf.DUMMYFUNCTION("""COMPUTED_VALUE"""),"Neighbourhood")</f>
        <v>Neighbourhood</v>
      </c>
      <c r="D8578" s="2" t="str">
        <f ca="1">IFERROR(__xludf.DUMMYFUNCTION("""COMPUTED_VALUE"""),"Abu Dhabi&gt;Al Samha")</f>
        <v>Abu Dhabi&gt;Al Samha</v>
      </c>
      <c r="E8578" s="2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</row>
    <row r="8579" spans="1:26" ht="16.5" x14ac:dyDescent="0.35">
      <c r="A8579" s="2" t="str">
        <f ca="1">IFERROR(__xludf.DUMMYFUNCTION("""COMPUTED_VALUE"""),"Abu Dhabi")</f>
        <v>Abu Dhabi</v>
      </c>
      <c r="B8579" s="2" t="str">
        <f ca="1">IFERROR(__xludf.DUMMYFUNCTION("""COMPUTED_VALUE"""),"Fahid Beach Residences Tower B1")</f>
        <v>Fahid Beach Residences Tower B1</v>
      </c>
      <c r="C8579" s="2" t="str">
        <f ca="1">IFERROR(__xludf.DUMMYFUNCTION("""COMPUTED_VALUE"""),"Building")</f>
        <v>Building</v>
      </c>
      <c r="D8579" s="2" t="str">
        <f ca="1">IFERROR(__xludf.DUMMYFUNCTION("""COMPUTED_VALUE"""),"Abu Dhabi&gt;Fahid Island&gt;Fahid Beach Residences&gt;Fahid Beach Residences Tower B1")</f>
        <v>Abu Dhabi&gt;Fahid Island&gt;Fahid Beach Residences&gt;Fahid Beach Residences Tower B1</v>
      </c>
      <c r="E8579" s="2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</row>
    <row r="8580" spans="1:26" ht="16.5" x14ac:dyDescent="0.35">
      <c r="A8580" s="2" t="str">
        <f ca="1">IFERROR(__xludf.DUMMYFUNCTION("""COMPUTED_VALUE"""),"Abu Dhabi")</f>
        <v>Abu Dhabi</v>
      </c>
      <c r="B8580" s="2" t="str">
        <f ca="1">IFERROR(__xludf.DUMMYFUNCTION("""COMPUTED_VALUE"""),"Muheira by Modon")</f>
        <v>Muheira by Modon</v>
      </c>
      <c r="C8580" s="2" t="str">
        <f ca="1">IFERROR(__xludf.DUMMYFUNCTION("""COMPUTED_VALUE"""),"Building")</f>
        <v>Building</v>
      </c>
      <c r="D8580" s="2" t="str">
        <f ca="1">IFERROR(__xludf.DUMMYFUNCTION("""COMPUTED_VALUE"""),"Abu Dhabi&gt;Al Reem Island&gt;Tamouh&gt;Muheira by Modon")</f>
        <v>Abu Dhabi&gt;Al Reem Island&gt;Tamouh&gt;Muheira by Modon</v>
      </c>
      <c r="E8580" s="2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</row>
    <row r="8581" spans="1:26" ht="16.5" x14ac:dyDescent="0.35">
      <c r="A8581" s="2" t="str">
        <f ca="1">IFERROR(__xludf.DUMMYFUNCTION("""COMPUTED_VALUE"""),"Abu Dhabi")</f>
        <v>Abu Dhabi</v>
      </c>
      <c r="B8581" s="2" t="str">
        <f ca="1">IFERROR(__xludf.DUMMYFUNCTION("""COMPUTED_VALUE"""),"Thoraya")</f>
        <v>Thoraya</v>
      </c>
      <c r="C8581" s="2" t="str">
        <f ca="1">IFERROR(__xludf.DUMMYFUNCTION("""COMPUTED_VALUE"""),"Neighbourhood")</f>
        <v>Neighbourhood</v>
      </c>
      <c r="D8581" s="2" t="str">
        <f ca="1">IFERROR(__xludf.DUMMYFUNCTION("""COMPUTED_VALUE"""),"Abu Dhabi&gt;Al Reem Island&gt;Najmat Abu Dhabi&gt;Thoraya")</f>
        <v>Abu Dhabi&gt;Al Reem Island&gt;Najmat Abu Dhabi&gt;Thoraya</v>
      </c>
      <c r="E8581" s="2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</row>
    <row r="8582" spans="1:26" ht="16.5" x14ac:dyDescent="0.35">
      <c r="A8582" s="2" t="str">
        <f ca="1">IFERROR(__xludf.DUMMYFUNCTION("""COMPUTED_VALUE"""),"Abu Dhabi")</f>
        <v>Abu Dhabi</v>
      </c>
      <c r="B8582" s="2" t="str">
        <f ca="1">IFERROR(__xludf.DUMMYFUNCTION("""COMPUTED_VALUE"""),"Parkside Residence")</f>
        <v>Parkside Residence</v>
      </c>
      <c r="C8582" s="2" t="str">
        <f ca="1">IFERROR(__xludf.DUMMYFUNCTION("""COMPUTED_VALUE"""),"Building")</f>
        <v>Building</v>
      </c>
      <c r="D8582" s="2" t="str">
        <f ca="1">IFERROR(__xludf.DUMMYFUNCTION("""COMPUTED_VALUE"""),"Abu Dhabi&gt;Al Reem Island&gt;Shams Abu Dhabi&gt;Parkside Residence")</f>
        <v>Abu Dhabi&gt;Al Reem Island&gt;Shams Abu Dhabi&gt;Parkside Residence</v>
      </c>
      <c r="E8582" s="2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</row>
    <row r="8583" spans="1:26" ht="16.5" x14ac:dyDescent="0.35">
      <c r="A8583" s="2" t="str">
        <f ca="1">IFERROR(__xludf.DUMMYFUNCTION("""COMPUTED_VALUE"""),"Abu Dhabi")</f>
        <v>Abu Dhabi</v>
      </c>
      <c r="B8583" s="2" t="str">
        <f ca="1">IFERROR(__xludf.DUMMYFUNCTION("""COMPUTED_VALUE"""),"Beach Tower A")</f>
        <v>Beach Tower A</v>
      </c>
      <c r="C8583" s="2" t="str">
        <f ca="1">IFERROR(__xludf.DUMMYFUNCTION("""COMPUTED_VALUE"""),"Building")</f>
        <v>Building</v>
      </c>
      <c r="D8583" s="2" t="str">
        <f ca="1">IFERROR(__xludf.DUMMYFUNCTION("""COMPUTED_VALUE"""),"Abu Dhabi&gt;Al Reem Island&gt;Shams Abu Dhabi&gt;Beach Towers&gt;Beach Tower A")</f>
        <v>Abu Dhabi&gt;Al Reem Island&gt;Shams Abu Dhabi&gt;Beach Towers&gt;Beach Tower A</v>
      </c>
      <c r="E8583" s="2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</row>
    <row r="8584" spans="1:26" ht="16.5" x14ac:dyDescent="0.35">
      <c r="A8584" s="2" t="str">
        <f ca="1">IFERROR(__xludf.DUMMYFUNCTION("""COMPUTED_VALUE"""),"Abu Dhabi")</f>
        <v>Abu Dhabi</v>
      </c>
      <c r="B8584" s="2" t="str">
        <f ca="1">IFERROR(__xludf.DUMMYFUNCTION("""COMPUTED_VALUE"""),"Horizon Tower A")</f>
        <v>Horizon Tower A</v>
      </c>
      <c r="C8584" s="2" t="str">
        <f ca="1">IFERROR(__xludf.DUMMYFUNCTION("""COMPUTED_VALUE"""),"Building")</f>
        <v>Building</v>
      </c>
      <c r="D8584" s="2" t="str">
        <f ca="1">IFERROR(__xludf.DUMMYFUNCTION("""COMPUTED_VALUE"""),"Abu Dhabi&gt;Al Reem Island&gt;City of Lights&gt;Horizon Towers&gt;Horizon Tower A")</f>
        <v>Abu Dhabi&gt;Al Reem Island&gt;City of Lights&gt;Horizon Towers&gt;Horizon Tower A</v>
      </c>
      <c r="E8584" s="2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</row>
    <row r="8585" spans="1:26" ht="16.5" x14ac:dyDescent="0.35">
      <c r="A8585" s="2" t="str">
        <f ca="1">IFERROR(__xludf.DUMMYFUNCTION("""COMPUTED_VALUE"""),"Abu Dhabi")</f>
        <v>Abu Dhabi</v>
      </c>
      <c r="B8585" s="2" t="str">
        <f ca="1">IFERROR(__xludf.DUMMYFUNCTION("""COMPUTED_VALUE"""),"Julphar Residence")</f>
        <v>Julphar Residence</v>
      </c>
      <c r="C8585" s="2" t="str">
        <f ca="1">IFERROR(__xludf.DUMMYFUNCTION("""COMPUTED_VALUE"""),"Building")</f>
        <v>Building</v>
      </c>
      <c r="D8585" s="2" t="str">
        <f ca="1">IFERROR(__xludf.DUMMYFUNCTION("""COMPUTED_VALUE"""),"Abu Dhabi&gt;Al Reem Island&gt;Julphar Residence")</f>
        <v>Abu Dhabi&gt;Al Reem Island&gt;Julphar Residence</v>
      </c>
      <c r="E8585" s="2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</row>
    <row r="8586" spans="1:26" ht="16.5" x14ac:dyDescent="0.35">
      <c r="A8586" s="2" t="str">
        <f ca="1">IFERROR(__xludf.DUMMYFUNCTION("""COMPUTED_VALUE"""),"Abu Dhabi")</f>
        <v>Abu Dhabi</v>
      </c>
      <c r="B8586" s="2" t="str">
        <f ca="1">IFERROR(__xludf.DUMMYFUNCTION("""COMPUTED_VALUE"""),"Elie Saab Waterfront by Ohana")</f>
        <v>Elie Saab Waterfront by Ohana</v>
      </c>
      <c r="C8586" s="2" t="str">
        <f ca="1">IFERROR(__xludf.DUMMYFUNCTION("""COMPUTED_VALUE"""),"Building")</f>
        <v>Building</v>
      </c>
      <c r="D8586" s="2" t="str">
        <f ca="1">IFERROR(__xludf.DUMMYFUNCTION("""COMPUTED_VALUE"""),"Abu Dhabi&gt;Al Reem Island&gt;Elie Saab Waterfront by Ohana")</f>
        <v>Abu Dhabi&gt;Al Reem Island&gt;Elie Saab Waterfront by Ohana</v>
      </c>
      <c r="E8586" s="2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</row>
    <row r="8587" spans="1:26" ht="16.5" x14ac:dyDescent="0.35">
      <c r="A8587" s="2" t="str">
        <f ca="1">IFERROR(__xludf.DUMMYFUNCTION("""COMPUTED_VALUE"""),"Abu Dhabi")</f>
        <v>Abu Dhabi</v>
      </c>
      <c r="B8587" s="2" t="str">
        <f ca="1">IFERROR(__xludf.DUMMYFUNCTION("""COMPUTED_VALUE"""),"Liwa Centre Tower 1")</f>
        <v>Liwa Centre Tower 1</v>
      </c>
      <c r="C8587" s="2" t="str">
        <f ca="1">IFERROR(__xludf.DUMMYFUNCTION("""COMPUTED_VALUE"""),"Building")</f>
        <v>Building</v>
      </c>
      <c r="D8587" s="2" t="str">
        <f ca="1">IFERROR(__xludf.DUMMYFUNCTION("""COMPUTED_VALUE"""),"Abu Dhabi&gt;Hamdan Street&gt;Liwa Centre&gt;Liwa Centre Tower 1")</f>
        <v>Abu Dhabi&gt;Hamdan Street&gt;Liwa Centre&gt;Liwa Centre Tower 1</v>
      </c>
      <c r="E8587" s="2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</row>
    <row r="8588" spans="1:26" ht="16.5" x14ac:dyDescent="0.35">
      <c r="A8588" s="2" t="str">
        <f ca="1">IFERROR(__xludf.DUMMYFUNCTION("""COMPUTED_VALUE"""),"Abu Dhabi")</f>
        <v>Abu Dhabi</v>
      </c>
      <c r="B8588" s="2" t="str">
        <f ca="1">IFERROR(__xludf.DUMMYFUNCTION("""COMPUTED_VALUE"""),"The Crystal Tower")</f>
        <v>The Crystal Tower</v>
      </c>
      <c r="C8588" s="2" t="str">
        <f ca="1">IFERROR(__xludf.DUMMYFUNCTION("""COMPUTED_VALUE"""),"Building")</f>
        <v>Building</v>
      </c>
      <c r="D8588" s="2" t="str">
        <f ca="1">IFERROR(__xludf.DUMMYFUNCTION("""COMPUTED_VALUE"""),"Abu Dhabi&gt;Al Khalidiyah&gt;The Crystal Tower")</f>
        <v>Abu Dhabi&gt;Al Khalidiyah&gt;The Crystal Tower</v>
      </c>
      <c r="E8588" s="2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</row>
    <row r="8589" spans="1:26" ht="16.5" x14ac:dyDescent="0.35">
      <c r="A8589" s="2" t="str">
        <f ca="1">IFERROR(__xludf.DUMMYFUNCTION("""COMPUTED_VALUE"""),"Abu Dhabi")</f>
        <v>Abu Dhabi</v>
      </c>
      <c r="B8589" s="2" t="str">
        <f ca="1">IFERROR(__xludf.DUMMYFUNCTION("""COMPUTED_VALUE"""),"The International School Of Choueifat - Khalifa City")</f>
        <v>The International School Of Choueifat - Khalifa City</v>
      </c>
      <c r="C8589" s="2" t="str">
        <f ca="1">IFERROR(__xludf.DUMMYFUNCTION("""COMPUTED_VALUE"""),"School")</f>
        <v>School</v>
      </c>
      <c r="D8589" s="2" t="str">
        <f ca="1">IFERROR(__xludf.DUMMYFUNCTION("""COMPUTED_VALUE"""),"Abu Dhabi&gt;Khalifa City&gt;The International School Of Choueifat - Khalifa City")</f>
        <v>Abu Dhabi&gt;Khalifa City&gt;The International School Of Choueifat - Khalifa City</v>
      </c>
      <c r="E8589" s="2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</row>
    <row r="8590" spans="1:26" ht="16.5" x14ac:dyDescent="0.35">
      <c r="A8590" s="2" t="str">
        <f ca="1">IFERROR(__xludf.DUMMYFUNCTION("""COMPUTED_VALUE"""),"Abu Dhabi")</f>
        <v>Abu Dhabi</v>
      </c>
      <c r="B8590" s="2" t="str">
        <f ca="1">IFERROR(__xludf.DUMMYFUNCTION("""COMPUTED_VALUE"""),"Reportage Village Abu Dhabi")</f>
        <v>Reportage Village Abu Dhabi</v>
      </c>
      <c r="C8590" s="2" t="str">
        <f ca="1">IFERROR(__xludf.DUMMYFUNCTION("""COMPUTED_VALUE"""),"Neighbourhood")</f>
        <v>Neighbourhood</v>
      </c>
      <c r="D8590" s="2" t="str">
        <f ca="1">IFERROR(__xludf.DUMMYFUNCTION("""COMPUTED_VALUE"""),"Abu Dhabi&gt;Khalifa City&gt;Reportage Village Abu Dhabi")</f>
        <v>Abu Dhabi&gt;Khalifa City&gt;Reportage Village Abu Dhabi</v>
      </c>
      <c r="E8590" s="2"/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</row>
    <row r="8591" spans="1:26" ht="16.5" x14ac:dyDescent="0.35">
      <c r="A8591" s="2" t="str">
        <f ca="1">IFERROR(__xludf.DUMMYFUNCTION("""COMPUTED_VALUE"""),"Abu Dhabi")</f>
        <v>Abu Dhabi</v>
      </c>
      <c r="B8591" s="2" t="str">
        <f ca="1">IFERROR(__xludf.DUMMYFUNCTION("""COMPUTED_VALUE"""),"Al Souq Tower")</f>
        <v>Al Souq Tower</v>
      </c>
      <c r="C8591" s="2" t="str">
        <f ca="1">IFERROR(__xludf.DUMMYFUNCTION("""COMPUTED_VALUE"""),"Building")</f>
        <v>Building</v>
      </c>
      <c r="D8591" s="2" t="str">
        <f ca="1">IFERROR(__xludf.DUMMYFUNCTION("""COMPUTED_VALUE"""),"Abu Dhabi&gt;Al Markaziya&gt;Al Souq Tower")</f>
        <v>Abu Dhabi&gt;Al Markaziya&gt;Al Souq Tower</v>
      </c>
      <c r="E8591" s="2"/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</row>
    <row r="8592" spans="1:26" ht="16.5" x14ac:dyDescent="0.35">
      <c r="A8592" s="2" t="str">
        <f ca="1">IFERROR(__xludf.DUMMYFUNCTION("""COMPUTED_VALUE"""),"Abu Dhabi")</f>
        <v>Abu Dhabi</v>
      </c>
      <c r="B8592" s="2" t="str">
        <f ca="1">IFERROR(__xludf.DUMMYFUNCTION("""COMPUTED_VALUE"""),"Falaj Village")</f>
        <v>Falaj Village</v>
      </c>
      <c r="C8592" s="2"/>
      <c r="D8592" s="2" t="str">
        <f ca="1">IFERROR(__xludf.DUMMYFUNCTION("""COMPUTED_VALUE"""),"Abu Dhabi&gt;Al Ghadeer&gt;Falaj Village")</f>
        <v>Abu Dhabi&gt;Al Ghadeer&gt;Falaj Village</v>
      </c>
      <c r="E8592" s="2"/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</row>
    <row r="8593" spans="1:26" ht="16.5" x14ac:dyDescent="0.35">
      <c r="A8593" s="2" t="str">
        <f ca="1">IFERROR(__xludf.DUMMYFUNCTION("""COMPUTED_VALUE"""),"Abu Dhabi")</f>
        <v>Abu Dhabi</v>
      </c>
      <c r="B8593" s="2" t="str">
        <f ca="1">IFERROR(__xludf.DUMMYFUNCTION("""COMPUTED_VALUE"""),"Saadiyat Grove")</f>
        <v>Saadiyat Grove</v>
      </c>
      <c r="C8593" s="2" t="str">
        <f ca="1">IFERROR(__xludf.DUMMYFUNCTION("""COMPUTED_VALUE"""),"Cluster")</f>
        <v>Cluster</v>
      </c>
      <c r="D8593" s="2" t="str">
        <f ca="1">IFERROR(__xludf.DUMMYFUNCTION("""COMPUTED_VALUE"""),"Abu Dhabi&gt;Saadiyat Island&gt;Saadiyat Cultural District&gt;Saadiyat Grove")</f>
        <v>Abu Dhabi&gt;Saadiyat Island&gt;Saadiyat Cultural District&gt;Saadiyat Grove</v>
      </c>
      <c r="E8593" s="2"/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</row>
    <row r="8594" spans="1:26" ht="16.5" x14ac:dyDescent="0.35">
      <c r="A8594" s="2" t="str">
        <f ca="1">IFERROR(__xludf.DUMMYFUNCTION("""COMPUTED_VALUE"""),"Abu Dhabi")</f>
        <v>Abu Dhabi</v>
      </c>
      <c r="B8594" s="2" t="str">
        <f ca="1">IFERROR(__xludf.DUMMYFUNCTION("""COMPUTED_VALUE"""),"Al Sidr")</f>
        <v>Al Sidr</v>
      </c>
      <c r="C8594" s="2" t="str">
        <f ca="1">IFERROR(__xludf.DUMMYFUNCTION("""COMPUTED_VALUE"""),"Neighbourhood")</f>
        <v>Neighbourhood</v>
      </c>
      <c r="D8594" s="2" t="str">
        <f ca="1">IFERROR(__xludf.DUMMYFUNCTION("""COMPUTED_VALUE"""),"Abu Dhabi&gt;Saadiyat Island&gt;Saadiyat Lagoons&gt;Al Sidr")</f>
        <v>Abu Dhabi&gt;Saadiyat Island&gt;Saadiyat Lagoons&gt;Al Sidr</v>
      </c>
      <c r="E8594" s="2"/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</row>
    <row r="8595" spans="1:26" ht="16.5" x14ac:dyDescent="0.35">
      <c r="A8595" s="2" t="str">
        <f ca="1">IFERROR(__xludf.DUMMYFUNCTION("""COMPUTED_VALUE"""),"Abu Dhabi")</f>
        <v>Abu Dhabi</v>
      </c>
      <c r="B8595" s="2" t="str">
        <f ca="1">IFERROR(__xludf.DUMMYFUNCTION("""COMPUTED_VALUE"""),"Saadiyat Resort")</f>
        <v>Saadiyat Resort</v>
      </c>
      <c r="C8595" s="2" t="str">
        <f ca="1">IFERROR(__xludf.DUMMYFUNCTION("""COMPUTED_VALUE"""),"Building")</f>
        <v>Building</v>
      </c>
      <c r="D8595" s="2" t="str">
        <f ca="1">IFERROR(__xludf.DUMMYFUNCTION("""COMPUTED_VALUE"""),"Abu Dhabi&gt;Saadiyat Island&gt;Saadiyat Resort")</f>
        <v>Abu Dhabi&gt;Saadiyat Island&gt;Saadiyat Resort</v>
      </c>
      <c r="E8595" s="2"/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</row>
    <row r="8596" spans="1:26" ht="16.5" x14ac:dyDescent="0.35">
      <c r="A8596" s="2" t="str">
        <f ca="1">IFERROR(__xludf.DUMMYFUNCTION("""COMPUTED_VALUE"""),"Abu Dhabi")</f>
        <v>Abu Dhabi</v>
      </c>
      <c r="B8596" s="2" t="str">
        <f ca="1">IFERROR(__xludf.DUMMYFUNCTION("""COMPUTED_VALUE"""),"Olive Building")</f>
        <v>Olive Building</v>
      </c>
      <c r="C8596" s="2" t="str">
        <f ca="1">IFERROR(__xludf.DUMMYFUNCTION("""COMPUTED_VALUE"""),"Building")</f>
        <v>Building</v>
      </c>
      <c r="D8596" s="2" t="str">
        <f ca="1">IFERROR(__xludf.DUMMYFUNCTION("""COMPUTED_VALUE"""),"Abu Dhabi&gt;Al Raha Beach&gt;Olive Building")</f>
        <v>Abu Dhabi&gt;Al Raha Beach&gt;Olive Building</v>
      </c>
      <c r="E8596" s="2"/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</row>
    <row r="8597" spans="1:26" ht="16.5" x14ac:dyDescent="0.35">
      <c r="A8597" s="2" t="str">
        <f ca="1">IFERROR(__xludf.DUMMYFUNCTION("""COMPUTED_VALUE"""),"Abu Dhabi")</f>
        <v>Abu Dhabi</v>
      </c>
      <c r="B8597" s="2" t="str">
        <f ca="1">IFERROR(__xludf.DUMMYFUNCTION("""COMPUTED_VALUE"""),"Al Naseem Residence B")</f>
        <v>Al Naseem Residence B</v>
      </c>
      <c r="C8597" s="2" t="str">
        <f ca="1">IFERROR(__xludf.DUMMYFUNCTION("""COMPUTED_VALUE"""),"Building")</f>
        <v>Building</v>
      </c>
      <c r="D8597" s="2" t="str">
        <f ca="1">IFERROR(__xludf.DUMMYFUNCTION("""COMPUTED_VALUE"""),"Abu Dhabi&gt;Al Raha Beach&gt;Al Bandar&gt;Al Naseem&gt;Al Naseem Residence B")</f>
        <v>Abu Dhabi&gt;Al Raha Beach&gt;Al Bandar&gt;Al Naseem&gt;Al Naseem Residence B</v>
      </c>
      <c r="E8597" s="2"/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</row>
    <row r="8598" spans="1:26" ht="16.5" x14ac:dyDescent="0.35">
      <c r="A8598" s="2" t="str">
        <f ca="1">IFERROR(__xludf.DUMMYFUNCTION("""COMPUTED_VALUE"""),"Abu Dhabi")</f>
        <v>Abu Dhabi</v>
      </c>
      <c r="B8598" s="2" t="str">
        <f ca="1">IFERROR(__xludf.DUMMYFUNCTION("""COMPUTED_VALUE"""),"Al Lissaily")</f>
        <v>Al Lissaily</v>
      </c>
      <c r="C8598" s="2" t="str">
        <f ca="1">IFERROR(__xludf.DUMMYFUNCTION("""COMPUTED_VALUE"""),"Neighbourhood")</f>
        <v>Neighbourhood</v>
      </c>
      <c r="D8598" s="2" t="str">
        <f ca="1">IFERROR(__xludf.DUMMYFUNCTION("""COMPUTED_VALUE"""),"Abu Dhabi&gt;Al Raha Beach&gt;Al Lissaily")</f>
        <v>Abu Dhabi&gt;Al Raha Beach&gt;Al Lissaily</v>
      </c>
      <c r="E8598" s="2"/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</row>
    <row r="8599" spans="1:26" ht="16.5" x14ac:dyDescent="0.35">
      <c r="A8599" s="2" t="str">
        <f ca="1">IFERROR(__xludf.DUMMYFUNCTION("""COMPUTED_VALUE"""),"Abu Dhabi")</f>
        <v>Abu Dhabi</v>
      </c>
      <c r="B8599" s="2" t="str">
        <f ca="1">IFERROR(__xludf.DUMMYFUNCTION("""COMPUTED_VALUE"""),"P-1168")</f>
        <v>P-1168</v>
      </c>
      <c r="C8599" s="2" t="str">
        <f ca="1">IFERROR(__xludf.DUMMYFUNCTION("""COMPUTED_VALUE"""),"Building")</f>
        <v>Building</v>
      </c>
      <c r="D8599" s="2" t="str">
        <f ca="1">IFERROR(__xludf.DUMMYFUNCTION("""COMPUTED_VALUE"""),"Abu Dhabi&gt;Al Raha Beach&gt;P-1168")</f>
        <v>Abu Dhabi&gt;Al Raha Beach&gt;P-1168</v>
      </c>
      <c r="E8599" s="2"/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</row>
    <row r="8600" spans="1:26" ht="16.5" x14ac:dyDescent="0.35">
      <c r="A8600" s="2" t="str">
        <f ca="1">IFERROR(__xludf.DUMMYFUNCTION("""COMPUTED_VALUE"""),"Abu Dhabi")</f>
        <v>Abu Dhabi</v>
      </c>
      <c r="B8600" s="2" t="str">
        <f ca="1">IFERROR(__xludf.DUMMYFUNCTION("""COMPUTED_VALUE"""),"Fortress Compound")</f>
        <v>Fortress Compound</v>
      </c>
      <c r="C8600" s="2" t="str">
        <f ca="1">IFERROR(__xludf.DUMMYFUNCTION("""COMPUTED_VALUE"""),"Neighbourhood")</f>
        <v>Neighbourhood</v>
      </c>
      <c r="D8600" s="2" t="str">
        <f ca="1">IFERROR(__xludf.DUMMYFUNCTION("""COMPUTED_VALUE"""),"Abu Dhabi&gt;Al Muroor&gt;Fortress Compound")</f>
        <v>Abu Dhabi&gt;Al Muroor&gt;Fortress Compound</v>
      </c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</row>
    <row r="8601" spans="1:26" ht="16.5" x14ac:dyDescent="0.35">
      <c r="A8601" s="2" t="str">
        <f ca="1">IFERROR(__xludf.DUMMYFUNCTION("""COMPUTED_VALUE"""),"Abu Dhabi")</f>
        <v>Abu Dhabi</v>
      </c>
      <c r="B8601" s="2" t="str">
        <f ca="1">IFERROR(__xludf.DUMMYFUNCTION("""COMPUTED_VALUE"""),"Pakistan Community Welfare School, Abu Dhabi")</f>
        <v>Pakistan Community Welfare School, Abu Dhabi</v>
      </c>
      <c r="C8601" s="2" t="str">
        <f ca="1">IFERROR(__xludf.DUMMYFUNCTION("""COMPUTED_VALUE"""),"School")</f>
        <v>School</v>
      </c>
      <c r="D8601" s="2" t="str">
        <f ca="1">IFERROR(__xludf.DUMMYFUNCTION("""COMPUTED_VALUE"""),"Abu Dhabi&gt;Mohamed Bin Zayed City&gt;Pakistan Community Welfare School, Abu Dhabi")</f>
        <v>Abu Dhabi&gt;Mohamed Bin Zayed City&gt;Pakistan Community Welfare School, Abu Dhabi</v>
      </c>
      <c r="E8601" s="2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</row>
    <row r="8602" spans="1:26" ht="16.5" x14ac:dyDescent="0.35">
      <c r="A8602" s="2" t="str">
        <f ca="1">IFERROR(__xludf.DUMMYFUNCTION("""COMPUTED_VALUE"""),"Abu Dhabi")</f>
        <v>Abu Dhabi</v>
      </c>
      <c r="B8602" s="2" t="str">
        <f ca="1">IFERROR(__xludf.DUMMYFUNCTION("""COMPUTED_VALUE"""),"Zone 20")</f>
        <v>Zone 20</v>
      </c>
      <c r="C8602" s="2" t="str">
        <f ca="1">IFERROR(__xludf.DUMMYFUNCTION("""COMPUTED_VALUE"""),"Neighbourhood")</f>
        <v>Neighbourhood</v>
      </c>
      <c r="D8602" s="2" t="str">
        <f ca="1">IFERROR(__xludf.DUMMYFUNCTION("""COMPUTED_VALUE"""),"Abu Dhabi&gt;Mohamed Bin Zayed City&gt;Zone 20")</f>
        <v>Abu Dhabi&gt;Mohamed Bin Zayed City&gt;Zone 20</v>
      </c>
      <c r="E8602" s="2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</row>
    <row r="8603" spans="1:26" ht="16.5" x14ac:dyDescent="0.35">
      <c r="A8603" s="2" t="str">
        <f ca="1">IFERROR(__xludf.DUMMYFUNCTION("""COMPUTED_VALUE"""),"Abu Dhabi")</f>
        <v>Abu Dhabi</v>
      </c>
      <c r="B8603" s="2" t="str">
        <f ca="1">IFERROR(__xludf.DUMMYFUNCTION("""COMPUTED_VALUE"""),"Building 45")</f>
        <v>Building 45</v>
      </c>
      <c r="C8603" s="2" t="str">
        <f ca="1">IFERROR(__xludf.DUMMYFUNCTION("""COMPUTED_VALUE"""),"Building")</f>
        <v>Building</v>
      </c>
      <c r="D8603" s="2" t="str">
        <f ca="1">IFERROR(__xludf.DUMMYFUNCTION("""COMPUTED_VALUE"""),"Abu Dhabi&gt;Al Reef&gt;Al Reef Downtown&gt;Building 45")</f>
        <v>Abu Dhabi&gt;Al Reef&gt;Al Reef Downtown&gt;Building 45</v>
      </c>
      <c r="E8603" s="2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</row>
    <row r="8604" spans="1:26" ht="16.5" x14ac:dyDescent="0.35">
      <c r="A8604" s="2" t="str">
        <f ca="1">IFERROR(__xludf.DUMMYFUNCTION("""COMPUTED_VALUE"""),"Abu Dhabi")</f>
        <v>Abu Dhabi</v>
      </c>
      <c r="B8604" s="2" t="str">
        <f ca="1">IFERROR(__xludf.DUMMYFUNCTION("""COMPUTED_VALUE"""),"Building 33")</f>
        <v>Building 33</v>
      </c>
      <c r="C8604" s="2" t="str">
        <f ca="1">IFERROR(__xludf.DUMMYFUNCTION("""COMPUTED_VALUE"""),"Building")</f>
        <v>Building</v>
      </c>
      <c r="D8604" s="2" t="str">
        <f ca="1">IFERROR(__xludf.DUMMYFUNCTION("""COMPUTED_VALUE"""),"Abu Dhabi&gt;Al Reef&gt;Al Reef Downtown&gt;Building 33")</f>
        <v>Abu Dhabi&gt;Al Reef&gt;Al Reef Downtown&gt;Building 33</v>
      </c>
      <c r="E8604" s="2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</row>
    <row r="8605" spans="1:26" ht="16.5" x14ac:dyDescent="0.35">
      <c r="A8605" s="2" t="str">
        <f ca="1">IFERROR(__xludf.DUMMYFUNCTION("""COMPUTED_VALUE"""),"Abu Dhabi")</f>
        <v>Abu Dhabi</v>
      </c>
      <c r="B8605" s="2" t="str">
        <f ca="1">IFERROR(__xludf.DUMMYFUNCTION("""COMPUTED_VALUE"""),"Jumeirah Tower")</f>
        <v>Jumeirah Tower</v>
      </c>
      <c r="C8605" s="2" t="str">
        <f ca="1">IFERROR(__xludf.DUMMYFUNCTION("""COMPUTED_VALUE"""),"Building")</f>
        <v>Building</v>
      </c>
      <c r="D8605" s="2" t="str">
        <f ca="1">IFERROR(__xludf.DUMMYFUNCTION("""COMPUTED_VALUE"""),"Abu Dhabi&gt;Al Najda Street&gt;Jumeirah Tower")</f>
        <v>Abu Dhabi&gt;Al Najda Street&gt;Jumeirah Tower</v>
      </c>
      <c r="E8605" s="2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</row>
    <row r="8606" spans="1:26" ht="16.5" x14ac:dyDescent="0.35">
      <c r="A8606" s="2" t="str">
        <f ca="1">IFERROR(__xludf.DUMMYFUNCTION("""COMPUTED_VALUE"""),"Abu Dhabi")</f>
        <v>Abu Dhabi</v>
      </c>
      <c r="B8606" s="2" t="str">
        <f ca="1">IFERROR(__xludf.DUMMYFUNCTION("""COMPUTED_VALUE"""),"International Tower")</f>
        <v>International Tower</v>
      </c>
      <c r="C8606" s="2" t="str">
        <f ca="1">IFERROR(__xludf.DUMMYFUNCTION("""COMPUTED_VALUE"""),"Building")</f>
        <v>Building</v>
      </c>
      <c r="D8606" s="2" t="str">
        <f ca="1">IFERROR(__xludf.DUMMYFUNCTION("""COMPUTED_VALUE"""),"Abu Dhabi&gt;Capital Centre&gt;International Tower")</f>
        <v>Abu Dhabi&gt;Capital Centre&gt;International Tower</v>
      </c>
      <c r="E8606" s="2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</row>
    <row r="8607" spans="1:26" ht="16.5" x14ac:dyDescent="0.35">
      <c r="A8607" s="2" t="str">
        <f ca="1">IFERROR(__xludf.DUMMYFUNCTION("""COMPUTED_VALUE"""),"Abu Dhabi")</f>
        <v>Abu Dhabi</v>
      </c>
      <c r="B8607" s="2" t="str">
        <f ca="1">IFERROR(__xludf.DUMMYFUNCTION("""COMPUTED_VALUE"""),"Liwa")</f>
        <v>Liwa</v>
      </c>
      <c r="C8607" s="2" t="str">
        <f ca="1">IFERROR(__xludf.DUMMYFUNCTION("""COMPUTED_VALUE"""),"Neighbourhood")</f>
        <v>Neighbourhood</v>
      </c>
      <c r="D8607" s="2" t="str">
        <f ca="1">IFERROR(__xludf.DUMMYFUNCTION("""COMPUTED_VALUE"""),"Abu Dhabi&gt;Liwa")</f>
        <v>Abu Dhabi&gt;Liwa</v>
      </c>
      <c r="E8607" s="2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</row>
    <row r="8608" spans="1:26" ht="16.5" x14ac:dyDescent="0.35">
      <c r="A8608" s="2" t="str">
        <f ca="1">IFERROR(__xludf.DUMMYFUNCTION("""COMPUTED_VALUE"""),"Abu Dhabi")</f>
        <v>Abu Dhabi</v>
      </c>
      <c r="B8608" s="2" t="str">
        <f ca="1">IFERROR(__xludf.DUMMYFUNCTION("""COMPUTED_VALUE"""),"Yas Acres")</f>
        <v>Yas Acres</v>
      </c>
      <c r="C8608" s="2" t="str">
        <f ca="1">IFERROR(__xludf.DUMMYFUNCTION("""COMPUTED_VALUE"""),"Neighbourhood")</f>
        <v>Neighbourhood</v>
      </c>
      <c r="D8608" s="2" t="str">
        <f ca="1">IFERROR(__xludf.DUMMYFUNCTION("""COMPUTED_VALUE"""),"Abu Dhabi&gt;Yas Island&gt;Yas Acres")</f>
        <v>Abu Dhabi&gt;Yas Island&gt;Yas Acres</v>
      </c>
      <c r="E8608" s="2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</row>
    <row r="8609" spans="1:26" ht="16.5" x14ac:dyDescent="0.35">
      <c r="A8609" s="2" t="str">
        <f ca="1">IFERROR(__xludf.DUMMYFUNCTION("""COMPUTED_VALUE"""),"Abu Dhabi")</f>
        <v>Abu Dhabi</v>
      </c>
      <c r="B8609" s="2" t="str">
        <f ca="1">IFERROR(__xludf.DUMMYFUNCTION("""COMPUTED_VALUE"""),"Gardenia Bay")</f>
        <v>Gardenia Bay</v>
      </c>
      <c r="C8609" s="2" t="str">
        <f ca="1">IFERROR(__xludf.DUMMYFUNCTION("""COMPUTED_VALUE"""),"Building")</f>
        <v>Building</v>
      </c>
      <c r="D8609" s="2" t="str">
        <f ca="1">IFERROR(__xludf.DUMMYFUNCTION("""COMPUTED_VALUE"""),"Abu Dhabi&gt;Yas Island&gt;Gardenia Bay")</f>
        <v>Abu Dhabi&gt;Yas Island&gt;Gardenia Bay</v>
      </c>
      <c r="E8609" s="2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</row>
    <row r="8610" spans="1:26" ht="16.5" x14ac:dyDescent="0.35">
      <c r="A8610" s="2" t="str">
        <f ca="1">IFERROR(__xludf.DUMMYFUNCTION("""COMPUTED_VALUE"""),"Abu Dhabi")</f>
        <v>Abu Dhabi</v>
      </c>
      <c r="B8610" s="2" t="str">
        <f ca="1">IFERROR(__xludf.DUMMYFUNCTION("""COMPUTED_VALUE"""),"Mina Zayed")</f>
        <v>Mina Zayed</v>
      </c>
      <c r="C8610" s="2" t="str">
        <f ca="1">IFERROR(__xludf.DUMMYFUNCTION("""COMPUTED_VALUE"""),"Neighbourhood")</f>
        <v>Neighbourhood</v>
      </c>
      <c r="D8610" s="2" t="str">
        <f ca="1">IFERROR(__xludf.DUMMYFUNCTION("""COMPUTED_VALUE"""),"Abu Dhabi&gt;Mina Zayed")</f>
        <v>Abu Dhabi&gt;Mina Zayed</v>
      </c>
      <c r="E8610" s="2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</row>
    <row r="8611" spans="1:26" ht="16.5" x14ac:dyDescent="0.35">
      <c r="A8611" s="2" t="str">
        <f ca="1">IFERROR(__xludf.DUMMYFUNCTION("""COMPUTED_VALUE"""),"Ajman")</f>
        <v>Ajman</v>
      </c>
      <c r="B8611" s="2" t="str">
        <f ca="1">IFERROR(__xludf.DUMMYFUNCTION("""COMPUTED_VALUE"""),"Al Aamra Tower")</f>
        <v>Al Aamra Tower</v>
      </c>
      <c r="C8611" s="2"/>
      <c r="D8611" s="2" t="str">
        <f ca="1">IFERROR(__xludf.DUMMYFUNCTION("""COMPUTED_VALUE"""),"Ajman&gt;Al Amerah&gt;Al Aamra Tower")</f>
        <v>Ajman&gt;Al Amerah&gt;Al Aamra Tower</v>
      </c>
      <c r="E8611" s="2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</row>
    <row r="8612" spans="1:26" ht="16.5" x14ac:dyDescent="0.35">
      <c r="A8612" s="2" t="str">
        <f ca="1">IFERROR(__xludf.DUMMYFUNCTION("""COMPUTED_VALUE"""),"Ajman")</f>
        <v>Ajman</v>
      </c>
      <c r="B8612" s="2" t="str">
        <f ca="1">IFERROR(__xludf.DUMMYFUNCTION("""COMPUTED_VALUE"""),"Paradise Lakes B8")</f>
        <v>Paradise Lakes B8</v>
      </c>
      <c r="C8612" s="2" t="str">
        <f ca="1">IFERROR(__xludf.DUMMYFUNCTION("""COMPUTED_VALUE"""),"Building")</f>
        <v>Building</v>
      </c>
      <c r="D8612" s="2" t="str">
        <f ca="1">IFERROR(__xludf.DUMMYFUNCTION("""COMPUTED_VALUE"""),"Ajman&gt;Emirates City&gt;Paradise Lakes&gt;Paradise Lakes B8")</f>
        <v>Ajman&gt;Emirates City&gt;Paradise Lakes&gt;Paradise Lakes B8</v>
      </c>
      <c r="E8612" s="2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</row>
    <row r="8613" spans="1:26" ht="16.5" x14ac:dyDescent="0.35">
      <c r="A8613" s="2" t="str">
        <f ca="1">IFERROR(__xludf.DUMMYFUNCTION("""COMPUTED_VALUE"""),"Ajman")</f>
        <v>Ajman</v>
      </c>
      <c r="B8613" s="2" t="str">
        <f ca="1">IFERROR(__xludf.DUMMYFUNCTION("""COMPUTED_VALUE"""),"Altitude Tower")</f>
        <v>Altitude Tower</v>
      </c>
      <c r="C8613" s="2" t="str">
        <f ca="1">IFERROR(__xludf.DUMMYFUNCTION("""COMPUTED_VALUE"""),"Building")</f>
        <v>Building</v>
      </c>
      <c r="D8613" s="2" t="str">
        <f ca="1">IFERROR(__xludf.DUMMYFUNCTION("""COMPUTED_VALUE"""),"Ajman&gt;Emirates City&gt;Altitude Tower")</f>
        <v>Ajman&gt;Emirates City&gt;Altitude Tower</v>
      </c>
      <c r="E8613" s="2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</row>
    <row r="8614" spans="1:26" ht="16.5" x14ac:dyDescent="0.35">
      <c r="A8614" s="2" t="str">
        <f ca="1">IFERROR(__xludf.DUMMYFUNCTION("""COMPUTED_VALUE"""),"Ajman")</f>
        <v>Ajman</v>
      </c>
      <c r="B8614" s="2" t="str">
        <f ca="1">IFERROR(__xludf.DUMMYFUNCTION("""COMPUTED_VALUE"""),"Global Indian School, Ajman")</f>
        <v>Global Indian School, Ajman</v>
      </c>
      <c r="C8614" s="2" t="str">
        <f ca="1">IFERROR(__xludf.DUMMYFUNCTION("""COMPUTED_VALUE"""),"School")</f>
        <v>School</v>
      </c>
      <c r="D8614" s="2" t="str">
        <f ca="1">IFERROR(__xludf.DUMMYFUNCTION("""COMPUTED_VALUE"""),"Ajman&gt;Al Jurf&gt;Al Jurf 2&gt;Global Indian School, Ajman")</f>
        <v>Ajman&gt;Al Jurf&gt;Al Jurf 2&gt;Global Indian School, Ajman</v>
      </c>
      <c r="E8614" s="2"/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</row>
    <row r="8615" spans="1:26" ht="16.5" x14ac:dyDescent="0.35">
      <c r="A8615" s="2" t="str">
        <f ca="1">IFERROR(__xludf.DUMMYFUNCTION("""COMPUTED_VALUE"""),"Ajman")</f>
        <v>Ajman</v>
      </c>
      <c r="B8615" s="2" t="str">
        <f ca="1">IFERROR(__xludf.DUMMYFUNCTION("""COMPUTED_VALUE"""),"Al Khail Towers")</f>
        <v>Al Khail Towers</v>
      </c>
      <c r="C8615" s="2"/>
      <c r="D8615" s="2" t="str">
        <f ca="1">IFERROR(__xludf.DUMMYFUNCTION("""COMPUTED_VALUE"""),"Ajman&gt;Ajman Downtown&gt;Al Khail Towers")</f>
        <v>Ajman&gt;Ajman Downtown&gt;Al Khail Towers</v>
      </c>
      <c r="E8615" s="2"/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</row>
    <row r="8616" spans="1:26" ht="16.5" x14ac:dyDescent="0.35">
      <c r="A8616" s="2" t="str">
        <f ca="1">IFERROR(__xludf.DUMMYFUNCTION("""COMPUTED_VALUE"""),"Ajman")</f>
        <v>Ajman</v>
      </c>
      <c r="B8616" s="2" t="str">
        <f ca="1">IFERROR(__xludf.DUMMYFUNCTION("""COMPUTED_VALUE"""),"Ewan Tower Hotel Apartments")</f>
        <v>Ewan Tower Hotel Apartments</v>
      </c>
      <c r="C8616" s="2"/>
      <c r="D8616" s="2" t="str">
        <f ca="1">IFERROR(__xludf.DUMMYFUNCTION("""COMPUTED_VALUE"""),"Ajman&gt;Al Rashidiya&gt;Al Rashidiya 1&gt;Ewan Tower Hotel Apartments")</f>
        <v>Ajman&gt;Al Rashidiya&gt;Al Rashidiya 1&gt;Ewan Tower Hotel Apartments</v>
      </c>
      <c r="E8616" s="2"/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</row>
    <row r="8617" spans="1:26" ht="16.5" x14ac:dyDescent="0.35">
      <c r="A8617" s="2" t="str">
        <f ca="1">IFERROR(__xludf.DUMMYFUNCTION("""COMPUTED_VALUE"""),"Ajman")</f>
        <v>Ajman</v>
      </c>
      <c r="B8617" s="2" t="str">
        <f ca="1">IFERROR(__xludf.DUMMYFUNCTION("""COMPUTED_VALUE"""),"Ajman One Tower 8")</f>
        <v>Ajman One Tower 8</v>
      </c>
      <c r="C8617" s="2"/>
      <c r="D8617" s="2" t="str">
        <f ca="1">IFERROR(__xludf.DUMMYFUNCTION("""COMPUTED_VALUE"""),"Ajman&gt;Al Rashidiya&gt;Al Rashidiya 3&gt;Ajman One Towers&gt;Ajman One Tower 8")</f>
        <v>Ajman&gt;Al Rashidiya&gt;Al Rashidiya 3&gt;Ajman One Towers&gt;Ajman One Tower 8</v>
      </c>
      <c r="E8617" s="2"/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</row>
    <row r="8618" spans="1:26" ht="16.5" x14ac:dyDescent="0.35">
      <c r="A8618" s="2" t="str">
        <f ca="1">IFERROR(__xludf.DUMMYFUNCTION("""COMPUTED_VALUE"""),"Ajman")</f>
        <v>Ajman</v>
      </c>
      <c r="B8618" s="2" t="str">
        <f ca="1">IFERROR(__xludf.DUMMYFUNCTION("""COMPUTED_VALUE"""),"JR Residence 3")</f>
        <v>JR Residence 3</v>
      </c>
      <c r="C8618" s="2" t="str">
        <f ca="1">IFERROR(__xludf.DUMMYFUNCTION("""COMPUTED_VALUE"""),"Building")</f>
        <v>Building</v>
      </c>
      <c r="D8618" s="2" t="str">
        <f ca="1">IFERROR(__xludf.DUMMYFUNCTION("""COMPUTED_VALUE"""),"Ajman&gt;Al Mowaihat&gt;Al Mowaihat 3&gt;JR Residence 3")</f>
        <v>Ajman&gt;Al Mowaihat&gt;Al Mowaihat 3&gt;JR Residence 3</v>
      </c>
      <c r="E8618" s="2"/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</row>
    <row r="8619" spans="1:26" ht="16.5" x14ac:dyDescent="0.35">
      <c r="A8619" s="2" t="str">
        <f ca="1">IFERROR(__xludf.DUMMYFUNCTION("""COMPUTED_VALUE"""),"Ajman")</f>
        <v>Ajman</v>
      </c>
      <c r="B8619" s="2" t="str">
        <f ca="1">IFERROR(__xludf.DUMMYFUNCTION("""COMPUTED_VALUE"""),"The Royal Academy Ajman")</f>
        <v>The Royal Academy Ajman</v>
      </c>
      <c r="C8619" s="2" t="str">
        <f ca="1">IFERROR(__xludf.DUMMYFUNCTION("""COMPUTED_VALUE"""),"School")</f>
        <v>School</v>
      </c>
      <c r="D8619" s="2" t="str">
        <f ca="1">IFERROR(__xludf.DUMMYFUNCTION("""COMPUTED_VALUE"""),"Ajman&gt;Al Hamidiyah&gt;Al Hamidiya 1&gt;The Royal Academy Ajman")</f>
        <v>Ajman&gt;Al Hamidiyah&gt;Al Hamidiya 1&gt;The Royal Academy Ajman</v>
      </c>
      <c r="E8619" s="2"/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</row>
    <row r="8620" spans="1:26" ht="16.5" x14ac:dyDescent="0.35">
      <c r="A8620" s="2" t="str">
        <f ca="1">IFERROR(__xludf.DUMMYFUNCTION("""COMPUTED_VALUE"""),"Ajman")</f>
        <v>Ajman</v>
      </c>
      <c r="B8620" s="2" t="str">
        <f ca="1">IFERROR(__xludf.DUMMYFUNCTION("""COMPUTED_VALUE"""),"Tiger Downtown Ajman Tower A")</f>
        <v>Tiger Downtown Ajman Tower A</v>
      </c>
      <c r="C8620" s="2" t="str">
        <f ca="1">IFERROR(__xludf.DUMMYFUNCTION("""COMPUTED_VALUE"""),"Building")</f>
        <v>Building</v>
      </c>
      <c r="D8620" s="2" t="str">
        <f ca="1">IFERROR(__xludf.DUMMYFUNCTION("""COMPUTED_VALUE"""),"Ajman&gt;Al Alia&gt;Tiger Downtown Ajman&gt;Tiger Downtown Ajman Tower A")</f>
        <v>Ajman&gt;Al Alia&gt;Tiger Downtown Ajman&gt;Tiger Downtown Ajman Tower A</v>
      </c>
      <c r="E8620" s="2"/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</row>
    <row r="8621" spans="1:26" ht="16.5" x14ac:dyDescent="0.35">
      <c r="A8621" s="2" t="str">
        <f ca="1">IFERROR(__xludf.DUMMYFUNCTION("""COMPUTED_VALUE"""),"Ajman")</f>
        <v>Ajman</v>
      </c>
      <c r="B8621" s="2" t="str">
        <f ca="1">IFERROR(__xludf.DUMMYFUNCTION("""COMPUTED_VALUE"""),"Orchid Tower")</f>
        <v>Orchid Tower</v>
      </c>
      <c r="C8621" s="2"/>
      <c r="D8621" s="2" t="str">
        <f ca="1">IFERROR(__xludf.DUMMYFUNCTION("""COMPUTED_VALUE"""),"Ajman&gt;Al Humaid City&gt;Orchid Tower")</f>
        <v>Ajman&gt;Al Humaid City&gt;Orchid Tower</v>
      </c>
      <c r="E8621" s="2"/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</row>
    <row r="8622" spans="1:26" ht="16.5" x14ac:dyDescent="0.35">
      <c r="A8622" s="2" t="str">
        <f ca="1">IFERROR(__xludf.DUMMYFUNCTION("""COMPUTED_VALUE"""),"Ajman")</f>
        <v>Ajman</v>
      </c>
      <c r="B8622" s="2" t="str">
        <f ca="1">IFERROR(__xludf.DUMMYFUNCTION("""COMPUTED_VALUE"""),"King Faisal Street")</f>
        <v>King Faisal Street</v>
      </c>
      <c r="C8622" s="2"/>
      <c r="D8622" s="2" t="str">
        <f ca="1">IFERROR(__xludf.DUMMYFUNCTION("""COMPUTED_VALUE"""),"Ajman&gt;King Faisal Street")</f>
        <v>Ajman&gt;King Faisal Street</v>
      </c>
      <c r="E8622" s="2"/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</row>
    <row r="8623" spans="1:26" ht="16.5" x14ac:dyDescent="0.35">
      <c r="A8623" s="2" t="str">
        <f ca="1">IFERROR(__xludf.DUMMYFUNCTION("""COMPUTED_VALUE"""),"Ajman")</f>
        <v>Ajman</v>
      </c>
      <c r="B8623" s="2" t="str">
        <f ca="1">IFERROR(__xludf.DUMMYFUNCTION("""COMPUTED_VALUE"""),"Nuaimia One Tower")</f>
        <v>Nuaimia One Tower</v>
      </c>
      <c r="C8623" s="2" t="str">
        <f ca="1">IFERROR(__xludf.DUMMYFUNCTION("""COMPUTED_VALUE"""),"Building")</f>
        <v>Building</v>
      </c>
      <c r="D8623" s="2" t="str">
        <f ca="1">IFERROR(__xludf.DUMMYFUNCTION("""COMPUTED_VALUE"""),"Ajman&gt;Al Nuaimiya&gt;Al Nuaimiya 1&gt;Nuaimia One Tower")</f>
        <v>Ajman&gt;Al Nuaimiya&gt;Al Nuaimiya 1&gt;Nuaimia One Tower</v>
      </c>
      <c r="E8623" s="2"/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</row>
    <row r="8624" spans="1:26" ht="16.5" x14ac:dyDescent="0.35">
      <c r="A8624" s="2" t="str">
        <f ca="1">IFERROR(__xludf.DUMMYFUNCTION("""COMPUTED_VALUE"""),"Ajman")</f>
        <v>Ajman</v>
      </c>
      <c r="B8624" s="2" t="str">
        <f ca="1">IFERROR(__xludf.DUMMYFUNCTION("""COMPUTED_VALUE"""),"Extol Lake Tower")</f>
        <v>Extol Lake Tower</v>
      </c>
      <c r="C8624" s="2"/>
      <c r="D8624" s="2" t="str">
        <f ca="1">IFERROR(__xludf.DUMMYFUNCTION("""COMPUTED_VALUE"""),"Ajman&gt;Awali City&gt;Extol Lake Tower")</f>
        <v>Ajman&gt;Awali City&gt;Extol Lake Tower</v>
      </c>
      <c r="E8624" s="2"/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W8624" s="2"/>
      <c r="X8624" s="2"/>
      <c r="Y8624" s="2"/>
      <c r="Z8624" s="2"/>
    </row>
    <row r="8625" spans="1:26" ht="16.5" x14ac:dyDescent="0.35">
      <c r="A8625" s="2" t="str">
        <f ca="1">IFERROR(__xludf.DUMMYFUNCTION("""COMPUTED_VALUE"""),"Sharjah")</f>
        <v>Sharjah</v>
      </c>
      <c r="B8625" s="2" t="str">
        <f ca="1">IFERROR(__xludf.DUMMYFUNCTION("""COMPUTED_VALUE"""),"Citi Tower")</f>
        <v>Citi Tower</v>
      </c>
      <c r="C8625" s="2"/>
      <c r="D8625" s="2" t="str">
        <f ca="1">IFERROR(__xludf.DUMMYFUNCTION("""COMPUTED_VALUE"""),"Sharjah&gt;Al Nahda (Sharjah)&gt;Citi Tower")</f>
        <v>Sharjah&gt;Al Nahda (Sharjah)&gt;Citi Tower</v>
      </c>
      <c r="E8625" s="2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W8625" s="2"/>
      <c r="X8625" s="2"/>
      <c r="Y8625" s="2"/>
      <c r="Z8625" s="2"/>
    </row>
    <row r="8626" spans="1:26" ht="16.5" x14ac:dyDescent="0.35">
      <c r="A8626" s="2" t="str">
        <f ca="1">IFERROR(__xludf.DUMMYFUNCTION("""COMPUTED_VALUE"""),"Sharjah")</f>
        <v>Sharjah</v>
      </c>
      <c r="B8626" s="2" t="str">
        <f ca="1">IFERROR(__xludf.DUMMYFUNCTION("""COMPUTED_VALUE"""),"Juma Al Majid")</f>
        <v>Juma Al Majid</v>
      </c>
      <c r="C8626" s="2"/>
      <c r="D8626" s="2" t="str">
        <f ca="1">IFERROR(__xludf.DUMMYFUNCTION("""COMPUTED_VALUE"""),"Sharjah&gt;Al Nahda (Sharjah)&gt;Juma Al Majid")</f>
        <v>Sharjah&gt;Al Nahda (Sharjah)&gt;Juma Al Majid</v>
      </c>
      <c r="E8626" s="2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</row>
    <row r="8627" spans="1:26" ht="16.5" x14ac:dyDescent="0.35">
      <c r="A8627" s="2" t="str">
        <f ca="1">IFERROR(__xludf.DUMMYFUNCTION("""COMPUTED_VALUE"""),"Sharjah")</f>
        <v>Sharjah</v>
      </c>
      <c r="B8627" s="2" t="str">
        <f ca="1">IFERROR(__xludf.DUMMYFUNCTION("""COMPUTED_VALUE"""),"Al Shaiba Building 167")</f>
        <v>Al Shaiba Building 167</v>
      </c>
      <c r="C8627" s="2"/>
      <c r="D8627" s="2" t="str">
        <f ca="1">IFERROR(__xludf.DUMMYFUNCTION("""COMPUTED_VALUE"""),"Sharjah&gt;Al Nahda (Sharjah)&gt;Al Shaiba Building 167")</f>
        <v>Sharjah&gt;Al Nahda (Sharjah)&gt;Al Shaiba Building 167</v>
      </c>
      <c r="E8627" s="2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W8627" s="2"/>
      <c r="X8627" s="2"/>
      <c r="Y8627" s="2"/>
      <c r="Z8627" s="2"/>
    </row>
    <row r="8628" spans="1:26" ht="16.5" x14ac:dyDescent="0.35">
      <c r="A8628" s="2" t="str">
        <f ca="1">IFERROR(__xludf.DUMMYFUNCTION("""COMPUTED_VALUE"""),"Sharjah")</f>
        <v>Sharjah</v>
      </c>
      <c r="B8628" s="2" t="str">
        <f ca="1">IFERROR(__xludf.DUMMYFUNCTION("""COMPUTED_VALUE"""),"Royal Grand Hotel")</f>
        <v>Royal Grand Hotel</v>
      </c>
      <c r="C8628" s="2"/>
      <c r="D8628" s="2" t="str">
        <f ca="1">IFERROR(__xludf.DUMMYFUNCTION("""COMPUTED_VALUE"""),"Sharjah&gt;Al Nahda (Sharjah)&gt;Royal Grand Hotel")</f>
        <v>Sharjah&gt;Al Nahda (Sharjah)&gt;Royal Grand Hotel</v>
      </c>
      <c r="E8628" s="2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</row>
    <row r="8629" spans="1:26" ht="16.5" x14ac:dyDescent="0.35">
      <c r="A8629" s="2" t="str">
        <f ca="1">IFERROR(__xludf.DUMMYFUNCTION("""COMPUTED_VALUE"""),"Sharjah")</f>
        <v>Sharjah</v>
      </c>
      <c r="B8629" s="2" t="str">
        <f ca="1">IFERROR(__xludf.DUMMYFUNCTION("""COMPUTED_VALUE"""),"Rolla Area")</f>
        <v>Rolla Area</v>
      </c>
      <c r="C8629" s="2" t="str">
        <f ca="1">IFERROR(__xludf.DUMMYFUNCTION("""COMPUTED_VALUE"""),"Neighbourhood")</f>
        <v>Neighbourhood</v>
      </c>
      <c r="D8629" s="2" t="str">
        <f ca="1">IFERROR(__xludf.DUMMYFUNCTION("""COMPUTED_VALUE"""),"Sharjah&gt;Rolla Area")</f>
        <v>Sharjah&gt;Rolla Area</v>
      </c>
      <c r="E8629" s="2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</row>
    <row r="8630" spans="1:26" ht="16.5" x14ac:dyDescent="0.35">
      <c r="A8630" s="2" t="str">
        <f ca="1">IFERROR(__xludf.DUMMYFUNCTION("""COMPUTED_VALUE"""),"Sharjah")</f>
        <v>Sharjah</v>
      </c>
      <c r="B8630" s="2" t="str">
        <f ca="1">IFERROR(__xludf.DUMMYFUNCTION("""COMPUTED_VALUE"""),"Misk 3")</f>
        <v>Misk 3</v>
      </c>
      <c r="C8630" s="2" t="str">
        <f ca="1">IFERROR(__xludf.DUMMYFUNCTION("""COMPUTED_VALUE"""),"Building")</f>
        <v>Building</v>
      </c>
      <c r="D8630" s="2" t="str">
        <f ca="1">IFERROR(__xludf.DUMMYFUNCTION("""COMPUTED_VALUE"""),"Sharjah&gt;Aljada&gt;Misk Apartments&gt;Misk 3")</f>
        <v>Sharjah&gt;Aljada&gt;Misk Apartments&gt;Misk 3</v>
      </c>
      <c r="E8630" s="2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</row>
    <row r="8631" spans="1:26" ht="16.5" x14ac:dyDescent="0.35">
      <c r="A8631" s="2" t="str">
        <f ca="1">IFERROR(__xludf.DUMMYFUNCTION("""COMPUTED_VALUE"""),"Sharjah")</f>
        <v>Sharjah</v>
      </c>
      <c r="B8631" s="2" t="str">
        <f ca="1">IFERROR(__xludf.DUMMYFUNCTION("""COMPUTED_VALUE"""),"The Boulevard 2")</f>
        <v>The Boulevard 2</v>
      </c>
      <c r="C8631" s="2" t="str">
        <f ca="1">IFERROR(__xludf.DUMMYFUNCTION("""COMPUTED_VALUE"""),"Building")</f>
        <v>Building</v>
      </c>
      <c r="D8631" s="2" t="str">
        <f ca="1">IFERROR(__xludf.DUMMYFUNCTION("""COMPUTED_VALUE"""),"Sharjah&gt;Aljada&gt;Naseej District&gt;The Boulevard&gt;The Boulevard 2")</f>
        <v>Sharjah&gt;Aljada&gt;Naseej District&gt;The Boulevard&gt;The Boulevard 2</v>
      </c>
      <c r="E8631" s="2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</row>
    <row r="8632" spans="1:26" ht="16.5" x14ac:dyDescent="0.35">
      <c r="A8632" s="2" t="str">
        <f ca="1">IFERROR(__xludf.DUMMYFUNCTION("""COMPUTED_VALUE"""),"Sharjah")</f>
        <v>Sharjah</v>
      </c>
      <c r="B8632" s="2" t="str">
        <f ca="1">IFERROR(__xludf.DUMMYFUNCTION("""COMPUTED_VALUE"""),"Nesba")</f>
        <v>Nesba</v>
      </c>
      <c r="C8632" s="2" t="str">
        <f ca="1">IFERROR(__xludf.DUMMYFUNCTION("""COMPUTED_VALUE"""),"Cluster")</f>
        <v>Cluster</v>
      </c>
      <c r="D8632" s="2" t="str">
        <f ca="1">IFERROR(__xludf.DUMMYFUNCTION("""COMPUTED_VALUE"""),"Sharjah&gt;Aljada&gt;Nesba")</f>
        <v>Sharjah&gt;Aljada&gt;Nesba</v>
      </c>
      <c r="E8632" s="2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</row>
    <row r="8633" spans="1:26" ht="16.5" x14ac:dyDescent="0.35">
      <c r="A8633" s="2" t="str">
        <f ca="1">IFERROR(__xludf.DUMMYFUNCTION("""COMPUTED_VALUE"""),"Sharjah")</f>
        <v>Sharjah</v>
      </c>
      <c r="B8633" s="2" t="str">
        <f ca="1">IFERROR(__xludf.DUMMYFUNCTION("""COMPUTED_VALUE"""),"Lollipop Nursery")</f>
        <v>Lollipop Nursery</v>
      </c>
      <c r="C8633" s="2" t="str">
        <f ca="1">IFERROR(__xludf.DUMMYFUNCTION("""COMPUTED_VALUE"""),"Nursery")</f>
        <v>Nursery</v>
      </c>
      <c r="D8633" s="2" t="str">
        <f ca="1">IFERROR(__xludf.DUMMYFUNCTION("""COMPUTED_VALUE"""),"Sharjah&gt;Al Rifah&gt;Lollipop Nursery")</f>
        <v>Sharjah&gt;Al Rifah&gt;Lollipop Nursery</v>
      </c>
      <c r="E8633" s="2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</row>
    <row r="8634" spans="1:26" ht="16.5" x14ac:dyDescent="0.35">
      <c r="A8634" s="2" t="str">
        <f ca="1">IFERROR(__xludf.DUMMYFUNCTION("""COMPUTED_VALUE"""),"Sharjah")</f>
        <v>Sharjah</v>
      </c>
      <c r="B8634" s="2" t="str">
        <f ca="1">IFERROR(__xludf.DUMMYFUNCTION("""COMPUTED_VALUE"""),"Al Jaryam Omran Building")</f>
        <v>Al Jaryam Omran Building</v>
      </c>
      <c r="C8634" s="2"/>
      <c r="D8634" s="2" t="str">
        <f ca="1">IFERROR(__xludf.DUMMYFUNCTION("""COMPUTED_VALUE"""),"Sharjah&gt;Abu Shagara&gt;Al Jaryam Omran Building")</f>
        <v>Sharjah&gt;Abu Shagara&gt;Al Jaryam Omran Building</v>
      </c>
      <c r="E8634" s="2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</row>
    <row r="8635" spans="1:26" ht="16.5" x14ac:dyDescent="0.35">
      <c r="A8635" s="2" t="str">
        <f ca="1">IFERROR(__xludf.DUMMYFUNCTION("""COMPUTED_VALUE"""),"Sharjah")</f>
        <v>Sharjah</v>
      </c>
      <c r="B8635" s="2" t="str">
        <f ca="1">IFERROR(__xludf.DUMMYFUNCTION("""COMPUTED_VALUE"""),"Lagoon Tower")</f>
        <v>Lagoon Tower</v>
      </c>
      <c r="C8635" s="2"/>
      <c r="D8635" s="2" t="str">
        <f ca="1">IFERROR(__xludf.DUMMYFUNCTION("""COMPUTED_VALUE"""),"Sharjah&gt;Al Mamzar&gt;Lagoon Tower")</f>
        <v>Sharjah&gt;Al Mamzar&gt;Lagoon Tower</v>
      </c>
      <c r="E8635" s="2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</row>
    <row r="8636" spans="1:26" ht="16.5" x14ac:dyDescent="0.35">
      <c r="A8636" s="2" t="str">
        <f ca="1">IFERROR(__xludf.DUMMYFUNCTION("""COMPUTED_VALUE"""),"Sharjah")</f>
        <v>Sharjah</v>
      </c>
      <c r="B8636" s="2" t="str">
        <f ca="1">IFERROR(__xludf.DUMMYFUNCTION("""COMPUTED_VALUE"""),"Abdulla Ahmad Building")</f>
        <v>Abdulla Ahmad Building</v>
      </c>
      <c r="C8636" s="2"/>
      <c r="D8636" s="2" t="str">
        <f ca="1">IFERROR(__xludf.DUMMYFUNCTION("""COMPUTED_VALUE"""),"Sharjah&gt;Al Jubail&gt;Abdulla Ahmad Building")</f>
        <v>Sharjah&gt;Al Jubail&gt;Abdulla Ahmad Building</v>
      </c>
      <c r="E8636" s="2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</row>
    <row r="8637" spans="1:26" ht="16.5" x14ac:dyDescent="0.35">
      <c r="A8637" s="2" t="str">
        <f ca="1">IFERROR(__xludf.DUMMYFUNCTION("""COMPUTED_VALUE"""),"Sharjah")</f>
        <v>Sharjah</v>
      </c>
      <c r="B8637" s="2" t="str">
        <f ca="1">IFERROR(__xludf.DUMMYFUNCTION("""COMPUTED_VALUE"""),"Almass Villas")</f>
        <v>Almass Villas</v>
      </c>
      <c r="C8637" s="2"/>
      <c r="D8637" s="2" t="str">
        <f ca="1">IFERROR(__xludf.DUMMYFUNCTION("""COMPUTED_VALUE"""),"Sharjah&gt;Tilal City&gt;Almass Villas")</f>
        <v>Sharjah&gt;Tilal City&gt;Almass Villas</v>
      </c>
      <c r="E8637" s="2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</row>
    <row r="8638" spans="1:26" ht="16.5" x14ac:dyDescent="0.35">
      <c r="A8638" s="2" t="str">
        <f ca="1">IFERROR(__xludf.DUMMYFUNCTION("""COMPUTED_VALUE"""),"Sharjah")</f>
        <v>Sharjah</v>
      </c>
      <c r="B8638" s="2" t="str">
        <f ca="1">IFERROR(__xludf.DUMMYFUNCTION("""COMPUTED_VALUE"""),"The Grand Avenue")</f>
        <v>The Grand Avenue</v>
      </c>
      <c r="C8638" s="2" t="str">
        <f ca="1">IFERROR(__xludf.DUMMYFUNCTION("""COMPUTED_VALUE"""),"Building")</f>
        <v>Building</v>
      </c>
      <c r="D8638" s="2" t="str">
        <f ca="1">IFERROR(__xludf.DUMMYFUNCTION("""COMPUTED_VALUE"""),"Sharjah&gt;Al Nasserya&gt;The Grand Avenue")</f>
        <v>Sharjah&gt;Al Nasserya&gt;The Grand Avenue</v>
      </c>
      <c r="E8638" s="2"/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</row>
    <row r="8639" spans="1:26" ht="16.5" x14ac:dyDescent="0.35">
      <c r="A8639" s="2" t="str">
        <f ca="1">IFERROR(__xludf.DUMMYFUNCTION("""COMPUTED_VALUE"""),"Sharjah")</f>
        <v>Sharjah</v>
      </c>
      <c r="B8639" s="2" t="str">
        <f ca="1">IFERROR(__xludf.DUMMYFUNCTION("""COMPUTED_VALUE"""),"Mostafawi")</f>
        <v>Mostafawi</v>
      </c>
      <c r="C8639" s="2"/>
      <c r="D8639" s="2" t="str">
        <f ca="1">IFERROR(__xludf.DUMMYFUNCTION("""COMPUTED_VALUE"""),"Sharjah&gt;Al Musalla&gt;Mostafawi")</f>
        <v>Sharjah&gt;Al Musalla&gt;Mostafawi</v>
      </c>
      <c r="E8639" s="2"/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</row>
    <row r="8640" spans="1:26" ht="16.5" x14ac:dyDescent="0.35">
      <c r="A8640" s="2" t="str">
        <f ca="1">IFERROR(__xludf.DUMMYFUNCTION("""COMPUTED_VALUE"""),"Sharjah")</f>
        <v>Sharjah</v>
      </c>
      <c r="B8640" s="2" t="str">
        <f ca="1">IFERROR(__xludf.DUMMYFUNCTION("""COMPUTED_VALUE"""),"The Emirates National School Sharjah")</f>
        <v>The Emirates National School Sharjah</v>
      </c>
      <c r="C8640" s="2" t="str">
        <f ca="1">IFERROR(__xludf.DUMMYFUNCTION("""COMPUTED_VALUE"""),"School")</f>
        <v>School</v>
      </c>
      <c r="D8640" s="2" t="str">
        <f ca="1">IFERROR(__xludf.DUMMYFUNCTION("""COMPUTED_VALUE"""),"Sharjah&gt;Al Nekhailat&gt;The Emirates National School Sharjah")</f>
        <v>Sharjah&gt;Al Nekhailat&gt;The Emirates National School Sharjah</v>
      </c>
      <c r="E8640" s="2"/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</row>
    <row r="8641" spans="1:26" ht="16.5" x14ac:dyDescent="0.35">
      <c r="A8641" s="2" t="str">
        <f ca="1">IFERROR(__xludf.DUMMYFUNCTION("""COMPUTED_VALUE"""),"Sharjah")</f>
        <v>Sharjah</v>
      </c>
      <c r="B8641" s="2" t="str">
        <f ca="1">IFERROR(__xludf.DUMMYFUNCTION("""COMPUTED_VALUE"""),"Sewa Building")</f>
        <v>Sewa Building</v>
      </c>
      <c r="C8641" s="2"/>
      <c r="D8641" s="2" t="str">
        <f ca="1">IFERROR(__xludf.DUMMYFUNCTION("""COMPUTED_VALUE"""),"Sharjah&gt;Al Mareija&gt;Sewa Building")</f>
        <v>Sharjah&gt;Al Mareija&gt;Sewa Building</v>
      </c>
      <c r="E8641" s="2"/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</row>
    <row r="8642" spans="1:26" ht="16.5" x14ac:dyDescent="0.35">
      <c r="A8642" s="2" t="str">
        <f ca="1">IFERROR(__xludf.DUMMYFUNCTION("""COMPUTED_VALUE"""),"Sharjah")</f>
        <v>Sharjah</v>
      </c>
      <c r="B8642" s="2" t="str">
        <f ca="1">IFERROR(__xludf.DUMMYFUNCTION("""COMPUTED_VALUE"""),"Blue Beach Residence")</f>
        <v>Blue Beach Residence</v>
      </c>
      <c r="C8642" s="2" t="str">
        <f ca="1">IFERROR(__xludf.DUMMYFUNCTION("""COMPUTED_VALUE"""),"Building")</f>
        <v>Building</v>
      </c>
      <c r="D8642" s="2" t="str">
        <f ca="1">IFERROR(__xludf.DUMMYFUNCTION("""COMPUTED_VALUE"""),"Sharjah&gt;Ajmal Makan City - Sharjah Waterfront&gt;Blue Beach Residence")</f>
        <v>Sharjah&gt;Ajmal Makan City - Sharjah Waterfront&gt;Blue Beach Residence</v>
      </c>
      <c r="E8642" s="2"/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W8642" s="2"/>
      <c r="X8642" s="2"/>
      <c r="Y8642" s="2"/>
      <c r="Z8642" s="2"/>
    </row>
    <row r="8643" spans="1:26" ht="16.5" x14ac:dyDescent="0.35">
      <c r="A8643" s="2" t="str">
        <f ca="1">IFERROR(__xludf.DUMMYFUNCTION("""COMPUTED_VALUE"""),"Sharjah")</f>
        <v>Sharjah</v>
      </c>
      <c r="B8643" s="2" t="str">
        <f ca="1">IFERROR(__xludf.DUMMYFUNCTION("""COMPUTED_VALUE"""),"Al Zarooni Building")</f>
        <v>Al Zarooni Building</v>
      </c>
      <c r="C8643" s="2" t="str">
        <f ca="1">IFERROR(__xludf.DUMMYFUNCTION("""COMPUTED_VALUE"""),"Building")</f>
        <v>Building</v>
      </c>
      <c r="D8643" s="2" t="str">
        <f ca="1">IFERROR(__xludf.DUMMYFUNCTION("""COMPUTED_VALUE"""),"Sharjah&gt;Al Mahatah&gt;Al Zarooni Building")</f>
        <v>Sharjah&gt;Al Mahatah&gt;Al Zarooni Building</v>
      </c>
      <c r="E8643" s="2"/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</row>
    <row r="8644" spans="1:26" ht="16.5" x14ac:dyDescent="0.35">
      <c r="A8644" s="2" t="str">
        <f ca="1">IFERROR(__xludf.DUMMYFUNCTION("""COMPUTED_VALUE"""),"Sharjah")</f>
        <v>Sharjah</v>
      </c>
      <c r="B8644" s="2" t="str">
        <f ca="1">IFERROR(__xludf.DUMMYFUNCTION("""COMPUTED_VALUE"""),"Pearl Tower")</f>
        <v>Pearl Tower</v>
      </c>
      <c r="C8644" s="2" t="str">
        <f ca="1">IFERROR(__xludf.DUMMYFUNCTION("""COMPUTED_VALUE"""),"Building")</f>
        <v>Building</v>
      </c>
      <c r="D8644" s="2" t="str">
        <f ca="1">IFERROR(__xludf.DUMMYFUNCTION("""COMPUTED_VALUE"""),"Sharjah&gt;Al Khan&gt;Pearl Tower")</f>
        <v>Sharjah&gt;Al Khan&gt;Pearl Tower</v>
      </c>
      <c r="E8644" s="2"/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</row>
    <row r="8645" spans="1:26" ht="16.5" x14ac:dyDescent="0.35">
      <c r="A8645" s="2" t="str">
        <f ca="1">IFERROR(__xludf.DUMMYFUNCTION("""COMPUTED_VALUE"""),"Sharjah")</f>
        <v>Sharjah</v>
      </c>
      <c r="B8645" s="2" t="str">
        <f ca="1">IFERROR(__xludf.DUMMYFUNCTION("""COMPUTED_VALUE"""),"Future Tower")</f>
        <v>Future Tower</v>
      </c>
      <c r="C8645" s="2" t="str">
        <f ca="1">IFERROR(__xludf.DUMMYFUNCTION("""COMPUTED_VALUE"""),"Cluster")</f>
        <v>Cluster</v>
      </c>
      <c r="D8645" s="2" t="str">
        <f ca="1">IFERROR(__xludf.DUMMYFUNCTION("""COMPUTED_VALUE"""),"Sharjah&gt;Al Khan&gt;Future Tower")</f>
        <v>Sharjah&gt;Al Khan&gt;Future Tower</v>
      </c>
      <c r="E8645" s="2"/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</row>
    <row r="8646" spans="1:26" ht="16.5" x14ac:dyDescent="0.35">
      <c r="A8646" s="2" t="str">
        <f ca="1">IFERROR(__xludf.DUMMYFUNCTION("""COMPUTED_VALUE"""),"Sharjah")</f>
        <v>Sharjah</v>
      </c>
      <c r="B8646" s="2" t="str">
        <f ca="1">IFERROR(__xludf.DUMMYFUNCTION("""COMPUTED_VALUE"""),"Jawaher Residences 1")</f>
        <v>Jawaher Residences 1</v>
      </c>
      <c r="C8646" s="2" t="str">
        <f ca="1">IFERROR(__xludf.DUMMYFUNCTION("""COMPUTED_VALUE"""),"Building")</f>
        <v>Building</v>
      </c>
      <c r="D8646" s="2" t="str">
        <f ca="1">IFERROR(__xludf.DUMMYFUNCTION("""COMPUTED_VALUE"""),"Sharjah&gt;Al Khan&gt;Maryam Island&gt;Jawaher Residences&gt;Jawaher Residences 1")</f>
        <v>Sharjah&gt;Al Khan&gt;Maryam Island&gt;Jawaher Residences&gt;Jawaher Residences 1</v>
      </c>
      <c r="E8646" s="2"/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</row>
    <row r="8647" spans="1:26" ht="16.5" x14ac:dyDescent="0.35">
      <c r="A8647" s="2" t="str">
        <f ca="1">IFERROR(__xludf.DUMMYFUNCTION("""COMPUTED_VALUE"""),"Sharjah")</f>
        <v>Sharjah</v>
      </c>
      <c r="B8647" s="2" t="str">
        <f ca="1">IFERROR(__xludf.DUMMYFUNCTION("""COMPUTED_VALUE"""),"Dalmok Tower")</f>
        <v>Dalmok Tower</v>
      </c>
      <c r="C8647" s="2"/>
      <c r="D8647" s="2" t="str">
        <f ca="1">IFERROR(__xludf.DUMMYFUNCTION("""COMPUTED_VALUE"""),"Sharjah&gt;Al Khan&gt;Dalmok Tower")</f>
        <v>Sharjah&gt;Al Khan&gt;Dalmok Tower</v>
      </c>
      <c r="E8647" s="2"/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</row>
    <row r="8648" spans="1:26" ht="16.5" x14ac:dyDescent="0.35">
      <c r="A8648" s="2" t="str">
        <f ca="1">IFERROR(__xludf.DUMMYFUNCTION("""COMPUTED_VALUE"""),"Sharjah")</f>
        <v>Sharjah</v>
      </c>
      <c r="B8648" s="2" t="str">
        <f ca="1">IFERROR(__xludf.DUMMYFUNCTION("""COMPUTED_VALUE"""),"Al Maha Tower")</f>
        <v>Al Maha Tower</v>
      </c>
      <c r="C8648" s="2" t="str">
        <f ca="1">IFERROR(__xludf.DUMMYFUNCTION("""COMPUTED_VALUE"""),"Building")</f>
        <v>Building</v>
      </c>
      <c r="D8648" s="2" t="str">
        <f ca="1">IFERROR(__xludf.DUMMYFUNCTION("""COMPUTED_VALUE"""),"Sharjah&gt;Al Majaz&gt;Al Majaz 2&gt;Al Maha Tower")</f>
        <v>Sharjah&gt;Al Majaz&gt;Al Majaz 2&gt;Al Maha Tower</v>
      </c>
      <c r="E8648" s="2"/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</row>
    <row r="8649" spans="1:26" ht="16.5" x14ac:dyDescent="0.35">
      <c r="A8649" s="2" t="str">
        <f ca="1">IFERROR(__xludf.DUMMYFUNCTION("""COMPUTED_VALUE"""),"Sharjah")</f>
        <v>Sharjah</v>
      </c>
      <c r="B8649" s="2" t="str">
        <f ca="1">IFERROR(__xludf.DUMMYFUNCTION("""COMPUTED_VALUE"""),"Al Yousuf Tower")</f>
        <v>Al Yousuf Tower</v>
      </c>
      <c r="C8649" s="2"/>
      <c r="D8649" s="2" t="str">
        <f ca="1">IFERROR(__xludf.DUMMYFUNCTION("""COMPUTED_VALUE"""),"Sharjah&gt;Al Majaz&gt;Al Majaz 2&gt;Al Yousuf Tower")</f>
        <v>Sharjah&gt;Al Majaz&gt;Al Majaz 2&gt;Al Yousuf Tower</v>
      </c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</row>
    <row r="8650" spans="1:26" ht="16.5" x14ac:dyDescent="0.35">
      <c r="A8650" s="2" t="str">
        <f ca="1">IFERROR(__xludf.DUMMYFUNCTION("""COMPUTED_VALUE"""),"Sharjah")</f>
        <v>Sharjah</v>
      </c>
      <c r="B8650" s="2" t="str">
        <f ca="1">IFERROR(__xludf.DUMMYFUNCTION("""COMPUTED_VALUE"""),"Al Shamsi 1 Building")</f>
        <v>Al Shamsi 1 Building</v>
      </c>
      <c r="C8650" s="2"/>
      <c r="D8650" s="2" t="str">
        <f ca="1">IFERROR(__xludf.DUMMYFUNCTION("""COMPUTED_VALUE"""),"Sharjah&gt;Al Majaz&gt;Al Majaz 2&gt;Al Shamsi 1 Building")</f>
        <v>Sharjah&gt;Al Majaz&gt;Al Majaz 2&gt;Al Shamsi 1 Building</v>
      </c>
      <c r="E8650" s="2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</row>
    <row r="8651" spans="1:26" ht="16.5" x14ac:dyDescent="0.35">
      <c r="A8651" s="2" t="str">
        <f ca="1">IFERROR(__xludf.DUMMYFUNCTION("""COMPUTED_VALUE"""),"Sharjah")</f>
        <v>Sharjah</v>
      </c>
      <c r="B8651" s="2" t="str">
        <f ca="1">IFERROR(__xludf.DUMMYFUNCTION("""COMPUTED_VALUE"""),"Al Khan Residence")</f>
        <v>Al Khan Residence</v>
      </c>
      <c r="C8651" s="2"/>
      <c r="D8651" s="2" t="str">
        <f ca="1">IFERROR(__xludf.DUMMYFUNCTION("""COMPUTED_VALUE"""),"Sharjah&gt;Al Majaz&gt;Al Majaz 3&gt;Al Khan Residence")</f>
        <v>Sharjah&gt;Al Majaz&gt;Al Majaz 3&gt;Al Khan Residence</v>
      </c>
      <c r="E8651" s="2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</row>
    <row r="8652" spans="1:26" ht="16.5" x14ac:dyDescent="0.35">
      <c r="A8652" s="2" t="str">
        <f ca="1">IFERROR(__xludf.DUMMYFUNCTION("""COMPUTED_VALUE"""),"Sharjah")</f>
        <v>Sharjah</v>
      </c>
      <c r="B8652" s="2" t="str">
        <f ca="1">IFERROR(__xludf.DUMMYFUNCTION("""COMPUTED_VALUE"""),"Damas 14")</f>
        <v>Damas 14</v>
      </c>
      <c r="C8652" s="2"/>
      <c r="D8652" s="2" t="str">
        <f ca="1">IFERROR(__xludf.DUMMYFUNCTION("""COMPUTED_VALUE"""),"Sharjah&gt;Al Majaz&gt;Al Majaz 3&gt;Damas 14")</f>
        <v>Sharjah&gt;Al Majaz&gt;Al Majaz 3&gt;Damas 14</v>
      </c>
      <c r="E8652" s="2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</row>
    <row r="8653" spans="1:26" ht="16.5" x14ac:dyDescent="0.35">
      <c r="A8653" s="2" t="str">
        <f ca="1">IFERROR(__xludf.DUMMYFUNCTION("""COMPUTED_VALUE"""),"Sharjah")</f>
        <v>Sharjah</v>
      </c>
      <c r="B8653" s="2" t="str">
        <f ca="1">IFERROR(__xludf.DUMMYFUNCTION("""COMPUTED_VALUE"""),"Al Majaz 1")</f>
        <v>Al Majaz 1</v>
      </c>
      <c r="C8653" s="2" t="str">
        <f ca="1">IFERROR(__xludf.DUMMYFUNCTION("""COMPUTED_VALUE"""),"Neighbourhood")</f>
        <v>Neighbourhood</v>
      </c>
      <c r="D8653" s="2" t="str">
        <f ca="1">IFERROR(__xludf.DUMMYFUNCTION("""COMPUTED_VALUE"""),"Sharjah&gt;Al Majaz&gt;Al Majaz 1")</f>
        <v>Sharjah&gt;Al Majaz&gt;Al Majaz 1</v>
      </c>
      <c r="E8653" s="2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W8653" s="2"/>
      <c r="X8653" s="2"/>
      <c r="Y8653" s="2"/>
      <c r="Z8653" s="2"/>
    </row>
    <row r="8654" spans="1:26" ht="16.5" x14ac:dyDescent="0.35">
      <c r="A8654" s="2" t="str">
        <f ca="1">IFERROR(__xludf.DUMMYFUNCTION("""COMPUTED_VALUE"""),"Sharjah")</f>
        <v>Sharjah</v>
      </c>
      <c r="B8654" s="2" t="str">
        <f ca="1">IFERROR(__xludf.DUMMYFUNCTION("""COMPUTED_VALUE"""),"Saleem Jalad Tower")</f>
        <v>Saleem Jalad Tower</v>
      </c>
      <c r="C8654" s="2"/>
      <c r="D8654" s="2" t="str">
        <f ca="1">IFERROR(__xludf.DUMMYFUNCTION("""COMPUTED_VALUE"""),"Sharjah&gt;Al Majaz&gt;Al Majaz 1&gt;Saleem Jalad Tower")</f>
        <v>Sharjah&gt;Al Majaz&gt;Al Majaz 1&gt;Saleem Jalad Tower</v>
      </c>
      <c r="E8654" s="2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W8654" s="2"/>
      <c r="X8654" s="2"/>
      <c r="Y8654" s="2"/>
      <c r="Z8654" s="2"/>
    </row>
    <row r="8655" spans="1:26" ht="16.5" x14ac:dyDescent="0.35">
      <c r="A8655" s="2" t="str">
        <f ca="1">IFERROR(__xludf.DUMMYFUNCTION("""COMPUTED_VALUE"""),"Sharjah")</f>
        <v>Sharjah</v>
      </c>
      <c r="B8655" s="2" t="str">
        <f ca="1">IFERROR(__xludf.DUMMYFUNCTION("""COMPUTED_VALUE"""),"Al Taawun")</f>
        <v>Al Taawun</v>
      </c>
      <c r="C8655" s="2" t="str">
        <f ca="1">IFERROR(__xludf.DUMMYFUNCTION("""COMPUTED_VALUE"""),"Neighbourhood")</f>
        <v>Neighbourhood</v>
      </c>
      <c r="D8655" s="2" t="str">
        <f ca="1">IFERROR(__xludf.DUMMYFUNCTION("""COMPUTED_VALUE"""),"Sharjah&gt;Al Taawun")</f>
        <v>Sharjah&gt;Al Taawun</v>
      </c>
      <c r="E8655" s="2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W8655" s="2"/>
      <c r="X8655" s="2"/>
      <c r="Y8655" s="2"/>
      <c r="Z8655" s="2"/>
    </row>
    <row r="8656" spans="1:26" ht="16.5" x14ac:dyDescent="0.35">
      <c r="A8656" s="2" t="str">
        <f ca="1">IFERROR(__xludf.DUMMYFUNCTION("""COMPUTED_VALUE"""),"Sharjah")</f>
        <v>Sharjah</v>
      </c>
      <c r="B8656" s="2" t="str">
        <f ca="1">IFERROR(__xludf.DUMMYFUNCTION("""COMPUTED_VALUE"""),"Saeed Al Alami Building")</f>
        <v>Saeed Al Alami Building</v>
      </c>
      <c r="C8656" s="2"/>
      <c r="D8656" s="2" t="str">
        <f ca="1">IFERROR(__xludf.DUMMYFUNCTION("""COMPUTED_VALUE"""),"Sharjah&gt;Al Taawun&gt;Saeed Al Alami Building")</f>
        <v>Sharjah&gt;Al Taawun&gt;Saeed Al Alami Building</v>
      </c>
      <c r="E8656" s="2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</row>
    <row r="8657" spans="1:26" ht="16.5" x14ac:dyDescent="0.35">
      <c r="A8657" s="2" t="str">
        <f ca="1">IFERROR(__xludf.DUMMYFUNCTION("""COMPUTED_VALUE"""),"Sharjah")</f>
        <v>Sharjah</v>
      </c>
      <c r="B8657" s="2" t="str">
        <f ca="1">IFERROR(__xludf.DUMMYFUNCTION("""COMPUTED_VALUE"""),"Cluttons A")</f>
        <v>Cluttons A</v>
      </c>
      <c r="C8657" s="2"/>
      <c r="D8657" s="2" t="str">
        <f ca="1">IFERROR(__xludf.DUMMYFUNCTION("""COMPUTED_VALUE"""),"Sharjah&gt;Al Qasimia&gt;Al Nad&gt;Cluttons A")</f>
        <v>Sharjah&gt;Al Qasimia&gt;Al Nad&gt;Cluttons A</v>
      </c>
      <c r="E8657" s="2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</row>
    <row r="8658" spans="1:26" ht="16.5" x14ac:dyDescent="0.35">
      <c r="A8658" s="2" t="str">
        <f ca="1">IFERROR(__xludf.DUMMYFUNCTION("""COMPUTED_VALUE"""),"Sharjah")</f>
        <v>Sharjah</v>
      </c>
      <c r="B8658" s="2" t="str">
        <f ca="1">IFERROR(__xludf.DUMMYFUNCTION("""COMPUTED_VALUE"""),"Al Mattar Tower")</f>
        <v>Al Mattar Tower</v>
      </c>
      <c r="C8658" s="2" t="str">
        <f ca="1">IFERROR(__xludf.DUMMYFUNCTION("""COMPUTED_VALUE"""),"Building")</f>
        <v>Building</v>
      </c>
      <c r="D8658" s="2" t="str">
        <f ca="1">IFERROR(__xludf.DUMMYFUNCTION("""COMPUTED_VALUE"""),"Sharjah&gt;Al Qasimia&gt;Al Nad&gt;Al Mattar Tower")</f>
        <v>Sharjah&gt;Al Qasimia&gt;Al Nad&gt;Al Mattar Tower</v>
      </c>
      <c r="E8658" s="2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</row>
    <row r="8659" spans="1:26" ht="16.5" x14ac:dyDescent="0.35">
      <c r="A8659" s="2" t="str">
        <f ca="1">IFERROR(__xludf.DUMMYFUNCTION("""COMPUTED_VALUE"""),"Sharjah")</f>
        <v>Sharjah</v>
      </c>
      <c r="B8659" s="2" t="str">
        <f ca="1">IFERROR(__xludf.DUMMYFUNCTION("""COMPUTED_VALUE"""),"MS International Building")</f>
        <v>MS International Building</v>
      </c>
      <c r="C8659" s="2"/>
      <c r="D8659" s="2" t="str">
        <f ca="1">IFERROR(__xludf.DUMMYFUNCTION("""COMPUTED_VALUE"""),"Sharjah&gt;Al Qasimia&gt;Al Nad&gt;MS International Building")</f>
        <v>Sharjah&gt;Al Qasimia&gt;Al Nad&gt;MS International Building</v>
      </c>
      <c r="E8659" s="2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W8659" s="2"/>
      <c r="X8659" s="2"/>
      <c r="Y8659" s="2"/>
      <c r="Z8659" s="2"/>
    </row>
    <row r="8660" spans="1:26" ht="16.5" x14ac:dyDescent="0.35">
      <c r="A8660" s="2" t="str">
        <f ca="1">IFERROR(__xludf.DUMMYFUNCTION("""COMPUTED_VALUE"""),"Sharjah")</f>
        <v>Sharjah</v>
      </c>
      <c r="B8660" s="2" t="str">
        <f ca="1">IFERROR(__xludf.DUMMYFUNCTION("""COMPUTED_VALUE"""),"Al Manara Tower")</f>
        <v>Al Manara Tower</v>
      </c>
      <c r="C8660" s="2" t="str">
        <f ca="1">IFERROR(__xludf.DUMMYFUNCTION("""COMPUTED_VALUE"""),"Building")</f>
        <v>Building</v>
      </c>
      <c r="D8660" s="2" t="str">
        <f ca="1">IFERROR(__xludf.DUMMYFUNCTION("""COMPUTED_VALUE"""),"Sharjah&gt;Al Qasimia&gt;Al Manara Tower")</f>
        <v>Sharjah&gt;Al Qasimia&gt;Al Manara Tower</v>
      </c>
      <c r="E8660" s="2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W8660" s="2"/>
      <c r="X8660" s="2"/>
      <c r="Y8660" s="2"/>
      <c r="Z8660" s="2"/>
    </row>
    <row r="8661" spans="1:26" ht="16.5" x14ac:dyDescent="0.35">
      <c r="A8661" s="2" t="str">
        <f ca="1">IFERROR(__xludf.DUMMYFUNCTION("""COMPUTED_VALUE"""),"Sharjah")</f>
        <v>Sharjah</v>
      </c>
      <c r="B8661" s="2" t="str">
        <f ca="1">IFERROR(__xludf.DUMMYFUNCTION("""COMPUTED_VALUE"""),"Burj Al Dyar Hotel Apartments")</f>
        <v>Burj Al Dyar Hotel Apartments</v>
      </c>
      <c r="C8661" s="2"/>
      <c r="D8661" s="2" t="str">
        <f ca="1">IFERROR(__xludf.DUMMYFUNCTION("""COMPUTED_VALUE"""),"Sharjah&gt;Al Nabba&gt;Burj Al Dyar Hotel Apartments")</f>
        <v>Sharjah&gt;Al Nabba&gt;Burj Al Dyar Hotel Apartments</v>
      </c>
      <c r="E8661" s="2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W8661" s="2"/>
      <c r="X8661" s="2"/>
      <c r="Y8661" s="2"/>
      <c r="Z8661" s="2"/>
    </row>
    <row r="8662" spans="1:26" ht="16.5" x14ac:dyDescent="0.35">
      <c r="A8662" s="2" t="str">
        <f ca="1">IFERROR(__xludf.DUMMYFUNCTION("""COMPUTED_VALUE"""),"Sharjah")</f>
        <v>Sharjah</v>
      </c>
      <c r="B8662" s="2" t="str">
        <f ca="1">IFERROR(__xludf.DUMMYFUNCTION("""COMPUTED_VALUE"""),"American School of Creative Science")</f>
        <v>American School of Creative Science</v>
      </c>
      <c r="C8662" s="2" t="str">
        <f ca="1">IFERROR(__xludf.DUMMYFUNCTION("""COMPUTED_VALUE"""),"School")</f>
        <v>School</v>
      </c>
      <c r="D8662" s="2" t="str">
        <f ca="1">IFERROR(__xludf.DUMMYFUNCTION("""COMPUTED_VALUE"""),"Sharjah&gt;Industrial Area&gt;Industrial Area 18&gt;American School of Creative Science")</f>
        <v>Sharjah&gt;Industrial Area&gt;Industrial Area 18&gt;American School of Creative Science</v>
      </c>
      <c r="E8662" s="2"/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</row>
    <row r="8663" spans="1:26" ht="16.5" x14ac:dyDescent="0.35">
      <c r="A8663" s="2" t="str">
        <f ca="1">IFERROR(__xludf.DUMMYFUNCTION("""COMPUTED_VALUE"""),"Sharjah")</f>
        <v>Sharjah</v>
      </c>
      <c r="B8663" s="2" t="str">
        <f ca="1">IFERROR(__xludf.DUMMYFUNCTION("""COMPUTED_VALUE"""),"SS 2")</f>
        <v>SS 2</v>
      </c>
      <c r="C8663" s="2" t="str">
        <f ca="1">IFERROR(__xludf.DUMMYFUNCTION("""COMPUTED_VALUE"""),"Building")</f>
        <v>Building</v>
      </c>
      <c r="D8663" s="2" t="str">
        <f ca="1">IFERROR(__xludf.DUMMYFUNCTION("""COMPUTED_VALUE"""),"Sharjah&gt;Muwaileh&gt;Al Mamsha&gt;Souks Residential&gt;SS 2")</f>
        <v>Sharjah&gt;Muwaileh&gt;Al Mamsha&gt;Souks Residential&gt;SS 2</v>
      </c>
      <c r="E8663" s="2"/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</row>
    <row r="8664" spans="1:26" ht="16.5" x14ac:dyDescent="0.35">
      <c r="A8664" s="2" t="str">
        <f ca="1">IFERROR(__xludf.DUMMYFUNCTION("""COMPUTED_VALUE"""),"Sharjah")</f>
        <v>Sharjah</v>
      </c>
      <c r="B8664" s="2" t="str">
        <f ca="1">IFERROR(__xludf.DUMMYFUNCTION("""COMPUTED_VALUE"""),"Darb 2")</f>
        <v>Darb 2</v>
      </c>
      <c r="C8664" s="2" t="str">
        <f ca="1">IFERROR(__xludf.DUMMYFUNCTION("""COMPUTED_VALUE"""),"Building")</f>
        <v>Building</v>
      </c>
      <c r="D8664" s="2" t="str">
        <f ca="1">IFERROR(__xludf.DUMMYFUNCTION("""COMPUTED_VALUE"""),"Sharjah&gt;Muwaileh&gt;Al Mamsha&gt;Raseel&gt;Darb 2")</f>
        <v>Sharjah&gt;Muwaileh&gt;Al Mamsha&gt;Raseel&gt;Darb 2</v>
      </c>
      <c r="E8664" s="2"/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</row>
    <row r="8665" spans="1:26" ht="16.5" x14ac:dyDescent="0.35">
      <c r="A8665" s="2" t="str">
        <f ca="1">IFERROR(__xludf.DUMMYFUNCTION("""COMPUTED_VALUE"""),"Sharjah")</f>
        <v>Sharjah</v>
      </c>
      <c r="B8665" s="2" t="str">
        <f ca="1">IFERROR(__xludf.DUMMYFUNCTION("""COMPUTED_VALUE"""),"Garden Apartment Block A")</f>
        <v>Garden Apartment Block A</v>
      </c>
      <c r="C8665" s="2" t="str">
        <f ca="1">IFERROR(__xludf.DUMMYFUNCTION("""COMPUTED_VALUE"""),"Building")</f>
        <v>Building</v>
      </c>
      <c r="D8665" s="2" t="str">
        <f ca="1">IFERROR(__xludf.DUMMYFUNCTION("""COMPUTED_VALUE"""),"Sharjah&gt;Muwaileh&gt;Al Zahia&gt;Al Zahia Garden Apartments&gt;Garden Apartment Block A")</f>
        <v>Sharjah&gt;Muwaileh&gt;Al Zahia&gt;Al Zahia Garden Apartments&gt;Garden Apartment Block A</v>
      </c>
      <c r="E8665" s="2"/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</row>
    <row r="8666" spans="1:26" ht="16.5" x14ac:dyDescent="0.35">
      <c r="A8666" s="2" t="str">
        <f ca="1">IFERROR(__xludf.DUMMYFUNCTION("""COMPUTED_VALUE"""),"Sharjah")</f>
        <v>Sharjah</v>
      </c>
      <c r="B8666" s="2" t="str">
        <f ca="1">IFERROR(__xludf.DUMMYFUNCTION("""COMPUTED_VALUE"""),"The Square One")</f>
        <v>The Square One</v>
      </c>
      <c r="C8666" s="2"/>
      <c r="D8666" s="2" t="str">
        <f ca="1">IFERROR(__xludf.DUMMYFUNCTION("""COMPUTED_VALUE"""),"Sharjah&gt;Muwaileh Commercial&gt;The Square One")</f>
        <v>Sharjah&gt;Muwaileh Commercial&gt;The Square One</v>
      </c>
      <c r="E8666" s="2"/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</row>
    <row r="8667" spans="1:26" ht="16.5" x14ac:dyDescent="0.35">
      <c r="A8667" s="2" t="str">
        <f ca="1">IFERROR(__xludf.DUMMYFUNCTION("""COMPUTED_VALUE"""),"Sharjah")</f>
        <v>Sharjah</v>
      </c>
      <c r="B8667" s="2" t="str">
        <f ca="1">IFERROR(__xludf.DUMMYFUNCTION("""COMPUTED_VALUE"""),"Al Shamsi-1 Building")</f>
        <v>Al Shamsi-1 Building</v>
      </c>
      <c r="C8667" s="2" t="str">
        <f ca="1">IFERROR(__xludf.DUMMYFUNCTION("""COMPUTED_VALUE"""),"Building")</f>
        <v>Building</v>
      </c>
      <c r="D8667" s="2" t="str">
        <f ca="1">IFERROR(__xludf.DUMMYFUNCTION("""COMPUTED_VALUE"""),"Sharjah&gt;Muwaileh Commercial&gt;Al Shamsi-1 Building")</f>
        <v>Sharjah&gt;Muwaileh Commercial&gt;Al Shamsi-1 Building</v>
      </c>
      <c r="E8667" s="2"/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</row>
    <row r="8668" spans="1:26" ht="16.5" x14ac:dyDescent="0.35">
      <c r="A8668" s="2" t="str">
        <f ca="1">IFERROR(__xludf.DUMMYFUNCTION("""COMPUTED_VALUE"""),"Sharjah")</f>
        <v>Sharjah</v>
      </c>
      <c r="B8668" s="2" t="str">
        <f ca="1">IFERROR(__xludf.DUMMYFUNCTION("""COMPUTED_VALUE"""),"Building 2891")</f>
        <v>Building 2891</v>
      </c>
      <c r="C8668" s="2" t="str">
        <f ca="1">IFERROR(__xludf.DUMMYFUNCTION("""COMPUTED_VALUE"""),"Building")</f>
        <v>Building</v>
      </c>
      <c r="D8668" s="2" t="str">
        <f ca="1">IFERROR(__xludf.DUMMYFUNCTION("""COMPUTED_VALUE"""),"Sharjah&gt;Muwaileh Commercial&gt;Building 2891")</f>
        <v>Sharjah&gt;Muwaileh Commercial&gt;Building 2891</v>
      </c>
      <c r="E8668" s="2"/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</row>
    <row r="8669" spans="1:26" ht="16.5" x14ac:dyDescent="0.35">
      <c r="A8669" s="2" t="str">
        <f ca="1">IFERROR(__xludf.DUMMYFUNCTION("""COMPUTED_VALUE"""),"Al Ain")</f>
        <v>Al Ain</v>
      </c>
      <c r="B8669" s="2" t="str">
        <f ca="1">IFERROR(__xludf.DUMMYFUNCTION("""COMPUTED_VALUE"""),"Shabhanat Asharej")</f>
        <v>Shabhanat Asharej</v>
      </c>
      <c r="C8669" s="2" t="str">
        <f ca="1">IFERROR(__xludf.DUMMYFUNCTION("""COMPUTED_VALUE"""),"Neighbourhood")</f>
        <v>Neighbourhood</v>
      </c>
      <c r="D8669" s="2" t="str">
        <f ca="1">IFERROR(__xludf.DUMMYFUNCTION("""COMPUTED_VALUE"""),"Al Ain&gt;Asharij&gt;Shabhanat Asharej")</f>
        <v>Al Ain&gt;Asharij&gt;Shabhanat Asharej</v>
      </c>
      <c r="E8669" s="2"/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</row>
    <row r="8670" spans="1:26" ht="16.5" x14ac:dyDescent="0.35">
      <c r="A8670" s="2" t="str">
        <f ca="1">IFERROR(__xludf.DUMMYFUNCTION("""COMPUTED_VALUE"""),"Al Ain")</f>
        <v>Al Ain</v>
      </c>
      <c r="B8670" s="2" t="str">
        <f ca="1">IFERROR(__xludf.DUMMYFUNCTION("""COMPUTED_VALUE"""),"Al Reem Complex Block E")</f>
        <v>Al Reem Complex Block E</v>
      </c>
      <c r="C8670" s="2" t="str">
        <f ca="1">IFERROR(__xludf.DUMMYFUNCTION("""COMPUTED_VALUE"""),"Building")</f>
        <v>Building</v>
      </c>
      <c r="D8670" s="2" t="str">
        <f ca="1">IFERROR(__xludf.DUMMYFUNCTION("""COMPUTED_VALUE"""),"Al Ain&gt;Central District&gt;Al Rubainah&gt;Al Reem Complex&gt;Al Reem Complex Block E")</f>
        <v>Al Ain&gt;Central District&gt;Al Rubainah&gt;Al Reem Complex&gt;Al Reem Complex Block E</v>
      </c>
      <c r="E8670" s="2"/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</row>
    <row r="8671" spans="1:26" ht="16.5" x14ac:dyDescent="0.35">
      <c r="A8671" s="2" t="str">
        <f ca="1">IFERROR(__xludf.DUMMYFUNCTION("""COMPUTED_VALUE"""),"Al Ain")</f>
        <v>Al Ain</v>
      </c>
      <c r="B8671" s="2" t="str">
        <f ca="1">IFERROR(__xludf.DUMMYFUNCTION("""COMPUTED_VALUE"""),"Zakhir")</f>
        <v>Zakhir</v>
      </c>
      <c r="C8671" s="2" t="str">
        <f ca="1">IFERROR(__xludf.DUMMYFUNCTION("""COMPUTED_VALUE"""),"Neighbourhood")</f>
        <v>Neighbourhood</v>
      </c>
      <c r="D8671" s="2" t="str">
        <f ca="1">IFERROR(__xludf.DUMMYFUNCTION("""COMPUTED_VALUE"""),"Al Ain&gt;Zakhir")</f>
        <v>Al Ain&gt;Zakhir</v>
      </c>
      <c r="E8671" s="2"/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</row>
    <row r="8672" spans="1:26" ht="16.5" x14ac:dyDescent="0.35">
      <c r="A8672" s="2" t="str">
        <f ca="1">IFERROR(__xludf.DUMMYFUNCTION("""COMPUTED_VALUE"""),"Al Ain")</f>
        <v>Al Ain</v>
      </c>
      <c r="B8672" s="2" t="str">
        <f ca="1">IFERROR(__xludf.DUMMYFUNCTION("""COMPUTED_VALUE"""),"Al Saad Indian School")</f>
        <v>Al Saad Indian School</v>
      </c>
      <c r="C8672" s="2" t="str">
        <f ca="1">IFERROR(__xludf.DUMMYFUNCTION("""COMPUTED_VALUE"""),"School")</f>
        <v>School</v>
      </c>
      <c r="D8672" s="2" t="str">
        <f ca="1">IFERROR(__xludf.DUMMYFUNCTION("""COMPUTED_VALUE"""),"Al Ain&gt;Al Bateen&gt;Al Ghadeer&gt;Al Saad Indian School")</f>
        <v>Al Ain&gt;Al Bateen&gt;Al Ghadeer&gt;Al Saad Indian School</v>
      </c>
      <c r="E8672" s="2"/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</row>
    <row r="8673" spans="1:26" ht="16.5" x14ac:dyDescent="0.35">
      <c r="A8673" s="2" t="str">
        <f ca="1">IFERROR(__xludf.DUMMYFUNCTION("""COMPUTED_VALUE"""),"Al Ain")</f>
        <v>Al Ain</v>
      </c>
      <c r="B8673" s="2" t="str">
        <f ca="1">IFERROR(__xludf.DUMMYFUNCTION("""COMPUTED_VALUE"""),"New Indian Model School (NIMS), Al Ain")</f>
        <v>New Indian Model School (NIMS), Al Ain</v>
      </c>
      <c r="C8673" s="2" t="str">
        <f ca="1">IFERROR(__xludf.DUMMYFUNCTION("""COMPUTED_VALUE"""),"School")</f>
        <v>School</v>
      </c>
      <c r="D8673" s="2" t="str">
        <f ca="1">IFERROR(__xludf.DUMMYFUNCTION("""COMPUTED_VALUE"""),"Al Ain&gt;Falaj Hazzaa&gt;New Indian Model School (NIMS), Al Ain")</f>
        <v>Al Ain&gt;Falaj Hazzaa&gt;New Indian Model School (NIMS), Al Ain</v>
      </c>
      <c r="E8673" s="2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</row>
    <row r="8674" spans="1:26" ht="16.5" x14ac:dyDescent="0.35">
      <c r="A8674" s="2" t="str">
        <f ca="1">IFERROR(__xludf.DUMMYFUNCTION("""COMPUTED_VALUE"""),"Al Ain")</f>
        <v>Al Ain</v>
      </c>
      <c r="B8674" s="2" t="str">
        <f ca="1">IFERROR(__xludf.DUMMYFUNCTION("""COMPUTED_VALUE"""),"Wahat Al Zaweya")</f>
        <v>Wahat Al Zaweya</v>
      </c>
      <c r="C8674" s="2" t="str">
        <f ca="1">IFERROR(__xludf.DUMMYFUNCTION("""COMPUTED_VALUE"""),"Neighbourhood")</f>
        <v>Neighbourhood</v>
      </c>
      <c r="D8674" s="2" t="str">
        <f ca="1">IFERROR(__xludf.DUMMYFUNCTION("""COMPUTED_VALUE"""),"Al Ain&gt;Al Faqa&gt;Wahat Al Zaweya")</f>
        <v>Al Ain&gt;Al Faqa&gt;Wahat Al Zaweya</v>
      </c>
      <c r="E8674" s="2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</row>
    <row r="8675" spans="1:26" ht="16.5" x14ac:dyDescent="0.35">
      <c r="A8675" s="2" t="str">
        <f ca="1">IFERROR(__xludf.DUMMYFUNCTION("""COMPUTED_VALUE"""),"Ras Al Khaimah")</f>
        <v>Ras Al Khaimah</v>
      </c>
      <c r="B8675" s="2" t="str">
        <f ca="1">IFERROR(__xludf.DUMMYFUNCTION("""COMPUTED_VALUE"""),"Mina Al Arab")</f>
        <v>Mina Al Arab</v>
      </c>
      <c r="C8675" s="2" t="str">
        <f ca="1">IFERROR(__xludf.DUMMYFUNCTION("""COMPUTED_VALUE"""),"Neighbourhood")</f>
        <v>Neighbourhood</v>
      </c>
      <c r="D8675" s="2" t="str">
        <f ca="1">IFERROR(__xludf.DUMMYFUNCTION("""COMPUTED_VALUE"""),"Ras Al Khaimah&gt;Mina Al Arab")</f>
        <v>Ras Al Khaimah&gt;Mina Al Arab</v>
      </c>
      <c r="E8675" s="2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</row>
    <row r="8676" spans="1:26" ht="16.5" x14ac:dyDescent="0.35">
      <c r="A8676" s="2" t="str">
        <f ca="1">IFERROR(__xludf.DUMMYFUNCTION("""COMPUTED_VALUE"""),"Ras Al Khaimah")</f>
        <v>Ras Al Khaimah</v>
      </c>
      <c r="B8676" s="2" t="str">
        <f ca="1">IFERROR(__xludf.DUMMYFUNCTION("""COMPUTED_VALUE"""),"SKAI")</f>
        <v>SKAI</v>
      </c>
      <c r="C8676" s="2" t="str">
        <f ca="1">IFERROR(__xludf.DUMMYFUNCTION("""COMPUTED_VALUE"""),"Building")</f>
        <v>Building</v>
      </c>
      <c r="D8676" s="2" t="str">
        <f ca="1">IFERROR(__xludf.DUMMYFUNCTION("""COMPUTED_VALUE"""),"Ras Al Khaimah&gt;Mina Al Arab&gt;SKAI")</f>
        <v>Ras Al Khaimah&gt;Mina Al Arab&gt;SKAI</v>
      </c>
      <c r="E8676" s="2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</row>
    <row r="8677" spans="1:26" ht="16.5" x14ac:dyDescent="0.35">
      <c r="A8677" s="2" t="str">
        <f ca="1">IFERROR(__xludf.DUMMYFUNCTION("""COMPUTED_VALUE"""),"Ras Al Khaimah")</f>
        <v>Ras Al Khaimah</v>
      </c>
      <c r="B8677" s="2" t="str">
        <f ca="1">IFERROR(__xludf.DUMMYFUNCTION("""COMPUTED_VALUE"""),"Address Residences Al Marjan Island")</f>
        <v>Address Residences Al Marjan Island</v>
      </c>
      <c r="C8677" s="2" t="str">
        <f ca="1">IFERROR(__xludf.DUMMYFUNCTION("""COMPUTED_VALUE"""),"Neighbourhood")</f>
        <v>Neighbourhood</v>
      </c>
      <c r="D8677" s="2" t="str">
        <f ca="1">IFERROR(__xludf.DUMMYFUNCTION("""COMPUTED_VALUE"""),"Ras Al Khaimah&gt;Al Marjan Island&gt;Address Residences Al Marjan Island")</f>
        <v>Ras Al Khaimah&gt;Al Marjan Island&gt;Address Residences Al Marjan Island</v>
      </c>
      <c r="E8677" s="2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</row>
    <row r="8678" spans="1:26" ht="16.5" x14ac:dyDescent="0.35">
      <c r="A8678" s="2" t="str">
        <f ca="1">IFERROR(__xludf.DUMMYFUNCTION("""COMPUTED_VALUE"""),"Ras Al Khaimah")</f>
        <v>Ras Al Khaimah</v>
      </c>
      <c r="B8678" s="2" t="str">
        <f ca="1">IFERROR(__xludf.DUMMYFUNCTION("""COMPUTED_VALUE"""),"The Art of Trio")</f>
        <v>The Art of Trio</v>
      </c>
      <c r="C8678" s="2" t="str">
        <f ca="1">IFERROR(__xludf.DUMMYFUNCTION("""COMPUTED_VALUE"""),"Building")</f>
        <v>Building</v>
      </c>
      <c r="D8678" s="2" t="str">
        <f ca="1">IFERROR(__xludf.DUMMYFUNCTION("""COMPUTED_VALUE"""),"Ras Al Khaimah&gt;Al Marjan Island&gt;The Art of Trio")</f>
        <v>Ras Al Khaimah&gt;Al Marjan Island&gt;The Art of Trio</v>
      </c>
      <c r="E8678" s="2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</row>
    <row r="8679" spans="1:26" ht="16.5" x14ac:dyDescent="0.35">
      <c r="A8679" s="2" t="str">
        <f ca="1">IFERROR(__xludf.DUMMYFUNCTION("""COMPUTED_VALUE"""),"Ras Al Khaimah")</f>
        <v>Ras Al Khaimah</v>
      </c>
      <c r="B8679" s="2" t="str">
        <f ca="1">IFERROR(__xludf.DUMMYFUNCTION("""COMPUTED_VALUE"""),"Al Hamra Village Golf Apartments")</f>
        <v>Al Hamra Village Golf Apartments</v>
      </c>
      <c r="C8679" s="2" t="str">
        <f ca="1">IFERROR(__xludf.DUMMYFUNCTION("""COMPUTED_VALUE"""),"Building")</f>
        <v>Building</v>
      </c>
      <c r="D8679" s="2" t="str">
        <f ca="1">IFERROR(__xludf.DUMMYFUNCTION("""COMPUTED_VALUE"""),"Ras Al Khaimah&gt;Al Hamra Village&gt;Al Hamra Village Golf Apartments")</f>
        <v>Ras Al Khaimah&gt;Al Hamra Village&gt;Al Hamra Village Golf Apartments</v>
      </c>
      <c r="E8679" s="2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</row>
    <row r="8680" spans="1:26" ht="16.5" x14ac:dyDescent="0.35">
      <c r="A8680" s="2" t="str">
        <f ca="1">IFERROR(__xludf.DUMMYFUNCTION("""COMPUTED_VALUE"""),"Ras Al Khaimah")</f>
        <v>Ras Al Khaimah</v>
      </c>
      <c r="B8680" s="2" t="str">
        <f ca="1">IFERROR(__xludf.DUMMYFUNCTION("""COMPUTED_VALUE"""),"Yasmin Village Building 4")</f>
        <v>Yasmin Village Building 4</v>
      </c>
      <c r="C8680" s="2" t="str">
        <f ca="1">IFERROR(__xludf.DUMMYFUNCTION("""COMPUTED_VALUE"""),"Building")</f>
        <v>Building</v>
      </c>
      <c r="D8680" s="2" t="str">
        <f ca="1">IFERROR(__xludf.DUMMYFUNCTION("""COMPUTED_VALUE"""),"Ras Al Khaimah&gt;Yasmin Village&gt;Yasmin Village Building 4")</f>
        <v>Ras Al Khaimah&gt;Yasmin Village&gt;Yasmin Village Building 4</v>
      </c>
      <c r="E8680" s="2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</row>
    <row r="8681" spans="1:26" ht="16.5" x14ac:dyDescent="0.35">
      <c r="A8681" s="2" t="str">
        <f ca="1">IFERROR(__xludf.DUMMYFUNCTION("""COMPUTED_VALUE"""),"Ras Al Khaimah")</f>
        <v>Ras Al Khaimah</v>
      </c>
      <c r="B8681" s="2" t="str">
        <f ca="1">IFERROR(__xludf.DUMMYFUNCTION("""COMPUTED_VALUE"""),"Cornich Ras Al Khaimah")</f>
        <v>Cornich Ras Al Khaimah</v>
      </c>
      <c r="C8681" s="2"/>
      <c r="D8681" s="2" t="str">
        <f ca="1">IFERROR(__xludf.DUMMYFUNCTION("""COMPUTED_VALUE"""),"Ras Al Khaimah&gt;Cornich Ras Al Khaimah")</f>
        <v>Ras Al Khaimah&gt;Cornich Ras Al Khaimah</v>
      </c>
      <c r="E8681" s="2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</row>
    <row r="8682" spans="1:26" ht="16.5" x14ac:dyDescent="0.35">
      <c r="A8682" s="2" t="str">
        <f ca="1">IFERROR(__xludf.DUMMYFUNCTION("""COMPUTED_VALUE"""),"Ras Al Khaimah")</f>
        <v>Ras Al Khaimah</v>
      </c>
      <c r="B8682" s="2" t="str">
        <f ca="1">IFERROR(__xludf.DUMMYFUNCTION("""COMPUTED_VALUE"""),"RAK Tower")</f>
        <v>RAK Tower</v>
      </c>
      <c r="C8682" s="2" t="str">
        <f ca="1">IFERROR(__xludf.DUMMYFUNCTION("""COMPUTED_VALUE"""),"Building")</f>
        <v>Building</v>
      </c>
      <c r="D8682" s="2" t="str">
        <f ca="1">IFERROR(__xludf.DUMMYFUNCTION("""COMPUTED_VALUE"""),"Ras Al Khaimah&gt;Al Seer&gt;RAK Tower")</f>
        <v>Ras Al Khaimah&gt;Al Seer&gt;RAK Tower</v>
      </c>
      <c r="E8682" s="2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</row>
    <row r="8683" spans="1:26" ht="16.5" x14ac:dyDescent="0.35">
      <c r="A8683" s="2" t="str">
        <f ca="1">IFERROR(__xludf.DUMMYFUNCTION("""COMPUTED_VALUE"""),"Ras Al Khaimah")</f>
        <v>Ras Al Khaimah</v>
      </c>
      <c r="B8683" s="2" t="str">
        <f ca="1">IFERROR(__xludf.DUMMYFUNCTION("""COMPUTED_VALUE"""),"Ras Al Khaimah American Academy for Girls")</f>
        <v>Ras Al Khaimah American Academy for Girls</v>
      </c>
      <c r="C8683" s="2" t="str">
        <f ca="1">IFERROR(__xludf.DUMMYFUNCTION("""COMPUTED_VALUE"""),"School")</f>
        <v>School</v>
      </c>
      <c r="D8683" s="2" t="str">
        <f ca="1">IFERROR(__xludf.DUMMYFUNCTION("""COMPUTED_VALUE"""),"Ras Al Khaimah&gt;Seih Al Uraibi&gt;Ras Al Khaimah American Academy for Girls")</f>
        <v>Ras Al Khaimah&gt;Seih Al Uraibi&gt;Ras Al Khaimah American Academy for Girls</v>
      </c>
      <c r="E8683" s="2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</row>
    <row r="8684" spans="1:26" ht="16.5" x14ac:dyDescent="0.35">
      <c r="A8684" s="2" t="str">
        <f ca="1">IFERROR(__xludf.DUMMYFUNCTION("""COMPUTED_VALUE"""),"Umm Al Quwain")</f>
        <v>Umm Al Quwain</v>
      </c>
      <c r="B8684" s="2" t="str">
        <f ca="1">IFERROR(__xludf.DUMMYFUNCTION("""COMPUTED_VALUE"""),"Umm Al Quwain")</f>
        <v>Umm Al Quwain</v>
      </c>
      <c r="C8684" s="2" t="str">
        <f ca="1">IFERROR(__xludf.DUMMYFUNCTION("""COMPUTED_VALUE"""),"Emirate")</f>
        <v>Emirate</v>
      </c>
      <c r="D8684" s="2" t="str">
        <f ca="1">IFERROR(__xludf.DUMMYFUNCTION("""COMPUTED_VALUE"""),"Umm Al Quwain")</f>
        <v>Umm Al Quwain</v>
      </c>
      <c r="E8684" s="2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</row>
    <row r="8685" spans="1:26" ht="16.5" x14ac:dyDescent="0.35">
      <c r="A8685" s="2" t="str">
        <f ca="1">IFERROR(__xludf.DUMMYFUNCTION("""COMPUTED_VALUE"""),"Umm Al Quwain")</f>
        <v>Umm Al Quwain</v>
      </c>
      <c r="B8685" s="2" t="str">
        <f ca="1">IFERROR(__xludf.DUMMYFUNCTION("""COMPUTED_VALUE"""),"Al Ramlah")</f>
        <v>Al Ramlah</v>
      </c>
      <c r="C8685" s="2" t="str">
        <f ca="1">IFERROR(__xludf.DUMMYFUNCTION("""COMPUTED_VALUE"""),"Neighbourhood")</f>
        <v>Neighbourhood</v>
      </c>
      <c r="D8685" s="2" t="str">
        <f ca="1">IFERROR(__xludf.DUMMYFUNCTION("""COMPUTED_VALUE"""),"Umm Al Quwain&gt;Al Ramlah")</f>
        <v>Umm Al Quwain&gt;Al Ramlah</v>
      </c>
      <c r="E8685" s="2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</row>
    <row r="8686" spans="1:26" ht="16.5" x14ac:dyDescent="0.35">
      <c r="A8686" s="2" t="str">
        <f ca="1">IFERROR(__xludf.DUMMYFUNCTION("""COMPUTED_VALUE"""),"Umm Al Quwain")</f>
        <v>Umm Al Quwain</v>
      </c>
      <c r="B8686" s="2" t="str">
        <f ca="1">IFERROR(__xludf.DUMMYFUNCTION("""COMPUTED_VALUE"""),"Selene Beach Residences Tower A")</f>
        <v>Selene Beach Residences Tower A</v>
      </c>
      <c r="C8686" s="2" t="str">
        <f ca="1">IFERROR(__xludf.DUMMYFUNCTION("""COMPUTED_VALUE"""),"Building")</f>
        <v>Building</v>
      </c>
      <c r="D8686" s="2" t="str">
        <f ca="1">IFERROR(__xludf.DUMMYFUNCTION("""COMPUTED_VALUE"""),"Umm Al Quwain&gt;Al Seanneeah&gt;Sobha Siniya Island&gt;Selene Beach Residences&gt;Selene Beach Residences Tower A")</f>
        <v>Umm Al Quwain&gt;Al Seanneeah&gt;Sobha Siniya Island&gt;Selene Beach Residences&gt;Selene Beach Residences Tower A</v>
      </c>
      <c r="E8686" s="2"/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W8686" s="2"/>
      <c r="X8686" s="2"/>
      <c r="Y8686" s="2"/>
      <c r="Z8686" s="2"/>
    </row>
    <row r="8687" spans="1:26" ht="16.5" x14ac:dyDescent="0.35">
      <c r="A8687" s="2" t="str">
        <f ca="1">IFERROR(__xludf.DUMMYFUNCTION("""COMPUTED_VALUE"""),"Umm Al Quwain")</f>
        <v>Umm Al Quwain</v>
      </c>
      <c r="B8687" s="2" t="str">
        <f ca="1">IFERROR(__xludf.DUMMYFUNCTION("""COMPUTED_VALUE"""),"Starline Beach Residences")</f>
        <v>Starline Beach Residences</v>
      </c>
      <c r="C8687" s="2" t="str">
        <f ca="1">IFERROR(__xludf.DUMMYFUNCTION("""COMPUTED_VALUE"""),"Cluster")</f>
        <v>Cluster</v>
      </c>
      <c r="D8687" s="2" t="str">
        <f ca="1">IFERROR(__xludf.DUMMYFUNCTION("""COMPUTED_VALUE"""),"Umm Al Quwain&gt;Al Seanneeah&gt;Sobha Siniya Island&gt;Starline Beach Residences")</f>
        <v>Umm Al Quwain&gt;Al Seanneeah&gt;Sobha Siniya Island&gt;Starline Beach Residences</v>
      </c>
      <c r="E8687" s="2"/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</row>
    <row r="8688" spans="1:26" ht="16.5" x14ac:dyDescent="0.35">
      <c r="A8688" s="2" t="str">
        <f ca="1">IFERROR(__xludf.DUMMYFUNCTION("""COMPUTED_VALUE"""),"Fujairah")</f>
        <v>Fujairah</v>
      </c>
      <c r="B8688" s="2" t="str">
        <f ca="1">IFERROR(__xludf.DUMMYFUNCTION("""COMPUTED_VALUE"""),"Mina Al Fajer")</f>
        <v>Mina Al Fajer</v>
      </c>
      <c r="C8688" s="2"/>
      <c r="D8688" s="2" t="str">
        <f ca="1">IFERROR(__xludf.DUMMYFUNCTION("""COMPUTED_VALUE"""),"Fujairah&gt;Mina Al Fajer")</f>
        <v>Fujairah&gt;Mina Al Fajer</v>
      </c>
      <c r="E8688" s="2"/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W8688" s="2"/>
      <c r="X8688" s="2"/>
      <c r="Y8688" s="2"/>
      <c r="Z8688" s="2"/>
    </row>
    <row r="8689" spans="1:26" ht="16.5" x14ac:dyDescent="0.35">
      <c r="A8689" s="2" t="str">
        <f ca="1">IFERROR(__xludf.DUMMYFUNCTION("""COMPUTED_VALUE"""),"Fujairah")</f>
        <v>Fujairah</v>
      </c>
      <c r="B8689" s="2" t="str">
        <f ca="1">IFERROR(__xludf.DUMMYFUNCTION("""COMPUTED_VALUE"""),"Mattar Complex")</f>
        <v>Mattar Complex</v>
      </c>
      <c r="C8689" s="2" t="str">
        <f ca="1">IFERROR(__xludf.DUMMYFUNCTION("""COMPUTED_VALUE"""),"Building")</f>
        <v>Building</v>
      </c>
      <c r="D8689" s="2" t="str">
        <f ca="1">IFERROR(__xludf.DUMMYFUNCTION("""COMPUTED_VALUE"""),"Fujairah&gt;Al Faseel Area&gt;Mattar Complex")</f>
        <v>Fujairah&gt;Al Faseel Area&gt;Mattar Complex</v>
      </c>
      <c r="E8689" s="2"/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W8689" s="2"/>
      <c r="X8689" s="2"/>
      <c r="Y8689" s="2"/>
      <c r="Z8689" s="2"/>
    </row>
    <row r="8690" spans="1:26" ht="16.5" x14ac:dyDescent="0.35">
      <c r="A8690" s="2" t="str">
        <f ca="1">IFERROR(__xludf.DUMMYFUNCTION("""COMPUTED_VALUE"""),"Fujairah")</f>
        <v>Fujairah</v>
      </c>
      <c r="B8690" s="2" t="str">
        <f ca="1">IFERROR(__xludf.DUMMYFUNCTION("""COMPUTED_VALUE"""),"Fujairah Freezone")</f>
        <v>Fujairah Freezone</v>
      </c>
      <c r="C8690" s="2" t="str">
        <f ca="1">IFERROR(__xludf.DUMMYFUNCTION("""COMPUTED_VALUE"""),"Neighbourhood")</f>
        <v>Neighbourhood</v>
      </c>
      <c r="D8690" s="2" t="str">
        <f ca="1">IFERROR(__xludf.DUMMYFUNCTION("""COMPUTED_VALUE"""),"Fujairah&gt;Fujairah Freezone")</f>
        <v>Fujairah&gt;Fujairah Freezone</v>
      </c>
      <c r="E8690" s="2"/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W8690" s="2"/>
      <c r="X8690" s="2"/>
      <c r="Y8690" s="2"/>
      <c r="Z8690" s="2"/>
    </row>
    <row r="8691" spans="1:26" ht="16.5" x14ac:dyDescent="0.35">
      <c r="A8691" s="2" t="str">
        <f ca="1">IFERROR(__xludf.DUMMYFUNCTION("""COMPUTED_VALUE"""),"Dubai")</f>
        <v>Dubai</v>
      </c>
      <c r="B8691" s="2" t="str">
        <f ca="1">IFERROR(__xludf.DUMMYFUNCTION("""COMPUTED_VALUE"""),"Rove Downtown")</f>
        <v>Rove Downtown</v>
      </c>
      <c r="C8691" s="2" t="str">
        <f ca="1">IFERROR(__xludf.DUMMYFUNCTION("""COMPUTED_VALUE"""),"Building")</f>
        <v>Building</v>
      </c>
      <c r="D8691" s="2" t="str">
        <f ca="1">IFERROR(__xludf.DUMMYFUNCTION("""COMPUTED_VALUE"""),"Dubai&gt;Za'abeel&gt;Za'abeel 2&gt;Rove Downtown")</f>
        <v>Dubai&gt;Za'abeel&gt;Za'abeel 2&gt;Rove Downtown</v>
      </c>
      <c r="E8691" s="2"/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W8691" s="2"/>
      <c r="X8691" s="2"/>
      <c r="Y8691" s="2"/>
      <c r="Z8691" s="2"/>
    </row>
    <row r="8692" spans="1:26" ht="16.5" x14ac:dyDescent="0.35">
      <c r="A8692" s="2" t="str">
        <f ca="1">IFERROR(__xludf.DUMMYFUNCTION("""COMPUTED_VALUE"""),"Dubai")</f>
        <v>Dubai</v>
      </c>
      <c r="B8692" s="2" t="str">
        <f ca="1">IFERROR(__xludf.DUMMYFUNCTION("""COMPUTED_VALUE"""),"Samari Residences 3")</f>
        <v>Samari Residences 3</v>
      </c>
      <c r="C8692" s="2" t="str">
        <f ca="1">IFERROR(__xludf.DUMMYFUNCTION("""COMPUTED_VALUE"""),"Building")</f>
        <v>Building</v>
      </c>
      <c r="D8692" s="2" t="str">
        <f ca="1">IFERROR(__xludf.DUMMYFUNCTION("""COMPUTED_VALUE"""),"Dubai&gt;Ras Al Khor&gt;Ras Al Khor Industrial&gt;Ras Al Khor Industrial 3&gt;Samari Residences&gt;Samari Residences 3")</f>
        <v>Dubai&gt;Ras Al Khor&gt;Ras Al Khor Industrial&gt;Ras Al Khor Industrial 3&gt;Samari Residences&gt;Samari Residences 3</v>
      </c>
      <c r="E8692" s="2"/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W8692" s="2"/>
      <c r="X8692" s="2"/>
      <c r="Y8692" s="2"/>
      <c r="Z8692" s="2"/>
    </row>
    <row r="8693" spans="1:26" ht="16.5" x14ac:dyDescent="0.35">
      <c r="A8693" s="2" t="str">
        <f ca="1">IFERROR(__xludf.DUMMYFUNCTION("""COMPUTED_VALUE"""),"Dubai")</f>
        <v>Dubai</v>
      </c>
      <c r="B8693" s="2" t="str">
        <f ca="1">IFERROR(__xludf.DUMMYFUNCTION("""COMPUTED_VALUE"""),"Ibn Battuta Gate Residence")</f>
        <v>Ibn Battuta Gate Residence</v>
      </c>
      <c r="C8693" s="2" t="str">
        <f ca="1">IFERROR(__xludf.DUMMYFUNCTION("""COMPUTED_VALUE"""),"Building")</f>
        <v>Building</v>
      </c>
      <c r="D8693" s="2" t="str">
        <f ca="1">IFERROR(__xludf.DUMMYFUNCTION("""COMPUTED_VALUE"""),"Dubai&gt;Jebel Ali&gt;Ibn Battuta Gate&gt;Ibn Battuta Gate Residence")</f>
        <v>Dubai&gt;Jebel Ali&gt;Ibn Battuta Gate&gt;Ibn Battuta Gate Residence</v>
      </c>
      <c r="E8693" s="2"/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W8693" s="2"/>
      <c r="X8693" s="2"/>
      <c r="Y8693" s="2"/>
      <c r="Z8693" s="2"/>
    </row>
    <row r="8694" spans="1:26" ht="16.5" x14ac:dyDescent="0.35">
      <c r="A8694" s="2" t="str">
        <f ca="1">IFERROR(__xludf.DUMMYFUNCTION("""COMPUTED_VALUE"""),"Dubai")</f>
        <v>Dubai</v>
      </c>
      <c r="B8694" s="2" t="str">
        <f ca="1">IFERROR(__xludf.DUMMYFUNCTION("""COMPUTED_VALUE"""),"Nuzul Staff Accommodation")</f>
        <v>Nuzul Staff Accommodation</v>
      </c>
      <c r="C8694" s="2" t="str">
        <f ca="1">IFERROR(__xludf.DUMMYFUNCTION("""COMPUTED_VALUE"""),"Building")</f>
        <v>Building</v>
      </c>
      <c r="D8694" s="2" t="str">
        <f ca="1">IFERROR(__xludf.DUMMYFUNCTION("""COMPUTED_VALUE"""),"Dubai&gt;Jebel Ali&gt;Jebel Ali Industrial Area&gt;Jebel Ali Industrial Area 1&gt;Nuzul Staff Accommodation")</f>
        <v>Dubai&gt;Jebel Ali&gt;Jebel Ali Industrial Area&gt;Jebel Ali Industrial Area 1&gt;Nuzul Staff Accommodation</v>
      </c>
      <c r="E8694" s="2"/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</row>
    <row r="8695" spans="1:26" ht="16.5" x14ac:dyDescent="0.35">
      <c r="A8695" s="2" t="str">
        <f ca="1">IFERROR(__xludf.DUMMYFUNCTION("""COMPUTED_VALUE"""),"Dubai")</f>
        <v>Dubai</v>
      </c>
      <c r="B8695" s="2" t="str">
        <f ca="1">IFERROR(__xludf.DUMMYFUNCTION("""COMPUTED_VALUE"""),"Saleh Bin Lahej Building")</f>
        <v>Saleh Bin Lahej Building</v>
      </c>
      <c r="C8695" s="2" t="str">
        <f ca="1">IFERROR(__xludf.DUMMYFUNCTION("""COMPUTED_VALUE"""),"Building")</f>
        <v>Building</v>
      </c>
      <c r="D8695" s="2" t="str">
        <f ca="1">IFERROR(__xludf.DUMMYFUNCTION("""COMPUTED_VALUE"""),"Dubai&gt;Nad Al Hamar&gt;Saleh Bin Lahej Building")</f>
        <v>Dubai&gt;Nad Al Hamar&gt;Saleh Bin Lahej Building</v>
      </c>
      <c r="E8695" s="2"/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</row>
    <row r="8696" spans="1:26" ht="16.5" x14ac:dyDescent="0.35">
      <c r="A8696" s="2" t="str">
        <f ca="1">IFERROR(__xludf.DUMMYFUNCTION("""COMPUTED_VALUE"""),"Dubai")</f>
        <v>Dubai</v>
      </c>
      <c r="B8696" s="2" t="str">
        <f ca="1">IFERROR(__xludf.DUMMYFUNCTION("""COMPUTED_VALUE"""),"Al Telal 18")</f>
        <v>Al Telal 18</v>
      </c>
      <c r="C8696" s="2" t="str">
        <f ca="1">IFERROR(__xludf.DUMMYFUNCTION("""COMPUTED_VALUE"""),"Building")</f>
        <v>Building</v>
      </c>
      <c r="D8696" s="2" t="str">
        <f ca="1">IFERROR(__xludf.DUMMYFUNCTION("""COMPUTED_VALUE"""),"Dubai&gt;Nad Al Hamar&gt;Al Telal 18")</f>
        <v>Dubai&gt;Nad Al Hamar&gt;Al Telal 18</v>
      </c>
      <c r="E8696" s="2"/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</row>
    <row r="8697" spans="1:26" ht="16.5" x14ac:dyDescent="0.35">
      <c r="A8697" s="2" t="str">
        <f ca="1">IFERROR(__xludf.DUMMYFUNCTION("""COMPUTED_VALUE"""),"Dubai")</f>
        <v>Dubai</v>
      </c>
      <c r="B8697" s="2" t="str">
        <f ca="1">IFERROR(__xludf.DUMMYFUNCTION("""COMPUTED_VALUE"""),"Al Sarraf Building")</f>
        <v>Al Sarraf Building</v>
      </c>
      <c r="C8697" s="2" t="str">
        <f ca="1">IFERROR(__xludf.DUMMYFUNCTION("""COMPUTED_VALUE"""),"Building")</f>
        <v>Building</v>
      </c>
      <c r="D8697" s="2" t="str">
        <f ca="1">IFERROR(__xludf.DUMMYFUNCTION("""COMPUTED_VALUE"""),"Dubai&gt;Al Barsha&gt;Al Barsha 1&gt;Al Sarraf Building")</f>
        <v>Dubai&gt;Al Barsha&gt;Al Barsha 1&gt;Al Sarraf Building</v>
      </c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</row>
    <row r="8698" spans="1:26" ht="16.5" x14ac:dyDescent="0.35">
      <c r="A8698" s="2" t="str">
        <f ca="1">IFERROR(__xludf.DUMMYFUNCTION("""COMPUTED_VALUE"""),"Dubai")</f>
        <v>Dubai</v>
      </c>
      <c r="B8698" s="2" t="str">
        <f ca="1">IFERROR(__xludf.DUMMYFUNCTION("""COMPUTED_VALUE"""),"Golden Sands Al Barsha")</f>
        <v>Golden Sands Al Barsha</v>
      </c>
      <c r="C8698" s="2" t="str">
        <f ca="1">IFERROR(__xludf.DUMMYFUNCTION("""COMPUTED_VALUE"""),"Building")</f>
        <v>Building</v>
      </c>
      <c r="D8698" s="2" t="str">
        <f ca="1">IFERROR(__xludf.DUMMYFUNCTION("""COMPUTED_VALUE"""),"Dubai&gt;Al Barsha&gt;Al Barsha 1&gt;Golden Sands Al Barsha")</f>
        <v>Dubai&gt;Al Barsha&gt;Al Barsha 1&gt;Golden Sands Al Barsha</v>
      </c>
      <c r="E8698" s="2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</row>
    <row r="8699" spans="1:26" ht="16.5" x14ac:dyDescent="0.35">
      <c r="A8699" s="2" t="str">
        <f ca="1">IFERROR(__xludf.DUMMYFUNCTION("""COMPUTED_VALUE"""),"Dubai")</f>
        <v>Dubai</v>
      </c>
      <c r="B8699" s="2" t="str">
        <f ca="1">IFERROR(__xludf.DUMMYFUNCTION("""COMPUTED_VALUE"""),"Al Zarouni Business Centre")</f>
        <v>Al Zarouni Business Centre</v>
      </c>
      <c r="C8699" s="2" t="str">
        <f ca="1">IFERROR(__xludf.DUMMYFUNCTION("""COMPUTED_VALUE"""),"Building")</f>
        <v>Building</v>
      </c>
      <c r="D8699" s="2" t="str">
        <f ca="1">IFERROR(__xludf.DUMMYFUNCTION("""COMPUTED_VALUE"""),"Dubai&gt;Al Barsha&gt;Al Barsha 1&gt;Al Zarouni Business Centre")</f>
        <v>Dubai&gt;Al Barsha&gt;Al Barsha 1&gt;Al Zarouni Business Centre</v>
      </c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</row>
    <row r="8700" spans="1:26" ht="16.5" x14ac:dyDescent="0.35">
      <c r="A8700" s="2" t="str">
        <f ca="1">IFERROR(__xludf.DUMMYFUNCTION("""COMPUTED_VALUE"""),"Dubai")</f>
        <v>Dubai</v>
      </c>
      <c r="B8700" s="2" t="str">
        <f ca="1">IFERROR(__xludf.DUMMYFUNCTION("""COMPUTED_VALUE"""),"Casablanca 4")</f>
        <v>Casablanca 4</v>
      </c>
      <c r="C8700" s="2" t="str">
        <f ca="1">IFERROR(__xludf.DUMMYFUNCTION("""COMPUTED_VALUE"""),"Neighbourhood")</f>
        <v>Neighbourhood</v>
      </c>
      <c r="D8700" s="2" t="str">
        <f ca="1">IFERROR(__xludf.DUMMYFUNCTION("""COMPUTED_VALUE"""),"Dubai&gt;Al Barsha&gt;Al Barsha 1&gt;Casablanca 4")</f>
        <v>Dubai&gt;Al Barsha&gt;Al Barsha 1&gt;Casablanca 4</v>
      </c>
      <c r="E8700" s="2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</row>
    <row r="8701" spans="1:26" ht="16.5" x14ac:dyDescent="0.35">
      <c r="A8701" s="2" t="str">
        <f ca="1">IFERROR(__xludf.DUMMYFUNCTION("""COMPUTED_VALUE"""),"Dubai")</f>
        <v>Dubai</v>
      </c>
      <c r="B8701" s="2" t="str">
        <f ca="1">IFERROR(__xludf.DUMMYFUNCTION("""COMPUTED_VALUE"""),"Sheraton Hotel")</f>
        <v>Sheraton Hotel</v>
      </c>
      <c r="C8701" s="2" t="str">
        <f ca="1">IFERROR(__xludf.DUMMYFUNCTION("""COMPUTED_VALUE"""),"Building")</f>
        <v>Building</v>
      </c>
      <c r="D8701" s="2" t="str">
        <f ca="1">IFERROR(__xludf.DUMMYFUNCTION("""COMPUTED_VALUE"""),"Dubai&gt;Al Barsha&gt;Al Barsha 1&gt;Sheraton Hotel")</f>
        <v>Dubai&gt;Al Barsha&gt;Al Barsha 1&gt;Sheraton Hotel</v>
      </c>
      <c r="E8701" s="2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</row>
    <row r="8702" spans="1:26" ht="16.5" x14ac:dyDescent="0.35">
      <c r="A8702" s="2" t="str">
        <f ca="1">IFERROR(__xludf.DUMMYFUNCTION("""COMPUTED_VALUE"""),"Dubai")</f>
        <v>Dubai</v>
      </c>
      <c r="B8702" s="2" t="str">
        <f ca="1">IFERROR(__xludf.DUMMYFUNCTION("""COMPUTED_VALUE"""),"Muhammad Tayyeb Khoory Building")</f>
        <v>Muhammad Tayyeb Khoory Building</v>
      </c>
      <c r="C8702" s="2" t="str">
        <f ca="1">IFERROR(__xludf.DUMMYFUNCTION("""COMPUTED_VALUE"""),"Building")</f>
        <v>Building</v>
      </c>
      <c r="D8702" s="2" t="str">
        <f ca="1">IFERROR(__xludf.DUMMYFUNCTION("""COMPUTED_VALUE"""),"Dubai&gt;Al Barsha&gt;Al Barsha 1&gt;Muhammad Tayyeb Khoory Building")</f>
        <v>Dubai&gt;Al Barsha&gt;Al Barsha 1&gt;Muhammad Tayyeb Khoory Building</v>
      </c>
      <c r="E8702" s="2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</row>
    <row r="8703" spans="1:26" ht="16.5" x14ac:dyDescent="0.35">
      <c r="A8703" s="2" t="str">
        <f ca="1">IFERROR(__xludf.DUMMYFUNCTION("""COMPUTED_VALUE"""),"Dubai")</f>
        <v>Dubai</v>
      </c>
      <c r="B8703" s="2" t="str">
        <f ca="1">IFERROR(__xludf.DUMMYFUNCTION("""COMPUTED_VALUE"""),"B8 Building")</f>
        <v>B8 Building</v>
      </c>
      <c r="C8703" s="2" t="str">
        <f ca="1">IFERROR(__xludf.DUMMYFUNCTION("""COMPUTED_VALUE"""),"Building")</f>
        <v>Building</v>
      </c>
      <c r="D8703" s="2" t="str">
        <f ca="1">IFERROR(__xludf.DUMMYFUNCTION("""COMPUTED_VALUE"""),"Dubai&gt;Al Barsha&gt;Al Barsha 1&gt;B8 Building")</f>
        <v>Dubai&gt;Al Barsha&gt;Al Barsha 1&gt;B8 Building</v>
      </c>
      <c r="E8703" s="2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W8703" s="2"/>
      <c r="X8703" s="2"/>
      <c r="Y8703" s="2"/>
      <c r="Z8703" s="2"/>
    </row>
    <row r="8704" spans="1:26" ht="16.5" x14ac:dyDescent="0.35">
      <c r="A8704" s="2" t="str">
        <f ca="1">IFERROR(__xludf.DUMMYFUNCTION("""COMPUTED_VALUE"""),"Dubai")</f>
        <v>Dubai</v>
      </c>
      <c r="B8704" s="2" t="str">
        <f ca="1">IFERROR(__xludf.DUMMYFUNCTION("""COMPUTED_VALUE"""),"Dibba Building")</f>
        <v>Dibba Building</v>
      </c>
      <c r="C8704" s="2" t="str">
        <f ca="1">IFERROR(__xludf.DUMMYFUNCTION("""COMPUTED_VALUE"""),"Building")</f>
        <v>Building</v>
      </c>
      <c r="D8704" s="2" t="str">
        <f ca="1">IFERROR(__xludf.DUMMYFUNCTION("""COMPUTED_VALUE"""),"Dubai&gt;Al Barsha&gt;Al Barsha 1&gt;Dibba Building")</f>
        <v>Dubai&gt;Al Barsha&gt;Al Barsha 1&gt;Dibba Building</v>
      </c>
      <c r="E8704" s="2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W8704" s="2"/>
      <c r="X8704" s="2"/>
      <c r="Y8704" s="2"/>
      <c r="Z8704" s="2"/>
    </row>
    <row r="8705" spans="1:26" ht="16.5" x14ac:dyDescent="0.35">
      <c r="A8705" s="2" t="str">
        <f ca="1">IFERROR(__xludf.DUMMYFUNCTION("""COMPUTED_VALUE"""),"Dubai")</f>
        <v>Dubai</v>
      </c>
      <c r="B8705" s="2" t="str">
        <f ca="1">IFERROR(__xludf.DUMMYFUNCTION("""COMPUTED_VALUE"""),"Al Yateem Building")</f>
        <v>Al Yateem Building</v>
      </c>
      <c r="C8705" s="2" t="str">
        <f ca="1">IFERROR(__xludf.DUMMYFUNCTION("""COMPUTED_VALUE"""),"Building")</f>
        <v>Building</v>
      </c>
      <c r="D8705" s="2" t="str">
        <f ca="1">IFERROR(__xludf.DUMMYFUNCTION("""COMPUTED_VALUE"""),"Dubai&gt;Al Barsha&gt;Al Barsha 1&gt;Al Yateem Building")</f>
        <v>Dubai&gt;Al Barsha&gt;Al Barsha 1&gt;Al Yateem Building</v>
      </c>
      <c r="E8705" s="2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W8705" s="2"/>
      <c r="X8705" s="2"/>
      <c r="Y8705" s="2"/>
      <c r="Z8705" s="2"/>
    </row>
    <row r="8706" spans="1:26" ht="16.5" x14ac:dyDescent="0.35">
      <c r="A8706" s="2" t="str">
        <f ca="1">IFERROR(__xludf.DUMMYFUNCTION("""COMPUTED_VALUE"""),"Dubai")</f>
        <v>Dubai</v>
      </c>
      <c r="B8706" s="2" t="str">
        <f ca="1">IFERROR(__xludf.DUMMYFUNCTION("""COMPUTED_VALUE"""),"Brighton College Dubai")</f>
        <v>Brighton College Dubai</v>
      </c>
      <c r="C8706" s="2" t="str">
        <f ca="1">IFERROR(__xludf.DUMMYFUNCTION("""COMPUTED_VALUE"""),"School")</f>
        <v>School</v>
      </c>
      <c r="D8706" s="2" t="str">
        <f ca="1">IFERROR(__xludf.DUMMYFUNCTION("""COMPUTED_VALUE"""),"Dubai&gt;Al Barsha&gt;Al Barsha 2&gt;Brighton College Dubai")</f>
        <v>Dubai&gt;Al Barsha&gt;Al Barsha 2&gt;Brighton College Dubai</v>
      </c>
      <c r="E8706" s="2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W8706" s="2"/>
      <c r="X8706" s="2"/>
      <c r="Y8706" s="2"/>
      <c r="Z8706" s="2"/>
    </row>
    <row r="8707" spans="1:26" ht="16.5" x14ac:dyDescent="0.35">
      <c r="A8707" s="2" t="str">
        <f ca="1">IFERROR(__xludf.DUMMYFUNCTION("""COMPUTED_VALUE"""),"Dubai")</f>
        <v>Dubai</v>
      </c>
      <c r="B8707" s="2" t="str">
        <f ca="1">IFERROR(__xludf.DUMMYFUNCTION("""COMPUTED_VALUE"""),"Boulevard Crescent Tower 2")</f>
        <v>Boulevard Crescent Tower 2</v>
      </c>
      <c r="C8707" s="2" t="str">
        <f ca="1">IFERROR(__xludf.DUMMYFUNCTION("""COMPUTED_VALUE"""),"Building")</f>
        <v>Building</v>
      </c>
      <c r="D8707" s="2" t="str">
        <f ca="1">IFERROR(__xludf.DUMMYFUNCTION("""COMPUTED_VALUE"""),"Dubai&gt;Downtown Dubai&gt;Boulevard Crescent Towers&gt;Boulevard Crescent Tower 2")</f>
        <v>Dubai&gt;Downtown Dubai&gt;Boulevard Crescent Towers&gt;Boulevard Crescent Tower 2</v>
      </c>
      <c r="E8707" s="2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W8707" s="2"/>
      <c r="X8707" s="2"/>
      <c r="Y8707" s="2"/>
      <c r="Z8707" s="2"/>
    </row>
    <row r="8708" spans="1:26" ht="16.5" x14ac:dyDescent="0.35">
      <c r="A8708" s="2" t="str">
        <f ca="1">IFERROR(__xludf.DUMMYFUNCTION("""COMPUTED_VALUE"""),"Dubai")</f>
        <v>Dubai</v>
      </c>
      <c r="B8708" s="2" t="str">
        <f ca="1">IFERROR(__xludf.DUMMYFUNCTION("""COMPUTED_VALUE"""),"The Residence 8")</f>
        <v>The Residence 8</v>
      </c>
      <c r="C8708" s="2" t="str">
        <f ca="1">IFERROR(__xludf.DUMMYFUNCTION("""COMPUTED_VALUE"""),"Building")</f>
        <v>Building</v>
      </c>
      <c r="D8708" s="2" t="str">
        <f ca="1">IFERROR(__xludf.DUMMYFUNCTION("""COMPUTED_VALUE"""),"Dubai&gt;Downtown Dubai&gt;The Residences&gt;The Residence 8")</f>
        <v>Dubai&gt;Downtown Dubai&gt;The Residences&gt;The Residence 8</v>
      </c>
      <c r="E8708" s="2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W8708" s="2"/>
      <c r="X8708" s="2"/>
      <c r="Y8708" s="2"/>
      <c r="Z8708" s="2"/>
    </row>
    <row r="8709" spans="1:26" ht="16.5" x14ac:dyDescent="0.35">
      <c r="A8709" s="2" t="str">
        <f ca="1">IFERROR(__xludf.DUMMYFUNCTION("""COMPUTED_VALUE"""),"Dubai")</f>
        <v>Dubai</v>
      </c>
      <c r="B8709" s="2" t="str">
        <f ca="1">IFERROR(__xludf.DUMMYFUNCTION("""COMPUTED_VALUE"""),"29 Boulevard 2")</f>
        <v>29 Boulevard 2</v>
      </c>
      <c r="C8709" s="2" t="str">
        <f ca="1">IFERROR(__xludf.DUMMYFUNCTION("""COMPUTED_VALUE"""),"Building")</f>
        <v>Building</v>
      </c>
      <c r="D8709" s="2" t="str">
        <f ca="1">IFERROR(__xludf.DUMMYFUNCTION("""COMPUTED_VALUE"""),"Dubai&gt;Downtown Dubai&gt;29 Boulevard&gt;29 Boulevard 2")</f>
        <v>Dubai&gt;Downtown Dubai&gt;29 Boulevard&gt;29 Boulevard 2</v>
      </c>
      <c r="E8709" s="2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W8709" s="2"/>
      <c r="X8709" s="2"/>
      <c r="Y8709" s="2"/>
      <c r="Z8709" s="2"/>
    </row>
    <row r="8710" spans="1:26" ht="16.5" x14ac:dyDescent="0.35">
      <c r="A8710" s="2" t="str">
        <f ca="1">IFERROR(__xludf.DUMMYFUNCTION("""COMPUTED_VALUE"""),"Dubai")</f>
        <v>Dubai</v>
      </c>
      <c r="B8710" s="2" t="str">
        <f ca="1">IFERROR(__xludf.DUMMYFUNCTION("""COMPUTED_VALUE"""),"South Ridge 1")</f>
        <v>South Ridge 1</v>
      </c>
      <c r="C8710" s="2" t="str">
        <f ca="1">IFERROR(__xludf.DUMMYFUNCTION("""COMPUTED_VALUE"""),"Building")</f>
        <v>Building</v>
      </c>
      <c r="D8710" s="2" t="str">
        <f ca="1">IFERROR(__xludf.DUMMYFUNCTION("""COMPUTED_VALUE"""),"Dubai&gt;Downtown Dubai&gt;South Ridge&gt;South Ridge 1")</f>
        <v>Dubai&gt;Downtown Dubai&gt;South Ridge&gt;South Ridge 1</v>
      </c>
      <c r="E8710" s="2"/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W8710" s="2"/>
      <c r="X8710" s="2"/>
      <c r="Y8710" s="2"/>
      <c r="Z8710" s="2"/>
    </row>
    <row r="8711" spans="1:26" ht="16.5" x14ac:dyDescent="0.35">
      <c r="A8711" s="2" t="str">
        <f ca="1">IFERROR(__xludf.DUMMYFUNCTION("""COMPUTED_VALUE"""),"Dubai")</f>
        <v>Dubai</v>
      </c>
      <c r="B8711" s="2" t="str">
        <f ca="1">IFERROR(__xludf.DUMMYFUNCTION("""COMPUTED_VALUE"""),"Yansoon 5")</f>
        <v>Yansoon 5</v>
      </c>
      <c r="C8711" s="2" t="str">
        <f ca="1">IFERROR(__xludf.DUMMYFUNCTION("""COMPUTED_VALUE"""),"Building")</f>
        <v>Building</v>
      </c>
      <c r="D8711" s="2" t="str">
        <f ca="1">IFERROR(__xludf.DUMMYFUNCTION("""COMPUTED_VALUE"""),"Dubai&gt;Downtown Dubai&gt;Old Town&gt;Yansoon&gt;Yansoon 5")</f>
        <v>Dubai&gt;Downtown Dubai&gt;Old Town&gt;Yansoon&gt;Yansoon 5</v>
      </c>
      <c r="E8711" s="2"/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W8711" s="2"/>
      <c r="X8711" s="2"/>
      <c r="Y8711" s="2"/>
      <c r="Z8711" s="2"/>
    </row>
    <row r="8712" spans="1:26" ht="16.5" x14ac:dyDescent="0.35">
      <c r="A8712" s="2" t="str">
        <f ca="1">IFERROR(__xludf.DUMMYFUNCTION("""COMPUTED_VALUE"""),"Dubai")</f>
        <v>Dubai</v>
      </c>
      <c r="B8712" s="2" t="str">
        <f ca="1">IFERROR(__xludf.DUMMYFUNCTION("""COMPUTED_VALUE"""),"Exquisite Living Residences")</f>
        <v>Exquisite Living Residences</v>
      </c>
      <c r="C8712" s="2" t="str">
        <f ca="1">IFERROR(__xludf.DUMMYFUNCTION("""COMPUTED_VALUE"""),"Building")</f>
        <v>Building</v>
      </c>
      <c r="D8712" s="2" t="str">
        <f ca="1">IFERROR(__xludf.DUMMYFUNCTION("""COMPUTED_VALUE"""),"Dubai&gt;Downtown Dubai&gt;Exquisite Living Residences")</f>
        <v>Dubai&gt;Downtown Dubai&gt;Exquisite Living Residences</v>
      </c>
      <c r="E8712" s="2"/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W8712" s="2"/>
      <c r="X8712" s="2"/>
      <c r="Y8712" s="2"/>
      <c r="Z8712" s="2"/>
    </row>
    <row r="8713" spans="1:26" ht="16.5" x14ac:dyDescent="0.35">
      <c r="A8713" s="2" t="str">
        <f ca="1">IFERROR(__xludf.DUMMYFUNCTION("""COMPUTED_VALUE"""),"Dubai")</f>
        <v>Dubai</v>
      </c>
      <c r="B8713" s="2" t="str">
        <f ca="1">IFERROR(__xludf.DUMMYFUNCTION("""COMPUTED_VALUE"""),"Vida Dubai Mall Tower 1")</f>
        <v>Vida Dubai Mall Tower 1</v>
      </c>
      <c r="C8713" s="2" t="str">
        <f ca="1">IFERROR(__xludf.DUMMYFUNCTION("""COMPUTED_VALUE"""),"Building")</f>
        <v>Building</v>
      </c>
      <c r="D8713" s="2" t="str">
        <f ca="1">IFERROR(__xludf.DUMMYFUNCTION("""COMPUTED_VALUE"""),"Dubai&gt;Downtown Dubai&gt;Vida Dubai Mall&gt;Vida Dubai Mall Tower 1")</f>
        <v>Dubai&gt;Downtown Dubai&gt;Vida Dubai Mall&gt;Vida Dubai Mall Tower 1</v>
      </c>
      <c r="E8713" s="2"/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W8713" s="2"/>
      <c r="X8713" s="2"/>
      <c r="Y8713" s="2"/>
      <c r="Z8713" s="2"/>
    </row>
    <row r="8714" spans="1:26" ht="16.5" x14ac:dyDescent="0.35">
      <c r="A8714" s="2" t="str">
        <f ca="1">IFERROR(__xludf.DUMMYFUNCTION("""COMPUTED_VALUE"""),"Dubai")</f>
        <v>Dubai</v>
      </c>
      <c r="B8714" s="2" t="str">
        <f ca="1">IFERROR(__xludf.DUMMYFUNCTION("""COMPUTED_VALUE"""),"Mazaya 25")</f>
        <v>Mazaya 25</v>
      </c>
      <c r="C8714" s="2" t="str">
        <f ca="1">IFERROR(__xludf.DUMMYFUNCTION("""COMPUTED_VALUE"""),"Building")</f>
        <v>Building</v>
      </c>
      <c r="D8714" s="2" t="str">
        <f ca="1">IFERROR(__xludf.DUMMYFUNCTION("""COMPUTED_VALUE"""),"Dubai&gt;Liwan&gt;Queue Point&gt;Mazaya 25")</f>
        <v>Dubai&gt;Liwan&gt;Queue Point&gt;Mazaya 25</v>
      </c>
      <c r="E8714" s="2"/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W8714" s="2"/>
      <c r="X8714" s="2"/>
      <c r="Y8714" s="2"/>
      <c r="Z8714" s="2"/>
    </row>
    <row r="8715" spans="1:26" ht="16.5" x14ac:dyDescent="0.35">
      <c r="A8715" s="2" t="str">
        <f ca="1">IFERROR(__xludf.DUMMYFUNCTION("""COMPUTED_VALUE"""),"Dubai")</f>
        <v>Dubai</v>
      </c>
      <c r="B8715" s="2" t="str">
        <f ca="1">IFERROR(__xludf.DUMMYFUNCTION("""COMPUTED_VALUE"""),"Celine by Vision")</f>
        <v>Celine by Vision</v>
      </c>
      <c r="C8715" s="2" t="str">
        <f ca="1">IFERROR(__xludf.DUMMYFUNCTION("""COMPUTED_VALUE"""),"Building")</f>
        <v>Building</v>
      </c>
      <c r="D8715" s="2" t="str">
        <f ca="1">IFERROR(__xludf.DUMMYFUNCTION("""COMPUTED_VALUE"""),"Dubai&gt;Liwan&gt;Celine by Vision")</f>
        <v>Dubai&gt;Liwan&gt;Celine by Vision</v>
      </c>
      <c r="E8715" s="2"/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W8715" s="2"/>
      <c r="X8715" s="2"/>
      <c r="Y8715" s="2"/>
      <c r="Z8715" s="2"/>
    </row>
    <row r="8716" spans="1:26" ht="16.5" x14ac:dyDescent="0.35">
      <c r="A8716" s="2" t="str">
        <f ca="1">IFERROR(__xludf.DUMMYFUNCTION("""COMPUTED_VALUE"""),"Dubai")</f>
        <v>Dubai</v>
      </c>
      <c r="B8716" s="2" t="str">
        <f ca="1">IFERROR(__xludf.DUMMYFUNCTION("""COMPUTED_VALUE"""),"Al Rais 4 Building")</f>
        <v>Al Rais 4 Building</v>
      </c>
      <c r="C8716" s="2" t="str">
        <f ca="1">IFERROR(__xludf.DUMMYFUNCTION("""COMPUTED_VALUE"""),"Building")</f>
        <v>Building</v>
      </c>
      <c r="D8716" s="2" t="str">
        <f ca="1">IFERROR(__xludf.DUMMYFUNCTION("""COMPUTED_VALUE"""),"Dubai&gt;Al Jafiliya&gt;Al Rais 4 Building")</f>
        <v>Dubai&gt;Al Jafiliya&gt;Al Rais 4 Building</v>
      </c>
      <c r="E8716" s="2"/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W8716" s="2"/>
      <c r="X8716" s="2"/>
      <c r="Y8716" s="2"/>
      <c r="Z8716" s="2"/>
    </row>
    <row r="8717" spans="1:26" ht="16.5" x14ac:dyDescent="0.35">
      <c r="A8717" s="2" t="str">
        <f ca="1">IFERROR(__xludf.DUMMYFUNCTION("""COMPUTED_VALUE"""),"Dubai")</f>
        <v>Dubai</v>
      </c>
      <c r="B8717" s="2" t="str">
        <f ca="1">IFERROR(__xludf.DUMMYFUNCTION("""COMPUTED_VALUE"""),"The Gate Village 11")</f>
        <v>The Gate Village 11</v>
      </c>
      <c r="C8717" s="2" t="str">
        <f ca="1">IFERROR(__xludf.DUMMYFUNCTION("""COMPUTED_VALUE"""),"Building")</f>
        <v>Building</v>
      </c>
      <c r="D8717" s="2" t="str">
        <f ca="1">IFERROR(__xludf.DUMMYFUNCTION("""COMPUTED_VALUE"""),"Dubai&gt;DIFC&gt;The Gate Village&gt;The Gate Village 11")</f>
        <v>Dubai&gt;DIFC&gt;The Gate Village&gt;The Gate Village 11</v>
      </c>
      <c r="E8717" s="2"/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W8717" s="2"/>
      <c r="X8717" s="2"/>
      <c r="Y8717" s="2"/>
      <c r="Z8717" s="2"/>
    </row>
    <row r="8718" spans="1:26" ht="16.5" x14ac:dyDescent="0.35">
      <c r="A8718" s="2" t="str">
        <f ca="1">IFERROR(__xludf.DUMMYFUNCTION("""COMPUTED_VALUE"""),"Dubai")</f>
        <v>Dubai</v>
      </c>
      <c r="B8718" s="2" t="str">
        <f ca="1">IFERROR(__xludf.DUMMYFUNCTION("""COMPUTED_VALUE"""),"Al Twar 2")</f>
        <v>Al Twar 2</v>
      </c>
      <c r="C8718" s="2" t="str">
        <f ca="1">IFERROR(__xludf.DUMMYFUNCTION("""COMPUTED_VALUE"""),"Neighbourhood")</f>
        <v>Neighbourhood</v>
      </c>
      <c r="D8718" s="2" t="str">
        <f ca="1">IFERROR(__xludf.DUMMYFUNCTION("""COMPUTED_VALUE"""),"Dubai&gt;Al Twar&gt;Al Twar 2")</f>
        <v>Dubai&gt;Al Twar&gt;Al Twar 2</v>
      </c>
      <c r="E8718" s="2"/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W8718" s="2"/>
      <c r="X8718" s="2"/>
      <c r="Y8718" s="2"/>
      <c r="Z8718" s="2"/>
    </row>
    <row r="8719" spans="1:26" ht="16.5" x14ac:dyDescent="0.35">
      <c r="A8719" s="2" t="str">
        <f ca="1">IFERROR(__xludf.DUMMYFUNCTION("""COMPUTED_VALUE"""),"Dubai")</f>
        <v>Dubai</v>
      </c>
      <c r="B8719" s="2" t="str">
        <f ca="1">IFERROR(__xludf.DUMMYFUNCTION("""COMPUTED_VALUE"""),"EIBFS 3 Building")</f>
        <v>EIBFS 3 Building</v>
      </c>
      <c r="C8719" s="2" t="str">
        <f ca="1">IFERROR(__xludf.DUMMYFUNCTION("""COMPUTED_VALUE"""),"Building")</f>
        <v>Building</v>
      </c>
      <c r="D8719" s="2" t="str">
        <f ca="1">IFERROR(__xludf.DUMMYFUNCTION("""COMPUTED_VALUE"""),"Dubai&gt;Al Warqaa&gt;Al Warqaa 1&gt;EIBFS 3 Building")</f>
        <v>Dubai&gt;Al Warqaa&gt;Al Warqaa 1&gt;EIBFS 3 Building</v>
      </c>
      <c r="E8719" s="2"/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</row>
    <row r="8720" spans="1:26" ht="16.5" x14ac:dyDescent="0.35">
      <c r="A8720" s="2" t="str">
        <f ca="1">IFERROR(__xludf.DUMMYFUNCTION("""COMPUTED_VALUE"""),"Dubai")</f>
        <v>Dubai</v>
      </c>
      <c r="B8720" s="2" t="str">
        <f ca="1">IFERROR(__xludf.DUMMYFUNCTION("""COMPUTED_VALUE"""),"The Lark Building")</f>
        <v>The Lark Building</v>
      </c>
      <c r="C8720" s="2" t="str">
        <f ca="1">IFERROR(__xludf.DUMMYFUNCTION("""COMPUTED_VALUE"""),"Building")</f>
        <v>Building</v>
      </c>
      <c r="D8720" s="2" t="str">
        <f ca="1">IFERROR(__xludf.DUMMYFUNCTION("""COMPUTED_VALUE"""),"Dubai&gt;Al Warqaa&gt;Al Warqaa 1&gt;The Lark Building")</f>
        <v>Dubai&gt;Al Warqaa&gt;Al Warqaa 1&gt;The Lark Building</v>
      </c>
      <c r="E8720" s="2"/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</row>
    <row r="8721" spans="1:26" ht="16.5" x14ac:dyDescent="0.35">
      <c r="A8721" s="2" t="str">
        <f ca="1">IFERROR(__xludf.DUMMYFUNCTION("""COMPUTED_VALUE"""),"Dubai")</f>
        <v>Dubai</v>
      </c>
      <c r="B8721" s="2" t="str">
        <f ca="1">IFERROR(__xludf.DUMMYFUNCTION("""COMPUTED_VALUE"""),"Nabil A.R. Gargash Building")</f>
        <v>Nabil A.R. Gargash Building</v>
      </c>
      <c r="C8721" s="2" t="str">
        <f ca="1">IFERROR(__xludf.DUMMYFUNCTION("""COMPUTED_VALUE"""),"Building")</f>
        <v>Building</v>
      </c>
      <c r="D8721" s="2" t="str">
        <f ca="1">IFERROR(__xludf.DUMMYFUNCTION("""COMPUTED_VALUE"""),"Dubai&gt;Al Warqaa&gt;Al Warqaa 1&gt;Nabil A.R. Gargash Building")</f>
        <v>Dubai&gt;Al Warqaa&gt;Al Warqaa 1&gt;Nabil A.R. Gargash Building</v>
      </c>
      <c r="E8721" s="2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</row>
    <row r="8722" spans="1:26" ht="16.5" x14ac:dyDescent="0.35">
      <c r="A8722" s="2" t="str">
        <f ca="1">IFERROR(__xludf.DUMMYFUNCTION("""COMPUTED_VALUE"""),"Dubai")</f>
        <v>Dubai</v>
      </c>
      <c r="B8722" s="2" t="str">
        <f ca="1">IFERROR(__xludf.DUMMYFUNCTION("""COMPUTED_VALUE"""),"Ahmed Abdulla Rashed Juma Bin Eid Falasi Building")</f>
        <v>Ahmed Abdulla Rashed Juma Bin Eid Falasi Building</v>
      </c>
      <c r="C8722" s="2" t="str">
        <f ca="1">IFERROR(__xludf.DUMMYFUNCTION("""COMPUTED_VALUE"""),"Building")</f>
        <v>Building</v>
      </c>
      <c r="D8722" s="2" t="str">
        <f ca="1">IFERROR(__xludf.DUMMYFUNCTION("""COMPUTED_VALUE"""),"Dubai&gt;Al Warqaa&gt;Al Warqaa 1&gt;Ahmed Abdulla Rashed Juma Bin Eid Falasi Building")</f>
        <v>Dubai&gt;Al Warqaa&gt;Al Warqaa 1&gt;Ahmed Abdulla Rashed Juma Bin Eid Falasi Building</v>
      </c>
      <c r="E8722" s="2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</row>
    <row r="8723" spans="1:26" ht="16.5" x14ac:dyDescent="0.35">
      <c r="A8723" s="2" t="str">
        <f ca="1">IFERROR(__xludf.DUMMYFUNCTION("""COMPUTED_VALUE"""),"Dubai")</f>
        <v>Dubai</v>
      </c>
      <c r="B8723" s="2" t="str">
        <f ca="1">IFERROR(__xludf.DUMMYFUNCTION("""COMPUTED_VALUE"""),"JLT Cluster C")</f>
        <v>JLT Cluster C</v>
      </c>
      <c r="C8723" s="2" t="str">
        <f ca="1">IFERROR(__xludf.DUMMYFUNCTION("""COMPUTED_VALUE"""),"Cluster")</f>
        <v>Cluster</v>
      </c>
      <c r="D8723" s="2" t="str">
        <f ca="1">IFERROR(__xludf.DUMMYFUNCTION("""COMPUTED_VALUE"""),"Dubai&gt;Jumeirah Lake Towers (JLT)&gt;JLT Cluster C")</f>
        <v>Dubai&gt;Jumeirah Lake Towers (JLT)&gt;JLT Cluster C</v>
      </c>
      <c r="E8723" s="2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</row>
    <row r="8724" spans="1:26" ht="16.5" x14ac:dyDescent="0.35">
      <c r="A8724" s="2" t="str">
        <f ca="1">IFERROR(__xludf.DUMMYFUNCTION("""COMPUTED_VALUE"""),"Dubai")</f>
        <v>Dubai</v>
      </c>
      <c r="B8724" s="2" t="str">
        <f ca="1">IFERROR(__xludf.DUMMYFUNCTION("""COMPUTED_VALUE"""),"Bonnington Tower")</f>
        <v>Bonnington Tower</v>
      </c>
      <c r="C8724" s="2" t="str">
        <f ca="1">IFERROR(__xludf.DUMMYFUNCTION("""COMPUTED_VALUE"""),"Building")</f>
        <v>Building</v>
      </c>
      <c r="D8724" s="2" t="str">
        <f ca="1">IFERROR(__xludf.DUMMYFUNCTION("""COMPUTED_VALUE"""),"Dubai&gt;Jumeirah Lake Towers (JLT)&gt;JLT Cluster J&gt;Bonnington Tower")</f>
        <v>Dubai&gt;Jumeirah Lake Towers (JLT)&gt;JLT Cluster J&gt;Bonnington Tower</v>
      </c>
      <c r="E8724" s="2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</row>
    <row r="8725" spans="1:26" ht="16.5" x14ac:dyDescent="0.35">
      <c r="A8725" s="2" t="str">
        <f ca="1">IFERROR(__xludf.DUMMYFUNCTION("""COMPUTED_VALUE"""),"Dubai")</f>
        <v>Dubai</v>
      </c>
      <c r="B8725" s="2" t="str">
        <f ca="1">IFERROR(__xludf.DUMMYFUNCTION("""COMPUTED_VALUE"""),"JLT Cluster R")</f>
        <v>JLT Cluster R</v>
      </c>
      <c r="C8725" s="2" t="str">
        <f ca="1">IFERROR(__xludf.DUMMYFUNCTION("""COMPUTED_VALUE"""),"Cluster")</f>
        <v>Cluster</v>
      </c>
      <c r="D8725" s="2" t="str">
        <f ca="1">IFERROR(__xludf.DUMMYFUNCTION("""COMPUTED_VALUE"""),"Dubai&gt;Jumeirah Lake Towers (JLT)&gt;JLT Cluster R")</f>
        <v>Dubai&gt;Jumeirah Lake Towers (JLT)&gt;JLT Cluster R</v>
      </c>
      <c r="E8725" s="2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</row>
    <row r="8726" spans="1:26" ht="16.5" x14ac:dyDescent="0.35">
      <c r="A8726" s="2" t="str">
        <f ca="1">IFERROR(__xludf.DUMMYFUNCTION("""COMPUTED_VALUE"""),"Dubai")</f>
        <v>Dubai</v>
      </c>
      <c r="B8726" s="2" t="str">
        <f ca="1">IFERROR(__xludf.DUMMYFUNCTION("""COMPUTED_VALUE"""),"Lake Shore Tower")</f>
        <v>Lake Shore Tower</v>
      </c>
      <c r="C8726" s="2" t="str">
        <f ca="1">IFERROR(__xludf.DUMMYFUNCTION("""COMPUTED_VALUE"""),"Building")</f>
        <v>Building</v>
      </c>
      <c r="D8726" s="2" t="str">
        <f ca="1">IFERROR(__xludf.DUMMYFUNCTION("""COMPUTED_VALUE"""),"Dubai&gt;Jumeirah Lake Towers (JLT)&gt;JLT Cluster Y&gt;Lake Shore Tower")</f>
        <v>Dubai&gt;Jumeirah Lake Towers (JLT)&gt;JLT Cluster Y&gt;Lake Shore Tower</v>
      </c>
      <c r="E8726" s="2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</row>
    <row r="8727" spans="1:26" ht="16.5" x14ac:dyDescent="0.35">
      <c r="A8727" s="2" t="str">
        <f ca="1">IFERROR(__xludf.DUMMYFUNCTION("""COMPUTED_VALUE"""),"Dubai")</f>
        <v>Dubai</v>
      </c>
      <c r="B8727" s="2" t="str">
        <f ca="1">IFERROR(__xludf.DUMMYFUNCTION("""COMPUTED_VALUE"""),"Arabella 2")</f>
        <v>Arabella 2</v>
      </c>
      <c r="C8727" s="2" t="str">
        <f ca="1">IFERROR(__xludf.DUMMYFUNCTION("""COMPUTED_VALUE"""),"Neighbourhood")</f>
        <v>Neighbourhood</v>
      </c>
      <c r="D8727" s="2" t="str">
        <f ca="1">IFERROR(__xludf.DUMMYFUNCTION("""COMPUTED_VALUE"""),"Dubai&gt;Mudon&gt;Arabella Townhouses&gt;Arabella 2")</f>
        <v>Dubai&gt;Mudon&gt;Arabella Townhouses&gt;Arabella 2</v>
      </c>
      <c r="E8727" s="2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</row>
    <row r="8728" spans="1:26" ht="16.5" x14ac:dyDescent="0.35">
      <c r="A8728" s="2" t="str">
        <f ca="1">IFERROR(__xludf.DUMMYFUNCTION("""COMPUTED_VALUE"""),"Dubai")</f>
        <v>Dubai</v>
      </c>
      <c r="B8728" s="2" t="str">
        <f ca="1">IFERROR(__xludf.DUMMYFUNCTION("""COMPUTED_VALUE"""),"GEMS Wellington Primary School")</f>
        <v>GEMS Wellington Primary School</v>
      </c>
      <c r="C8728" s="2" t="str">
        <f ca="1">IFERROR(__xludf.DUMMYFUNCTION("""COMPUTED_VALUE"""),"School")</f>
        <v>School</v>
      </c>
      <c r="D8728" s="2" t="str">
        <f ca="1">IFERROR(__xludf.DUMMYFUNCTION("""COMPUTED_VALUE"""),"Dubai&gt;Al Satwa&gt;GEMS Wellington Primary School")</f>
        <v>Dubai&gt;Al Satwa&gt;GEMS Wellington Primary School</v>
      </c>
      <c r="E8728" s="2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</row>
    <row r="8729" spans="1:26" ht="16.5" x14ac:dyDescent="0.35">
      <c r="A8729" s="2" t="str">
        <f ca="1">IFERROR(__xludf.DUMMYFUNCTION("""COMPUTED_VALUE"""),"Dubai")</f>
        <v>Dubai</v>
      </c>
      <c r="B8729" s="2" t="str">
        <f ca="1">IFERROR(__xludf.DUMMYFUNCTION("""COMPUTED_VALUE"""),"Durrah Garden")</f>
        <v>Durrah Garden</v>
      </c>
      <c r="C8729" s="2" t="str">
        <f ca="1">IFERROR(__xludf.DUMMYFUNCTION("""COMPUTED_VALUE"""),"Building")</f>
        <v>Building</v>
      </c>
      <c r="D8729" s="2" t="str">
        <f ca="1">IFERROR(__xludf.DUMMYFUNCTION("""COMPUTED_VALUE"""),"Dubai&gt;Al Satwa&gt;Jumeirah Garden City&gt;Durrah Garden")</f>
        <v>Dubai&gt;Al Satwa&gt;Jumeirah Garden City&gt;Durrah Garden</v>
      </c>
      <c r="E8729" s="2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</row>
    <row r="8730" spans="1:26" ht="16.5" x14ac:dyDescent="0.35">
      <c r="A8730" s="2" t="str">
        <f ca="1">IFERROR(__xludf.DUMMYFUNCTION("""COMPUTED_VALUE"""),"Dubai")</f>
        <v>Dubai</v>
      </c>
      <c r="B8730" s="2" t="str">
        <f ca="1">IFERROR(__xludf.DUMMYFUNCTION("""COMPUTED_VALUE"""),"Al Fahad 7 Building")</f>
        <v>Al Fahad 7 Building</v>
      </c>
      <c r="C8730" s="2" t="str">
        <f ca="1">IFERROR(__xludf.DUMMYFUNCTION("""COMPUTED_VALUE"""),"Building")</f>
        <v>Building</v>
      </c>
      <c r="D8730" s="2" t="str">
        <f ca="1">IFERROR(__xludf.DUMMYFUNCTION("""COMPUTED_VALUE"""),"Dubai&gt;Al Satwa&gt;Jumeirah Garden City&gt;Al Fahad 7 Building")</f>
        <v>Dubai&gt;Al Satwa&gt;Jumeirah Garden City&gt;Al Fahad 7 Building</v>
      </c>
      <c r="E8730" s="2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</row>
    <row r="8731" spans="1:26" ht="16.5" x14ac:dyDescent="0.35">
      <c r="A8731" s="2" t="str">
        <f ca="1">IFERROR(__xludf.DUMMYFUNCTION("""COMPUTED_VALUE"""),"Dubai")</f>
        <v>Dubai</v>
      </c>
      <c r="B8731" s="2" t="str">
        <f ca="1">IFERROR(__xludf.DUMMYFUNCTION("""COMPUTED_VALUE"""),"Olivia Garden Residence")</f>
        <v>Olivia Garden Residence</v>
      </c>
      <c r="C8731" s="2" t="str">
        <f ca="1">IFERROR(__xludf.DUMMYFUNCTION("""COMPUTED_VALUE"""),"Building")</f>
        <v>Building</v>
      </c>
      <c r="D8731" s="2" t="str">
        <f ca="1">IFERROR(__xludf.DUMMYFUNCTION("""COMPUTED_VALUE"""),"Dubai&gt;Al Satwa&gt;Jumeirah Garden City&gt;Olivia Garden Residence")</f>
        <v>Dubai&gt;Al Satwa&gt;Jumeirah Garden City&gt;Olivia Garden Residence</v>
      </c>
      <c r="E8731" s="2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</row>
    <row r="8732" spans="1:26" ht="16.5" x14ac:dyDescent="0.35">
      <c r="A8732" s="2" t="str">
        <f ca="1">IFERROR(__xludf.DUMMYFUNCTION("""COMPUTED_VALUE"""),"Dubai")</f>
        <v>Dubai</v>
      </c>
      <c r="B8732" s="2" t="str">
        <f ca="1">IFERROR(__xludf.DUMMYFUNCTION("""COMPUTED_VALUE"""),"Al Fahad 8 Building")</f>
        <v>Al Fahad 8 Building</v>
      </c>
      <c r="C8732" s="2" t="str">
        <f ca="1">IFERROR(__xludf.DUMMYFUNCTION("""COMPUTED_VALUE"""),"Building")</f>
        <v>Building</v>
      </c>
      <c r="D8732" s="2" t="str">
        <f ca="1">IFERROR(__xludf.DUMMYFUNCTION("""COMPUTED_VALUE"""),"Dubai&gt;Al Satwa&gt;Al Fahad 8 Building")</f>
        <v>Dubai&gt;Al Satwa&gt;Al Fahad 8 Building</v>
      </c>
      <c r="E8732" s="2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</row>
    <row r="8733" spans="1:26" ht="16.5" x14ac:dyDescent="0.35">
      <c r="A8733" s="2" t="str">
        <f ca="1">IFERROR(__xludf.DUMMYFUNCTION("""COMPUTED_VALUE"""),"Dubai")</f>
        <v>Dubai</v>
      </c>
      <c r="B8733" s="2" t="str">
        <f ca="1">IFERROR(__xludf.DUMMYFUNCTION("""COMPUTED_VALUE"""),"Building 113")</f>
        <v>Building 113</v>
      </c>
      <c r="C8733" s="2" t="str">
        <f ca="1">IFERROR(__xludf.DUMMYFUNCTION("""COMPUTED_VALUE"""),"Building")</f>
        <v>Building</v>
      </c>
      <c r="D8733" s="2" t="str">
        <f ca="1">IFERROR(__xludf.DUMMYFUNCTION("""COMPUTED_VALUE"""),"Dubai&gt;Discovery Gardens&gt;Contemporary&gt;Building 113")</f>
        <v>Dubai&gt;Discovery Gardens&gt;Contemporary&gt;Building 113</v>
      </c>
      <c r="E8733" s="2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</row>
    <row r="8734" spans="1:26" ht="16.5" x14ac:dyDescent="0.35">
      <c r="A8734" s="2" t="str">
        <f ca="1">IFERROR(__xludf.DUMMYFUNCTION("""COMPUTED_VALUE"""),"Dubai")</f>
        <v>Dubai</v>
      </c>
      <c r="B8734" s="2" t="str">
        <f ca="1">IFERROR(__xludf.DUMMYFUNCTION("""COMPUTED_VALUE"""),"Building 246")</f>
        <v>Building 246</v>
      </c>
      <c r="C8734" s="2" t="str">
        <f ca="1">IFERROR(__xludf.DUMMYFUNCTION("""COMPUTED_VALUE"""),"Building")</f>
        <v>Building</v>
      </c>
      <c r="D8734" s="2" t="str">
        <f ca="1">IFERROR(__xludf.DUMMYFUNCTION("""COMPUTED_VALUE"""),"Dubai&gt;Discovery Gardens&gt;Mesoamerican&gt;Building 246")</f>
        <v>Dubai&gt;Discovery Gardens&gt;Mesoamerican&gt;Building 246</v>
      </c>
      <c r="E8734" s="2"/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</row>
    <row r="8735" spans="1:26" ht="16.5" x14ac:dyDescent="0.35">
      <c r="A8735" s="2" t="str">
        <f ca="1">IFERROR(__xludf.DUMMYFUNCTION("""COMPUTED_VALUE"""),"Dubai")</f>
        <v>Dubai</v>
      </c>
      <c r="B8735" s="2" t="str">
        <f ca="1">IFERROR(__xludf.DUMMYFUNCTION("""COMPUTED_VALUE"""),"Building 207")</f>
        <v>Building 207</v>
      </c>
      <c r="C8735" s="2" t="str">
        <f ca="1">IFERROR(__xludf.DUMMYFUNCTION("""COMPUTED_VALUE"""),"Building")</f>
        <v>Building</v>
      </c>
      <c r="D8735" s="2" t="str">
        <f ca="1">IFERROR(__xludf.DUMMYFUNCTION("""COMPUTED_VALUE"""),"Dubai&gt;Discovery Gardens&gt;Mogul&gt;Building 207")</f>
        <v>Dubai&gt;Discovery Gardens&gt;Mogul&gt;Building 207</v>
      </c>
      <c r="E8735" s="2"/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</row>
    <row r="8736" spans="1:26" ht="16.5" x14ac:dyDescent="0.35">
      <c r="A8736" s="2" t="str">
        <f ca="1">IFERROR(__xludf.DUMMYFUNCTION("""COMPUTED_VALUE"""),"Dubai")</f>
        <v>Dubai</v>
      </c>
      <c r="B8736" s="2" t="str">
        <f ca="1">IFERROR(__xludf.DUMMYFUNCTION("""COMPUTED_VALUE"""),"Building 201")</f>
        <v>Building 201</v>
      </c>
      <c r="C8736" s="2" t="str">
        <f ca="1">IFERROR(__xludf.DUMMYFUNCTION("""COMPUTED_VALUE"""),"Building")</f>
        <v>Building</v>
      </c>
      <c r="D8736" s="2" t="str">
        <f ca="1">IFERROR(__xludf.DUMMYFUNCTION("""COMPUTED_VALUE"""),"Dubai&gt;Discovery Gardens&gt;Mogul&gt;Building 201")</f>
        <v>Dubai&gt;Discovery Gardens&gt;Mogul&gt;Building 201</v>
      </c>
      <c r="E8736" s="2"/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</row>
    <row r="8737" spans="1:26" ht="16.5" x14ac:dyDescent="0.35">
      <c r="A8737" s="2" t="str">
        <f ca="1">IFERROR(__xludf.DUMMYFUNCTION("""COMPUTED_VALUE"""),"Dubai")</f>
        <v>Dubai</v>
      </c>
      <c r="B8737" s="2" t="str">
        <f ca="1">IFERROR(__xludf.DUMMYFUNCTION("""COMPUTED_VALUE"""),"Building 29")</f>
        <v>Building 29</v>
      </c>
      <c r="C8737" s="2" t="str">
        <f ca="1">IFERROR(__xludf.DUMMYFUNCTION("""COMPUTED_VALUE"""),"Building")</f>
        <v>Building</v>
      </c>
      <c r="D8737" s="2" t="str">
        <f ca="1">IFERROR(__xludf.DUMMYFUNCTION("""COMPUTED_VALUE"""),"Dubai&gt;Discovery Gardens&gt;Zen Cluster&gt;Building 29")</f>
        <v>Dubai&gt;Discovery Gardens&gt;Zen Cluster&gt;Building 29</v>
      </c>
      <c r="E8737" s="2"/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</row>
    <row r="8738" spans="1:26" ht="16.5" x14ac:dyDescent="0.35">
      <c r="A8738" s="2" t="str">
        <f ca="1">IFERROR(__xludf.DUMMYFUNCTION("""COMPUTED_VALUE"""),"Dubai")</f>
        <v>Dubai</v>
      </c>
      <c r="B8738" s="2" t="str">
        <f ca="1">IFERROR(__xludf.DUMMYFUNCTION("""COMPUTED_VALUE"""),"Building 70")</f>
        <v>Building 70</v>
      </c>
      <c r="C8738" s="2" t="str">
        <f ca="1">IFERROR(__xludf.DUMMYFUNCTION("""COMPUTED_VALUE"""),"Building")</f>
        <v>Building</v>
      </c>
      <c r="D8738" s="2" t="str">
        <f ca="1">IFERROR(__xludf.DUMMYFUNCTION("""COMPUTED_VALUE"""),"Dubai&gt;Discovery Gardens&gt;Mediterranean&gt;Building 70")</f>
        <v>Dubai&gt;Discovery Gardens&gt;Mediterranean&gt;Building 70</v>
      </c>
      <c r="E8738" s="2"/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</row>
    <row r="8739" spans="1:26" ht="16.5" x14ac:dyDescent="0.35">
      <c r="A8739" s="2" t="str">
        <f ca="1">IFERROR(__xludf.DUMMYFUNCTION("""COMPUTED_VALUE"""),"Dubai")</f>
        <v>Dubai</v>
      </c>
      <c r="B8739" s="2" t="str">
        <f ca="1">IFERROR(__xludf.DUMMYFUNCTION("""COMPUTED_VALUE"""),"Building 79")</f>
        <v>Building 79</v>
      </c>
      <c r="C8739" s="2" t="str">
        <f ca="1">IFERROR(__xludf.DUMMYFUNCTION("""COMPUTED_VALUE"""),"Building")</f>
        <v>Building</v>
      </c>
      <c r="D8739" s="2" t="str">
        <f ca="1">IFERROR(__xludf.DUMMYFUNCTION("""COMPUTED_VALUE"""),"Dubai&gt;Discovery Gardens&gt;Mediterranean&gt;Building 79")</f>
        <v>Dubai&gt;Discovery Gardens&gt;Mediterranean&gt;Building 79</v>
      </c>
      <c r="E8739" s="2"/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</row>
    <row r="8740" spans="1:26" ht="16.5" x14ac:dyDescent="0.35">
      <c r="A8740" s="2" t="str">
        <f ca="1">IFERROR(__xludf.DUMMYFUNCTION("""COMPUTED_VALUE"""),"Dubai")</f>
        <v>Dubai</v>
      </c>
      <c r="B8740" s="2" t="str">
        <f ca="1">IFERROR(__xludf.DUMMYFUNCTION("""COMPUTED_VALUE"""),"Balqis Residence")</f>
        <v>Balqis Residence</v>
      </c>
      <c r="C8740" s="2" t="str">
        <f ca="1">IFERROR(__xludf.DUMMYFUNCTION("""COMPUTED_VALUE"""),"Cluster")</f>
        <v>Cluster</v>
      </c>
      <c r="D8740" s="2" t="str">
        <f ca="1">IFERROR(__xludf.DUMMYFUNCTION("""COMPUTED_VALUE"""),"Dubai&gt;Palm Jumeirah&gt;Kingdom of Sheba&gt;Balqis Residence")</f>
        <v>Dubai&gt;Palm Jumeirah&gt;Kingdom of Sheba&gt;Balqis Residence</v>
      </c>
      <c r="E8740" s="2"/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W8740" s="2"/>
      <c r="X8740" s="2"/>
      <c r="Y8740" s="2"/>
      <c r="Z8740" s="2"/>
    </row>
    <row r="8741" spans="1:26" ht="16.5" x14ac:dyDescent="0.35">
      <c r="A8741" s="2" t="str">
        <f ca="1">IFERROR(__xludf.DUMMYFUNCTION("""COMPUTED_VALUE"""),"Dubai")</f>
        <v>Dubai</v>
      </c>
      <c r="B8741" s="2" t="str">
        <f ca="1">IFERROR(__xludf.DUMMYFUNCTION("""COMPUTED_VALUE"""),"Al Hallawi")</f>
        <v>Al Hallawi</v>
      </c>
      <c r="C8741" s="2" t="str">
        <f ca="1">IFERROR(__xludf.DUMMYFUNCTION("""COMPUTED_VALUE"""),"Building")</f>
        <v>Building</v>
      </c>
      <c r="D8741" s="2" t="str">
        <f ca="1">IFERROR(__xludf.DUMMYFUNCTION("""COMPUTED_VALUE"""),"Dubai&gt;Palm Jumeirah&gt;Shoreline Apartments&gt;Al Hallawi")</f>
        <v>Dubai&gt;Palm Jumeirah&gt;Shoreline Apartments&gt;Al Hallawi</v>
      </c>
      <c r="E8741" s="2"/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</row>
    <row r="8742" spans="1:26" ht="16.5" x14ac:dyDescent="0.35">
      <c r="A8742" s="2" t="str">
        <f ca="1">IFERROR(__xludf.DUMMYFUNCTION("""COMPUTED_VALUE"""),"Dubai")</f>
        <v>Dubai</v>
      </c>
      <c r="B8742" s="2" t="str">
        <f ca="1">IFERROR(__xludf.DUMMYFUNCTION("""COMPUTED_VALUE"""),"Signature Villas Frond O")</f>
        <v>Signature Villas Frond O</v>
      </c>
      <c r="C8742" s="2" t="str">
        <f ca="1">IFERROR(__xludf.DUMMYFUNCTION("""COMPUTED_VALUE"""),"Neighbourhood")</f>
        <v>Neighbourhood</v>
      </c>
      <c r="D8742" s="2" t="str">
        <f ca="1">IFERROR(__xludf.DUMMYFUNCTION("""COMPUTED_VALUE"""),"Dubai&gt;Palm Jumeirah&gt;Signature Villas Palm Jumeirah&gt;Signature Villas Frond O")</f>
        <v>Dubai&gt;Palm Jumeirah&gt;Signature Villas Palm Jumeirah&gt;Signature Villas Frond O</v>
      </c>
      <c r="E8742" s="2"/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</row>
    <row r="8743" spans="1:26" ht="16.5" x14ac:dyDescent="0.35">
      <c r="A8743" s="2" t="str">
        <f ca="1">IFERROR(__xludf.DUMMYFUNCTION("""COMPUTED_VALUE"""),"Dubai")</f>
        <v>Dubai</v>
      </c>
      <c r="B8743" s="2" t="str">
        <f ca="1">IFERROR(__xludf.DUMMYFUNCTION("""COMPUTED_VALUE"""),"Marina Residences 4")</f>
        <v>Marina Residences 4</v>
      </c>
      <c r="C8743" s="2" t="str">
        <f ca="1">IFERROR(__xludf.DUMMYFUNCTION("""COMPUTED_VALUE"""),"Building")</f>
        <v>Building</v>
      </c>
      <c r="D8743" s="2" t="str">
        <f ca="1">IFERROR(__xludf.DUMMYFUNCTION("""COMPUTED_VALUE"""),"Dubai&gt;Palm Jumeirah&gt;Marina Residences&gt;Marina Residences 4")</f>
        <v>Dubai&gt;Palm Jumeirah&gt;Marina Residences&gt;Marina Residences 4</v>
      </c>
      <c r="E8743" s="2"/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</row>
    <row r="8744" spans="1:26" ht="16.5" x14ac:dyDescent="0.35">
      <c r="A8744" s="2" t="str">
        <f ca="1">IFERROR(__xludf.DUMMYFUNCTION("""COMPUTED_VALUE"""),"Dubai")</f>
        <v>Dubai</v>
      </c>
      <c r="B8744" s="2" t="str">
        <f ca="1">IFERROR(__xludf.DUMMYFUNCTION("""COMPUTED_VALUE"""),"Garden Homes Frond D")</f>
        <v>Garden Homes Frond D</v>
      </c>
      <c r="C8744" s="2" t="str">
        <f ca="1">IFERROR(__xludf.DUMMYFUNCTION("""COMPUTED_VALUE"""),"Neighbourhood")</f>
        <v>Neighbourhood</v>
      </c>
      <c r="D8744" s="2" t="str">
        <f ca="1">IFERROR(__xludf.DUMMYFUNCTION("""COMPUTED_VALUE"""),"Dubai&gt;Palm Jumeirah&gt;Garden Homes Palm Jumeirah&gt;Garden Homes Frond D")</f>
        <v>Dubai&gt;Palm Jumeirah&gt;Garden Homes Palm Jumeirah&gt;Garden Homes Frond D</v>
      </c>
      <c r="E8744" s="2"/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</row>
    <row r="8745" spans="1:26" ht="16.5" x14ac:dyDescent="0.35">
      <c r="A8745" s="2" t="str">
        <f ca="1">IFERROR(__xludf.DUMMYFUNCTION("""COMPUTED_VALUE"""),"Dubai")</f>
        <v>Dubai</v>
      </c>
      <c r="B8745" s="2" t="str">
        <f ca="1">IFERROR(__xludf.DUMMYFUNCTION("""COMPUTED_VALUE"""),"Canal Cove Frond O")</f>
        <v>Canal Cove Frond O</v>
      </c>
      <c r="C8745" s="2" t="str">
        <f ca="1">IFERROR(__xludf.DUMMYFUNCTION("""COMPUTED_VALUE"""),"Neighbourhood")</f>
        <v>Neighbourhood</v>
      </c>
      <c r="D8745" s="2" t="str">
        <f ca="1">IFERROR(__xludf.DUMMYFUNCTION("""COMPUTED_VALUE"""),"Dubai&gt;Palm Jumeirah&gt;Canal Cove&gt;Canal Cove Frond O")</f>
        <v>Dubai&gt;Palm Jumeirah&gt;Canal Cove&gt;Canal Cove Frond O</v>
      </c>
      <c r="E8745" s="2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</row>
    <row r="8746" spans="1:26" ht="16.5" x14ac:dyDescent="0.35">
      <c r="A8746" s="2" t="str">
        <f ca="1">IFERROR(__xludf.DUMMYFUNCTION("""COMPUTED_VALUE"""),"Dubai")</f>
        <v>Dubai</v>
      </c>
      <c r="B8746" s="2" t="str">
        <f ca="1">IFERROR(__xludf.DUMMYFUNCTION("""COMPUTED_VALUE"""),"The Grandeur Residences Villas")</f>
        <v>The Grandeur Residences Villas</v>
      </c>
      <c r="C8746" s="2" t="str">
        <f ca="1">IFERROR(__xludf.DUMMYFUNCTION("""COMPUTED_VALUE"""),"Neighbourhood")</f>
        <v>Neighbourhood</v>
      </c>
      <c r="D8746" s="2" t="str">
        <f ca="1">IFERROR(__xludf.DUMMYFUNCTION("""COMPUTED_VALUE"""),"Dubai&gt;Palm Jumeirah&gt;The Grandeur Residences Villas")</f>
        <v>Dubai&gt;Palm Jumeirah&gt;The Grandeur Residences Villas</v>
      </c>
      <c r="E8746" s="2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</row>
    <row r="8747" spans="1:26" ht="16.5" x14ac:dyDescent="0.35">
      <c r="A8747" s="2" t="str">
        <f ca="1">IFERROR(__xludf.DUMMYFUNCTION("""COMPUTED_VALUE"""),"Dubai")</f>
        <v>Dubai</v>
      </c>
      <c r="B8747" s="2" t="str">
        <f ca="1">IFERROR(__xludf.DUMMYFUNCTION("""COMPUTED_VALUE"""),"Jaddaf Place")</f>
        <v>Jaddaf Place</v>
      </c>
      <c r="C8747" s="2" t="str">
        <f ca="1">IFERROR(__xludf.DUMMYFUNCTION("""COMPUTED_VALUE"""),"Building")</f>
        <v>Building</v>
      </c>
      <c r="D8747" s="2" t="str">
        <f ca="1">IFERROR(__xludf.DUMMYFUNCTION("""COMPUTED_VALUE"""),"Dubai&gt;Al Jaddaf&gt;Jaddaf Place")</f>
        <v>Dubai&gt;Al Jaddaf&gt;Jaddaf Place</v>
      </c>
      <c r="E8747" s="2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</row>
    <row r="8748" spans="1:26" ht="16.5" x14ac:dyDescent="0.35">
      <c r="A8748" s="2" t="str">
        <f ca="1">IFERROR(__xludf.DUMMYFUNCTION("""COMPUTED_VALUE"""),"Dubai")</f>
        <v>Dubai</v>
      </c>
      <c r="B8748" s="2" t="str">
        <f ca="1">IFERROR(__xludf.DUMMYFUNCTION("""COMPUTED_VALUE"""),"Al Khayyal Building 141")</f>
        <v>Al Khayyal Building 141</v>
      </c>
      <c r="C8748" s="2" t="str">
        <f ca="1">IFERROR(__xludf.DUMMYFUNCTION("""COMPUTED_VALUE"""),"Building")</f>
        <v>Building</v>
      </c>
      <c r="D8748" s="2" t="str">
        <f ca="1">IFERROR(__xludf.DUMMYFUNCTION("""COMPUTED_VALUE"""),"Dubai&gt;Al Jaddaf&gt;Al Khayyal Building 141")</f>
        <v>Dubai&gt;Al Jaddaf&gt;Al Khayyal Building 141</v>
      </c>
      <c r="E8748" s="2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</row>
    <row r="8749" spans="1:26" ht="16.5" x14ac:dyDescent="0.35">
      <c r="A8749" s="2" t="str">
        <f ca="1">IFERROR(__xludf.DUMMYFUNCTION("""COMPUTED_VALUE"""),"Dubai")</f>
        <v>Dubai</v>
      </c>
      <c r="B8749" s="2" t="str">
        <f ca="1">IFERROR(__xludf.DUMMYFUNCTION("""COMPUTED_VALUE"""),"DoubleTree By Hilton")</f>
        <v>DoubleTree By Hilton</v>
      </c>
      <c r="C8749" s="2" t="str">
        <f ca="1">IFERROR(__xludf.DUMMYFUNCTION("""COMPUTED_VALUE"""),"Building")</f>
        <v>Building</v>
      </c>
      <c r="D8749" s="2" t="str">
        <f ca="1">IFERROR(__xludf.DUMMYFUNCTION("""COMPUTED_VALUE"""),"Dubai&gt;Al Jaddaf&gt;DoubleTree By Hilton")</f>
        <v>Dubai&gt;Al Jaddaf&gt;DoubleTree By Hilton</v>
      </c>
      <c r="E8749" s="2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</row>
    <row r="8750" spans="1:26" ht="16.5" x14ac:dyDescent="0.35">
      <c r="A8750" s="2" t="str">
        <f ca="1">IFERROR(__xludf.DUMMYFUNCTION("""COMPUTED_VALUE"""),"Dubai")</f>
        <v>Dubai</v>
      </c>
      <c r="B8750" s="2" t="str">
        <f ca="1">IFERROR(__xludf.DUMMYFUNCTION("""COMPUTED_VALUE"""),"Frond P")</f>
        <v>Frond P</v>
      </c>
      <c r="C8750" s="2" t="str">
        <f ca="1">IFERROR(__xludf.DUMMYFUNCTION("""COMPUTED_VALUE"""),"Neighbourhood")</f>
        <v>Neighbourhood</v>
      </c>
      <c r="D8750" s="2" t="str">
        <f ca="1">IFERROR(__xludf.DUMMYFUNCTION("""COMPUTED_VALUE"""),"Dubai&gt;Palm Jebel Ali&gt;Frond P")</f>
        <v>Dubai&gt;Palm Jebel Ali&gt;Frond P</v>
      </c>
      <c r="E8750" s="2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</row>
    <row r="8751" spans="1:26" ht="16.5" x14ac:dyDescent="0.35">
      <c r="A8751" s="2" t="str">
        <f ca="1">IFERROR(__xludf.DUMMYFUNCTION("""COMPUTED_VALUE"""),"Dubai")</f>
        <v>Dubai</v>
      </c>
      <c r="B8751" s="2" t="str">
        <f ca="1">IFERROR(__xludf.DUMMYFUNCTION("""COMPUTED_VALUE"""),"Palm Central Private Residences Building A")</f>
        <v>Palm Central Private Residences Building A</v>
      </c>
      <c r="C8751" s="2" t="str">
        <f ca="1">IFERROR(__xludf.DUMMYFUNCTION("""COMPUTED_VALUE"""),"Building")</f>
        <v>Building</v>
      </c>
      <c r="D8751" s="2" t="str">
        <f ca="1">IFERROR(__xludf.DUMMYFUNCTION("""COMPUTED_VALUE"""),"Dubai&gt;Palm Jebel Ali&gt;Palm Central Private Residences&gt;Palm Central Private Residences Building A")</f>
        <v>Dubai&gt;Palm Jebel Ali&gt;Palm Central Private Residences&gt;Palm Central Private Residences Building A</v>
      </c>
      <c r="E8751" s="2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</row>
    <row r="8752" spans="1:26" ht="16.5" x14ac:dyDescent="0.35">
      <c r="A8752" s="2" t="str">
        <f ca="1">IFERROR(__xludf.DUMMYFUNCTION("""COMPUTED_VALUE"""),"Dubai")</f>
        <v>Dubai</v>
      </c>
      <c r="B8752" s="2" t="str">
        <f ca="1">IFERROR(__xludf.DUMMYFUNCTION("""COMPUTED_VALUE"""),"Binghatti Hills")</f>
        <v>Binghatti Hills</v>
      </c>
      <c r="C8752" s="2" t="str">
        <f ca="1">IFERROR(__xludf.DUMMYFUNCTION("""COMPUTED_VALUE"""),"Cluster")</f>
        <v>Cluster</v>
      </c>
      <c r="D8752" s="2" t="str">
        <f ca="1">IFERROR(__xludf.DUMMYFUNCTION("""COMPUTED_VALUE"""),"Dubai&gt;Dubai Science Park&gt;Binghatti Hills")</f>
        <v>Dubai&gt;Dubai Science Park&gt;Binghatti Hills</v>
      </c>
      <c r="E8752" s="2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W8752" s="2"/>
      <c r="X8752" s="2"/>
      <c r="Y8752" s="2"/>
      <c r="Z8752" s="2"/>
    </row>
    <row r="8753" spans="1:26" ht="16.5" x14ac:dyDescent="0.35">
      <c r="A8753" s="2" t="str">
        <f ca="1">IFERROR(__xludf.DUMMYFUNCTION("""COMPUTED_VALUE"""),"Dubai")</f>
        <v>Dubai</v>
      </c>
      <c r="B8753" s="2" t="str">
        <f ca="1">IFERROR(__xludf.DUMMYFUNCTION("""COMPUTED_VALUE"""),"The Springs Souk")</f>
        <v>The Springs Souk</v>
      </c>
      <c r="C8753" s="2" t="str">
        <f ca="1">IFERROR(__xludf.DUMMYFUNCTION("""COMPUTED_VALUE"""),"Building")</f>
        <v>Building</v>
      </c>
      <c r="D8753" s="2" t="str">
        <f ca="1">IFERROR(__xludf.DUMMYFUNCTION("""COMPUTED_VALUE"""),"Dubai&gt;The Springs&gt;The Springs Souk")</f>
        <v>Dubai&gt;The Springs&gt;The Springs Souk</v>
      </c>
      <c r="E8753" s="2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W8753" s="2"/>
      <c r="X8753" s="2"/>
      <c r="Y8753" s="2"/>
      <c r="Z8753" s="2"/>
    </row>
    <row r="8754" spans="1:26" ht="16.5" x14ac:dyDescent="0.35">
      <c r="A8754" s="2" t="str">
        <f ca="1">IFERROR(__xludf.DUMMYFUNCTION("""COMPUTED_VALUE"""),"Dubai")</f>
        <v>Dubai</v>
      </c>
      <c r="B8754" s="2" t="str">
        <f ca="1">IFERROR(__xludf.DUMMYFUNCTION("""COMPUTED_VALUE"""),"South Garden A")</f>
        <v>South Garden A</v>
      </c>
      <c r="C8754" s="2" t="str">
        <f ca="1">IFERROR(__xludf.DUMMYFUNCTION("""COMPUTED_VALUE"""),"Building")</f>
        <v>Building</v>
      </c>
      <c r="D8754" s="2" t="str">
        <f ca="1">IFERROR(__xludf.DUMMYFUNCTION("""COMPUTED_VALUE"""),"Dubai&gt;Wasl Gate&gt;South Garden&gt;South Garden A")</f>
        <v>Dubai&gt;Wasl Gate&gt;South Garden&gt;South Garden A</v>
      </c>
      <c r="E8754" s="2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</row>
    <row r="8755" spans="1:26" ht="16.5" x14ac:dyDescent="0.35">
      <c r="A8755" s="2" t="str">
        <f ca="1">IFERROR(__xludf.DUMMYFUNCTION("""COMPUTED_VALUE"""),"Dubai")</f>
        <v>Dubai</v>
      </c>
      <c r="B8755" s="2" t="str">
        <f ca="1">IFERROR(__xludf.DUMMYFUNCTION("""COMPUTED_VALUE"""),"Nad Al Sheba Gardens 7")</f>
        <v>Nad Al Sheba Gardens 7</v>
      </c>
      <c r="C8755" s="2" t="str">
        <f ca="1">IFERROR(__xludf.DUMMYFUNCTION("""COMPUTED_VALUE"""),"Neighbourhood")</f>
        <v>Neighbourhood</v>
      </c>
      <c r="D8755" s="2" t="str">
        <f ca="1">IFERROR(__xludf.DUMMYFUNCTION("""COMPUTED_VALUE"""),"Dubai&gt;Nad Al Sheba&gt;Nad Al Sheba 1&gt;Nad Al Sheba Gardens&gt;Nad Al Sheba Gardens 7")</f>
        <v>Dubai&gt;Nad Al Sheba&gt;Nad Al Sheba 1&gt;Nad Al Sheba Gardens&gt;Nad Al Sheba Gardens 7</v>
      </c>
      <c r="E8755" s="2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</row>
    <row r="8756" spans="1:26" ht="16.5" x14ac:dyDescent="0.35">
      <c r="A8756" s="2" t="str">
        <f ca="1">IFERROR(__xludf.DUMMYFUNCTION("""COMPUTED_VALUE"""),"Dubai")</f>
        <v>Dubai</v>
      </c>
      <c r="B8756" s="2" t="str">
        <f ca="1">IFERROR(__xludf.DUMMYFUNCTION("""COMPUTED_VALUE"""),"Business Central Towers")</f>
        <v>Business Central Towers</v>
      </c>
      <c r="C8756" s="2" t="str">
        <f ca="1">IFERROR(__xludf.DUMMYFUNCTION("""COMPUTED_VALUE"""),"Cluster")</f>
        <v>Cluster</v>
      </c>
      <c r="D8756" s="2" t="str">
        <f ca="1">IFERROR(__xludf.DUMMYFUNCTION("""COMPUTED_VALUE"""),"Dubai&gt;Dubai Internet City&gt;Business Central Towers")</f>
        <v>Dubai&gt;Dubai Internet City&gt;Business Central Towers</v>
      </c>
      <c r="E8756" s="2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</row>
    <row r="8757" spans="1:26" ht="16.5" x14ac:dyDescent="0.35">
      <c r="A8757" s="2" t="str">
        <f ca="1">IFERROR(__xludf.DUMMYFUNCTION("""COMPUTED_VALUE"""),"Dubai")</f>
        <v>Dubai</v>
      </c>
      <c r="B8757" s="2" t="str">
        <f ca="1">IFERROR(__xludf.DUMMYFUNCTION("""COMPUTED_VALUE"""),"The S Tower")</f>
        <v>The S Tower</v>
      </c>
      <c r="C8757" s="2" t="str">
        <f ca="1">IFERROR(__xludf.DUMMYFUNCTION("""COMPUTED_VALUE"""),"Building")</f>
        <v>Building</v>
      </c>
      <c r="D8757" s="2" t="str">
        <f ca="1">IFERROR(__xludf.DUMMYFUNCTION("""COMPUTED_VALUE"""),"Dubai&gt;Dubai Internet City&gt;The S Tower")</f>
        <v>Dubai&gt;Dubai Internet City&gt;The S Tower</v>
      </c>
      <c r="E8757" s="2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W8757" s="2"/>
      <c r="X8757" s="2"/>
      <c r="Y8757" s="2"/>
      <c r="Z8757" s="2"/>
    </row>
    <row r="8758" spans="1:26" ht="16.5" x14ac:dyDescent="0.35">
      <c r="A8758" s="2" t="str">
        <f ca="1">IFERROR(__xludf.DUMMYFUNCTION("""COMPUTED_VALUE"""),"Dubai")</f>
        <v>Dubai</v>
      </c>
      <c r="B8758" s="2" t="str">
        <f ca="1">IFERROR(__xludf.DUMMYFUNCTION("""COMPUTED_VALUE"""),"Mina Rashid")</f>
        <v>Mina Rashid</v>
      </c>
      <c r="C8758" s="2" t="str">
        <f ca="1">IFERROR(__xludf.DUMMYFUNCTION("""COMPUTED_VALUE"""),"Neighbourhood")</f>
        <v>Neighbourhood</v>
      </c>
      <c r="D8758" s="2" t="str">
        <f ca="1">IFERROR(__xludf.DUMMYFUNCTION("""COMPUTED_VALUE"""),"Dubai&gt;Mina Rashid")</f>
        <v>Dubai&gt;Mina Rashid</v>
      </c>
      <c r="E8758" s="2"/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W8758" s="2"/>
      <c r="X8758" s="2"/>
      <c r="Y8758" s="2"/>
      <c r="Z8758" s="2"/>
    </row>
    <row r="8759" spans="1:26" ht="16.5" x14ac:dyDescent="0.35">
      <c r="A8759" s="2" t="str">
        <f ca="1">IFERROR(__xludf.DUMMYFUNCTION("""COMPUTED_VALUE"""),"Dubai")</f>
        <v>Dubai</v>
      </c>
      <c r="B8759" s="2" t="str">
        <f ca="1">IFERROR(__xludf.DUMMYFUNCTION("""COMPUTED_VALUE"""),"Ocean Cove")</f>
        <v>Ocean Cove</v>
      </c>
      <c r="C8759" s="2" t="str">
        <f ca="1">IFERROR(__xludf.DUMMYFUNCTION("""COMPUTED_VALUE"""),"Cluster")</f>
        <v>Cluster</v>
      </c>
      <c r="D8759" s="2" t="str">
        <f ca="1">IFERROR(__xludf.DUMMYFUNCTION("""COMPUTED_VALUE"""),"Dubai&gt;Mina Rashid&gt;Ocean Cove")</f>
        <v>Dubai&gt;Mina Rashid&gt;Ocean Cove</v>
      </c>
      <c r="E8759" s="2"/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</row>
    <row r="8760" spans="1:26" ht="16.5" x14ac:dyDescent="0.35">
      <c r="A8760" s="2" t="str">
        <f ca="1">IFERROR(__xludf.DUMMYFUNCTION("""COMPUTED_VALUE"""),"Dubai")</f>
        <v>Dubai</v>
      </c>
      <c r="B8760" s="2" t="str">
        <f ca="1">IFERROR(__xludf.DUMMYFUNCTION("""COMPUTED_VALUE"""),"Sector H")</f>
        <v>Sector H</v>
      </c>
      <c r="C8760" s="2" t="str">
        <f ca="1">IFERROR(__xludf.DUMMYFUNCTION("""COMPUTED_VALUE"""),"Neighbourhood")</f>
        <v>Neighbourhood</v>
      </c>
      <c r="D8760" s="2" t="str">
        <f ca="1">IFERROR(__xludf.DUMMYFUNCTION("""COMPUTED_VALUE"""),"Dubai&gt;Emirates Hills&gt;Sector H")</f>
        <v>Dubai&gt;Emirates Hills&gt;Sector H</v>
      </c>
      <c r="E8760" s="2"/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</row>
    <row r="8761" spans="1:26" ht="16.5" x14ac:dyDescent="0.35">
      <c r="A8761" s="2" t="str">
        <f ca="1">IFERROR(__xludf.DUMMYFUNCTION("""COMPUTED_VALUE"""),"Dubai")</f>
        <v>Dubai</v>
      </c>
      <c r="B8761" s="2" t="str">
        <f ca="1">IFERROR(__xludf.DUMMYFUNCTION("""COMPUTED_VALUE"""),"Arabian Ranches")</f>
        <v>Arabian Ranches</v>
      </c>
      <c r="C8761" s="2" t="str">
        <f ca="1">IFERROR(__xludf.DUMMYFUNCTION("""COMPUTED_VALUE"""),"Neighbourhood")</f>
        <v>Neighbourhood</v>
      </c>
      <c r="D8761" s="2" t="str">
        <f ca="1">IFERROR(__xludf.DUMMYFUNCTION("""COMPUTED_VALUE"""),"Dubai&gt;Arabian Ranches")</f>
        <v>Dubai&gt;Arabian Ranches</v>
      </c>
      <c r="E8761" s="2"/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</row>
    <row r="8762" spans="1:26" ht="16.5" x14ac:dyDescent="0.35">
      <c r="A8762" s="2" t="str">
        <f ca="1">IFERROR(__xludf.DUMMYFUNCTION("""COMPUTED_VALUE"""),"Dubai")</f>
        <v>Dubai</v>
      </c>
      <c r="B8762" s="2" t="str">
        <f ca="1">IFERROR(__xludf.DUMMYFUNCTION("""COMPUTED_VALUE"""),"Palmera 2")</f>
        <v>Palmera 2</v>
      </c>
      <c r="C8762" s="2" t="str">
        <f ca="1">IFERROR(__xludf.DUMMYFUNCTION("""COMPUTED_VALUE"""),"Neighbourhood")</f>
        <v>Neighbourhood</v>
      </c>
      <c r="D8762" s="2" t="str">
        <f ca="1">IFERROR(__xludf.DUMMYFUNCTION("""COMPUTED_VALUE"""),"Dubai&gt;Arabian Ranches&gt;Palmera&gt;Palmera 2")</f>
        <v>Dubai&gt;Arabian Ranches&gt;Palmera&gt;Palmera 2</v>
      </c>
      <c r="E8762" s="2"/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</row>
    <row r="8763" spans="1:26" ht="16.5" x14ac:dyDescent="0.35">
      <c r="A8763" s="2" t="str">
        <f ca="1">IFERROR(__xludf.DUMMYFUNCTION("""COMPUTED_VALUE"""),"Dubai")</f>
        <v>Dubai</v>
      </c>
      <c r="B8763" s="2" t="str">
        <f ca="1">IFERROR(__xludf.DUMMYFUNCTION("""COMPUTED_VALUE"""),"The Gardens Building 92")</f>
        <v>The Gardens Building 92</v>
      </c>
      <c r="C8763" s="2" t="str">
        <f ca="1">IFERROR(__xludf.DUMMYFUNCTION("""COMPUTED_VALUE"""),"Building")</f>
        <v>Building</v>
      </c>
      <c r="D8763" s="2" t="str">
        <f ca="1">IFERROR(__xludf.DUMMYFUNCTION("""COMPUTED_VALUE"""),"Dubai&gt;The Gardens&gt;The Gardens Building 92")</f>
        <v>Dubai&gt;The Gardens&gt;The Gardens Building 92</v>
      </c>
      <c r="E8763" s="2"/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</row>
    <row r="8764" spans="1:26" ht="16.5" x14ac:dyDescent="0.35">
      <c r="A8764" s="2" t="str">
        <f ca="1">IFERROR(__xludf.DUMMYFUNCTION("""COMPUTED_VALUE"""),"Dubai")</f>
        <v>Dubai</v>
      </c>
      <c r="B8764" s="2" t="str">
        <f ca="1">IFERROR(__xludf.DUMMYFUNCTION("""COMPUTED_VALUE"""),"The Gardens Building 106")</f>
        <v>The Gardens Building 106</v>
      </c>
      <c r="C8764" s="2" t="str">
        <f ca="1">IFERROR(__xludf.DUMMYFUNCTION("""COMPUTED_VALUE"""),"Building")</f>
        <v>Building</v>
      </c>
      <c r="D8764" s="2" t="str">
        <f ca="1">IFERROR(__xludf.DUMMYFUNCTION("""COMPUTED_VALUE"""),"Dubai&gt;The Gardens&gt;The Gardens Building 106")</f>
        <v>Dubai&gt;The Gardens&gt;The Gardens Building 106</v>
      </c>
      <c r="E8764" s="2"/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</row>
    <row r="8765" spans="1:26" ht="16.5" x14ac:dyDescent="0.35">
      <c r="A8765" s="2" t="str">
        <f ca="1">IFERROR(__xludf.DUMMYFUNCTION("""COMPUTED_VALUE"""),"Dubai")</f>
        <v>Dubai</v>
      </c>
      <c r="B8765" s="2" t="str">
        <f ca="1">IFERROR(__xludf.DUMMYFUNCTION("""COMPUTED_VALUE"""),"The Gardens Building 7")</f>
        <v>The Gardens Building 7</v>
      </c>
      <c r="C8765" s="2" t="str">
        <f ca="1">IFERROR(__xludf.DUMMYFUNCTION("""COMPUTED_VALUE"""),"Building")</f>
        <v>Building</v>
      </c>
      <c r="D8765" s="2" t="str">
        <f ca="1">IFERROR(__xludf.DUMMYFUNCTION("""COMPUTED_VALUE"""),"Dubai&gt;The Gardens&gt;The Gardens Building 7")</f>
        <v>Dubai&gt;The Gardens&gt;The Gardens Building 7</v>
      </c>
      <c r="E8765" s="2"/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</row>
    <row r="8766" spans="1:26" ht="16.5" x14ac:dyDescent="0.35">
      <c r="A8766" s="2" t="str">
        <f ca="1">IFERROR(__xludf.DUMMYFUNCTION("""COMPUTED_VALUE"""),"Dubai")</f>
        <v>Dubai</v>
      </c>
      <c r="B8766" s="2" t="str">
        <f ca="1">IFERROR(__xludf.DUMMYFUNCTION("""COMPUTED_VALUE"""),"The Gardens Building 42")</f>
        <v>The Gardens Building 42</v>
      </c>
      <c r="C8766" s="2" t="str">
        <f ca="1">IFERROR(__xludf.DUMMYFUNCTION("""COMPUTED_VALUE"""),"Building")</f>
        <v>Building</v>
      </c>
      <c r="D8766" s="2" t="str">
        <f ca="1">IFERROR(__xludf.DUMMYFUNCTION("""COMPUTED_VALUE"""),"Dubai&gt;The Gardens&gt;The Gardens Building 42")</f>
        <v>Dubai&gt;The Gardens&gt;The Gardens Building 42</v>
      </c>
      <c r="E8766" s="2"/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</row>
    <row r="8767" spans="1:26" ht="16.5" x14ac:dyDescent="0.35">
      <c r="A8767" s="2" t="str">
        <f ca="1">IFERROR(__xludf.DUMMYFUNCTION("""COMPUTED_VALUE"""),"Dubai")</f>
        <v>Dubai</v>
      </c>
      <c r="B8767" s="2" t="str">
        <f ca="1">IFERROR(__xludf.DUMMYFUNCTION("""COMPUTED_VALUE"""),"Al Mamzar Tower 1")</f>
        <v>Al Mamzar Tower 1</v>
      </c>
      <c r="C8767" s="2" t="str">
        <f ca="1">IFERROR(__xludf.DUMMYFUNCTION("""COMPUTED_VALUE"""),"Building")</f>
        <v>Building</v>
      </c>
      <c r="D8767" s="2" t="str">
        <f ca="1">IFERROR(__xludf.DUMMYFUNCTION("""COMPUTED_VALUE"""),"Dubai&gt;Al Mamzar&gt;Al Mamzar Towers&gt;Al Mamzar Tower 1")</f>
        <v>Dubai&gt;Al Mamzar&gt;Al Mamzar Towers&gt;Al Mamzar Tower 1</v>
      </c>
      <c r="E8767" s="2"/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</row>
    <row r="8768" spans="1:26" ht="16.5" x14ac:dyDescent="0.35">
      <c r="A8768" s="2" t="str">
        <f ca="1">IFERROR(__xludf.DUMMYFUNCTION("""COMPUTED_VALUE"""),"Dubai")</f>
        <v>Dubai</v>
      </c>
      <c r="B8768" s="2" t="str">
        <f ca="1">IFERROR(__xludf.DUMMYFUNCTION("""COMPUTED_VALUE"""),"Bluewaters Residences 3")</f>
        <v>Bluewaters Residences 3</v>
      </c>
      <c r="C8768" s="2" t="str">
        <f ca="1">IFERROR(__xludf.DUMMYFUNCTION("""COMPUTED_VALUE"""),"Building")</f>
        <v>Building</v>
      </c>
      <c r="D8768" s="2" t="str">
        <f ca="1">IFERROR(__xludf.DUMMYFUNCTION("""COMPUTED_VALUE"""),"Dubai&gt;Bluewaters Island&gt;Bluewaters Residences&gt;Bluewaters Residences 3")</f>
        <v>Dubai&gt;Bluewaters Island&gt;Bluewaters Residences&gt;Bluewaters Residences 3</v>
      </c>
      <c r="E8768" s="2"/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</row>
    <row r="8769" spans="1:26" ht="16.5" x14ac:dyDescent="0.35">
      <c r="A8769" s="2" t="str">
        <f ca="1">IFERROR(__xludf.DUMMYFUNCTION("""COMPUTED_VALUE"""),"Dubai")</f>
        <v>Dubai</v>
      </c>
      <c r="B8769" s="2" t="str">
        <f ca="1">IFERROR(__xludf.DUMMYFUNCTION("""COMPUTED_VALUE"""),"Amthel Building 1")</f>
        <v>Amthel Building 1</v>
      </c>
      <c r="C8769" s="2" t="str">
        <f ca="1">IFERROR(__xludf.DUMMYFUNCTION("""COMPUTED_VALUE"""),"Building")</f>
        <v>Building</v>
      </c>
      <c r="D8769" s="2" t="str">
        <f ca="1">IFERROR(__xludf.DUMMYFUNCTION("""COMPUTED_VALUE"""),"Dubai&gt;Muhaisnah&gt;Muhaisnah 4&gt;Amthel Building 1")</f>
        <v>Dubai&gt;Muhaisnah&gt;Muhaisnah 4&gt;Amthel Building 1</v>
      </c>
      <c r="E8769" s="2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</row>
    <row r="8770" spans="1:26" ht="16.5" x14ac:dyDescent="0.35">
      <c r="A8770" s="2" t="str">
        <f ca="1">IFERROR(__xludf.DUMMYFUNCTION("""COMPUTED_VALUE"""),"Dubai")</f>
        <v>Dubai</v>
      </c>
      <c r="B8770" s="2" t="str">
        <f ca="1">IFERROR(__xludf.DUMMYFUNCTION("""COMPUTED_VALUE"""),"Dubai Arabian American Private School")</f>
        <v>Dubai Arabian American Private School</v>
      </c>
      <c r="C8770" s="2" t="str">
        <f ca="1">IFERROR(__xludf.DUMMYFUNCTION("""COMPUTED_VALUE"""),"School")</f>
        <v>School</v>
      </c>
      <c r="D8770" s="2" t="str">
        <f ca="1">IFERROR(__xludf.DUMMYFUNCTION("""COMPUTED_VALUE"""),"Dubai&gt;Muhaisnah&gt;Muhaisnah 1&gt;Dubai Arabian American Private School")</f>
        <v>Dubai&gt;Muhaisnah&gt;Muhaisnah 1&gt;Dubai Arabian American Private School</v>
      </c>
      <c r="E8770" s="2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</row>
    <row r="8771" spans="1:26" ht="16.5" x14ac:dyDescent="0.35">
      <c r="A8771" s="2" t="str">
        <f ca="1">IFERROR(__xludf.DUMMYFUNCTION("""COMPUTED_VALUE"""),"Dubai")</f>
        <v>Dubai</v>
      </c>
      <c r="B8771" s="2" t="str">
        <f ca="1">IFERROR(__xludf.DUMMYFUNCTION("""COMPUTED_VALUE"""),"Emaar Business Park")</f>
        <v>Emaar Business Park</v>
      </c>
      <c r="C8771" s="2" t="str">
        <f ca="1">IFERROR(__xludf.DUMMYFUNCTION("""COMPUTED_VALUE"""),"Neighbourhood")</f>
        <v>Neighbourhood</v>
      </c>
      <c r="D8771" s="2" t="str">
        <f ca="1">IFERROR(__xludf.DUMMYFUNCTION("""COMPUTED_VALUE"""),"Dubai&gt;Sheikh Zayed Road&gt;Emaar Business Park")</f>
        <v>Dubai&gt;Sheikh Zayed Road&gt;Emaar Business Park</v>
      </c>
      <c r="E8771" s="2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</row>
    <row r="8772" spans="1:26" ht="16.5" x14ac:dyDescent="0.35">
      <c r="A8772" s="2" t="str">
        <f ca="1">IFERROR(__xludf.DUMMYFUNCTION("""COMPUTED_VALUE"""),"Dubai")</f>
        <v>Dubai</v>
      </c>
      <c r="B8772" s="2" t="str">
        <f ca="1">IFERROR(__xludf.DUMMYFUNCTION("""COMPUTED_VALUE"""),"Emirates Towers")</f>
        <v>Emirates Towers</v>
      </c>
      <c r="C8772" s="2" t="str">
        <f ca="1">IFERROR(__xludf.DUMMYFUNCTION("""COMPUTED_VALUE"""),"Building")</f>
        <v>Building</v>
      </c>
      <c r="D8772" s="2" t="str">
        <f ca="1">IFERROR(__xludf.DUMMYFUNCTION("""COMPUTED_VALUE"""),"Dubai&gt;Sheikh Zayed Road&gt;Emirates Towers")</f>
        <v>Dubai&gt;Sheikh Zayed Road&gt;Emirates Towers</v>
      </c>
      <c r="E8772" s="2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</row>
    <row r="8773" spans="1:26" ht="16.5" x14ac:dyDescent="0.35">
      <c r="A8773" s="2" t="str">
        <f ca="1">IFERROR(__xludf.DUMMYFUNCTION("""COMPUTED_VALUE"""),"Dubai")</f>
        <v>Dubai</v>
      </c>
      <c r="B8773" s="2" t="str">
        <f ca="1">IFERROR(__xludf.DUMMYFUNCTION("""COMPUTED_VALUE"""),"Oasis Tower")</f>
        <v>Oasis Tower</v>
      </c>
      <c r="C8773" s="2" t="str">
        <f ca="1">IFERROR(__xludf.DUMMYFUNCTION("""COMPUTED_VALUE"""),"Building")</f>
        <v>Building</v>
      </c>
      <c r="D8773" s="2" t="str">
        <f ca="1">IFERROR(__xludf.DUMMYFUNCTION("""COMPUTED_VALUE"""),"Dubai&gt;Sheikh Zayed Road&gt;Oasis Tower")</f>
        <v>Dubai&gt;Sheikh Zayed Road&gt;Oasis Tower</v>
      </c>
      <c r="E8773" s="2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</row>
    <row r="8774" spans="1:26" ht="16.5" x14ac:dyDescent="0.35">
      <c r="A8774" s="2" t="str">
        <f ca="1">IFERROR(__xludf.DUMMYFUNCTION("""COMPUTED_VALUE"""),"Dubai")</f>
        <v>Dubai</v>
      </c>
      <c r="B8774" s="2" t="str">
        <f ca="1">IFERROR(__xludf.DUMMYFUNCTION("""COMPUTED_VALUE"""),"Khalifa Juma Al Nabooda")</f>
        <v>Khalifa Juma Al Nabooda</v>
      </c>
      <c r="C8774" s="2" t="str">
        <f ca="1">IFERROR(__xludf.DUMMYFUNCTION("""COMPUTED_VALUE"""),"Building")</f>
        <v>Building</v>
      </c>
      <c r="D8774" s="2" t="str">
        <f ca="1">IFERROR(__xludf.DUMMYFUNCTION("""COMPUTED_VALUE"""),"Dubai&gt;Sheikh Zayed Road&gt;Khalifa Juma Al Nabooda")</f>
        <v>Dubai&gt;Sheikh Zayed Road&gt;Khalifa Juma Al Nabooda</v>
      </c>
      <c r="E8774" s="2"/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</row>
    <row r="8775" spans="1:26" ht="16.5" x14ac:dyDescent="0.35">
      <c r="A8775" s="2" t="str">
        <f ca="1">IFERROR(__xludf.DUMMYFUNCTION("""COMPUTED_VALUE"""),"Dubai")</f>
        <v>Dubai</v>
      </c>
      <c r="B8775" s="2" t="str">
        <f ca="1">IFERROR(__xludf.DUMMYFUNCTION("""COMPUTED_VALUE"""),"Chubby Cheeks Karama")</f>
        <v>Chubby Cheeks Karama</v>
      </c>
      <c r="C8775" s="2" t="str">
        <f ca="1">IFERROR(__xludf.DUMMYFUNCTION("""COMPUTED_VALUE"""),"Nursery")</f>
        <v>Nursery</v>
      </c>
      <c r="D8775" s="2" t="str">
        <f ca="1">IFERROR(__xludf.DUMMYFUNCTION("""COMPUTED_VALUE"""),"Dubai&gt;Al Karama&gt;Chubby Cheeks Karama")</f>
        <v>Dubai&gt;Al Karama&gt;Chubby Cheeks Karama</v>
      </c>
      <c r="E8775" s="2"/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W8775" s="2"/>
      <c r="X8775" s="2"/>
      <c r="Y8775" s="2"/>
      <c r="Z8775" s="2"/>
    </row>
    <row r="8776" spans="1:26" ht="16.5" x14ac:dyDescent="0.35">
      <c r="A8776" s="2" t="str">
        <f ca="1">IFERROR(__xludf.DUMMYFUNCTION("""COMPUTED_VALUE"""),"Dubai")</f>
        <v>Dubai</v>
      </c>
      <c r="B8776" s="2" t="str">
        <f ca="1">IFERROR(__xludf.DUMMYFUNCTION("""COMPUTED_VALUE"""),"Building 9")</f>
        <v>Building 9</v>
      </c>
      <c r="C8776" s="2" t="str">
        <f ca="1">IFERROR(__xludf.DUMMYFUNCTION("""COMPUTED_VALUE"""),"Building")</f>
        <v>Building</v>
      </c>
      <c r="D8776" s="2" t="str">
        <f ca="1">IFERROR(__xludf.DUMMYFUNCTION("""COMPUTED_VALUE"""),"Dubai&gt;Al Karama&gt;Karam Pioneer Buildings&gt;Building 9")</f>
        <v>Dubai&gt;Al Karama&gt;Karam Pioneer Buildings&gt;Building 9</v>
      </c>
      <c r="E8776" s="2"/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W8776" s="2"/>
      <c r="X8776" s="2"/>
      <c r="Y8776" s="2"/>
      <c r="Z8776" s="2"/>
    </row>
    <row r="8777" spans="1:26" ht="16.5" x14ac:dyDescent="0.35">
      <c r="A8777" s="2" t="str">
        <f ca="1">IFERROR(__xludf.DUMMYFUNCTION("""COMPUTED_VALUE"""),"Dubai")</f>
        <v>Dubai</v>
      </c>
      <c r="B8777" s="2" t="str">
        <f ca="1">IFERROR(__xludf.DUMMYFUNCTION("""COMPUTED_VALUE"""),"Building 41")</f>
        <v>Building 41</v>
      </c>
      <c r="C8777" s="2" t="str">
        <f ca="1">IFERROR(__xludf.DUMMYFUNCTION("""COMPUTED_VALUE"""),"Building")</f>
        <v>Building</v>
      </c>
      <c r="D8777" s="2" t="str">
        <f ca="1">IFERROR(__xludf.DUMMYFUNCTION("""COMPUTED_VALUE"""),"Dubai&gt;Al Karama&gt;Karam Pioneer Buildings&gt;Building 41")</f>
        <v>Dubai&gt;Al Karama&gt;Karam Pioneer Buildings&gt;Building 41</v>
      </c>
      <c r="E8777" s="2"/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</row>
    <row r="8778" spans="1:26" ht="16.5" x14ac:dyDescent="0.35">
      <c r="A8778" s="2" t="str">
        <f ca="1">IFERROR(__xludf.DUMMYFUNCTION("""COMPUTED_VALUE"""),"Dubai")</f>
        <v>Dubai</v>
      </c>
      <c r="B8778" s="2" t="str">
        <f ca="1">IFERROR(__xludf.DUMMYFUNCTION("""COMPUTED_VALUE"""),"Karama Centre")</f>
        <v>Karama Centre</v>
      </c>
      <c r="C8778" s="2" t="str">
        <f ca="1">IFERROR(__xludf.DUMMYFUNCTION("""COMPUTED_VALUE"""),"Building")</f>
        <v>Building</v>
      </c>
      <c r="D8778" s="2" t="str">
        <f ca="1">IFERROR(__xludf.DUMMYFUNCTION("""COMPUTED_VALUE"""),"Dubai&gt;Al Karama&gt;Karama Centre")</f>
        <v>Dubai&gt;Al Karama&gt;Karama Centre</v>
      </c>
      <c r="E8778" s="2"/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W8778" s="2"/>
      <c r="X8778" s="2"/>
      <c r="Y8778" s="2"/>
      <c r="Z8778" s="2"/>
    </row>
    <row r="8779" spans="1:26" ht="16.5" x14ac:dyDescent="0.35">
      <c r="A8779" s="2" t="str">
        <f ca="1">IFERROR(__xludf.DUMMYFUNCTION("""COMPUTED_VALUE"""),"Dubai")</f>
        <v>Dubai</v>
      </c>
      <c r="B8779" s="2" t="str">
        <f ca="1">IFERROR(__xludf.DUMMYFUNCTION("""COMPUTED_VALUE"""),"Wasl Zircon")</f>
        <v>Wasl Zircon</v>
      </c>
      <c r="C8779" s="2" t="str">
        <f ca="1">IFERROR(__xludf.DUMMYFUNCTION("""COMPUTED_VALUE"""),"Building")</f>
        <v>Building</v>
      </c>
      <c r="D8779" s="2" t="str">
        <f ca="1">IFERROR(__xludf.DUMMYFUNCTION("""COMPUTED_VALUE"""),"Dubai&gt;Al Karama&gt;Wasl Zircon")</f>
        <v>Dubai&gt;Al Karama&gt;Wasl Zircon</v>
      </c>
      <c r="E8779" s="2"/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W8779" s="2"/>
      <c r="X8779" s="2"/>
      <c r="Y8779" s="2"/>
      <c r="Z8779" s="2"/>
    </row>
    <row r="8780" spans="1:26" ht="16.5" x14ac:dyDescent="0.35">
      <c r="A8780" s="2" t="str">
        <f ca="1">IFERROR(__xludf.DUMMYFUNCTION("""COMPUTED_VALUE"""),"Dubai")</f>
        <v>Dubai</v>
      </c>
      <c r="B8780" s="2" t="str">
        <f ca="1">IFERROR(__xludf.DUMMYFUNCTION("""COMPUTED_VALUE"""),"Ascana Building")</f>
        <v>Ascana Building</v>
      </c>
      <c r="C8780" s="2" t="str">
        <f ca="1">IFERROR(__xludf.DUMMYFUNCTION("""COMPUTED_VALUE"""),"Building")</f>
        <v>Building</v>
      </c>
      <c r="D8780" s="2" t="str">
        <f ca="1">IFERROR(__xludf.DUMMYFUNCTION("""COMPUTED_VALUE"""),"Dubai&gt;Al Karama&gt;Ascana Building")</f>
        <v>Dubai&gt;Al Karama&gt;Ascana Building</v>
      </c>
      <c r="E8780" s="2"/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W8780" s="2"/>
      <c r="X8780" s="2"/>
      <c r="Y8780" s="2"/>
      <c r="Z8780" s="2"/>
    </row>
    <row r="8781" spans="1:26" ht="16.5" x14ac:dyDescent="0.35">
      <c r="A8781" s="2" t="str">
        <f ca="1">IFERROR(__xludf.DUMMYFUNCTION("""COMPUTED_VALUE"""),"Dubai")</f>
        <v>Dubai</v>
      </c>
      <c r="B8781" s="2" t="str">
        <f ca="1">IFERROR(__xludf.DUMMYFUNCTION("""COMPUTED_VALUE"""),"Al Kifaf 2")</f>
        <v>Al Kifaf 2</v>
      </c>
      <c r="C8781" s="2" t="str">
        <f ca="1">IFERROR(__xludf.DUMMYFUNCTION("""COMPUTED_VALUE"""),"Building")</f>
        <v>Building</v>
      </c>
      <c r="D8781" s="2" t="str">
        <f ca="1">IFERROR(__xludf.DUMMYFUNCTION("""COMPUTED_VALUE"""),"Dubai&gt;Al Karama&gt;Al Kifaf 2")</f>
        <v>Dubai&gt;Al Karama&gt;Al Kifaf 2</v>
      </c>
      <c r="E8781" s="2"/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W8781" s="2"/>
      <c r="X8781" s="2"/>
      <c r="Y8781" s="2"/>
      <c r="Z8781" s="2"/>
    </row>
    <row r="8782" spans="1:26" ht="16.5" x14ac:dyDescent="0.35">
      <c r="A8782" s="2" t="str">
        <f ca="1">IFERROR(__xludf.DUMMYFUNCTION("""COMPUTED_VALUE"""),"Dubai")</f>
        <v>Dubai</v>
      </c>
      <c r="B8782" s="2" t="str">
        <f ca="1">IFERROR(__xludf.DUMMYFUNCTION("""COMPUTED_VALUE"""),"Sunrise Building")</f>
        <v>Sunrise Building</v>
      </c>
      <c r="C8782" s="2" t="str">
        <f ca="1">IFERROR(__xludf.DUMMYFUNCTION("""COMPUTED_VALUE"""),"Building")</f>
        <v>Building</v>
      </c>
      <c r="D8782" s="2" t="str">
        <f ca="1">IFERROR(__xludf.DUMMYFUNCTION("""COMPUTED_VALUE"""),"Dubai&gt;Al Karama&gt;Sunrise Building")</f>
        <v>Dubai&gt;Al Karama&gt;Sunrise Building</v>
      </c>
      <c r="E8782" s="2"/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W8782" s="2"/>
      <c r="X8782" s="2"/>
      <c r="Y8782" s="2"/>
      <c r="Z8782" s="2"/>
    </row>
    <row r="8783" spans="1:26" ht="16.5" x14ac:dyDescent="0.35">
      <c r="A8783" s="2" t="str">
        <f ca="1">IFERROR(__xludf.DUMMYFUNCTION("""COMPUTED_VALUE"""),"Dubai")</f>
        <v>Dubai</v>
      </c>
      <c r="B8783" s="2" t="str">
        <f ca="1">IFERROR(__xludf.DUMMYFUNCTION("""COMPUTED_VALUE"""),"Falaknaz Building 3")</f>
        <v>Falaknaz Building 3</v>
      </c>
      <c r="C8783" s="2" t="str">
        <f ca="1">IFERROR(__xludf.DUMMYFUNCTION("""COMPUTED_VALUE"""),"Building")</f>
        <v>Building</v>
      </c>
      <c r="D8783" s="2" t="str">
        <f ca="1">IFERROR(__xludf.DUMMYFUNCTION("""COMPUTED_VALUE"""),"Dubai&gt;Al Karama&gt;Falaknaz Building 3")</f>
        <v>Dubai&gt;Al Karama&gt;Falaknaz Building 3</v>
      </c>
      <c r="E8783" s="2"/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W8783" s="2"/>
      <c r="X8783" s="2"/>
      <c r="Y8783" s="2"/>
      <c r="Z8783" s="2"/>
    </row>
    <row r="8784" spans="1:26" ht="16.5" x14ac:dyDescent="0.35">
      <c r="A8784" s="2" t="str">
        <f ca="1">IFERROR(__xludf.DUMMYFUNCTION("""COMPUTED_VALUE"""),"Dubai")</f>
        <v>Dubai</v>
      </c>
      <c r="B8784" s="2" t="str">
        <f ca="1">IFERROR(__xludf.DUMMYFUNCTION("""COMPUTED_VALUE"""),"Park Regis Kris Kin")</f>
        <v>Park Regis Kris Kin</v>
      </c>
      <c r="C8784" s="2" t="str">
        <f ca="1">IFERROR(__xludf.DUMMYFUNCTION("""COMPUTED_VALUE"""),"Building")</f>
        <v>Building</v>
      </c>
      <c r="D8784" s="2" t="str">
        <f ca="1">IFERROR(__xludf.DUMMYFUNCTION("""COMPUTED_VALUE"""),"Dubai&gt;Al Karama&gt;Park Regis Kris Kin")</f>
        <v>Dubai&gt;Al Karama&gt;Park Regis Kris Kin</v>
      </c>
      <c r="E8784" s="2"/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W8784" s="2"/>
      <c r="X8784" s="2"/>
      <c r="Y8784" s="2"/>
      <c r="Z8784" s="2"/>
    </row>
    <row r="8785" spans="1:26" ht="16.5" x14ac:dyDescent="0.35">
      <c r="A8785" s="2" t="str">
        <f ca="1">IFERROR(__xludf.DUMMYFUNCTION("""COMPUTED_VALUE"""),"Dubai")</f>
        <v>Dubai</v>
      </c>
      <c r="B8785" s="2" t="str">
        <f ca="1">IFERROR(__xludf.DUMMYFUNCTION("""COMPUTED_VALUE"""),"Al Karbash Building")</f>
        <v>Al Karbash Building</v>
      </c>
      <c r="C8785" s="2" t="str">
        <f ca="1">IFERROR(__xludf.DUMMYFUNCTION("""COMPUTED_VALUE"""),"Building")</f>
        <v>Building</v>
      </c>
      <c r="D8785" s="2" t="str">
        <f ca="1">IFERROR(__xludf.DUMMYFUNCTION("""COMPUTED_VALUE"""),"Dubai&gt;Al Karama&gt;Al Karbash Building")</f>
        <v>Dubai&gt;Al Karama&gt;Al Karbash Building</v>
      </c>
      <c r="E8785" s="2"/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W8785" s="2"/>
      <c r="X8785" s="2"/>
      <c r="Y8785" s="2"/>
      <c r="Z8785" s="2"/>
    </row>
    <row r="8786" spans="1:26" ht="16.5" x14ac:dyDescent="0.35">
      <c r="A8786" s="2" t="str">
        <f ca="1">IFERROR(__xludf.DUMMYFUNCTION("""COMPUTED_VALUE"""),"Dubai")</f>
        <v>Dubai</v>
      </c>
      <c r="B8786" s="2" t="str">
        <f ca="1">IFERROR(__xludf.DUMMYFUNCTION("""COMPUTED_VALUE"""),"Behbehani Residence")</f>
        <v>Behbehani Residence</v>
      </c>
      <c r="C8786" s="2" t="str">
        <f ca="1">IFERROR(__xludf.DUMMYFUNCTION("""COMPUTED_VALUE"""),"Building")</f>
        <v>Building</v>
      </c>
      <c r="D8786" s="2" t="str">
        <f ca="1">IFERROR(__xludf.DUMMYFUNCTION("""COMPUTED_VALUE"""),"Dubai&gt;Al Karama&gt;Behbehani Residence")</f>
        <v>Dubai&gt;Al Karama&gt;Behbehani Residence</v>
      </c>
      <c r="E8786" s="2"/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W8786" s="2"/>
      <c r="X8786" s="2"/>
      <c r="Y8786" s="2"/>
      <c r="Z8786" s="2"/>
    </row>
    <row r="8787" spans="1:26" ht="16.5" x14ac:dyDescent="0.35">
      <c r="A8787" s="2" t="str">
        <f ca="1">IFERROR(__xludf.DUMMYFUNCTION("""COMPUTED_VALUE"""),"Dubai")</f>
        <v>Dubai</v>
      </c>
      <c r="B8787" s="2" t="str">
        <f ca="1">IFERROR(__xludf.DUMMYFUNCTION("""COMPUTED_VALUE"""),"Riah Towers")</f>
        <v>Riah Towers</v>
      </c>
      <c r="C8787" s="2" t="str">
        <f ca="1">IFERROR(__xludf.DUMMYFUNCTION("""COMPUTED_VALUE"""),"Building")</f>
        <v>Building</v>
      </c>
      <c r="D8787" s="2" t="str">
        <f ca="1">IFERROR(__xludf.DUMMYFUNCTION("""COMPUTED_VALUE"""),"Dubai&gt;Culture Village (Jaddaf Waterfront)&gt;Riah Towers")</f>
        <v>Dubai&gt;Culture Village (Jaddaf Waterfront)&gt;Riah Towers</v>
      </c>
      <c r="E8787" s="2"/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W8787" s="2"/>
      <c r="X8787" s="2"/>
      <c r="Y8787" s="2"/>
      <c r="Z8787" s="2"/>
    </row>
    <row r="8788" spans="1:26" ht="16.5" x14ac:dyDescent="0.35">
      <c r="A8788" s="2" t="str">
        <f ca="1">IFERROR(__xludf.DUMMYFUNCTION("""COMPUTED_VALUE"""),"Dubai")</f>
        <v>Dubai</v>
      </c>
      <c r="B8788" s="2" t="str">
        <f ca="1">IFERROR(__xludf.DUMMYFUNCTION("""COMPUTED_VALUE"""),"Umm Suqeim")</f>
        <v>Umm Suqeim</v>
      </c>
      <c r="C8788" s="2" t="str">
        <f ca="1">IFERROR(__xludf.DUMMYFUNCTION("""COMPUTED_VALUE"""),"Neighbourhood")</f>
        <v>Neighbourhood</v>
      </c>
      <c r="D8788" s="2" t="str">
        <f ca="1">IFERROR(__xludf.DUMMYFUNCTION("""COMPUTED_VALUE"""),"Dubai&gt;Umm Suqeim")</f>
        <v>Dubai&gt;Umm Suqeim</v>
      </c>
      <c r="E8788" s="2"/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  <c r="W8788" s="2"/>
      <c r="X8788" s="2"/>
      <c r="Y8788" s="2"/>
      <c r="Z8788" s="2"/>
    </row>
    <row r="8789" spans="1:26" ht="16.5" x14ac:dyDescent="0.35">
      <c r="A8789" s="2" t="str">
        <f ca="1">IFERROR(__xludf.DUMMYFUNCTION("""COMPUTED_VALUE"""),"Dubai")</f>
        <v>Dubai</v>
      </c>
      <c r="B8789" s="2" t="str">
        <f ca="1">IFERROR(__xludf.DUMMYFUNCTION("""COMPUTED_VALUE"""),"Al Jazi Building 2")</f>
        <v>Al Jazi Building 2</v>
      </c>
      <c r="C8789" s="2" t="str">
        <f ca="1">IFERROR(__xludf.DUMMYFUNCTION("""COMPUTED_VALUE"""),"Building")</f>
        <v>Building</v>
      </c>
      <c r="D8789" s="2" t="str">
        <f ca="1">IFERROR(__xludf.DUMMYFUNCTION("""COMPUTED_VALUE"""),"Dubai&gt;Umm Suqeim&gt;Madinat Jumeirah Living&gt;Al Jazi&gt;Al Jazi Building 2")</f>
        <v>Dubai&gt;Umm Suqeim&gt;Madinat Jumeirah Living&gt;Al Jazi&gt;Al Jazi Building 2</v>
      </c>
      <c r="E8789" s="2"/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  <c r="W8789" s="2"/>
      <c r="X8789" s="2"/>
      <c r="Y8789" s="2"/>
      <c r="Z8789" s="2"/>
    </row>
    <row r="8790" spans="1:26" ht="16.5" x14ac:dyDescent="0.35">
      <c r="A8790" s="2" t="str">
        <f ca="1">IFERROR(__xludf.DUMMYFUNCTION("""COMPUTED_VALUE"""),"Dubai")</f>
        <v>Dubai</v>
      </c>
      <c r="B8790" s="2" t="str">
        <f ca="1">IFERROR(__xludf.DUMMYFUNCTION("""COMPUTED_VALUE"""),"Budding Kids Nursery")</f>
        <v>Budding Kids Nursery</v>
      </c>
      <c r="C8790" s="2" t="str">
        <f ca="1">IFERROR(__xludf.DUMMYFUNCTION("""COMPUTED_VALUE"""),"Nursery")</f>
        <v>Nursery</v>
      </c>
      <c r="D8790" s="2" t="str">
        <f ca="1">IFERROR(__xludf.DUMMYFUNCTION("""COMPUTED_VALUE"""),"Dubai&gt;Umm Suqeim&gt;Umm Suqeim 2&gt;Budding Kids Nursery")</f>
        <v>Dubai&gt;Umm Suqeim&gt;Umm Suqeim 2&gt;Budding Kids Nursery</v>
      </c>
      <c r="E8790" s="2"/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  <c r="W8790" s="2"/>
      <c r="X8790" s="2"/>
      <c r="Y8790" s="2"/>
      <c r="Z8790" s="2"/>
    </row>
    <row r="8791" spans="1:26" ht="16.5" x14ac:dyDescent="0.35">
      <c r="A8791" s="2" t="str">
        <f ca="1">IFERROR(__xludf.DUMMYFUNCTION("""COMPUTED_VALUE"""),"Dubai")</f>
        <v>Dubai</v>
      </c>
      <c r="B8791" s="2" t="str">
        <f ca="1">IFERROR(__xludf.DUMMYFUNCTION("""COMPUTED_VALUE"""),"Azizi Milan 20")</f>
        <v>Azizi Milan 20</v>
      </c>
      <c r="C8791" s="2" t="str">
        <f ca="1">IFERROR(__xludf.DUMMYFUNCTION("""COMPUTED_VALUE"""),"Building")</f>
        <v>Building</v>
      </c>
      <c r="D8791" s="2" t="str">
        <f ca="1">IFERROR(__xludf.DUMMYFUNCTION("""COMPUTED_VALUE"""),"Dubai&gt;City of Arabia&gt;Azizi Milan&gt;Azizi Milan 20")</f>
        <v>Dubai&gt;City of Arabia&gt;Azizi Milan&gt;Azizi Milan 20</v>
      </c>
      <c r="E8791" s="2"/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  <c r="W8791" s="2"/>
      <c r="X8791" s="2"/>
      <c r="Y8791" s="2"/>
      <c r="Z8791" s="2"/>
    </row>
    <row r="8792" spans="1:26" ht="16.5" x14ac:dyDescent="0.35">
      <c r="A8792" s="2" t="str">
        <f ca="1">IFERROR(__xludf.DUMMYFUNCTION("""COMPUTED_VALUE"""),"Dubai")</f>
        <v>Dubai</v>
      </c>
      <c r="B8792" s="2" t="str">
        <f ca="1">IFERROR(__xludf.DUMMYFUNCTION("""COMPUTED_VALUE"""),"Al Fardan Building")</f>
        <v>Al Fardan Building</v>
      </c>
      <c r="C8792" s="2" t="str">
        <f ca="1">IFERROR(__xludf.DUMMYFUNCTION("""COMPUTED_VALUE"""),"Building")</f>
        <v>Building</v>
      </c>
      <c r="D8792" s="2" t="str">
        <f ca="1">IFERROR(__xludf.DUMMYFUNCTION("""COMPUTED_VALUE"""),"Dubai&gt;Al Badaa&gt;Al Fardan Building")</f>
        <v>Dubai&gt;Al Badaa&gt;Al Fardan Building</v>
      </c>
      <c r="E8792" s="2"/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  <c r="W8792" s="2"/>
      <c r="X8792" s="2"/>
      <c r="Y8792" s="2"/>
      <c r="Z8792" s="2"/>
    </row>
    <row r="8793" spans="1:26" ht="16.5" x14ac:dyDescent="0.35">
      <c r="A8793" s="2" t="str">
        <f ca="1">IFERROR(__xludf.DUMMYFUNCTION("""COMPUTED_VALUE"""),"Dubai")</f>
        <v>Dubai</v>
      </c>
      <c r="B8793" s="2" t="str">
        <f ca="1">IFERROR(__xludf.DUMMYFUNCTION("""COMPUTED_VALUE"""),"Fikree Building")</f>
        <v>Fikree Building</v>
      </c>
      <c r="C8793" s="2" t="str">
        <f ca="1">IFERROR(__xludf.DUMMYFUNCTION("""COMPUTED_VALUE"""),"Building")</f>
        <v>Building</v>
      </c>
      <c r="D8793" s="2" t="str">
        <f ca="1">IFERROR(__xludf.DUMMYFUNCTION("""COMPUTED_VALUE"""),"Dubai&gt;Al Badaa&gt;Fikree Building")</f>
        <v>Dubai&gt;Al Badaa&gt;Fikree Building</v>
      </c>
      <c r="E8793" s="2"/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  <c r="W8793" s="2"/>
      <c r="X8793" s="2"/>
      <c r="Y8793" s="2"/>
      <c r="Z8793" s="2"/>
    </row>
    <row r="8794" spans="1:26" ht="16.5" x14ac:dyDescent="0.35">
      <c r="A8794" s="2" t="str">
        <f ca="1">IFERROR(__xludf.DUMMYFUNCTION("""COMPUTED_VALUE"""),"Dubai")</f>
        <v>Dubai</v>
      </c>
      <c r="B8794" s="2" t="str">
        <f ca="1">IFERROR(__xludf.DUMMYFUNCTION("""COMPUTED_VALUE"""),"Al Manara Hotel")</f>
        <v>Al Manara Hotel</v>
      </c>
      <c r="C8794" s="2" t="str">
        <f ca="1">IFERROR(__xludf.DUMMYFUNCTION("""COMPUTED_VALUE"""),"Building")</f>
        <v>Building</v>
      </c>
      <c r="D8794" s="2" t="str">
        <f ca="1">IFERROR(__xludf.DUMMYFUNCTION("""COMPUTED_VALUE"""),"Dubai&gt;Al Manara&gt;Al Manara Hotel")</f>
        <v>Dubai&gt;Al Manara&gt;Al Manara Hotel</v>
      </c>
      <c r="E8794" s="2"/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  <c r="W8794" s="2"/>
      <c r="X8794" s="2"/>
      <c r="Y8794" s="2"/>
      <c r="Z8794" s="2"/>
    </row>
    <row r="8795" spans="1:26" ht="16.5" x14ac:dyDescent="0.35">
      <c r="A8795" s="2" t="str">
        <f ca="1">IFERROR(__xludf.DUMMYFUNCTION("""COMPUTED_VALUE"""),"Dubai")</f>
        <v>Dubai</v>
      </c>
      <c r="B8795" s="2" t="str">
        <f ca="1">IFERROR(__xludf.DUMMYFUNCTION("""COMPUTED_VALUE"""),"Building A")</f>
        <v>Building A</v>
      </c>
      <c r="C8795" s="2" t="str">
        <f ca="1">IFERROR(__xludf.DUMMYFUNCTION("""COMPUTED_VALUE"""),"Building")</f>
        <v>Building</v>
      </c>
      <c r="D8795" s="2" t="str">
        <f ca="1">IFERROR(__xludf.DUMMYFUNCTION("""COMPUTED_VALUE"""),"Dubai&gt;Academic City&gt;Dubai Outsource City&gt;Building A")</f>
        <v>Dubai&gt;Academic City&gt;Dubai Outsource City&gt;Building A</v>
      </c>
      <c r="E8795" s="2"/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  <c r="W8795" s="2"/>
      <c r="X8795" s="2"/>
      <c r="Y8795" s="2"/>
      <c r="Z8795" s="2"/>
    </row>
    <row r="8796" spans="1:26" ht="16.5" x14ac:dyDescent="0.35">
      <c r="A8796" s="2" t="str">
        <f ca="1">IFERROR(__xludf.DUMMYFUNCTION("""COMPUTED_VALUE"""),"Dubai")</f>
        <v>Dubai</v>
      </c>
      <c r="B8796" s="2" t="str">
        <f ca="1">IFERROR(__xludf.DUMMYFUNCTION("""COMPUTED_VALUE"""),"Design Quarter Tower B")</f>
        <v>Design Quarter Tower B</v>
      </c>
      <c r="C8796" s="2" t="str">
        <f ca="1">IFERROR(__xludf.DUMMYFUNCTION("""COMPUTED_VALUE"""),"Building")</f>
        <v>Building</v>
      </c>
      <c r="D8796" s="2" t="str">
        <f ca="1">IFERROR(__xludf.DUMMYFUNCTION("""COMPUTED_VALUE"""),"Dubai&gt;Dubai Design District&gt;Design Quarter&gt;Design Quarter Tower B")</f>
        <v>Dubai&gt;Dubai Design District&gt;Design Quarter&gt;Design Quarter Tower B</v>
      </c>
      <c r="E8796" s="2"/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  <c r="W8796" s="2"/>
      <c r="X8796" s="2"/>
      <c r="Y8796" s="2"/>
      <c r="Z8796" s="2"/>
    </row>
    <row r="8797" spans="1:26" ht="16.5" x14ac:dyDescent="0.35">
      <c r="A8797" s="2" t="str">
        <f ca="1">IFERROR(__xludf.DUMMYFUNCTION("""COMPUTED_VALUE"""),"Dubai")</f>
        <v>Dubai</v>
      </c>
      <c r="B8797" s="2" t="str">
        <f ca="1">IFERROR(__xludf.DUMMYFUNCTION("""COMPUTED_VALUE"""),"Concord 2")</f>
        <v>Concord 2</v>
      </c>
      <c r="C8797" s="2" t="str">
        <f ca="1">IFERROR(__xludf.DUMMYFUNCTION("""COMPUTED_VALUE"""),"Building")</f>
        <v>Building</v>
      </c>
      <c r="D8797" s="2" t="str">
        <f ca="1">IFERROR(__xludf.DUMMYFUNCTION("""COMPUTED_VALUE"""),"Dubai&gt;Al Hudaiba&gt;Concord 2")</f>
        <v>Dubai&gt;Al Hudaiba&gt;Concord 2</v>
      </c>
      <c r="E8797" s="2"/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  <c r="W8797" s="2"/>
      <c r="X8797" s="2"/>
      <c r="Y8797" s="2"/>
      <c r="Z8797" s="2"/>
    </row>
    <row r="8798" spans="1:26" ht="16.5" x14ac:dyDescent="0.35">
      <c r="A8798" s="2" t="str">
        <f ca="1">IFERROR(__xludf.DUMMYFUNCTION("""COMPUTED_VALUE"""),"Dubai")</f>
        <v>Dubai</v>
      </c>
      <c r="B8798" s="2" t="str">
        <f ca="1">IFERROR(__xludf.DUMMYFUNCTION("""COMPUTED_VALUE"""),"Wasl 51 Block D")</f>
        <v>Wasl 51 Block D</v>
      </c>
      <c r="C8798" s="2" t="str">
        <f ca="1">IFERROR(__xludf.DUMMYFUNCTION("""COMPUTED_VALUE"""),"Building")</f>
        <v>Building</v>
      </c>
      <c r="D8798" s="2" t="str">
        <f ca="1">IFERROR(__xludf.DUMMYFUNCTION("""COMPUTED_VALUE"""),"Dubai&gt;Jumeirah&gt;Jumeirah 1&gt;Wasl 51&gt;Wasl 51 Block D")</f>
        <v>Dubai&gt;Jumeirah&gt;Jumeirah 1&gt;Wasl 51&gt;Wasl 51 Block D</v>
      </c>
      <c r="E8798" s="2"/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  <c r="W8798" s="2"/>
      <c r="X8798" s="2"/>
      <c r="Y8798" s="2"/>
      <c r="Z8798" s="2"/>
    </row>
    <row r="8799" spans="1:26" ht="16.5" x14ac:dyDescent="0.35">
      <c r="A8799" s="2" t="str">
        <f ca="1">IFERROR(__xludf.DUMMYFUNCTION("""COMPUTED_VALUE"""),"Dubai")</f>
        <v>Dubai</v>
      </c>
      <c r="B8799" s="2" t="str">
        <f ca="1">IFERROR(__xludf.DUMMYFUNCTION("""COMPUTED_VALUE"""),"Jumeirah Bay Islands")</f>
        <v>Jumeirah Bay Islands</v>
      </c>
      <c r="C8799" s="2" t="str">
        <f ca="1">IFERROR(__xludf.DUMMYFUNCTION("""COMPUTED_VALUE"""),"Neighbourhood")</f>
        <v>Neighbourhood</v>
      </c>
      <c r="D8799" s="2" t="str">
        <f ca="1">IFERROR(__xludf.DUMMYFUNCTION("""COMPUTED_VALUE"""),"Dubai&gt;Jumeirah&gt;Jumeirah Bay Islands")</f>
        <v>Dubai&gt;Jumeirah&gt;Jumeirah Bay Islands</v>
      </c>
      <c r="E8799" s="2"/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  <c r="W8799" s="2"/>
      <c r="X8799" s="2"/>
      <c r="Y8799" s="2"/>
      <c r="Z8799" s="2"/>
    </row>
    <row r="8800" spans="1:26" ht="16.5" x14ac:dyDescent="0.35">
      <c r="A8800" s="2" t="str">
        <f ca="1">IFERROR(__xludf.DUMMYFUNCTION("""COMPUTED_VALUE"""),"Dubai")</f>
        <v>Dubai</v>
      </c>
      <c r="B8800" s="2" t="str">
        <f ca="1">IFERROR(__xludf.DUMMYFUNCTION("""COMPUTED_VALUE"""),"Reem Villas")</f>
        <v>Reem Villas</v>
      </c>
      <c r="C8800" s="2" t="str">
        <f ca="1">IFERROR(__xludf.DUMMYFUNCTION("""COMPUTED_VALUE"""),"Neighbourhood")</f>
        <v>Neighbourhood</v>
      </c>
      <c r="D8800" s="2" t="str">
        <f ca="1">IFERROR(__xludf.DUMMYFUNCTION("""COMPUTED_VALUE"""),"Dubai&gt;Jumeirah&gt;Jumeirah 2&gt;Reem Villas")</f>
        <v>Dubai&gt;Jumeirah&gt;Jumeirah 2&gt;Reem Villas</v>
      </c>
      <c r="E8800" s="2"/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  <c r="W8800" s="2"/>
      <c r="X8800" s="2"/>
      <c r="Y8800" s="2"/>
      <c r="Z8800" s="2"/>
    </row>
    <row r="8801" spans="1:26" ht="16.5" x14ac:dyDescent="0.35">
      <c r="A8801" s="2" t="str">
        <f ca="1">IFERROR(__xludf.DUMMYFUNCTION("""COMPUTED_VALUE"""),"Dubai")</f>
        <v>Dubai</v>
      </c>
      <c r="B8801" s="2" t="str">
        <f ca="1">IFERROR(__xludf.DUMMYFUNCTION("""COMPUTED_VALUE"""),"Le Ciel Tower 1")</f>
        <v>Le Ciel Tower 1</v>
      </c>
      <c r="C8801" s="2" t="str">
        <f ca="1">IFERROR(__xludf.DUMMYFUNCTION("""COMPUTED_VALUE"""),"Building")</f>
        <v>Building</v>
      </c>
      <c r="D8801" s="2" t="str">
        <f ca="1">IFERROR(__xludf.DUMMYFUNCTION("""COMPUTED_VALUE"""),"Dubai&gt;Jumeirah&gt;La Mer&gt;Port de La Mer&gt;Le Ciel&gt;Le Ciel Tower 1")</f>
        <v>Dubai&gt;Jumeirah&gt;La Mer&gt;Port de La Mer&gt;Le Ciel&gt;Le Ciel Tower 1</v>
      </c>
      <c r="E8801" s="2"/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  <c r="W8801" s="2"/>
      <c r="X8801" s="2"/>
      <c r="Y8801" s="2"/>
      <c r="Z8801" s="2"/>
    </row>
    <row r="8802" spans="1:26" ht="16.5" x14ac:dyDescent="0.35">
      <c r="A8802" s="2" t="str">
        <f ca="1">IFERROR(__xludf.DUMMYFUNCTION("""COMPUTED_VALUE"""),"Dubai")</f>
        <v>Dubai</v>
      </c>
      <c r="B8802" s="2" t="str">
        <f ca="1">IFERROR(__xludf.DUMMYFUNCTION("""COMPUTED_VALUE"""),"Creekside 18")</f>
        <v>Creekside 18</v>
      </c>
      <c r="C8802" s="2" t="str">
        <f ca="1">IFERROR(__xludf.DUMMYFUNCTION("""COMPUTED_VALUE"""),"Cluster")</f>
        <v>Cluster</v>
      </c>
      <c r="D8802" s="2" t="str">
        <f ca="1">IFERROR(__xludf.DUMMYFUNCTION("""COMPUTED_VALUE"""),"Dubai&gt;Dubai Creek Harbour&gt;Creekside 18")</f>
        <v>Dubai&gt;Dubai Creek Harbour&gt;Creekside 18</v>
      </c>
      <c r="E8802" s="2"/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  <c r="W8802" s="2"/>
      <c r="X8802" s="2"/>
      <c r="Y8802" s="2"/>
      <c r="Z8802" s="2"/>
    </row>
    <row r="8803" spans="1:26" ht="16.5" x14ac:dyDescent="0.35">
      <c r="A8803" s="2" t="str">
        <f ca="1">IFERROR(__xludf.DUMMYFUNCTION("""COMPUTED_VALUE"""),"Dubai")</f>
        <v>Dubai</v>
      </c>
      <c r="B8803" s="2" t="str">
        <f ca="1">IFERROR(__xludf.DUMMYFUNCTION("""COMPUTED_VALUE"""),"Creek Edge Tower 2")</f>
        <v>Creek Edge Tower 2</v>
      </c>
      <c r="C8803" s="2" t="str">
        <f ca="1">IFERROR(__xludf.DUMMYFUNCTION("""COMPUTED_VALUE"""),"Building")</f>
        <v>Building</v>
      </c>
      <c r="D8803" s="2" t="str">
        <f ca="1">IFERROR(__xludf.DUMMYFUNCTION("""COMPUTED_VALUE"""),"Dubai&gt;Dubai Creek Harbour&gt;Creek Edge&gt;Creek Edge Tower 2")</f>
        <v>Dubai&gt;Dubai Creek Harbour&gt;Creek Edge&gt;Creek Edge Tower 2</v>
      </c>
      <c r="E8803" s="2"/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  <c r="W8803" s="2"/>
      <c r="X8803" s="2"/>
      <c r="Y8803" s="2"/>
      <c r="Z8803" s="2"/>
    </row>
    <row r="8804" spans="1:26" ht="16.5" x14ac:dyDescent="0.35">
      <c r="A8804" s="2" t="str">
        <f ca="1">IFERROR(__xludf.DUMMYFUNCTION("""COMPUTED_VALUE"""),"Dubai")</f>
        <v>Dubai</v>
      </c>
      <c r="B8804" s="2" t="str">
        <f ca="1">IFERROR(__xludf.DUMMYFUNCTION("""COMPUTED_VALUE"""),"Dubai Creek Residence Tower 2 South")</f>
        <v>Dubai Creek Residence Tower 2 South</v>
      </c>
      <c r="C8804" s="2" t="str">
        <f ca="1">IFERROR(__xludf.DUMMYFUNCTION("""COMPUTED_VALUE"""),"Building")</f>
        <v>Building</v>
      </c>
      <c r="D8804" s="2" t="str">
        <f ca="1">IFERROR(__xludf.DUMMYFUNCTION("""COMPUTED_VALUE"""),"Dubai&gt;Dubai Creek Harbour&gt;Dubai Creek Residences&gt;Dubai Creek Residence Tower 2 South")</f>
        <v>Dubai&gt;Dubai Creek Harbour&gt;Dubai Creek Residences&gt;Dubai Creek Residence Tower 2 South</v>
      </c>
      <c r="E8804" s="2"/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  <c r="W8804" s="2"/>
      <c r="X8804" s="2"/>
      <c r="Y8804" s="2"/>
      <c r="Z8804" s="2"/>
    </row>
    <row r="8805" spans="1:26" ht="16.5" x14ac:dyDescent="0.35">
      <c r="A8805" s="2" t="str">
        <f ca="1">IFERROR(__xludf.DUMMYFUNCTION("""COMPUTED_VALUE"""),"Dubai")</f>
        <v>Dubai</v>
      </c>
      <c r="B8805" s="2" t="str">
        <f ca="1">IFERROR(__xludf.DUMMYFUNCTION("""COMPUTED_VALUE"""),"Aeon Tower 2")</f>
        <v>Aeon Tower 2</v>
      </c>
      <c r="C8805" s="2" t="str">
        <f ca="1">IFERROR(__xludf.DUMMYFUNCTION("""COMPUTED_VALUE"""),"Building")</f>
        <v>Building</v>
      </c>
      <c r="D8805" s="2" t="str">
        <f ca="1">IFERROR(__xludf.DUMMYFUNCTION("""COMPUTED_VALUE"""),"Dubai&gt;Dubai Creek Harbour&gt;Aeon&gt;Aeon Tower 2")</f>
        <v>Dubai&gt;Dubai Creek Harbour&gt;Aeon&gt;Aeon Tower 2</v>
      </c>
      <c r="E8805" s="2"/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  <c r="W8805" s="2"/>
      <c r="X8805" s="2"/>
      <c r="Y8805" s="2"/>
      <c r="Z8805" s="2"/>
    </row>
    <row r="8806" spans="1:26" ht="16.5" x14ac:dyDescent="0.35">
      <c r="A8806" s="2" t="str">
        <f ca="1">IFERROR(__xludf.DUMMYFUNCTION("""COMPUTED_VALUE"""),"Dubai")</f>
        <v>Dubai</v>
      </c>
      <c r="B8806" s="2" t="str">
        <f ca="1">IFERROR(__xludf.DUMMYFUNCTION("""COMPUTED_VALUE"""),"The Villa")</f>
        <v>The Villa</v>
      </c>
      <c r="C8806" s="2" t="str">
        <f ca="1">IFERROR(__xludf.DUMMYFUNCTION("""COMPUTED_VALUE"""),"Neighbourhood")</f>
        <v>Neighbourhood</v>
      </c>
      <c r="D8806" s="2" t="str">
        <f ca="1">IFERROR(__xludf.DUMMYFUNCTION("""COMPUTED_VALUE"""),"Dubai&gt;The Villa")</f>
        <v>Dubai&gt;The Villa</v>
      </c>
      <c r="E8806" s="2"/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  <c r="W8806" s="2"/>
      <c r="X8806" s="2"/>
      <c r="Y8806" s="2"/>
      <c r="Z8806" s="2"/>
    </row>
    <row r="8807" spans="1:26" ht="16.5" x14ac:dyDescent="0.35">
      <c r="A8807" s="2" t="str">
        <f ca="1">IFERROR(__xludf.DUMMYFUNCTION("""COMPUTED_VALUE"""),"Dubai")</f>
        <v>Dubai</v>
      </c>
      <c r="B8807" s="2" t="str">
        <f ca="1">IFERROR(__xludf.DUMMYFUNCTION("""COMPUTED_VALUE"""),"Elegance House")</f>
        <v>Elegance House</v>
      </c>
      <c r="C8807" s="2" t="str">
        <f ca="1">IFERROR(__xludf.DUMMYFUNCTION("""COMPUTED_VALUE"""),"Building")</f>
        <v>Building</v>
      </c>
      <c r="D8807" s="2" t="str">
        <f ca="1">IFERROR(__xludf.DUMMYFUNCTION("""COMPUTED_VALUE"""),"Dubai&gt;Barsha Heights (Tecom)&gt;Elegance House")</f>
        <v>Dubai&gt;Barsha Heights (Tecom)&gt;Elegance House</v>
      </c>
      <c r="E8807" s="2"/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  <c r="W8807" s="2"/>
      <c r="X8807" s="2"/>
      <c r="Y8807" s="2"/>
      <c r="Z8807" s="2"/>
    </row>
    <row r="8808" spans="1:26" ht="16.5" x14ac:dyDescent="0.35">
      <c r="A8808" s="2" t="str">
        <f ca="1">IFERROR(__xludf.DUMMYFUNCTION("""COMPUTED_VALUE"""),"Dubai")</f>
        <v>Dubai</v>
      </c>
      <c r="B8808" s="2" t="str">
        <f ca="1">IFERROR(__xludf.DUMMYFUNCTION("""COMPUTED_VALUE"""),"Al Alvari Tower")</f>
        <v>Al Alvari Tower</v>
      </c>
      <c r="C8808" s="2" t="str">
        <f ca="1">IFERROR(__xludf.DUMMYFUNCTION("""COMPUTED_VALUE"""),"Building")</f>
        <v>Building</v>
      </c>
      <c r="D8808" s="2" t="str">
        <f ca="1">IFERROR(__xludf.DUMMYFUNCTION("""COMPUTED_VALUE"""),"Dubai&gt;Barsha Heights (Tecom)&gt;Al Alvari Tower")</f>
        <v>Dubai&gt;Barsha Heights (Tecom)&gt;Al Alvari Tower</v>
      </c>
      <c r="E8808" s="2"/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  <c r="W8808" s="2"/>
      <c r="X8808" s="2"/>
      <c r="Y8808" s="2"/>
      <c r="Z8808" s="2"/>
    </row>
    <row r="8809" spans="1:26" ht="16.5" x14ac:dyDescent="0.35">
      <c r="A8809" s="2" t="str">
        <f ca="1">IFERROR(__xludf.DUMMYFUNCTION("""COMPUTED_VALUE"""),"Dubai")</f>
        <v>Dubai</v>
      </c>
      <c r="B8809" s="2" t="str">
        <f ca="1">IFERROR(__xludf.DUMMYFUNCTION("""COMPUTED_VALUE"""),"AB Plaza 6")</f>
        <v>AB Plaza 6</v>
      </c>
      <c r="C8809" s="2" t="str">
        <f ca="1">IFERROR(__xludf.DUMMYFUNCTION("""COMPUTED_VALUE"""),"Building")</f>
        <v>Building</v>
      </c>
      <c r="D8809" s="2" t="str">
        <f ca="1">IFERROR(__xludf.DUMMYFUNCTION("""COMPUTED_VALUE"""),"Dubai&gt;Barsha Heights (Tecom)&gt;AB Plaza 6")</f>
        <v>Dubai&gt;Barsha Heights (Tecom)&gt;AB Plaza 6</v>
      </c>
      <c r="E8809" s="2"/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</row>
    <row r="8810" spans="1:26" ht="16.5" x14ac:dyDescent="0.35">
      <c r="A8810" s="2" t="str">
        <f ca="1">IFERROR(__xludf.DUMMYFUNCTION("""COMPUTED_VALUE"""),"Dubai")</f>
        <v>Dubai</v>
      </c>
      <c r="B8810" s="2" t="str">
        <f ca="1">IFERROR(__xludf.DUMMYFUNCTION("""COMPUTED_VALUE"""),"Vida Residence B")</f>
        <v>Vida Residence B</v>
      </c>
      <c r="C8810" s="2" t="str">
        <f ca="1">IFERROR(__xludf.DUMMYFUNCTION("""COMPUTED_VALUE"""),"Building")</f>
        <v>Building</v>
      </c>
      <c r="D8810" s="2" t="str">
        <f ca="1">IFERROR(__xludf.DUMMYFUNCTION("""COMPUTED_VALUE"""),"Dubai&gt;The Hills&gt;Vida Residence (The Hills)&gt;Vida Residence B")</f>
        <v>Dubai&gt;The Hills&gt;Vida Residence (The Hills)&gt;Vida Residence B</v>
      </c>
      <c r="E8810" s="2"/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  <c r="W8810" s="2"/>
      <c r="X8810" s="2"/>
      <c r="Y8810" s="2"/>
      <c r="Z8810" s="2"/>
    </row>
    <row r="8811" spans="1:26" ht="16.5" x14ac:dyDescent="0.35">
      <c r="A8811" s="2" t="str">
        <f ca="1">IFERROR(__xludf.DUMMYFUNCTION("""COMPUTED_VALUE"""),"Dubai")</f>
        <v>Dubai</v>
      </c>
      <c r="B8811" s="2" t="str">
        <f ca="1">IFERROR(__xludf.DUMMYFUNCTION("""COMPUTED_VALUE"""),"Kojak Building")</f>
        <v>Kojak Building</v>
      </c>
      <c r="C8811" s="2" t="str">
        <f ca="1">IFERROR(__xludf.DUMMYFUNCTION("""COMPUTED_VALUE"""),"Building")</f>
        <v>Building</v>
      </c>
      <c r="D8811" s="2" t="str">
        <f ca="1">IFERROR(__xludf.DUMMYFUNCTION("""COMPUTED_VALUE"""),"Dubai&gt;Motor City&gt;Kojak Building")</f>
        <v>Dubai&gt;Motor City&gt;Kojak Building</v>
      </c>
      <c r="E8811" s="2"/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  <c r="W8811" s="2"/>
      <c r="X8811" s="2"/>
      <c r="Y8811" s="2"/>
      <c r="Z8811" s="2"/>
    </row>
    <row r="8812" spans="1:26" ht="16.5" x14ac:dyDescent="0.35">
      <c r="A8812" s="2" t="str">
        <f ca="1">IFERROR(__xludf.DUMMYFUNCTION("""COMPUTED_VALUE"""),"Dubai")</f>
        <v>Dubai</v>
      </c>
      <c r="B8812" s="2" t="str">
        <f ca="1">IFERROR(__xludf.DUMMYFUNCTION("""COMPUTED_VALUE"""),"Abbey Crescent 1")</f>
        <v>Abbey Crescent 1</v>
      </c>
      <c r="C8812" s="2" t="str">
        <f ca="1">IFERROR(__xludf.DUMMYFUNCTION("""COMPUTED_VALUE"""),"Building")</f>
        <v>Building</v>
      </c>
      <c r="D8812" s="2" t="str">
        <f ca="1">IFERROR(__xludf.DUMMYFUNCTION("""COMPUTED_VALUE"""),"Dubai&gt;Motor City&gt;Uptown Motor City&gt;Abbey Crescent&gt;Abbey Crescent 1")</f>
        <v>Dubai&gt;Motor City&gt;Uptown Motor City&gt;Abbey Crescent&gt;Abbey Crescent 1</v>
      </c>
      <c r="E8812" s="2"/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  <c r="W8812" s="2"/>
      <c r="X8812" s="2"/>
      <c r="Y8812" s="2"/>
      <c r="Z8812" s="2"/>
    </row>
    <row r="8813" spans="1:26" ht="16.5" x14ac:dyDescent="0.35">
      <c r="A8813" s="2" t="str">
        <f ca="1">IFERROR(__xludf.DUMMYFUNCTION("""COMPUTED_VALUE"""),"Dubai")</f>
        <v>Dubai</v>
      </c>
      <c r="B8813" s="2" t="str">
        <f ca="1">IFERROR(__xludf.DUMMYFUNCTION("""COMPUTED_VALUE"""),"Widcombe House")</f>
        <v>Widcombe House</v>
      </c>
      <c r="C8813" s="2" t="str">
        <f ca="1">IFERROR(__xludf.DUMMYFUNCTION("""COMPUTED_VALUE"""),"Cluster")</f>
        <v>Cluster</v>
      </c>
      <c r="D8813" s="2" t="str">
        <f ca="1">IFERROR(__xludf.DUMMYFUNCTION("""COMPUTED_VALUE"""),"Dubai&gt;Motor City&gt;Uptown Motor City&gt;Widcombe House")</f>
        <v>Dubai&gt;Motor City&gt;Uptown Motor City&gt;Widcombe House</v>
      </c>
      <c r="E8813" s="2"/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  <c r="W8813" s="2"/>
      <c r="X8813" s="2"/>
      <c r="Y8813" s="2"/>
      <c r="Z8813" s="2"/>
    </row>
    <row r="8814" spans="1:26" ht="16.5" x14ac:dyDescent="0.35">
      <c r="A8814" s="2" t="str">
        <f ca="1">IFERROR(__xludf.DUMMYFUNCTION("""COMPUTED_VALUE"""),"Dubai")</f>
        <v>Dubai</v>
      </c>
      <c r="B8814" s="2" t="str">
        <f ca="1">IFERROR(__xludf.DUMMYFUNCTION("""COMPUTED_VALUE"""),"15 Cascade")</f>
        <v>15 Cascade</v>
      </c>
      <c r="C8814" s="2" t="str">
        <f ca="1">IFERROR(__xludf.DUMMYFUNCTION("""COMPUTED_VALUE"""),"Building")</f>
        <v>Building</v>
      </c>
      <c r="D8814" s="2" t="str">
        <f ca="1">IFERROR(__xludf.DUMMYFUNCTION("""COMPUTED_VALUE"""),"Dubai&gt;Motor City&gt;15 Cascade")</f>
        <v>Dubai&gt;Motor City&gt;15 Cascade</v>
      </c>
      <c r="E8814" s="2"/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  <c r="W8814" s="2"/>
      <c r="X8814" s="2"/>
      <c r="Y8814" s="2"/>
      <c r="Z8814" s="2"/>
    </row>
    <row r="8815" spans="1:26" ht="16.5" x14ac:dyDescent="0.35">
      <c r="A8815" s="2" t="str">
        <f ca="1">IFERROR(__xludf.DUMMYFUNCTION("""COMPUTED_VALUE"""),"Dubai")</f>
        <v>Dubai</v>
      </c>
      <c r="B8815" s="2" t="str">
        <f ca="1">IFERROR(__xludf.DUMMYFUNCTION("""COMPUTED_VALUE"""),"Design House")</f>
        <v>Design House</v>
      </c>
      <c r="C8815" s="2" t="str">
        <f ca="1">IFERROR(__xludf.DUMMYFUNCTION("""COMPUTED_VALUE"""),"Building")</f>
        <v>Building</v>
      </c>
      <c r="D8815" s="2" t="str">
        <f ca="1">IFERROR(__xludf.DUMMYFUNCTION("""COMPUTED_VALUE"""),"Dubai&gt;Al Sufouh&gt;Al Sufouh 1&gt;Design House")</f>
        <v>Dubai&gt;Al Sufouh&gt;Al Sufouh 1&gt;Design House</v>
      </c>
      <c r="E8815" s="2"/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  <c r="W8815" s="2"/>
      <c r="X8815" s="2"/>
      <c r="Y8815" s="2"/>
      <c r="Z8815" s="2"/>
    </row>
    <row r="8816" spans="1:26" ht="16.5" x14ac:dyDescent="0.35">
      <c r="A8816" s="2" t="str">
        <f ca="1">IFERROR(__xludf.DUMMYFUNCTION("""COMPUTED_VALUE"""),"Dubai")</f>
        <v>Dubai</v>
      </c>
      <c r="B8816" s="2" t="str">
        <f ca="1">IFERROR(__xludf.DUMMYFUNCTION("""COMPUTED_VALUE"""),"Boutique Office 2")</f>
        <v>Boutique Office 2</v>
      </c>
      <c r="C8816" s="2" t="str">
        <f ca="1">IFERROR(__xludf.DUMMYFUNCTION("""COMPUTED_VALUE"""),"Building")</f>
        <v>Building</v>
      </c>
      <c r="D8816" s="2" t="str">
        <f ca="1">IFERROR(__xludf.DUMMYFUNCTION("""COMPUTED_VALUE"""),"Dubai&gt;Al Sufouh&gt;Al Sufouh 2&gt;Boutique Offices&gt;Boutique Office 2")</f>
        <v>Dubai&gt;Al Sufouh&gt;Al Sufouh 2&gt;Boutique Offices&gt;Boutique Office 2</v>
      </c>
      <c r="E8816" s="2"/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  <c r="W8816" s="2"/>
      <c r="X8816" s="2"/>
      <c r="Y8816" s="2"/>
      <c r="Z8816" s="2"/>
    </row>
    <row r="8817" spans="1:26" ht="16.5" x14ac:dyDescent="0.35">
      <c r="A8817" s="2" t="str">
        <f ca="1">IFERROR(__xludf.DUMMYFUNCTION("""COMPUTED_VALUE"""),"Dubai")</f>
        <v>Dubai</v>
      </c>
      <c r="B8817" s="2" t="str">
        <f ca="1">IFERROR(__xludf.DUMMYFUNCTION("""COMPUTED_VALUE"""),"Al Badia Building 10")</f>
        <v>Al Badia Building 10</v>
      </c>
      <c r="C8817" s="2" t="str">
        <f ca="1">IFERROR(__xludf.DUMMYFUNCTION("""COMPUTED_VALUE"""),"Building")</f>
        <v>Building</v>
      </c>
      <c r="D8817" s="2" t="str">
        <f ca="1">IFERROR(__xludf.DUMMYFUNCTION("""COMPUTED_VALUE"""),"Dubai&gt;Dubai Festival City&gt;Al Badia Buildings&gt;Al Badia Building 10")</f>
        <v>Dubai&gt;Dubai Festival City&gt;Al Badia Buildings&gt;Al Badia Building 10</v>
      </c>
      <c r="E8817" s="2"/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  <c r="W8817" s="2"/>
      <c r="X8817" s="2"/>
      <c r="Y8817" s="2"/>
      <c r="Z8817" s="2"/>
    </row>
    <row r="8818" spans="1:26" ht="16.5" x14ac:dyDescent="0.35">
      <c r="A8818" s="2" t="str">
        <f ca="1">IFERROR(__xludf.DUMMYFUNCTION("""COMPUTED_VALUE"""),"Dubai")</f>
        <v>Dubai</v>
      </c>
      <c r="B8818" s="2" t="str">
        <f ca="1">IFERROR(__xludf.DUMMYFUNCTION("""COMPUTED_VALUE"""),"Picadilly Green")</f>
        <v>Picadilly Green</v>
      </c>
      <c r="C8818" s="2" t="str">
        <f ca="1">IFERROR(__xludf.DUMMYFUNCTION("""COMPUTED_VALUE"""),"Neighbourhood")</f>
        <v>Neighbourhood</v>
      </c>
      <c r="D8818" s="2" t="str">
        <f ca="1">IFERROR(__xludf.DUMMYFUNCTION("""COMPUTED_VALUE"""),"Dubai&gt;DAMAC Hills&gt;Picadilly Green")</f>
        <v>Dubai&gt;DAMAC Hills&gt;Picadilly Green</v>
      </c>
      <c r="E8818" s="2"/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</row>
    <row r="8819" spans="1:26" ht="16.5" x14ac:dyDescent="0.35">
      <c r="A8819" s="2" t="str">
        <f ca="1">IFERROR(__xludf.DUMMYFUNCTION("""COMPUTED_VALUE"""),"Dubai")</f>
        <v>Dubai</v>
      </c>
      <c r="B8819" s="2" t="str">
        <f ca="1">IFERROR(__xludf.DUMMYFUNCTION("""COMPUTED_VALUE"""),"Queens Meadows")</f>
        <v>Queens Meadows</v>
      </c>
      <c r="C8819" s="2" t="str">
        <f ca="1">IFERROR(__xludf.DUMMYFUNCTION("""COMPUTED_VALUE"""),"Neighbourhood")</f>
        <v>Neighbourhood</v>
      </c>
      <c r="D8819" s="2" t="str">
        <f ca="1">IFERROR(__xludf.DUMMYFUNCTION("""COMPUTED_VALUE"""),"Dubai&gt;DAMAC Hills&gt;Queens Meadows")</f>
        <v>Dubai&gt;DAMAC Hills&gt;Queens Meadows</v>
      </c>
      <c r="E8819" s="2"/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  <c r="W8819" s="2"/>
      <c r="X8819" s="2"/>
      <c r="Y8819" s="2"/>
      <c r="Z8819" s="2"/>
    </row>
    <row r="8820" spans="1:26" ht="16.5" x14ac:dyDescent="0.35">
      <c r="A8820" s="2" t="str">
        <f ca="1">IFERROR(__xludf.DUMMYFUNCTION("""COMPUTED_VALUE"""),"Dubai")</f>
        <v>Dubai</v>
      </c>
      <c r="B8820" s="2" t="str">
        <f ca="1">IFERROR(__xludf.DUMMYFUNCTION("""COMPUTED_VALUE"""),"Golf Horizon Tower A")</f>
        <v>Golf Horizon Tower A</v>
      </c>
      <c r="C8820" s="2" t="str">
        <f ca="1">IFERROR(__xludf.DUMMYFUNCTION("""COMPUTED_VALUE"""),"Building")</f>
        <v>Building</v>
      </c>
      <c r="D8820" s="2" t="str">
        <f ca="1">IFERROR(__xludf.DUMMYFUNCTION("""COMPUTED_VALUE"""),"Dubai&gt;DAMAC Hills&gt;Golf Horizon&gt;Golf Horizon Tower A")</f>
        <v>Dubai&gt;DAMAC Hills&gt;Golf Horizon&gt;Golf Horizon Tower A</v>
      </c>
      <c r="E8820" s="2"/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  <c r="W8820" s="2"/>
      <c r="X8820" s="2"/>
      <c r="Y8820" s="2"/>
      <c r="Z8820" s="2"/>
    </row>
    <row r="8821" spans="1:26" ht="16.5" x14ac:dyDescent="0.35">
      <c r="A8821" s="2" t="str">
        <f ca="1">IFERROR(__xludf.DUMMYFUNCTION("""COMPUTED_VALUE"""),"Dubai")</f>
        <v>Dubai</v>
      </c>
      <c r="B8821" s="2" t="str">
        <f ca="1">IFERROR(__xludf.DUMMYFUNCTION("""COMPUTED_VALUE"""),"Golf Greens 1 Tower B")</f>
        <v>Golf Greens 1 Tower B</v>
      </c>
      <c r="C8821" s="2" t="str">
        <f ca="1">IFERROR(__xludf.DUMMYFUNCTION("""COMPUTED_VALUE"""),"Building")</f>
        <v>Building</v>
      </c>
      <c r="D8821" s="2" t="str">
        <f ca="1">IFERROR(__xludf.DUMMYFUNCTION("""COMPUTED_VALUE"""),"Dubai&gt;DAMAC Hills&gt;Golf Greens 1&gt;Golf Greens 1 Tower B")</f>
        <v>Dubai&gt;DAMAC Hills&gt;Golf Greens 1&gt;Golf Greens 1 Tower B</v>
      </c>
      <c r="E8821" s="2"/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  <c r="W8821" s="2"/>
      <c r="X8821" s="2"/>
      <c r="Y8821" s="2"/>
      <c r="Z8821" s="2"/>
    </row>
    <row r="8822" spans="1:26" ht="16.5" x14ac:dyDescent="0.35">
      <c r="A8822" s="2" t="str">
        <f ca="1">IFERROR(__xludf.DUMMYFUNCTION("""COMPUTED_VALUE"""),"Dubai")</f>
        <v>Dubai</v>
      </c>
      <c r="B8822" s="2" t="str">
        <f ca="1">IFERROR(__xludf.DUMMYFUNCTION("""COMPUTED_VALUE"""),"Seven Pearls Block F")</f>
        <v>Seven Pearls Block F</v>
      </c>
      <c r="C8822" s="2" t="str">
        <f ca="1">IFERROR(__xludf.DUMMYFUNCTION("""COMPUTED_VALUE"""),"Building")</f>
        <v>Building</v>
      </c>
      <c r="D8822" s="2" t="str">
        <f ca="1">IFERROR(__xludf.DUMMYFUNCTION("""COMPUTED_VALUE"""),"Dubai&gt;Al Mina&gt;Seven Pearls&gt;Seven Pearls Block F")</f>
        <v>Dubai&gt;Al Mina&gt;Seven Pearls&gt;Seven Pearls Block F</v>
      </c>
      <c r="E8822" s="2"/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  <c r="W8822" s="2"/>
      <c r="X8822" s="2"/>
      <c r="Y8822" s="2"/>
      <c r="Z8822" s="2"/>
    </row>
    <row r="8823" spans="1:26" ht="16.5" x14ac:dyDescent="0.35">
      <c r="A8823" s="2" t="str">
        <f ca="1">IFERROR(__xludf.DUMMYFUNCTION("""COMPUTED_VALUE"""),"Dubai")</f>
        <v>Dubai</v>
      </c>
      <c r="B8823" s="2" t="str">
        <f ca="1">IFERROR(__xludf.DUMMYFUNCTION("""COMPUTED_VALUE"""),"Orise by Beyond Tower 1")</f>
        <v>Orise by Beyond Tower 1</v>
      </c>
      <c r="C8823" s="2" t="str">
        <f ca="1">IFERROR(__xludf.DUMMYFUNCTION("""COMPUTED_VALUE"""),"Building")</f>
        <v>Building</v>
      </c>
      <c r="D8823" s="2" t="str">
        <f ca="1">IFERROR(__xludf.DUMMYFUNCTION("""COMPUTED_VALUE"""),"Dubai&gt;Dubai Maritime City&gt;Orise by Beyond&gt;Orise by Beyond Tower 1")</f>
        <v>Dubai&gt;Dubai Maritime City&gt;Orise by Beyond&gt;Orise by Beyond Tower 1</v>
      </c>
      <c r="E8823" s="2"/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  <c r="W8823" s="2"/>
      <c r="X8823" s="2"/>
      <c r="Y8823" s="2"/>
      <c r="Z8823" s="2"/>
    </row>
    <row r="8824" spans="1:26" ht="16.5" x14ac:dyDescent="0.35">
      <c r="A8824" s="2" t="str">
        <f ca="1">IFERROR(__xludf.DUMMYFUNCTION("""COMPUTED_VALUE"""),"Dubai")</f>
        <v>Dubai</v>
      </c>
      <c r="B8824" s="2" t="str">
        <f ca="1">IFERROR(__xludf.DUMMYFUNCTION("""COMPUTED_VALUE"""),"The Views 2")</f>
        <v>The Views 2</v>
      </c>
      <c r="C8824" s="2" t="str">
        <f ca="1">IFERROR(__xludf.DUMMYFUNCTION("""COMPUTED_VALUE"""),"Cluster")</f>
        <v>Cluster</v>
      </c>
      <c r="D8824" s="2" t="str">
        <f ca="1">IFERROR(__xludf.DUMMYFUNCTION("""COMPUTED_VALUE"""),"Dubai&gt;The Views&gt;The Views 2")</f>
        <v>Dubai&gt;The Views&gt;The Views 2</v>
      </c>
      <c r="E8824" s="2"/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  <c r="W8824" s="2"/>
      <c r="X8824" s="2"/>
      <c r="Y8824" s="2"/>
      <c r="Z8824" s="2"/>
    </row>
    <row r="8825" spans="1:26" ht="16.5" x14ac:dyDescent="0.35">
      <c r="A8825" s="2" t="str">
        <f ca="1">IFERROR(__xludf.DUMMYFUNCTION("""COMPUTED_VALUE"""),"Dubai")</f>
        <v>Dubai</v>
      </c>
      <c r="B8825" s="2" t="str">
        <f ca="1">IFERROR(__xludf.DUMMYFUNCTION("""COMPUTED_VALUE"""),"Travo Tower A")</f>
        <v>Travo Tower A</v>
      </c>
      <c r="C8825" s="2" t="str">
        <f ca="1">IFERROR(__xludf.DUMMYFUNCTION("""COMPUTED_VALUE"""),"Building")</f>
        <v>Building</v>
      </c>
      <c r="D8825" s="2" t="str">
        <f ca="1">IFERROR(__xludf.DUMMYFUNCTION("""COMPUTED_VALUE"""),"Dubai&gt;The Views&gt;Travo&gt;Travo Tower A")</f>
        <v>Dubai&gt;The Views&gt;Travo&gt;Travo Tower A</v>
      </c>
      <c r="E8825" s="2"/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  <c r="W8825" s="2"/>
      <c r="X8825" s="2"/>
      <c r="Y8825" s="2"/>
      <c r="Z8825" s="2"/>
    </row>
    <row r="8826" spans="1:26" ht="16.5" x14ac:dyDescent="0.35">
      <c r="A8826" s="2" t="str">
        <f ca="1">IFERROR(__xludf.DUMMYFUNCTION("""COMPUTED_VALUE"""),"Dubai")</f>
        <v>Dubai</v>
      </c>
      <c r="B8826" s="2" t="str">
        <f ca="1">IFERROR(__xludf.DUMMYFUNCTION("""COMPUTED_VALUE"""),"Gold and Diamond Park Building 7")</f>
        <v>Gold and Diamond Park Building 7</v>
      </c>
      <c r="C8826" s="2" t="str">
        <f ca="1">IFERROR(__xludf.DUMMYFUNCTION("""COMPUTED_VALUE"""),"Building")</f>
        <v>Building</v>
      </c>
      <c r="D8826" s="2" t="str">
        <f ca="1">IFERROR(__xludf.DUMMYFUNCTION("""COMPUTED_VALUE"""),"Dubai&gt;Al Quoz&gt;Al Quoz Industrial Area&gt;Al Quoz Industrial Area 3&gt;Gold and Diamond Park&gt;Gold and Diamond Park Building 7")</f>
        <v>Dubai&gt;Al Quoz&gt;Al Quoz Industrial Area&gt;Al Quoz Industrial Area 3&gt;Gold and Diamond Park&gt;Gold and Diamond Park Building 7</v>
      </c>
      <c r="E8826" s="2"/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  <c r="W8826" s="2"/>
      <c r="X8826" s="2"/>
      <c r="Y8826" s="2"/>
      <c r="Z8826" s="2"/>
    </row>
    <row r="8827" spans="1:26" ht="16.5" x14ac:dyDescent="0.35">
      <c r="A8827" s="2" t="str">
        <f ca="1">IFERROR(__xludf.DUMMYFUNCTION("""COMPUTED_VALUE"""),"Dubai")</f>
        <v>Dubai</v>
      </c>
      <c r="B8827" s="2" t="str">
        <f ca="1">IFERROR(__xludf.DUMMYFUNCTION("""COMPUTED_VALUE"""),"Al Khail Heights Building 1A")</f>
        <v>Al Khail Heights Building 1A</v>
      </c>
      <c r="C8827" s="2" t="str">
        <f ca="1">IFERROR(__xludf.DUMMYFUNCTION("""COMPUTED_VALUE"""),"Building")</f>
        <v>Building</v>
      </c>
      <c r="D8827" s="2" t="str">
        <f ca="1">IFERROR(__xludf.DUMMYFUNCTION("""COMPUTED_VALUE"""),"Dubai&gt;Al Quoz&gt;Al Quoz 4&gt;Al Khail Heights&gt;Al Khail Heights Building 1A")</f>
        <v>Dubai&gt;Al Quoz&gt;Al Quoz 4&gt;Al Khail Heights&gt;Al Khail Heights Building 1A</v>
      </c>
      <c r="E8827" s="2"/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  <c r="W8827" s="2"/>
      <c r="X8827" s="2"/>
      <c r="Y8827" s="2"/>
      <c r="Z8827" s="2"/>
    </row>
    <row r="8828" spans="1:26" ht="16.5" x14ac:dyDescent="0.35">
      <c r="A8828" s="2" t="str">
        <f ca="1">IFERROR(__xludf.DUMMYFUNCTION("""COMPUTED_VALUE"""),"Dubai")</f>
        <v>Dubai</v>
      </c>
      <c r="B8828" s="2" t="str">
        <f ca="1">IFERROR(__xludf.DUMMYFUNCTION("""COMPUTED_VALUE"""),"Silicon Gates 1")</f>
        <v>Silicon Gates 1</v>
      </c>
      <c r="C8828" s="2" t="str">
        <f ca="1">IFERROR(__xludf.DUMMYFUNCTION("""COMPUTED_VALUE"""),"Building")</f>
        <v>Building</v>
      </c>
      <c r="D8828" s="2" t="str">
        <f ca="1">IFERROR(__xludf.DUMMYFUNCTION("""COMPUTED_VALUE"""),"Dubai&gt;Dubai Silicon Oasis (DSO)&gt;Silicon Gates&gt;Silicon Gates 1")</f>
        <v>Dubai&gt;Dubai Silicon Oasis (DSO)&gt;Silicon Gates&gt;Silicon Gates 1</v>
      </c>
      <c r="E8828" s="2"/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</row>
    <row r="8829" spans="1:26" ht="16.5" x14ac:dyDescent="0.35">
      <c r="A8829" s="2" t="str">
        <f ca="1">IFERROR(__xludf.DUMMYFUNCTION("""COMPUTED_VALUE"""),"Dubai")</f>
        <v>Dubai</v>
      </c>
      <c r="B8829" s="2" t="str">
        <f ca="1">IFERROR(__xludf.DUMMYFUNCTION("""COMPUTED_VALUE"""),"Le Presidium")</f>
        <v>Le Presidium</v>
      </c>
      <c r="C8829" s="2" t="str">
        <f ca="1">IFERROR(__xludf.DUMMYFUNCTION("""COMPUTED_VALUE"""),"Cluster")</f>
        <v>Cluster</v>
      </c>
      <c r="D8829" s="2" t="str">
        <f ca="1">IFERROR(__xludf.DUMMYFUNCTION("""COMPUTED_VALUE"""),"Dubai&gt;Dubai Silicon Oasis (DSO)&gt;Le Presidium")</f>
        <v>Dubai&gt;Dubai Silicon Oasis (DSO)&gt;Le Presidium</v>
      </c>
      <c r="E8829" s="2"/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  <c r="W8829" s="2"/>
      <c r="X8829" s="2"/>
      <c r="Y8829" s="2"/>
      <c r="Z8829" s="2"/>
    </row>
    <row r="8830" spans="1:26" ht="16.5" x14ac:dyDescent="0.35">
      <c r="A8830" s="2" t="str">
        <f ca="1">IFERROR(__xludf.DUMMYFUNCTION("""COMPUTED_VALUE"""),"Dubai")</f>
        <v>Dubai</v>
      </c>
      <c r="B8830" s="2" t="str">
        <f ca="1">IFERROR(__xludf.DUMMYFUNCTION("""COMPUTED_VALUE"""),"Oasis High Park")</f>
        <v>Oasis High Park</v>
      </c>
      <c r="C8830" s="2" t="str">
        <f ca="1">IFERROR(__xludf.DUMMYFUNCTION("""COMPUTED_VALUE"""),"Building")</f>
        <v>Building</v>
      </c>
      <c r="D8830" s="2" t="str">
        <f ca="1">IFERROR(__xludf.DUMMYFUNCTION("""COMPUTED_VALUE"""),"Dubai&gt;Dubai Silicon Oasis (DSO)&gt;Oasis High Park")</f>
        <v>Dubai&gt;Dubai Silicon Oasis (DSO)&gt;Oasis High Park</v>
      </c>
      <c r="E8830" s="2"/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  <c r="W8830" s="2"/>
      <c r="X8830" s="2"/>
      <c r="Y8830" s="2"/>
      <c r="Z8830" s="2"/>
    </row>
    <row r="8831" spans="1:26" ht="16.5" x14ac:dyDescent="0.35">
      <c r="A8831" s="2" t="str">
        <f ca="1">IFERROR(__xludf.DUMMYFUNCTION("""COMPUTED_VALUE"""),"Dubai")</f>
        <v>Dubai</v>
      </c>
      <c r="B8831" s="2" t="str">
        <f ca="1">IFERROR(__xludf.DUMMYFUNCTION("""COMPUTED_VALUE"""),"Sunshine Residence")</f>
        <v>Sunshine Residence</v>
      </c>
      <c r="C8831" s="2" t="str">
        <f ca="1">IFERROR(__xludf.DUMMYFUNCTION("""COMPUTED_VALUE"""),"Building")</f>
        <v>Building</v>
      </c>
      <c r="D8831" s="2" t="str">
        <f ca="1">IFERROR(__xludf.DUMMYFUNCTION("""COMPUTED_VALUE"""),"Dubai&gt;Dubai Silicon Oasis (DSO)&gt;Sunshine Residence")</f>
        <v>Dubai&gt;Dubai Silicon Oasis (DSO)&gt;Sunshine Residence</v>
      </c>
      <c r="E8831" s="2"/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  <c r="W8831" s="2"/>
      <c r="X8831" s="2"/>
      <c r="Y8831" s="2"/>
      <c r="Z8831" s="2"/>
    </row>
    <row r="8832" spans="1:26" ht="16.5" x14ac:dyDescent="0.35">
      <c r="A8832" s="2" t="str">
        <f ca="1">IFERROR(__xludf.DUMMYFUNCTION("""COMPUTED_VALUE"""),"Dubai")</f>
        <v>Dubai</v>
      </c>
      <c r="B8832" s="2" t="str">
        <f ca="1">IFERROR(__xludf.DUMMYFUNCTION("""COMPUTED_VALUE"""),"Mirage 3 Residence")</f>
        <v>Mirage 3 Residence</v>
      </c>
      <c r="C8832" s="2" t="str">
        <f ca="1">IFERROR(__xludf.DUMMYFUNCTION("""COMPUTED_VALUE"""),"Building")</f>
        <v>Building</v>
      </c>
      <c r="D8832" s="2" t="str">
        <f ca="1">IFERROR(__xludf.DUMMYFUNCTION("""COMPUTED_VALUE"""),"Dubai&gt;Dubai Silicon Oasis (DSO)&gt;Mirage 3 Residence")</f>
        <v>Dubai&gt;Dubai Silicon Oasis (DSO)&gt;Mirage 3 Residence</v>
      </c>
      <c r="E8832" s="2"/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  <c r="W8832" s="2"/>
      <c r="X8832" s="2"/>
      <c r="Y8832" s="2"/>
      <c r="Z8832" s="2"/>
    </row>
    <row r="8833" spans="1:26" ht="16.5" x14ac:dyDescent="0.35">
      <c r="A8833" s="2" t="str">
        <f ca="1">IFERROR(__xludf.DUMMYFUNCTION("""COMPUTED_VALUE"""),"Dubai")</f>
        <v>Dubai</v>
      </c>
      <c r="B8833" s="2" t="str">
        <f ca="1">IFERROR(__xludf.DUMMYFUNCTION("""COMPUTED_VALUE"""),"Mas Tower")</f>
        <v>Mas Tower</v>
      </c>
      <c r="C8833" s="2" t="str">
        <f ca="1">IFERROR(__xludf.DUMMYFUNCTION("""COMPUTED_VALUE"""),"Building")</f>
        <v>Building</v>
      </c>
      <c r="D8833" s="2" t="str">
        <f ca="1">IFERROR(__xludf.DUMMYFUNCTION("""COMPUTED_VALUE"""),"Dubai&gt;Dubai Silicon Oasis (DSO)&gt;Mas Tower")</f>
        <v>Dubai&gt;Dubai Silicon Oasis (DSO)&gt;Mas Tower</v>
      </c>
      <c r="E8833" s="2"/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  <c r="W8833" s="2"/>
      <c r="X8833" s="2"/>
      <c r="Y8833" s="2"/>
      <c r="Z8833" s="2"/>
    </row>
    <row r="8834" spans="1:26" ht="16.5" x14ac:dyDescent="0.35">
      <c r="A8834" s="2" t="str">
        <f ca="1">IFERROR(__xludf.DUMMYFUNCTION("""COMPUTED_VALUE"""),"Dubai")</f>
        <v>Dubai</v>
      </c>
      <c r="B8834" s="2" t="str">
        <f ca="1">IFERROR(__xludf.DUMMYFUNCTION("""COMPUTED_VALUE"""),"Sapphire Building")</f>
        <v>Sapphire Building</v>
      </c>
      <c r="C8834" s="2" t="str">
        <f ca="1">IFERROR(__xludf.DUMMYFUNCTION("""COMPUTED_VALUE"""),"Building")</f>
        <v>Building</v>
      </c>
      <c r="D8834" s="2" t="str">
        <f ca="1">IFERROR(__xludf.DUMMYFUNCTION("""COMPUTED_VALUE"""),"Dubai&gt;Dubai Silicon Oasis (DSO)&gt;Sapphire Building")</f>
        <v>Dubai&gt;Dubai Silicon Oasis (DSO)&gt;Sapphire Building</v>
      </c>
      <c r="E8834" s="2"/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  <c r="W8834" s="2"/>
      <c r="X8834" s="2"/>
      <c r="Y8834" s="2"/>
      <c r="Z8834" s="2"/>
    </row>
    <row r="8835" spans="1:26" ht="16.5" x14ac:dyDescent="0.35">
      <c r="A8835" s="2" t="str">
        <f ca="1">IFERROR(__xludf.DUMMYFUNCTION("""COMPUTED_VALUE"""),"Dubai")</f>
        <v>Dubai</v>
      </c>
      <c r="B8835" s="2" t="str">
        <f ca="1">IFERROR(__xludf.DUMMYFUNCTION("""COMPUTED_VALUE"""),"The Neighbourhood")</f>
        <v>The Neighbourhood</v>
      </c>
      <c r="C8835" s="2" t="str">
        <f ca="1">IFERROR(__xludf.DUMMYFUNCTION("""COMPUTED_VALUE"""),"Neighbourhood")</f>
        <v>Neighbourhood</v>
      </c>
      <c r="D8835" s="2" t="str">
        <f ca="1">IFERROR(__xludf.DUMMYFUNCTION("""COMPUTED_VALUE"""),"Dubai&gt;Al Barari&gt;The Neighbourhood")</f>
        <v>Dubai&gt;Al Barari&gt;The Neighbourhood</v>
      </c>
      <c r="E8835" s="2"/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  <c r="W8835" s="2"/>
      <c r="X8835" s="2"/>
      <c r="Y8835" s="2"/>
      <c r="Z8835" s="2"/>
    </row>
    <row r="8836" spans="1:26" ht="16.5" x14ac:dyDescent="0.35">
      <c r="A8836" s="2" t="str">
        <f ca="1">IFERROR(__xludf.DUMMYFUNCTION("""COMPUTED_VALUE"""),"Dubai")</f>
        <v>Dubai</v>
      </c>
      <c r="B8836" s="2" t="str">
        <f ca="1">IFERROR(__xludf.DUMMYFUNCTION("""COMPUTED_VALUE"""),"Silk Leaf 4")</f>
        <v>Silk Leaf 4</v>
      </c>
      <c r="C8836" s="2" t="str">
        <f ca="1">IFERROR(__xludf.DUMMYFUNCTION("""COMPUTED_VALUE"""),"Neighbourhood")</f>
        <v>Neighbourhood</v>
      </c>
      <c r="D8836" s="2" t="str">
        <f ca="1">IFERROR(__xludf.DUMMYFUNCTION("""COMPUTED_VALUE"""),"Dubai&gt;Al Barari&gt;The Residences&gt;Silk Leaf&gt;Silk Leaf 4")</f>
        <v>Dubai&gt;Al Barari&gt;The Residences&gt;Silk Leaf&gt;Silk Leaf 4</v>
      </c>
      <c r="E8836" s="2"/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</row>
    <row r="8837" spans="1:26" ht="16.5" x14ac:dyDescent="0.35">
      <c r="A8837" s="2" t="str">
        <f ca="1">IFERROR(__xludf.DUMMYFUNCTION("""COMPUTED_VALUE"""),"Dubai")</f>
        <v>Dubai</v>
      </c>
      <c r="B8837" s="2" t="str">
        <f ca="1">IFERROR(__xludf.DUMMYFUNCTION("""COMPUTED_VALUE"""),"The Waterside")</f>
        <v>The Waterside</v>
      </c>
      <c r="C8837" s="2" t="str">
        <f ca="1">IFERROR(__xludf.DUMMYFUNCTION("""COMPUTED_VALUE"""),"Neighbourhood")</f>
        <v>Neighbourhood</v>
      </c>
      <c r="D8837" s="2" t="str">
        <f ca="1">IFERROR(__xludf.DUMMYFUNCTION("""COMPUTED_VALUE"""),"Dubai&gt;Mohammed Bin Rashid City&gt;District 11&gt;The Sanctuary by Ellington&gt;The Waterside")</f>
        <v>Dubai&gt;Mohammed Bin Rashid City&gt;District 11&gt;The Sanctuary by Ellington&gt;The Waterside</v>
      </c>
      <c r="E8837" s="2"/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  <c r="W8837" s="2"/>
      <c r="X8837" s="2"/>
      <c r="Y8837" s="2"/>
      <c r="Z8837" s="2"/>
    </row>
    <row r="8838" spans="1:26" ht="16.5" x14ac:dyDescent="0.35">
      <c r="A8838" s="2" t="str">
        <f ca="1">IFERROR(__xludf.DUMMYFUNCTION("""COMPUTED_VALUE"""),"Dubai")</f>
        <v>Dubai</v>
      </c>
      <c r="B8838" s="2" t="str">
        <f ca="1">IFERROR(__xludf.DUMMYFUNCTION("""COMPUTED_VALUE"""),"White Opals")</f>
        <v>White Opals</v>
      </c>
      <c r="C8838" s="2" t="str">
        <f ca="1">IFERROR(__xludf.DUMMYFUNCTION("""COMPUTED_VALUE"""),"Building")</f>
        <v>Building</v>
      </c>
      <c r="D8838" s="2" t="str">
        <f ca="1">IFERROR(__xludf.DUMMYFUNCTION("""COMPUTED_VALUE"""),"Dubai&gt;Mohammed Bin Rashid City&gt;District 11&gt;White Opals")</f>
        <v>Dubai&gt;Mohammed Bin Rashid City&gt;District 11&gt;White Opals</v>
      </c>
      <c r="E8838" s="2"/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  <c r="W8838" s="2"/>
      <c r="X8838" s="2"/>
      <c r="Y8838" s="2"/>
      <c r="Z8838" s="2"/>
    </row>
    <row r="8839" spans="1:26" ht="16.5" x14ac:dyDescent="0.35">
      <c r="A8839" s="2" t="str">
        <f ca="1">IFERROR(__xludf.DUMMYFUNCTION("""COMPUTED_VALUE"""),"Dubai")</f>
        <v>Dubai</v>
      </c>
      <c r="B8839" s="2" t="str">
        <f ca="1">IFERROR(__xludf.DUMMYFUNCTION("""COMPUTED_VALUE"""),"Residences 17")</f>
        <v>Residences 17</v>
      </c>
      <c r="C8839" s="2" t="str">
        <f ca="1">IFERROR(__xludf.DUMMYFUNCTION("""COMPUTED_VALUE"""),"Building")</f>
        <v>Building</v>
      </c>
      <c r="D8839" s="2" t="str">
        <f ca="1">IFERROR(__xludf.DUMMYFUNCTION("""COMPUTED_VALUE"""),"Dubai&gt;Mohammed Bin Rashid City&gt;District One&gt;The Residences at District One&gt;Residences 17")</f>
        <v>Dubai&gt;Mohammed Bin Rashid City&gt;District One&gt;The Residences at District One&gt;Residences 17</v>
      </c>
      <c r="E8839" s="2"/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  <c r="W8839" s="2"/>
      <c r="X8839" s="2"/>
      <c r="Y8839" s="2"/>
      <c r="Z8839" s="2"/>
    </row>
    <row r="8840" spans="1:26" ht="16.5" x14ac:dyDescent="0.35">
      <c r="A8840" s="2" t="str">
        <f ca="1">IFERROR(__xludf.DUMMYFUNCTION("""COMPUTED_VALUE"""),"Dubai")</f>
        <v>Dubai</v>
      </c>
      <c r="B8840" s="2" t="str">
        <f ca="1">IFERROR(__xludf.DUMMYFUNCTION("""COMPUTED_VALUE"""),"The Pulse Villas")</f>
        <v>The Pulse Villas</v>
      </c>
      <c r="C8840" s="2" t="str">
        <f ca="1">IFERROR(__xludf.DUMMYFUNCTION("""COMPUTED_VALUE"""),"Neighbourhood")</f>
        <v>Neighbourhood</v>
      </c>
      <c r="D8840" s="2" t="str">
        <f ca="1">IFERROR(__xludf.DUMMYFUNCTION("""COMPUTED_VALUE"""),"Dubai&gt;Dubai South&gt;Residential District&gt;The Pulse&gt;The Pulse Villas")</f>
        <v>Dubai&gt;Dubai South&gt;Residential District&gt;The Pulse&gt;The Pulse Villas</v>
      </c>
      <c r="E8840" s="2"/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  <c r="W8840" s="2"/>
      <c r="X8840" s="2"/>
      <c r="Y8840" s="2"/>
      <c r="Z8840" s="2"/>
    </row>
    <row r="8841" spans="1:26" ht="16.5" x14ac:dyDescent="0.35">
      <c r="A8841" s="2" t="str">
        <f ca="1">IFERROR(__xludf.DUMMYFUNCTION("""COMPUTED_VALUE"""),"Dubai")</f>
        <v>Dubai</v>
      </c>
      <c r="B8841" s="2" t="str">
        <f ca="1">IFERROR(__xludf.DUMMYFUNCTION("""COMPUTED_VALUE"""),"MAG 505")</f>
        <v>MAG 505</v>
      </c>
      <c r="C8841" s="2" t="str">
        <f ca="1">IFERROR(__xludf.DUMMYFUNCTION("""COMPUTED_VALUE"""),"Building")</f>
        <v>Building</v>
      </c>
      <c r="D8841" s="2" t="str">
        <f ca="1">IFERROR(__xludf.DUMMYFUNCTION("""COMPUTED_VALUE"""),"Dubai&gt;Dubai South&gt;Residential District&gt;MAG 5 Boulevard&gt;MAG 505")</f>
        <v>Dubai&gt;Dubai South&gt;Residential District&gt;MAG 5 Boulevard&gt;MAG 505</v>
      </c>
      <c r="E8841" s="2"/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  <c r="W8841" s="2"/>
      <c r="X8841" s="2"/>
      <c r="Y8841" s="2"/>
      <c r="Z8841" s="2"/>
    </row>
    <row r="8842" spans="1:26" ht="16.5" x14ac:dyDescent="0.35">
      <c r="A8842" s="2" t="str">
        <f ca="1">IFERROR(__xludf.DUMMYFUNCTION("""COMPUTED_VALUE"""),"Dubai")</f>
        <v>Dubai</v>
      </c>
      <c r="B8842" s="2" t="str">
        <f ca="1">IFERROR(__xludf.DUMMYFUNCTION("""COMPUTED_VALUE"""),"Views VII by Golden Woods")</f>
        <v>Views VII by Golden Woods</v>
      </c>
      <c r="C8842" s="2" t="str">
        <f ca="1">IFERROR(__xludf.DUMMYFUNCTION("""COMPUTED_VALUE"""),"Building")</f>
        <v>Building</v>
      </c>
      <c r="D8842" s="2" t="str">
        <f ca="1">IFERROR(__xludf.DUMMYFUNCTION("""COMPUTED_VALUE"""),"Dubai&gt;Dubai South&gt;Residential District&gt;Views VII by Golden Woods")</f>
        <v>Dubai&gt;Dubai South&gt;Residential District&gt;Views VII by Golden Woods</v>
      </c>
      <c r="E8842" s="2"/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  <c r="W8842" s="2"/>
      <c r="X8842" s="2"/>
      <c r="Y8842" s="2"/>
      <c r="Z8842" s="2"/>
    </row>
    <row r="8843" spans="1:26" ht="16.5" x14ac:dyDescent="0.35">
      <c r="A8843" s="2" t="str">
        <f ca="1">IFERROR(__xludf.DUMMYFUNCTION("""COMPUTED_VALUE"""),"Dubai")</f>
        <v>Dubai</v>
      </c>
      <c r="B8843" s="2" t="str">
        <f ca="1">IFERROR(__xludf.DUMMYFUNCTION("""COMPUTED_VALUE"""),"Oasis Residences")</f>
        <v>Oasis Residences</v>
      </c>
      <c r="C8843" s="2" t="str">
        <f ca="1">IFERROR(__xludf.DUMMYFUNCTION("""COMPUTED_VALUE"""),"Building")</f>
        <v>Building</v>
      </c>
      <c r="D8843" s="2" t="str">
        <f ca="1">IFERROR(__xludf.DUMMYFUNCTION("""COMPUTED_VALUE"""),"Dubai&gt;Dubai South&gt;Residential District&gt;Oasis Residences")</f>
        <v>Dubai&gt;Dubai South&gt;Residential District&gt;Oasis Residences</v>
      </c>
      <c r="E8843" s="2"/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  <c r="W8843" s="2"/>
      <c r="X8843" s="2"/>
      <c r="Y8843" s="2"/>
      <c r="Z8843" s="2"/>
    </row>
    <row r="8844" spans="1:26" ht="16.5" x14ac:dyDescent="0.35">
      <c r="A8844" s="2" t="str">
        <f ca="1">IFERROR(__xludf.DUMMYFUNCTION("""COMPUTED_VALUE"""),"Dubai")</f>
        <v>Dubai</v>
      </c>
      <c r="B8844" s="2" t="str">
        <f ca="1">IFERROR(__xludf.DUMMYFUNCTION("""COMPUTED_VALUE"""),"Golf Views Block B")</f>
        <v>Golf Views Block B</v>
      </c>
      <c r="C8844" s="2" t="str">
        <f ca="1">IFERROR(__xludf.DUMMYFUNCTION("""COMPUTED_VALUE"""),"Building")</f>
        <v>Building</v>
      </c>
      <c r="D8844" s="2" t="str">
        <f ca="1">IFERROR(__xludf.DUMMYFUNCTION("""COMPUTED_VALUE"""),"Dubai&gt;Dubai South&gt;Emaar South&gt;Golf Views&gt;Golf Views Block B")</f>
        <v>Dubai&gt;Dubai South&gt;Emaar South&gt;Golf Views&gt;Golf Views Block B</v>
      </c>
      <c r="E8844" s="2"/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  <c r="W8844" s="2"/>
      <c r="X8844" s="2"/>
      <c r="Y8844" s="2"/>
      <c r="Z8844" s="2"/>
    </row>
    <row r="8845" spans="1:26" ht="16.5" x14ac:dyDescent="0.35">
      <c r="A8845" s="2" t="str">
        <f ca="1">IFERROR(__xludf.DUMMYFUNCTION("""COMPUTED_VALUE"""),"Dubai")</f>
        <v>Dubai</v>
      </c>
      <c r="B8845" s="2" t="str">
        <f ca="1">IFERROR(__xludf.DUMMYFUNCTION("""COMPUTED_VALUE"""),"Logistics City")</f>
        <v>Logistics City</v>
      </c>
      <c r="C8845" s="2" t="str">
        <f ca="1">IFERROR(__xludf.DUMMYFUNCTION("""COMPUTED_VALUE"""),"Neighbourhood")</f>
        <v>Neighbourhood</v>
      </c>
      <c r="D8845" s="2" t="str">
        <f ca="1">IFERROR(__xludf.DUMMYFUNCTION("""COMPUTED_VALUE"""),"Dubai&gt;Dubai South&gt;Logistics City")</f>
        <v>Dubai&gt;Dubai South&gt;Logistics City</v>
      </c>
      <c r="E8845" s="2"/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  <c r="W8845" s="2"/>
      <c r="X8845" s="2"/>
      <c r="Y8845" s="2"/>
      <c r="Z8845" s="2"/>
    </row>
    <row r="8846" spans="1:26" ht="16.5" x14ac:dyDescent="0.35">
      <c r="A8846" s="2" t="str">
        <f ca="1">IFERROR(__xludf.DUMMYFUNCTION("""COMPUTED_VALUE"""),"Dubai")</f>
        <v>Dubai</v>
      </c>
      <c r="B8846" s="2" t="str">
        <f ca="1">IFERROR(__xludf.DUMMYFUNCTION("""COMPUTED_VALUE"""),"Azizi Venice 3 Building B")</f>
        <v>Azizi Venice 3 Building B</v>
      </c>
      <c r="C8846" s="2" t="str">
        <f ca="1">IFERROR(__xludf.DUMMYFUNCTION("""COMPUTED_VALUE"""),"Building")</f>
        <v>Building</v>
      </c>
      <c r="D8846" s="2" t="str">
        <f ca="1">IFERROR(__xludf.DUMMYFUNCTION("""COMPUTED_VALUE"""),"Dubai&gt;Dubai South&gt;Azizi Venice&gt;Azizi Venice 3&gt;Azizi Venice 3 Building B")</f>
        <v>Dubai&gt;Dubai South&gt;Azizi Venice&gt;Azizi Venice 3&gt;Azizi Venice 3 Building B</v>
      </c>
      <c r="E8846" s="2"/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  <c r="W8846" s="2"/>
      <c r="X8846" s="2"/>
      <c r="Y8846" s="2"/>
      <c r="Z8846" s="2"/>
    </row>
    <row r="8847" spans="1:26" ht="16.5" x14ac:dyDescent="0.35">
      <c r="A8847" s="2" t="str">
        <f ca="1">IFERROR(__xludf.DUMMYFUNCTION("""COMPUTED_VALUE"""),"Dubai")</f>
        <v>Dubai</v>
      </c>
      <c r="B8847" s="2" t="str">
        <f ca="1">IFERROR(__xludf.DUMMYFUNCTION("""COMPUTED_VALUE"""),"Azizi Venice 11")</f>
        <v>Azizi Venice 11</v>
      </c>
      <c r="C8847" s="2" t="str">
        <f ca="1">IFERROR(__xludf.DUMMYFUNCTION("""COMPUTED_VALUE"""),"Building")</f>
        <v>Building</v>
      </c>
      <c r="D8847" s="2" t="str">
        <f ca="1">IFERROR(__xludf.DUMMYFUNCTION("""COMPUTED_VALUE"""),"Dubai&gt;Dubai South&gt;Azizi Venice&gt;Azizi Venice 11")</f>
        <v>Dubai&gt;Dubai South&gt;Azizi Venice&gt;Azizi Venice 11</v>
      </c>
      <c r="E8847" s="2"/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  <c r="W8847" s="2"/>
      <c r="X8847" s="2"/>
      <c r="Y8847" s="2"/>
      <c r="Z8847" s="2"/>
    </row>
    <row r="8848" spans="1:26" ht="16.5" x14ac:dyDescent="0.35">
      <c r="A8848" s="2" t="str">
        <f ca="1">IFERROR(__xludf.DUMMYFUNCTION("""COMPUTED_VALUE"""),"Dubai")</f>
        <v>Dubai</v>
      </c>
      <c r="B8848" s="2" t="str">
        <f ca="1">IFERROR(__xludf.DUMMYFUNCTION("""COMPUTED_VALUE"""),"The Meadows 8")</f>
        <v>The Meadows 8</v>
      </c>
      <c r="C8848" s="2" t="str">
        <f ca="1">IFERROR(__xludf.DUMMYFUNCTION("""COMPUTED_VALUE"""),"Neighbourhood")</f>
        <v>Neighbourhood</v>
      </c>
      <c r="D8848" s="2" t="str">
        <f ca="1">IFERROR(__xludf.DUMMYFUNCTION("""COMPUTED_VALUE"""),"Dubai&gt;The Meadows&gt;The Meadows 8")</f>
        <v>Dubai&gt;The Meadows&gt;The Meadows 8</v>
      </c>
      <c r="E8848" s="2"/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  <c r="W8848" s="2"/>
      <c r="X8848" s="2"/>
      <c r="Y8848" s="2"/>
      <c r="Z8848" s="2"/>
    </row>
    <row r="8849" spans="1:26" ht="16.5" x14ac:dyDescent="0.35">
      <c r="A8849" s="2" t="str">
        <f ca="1">IFERROR(__xludf.DUMMYFUNCTION("""COMPUTED_VALUE"""),"Dubai")</f>
        <v>Dubai</v>
      </c>
      <c r="B8849" s="2" t="str">
        <f ca="1">IFERROR(__xludf.DUMMYFUNCTION("""COMPUTED_VALUE"""),"Saleh Bin Lahej Building 338")</f>
        <v>Saleh Bin Lahej Building 338</v>
      </c>
      <c r="C8849" s="2" t="str">
        <f ca="1">IFERROR(__xludf.DUMMYFUNCTION("""COMPUTED_VALUE"""),"Building")</f>
        <v>Building</v>
      </c>
      <c r="D8849" s="2" t="str">
        <f ca="1">IFERROR(__xludf.DUMMYFUNCTION("""COMPUTED_VALUE"""),"Dubai&gt;Bur Dubai&gt;Oud Metha&gt;Saleh Bin Lahej Building 338")</f>
        <v>Dubai&gt;Bur Dubai&gt;Oud Metha&gt;Saleh Bin Lahej Building 338</v>
      </c>
      <c r="E8849" s="2"/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  <c r="W8849" s="2"/>
      <c r="X8849" s="2"/>
      <c r="Y8849" s="2"/>
      <c r="Z8849" s="2"/>
    </row>
    <row r="8850" spans="1:26" ht="16.5" x14ac:dyDescent="0.35">
      <c r="A8850" s="2" t="str">
        <f ca="1">IFERROR(__xludf.DUMMYFUNCTION("""COMPUTED_VALUE"""),"Dubai")</f>
        <v>Dubai</v>
      </c>
      <c r="B8850" s="2" t="str">
        <f ca="1">IFERROR(__xludf.DUMMYFUNCTION("""COMPUTED_VALUE"""),"Hasher Al Maktoum Building")</f>
        <v>Hasher Al Maktoum Building</v>
      </c>
      <c r="C8850" s="2" t="str">
        <f ca="1">IFERROR(__xludf.DUMMYFUNCTION("""COMPUTED_VALUE"""),"Building")</f>
        <v>Building</v>
      </c>
      <c r="D8850" s="2" t="str">
        <f ca="1">IFERROR(__xludf.DUMMYFUNCTION("""COMPUTED_VALUE"""),"Dubai&gt;Bur Dubai&gt;Oud Metha&gt;Hasher Al Maktoum Building")</f>
        <v>Dubai&gt;Bur Dubai&gt;Oud Metha&gt;Hasher Al Maktoum Building</v>
      </c>
      <c r="E8850" s="2"/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  <c r="W8850" s="2"/>
      <c r="X8850" s="2"/>
      <c r="Y8850" s="2"/>
      <c r="Z8850" s="2"/>
    </row>
    <row r="8851" spans="1:26" ht="16.5" x14ac:dyDescent="0.35">
      <c r="A8851" s="2" t="str">
        <f ca="1">IFERROR(__xludf.DUMMYFUNCTION("""COMPUTED_VALUE"""),"Dubai")</f>
        <v>Dubai</v>
      </c>
      <c r="B8851" s="2" t="str">
        <f ca="1">IFERROR(__xludf.DUMMYFUNCTION("""COMPUTED_VALUE"""),"Al Khaleej Centre")</f>
        <v>Al Khaleej Centre</v>
      </c>
      <c r="C8851" s="2" t="str">
        <f ca="1">IFERROR(__xludf.DUMMYFUNCTION("""COMPUTED_VALUE"""),"Building")</f>
        <v>Building</v>
      </c>
      <c r="D8851" s="2" t="str">
        <f ca="1">IFERROR(__xludf.DUMMYFUNCTION("""COMPUTED_VALUE"""),"Dubai&gt;Bur Dubai&gt;Al Raffa&gt;Al Khaleej Centre")</f>
        <v>Dubai&gt;Bur Dubai&gt;Al Raffa&gt;Al Khaleej Centre</v>
      </c>
      <c r="E8851" s="2"/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  <c r="W8851" s="2"/>
      <c r="X8851" s="2"/>
      <c r="Y8851" s="2"/>
      <c r="Z8851" s="2"/>
    </row>
    <row r="8852" spans="1:26" ht="16.5" x14ac:dyDescent="0.35">
      <c r="A8852" s="2" t="str">
        <f ca="1">IFERROR(__xludf.DUMMYFUNCTION("""COMPUTED_VALUE"""),"Dubai")</f>
        <v>Dubai</v>
      </c>
      <c r="B8852" s="2" t="str">
        <f ca="1">IFERROR(__xludf.DUMMYFUNCTION("""COMPUTED_VALUE"""),"Al Rafaa C Building")</f>
        <v>Al Rafaa C Building</v>
      </c>
      <c r="C8852" s="2" t="str">
        <f ca="1">IFERROR(__xludf.DUMMYFUNCTION("""COMPUTED_VALUE"""),"Building")</f>
        <v>Building</v>
      </c>
      <c r="D8852" s="2" t="str">
        <f ca="1">IFERROR(__xludf.DUMMYFUNCTION("""COMPUTED_VALUE"""),"Dubai&gt;Bur Dubai&gt;Al Raffa&gt;Al Rafaa C Building")</f>
        <v>Dubai&gt;Bur Dubai&gt;Al Raffa&gt;Al Rafaa C Building</v>
      </c>
      <c r="E8852" s="2"/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  <c r="W8852" s="2"/>
      <c r="X8852" s="2"/>
      <c r="Y8852" s="2"/>
      <c r="Z8852" s="2"/>
    </row>
    <row r="8853" spans="1:26" ht="16.5" x14ac:dyDescent="0.35">
      <c r="A8853" s="2" t="str">
        <f ca="1">IFERROR(__xludf.DUMMYFUNCTION("""COMPUTED_VALUE"""),"Dubai")</f>
        <v>Dubai</v>
      </c>
      <c r="B8853" s="2" t="str">
        <f ca="1">IFERROR(__xludf.DUMMYFUNCTION("""COMPUTED_VALUE"""),"M Square Residence")</f>
        <v>M Square Residence</v>
      </c>
      <c r="C8853" s="2" t="str">
        <f ca="1">IFERROR(__xludf.DUMMYFUNCTION("""COMPUTED_VALUE"""),"Building")</f>
        <v>Building</v>
      </c>
      <c r="D8853" s="2" t="str">
        <f ca="1">IFERROR(__xludf.DUMMYFUNCTION("""COMPUTED_VALUE"""),"Dubai&gt;Bur Dubai&gt;Al Mankhool&gt;M Square Residence")</f>
        <v>Dubai&gt;Bur Dubai&gt;Al Mankhool&gt;M Square Residence</v>
      </c>
      <c r="E8853" s="2"/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  <c r="W8853" s="2"/>
      <c r="X8853" s="2"/>
      <c r="Y8853" s="2"/>
      <c r="Z8853" s="2"/>
    </row>
    <row r="8854" spans="1:26" ht="16.5" x14ac:dyDescent="0.35">
      <c r="A8854" s="2" t="str">
        <f ca="1">IFERROR(__xludf.DUMMYFUNCTION("""COMPUTED_VALUE"""),"Dubai")</f>
        <v>Dubai</v>
      </c>
      <c r="B8854" s="2" t="str">
        <f ca="1">IFERROR(__xludf.DUMMYFUNCTION("""COMPUTED_VALUE"""),"Centerpoint Apartments")</f>
        <v>Centerpoint Apartments</v>
      </c>
      <c r="C8854" s="2" t="str">
        <f ca="1">IFERROR(__xludf.DUMMYFUNCTION("""COMPUTED_VALUE"""),"Building")</f>
        <v>Building</v>
      </c>
      <c r="D8854" s="2" t="str">
        <f ca="1">IFERROR(__xludf.DUMMYFUNCTION("""COMPUTED_VALUE"""),"Dubai&gt;Bur Dubai&gt;Al Mankhool&gt;Centerpoint Apartments")</f>
        <v>Dubai&gt;Bur Dubai&gt;Al Mankhool&gt;Centerpoint Apartments</v>
      </c>
      <c r="E8854" s="2"/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  <c r="W8854" s="2"/>
      <c r="X8854" s="2"/>
      <c r="Y8854" s="2"/>
      <c r="Z8854" s="2"/>
    </row>
    <row r="8855" spans="1:26" ht="16.5" x14ac:dyDescent="0.35">
      <c r="A8855" s="2" t="str">
        <f ca="1">IFERROR(__xludf.DUMMYFUNCTION("""COMPUTED_VALUE"""),"Dubai")</f>
        <v>Dubai</v>
      </c>
      <c r="B8855" s="2" t="str">
        <f ca="1">IFERROR(__xludf.DUMMYFUNCTION("""COMPUTED_VALUE"""),"Abdul Salam M.Rafi &amp; Saleh M.Ramadan Building")</f>
        <v>Abdul Salam M.Rafi &amp; Saleh M.Ramadan Building</v>
      </c>
      <c r="C8855" s="2" t="str">
        <f ca="1">IFERROR(__xludf.DUMMYFUNCTION("""COMPUTED_VALUE"""),"Building")</f>
        <v>Building</v>
      </c>
      <c r="D8855" s="2" t="str">
        <f ca="1">IFERROR(__xludf.DUMMYFUNCTION("""COMPUTED_VALUE"""),"Dubai&gt;Bur Dubai&gt;Al Mankhool&gt;Abdul Salam M.Rafi &amp; Saleh M.Ramadan Building")</f>
        <v>Dubai&gt;Bur Dubai&gt;Al Mankhool&gt;Abdul Salam M.Rafi &amp; Saleh M.Ramadan Building</v>
      </c>
      <c r="E8855" s="2"/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  <c r="W8855" s="2"/>
      <c r="X8855" s="2"/>
      <c r="Y8855" s="2"/>
      <c r="Z8855" s="2"/>
    </row>
    <row r="8856" spans="1:26" ht="16.5" x14ac:dyDescent="0.35">
      <c r="A8856" s="2" t="str">
        <f ca="1">IFERROR(__xludf.DUMMYFUNCTION("""COMPUTED_VALUE"""),"Dubai")</f>
        <v>Dubai</v>
      </c>
      <c r="B8856" s="2" t="str">
        <f ca="1">IFERROR(__xludf.DUMMYFUNCTION("""COMPUTED_VALUE"""),"Avenue Park Towers B")</f>
        <v>Avenue Park Towers B</v>
      </c>
      <c r="C8856" s="2" t="str">
        <f ca="1">IFERROR(__xludf.DUMMYFUNCTION("""COMPUTED_VALUE"""),"Building")</f>
        <v>Building</v>
      </c>
      <c r="D8856" s="2" t="str">
        <f ca="1">IFERROR(__xludf.DUMMYFUNCTION("""COMPUTED_VALUE"""),"Dubai&gt;Bur Dubai&gt;Al Kifaf&gt;Avenue Park Towers&gt;Avenue Park Towers B")</f>
        <v>Dubai&gt;Bur Dubai&gt;Al Kifaf&gt;Avenue Park Towers&gt;Avenue Park Towers B</v>
      </c>
      <c r="E8856" s="2"/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  <c r="W8856" s="2"/>
      <c r="X8856" s="2"/>
      <c r="Y8856" s="2"/>
      <c r="Z8856" s="2"/>
    </row>
    <row r="8857" spans="1:26" ht="16.5" x14ac:dyDescent="0.35">
      <c r="A8857" s="2" t="str">
        <f ca="1">IFERROR(__xludf.DUMMYFUNCTION("""COMPUTED_VALUE"""),"Dubai")</f>
        <v>Dubai</v>
      </c>
      <c r="B8857" s="2" t="str">
        <f ca="1">IFERROR(__xludf.DUMMYFUNCTION("""COMPUTED_VALUE"""),"Abbasi Building")</f>
        <v>Abbasi Building</v>
      </c>
      <c r="C8857" s="2" t="str">
        <f ca="1">IFERROR(__xludf.DUMMYFUNCTION("""COMPUTED_VALUE"""),"Building")</f>
        <v>Building</v>
      </c>
      <c r="D8857" s="2" t="str">
        <f ca="1">IFERROR(__xludf.DUMMYFUNCTION("""COMPUTED_VALUE"""),"Dubai&gt;Bur Dubai&gt;Al Souk Al Kabeer (Al Fahidi)&gt;Abbasi Building")</f>
        <v>Dubai&gt;Bur Dubai&gt;Al Souk Al Kabeer (Al Fahidi)&gt;Abbasi Building</v>
      </c>
      <c r="E8857" s="2"/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  <c r="W8857" s="2"/>
      <c r="X8857" s="2"/>
      <c r="Y8857" s="2"/>
      <c r="Z8857" s="2"/>
    </row>
    <row r="8858" spans="1:26" ht="16.5" x14ac:dyDescent="0.35">
      <c r="A8858" s="2" t="str">
        <f ca="1">IFERROR(__xludf.DUMMYFUNCTION("""COMPUTED_VALUE"""),"Dubai")</f>
        <v>Dubai</v>
      </c>
      <c r="B8858" s="2" t="str">
        <f ca="1">IFERROR(__xludf.DUMMYFUNCTION("""COMPUTED_VALUE"""),"Mr. AWS Building 4")</f>
        <v>Mr. AWS Building 4</v>
      </c>
      <c r="C8858" s="2" t="str">
        <f ca="1">IFERROR(__xludf.DUMMYFUNCTION("""COMPUTED_VALUE"""),"Building")</f>
        <v>Building</v>
      </c>
      <c r="D8858" s="2" t="str">
        <f ca="1">IFERROR(__xludf.DUMMYFUNCTION("""COMPUTED_VALUE"""),"Dubai&gt;Bur Dubai&gt;Al Souk Al Kabeer (Al Fahidi)&gt;Mr. AWS Building 4")</f>
        <v>Dubai&gt;Bur Dubai&gt;Al Souk Al Kabeer (Al Fahidi)&gt;Mr. AWS Building 4</v>
      </c>
      <c r="E8858" s="2"/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  <c r="W8858" s="2"/>
      <c r="X8858" s="2"/>
      <c r="Y8858" s="2"/>
      <c r="Z8858" s="2"/>
    </row>
    <row r="8859" spans="1:26" ht="16.5" x14ac:dyDescent="0.35">
      <c r="A8859" s="2" t="str">
        <f ca="1">IFERROR(__xludf.DUMMYFUNCTION("""COMPUTED_VALUE"""),"Dubai")</f>
        <v>Dubai</v>
      </c>
      <c r="B8859" s="2" t="str">
        <f ca="1">IFERROR(__xludf.DUMMYFUNCTION("""COMPUTED_VALUE"""),"Bahwan Centre Al Hamriya")</f>
        <v>Bahwan Centre Al Hamriya</v>
      </c>
      <c r="C8859" s="2" t="str">
        <f ca="1">IFERROR(__xludf.DUMMYFUNCTION("""COMPUTED_VALUE"""),"Building")</f>
        <v>Building</v>
      </c>
      <c r="D8859" s="2" t="str">
        <f ca="1">IFERROR(__xludf.DUMMYFUNCTION("""COMPUTED_VALUE"""),"Dubai&gt;Bur Dubai&gt;Al Hamriya&gt;Bahwan Centre Al Hamriya")</f>
        <v>Dubai&gt;Bur Dubai&gt;Al Hamriya&gt;Bahwan Centre Al Hamriya</v>
      </c>
      <c r="E8859" s="2"/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  <c r="W8859" s="2"/>
      <c r="X8859" s="2"/>
      <c r="Y8859" s="2"/>
      <c r="Z8859" s="2"/>
    </row>
    <row r="8860" spans="1:26" ht="16.5" x14ac:dyDescent="0.35">
      <c r="A8860" s="2" t="str">
        <f ca="1">IFERROR(__xludf.DUMMYFUNCTION("""COMPUTED_VALUE"""),"Dubai")</f>
        <v>Dubai</v>
      </c>
      <c r="B8860" s="2" t="str">
        <f ca="1">IFERROR(__xludf.DUMMYFUNCTION("""COMPUTED_VALUE"""),"Marina Cube 3")</f>
        <v>Marina Cube 3</v>
      </c>
      <c r="C8860" s="2" t="str">
        <f ca="1">IFERROR(__xludf.DUMMYFUNCTION("""COMPUTED_VALUE"""),"Building")</f>
        <v>Building</v>
      </c>
      <c r="D8860" s="2" t="str">
        <f ca="1">IFERROR(__xludf.DUMMYFUNCTION("""COMPUTED_VALUE"""),"Dubai&gt;Bur Dubai&gt;Marina Cubes&gt;Marina Cube 3")</f>
        <v>Dubai&gt;Bur Dubai&gt;Marina Cubes&gt;Marina Cube 3</v>
      </c>
      <c r="E8860" s="2"/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  <c r="W8860" s="2"/>
      <c r="X8860" s="2"/>
      <c r="Y8860" s="2"/>
      <c r="Z8860" s="2"/>
    </row>
    <row r="8861" spans="1:26" ht="16.5" x14ac:dyDescent="0.35">
      <c r="A8861" s="2" t="str">
        <f ca="1">IFERROR(__xludf.DUMMYFUNCTION("""COMPUTED_VALUE"""),"Dubai")</f>
        <v>Dubai</v>
      </c>
      <c r="B8861" s="2" t="str">
        <f ca="1">IFERROR(__xludf.DUMMYFUNCTION("""COMPUTED_VALUE"""),"Wildflower")</f>
        <v>Wildflower</v>
      </c>
      <c r="C8861" s="2" t="str">
        <f ca="1">IFERROR(__xludf.DUMMYFUNCTION("""COMPUTED_VALUE"""),"Neighbourhood")</f>
        <v>Neighbourhood</v>
      </c>
      <c r="D8861" s="2" t="str">
        <f ca="1">IFERROR(__xludf.DUMMYFUNCTION("""COMPUTED_VALUE"""),"Dubai&gt;Jumeirah Golf Estates&gt;Wildflower")</f>
        <v>Dubai&gt;Jumeirah Golf Estates&gt;Wildflower</v>
      </c>
      <c r="E8861" s="2"/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  <c r="W8861" s="2"/>
      <c r="X8861" s="2"/>
      <c r="Y8861" s="2"/>
      <c r="Z8861" s="2"/>
    </row>
    <row r="8862" spans="1:26" ht="16.5" x14ac:dyDescent="0.35">
      <c r="A8862" s="2" t="str">
        <f ca="1">IFERROR(__xludf.DUMMYFUNCTION("""COMPUTED_VALUE"""),"Dubai")</f>
        <v>Dubai</v>
      </c>
      <c r="B8862" s="2" t="str">
        <f ca="1">IFERROR(__xludf.DUMMYFUNCTION("""COMPUTED_VALUE"""),"Grand Bleu Tower 1")</f>
        <v>Grand Bleu Tower 1</v>
      </c>
      <c r="C8862" s="2" t="str">
        <f ca="1">IFERROR(__xludf.DUMMYFUNCTION("""COMPUTED_VALUE"""),"Building")</f>
        <v>Building</v>
      </c>
      <c r="D8862" s="2" t="str">
        <f ca="1">IFERROR(__xludf.DUMMYFUNCTION("""COMPUTED_VALUE"""),"Dubai&gt;Dubai Harbour&gt;Emaar Beachfront&gt;Grand Bleu Towers&gt;Grand Bleu Tower 1")</f>
        <v>Dubai&gt;Dubai Harbour&gt;Emaar Beachfront&gt;Grand Bleu Towers&gt;Grand Bleu Tower 1</v>
      </c>
      <c r="E8862" s="2"/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  <c r="W8862" s="2"/>
      <c r="X8862" s="2"/>
      <c r="Y8862" s="2"/>
      <c r="Z8862" s="2"/>
    </row>
    <row r="8863" spans="1:26" ht="16.5" x14ac:dyDescent="0.35">
      <c r="A8863" s="2" t="str">
        <f ca="1">IFERROR(__xludf.DUMMYFUNCTION("""COMPUTED_VALUE"""),"Dubai")</f>
        <v>Dubai</v>
      </c>
      <c r="B8863" s="2" t="str">
        <f ca="1">IFERROR(__xludf.DUMMYFUNCTION("""COMPUTED_VALUE"""),"Aquilegia")</f>
        <v>Aquilegia</v>
      </c>
      <c r="C8863" s="2" t="str">
        <f ca="1">IFERROR(__xludf.DUMMYFUNCTION("""COMPUTED_VALUE"""),"Neighbourhood")</f>
        <v>Neighbourhood</v>
      </c>
      <c r="D8863" s="2" t="str">
        <f ca="1">IFERROR(__xludf.DUMMYFUNCTION("""COMPUTED_VALUE"""),"Dubai&gt;DAMAC Hills 2 (Akoya by DAMAC)&gt;Aquilegia")</f>
        <v>Dubai&gt;DAMAC Hills 2 (Akoya by DAMAC)&gt;Aquilegia</v>
      </c>
      <c r="E8863" s="2"/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  <c r="W8863" s="2"/>
      <c r="X8863" s="2"/>
      <c r="Y8863" s="2"/>
      <c r="Z8863" s="2"/>
    </row>
    <row r="8864" spans="1:26" ht="16.5" x14ac:dyDescent="0.35">
      <c r="A8864" s="2" t="str">
        <f ca="1">IFERROR(__xludf.DUMMYFUNCTION("""COMPUTED_VALUE"""),"Dubai")</f>
        <v>Dubai</v>
      </c>
      <c r="B8864" s="2" t="str">
        <f ca="1">IFERROR(__xludf.DUMMYFUNCTION("""COMPUTED_VALUE"""),"Park Greens")</f>
        <v>Park Greens</v>
      </c>
      <c r="C8864" s="2" t="str">
        <f ca="1">IFERROR(__xludf.DUMMYFUNCTION("""COMPUTED_VALUE"""),"Neighbourhood")</f>
        <v>Neighbourhood</v>
      </c>
      <c r="D8864" s="2" t="str">
        <f ca="1">IFERROR(__xludf.DUMMYFUNCTION("""COMPUTED_VALUE"""),"Dubai&gt;DAMAC Hills 2 (Akoya by DAMAC)&gt;Park Greens")</f>
        <v>Dubai&gt;DAMAC Hills 2 (Akoya by DAMAC)&gt;Park Greens</v>
      </c>
      <c r="E8864" s="2"/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  <c r="W8864" s="2"/>
      <c r="X8864" s="2"/>
      <c r="Y8864" s="2"/>
      <c r="Z8864" s="2"/>
    </row>
    <row r="8865" spans="1:26" ht="16.5" x14ac:dyDescent="0.35">
      <c r="A8865" s="2" t="str">
        <f ca="1">IFERROR(__xludf.DUMMYFUNCTION("""COMPUTED_VALUE"""),"Dubai")</f>
        <v>Dubai</v>
      </c>
      <c r="B8865" s="2" t="str">
        <f ca="1">IFERROR(__xludf.DUMMYFUNCTION("""COMPUTED_VALUE"""),"I-01")</f>
        <v>I-01</v>
      </c>
      <c r="C8865" s="2" t="str">
        <f ca="1">IFERROR(__xludf.DUMMYFUNCTION("""COMPUTED_VALUE"""),"Building")</f>
        <v>Building</v>
      </c>
      <c r="D8865" s="2" t="str">
        <f ca="1">IFERROR(__xludf.DUMMYFUNCTION("""COMPUTED_VALUE"""),"Dubai&gt;International City&gt;Morocco Cluster&gt;I-01")</f>
        <v>Dubai&gt;International City&gt;Morocco Cluster&gt;I-01</v>
      </c>
      <c r="E8865" s="2"/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  <c r="W8865" s="2"/>
      <c r="X8865" s="2"/>
      <c r="Y8865" s="2"/>
      <c r="Z8865" s="2"/>
    </row>
    <row r="8866" spans="1:26" ht="16.5" x14ac:dyDescent="0.35">
      <c r="A8866" s="2" t="str">
        <f ca="1">IFERROR(__xludf.DUMMYFUNCTION("""COMPUTED_VALUE"""),"Dubai")</f>
        <v>Dubai</v>
      </c>
      <c r="B8866" s="2" t="str">
        <f ca="1">IFERROR(__xludf.DUMMYFUNCTION("""COMPUTED_VALUE"""),"Warsan Village A")</f>
        <v>Warsan Village A</v>
      </c>
      <c r="C8866" s="2" t="str">
        <f ca="1">IFERROR(__xludf.DUMMYFUNCTION("""COMPUTED_VALUE"""),"Neighbourhood")</f>
        <v>Neighbourhood</v>
      </c>
      <c r="D8866" s="2" t="str">
        <f ca="1">IFERROR(__xludf.DUMMYFUNCTION("""COMPUTED_VALUE"""),"Dubai&gt;International City&gt;Warsan Village&gt;Warsan Village A")</f>
        <v>Dubai&gt;International City&gt;Warsan Village&gt;Warsan Village A</v>
      </c>
      <c r="E8866" s="2"/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  <c r="W8866" s="2"/>
      <c r="X8866" s="2"/>
      <c r="Y8866" s="2"/>
      <c r="Z8866" s="2"/>
    </row>
    <row r="8867" spans="1:26" ht="16.5" x14ac:dyDescent="0.35">
      <c r="A8867" s="2" t="str">
        <f ca="1">IFERROR(__xludf.DUMMYFUNCTION("""COMPUTED_VALUE"""),"Dubai")</f>
        <v>Dubai</v>
      </c>
      <c r="B8867" s="2" t="str">
        <f ca="1">IFERROR(__xludf.DUMMYFUNCTION("""COMPUTED_VALUE"""),"B-05")</f>
        <v>B-05</v>
      </c>
      <c r="C8867" s="2" t="str">
        <f ca="1">IFERROR(__xludf.DUMMYFUNCTION("""COMPUTED_VALUE"""),"Building")</f>
        <v>Building</v>
      </c>
      <c r="D8867" s="2" t="str">
        <f ca="1">IFERROR(__xludf.DUMMYFUNCTION("""COMPUTED_VALUE"""),"Dubai&gt;International City&gt;China Cluster&gt;B-05")</f>
        <v>Dubai&gt;International City&gt;China Cluster&gt;B-05</v>
      </c>
      <c r="E8867" s="2"/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  <c r="W8867" s="2"/>
      <c r="X8867" s="2"/>
      <c r="Y8867" s="2"/>
      <c r="Z8867" s="2"/>
    </row>
    <row r="8868" spans="1:26" ht="16.5" x14ac:dyDescent="0.35">
      <c r="A8868" s="2" t="str">
        <f ca="1">IFERROR(__xludf.DUMMYFUNCTION("""COMPUTED_VALUE"""),"Dubai")</f>
        <v>Dubai</v>
      </c>
      <c r="B8868" s="2" t="str">
        <f ca="1">IFERROR(__xludf.DUMMYFUNCTION("""COMPUTED_VALUE"""),"E-04")</f>
        <v>E-04</v>
      </c>
      <c r="C8868" s="2" t="str">
        <f ca="1">IFERROR(__xludf.DUMMYFUNCTION("""COMPUTED_VALUE"""),"Building")</f>
        <v>Building</v>
      </c>
      <c r="D8868" s="2" t="str">
        <f ca="1">IFERROR(__xludf.DUMMYFUNCTION("""COMPUTED_VALUE"""),"Dubai&gt;International City&gt;China Cluster&gt;E-04")</f>
        <v>Dubai&gt;International City&gt;China Cluster&gt;E-04</v>
      </c>
      <c r="E8868" s="2"/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  <c r="W8868" s="2"/>
      <c r="X8868" s="2"/>
      <c r="Y8868" s="2"/>
      <c r="Z8868" s="2"/>
    </row>
    <row r="8869" spans="1:26" ht="16.5" x14ac:dyDescent="0.35">
      <c r="A8869" s="2" t="str">
        <f ca="1">IFERROR(__xludf.DUMMYFUNCTION("""COMPUTED_VALUE"""),"Dubai")</f>
        <v>Dubai</v>
      </c>
      <c r="B8869" s="2" t="str">
        <f ca="1">IFERROR(__xludf.DUMMYFUNCTION("""COMPUTED_VALUE"""),"Prime Residence")</f>
        <v>Prime Residence</v>
      </c>
      <c r="C8869" s="2" t="str">
        <f ca="1">IFERROR(__xludf.DUMMYFUNCTION("""COMPUTED_VALUE"""),"Cluster")</f>
        <v>Cluster</v>
      </c>
      <c r="D8869" s="2" t="str">
        <f ca="1">IFERROR(__xludf.DUMMYFUNCTION("""COMPUTED_VALUE"""),"Dubai&gt;International City&gt;Spain Cluster&gt;Prime Residence")</f>
        <v>Dubai&gt;International City&gt;Spain Cluster&gt;Prime Residence</v>
      </c>
      <c r="E8869" s="2"/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  <c r="W8869" s="2"/>
      <c r="X8869" s="2"/>
      <c r="Y8869" s="2"/>
      <c r="Z8869" s="2"/>
    </row>
    <row r="8870" spans="1:26" ht="16.5" x14ac:dyDescent="0.35">
      <c r="A8870" s="2" t="str">
        <f ca="1">IFERROR(__xludf.DUMMYFUNCTION("""COMPUTED_VALUE"""),"Dubai")</f>
        <v>Dubai</v>
      </c>
      <c r="B8870" s="2" t="str">
        <f ca="1">IFERROR(__xludf.DUMMYFUNCTION("""COMPUTED_VALUE"""),"77 B Building")</f>
        <v>77 B Building</v>
      </c>
      <c r="C8870" s="2" t="str">
        <f ca="1">IFERROR(__xludf.DUMMYFUNCTION("""COMPUTED_VALUE"""),"Building")</f>
        <v>Building</v>
      </c>
      <c r="D8870" s="2" t="str">
        <f ca="1">IFERROR(__xludf.DUMMYFUNCTION("""COMPUTED_VALUE"""),"Dubai&gt;International City&gt;77 B Building")</f>
        <v>Dubai&gt;International City&gt;77 B Building</v>
      </c>
      <c r="E8870" s="2"/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  <c r="W8870" s="2"/>
      <c r="X8870" s="2"/>
      <c r="Y8870" s="2"/>
      <c r="Z8870" s="2"/>
    </row>
    <row r="8871" spans="1:26" ht="16.5" x14ac:dyDescent="0.35">
      <c r="A8871" s="2" t="str">
        <f ca="1">IFERROR(__xludf.DUMMYFUNCTION("""COMPUTED_VALUE"""),"Dubai")</f>
        <v>Dubai</v>
      </c>
      <c r="B8871" s="2" t="str">
        <f ca="1">IFERROR(__xludf.DUMMYFUNCTION("""COMPUTED_VALUE"""),"V-16")</f>
        <v>V-16</v>
      </c>
      <c r="C8871" s="2" t="str">
        <f ca="1">IFERROR(__xludf.DUMMYFUNCTION("""COMPUTED_VALUE"""),"Building")</f>
        <v>Building</v>
      </c>
      <c r="D8871" s="2" t="str">
        <f ca="1">IFERROR(__xludf.DUMMYFUNCTION("""COMPUTED_VALUE"""),"Dubai&gt;International City&gt;Russia Cluster&gt;V-16")</f>
        <v>Dubai&gt;International City&gt;Russia Cluster&gt;V-16</v>
      </c>
      <c r="E8871" s="2"/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  <c r="W8871" s="2"/>
      <c r="X8871" s="2"/>
      <c r="Y8871" s="2"/>
      <c r="Z8871" s="2"/>
    </row>
    <row r="8872" spans="1:26" ht="16.5" x14ac:dyDescent="0.35">
      <c r="A8872" s="2" t="str">
        <f ca="1">IFERROR(__xludf.DUMMYFUNCTION("""COMPUTED_VALUE"""),"Dubai")</f>
        <v>Dubai</v>
      </c>
      <c r="B8872" s="2" t="str">
        <f ca="1">IFERROR(__xludf.DUMMYFUNCTION("""COMPUTED_VALUE"""),"W-10")</f>
        <v>W-10</v>
      </c>
      <c r="C8872" s="2" t="str">
        <f ca="1">IFERROR(__xludf.DUMMYFUNCTION("""COMPUTED_VALUE"""),"Building")</f>
        <v>Building</v>
      </c>
      <c r="D8872" s="2" t="str">
        <f ca="1">IFERROR(__xludf.DUMMYFUNCTION("""COMPUTED_VALUE"""),"Dubai&gt;International City&gt;Russia Cluster&gt;W-10")</f>
        <v>Dubai&gt;International City&gt;Russia Cluster&gt;W-10</v>
      </c>
      <c r="E8872" s="2"/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  <c r="W8872" s="2"/>
      <c r="X8872" s="2"/>
      <c r="Y8872" s="2"/>
      <c r="Z8872" s="2"/>
    </row>
    <row r="8873" spans="1:26" ht="16.5" x14ac:dyDescent="0.35">
      <c r="A8873" s="2" t="str">
        <f ca="1">IFERROR(__xludf.DUMMYFUNCTION("""COMPUTED_VALUE"""),"Dubai")</f>
        <v>Dubai</v>
      </c>
      <c r="B8873" s="2" t="str">
        <f ca="1">IFERROR(__xludf.DUMMYFUNCTION("""COMPUTED_VALUE"""),"Lawnz by Danube Block 2")</f>
        <v>Lawnz by Danube Block 2</v>
      </c>
      <c r="C8873" s="2" t="str">
        <f ca="1">IFERROR(__xludf.DUMMYFUNCTION("""COMPUTED_VALUE"""),"Building")</f>
        <v>Building</v>
      </c>
      <c r="D8873" s="2" t="str">
        <f ca="1">IFERROR(__xludf.DUMMYFUNCTION("""COMPUTED_VALUE"""),"Dubai&gt;International City&gt;Lawnz by Danube&gt;Lawnz by Danube Block 2")</f>
        <v>Dubai&gt;International City&gt;Lawnz by Danube&gt;Lawnz by Danube Block 2</v>
      </c>
      <c r="E8873" s="2"/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  <c r="W8873" s="2"/>
      <c r="X8873" s="2"/>
      <c r="Y8873" s="2"/>
      <c r="Z8873" s="2"/>
    </row>
    <row r="8874" spans="1:26" ht="16.5" x14ac:dyDescent="0.35">
      <c r="A8874" s="2" t="str">
        <f ca="1">IFERROR(__xludf.DUMMYFUNCTION("""COMPUTED_VALUE"""),"Dubai")</f>
        <v>Dubai</v>
      </c>
      <c r="B8874" s="2" t="str">
        <f ca="1">IFERROR(__xludf.DUMMYFUNCTION("""COMPUTED_VALUE"""),"England Cluster")</f>
        <v>England Cluster</v>
      </c>
      <c r="C8874" s="2" t="str">
        <f ca="1">IFERROR(__xludf.DUMMYFUNCTION("""COMPUTED_VALUE"""),"Neighbourhood")</f>
        <v>Neighbourhood</v>
      </c>
      <c r="D8874" s="2" t="str">
        <f ca="1">IFERROR(__xludf.DUMMYFUNCTION("""COMPUTED_VALUE"""),"Dubai&gt;International City&gt;England Cluster")</f>
        <v>Dubai&gt;International City&gt;England Cluster</v>
      </c>
      <c r="E8874" s="2"/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  <c r="W8874" s="2"/>
      <c r="X8874" s="2"/>
      <c r="Y8874" s="2"/>
      <c r="Z8874" s="2"/>
    </row>
    <row r="8875" spans="1:26" ht="16.5" x14ac:dyDescent="0.35">
      <c r="A8875" s="2" t="str">
        <f ca="1">IFERROR(__xludf.DUMMYFUNCTION("""COMPUTED_VALUE"""),"Dubai")</f>
        <v>Dubai</v>
      </c>
      <c r="B8875" s="2" t="str">
        <f ca="1">IFERROR(__xludf.DUMMYFUNCTION("""COMPUTED_VALUE"""),"Y-06")</f>
        <v>Y-06</v>
      </c>
      <c r="C8875" s="2" t="str">
        <f ca="1">IFERROR(__xludf.DUMMYFUNCTION("""COMPUTED_VALUE"""),"Building")</f>
        <v>Building</v>
      </c>
      <c r="D8875" s="2" t="str">
        <f ca="1">IFERROR(__xludf.DUMMYFUNCTION("""COMPUTED_VALUE"""),"Dubai&gt;International City&gt;England Cluster&gt;Y-06")</f>
        <v>Dubai&gt;International City&gt;England Cluster&gt;Y-06</v>
      </c>
      <c r="E8875" s="2"/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  <c r="W8875" s="2"/>
      <c r="X8875" s="2"/>
      <c r="Y8875" s="2"/>
      <c r="Z8875" s="2"/>
    </row>
    <row r="8876" spans="1:26" ht="16.5" x14ac:dyDescent="0.35">
      <c r="A8876" s="2" t="str">
        <f ca="1">IFERROR(__xludf.DUMMYFUNCTION("""COMPUTED_VALUE"""),"Dubai")</f>
        <v>Dubai</v>
      </c>
      <c r="B8876" s="2" t="str">
        <f ca="1">IFERROR(__xludf.DUMMYFUNCTION("""COMPUTED_VALUE"""),"Al Jawaher Building")</f>
        <v>Al Jawaher Building</v>
      </c>
      <c r="C8876" s="2" t="str">
        <f ca="1">IFERROR(__xludf.DUMMYFUNCTION("""COMPUTED_VALUE"""),"Building")</f>
        <v>Building</v>
      </c>
      <c r="D8876" s="2" t="str">
        <f ca="1">IFERROR(__xludf.DUMMYFUNCTION("""COMPUTED_VALUE"""),"Dubai&gt;International City&gt;International City Phase 2 (Warsan 4)&gt;Al Jawaher Building")</f>
        <v>Dubai&gt;International City&gt;International City Phase 2 (Warsan 4)&gt;Al Jawaher Building</v>
      </c>
      <c r="E8876" s="2"/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  <c r="W8876" s="2"/>
      <c r="X8876" s="2"/>
      <c r="Y8876" s="2"/>
      <c r="Z8876" s="2"/>
    </row>
    <row r="8877" spans="1:26" ht="16.5" x14ac:dyDescent="0.35">
      <c r="A8877" s="2" t="str">
        <f ca="1">IFERROR(__xludf.DUMMYFUNCTION("""COMPUTED_VALUE"""),"Dubai")</f>
        <v>Dubai</v>
      </c>
      <c r="B8877" s="2" t="str">
        <f ca="1">IFERROR(__xludf.DUMMYFUNCTION("""COMPUTED_VALUE"""),"Mosa Building")</f>
        <v>Mosa Building</v>
      </c>
      <c r="C8877" s="2" t="str">
        <f ca="1">IFERROR(__xludf.DUMMYFUNCTION("""COMPUTED_VALUE"""),"Building")</f>
        <v>Building</v>
      </c>
      <c r="D8877" s="2" t="str">
        <f ca="1">IFERROR(__xludf.DUMMYFUNCTION("""COMPUTED_VALUE"""),"Dubai&gt;International City&gt;International City Phase 2 (Warsan 4)&gt;Mosa Building")</f>
        <v>Dubai&gt;International City&gt;International City Phase 2 (Warsan 4)&gt;Mosa Building</v>
      </c>
      <c r="E8877" s="2"/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  <c r="W8877" s="2"/>
      <c r="X8877" s="2"/>
      <c r="Y8877" s="2"/>
      <c r="Z8877" s="2"/>
    </row>
    <row r="8878" spans="1:26" ht="16.5" x14ac:dyDescent="0.35">
      <c r="A8878" s="2" t="str">
        <f ca="1">IFERROR(__xludf.DUMMYFUNCTION("""COMPUTED_VALUE"""),"Dubai")</f>
        <v>Dubai</v>
      </c>
      <c r="B8878" s="2" t="str">
        <f ca="1">IFERROR(__xludf.DUMMYFUNCTION("""COMPUTED_VALUE"""),"HL Residency 1")</f>
        <v>HL Residency 1</v>
      </c>
      <c r="C8878" s="2" t="str">
        <f ca="1">IFERROR(__xludf.DUMMYFUNCTION("""COMPUTED_VALUE"""),"Building")</f>
        <v>Building</v>
      </c>
      <c r="D8878" s="2" t="str">
        <f ca="1">IFERROR(__xludf.DUMMYFUNCTION("""COMPUTED_VALUE"""),"Dubai&gt;International City&gt;International City Phase 2 (Warsan 4)&gt;HL Residency 1")</f>
        <v>Dubai&gt;International City&gt;International City Phase 2 (Warsan 4)&gt;HL Residency 1</v>
      </c>
      <c r="E8878" s="2"/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  <c r="W8878" s="2"/>
      <c r="X8878" s="2"/>
      <c r="Y8878" s="2"/>
      <c r="Z8878" s="2"/>
    </row>
    <row r="8879" spans="1:26" ht="16.5" x14ac:dyDescent="0.35">
      <c r="A8879" s="2" t="str">
        <f ca="1">IFERROR(__xludf.DUMMYFUNCTION("""COMPUTED_VALUE"""),"Dubai")</f>
        <v>Dubai</v>
      </c>
      <c r="B8879" s="2" t="str">
        <f ca="1">IFERROR(__xludf.DUMMYFUNCTION("""COMPUTED_VALUE"""),"Naama Building")</f>
        <v>Naama Building</v>
      </c>
      <c r="C8879" s="2" t="str">
        <f ca="1">IFERROR(__xludf.DUMMYFUNCTION("""COMPUTED_VALUE"""),"Building")</f>
        <v>Building</v>
      </c>
      <c r="D8879" s="2" t="str">
        <f ca="1">IFERROR(__xludf.DUMMYFUNCTION("""COMPUTED_VALUE"""),"Dubai&gt;International City&gt;International City Phase 2 (Warsan 4)&gt;Naama Building")</f>
        <v>Dubai&gt;International City&gt;International City Phase 2 (Warsan 4)&gt;Naama Building</v>
      </c>
      <c r="E8879" s="2"/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  <c r="W8879" s="2"/>
      <c r="X8879" s="2"/>
      <c r="Y8879" s="2"/>
      <c r="Z8879" s="2"/>
    </row>
    <row r="8880" spans="1:26" ht="16.5" x14ac:dyDescent="0.35">
      <c r="A8880" s="2" t="str">
        <f ca="1">IFERROR(__xludf.DUMMYFUNCTION("""COMPUTED_VALUE"""),"Dubai")</f>
        <v>Dubai</v>
      </c>
      <c r="B8880" s="2" t="str">
        <f ca="1">IFERROR(__xludf.DUMMYFUNCTION("""COMPUTED_VALUE"""),"Belle Vue")</f>
        <v>Belle Vue</v>
      </c>
      <c r="C8880" s="2" t="str">
        <f ca="1">IFERROR(__xludf.DUMMYFUNCTION("""COMPUTED_VALUE"""),"Building")</f>
        <v>Building</v>
      </c>
      <c r="D8880" s="2" t="str">
        <f ca="1">IFERROR(__xludf.DUMMYFUNCTION("""COMPUTED_VALUE"""),"Dubai&gt;International City&gt;International City Phase 2 (Warsan 4)&gt;Belle Vue")</f>
        <v>Dubai&gt;International City&gt;International City Phase 2 (Warsan 4)&gt;Belle Vue</v>
      </c>
      <c r="E8880" s="2"/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  <c r="W8880" s="2"/>
      <c r="X8880" s="2"/>
      <c r="Y8880" s="2"/>
      <c r="Z8880" s="2"/>
    </row>
    <row r="8881" spans="1:26" ht="16.5" x14ac:dyDescent="0.35">
      <c r="A8881" s="2" t="str">
        <f ca="1">IFERROR(__xludf.DUMMYFUNCTION("""COMPUTED_VALUE"""),"Dubai")</f>
        <v>Dubai</v>
      </c>
      <c r="B8881" s="2" t="str">
        <f ca="1">IFERROR(__xludf.DUMMYFUNCTION("""COMPUTED_VALUE"""),"K-13")</f>
        <v>K-13</v>
      </c>
      <c r="C8881" s="2" t="str">
        <f ca="1">IFERROR(__xludf.DUMMYFUNCTION("""COMPUTED_VALUE"""),"Building")</f>
        <v>Building</v>
      </c>
      <c r="D8881" s="2" t="str">
        <f ca="1">IFERROR(__xludf.DUMMYFUNCTION("""COMPUTED_VALUE"""),"Dubai&gt;International City&gt;Greece Cluster&gt;K-13")</f>
        <v>Dubai&gt;International City&gt;Greece Cluster&gt;K-13</v>
      </c>
      <c r="E8881" s="2"/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  <c r="W8881" s="2"/>
      <c r="X8881" s="2"/>
      <c r="Y8881" s="2"/>
      <c r="Z8881" s="2"/>
    </row>
    <row r="8882" spans="1:26" ht="16.5" x14ac:dyDescent="0.35">
      <c r="A8882" s="2" t="str">
        <f ca="1">IFERROR(__xludf.DUMMYFUNCTION("""COMPUTED_VALUE"""),"Dubai")</f>
        <v>Dubai</v>
      </c>
      <c r="B8882" s="2" t="str">
        <f ca="1">IFERROR(__xludf.DUMMYFUNCTION("""COMPUTED_VALUE"""),"P-10")</f>
        <v>P-10</v>
      </c>
      <c r="C8882" s="2" t="str">
        <f ca="1">IFERROR(__xludf.DUMMYFUNCTION("""COMPUTED_VALUE"""),"Building")</f>
        <v>Building</v>
      </c>
      <c r="D8882" s="2" t="str">
        <f ca="1">IFERROR(__xludf.DUMMYFUNCTION("""COMPUTED_VALUE"""),"Dubai&gt;International City&gt;France Cluster&gt;P-10")</f>
        <v>Dubai&gt;International City&gt;France Cluster&gt;P-10</v>
      </c>
      <c r="E8882" s="2"/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  <c r="W8882" s="2"/>
      <c r="X8882" s="2"/>
      <c r="Y8882" s="2"/>
      <c r="Z8882" s="2"/>
    </row>
    <row r="8883" spans="1:26" ht="16.5" x14ac:dyDescent="0.35">
      <c r="A8883" s="2" t="str">
        <f ca="1">IFERROR(__xludf.DUMMYFUNCTION("""COMPUTED_VALUE"""),"Dubai")</f>
        <v>Dubai</v>
      </c>
      <c r="B8883" s="2" t="str">
        <f ca="1">IFERROR(__xludf.DUMMYFUNCTION("""COMPUTED_VALUE"""),"R-17")</f>
        <v>R-17</v>
      </c>
      <c r="C8883" s="2" t="str">
        <f ca="1">IFERROR(__xludf.DUMMYFUNCTION("""COMPUTED_VALUE"""),"Building")</f>
        <v>Building</v>
      </c>
      <c r="D8883" s="2" t="str">
        <f ca="1">IFERROR(__xludf.DUMMYFUNCTION("""COMPUTED_VALUE"""),"Dubai&gt;International City&gt;France Cluster&gt;R-17")</f>
        <v>Dubai&gt;International City&gt;France Cluster&gt;R-17</v>
      </c>
      <c r="E8883" s="2"/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  <c r="W8883" s="2"/>
      <c r="X8883" s="2"/>
      <c r="Y8883" s="2"/>
      <c r="Z8883" s="2"/>
    </row>
    <row r="8884" spans="1:26" ht="16.5" x14ac:dyDescent="0.35">
      <c r="A8884" s="2" t="str">
        <f ca="1">IFERROR(__xludf.DUMMYFUNCTION("""COMPUTED_VALUE"""),"Dubai")</f>
        <v>Dubai</v>
      </c>
      <c r="B8884" s="2" t="str">
        <f ca="1">IFERROR(__xludf.DUMMYFUNCTION("""COMPUTED_VALUE"""),"CBD-E06")</f>
        <v>CBD-E06</v>
      </c>
      <c r="C8884" s="2" t="str">
        <f ca="1">IFERROR(__xludf.DUMMYFUNCTION("""COMPUTED_VALUE"""),"Building")</f>
        <v>Building</v>
      </c>
      <c r="D8884" s="2" t="str">
        <f ca="1">IFERROR(__xludf.DUMMYFUNCTION("""COMPUTED_VALUE"""),"Dubai&gt;International City&gt;Central Business District&gt;CBD-E06")</f>
        <v>Dubai&gt;International City&gt;Central Business District&gt;CBD-E06</v>
      </c>
      <c r="E8884" s="2"/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  <c r="W8884" s="2"/>
      <c r="X8884" s="2"/>
      <c r="Y8884" s="2"/>
      <c r="Z8884" s="2"/>
    </row>
    <row r="8885" spans="1:26" ht="16.5" x14ac:dyDescent="0.35">
      <c r="A8885" s="2" t="str">
        <f ca="1">IFERROR(__xludf.DUMMYFUNCTION("""COMPUTED_VALUE"""),"Dubai")</f>
        <v>Dubai</v>
      </c>
      <c r="B8885" s="2" t="str">
        <f ca="1">IFERROR(__xludf.DUMMYFUNCTION("""COMPUTED_VALUE"""),"CBD-F03")</f>
        <v>CBD-F03</v>
      </c>
      <c r="C8885" s="2" t="str">
        <f ca="1">IFERROR(__xludf.DUMMYFUNCTION("""COMPUTED_VALUE"""),"Building")</f>
        <v>Building</v>
      </c>
      <c r="D8885" s="2" t="str">
        <f ca="1">IFERROR(__xludf.DUMMYFUNCTION("""COMPUTED_VALUE"""),"Dubai&gt;International City&gt;Central Business District&gt;CBD-F03")</f>
        <v>Dubai&gt;International City&gt;Central Business District&gt;CBD-F03</v>
      </c>
      <c r="E8885" s="2"/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  <c r="W8885" s="2"/>
      <c r="X8885" s="2"/>
      <c r="Y8885" s="2"/>
      <c r="Z8885" s="2"/>
    </row>
    <row r="8886" spans="1:26" ht="16.5" x14ac:dyDescent="0.35">
      <c r="A8886" s="2" t="str">
        <f ca="1">IFERROR(__xludf.DUMMYFUNCTION("""COMPUTED_VALUE"""),"Dubai")</f>
        <v>Dubai</v>
      </c>
      <c r="B8886" s="2" t="str">
        <f ca="1">IFERROR(__xludf.DUMMYFUNCTION("""COMPUTED_VALUE"""),"5242 Tower 1")</f>
        <v>5242 Tower 1</v>
      </c>
      <c r="C8886" s="2" t="str">
        <f ca="1">IFERROR(__xludf.DUMMYFUNCTION("""COMPUTED_VALUE"""),"Building")</f>
        <v>Building</v>
      </c>
      <c r="D8886" s="2" t="str">
        <f ca="1">IFERROR(__xludf.DUMMYFUNCTION("""COMPUTED_VALUE"""),"Dubai&gt;Dubai Marina&gt;5242 Towers&gt;5242 Tower 1")</f>
        <v>Dubai&gt;Dubai Marina&gt;5242 Towers&gt;5242 Tower 1</v>
      </c>
      <c r="E8886" s="2"/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  <c r="W8886" s="2"/>
      <c r="X8886" s="2"/>
      <c r="Y8886" s="2"/>
      <c r="Z8886" s="2"/>
    </row>
    <row r="8887" spans="1:26" ht="16.5" x14ac:dyDescent="0.35">
      <c r="A8887" s="2" t="str">
        <f ca="1">IFERROR(__xludf.DUMMYFUNCTION("""COMPUTED_VALUE"""),"Dubai")</f>
        <v>Dubai</v>
      </c>
      <c r="B8887" s="2" t="str">
        <f ca="1">IFERROR(__xludf.DUMMYFUNCTION("""COMPUTED_VALUE"""),"Residences Du Port Autograph Collection Residences")</f>
        <v>Residences Du Port Autograph Collection Residences</v>
      </c>
      <c r="C8887" s="2" t="str">
        <f ca="1">IFERROR(__xludf.DUMMYFUNCTION("""COMPUTED_VALUE"""),"Building")</f>
        <v>Building</v>
      </c>
      <c r="D8887" s="2" t="str">
        <f ca="1">IFERROR(__xludf.DUMMYFUNCTION("""COMPUTED_VALUE"""),"Dubai&gt;Dubai Marina&gt;Al Majara&gt;Residences Du Port Autograph Collection Residences")</f>
        <v>Dubai&gt;Dubai Marina&gt;Al Majara&gt;Residences Du Port Autograph Collection Residences</v>
      </c>
      <c r="E8887" s="2"/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  <c r="W8887" s="2"/>
      <c r="X8887" s="2"/>
      <c r="Y8887" s="2"/>
      <c r="Z8887" s="2"/>
    </row>
    <row r="8888" spans="1:26" ht="16.5" x14ac:dyDescent="0.35">
      <c r="A8888" s="2" t="str">
        <f ca="1">IFERROR(__xludf.DUMMYFUNCTION("""COMPUTED_VALUE"""),"Dubai")</f>
        <v>Dubai</v>
      </c>
      <c r="B8888" s="2" t="str">
        <f ca="1">IFERROR(__xludf.DUMMYFUNCTION("""COMPUTED_VALUE"""),"Sulafa Tower")</f>
        <v>Sulafa Tower</v>
      </c>
      <c r="C8888" s="2" t="str">
        <f ca="1">IFERROR(__xludf.DUMMYFUNCTION("""COMPUTED_VALUE"""),"Building")</f>
        <v>Building</v>
      </c>
      <c r="D8888" s="2" t="str">
        <f ca="1">IFERROR(__xludf.DUMMYFUNCTION("""COMPUTED_VALUE"""),"Dubai&gt;Dubai Marina&gt;Sulafa Tower")</f>
        <v>Dubai&gt;Dubai Marina&gt;Sulafa Tower</v>
      </c>
      <c r="E8888" s="2"/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  <c r="W8888" s="2"/>
      <c r="X8888" s="2"/>
      <c r="Y8888" s="2"/>
      <c r="Z8888" s="2"/>
    </row>
    <row r="8889" spans="1:26" ht="16.5" x14ac:dyDescent="0.35">
      <c r="A8889" s="2" t="str">
        <f ca="1">IFERROR(__xludf.DUMMYFUNCTION("""COMPUTED_VALUE"""),"Dubai")</f>
        <v>Dubai</v>
      </c>
      <c r="B8889" s="2" t="str">
        <f ca="1">IFERROR(__xludf.DUMMYFUNCTION("""COMPUTED_VALUE"""),"Marina Residence A")</f>
        <v>Marina Residence A</v>
      </c>
      <c r="C8889" s="2" t="str">
        <f ca="1">IFERROR(__xludf.DUMMYFUNCTION("""COMPUTED_VALUE"""),"Building")</f>
        <v>Building</v>
      </c>
      <c r="D8889" s="2" t="str">
        <f ca="1">IFERROR(__xludf.DUMMYFUNCTION("""COMPUTED_VALUE"""),"Dubai&gt;Dubai Marina&gt;Marina Residence&gt;Marina Residence A")</f>
        <v>Dubai&gt;Dubai Marina&gt;Marina Residence&gt;Marina Residence A</v>
      </c>
      <c r="E8889" s="2"/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  <c r="W8889" s="2"/>
      <c r="X8889" s="2"/>
      <c r="Y8889" s="2"/>
      <c r="Z8889" s="2"/>
    </row>
    <row r="8890" spans="1:26" ht="16.5" x14ac:dyDescent="0.35">
      <c r="A8890" s="2" t="str">
        <f ca="1">IFERROR(__xludf.DUMMYFUNCTION("""COMPUTED_VALUE"""),"Dubai")</f>
        <v>Dubai</v>
      </c>
      <c r="B8890" s="2" t="str">
        <f ca="1">IFERROR(__xludf.DUMMYFUNCTION("""COMPUTED_VALUE"""),"Marina Suites")</f>
        <v>Marina Suites</v>
      </c>
      <c r="C8890" s="2" t="str">
        <f ca="1">IFERROR(__xludf.DUMMYFUNCTION("""COMPUTED_VALUE"""),"Building")</f>
        <v>Building</v>
      </c>
      <c r="D8890" s="2" t="str">
        <f ca="1">IFERROR(__xludf.DUMMYFUNCTION("""COMPUTED_VALUE"""),"Dubai&gt;Dubai Marina&gt;Marina Suites")</f>
        <v>Dubai&gt;Dubai Marina&gt;Marina Suites</v>
      </c>
      <c r="E8890" s="2"/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</row>
    <row r="8891" spans="1:26" ht="16.5" x14ac:dyDescent="0.35">
      <c r="A8891" s="2" t="str">
        <f ca="1">IFERROR(__xludf.DUMMYFUNCTION("""COMPUTED_VALUE"""),"Dubai")</f>
        <v>Dubai</v>
      </c>
      <c r="B8891" s="2" t="str">
        <f ca="1">IFERROR(__xludf.DUMMYFUNCTION("""COMPUTED_VALUE"""),"Marina View Tower A")</f>
        <v>Marina View Tower A</v>
      </c>
      <c r="C8891" s="2" t="str">
        <f ca="1">IFERROR(__xludf.DUMMYFUNCTION("""COMPUTED_VALUE"""),"Building")</f>
        <v>Building</v>
      </c>
      <c r="D8891" s="2" t="str">
        <f ca="1">IFERROR(__xludf.DUMMYFUNCTION("""COMPUTED_VALUE"""),"Dubai&gt;Dubai Marina&gt;Marina View Tower&gt;Marina View Tower A")</f>
        <v>Dubai&gt;Dubai Marina&gt;Marina View Tower&gt;Marina View Tower A</v>
      </c>
      <c r="E8891" s="2"/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  <c r="W8891" s="2"/>
      <c r="X8891" s="2"/>
      <c r="Y8891" s="2"/>
      <c r="Z8891" s="2"/>
    </row>
    <row r="8892" spans="1:26" ht="16.5" x14ac:dyDescent="0.35">
      <c r="A8892" s="2" t="str">
        <f ca="1">IFERROR(__xludf.DUMMYFUNCTION("""COMPUTED_VALUE"""),"Dubai")</f>
        <v>Dubai</v>
      </c>
      <c r="B8892" s="2" t="str">
        <f ca="1">IFERROR(__xludf.DUMMYFUNCTION("""COMPUTED_VALUE"""),"The Royal Oceanic")</f>
        <v>The Royal Oceanic</v>
      </c>
      <c r="C8892" s="2" t="str">
        <f ca="1">IFERROR(__xludf.DUMMYFUNCTION("""COMPUTED_VALUE"""),"Building")</f>
        <v>Building</v>
      </c>
      <c r="D8892" s="2" t="str">
        <f ca="1">IFERROR(__xludf.DUMMYFUNCTION("""COMPUTED_VALUE"""),"Dubai&gt;Dubai Marina&gt;The Royal Oceanic")</f>
        <v>Dubai&gt;Dubai Marina&gt;The Royal Oceanic</v>
      </c>
      <c r="E8892" s="2"/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  <c r="W8892" s="2"/>
      <c r="X8892" s="2"/>
      <c r="Y8892" s="2"/>
      <c r="Z8892" s="2"/>
    </row>
    <row r="8893" spans="1:26" ht="16.5" x14ac:dyDescent="0.35">
      <c r="A8893" s="2" t="str">
        <f ca="1">IFERROR(__xludf.DUMMYFUNCTION("""COMPUTED_VALUE"""),"Dubai")</f>
        <v>Dubai</v>
      </c>
      <c r="B8893" s="2" t="str">
        <f ca="1">IFERROR(__xludf.DUMMYFUNCTION("""COMPUTED_VALUE"""),"Maple Bear Nursery Town Square")</f>
        <v>Maple Bear Nursery Town Square</v>
      </c>
      <c r="C8893" s="2" t="str">
        <f ca="1">IFERROR(__xludf.DUMMYFUNCTION("""COMPUTED_VALUE"""),"Nursery")</f>
        <v>Nursery</v>
      </c>
      <c r="D8893" s="2" t="str">
        <f ca="1">IFERROR(__xludf.DUMMYFUNCTION("""COMPUTED_VALUE"""),"Dubai&gt;Town Square&gt;Maple Bear Nursery Town Square")</f>
        <v>Dubai&gt;Town Square&gt;Maple Bear Nursery Town Square</v>
      </c>
      <c r="E8893" s="2"/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  <c r="W8893" s="2"/>
      <c r="X8893" s="2"/>
      <c r="Y8893" s="2"/>
      <c r="Z8893" s="2"/>
    </row>
    <row r="8894" spans="1:26" ht="16.5" x14ac:dyDescent="0.35">
      <c r="A8894" s="2" t="str">
        <f ca="1">IFERROR(__xludf.DUMMYFUNCTION("""COMPUTED_VALUE"""),"Dubai")</f>
        <v>Dubai</v>
      </c>
      <c r="B8894" s="2" t="str">
        <f ca="1">IFERROR(__xludf.DUMMYFUNCTION("""COMPUTED_VALUE"""),"Hayat Boulevard 2A")</f>
        <v>Hayat Boulevard 2A</v>
      </c>
      <c r="C8894" s="2" t="str">
        <f ca="1">IFERROR(__xludf.DUMMYFUNCTION("""COMPUTED_VALUE"""),"Building")</f>
        <v>Building</v>
      </c>
      <c r="D8894" s="2" t="str">
        <f ca="1">IFERROR(__xludf.DUMMYFUNCTION("""COMPUTED_VALUE"""),"Dubai&gt;Town Square&gt;Hayat Boulevard&gt;Hayat Boulevard 2A")</f>
        <v>Dubai&gt;Town Square&gt;Hayat Boulevard&gt;Hayat Boulevard 2A</v>
      </c>
      <c r="E8894" s="2"/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  <c r="W8894" s="2"/>
      <c r="X8894" s="2"/>
      <c r="Y8894" s="2"/>
      <c r="Z8894" s="2"/>
    </row>
    <row r="8895" spans="1:26" ht="16.5" x14ac:dyDescent="0.35">
      <c r="A8895" s="2" t="str">
        <f ca="1">IFERROR(__xludf.DUMMYFUNCTION("""COMPUTED_VALUE"""),"Dubai")</f>
        <v>Dubai</v>
      </c>
      <c r="B8895" s="2" t="str">
        <f ca="1">IFERROR(__xludf.DUMMYFUNCTION("""COMPUTED_VALUE"""),"ORA")</f>
        <v>ORA</v>
      </c>
      <c r="C8895" s="2" t="str">
        <f ca="1">IFERROR(__xludf.DUMMYFUNCTION("""COMPUTED_VALUE"""),"Building")</f>
        <v>Building</v>
      </c>
      <c r="D8895" s="2" t="str">
        <f ca="1">IFERROR(__xludf.DUMMYFUNCTION("""COMPUTED_VALUE"""),"Dubai&gt;Town Square&gt;ORA")</f>
        <v>Dubai&gt;Town Square&gt;ORA</v>
      </c>
      <c r="E8895" s="2"/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  <c r="W8895" s="2"/>
      <c r="X8895" s="2"/>
      <c r="Y8895" s="2"/>
      <c r="Z8895" s="2"/>
    </row>
    <row r="8896" spans="1:26" ht="16.5" x14ac:dyDescent="0.35">
      <c r="A8896" s="2" t="str">
        <f ca="1">IFERROR(__xludf.DUMMYFUNCTION("""COMPUTED_VALUE"""),"Dubai")</f>
        <v>Dubai</v>
      </c>
      <c r="B8896" s="2" t="str">
        <f ca="1">IFERROR(__xludf.DUMMYFUNCTION("""COMPUTED_VALUE"""),"Azizi Pearl")</f>
        <v>Azizi Pearl</v>
      </c>
      <c r="C8896" s="2" t="str">
        <f ca="1">IFERROR(__xludf.DUMMYFUNCTION("""COMPUTED_VALUE"""),"Building")</f>
        <v>Building</v>
      </c>
      <c r="D8896" s="2" t="str">
        <f ca="1">IFERROR(__xludf.DUMMYFUNCTION("""COMPUTED_VALUE"""),"Dubai&gt;Al Furjan&gt;Azizi Pearl")</f>
        <v>Dubai&gt;Al Furjan&gt;Azizi Pearl</v>
      </c>
      <c r="E8896" s="2"/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  <c r="W8896" s="2"/>
      <c r="X8896" s="2"/>
      <c r="Y8896" s="2"/>
      <c r="Z8896" s="2"/>
    </row>
    <row r="8897" spans="1:26" ht="16.5" x14ac:dyDescent="0.35">
      <c r="A8897" s="2" t="str">
        <f ca="1">IFERROR(__xludf.DUMMYFUNCTION("""COMPUTED_VALUE"""),"Dubai")</f>
        <v>Dubai</v>
      </c>
      <c r="B8897" s="2" t="str">
        <f ca="1">IFERROR(__xludf.DUMMYFUNCTION("""COMPUTED_VALUE"""),"South Townhouses by NED Al Ghurair")</f>
        <v>South Townhouses by NED Al Ghurair</v>
      </c>
      <c r="C8897" s="2" t="str">
        <f ca="1">IFERROR(__xludf.DUMMYFUNCTION("""COMPUTED_VALUE"""),"Neighbourhood")</f>
        <v>Neighbourhood</v>
      </c>
      <c r="D8897" s="2" t="str">
        <f ca="1">IFERROR(__xludf.DUMMYFUNCTION("""COMPUTED_VALUE"""),"Dubai&gt;Al Furjan&gt;Al Furjan West&gt;South Townhouses by NED Al Ghurair")</f>
        <v>Dubai&gt;Al Furjan&gt;Al Furjan West&gt;South Townhouses by NED Al Ghurair</v>
      </c>
      <c r="E8897" s="2"/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  <c r="W8897" s="2"/>
      <c r="X8897" s="2"/>
      <c r="Y8897" s="2"/>
      <c r="Z8897" s="2"/>
    </row>
    <row r="8898" spans="1:26" ht="16.5" x14ac:dyDescent="0.35">
      <c r="A8898" s="2" t="str">
        <f ca="1">IFERROR(__xludf.DUMMYFUNCTION("""COMPUTED_VALUE"""),"Dubai")</f>
        <v>Dubai</v>
      </c>
      <c r="B8898" s="2" t="str">
        <f ca="1">IFERROR(__xludf.DUMMYFUNCTION("""COMPUTED_VALUE"""),"PG Upper House")</f>
        <v>PG Upper House</v>
      </c>
      <c r="C8898" s="2" t="str">
        <f ca="1">IFERROR(__xludf.DUMMYFUNCTION("""COMPUTED_VALUE"""),"Building")</f>
        <v>Building</v>
      </c>
      <c r="D8898" s="2" t="str">
        <f ca="1">IFERROR(__xludf.DUMMYFUNCTION("""COMPUTED_VALUE"""),"Dubai&gt;Al Furjan&gt;PG Upper House")</f>
        <v>Dubai&gt;Al Furjan&gt;PG Upper House</v>
      </c>
      <c r="E8898" s="2"/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  <c r="W8898" s="2"/>
      <c r="X8898" s="2"/>
      <c r="Y8898" s="2"/>
      <c r="Z8898" s="2"/>
    </row>
    <row r="8899" spans="1:26" ht="16.5" x14ac:dyDescent="0.35">
      <c r="A8899" s="2" t="str">
        <f ca="1">IFERROR(__xludf.DUMMYFUNCTION("""COMPUTED_VALUE"""),"Dubai")</f>
        <v>Dubai</v>
      </c>
      <c r="B8899" s="2" t="str">
        <f ca="1">IFERROR(__xludf.DUMMYFUNCTION("""COMPUTED_VALUE"""),"Nadine Residence 2")</f>
        <v>Nadine Residence 2</v>
      </c>
      <c r="C8899" s="2" t="str">
        <f ca="1">IFERROR(__xludf.DUMMYFUNCTION("""COMPUTED_VALUE"""),"Building")</f>
        <v>Building</v>
      </c>
      <c r="D8899" s="2" t="str">
        <f ca="1">IFERROR(__xludf.DUMMYFUNCTION("""COMPUTED_VALUE"""),"Dubai&gt;Al Furjan&gt;Nadine Residence&gt;Nadine Residence 2")</f>
        <v>Dubai&gt;Al Furjan&gt;Nadine Residence&gt;Nadine Residence 2</v>
      </c>
      <c r="E8899" s="2"/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  <c r="W8899" s="2"/>
      <c r="X8899" s="2"/>
      <c r="Y8899" s="2"/>
      <c r="Z8899" s="2"/>
    </row>
    <row r="8900" spans="1:26" ht="16.5" x14ac:dyDescent="0.35">
      <c r="A8900" s="2" t="str">
        <f ca="1">IFERROR(__xludf.DUMMYFUNCTION("""COMPUTED_VALUE"""),"Dubai")</f>
        <v>Dubai</v>
      </c>
      <c r="B8900" s="2" t="str">
        <f ca="1">IFERROR(__xludf.DUMMYFUNCTION("""COMPUTED_VALUE"""),"Azizi Raffi")</f>
        <v>Azizi Raffi</v>
      </c>
      <c r="C8900" s="2" t="str">
        <f ca="1">IFERROR(__xludf.DUMMYFUNCTION("""COMPUTED_VALUE"""),"Building")</f>
        <v>Building</v>
      </c>
      <c r="D8900" s="2" t="str">
        <f ca="1">IFERROR(__xludf.DUMMYFUNCTION("""COMPUTED_VALUE"""),"Dubai&gt;Al Furjan&gt;Azizi Raffi")</f>
        <v>Dubai&gt;Al Furjan&gt;Azizi Raffi</v>
      </c>
      <c r="E8900" s="2"/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  <c r="W8900" s="2"/>
      <c r="X8900" s="2"/>
      <c r="Y8900" s="2"/>
      <c r="Z8900" s="2"/>
    </row>
    <row r="8901" spans="1:26" ht="16.5" x14ac:dyDescent="0.35">
      <c r="A8901" s="2" t="str">
        <f ca="1">IFERROR(__xludf.DUMMYFUNCTION("""COMPUTED_VALUE"""),"Dubai")</f>
        <v>Dubai</v>
      </c>
      <c r="B8901" s="2" t="str">
        <f ca="1">IFERROR(__xludf.DUMMYFUNCTION("""COMPUTED_VALUE"""),"Tonino Lamborghini 1")</f>
        <v>Tonino Lamborghini 1</v>
      </c>
      <c r="C8901" s="2" t="str">
        <f ca="1">IFERROR(__xludf.DUMMYFUNCTION("""COMPUTED_VALUE"""),"Building")</f>
        <v>Building</v>
      </c>
      <c r="D8901" s="2" t="str">
        <f ca="1">IFERROR(__xludf.DUMMYFUNCTION("""COMPUTED_VALUE"""),"Dubai&gt;Meydan City&gt;Tonino Lamborghini Residences&gt;Tonino Lamborghini 1")</f>
        <v>Dubai&gt;Meydan City&gt;Tonino Lamborghini Residences&gt;Tonino Lamborghini 1</v>
      </c>
      <c r="E8901" s="2"/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  <c r="W8901" s="2"/>
      <c r="X8901" s="2"/>
      <c r="Y8901" s="2"/>
      <c r="Z8901" s="2"/>
    </row>
    <row r="8902" spans="1:26" ht="16.5" x14ac:dyDescent="0.35">
      <c r="A8902" s="2" t="str">
        <f ca="1">IFERROR(__xludf.DUMMYFUNCTION("""COMPUTED_VALUE"""),"Dubai")</f>
        <v>Dubai</v>
      </c>
      <c r="B8902" s="2" t="str">
        <f ca="1">IFERROR(__xludf.DUMMYFUNCTION("""COMPUTED_VALUE"""),"Azizi Riviera 18")</f>
        <v>Azizi Riviera 18</v>
      </c>
      <c r="C8902" s="2" t="str">
        <f ca="1">IFERROR(__xludf.DUMMYFUNCTION("""COMPUTED_VALUE"""),"Building")</f>
        <v>Building</v>
      </c>
      <c r="D8902" s="2" t="str">
        <f ca="1">IFERROR(__xludf.DUMMYFUNCTION("""COMPUTED_VALUE"""),"Dubai&gt;Meydan City&gt;Meydan One&gt;Azizi Riviera&gt;Azizi Riviera 18")</f>
        <v>Dubai&gt;Meydan City&gt;Meydan One&gt;Azizi Riviera&gt;Azizi Riviera 18</v>
      </c>
      <c r="E8902" s="2"/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  <c r="W8902" s="2"/>
      <c r="X8902" s="2"/>
      <c r="Y8902" s="2"/>
      <c r="Z8902" s="2"/>
    </row>
    <row r="8903" spans="1:26" ht="16.5" x14ac:dyDescent="0.35">
      <c r="A8903" s="2" t="str">
        <f ca="1">IFERROR(__xludf.DUMMYFUNCTION("""COMPUTED_VALUE"""),"Dubai")</f>
        <v>Dubai</v>
      </c>
      <c r="B8903" s="2" t="str">
        <f ca="1">IFERROR(__xludf.DUMMYFUNCTION("""COMPUTED_VALUE"""),"Azizi Riviera Reve Podium")</f>
        <v>Azizi Riviera Reve Podium</v>
      </c>
      <c r="C8903" s="2" t="str">
        <f ca="1">IFERROR(__xludf.DUMMYFUNCTION("""COMPUTED_VALUE"""),"Building")</f>
        <v>Building</v>
      </c>
      <c r="D8903" s="2" t="str">
        <f ca="1">IFERROR(__xludf.DUMMYFUNCTION("""COMPUTED_VALUE"""),"Dubai&gt;Meydan City&gt;Meydan One&gt;Azizi Riviera&gt;Azizi Riviera Reve&gt;Azizi Riviera Reve Podium")</f>
        <v>Dubai&gt;Meydan City&gt;Meydan One&gt;Azizi Riviera&gt;Azizi Riviera Reve&gt;Azizi Riviera Reve Podium</v>
      </c>
      <c r="E8903" s="2"/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  <c r="W8903" s="2"/>
      <c r="X8903" s="2"/>
      <c r="Y8903" s="2"/>
      <c r="Z8903" s="2"/>
    </row>
    <row r="8904" spans="1:26" ht="16.5" x14ac:dyDescent="0.35">
      <c r="A8904" s="2" t="str">
        <f ca="1">IFERROR(__xludf.DUMMYFUNCTION("""COMPUTED_VALUE"""),"Dubai")</f>
        <v>Dubai</v>
      </c>
      <c r="B8904" s="2" t="str">
        <f ca="1">IFERROR(__xludf.DUMMYFUNCTION("""COMPUTED_VALUE"""),"Taupe Residence")</f>
        <v>Taupe Residence</v>
      </c>
      <c r="C8904" s="2" t="str">
        <f ca="1">IFERROR(__xludf.DUMMYFUNCTION("""COMPUTED_VALUE"""),"Building")</f>
        <v>Building</v>
      </c>
      <c r="D8904" s="2" t="str">
        <f ca="1">IFERROR(__xludf.DUMMYFUNCTION("""COMPUTED_VALUE"""),"Dubai&gt;Meydan City&gt;Meydan Avenue&gt;Taupe Residence")</f>
        <v>Dubai&gt;Meydan City&gt;Meydan Avenue&gt;Taupe Residence</v>
      </c>
      <c r="E8904" s="2"/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  <c r="W8904" s="2"/>
      <c r="X8904" s="2"/>
      <c r="Y8904" s="2"/>
      <c r="Z8904" s="2"/>
    </row>
    <row r="8905" spans="1:26" ht="16.5" x14ac:dyDescent="0.35">
      <c r="A8905" s="2" t="str">
        <f ca="1">IFERROR(__xludf.DUMMYFUNCTION("""COMPUTED_VALUE"""),"Dubai")</f>
        <v>Dubai</v>
      </c>
      <c r="B8905" s="2" t="str">
        <f ca="1">IFERROR(__xludf.DUMMYFUNCTION("""COMPUTED_VALUE"""),"Polo Residence E2")</f>
        <v>Polo Residence E2</v>
      </c>
      <c r="C8905" s="2" t="str">
        <f ca="1">IFERROR(__xludf.DUMMYFUNCTION("""COMPUTED_VALUE"""),"Building")</f>
        <v>Building</v>
      </c>
      <c r="D8905" s="2" t="str">
        <f ca="1">IFERROR(__xludf.DUMMYFUNCTION("""COMPUTED_VALUE"""),"Dubai&gt;Meydan City&gt;Meydan Avenue&gt;Polo Residence&gt;Polo Residence E2")</f>
        <v>Dubai&gt;Meydan City&gt;Meydan Avenue&gt;Polo Residence&gt;Polo Residence E2</v>
      </c>
      <c r="E8905" s="2"/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  <c r="W8905" s="2"/>
      <c r="X8905" s="2"/>
      <c r="Y8905" s="2"/>
      <c r="Z8905" s="2"/>
    </row>
    <row r="8906" spans="1:26" ht="16.5" x14ac:dyDescent="0.35">
      <c r="A8906" s="2" t="str">
        <f ca="1">IFERROR(__xludf.DUMMYFUNCTION("""COMPUTED_VALUE"""),"Dubai")</f>
        <v>Dubai</v>
      </c>
      <c r="B8906" s="2" t="str">
        <f ca="1">IFERROR(__xludf.DUMMYFUNCTION("""COMPUTED_VALUE"""),"Maybach 6 by Binghatti")</f>
        <v>Maybach 6 by Binghatti</v>
      </c>
      <c r="C8906" s="2" t="str">
        <f ca="1">IFERROR(__xludf.DUMMYFUNCTION("""COMPUTED_VALUE"""),"Building")</f>
        <v>Building</v>
      </c>
      <c r="D8906" s="2" t="str">
        <f ca="1">IFERROR(__xludf.DUMMYFUNCTION("""COMPUTED_VALUE"""),"Dubai&gt;Meydan City&gt;Meydan Business Park&gt;Maybach 6 by Binghatti")</f>
        <v>Dubai&gt;Meydan City&gt;Meydan Business Park&gt;Maybach 6 by Binghatti</v>
      </c>
      <c r="E8906" s="2"/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  <c r="W8906" s="2"/>
      <c r="X8906" s="2"/>
      <c r="Y8906" s="2"/>
      <c r="Z8906" s="2"/>
    </row>
    <row r="8907" spans="1:26" ht="16.5" x14ac:dyDescent="0.35">
      <c r="A8907" s="2" t="str">
        <f ca="1">IFERROR(__xludf.DUMMYFUNCTION("""COMPUTED_VALUE"""),"Dubai")</f>
        <v>Dubai</v>
      </c>
      <c r="B8907" s="2" t="str">
        <f ca="1">IFERROR(__xludf.DUMMYFUNCTION("""COMPUTED_VALUE"""),"Al Ghozlan 1")</f>
        <v>Al Ghozlan 1</v>
      </c>
      <c r="C8907" s="2" t="str">
        <f ca="1">IFERROR(__xludf.DUMMYFUNCTION("""COMPUTED_VALUE"""),"Building")</f>
        <v>Building</v>
      </c>
      <c r="D8907" s="2" t="str">
        <f ca="1">IFERROR(__xludf.DUMMYFUNCTION("""COMPUTED_VALUE"""),"Dubai&gt;The Greens&gt;Al Ghozlan&gt;Al Ghozlan 1")</f>
        <v>Dubai&gt;The Greens&gt;Al Ghozlan&gt;Al Ghozlan 1</v>
      </c>
      <c r="E8907" s="2"/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  <c r="W8907" s="2"/>
      <c r="X8907" s="2"/>
      <c r="Y8907" s="2"/>
      <c r="Z8907" s="2"/>
    </row>
    <row r="8908" spans="1:26" ht="16.5" x14ac:dyDescent="0.35">
      <c r="A8908" s="2" t="str">
        <f ca="1">IFERROR(__xludf.DUMMYFUNCTION("""COMPUTED_VALUE"""),"Dubai")</f>
        <v>Dubai</v>
      </c>
      <c r="B8908" s="2" t="str">
        <f ca="1">IFERROR(__xludf.DUMMYFUNCTION("""COMPUTED_VALUE"""),"Dubai Production City (IMPZ)")</f>
        <v>Dubai Production City (IMPZ)</v>
      </c>
      <c r="C8908" s="2" t="str">
        <f ca="1">IFERROR(__xludf.DUMMYFUNCTION("""COMPUTED_VALUE"""),"Neighbourhood")</f>
        <v>Neighbourhood</v>
      </c>
      <c r="D8908" s="2" t="str">
        <f ca="1">IFERROR(__xludf.DUMMYFUNCTION("""COMPUTED_VALUE"""),"Dubai&gt;Dubai Production City (IMPZ)")</f>
        <v>Dubai&gt;Dubai Production City (IMPZ)</v>
      </c>
      <c r="E8908" s="2"/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  <c r="W8908" s="2"/>
      <c r="X8908" s="2"/>
      <c r="Y8908" s="2"/>
      <c r="Z8908" s="2"/>
    </row>
    <row r="8909" spans="1:26" ht="16.5" x14ac:dyDescent="0.35">
      <c r="A8909" s="2" t="str">
        <f ca="1">IFERROR(__xludf.DUMMYFUNCTION("""COMPUTED_VALUE"""),"Dubai")</f>
        <v>Dubai</v>
      </c>
      <c r="B8909" s="2" t="str">
        <f ca="1">IFERROR(__xludf.DUMMYFUNCTION("""COMPUTED_VALUE"""),"Afnan 1")</f>
        <v>Afnan 1</v>
      </c>
      <c r="C8909" s="2" t="str">
        <f ca="1">IFERROR(__xludf.DUMMYFUNCTION("""COMPUTED_VALUE"""),"Building")</f>
        <v>Building</v>
      </c>
      <c r="D8909" s="2" t="str">
        <f ca="1">IFERROR(__xludf.DUMMYFUNCTION("""COMPUTED_VALUE"""),"Dubai&gt;Dubai Production City (IMPZ)&gt;Midtown&gt;Afnan District&gt;Afnan 1")</f>
        <v>Dubai&gt;Dubai Production City (IMPZ)&gt;Midtown&gt;Afnan District&gt;Afnan 1</v>
      </c>
      <c r="E8909" s="2"/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  <c r="W8909" s="2"/>
      <c r="X8909" s="2"/>
      <c r="Y8909" s="2"/>
      <c r="Z8909" s="2"/>
    </row>
    <row r="8910" spans="1:26" ht="16.5" x14ac:dyDescent="0.35">
      <c r="A8910" s="2" t="str">
        <f ca="1">IFERROR(__xludf.DUMMYFUNCTION("""COMPUTED_VALUE"""),"Dubai")</f>
        <v>Dubai</v>
      </c>
      <c r="B8910" s="2" t="str">
        <f ca="1">IFERROR(__xludf.DUMMYFUNCTION("""COMPUTED_VALUE"""),"Lago Vista C")</f>
        <v>Lago Vista C</v>
      </c>
      <c r="C8910" s="2" t="str">
        <f ca="1">IFERROR(__xludf.DUMMYFUNCTION("""COMPUTED_VALUE"""),"Building")</f>
        <v>Building</v>
      </c>
      <c r="D8910" s="2" t="str">
        <f ca="1">IFERROR(__xludf.DUMMYFUNCTION("""COMPUTED_VALUE"""),"Dubai&gt;Dubai Production City (IMPZ)&gt;Lago Vista&gt;Lago Vista C")</f>
        <v>Dubai&gt;Dubai Production City (IMPZ)&gt;Lago Vista&gt;Lago Vista C</v>
      </c>
      <c r="E8910" s="2"/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  <c r="W8910" s="2"/>
      <c r="X8910" s="2"/>
      <c r="Y8910" s="2"/>
      <c r="Z8910" s="2"/>
    </row>
    <row r="8911" spans="1:26" ht="16.5" x14ac:dyDescent="0.35">
      <c r="A8911" s="2" t="str">
        <f ca="1">IFERROR(__xludf.DUMMYFUNCTION("""COMPUTED_VALUE"""),"Dubai")</f>
        <v>Dubai</v>
      </c>
      <c r="B8911" s="2" t="str">
        <f ca="1">IFERROR(__xludf.DUMMYFUNCTION("""COMPUTED_VALUE"""),"Makateb Building 3")</f>
        <v>Makateb Building 3</v>
      </c>
      <c r="C8911" s="2" t="str">
        <f ca="1">IFERROR(__xludf.DUMMYFUNCTION("""COMPUTED_VALUE"""),"Building")</f>
        <v>Building</v>
      </c>
      <c r="D8911" s="2" t="str">
        <f ca="1">IFERROR(__xludf.DUMMYFUNCTION("""COMPUTED_VALUE"""),"Dubai&gt;Dubai Production City (IMPZ)&gt;Makateb Building 3")</f>
        <v>Dubai&gt;Dubai Production City (IMPZ)&gt;Makateb Building 3</v>
      </c>
      <c r="E8911" s="2"/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  <c r="W8911" s="2"/>
      <c r="X8911" s="2"/>
      <c r="Y8911" s="2"/>
      <c r="Z8911" s="2"/>
    </row>
    <row r="8912" spans="1:26" ht="16.5" x14ac:dyDescent="0.35">
      <c r="A8912" s="2" t="str">
        <f ca="1">IFERROR(__xludf.DUMMYFUNCTION("""COMPUTED_VALUE"""),"Dubai")</f>
        <v>Dubai</v>
      </c>
      <c r="B8912" s="2" t="str">
        <f ca="1">IFERROR(__xludf.DUMMYFUNCTION("""COMPUTED_VALUE"""),"Sunbeam Homes Block D")</f>
        <v>Sunbeam Homes Block D</v>
      </c>
      <c r="C8912" s="2" t="str">
        <f ca="1">IFERROR(__xludf.DUMMYFUNCTION("""COMPUTED_VALUE"""),"Building")</f>
        <v>Building</v>
      </c>
      <c r="D8912" s="2" t="str">
        <f ca="1">IFERROR(__xludf.DUMMYFUNCTION("""COMPUTED_VALUE"""),"Dubai&gt;Dubai Industrial City&gt;Sunbeam Homes&gt;Sunbeam Homes Block D")</f>
        <v>Dubai&gt;Dubai Industrial City&gt;Sunbeam Homes&gt;Sunbeam Homes Block D</v>
      </c>
      <c r="E8912" s="2"/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</row>
    <row r="8913" spans="1:26" ht="16.5" x14ac:dyDescent="0.35">
      <c r="A8913" s="2" t="str">
        <f ca="1">IFERROR(__xludf.DUMMYFUNCTION("""COMPUTED_VALUE"""),"Dubai")</f>
        <v>Dubai</v>
      </c>
      <c r="B8913" s="2" t="str">
        <f ca="1">IFERROR(__xludf.DUMMYFUNCTION("""COMPUTED_VALUE"""),"Al Haseen Residences 4")</f>
        <v>Al Haseen Residences 4</v>
      </c>
      <c r="C8913" s="2" t="str">
        <f ca="1">IFERROR(__xludf.DUMMYFUNCTION("""COMPUTED_VALUE"""),"Building")</f>
        <v>Building</v>
      </c>
      <c r="D8913" s="2" t="str">
        <f ca="1">IFERROR(__xludf.DUMMYFUNCTION("""COMPUTED_VALUE"""),"Dubai&gt;Dubai Industrial City&gt;Al Haseen Residences 4")</f>
        <v>Dubai&gt;Dubai Industrial City&gt;Al Haseen Residences 4</v>
      </c>
      <c r="E8913" s="2"/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  <c r="W8913" s="2"/>
      <c r="X8913" s="2"/>
      <c r="Y8913" s="2"/>
      <c r="Z8913" s="2"/>
    </row>
    <row r="8914" spans="1:26" ht="16.5" x14ac:dyDescent="0.35">
      <c r="A8914" s="2" t="str">
        <f ca="1">IFERROR(__xludf.DUMMYFUNCTION("""COMPUTED_VALUE"""),"Dubai")</f>
        <v>Dubai</v>
      </c>
      <c r="B8914" s="2" t="str">
        <f ca="1">IFERROR(__xludf.DUMMYFUNCTION("""COMPUTED_VALUE"""),"Royal Grammar School Guildford, Dubai")</f>
        <v>Royal Grammar School Guildford, Dubai</v>
      </c>
      <c r="C8914" s="2" t="str">
        <f ca="1">IFERROR(__xludf.DUMMYFUNCTION("""COMPUTED_VALUE"""),"School")</f>
        <v>School</v>
      </c>
      <c r="D8914" s="2" t="str">
        <f ca="1">IFERROR(__xludf.DUMMYFUNCTION("""COMPUTED_VALUE"""),"Dubai&gt;Tilal Al Ghaf&gt;Royal Grammar School Guildford, Dubai")</f>
        <v>Dubai&gt;Tilal Al Ghaf&gt;Royal Grammar School Guildford, Dubai</v>
      </c>
      <c r="E8914" s="2"/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  <c r="W8914" s="2"/>
      <c r="X8914" s="2"/>
      <c r="Y8914" s="2"/>
      <c r="Z8914" s="2"/>
    </row>
    <row r="8915" spans="1:26" ht="16.5" x14ac:dyDescent="0.35">
      <c r="A8915" s="2" t="str">
        <f ca="1">IFERROR(__xludf.DUMMYFUNCTION("""COMPUTED_VALUE"""),"Dubai")</f>
        <v>Dubai</v>
      </c>
      <c r="B8915" s="2" t="str">
        <f ca="1">IFERROR(__xludf.DUMMYFUNCTION("""COMPUTED_VALUE"""),"Edgewater Residences 3")</f>
        <v>Edgewater Residences 3</v>
      </c>
      <c r="C8915" s="2" t="str">
        <f ca="1">IFERROR(__xludf.DUMMYFUNCTION("""COMPUTED_VALUE"""),"Building")</f>
        <v>Building</v>
      </c>
      <c r="D8915" s="2" t="str">
        <f ca="1">IFERROR(__xludf.DUMMYFUNCTION("""COMPUTED_VALUE"""),"Dubai&gt;Dubai Islands&gt;Edgewater Residences&gt;Edgewater Residences 3")</f>
        <v>Dubai&gt;Dubai Islands&gt;Edgewater Residences&gt;Edgewater Residences 3</v>
      </c>
      <c r="E8915" s="2"/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  <c r="W8915" s="2"/>
      <c r="X8915" s="2"/>
      <c r="Y8915" s="2"/>
      <c r="Z8915" s="2"/>
    </row>
    <row r="8916" spans="1:26" ht="16.5" x14ac:dyDescent="0.35">
      <c r="A8916" s="2" t="str">
        <f ca="1">IFERROR(__xludf.DUMMYFUNCTION("""COMPUTED_VALUE"""),"Dubai")</f>
        <v>Dubai</v>
      </c>
      <c r="B8916" s="2" t="str">
        <f ca="1">IFERROR(__xludf.DUMMYFUNCTION("""COMPUTED_VALUE"""),"Bonds Avenue Residences")</f>
        <v>Bonds Avenue Residences</v>
      </c>
      <c r="C8916" s="2" t="str">
        <f ca="1">IFERROR(__xludf.DUMMYFUNCTION("""COMPUTED_VALUE"""),"Building")</f>
        <v>Building</v>
      </c>
      <c r="D8916" s="2" t="str">
        <f ca="1">IFERROR(__xludf.DUMMYFUNCTION("""COMPUTED_VALUE"""),"Dubai&gt;Dubai Islands&gt;Bonds Avenue Residences")</f>
        <v>Dubai&gt;Dubai Islands&gt;Bonds Avenue Residences</v>
      </c>
      <c r="E8916" s="2"/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  <c r="W8916" s="2"/>
      <c r="X8916" s="2"/>
      <c r="Y8916" s="2"/>
      <c r="Z8916" s="2"/>
    </row>
    <row r="8917" spans="1:26" ht="16.5" x14ac:dyDescent="0.35">
      <c r="A8917" s="2" t="str">
        <f ca="1">IFERROR(__xludf.DUMMYFUNCTION("""COMPUTED_VALUE"""),"Dubai")</f>
        <v>Dubai</v>
      </c>
      <c r="B8917" s="2" t="str">
        <f ca="1">IFERROR(__xludf.DUMMYFUNCTION("""COMPUTED_VALUE"""),"Dreamlife Residences")</f>
        <v>Dreamlife Residences</v>
      </c>
      <c r="C8917" s="2" t="str">
        <f ca="1">IFERROR(__xludf.DUMMYFUNCTION("""COMPUTED_VALUE"""),"Building")</f>
        <v>Building</v>
      </c>
      <c r="D8917" s="2" t="str">
        <f ca="1">IFERROR(__xludf.DUMMYFUNCTION("""COMPUTED_VALUE"""),"Dubai&gt;Dubai Islands&gt;Dreamlife Residences")</f>
        <v>Dubai&gt;Dubai Islands&gt;Dreamlife Residences</v>
      </c>
      <c r="E8917" s="2"/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  <c r="W8917" s="2"/>
      <c r="X8917" s="2"/>
      <c r="Y8917" s="2"/>
      <c r="Z8917" s="2"/>
    </row>
    <row r="8918" spans="1:26" ht="16.5" x14ac:dyDescent="0.35">
      <c r="A8918" s="2" t="str">
        <f ca="1">IFERROR(__xludf.DUMMYFUNCTION("""COMPUTED_VALUE"""),"Dubai")</f>
        <v>Dubai</v>
      </c>
      <c r="B8918" s="2" t="str">
        <f ca="1">IFERROR(__xludf.DUMMYFUNCTION("""COMPUTED_VALUE"""),"Flora Shore")</f>
        <v>Flora Shore</v>
      </c>
      <c r="C8918" s="2" t="str">
        <f ca="1">IFERROR(__xludf.DUMMYFUNCTION("""COMPUTED_VALUE"""),"Building")</f>
        <v>Building</v>
      </c>
      <c r="D8918" s="2" t="str">
        <f ca="1">IFERROR(__xludf.DUMMYFUNCTION("""COMPUTED_VALUE"""),"Dubai&gt;Dubai Islands&gt;Flora Shore")</f>
        <v>Dubai&gt;Dubai Islands&gt;Flora Shore</v>
      </c>
      <c r="E8918" s="2"/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  <c r="W8918" s="2"/>
      <c r="X8918" s="2"/>
      <c r="Y8918" s="2"/>
      <c r="Z8918" s="2"/>
    </row>
    <row r="8919" spans="1:26" ht="16.5" x14ac:dyDescent="0.35">
      <c r="A8919" s="2" t="str">
        <f ca="1">IFERROR(__xludf.DUMMYFUNCTION("""COMPUTED_VALUE"""),"Sharjah")</f>
        <v>Sharjah</v>
      </c>
      <c r="B8919" s="2" t="str">
        <f ca="1">IFERROR(__xludf.DUMMYFUNCTION("""COMPUTED_VALUE"""),"SS 1")</f>
        <v>SS 1</v>
      </c>
      <c r="C8919" s="2" t="str">
        <f ca="1">IFERROR(__xludf.DUMMYFUNCTION("""COMPUTED_VALUE"""),"Building")</f>
        <v>Building</v>
      </c>
      <c r="D8919" s="2" t="str">
        <f ca="1">IFERROR(__xludf.DUMMYFUNCTION("""COMPUTED_VALUE"""),"Sharjah&gt;Muwaileh&gt;Al Mamsha&gt;Souks Residential&gt;SS 1")</f>
        <v>Sharjah&gt;Muwaileh&gt;Al Mamsha&gt;Souks Residential&gt;SS 1</v>
      </c>
      <c r="E8919" s="2"/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  <c r="W8919" s="2"/>
      <c r="X8919" s="2"/>
      <c r="Y8919" s="2"/>
      <c r="Z8919" s="2"/>
    </row>
    <row r="8920" spans="1:26" ht="16.5" x14ac:dyDescent="0.35">
      <c r="A8920" s="2" t="str">
        <f ca="1">IFERROR(__xludf.DUMMYFUNCTION("""COMPUTED_VALUE"""),"Sharjah")</f>
        <v>Sharjah</v>
      </c>
      <c r="B8920" s="2" t="str">
        <f ca="1">IFERROR(__xludf.DUMMYFUNCTION("""COMPUTED_VALUE"""),"Darb 4")</f>
        <v>Darb 4</v>
      </c>
      <c r="C8920" s="2" t="str">
        <f ca="1">IFERROR(__xludf.DUMMYFUNCTION("""COMPUTED_VALUE"""),"Building")</f>
        <v>Building</v>
      </c>
      <c r="D8920" s="2" t="str">
        <f ca="1">IFERROR(__xludf.DUMMYFUNCTION("""COMPUTED_VALUE"""),"Sharjah&gt;Muwaileh&gt;Al Mamsha&gt;Raseel&gt;Darb 4")</f>
        <v>Sharjah&gt;Muwaileh&gt;Al Mamsha&gt;Raseel&gt;Darb 4</v>
      </c>
      <c r="E8920" s="2"/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  <c r="W8920" s="2"/>
      <c r="X8920" s="2"/>
      <c r="Y8920" s="2"/>
      <c r="Z8920" s="2"/>
    </row>
    <row r="8921" spans="1:26" ht="16.5" x14ac:dyDescent="0.35">
      <c r="A8921" s="2" t="str">
        <f ca="1">IFERROR(__xludf.DUMMYFUNCTION("""COMPUTED_VALUE"""),"Sharjah")</f>
        <v>Sharjah</v>
      </c>
      <c r="B8921" s="2" t="str">
        <f ca="1">IFERROR(__xludf.DUMMYFUNCTION("""COMPUTED_VALUE"""),"Garden Apartment Block C")</f>
        <v>Garden Apartment Block C</v>
      </c>
      <c r="C8921" s="2" t="str">
        <f ca="1">IFERROR(__xludf.DUMMYFUNCTION("""COMPUTED_VALUE"""),"Building")</f>
        <v>Building</v>
      </c>
      <c r="D8921" s="2" t="str">
        <f ca="1">IFERROR(__xludf.DUMMYFUNCTION("""COMPUTED_VALUE"""),"Sharjah&gt;Muwaileh&gt;Al Zahia&gt;Al Zahia Garden Apartments&gt;Garden Apartment Block C")</f>
        <v>Sharjah&gt;Muwaileh&gt;Al Zahia&gt;Al Zahia Garden Apartments&gt;Garden Apartment Block C</v>
      </c>
      <c r="E8921" s="2"/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  <c r="W8921" s="2"/>
      <c r="X8921" s="2"/>
      <c r="Y8921" s="2"/>
      <c r="Z8921" s="2"/>
    </row>
    <row r="8922" spans="1:26" ht="16.5" x14ac:dyDescent="0.35">
      <c r="A8922" s="2" t="str">
        <f ca="1">IFERROR(__xludf.DUMMYFUNCTION("""COMPUTED_VALUE"""),"Sharjah")</f>
        <v>Sharjah</v>
      </c>
      <c r="B8922" s="2" t="str">
        <f ca="1">IFERROR(__xludf.DUMMYFUNCTION("""COMPUTED_VALUE"""),"Shawi Building")</f>
        <v>Shawi Building</v>
      </c>
      <c r="C8922" s="2"/>
      <c r="D8922" s="2" t="str">
        <f ca="1">IFERROR(__xludf.DUMMYFUNCTION("""COMPUTED_VALUE"""),"Sharjah&gt;Muwaileh Commercial&gt;Shawi Building")</f>
        <v>Sharjah&gt;Muwaileh Commercial&gt;Shawi Building</v>
      </c>
      <c r="E8922" s="2"/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  <c r="W8922" s="2"/>
      <c r="X8922" s="2"/>
      <c r="Y8922" s="2"/>
      <c r="Z8922" s="2"/>
    </row>
    <row r="8923" spans="1:26" ht="16.5" x14ac:dyDescent="0.35">
      <c r="A8923" s="2" t="str">
        <f ca="1">IFERROR(__xludf.DUMMYFUNCTION("""COMPUTED_VALUE"""),"Sharjah")</f>
        <v>Sharjah</v>
      </c>
      <c r="B8923" s="2" t="str">
        <f ca="1">IFERROR(__xludf.DUMMYFUNCTION("""COMPUTED_VALUE"""),"Khalfan Building")</f>
        <v>Khalfan Building</v>
      </c>
      <c r="C8923" s="2" t="str">
        <f ca="1">IFERROR(__xludf.DUMMYFUNCTION("""COMPUTED_VALUE"""),"Building")</f>
        <v>Building</v>
      </c>
      <c r="D8923" s="2" t="str">
        <f ca="1">IFERROR(__xludf.DUMMYFUNCTION("""COMPUTED_VALUE"""),"Sharjah&gt;Muwaileh Commercial&gt;Khalfan Building")</f>
        <v>Sharjah&gt;Muwaileh Commercial&gt;Khalfan Building</v>
      </c>
      <c r="E8923" s="2"/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  <c r="W8923" s="2"/>
      <c r="X8923" s="2"/>
      <c r="Y8923" s="2"/>
      <c r="Z8923" s="2"/>
    </row>
    <row r="8924" spans="1:26" ht="16.5" x14ac:dyDescent="0.35">
      <c r="A8924" s="2" t="str">
        <f ca="1">IFERROR(__xludf.DUMMYFUNCTION("""COMPUTED_VALUE"""),"Sharjah")</f>
        <v>Sharjah</v>
      </c>
      <c r="B8924" s="2" t="str">
        <f ca="1">IFERROR(__xludf.DUMMYFUNCTION("""COMPUTED_VALUE"""),"Building 2812")</f>
        <v>Building 2812</v>
      </c>
      <c r="C8924" s="2" t="str">
        <f ca="1">IFERROR(__xludf.DUMMYFUNCTION("""COMPUTED_VALUE"""),"Building")</f>
        <v>Building</v>
      </c>
      <c r="D8924" s="2" t="str">
        <f ca="1">IFERROR(__xludf.DUMMYFUNCTION("""COMPUTED_VALUE"""),"Sharjah&gt;Muwaileh Commercial&gt;Building 2812")</f>
        <v>Sharjah&gt;Muwaileh Commercial&gt;Building 2812</v>
      </c>
      <c r="E8924" s="2"/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  <c r="W8924" s="2"/>
      <c r="X8924" s="2"/>
      <c r="Y8924" s="2"/>
      <c r="Z8924" s="2"/>
    </row>
    <row r="8925" spans="1:26" ht="16.5" x14ac:dyDescent="0.35">
      <c r="A8925" s="2" t="str">
        <f ca="1">IFERROR(__xludf.DUMMYFUNCTION("""COMPUTED_VALUE"""),"Al Ain")</f>
        <v>Al Ain</v>
      </c>
      <c r="B8925" s="2" t="str">
        <f ca="1">IFERROR(__xludf.DUMMYFUNCTION("""COMPUTED_VALUE"""),"Al Rawdah Al Sharqiyah")</f>
        <v>Al Rawdah Al Sharqiyah</v>
      </c>
      <c r="C8925" s="2" t="str">
        <f ca="1">IFERROR(__xludf.DUMMYFUNCTION("""COMPUTED_VALUE"""),"Neighbourhood")</f>
        <v>Neighbourhood</v>
      </c>
      <c r="D8925" s="2" t="str">
        <f ca="1">IFERROR(__xludf.DUMMYFUNCTION("""COMPUTED_VALUE"""),"Al Ain&gt;Al Rawdah Al Sharqiyah")</f>
        <v>Al Ain&gt;Al Rawdah Al Sharqiyah</v>
      </c>
      <c r="E8925" s="2"/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  <c r="W8925" s="2"/>
      <c r="X8925" s="2"/>
      <c r="Y8925" s="2"/>
      <c r="Z8925" s="2"/>
    </row>
    <row r="8926" spans="1:26" ht="16.5" x14ac:dyDescent="0.35">
      <c r="A8926" s="2" t="str">
        <f ca="1">IFERROR(__xludf.DUMMYFUNCTION("""COMPUTED_VALUE"""),"Al Ain")</f>
        <v>Al Ain</v>
      </c>
      <c r="B8926" s="2" t="str">
        <f ca="1">IFERROR(__xludf.DUMMYFUNCTION("""COMPUTED_VALUE"""),"Al Ain Juniors Nursery")</f>
        <v>Al Ain Juniors Nursery</v>
      </c>
      <c r="C8926" s="2" t="str">
        <f ca="1">IFERROR(__xludf.DUMMYFUNCTION("""COMPUTED_VALUE"""),"Nursery")</f>
        <v>Nursery</v>
      </c>
      <c r="D8926" s="2" t="str">
        <f ca="1">IFERROR(__xludf.DUMMYFUNCTION("""COMPUTED_VALUE"""),"Al Ain&gt;Central District&gt;Nad Al Rusas&gt;Al Ain Juniors Nursery")</f>
        <v>Al Ain&gt;Central District&gt;Nad Al Rusas&gt;Al Ain Juniors Nursery</v>
      </c>
      <c r="E8926" s="2"/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  <c r="W8926" s="2"/>
      <c r="X8926" s="2"/>
      <c r="Y8926" s="2"/>
      <c r="Z8926" s="2"/>
    </row>
    <row r="8927" spans="1:26" ht="16.5" x14ac:dyDescent="0.35">
      <c r="A8927" s="2" t="str">
        <f ca="1">IFERROR(__xludf.DUMMYFUNCTION("""COMPUTED_VALUE"""),"Al Ain")</f>
        <v>Al Ain</v>
      </c>
      <c r="B8927" s="2" t="str">
        <f ca="1">IFERROR(__xludf.DUMMYFUNCTION("""COMPUTED_VALUE"""),"Gafat Al Nayyar")</f>
        <v>Gafat Al Nayyar</v>
      </c>
      <c r="C8927" s="2" t="str">
        <f ca="1">IFERROR(__xludf.DUMMYFUNCTION("""COMPUTED_VALUE"""),"Neighbourhood")</f>
        <v>Neighbourhood</v>
      </c>
      <c r="D8927" s="2" t="str">
        <f ca="1">IFERROR(__xludf.DUMMYFUNCTION("""COMPUTED_VALUE"""),"Al Ain&gt;Zakhir&gt;Gafat Al Nayyar")</f>
        <v>Al Ain&gt;Zakhir&gt;Gafat Al Nayyar</v>
      </c>
      <c r="E8927" s="2"/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  <c r="W8927" s="2"/>
      <c r="X8927" s="2"/>
      <c r="Y8927" s="2"/>
      <c r="Z8927" s="2"/>
    </row>
    <row r="8928" spans="1:26" ht="16.5" x14ac:dyDescent="0.35">
      <c r="A8928" s="2" t="str">
        <f ca="1">IFERROR(__xludf.DUMMYFUNCTION("""COMPUTED_VALUE"""),"Al Ain")</f>
        <v>Al Ain</v>
      </c>
      <c r="B8928" s="2" t="str">
        <f ca="1">IFERROR(__xludf.DUMMYFUNCTION("""COMPUTED_VALUE"""),"Abu Dhabi Island International Private School")</f>
        <v>Abu Dhabi Island International Private School</v>
      </c>
      <c r="C8928" s="2" t="str">
        <f ca="1">IFERROR(__xludf.DUMMYFUNCTION("""COMPUTED_VALUE"""),"School")</f>
        <v>School</v>
      </c>
      <c r="D8928" s="2" t="str">
        <f ca="1">IFERROR(__xludf.DUMMYFUNCTION("""COMPUTED_VALUE"""),"Al Ain&gt;Al Tiwayya&gt;Abu Dhabi Island International Private School")</f>
        <v>Al Ain&gt;Al Tiwayya&gt;Abu Dhabi Island International Private School</v>
      </c>
      <c r="E8928" s="2"/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  <c r="W8928" s="2"/>
      <c r="X8928" s="2"/>
      <c r="Y8928" s="2"/>
      <c r="Z8928" s="2"/>
    </row>
    <row r="8929" spans="1:26" ht="16.5" x14ac:dyDescent="0.35">
      <c r="A8929" s="2" t="str">
        <f ca="1">IFERROR(__xludf.DUMMYFUNCTION("""COMPUTED_VALUE"""),"Al Ain")</f>
        <v>Al Ain</v>
      </c>
      <c r="B8929" s="2" t="str">
        <f ca="1">IFERROR(__xludf.DUMMYFUNCTION("""COMPUTED_VALUE"""),"Jefeer Jedeed")</f>
        <v>Jefeer Jedeed</v>
      </c>
      <c r="C8929" s="2" t="str">
        <f ca="1">IFERROR(__xludf.DUMMYFUNCTION("""COMPUTED_VALUE"""),"Neighbourhood")</f>
        <v>Neighbourhood</v>
      </c>
      <c r="D8929" s="2" t="str">
        <f ca="1">IFERROR(__xludf.DUMMYFUNCTION("""COMPUTED_VALUE"""),"Al Ain&gt;Falaj Hazzaa&gt;Jefeer Jedeed")</f>
        <v>Al Ain&gt;Falaj Hazzaa&gt;Jefeer Jedeed</v>
      </c>
      <c r="E8929" s="2"/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  <c r="W8929" s="2"/>
      <c r="X8929" s="2"/>
      <c r="Y8929" s="2"/>
      <c r="Z8929" s="2"/>
    </row>
    <row r="8930" spans="1:26" ht="16.5" x14ac:dyDescent="0.35">
      <c r="A8930" s="2" t="str">
        <f ca="1">IFERROR(__xludf.DUMMYFUNCTION("""COMPUTED_VALUE"""),"Al Ain")</f>
        <v>Al Ain</v>
      </c>
      <c r="B8930" s="2" t="str">
        <f ca="1">IFERROR(__xludf.DUMMYFUNCTION("""COMPUTED_VALUE"""),"Remah")</f>
        <v>Remah</v>
      </c>
      <c r="C8930" s="2" t="str">
        <f ca="1">IFERROR(__xludf.DUMMYFUNCTION("""COMPUTED_VALUE"""),"Neighbourhood")</f>
        <v>Neighbourhood</v>
      </c>
      <c r="D8930" s="2" t="str">
        <f ca="1">IFERROR(__xludf.DUMMYFUNCTION("""COMPUTED_VALUE"""),"Al Ain&gt;Remah")</f>
        <v>Al Ain&gt;Remah</v>
      </c>
      <c r="E8930" s="2"/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  <c r="W8930" s="2"/>
      <c r="X8930" s="2"/>
      <c r="Y8930" s="2"/>
      <c r="Z8930" s="2"/>
    </row>
    <row r="8931" spans="1:26" ht="16.5" x14ac:dyDescent="0.35">
      <c r="A8931" s="2" t="str">
        <f ca="1">IFERROR(__xludf.DUMMYFUNCTION("""COMPUTED_VALUE"""),"Ras Al Khaimah")</f>
        <v>Ras Al Khaimah</v>
      </c>
      <c r="B8931" s="2" t="str">
        <f ca="1">IFERROR(__xludf.DUMMYFUNCTION("""COMPUTED_VALUE"""),"The Lagoons")</f>
        <v>The Lagoons</v>
      </c>
      <c r="C8931" s="2" t="str">
        <f ca="1">IFERROR(__xludf.DUMMYFUNCTION("""COMPUTED_VALUE"""),"Neighbourhood")</f>
        <v>Neighbourhood</v>
      </c>
      <c r="D8931" s="2" t="str">
        <f ca="1">IFERROR(__xludf.DUMMYFUNCTION("""COMPUTED_VALUE"""),"Ras Al Khaimah&gt;Mina Al Arab&gt;The Lagoons")</f>
        <v>Ras Al Khaimah&gt;Mina Al Arab&gt;The Lagoons</v>
      </c>
      <c r="E8931" s="2"/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  <c r="W8931" s="2"/>
      <c r="X8931" s="2"/>
      <c r="Y8931" s="2"/>
      <c r="Z8931" s="2"/>
    </row>
    <row r="8932" spans="1:26" ht="16.5" x14ac:dyDescent="0.35">
      <c r="A8932" s="2" t="str">
        <f ca="1">IFERROR(__xludf.DUMMYFUNCTION("""COMPUTED_VALUE"""),"Ras Al Khaimah")</f>
        <v>Ras Al Khaimah</v>
      </c>
      <c r="B8932" s="2" t="str">
        <f ca="1">IFERROR(__xludf.DUMMYFUNCTION("""COMPUTED_VALUE"""),"Enta Mina")</f>
        <v>Enta Mina</v>
      </c>
      <c r="C8932" s="2" t="str">
        <f ca="1">IFERROR(__xludf.DUMMYFUNCTION("""COMPUTED_VALUE"""),"Building")</f>
        <v>Building</v>
      </c>
      <c r="D8932" s="2" t="str">
        <f ca="1">IFERROR(__xludf.DUMMYFUNCTION("""COMPUTED_VALUE"""),"Ras Al Khaimah&gt;Mina Al Arab&gt;Enta Mina")</f>
        <v>Ras Al Khaimah&gt;Mina Al Arab&gt;Enta Mina</v>
      </c>
      <c r="E8932" s="2"/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  <c r="W8932" s="2"/>
      <c r="X8932" s="2"/>
      <c r="Y8932" s="2"/>
      <c r="Z8932" s="2"/>
    </row>
    <row r="8933" spans="1:26" ht="16.5" x14ac:dyDescent="0.35">
      <c r="A8933" s="2" t="str">
        <f ca="1">IFERROR(__xludf.DUMMYFUNCTION("""COMPUTED_VALUE"""),"Ras Al Khaimah")</f>
        <v>Ras Al Khaimah</v>
      </c>
      <c r="B8933" s="2" t="str">
        <f ca="1">IFERROR(__xludf.DUMMYFUNCTION("""COMPUTED_VALUE"""),"Manta Bay")</f>
        <v>Manta Bay</v>
      </c>
      <c r="C8933" s="2" t="str">
        <f ca="1">IFERROR(__xludf.DUMMYFUNCTION("""COMPUTED_VALUE"""),"Building")</f>
        <v>Building</v>
      </c>
      <c r="D8933" s="2" t="str">
        <f ca="1">IFERROR(__xludf.DUMMYFUNCTION("""COMPUTED_VALUE"""),"Ras Al Khaimah&gt;Al Marjan Island&gt;Manta Bay")</f>
        <v>Ras Al Khaimah&gt;Al Marjan Island&gt;Manta Bay</v>
      </c>
      <c r="E8933" s="2"/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  <c r="W8933" s="2"/>
      <c r="X8933" s="2"/>
      <c r="Y8933" s="2"/>
      <c r="Z8933" s="2"/>
    </row>
    <row r="8934" spans="1:26" ht="16.5" x14ac:dyDescent="0.35">
      <c r="A8934" s="2" t="str">
        <f ca="1">IFERROR(__xludf.DUMMYFUNCTION("""COMPUTED_VALUE"""),"Ras Al Khaimah")</f>
        <v>Ras Al Khaimah</v>
      </c>
      <c r="B8934" s="2" t="str">
        <f ca="1">IFERROR(__xludf.DUMMYFUNCTION("""COMPUTED_VALUE"""),"Island Heights")</f>
        <v>Island Heights</v>
      </c>
      <c r="C8934" s="2" t="str">
        <f ca="1">IFERROR(__xludf.DUMMYFUNCTION("""COMPUTED_VALUE"""),"Building")</f>
        <v>Building</v>
      </c>
      <c r="D8934" s="2" t="str">
        <f ca="1">IFERROR(__xludf.DUMMYFUNCTION("""COMPUTED_VALUE"""),"Ras Al Khaimah&gt;Al Marjan Island&gt;Island Heights")</f>
        <v>Ras Al Khaimah&gt;Al Marjan Island&gt;Island Heights</v>
      </c>
      <c r="E8934" s="2"/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  <c r="W8934" s="2"/>
      <c r="X8934" s="2"/>
      <c r="Y8934" s="2"/>
      <c r="Z8934" s="2"/>
    </row>
    <row r="8935" spans="1:26" ht="16.5" x14ac:dyDescent="0.35">
      <c r="A8935" s="2" t="str">
        <f ca="1">IFERROR(__xludf.DUMMYFUNCTION("""COMPUTED_VALUE"""),"Ras Al Khaimah")</f>
        <v>Ras Al Khaimah</v>
      </c>
      <c r="B8935" s="2" t="str">
        <f ca="1">IFERROR(__xludf.DUMMYFUNCTION("""COMPUTED_VALUE"""),"Royal Breeze 1")</f>
        <v>Royal Breeze 1</v>
      </c>
      <c r="C8935" s="2" t="str">
        <f ca="1">IFERROR(__xludf.DUMMYFUNCTION("""COMPUTED_VALUE"""),"Building")</f>
        <v>Building</v>
      </c>
      <c r="D8935" s="2" t="str">
        <f ca="1">IFERROR(__xludf.DUMMYFUNCTION("""COMPUTED_VALUE"""),"Ras Al Khaimah&gt;Al Hamra Village&gt;Royal Breeze Apartment&gt;Royal Breeze 1")</f>
        <v>Ras Al Khaimah&gt;Al Hamra Village&gt;Royal Breeze Apartment&gt;Royal Breeze 1</v>
      </c>
      <c r="E8935" s="2"/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  <c r="W8935" s="2"/>
      <c r="X8935" s="2"/>
      <c r="Y8935" s="2"/>
      <c r="Z8935" s="2"/>
    </row>
    <row r="8936" spans="1:26" ht="16.5" x14ac:dyDescent="0.35">
      <c r="A8936" s="2" t="str">
        <f ca="1">IFERROR(__xludf.DUMMYFUNCTION("""COMPUTED_VALUE"""),"Ras Al Khaimah")</f>
        <v>Ras Al Khaimah</v>
      </c>
      <c r="B8936" s="2" t="str">
        <f ca="1">IFERROR(__xludf.DUMMYFUNCTION("""COMPUTED_VALUE"""),"Yasmin Village Building 7")</f>
        <v>Yasmin Village Building 7</v>
      </c>
      <c r="C8936" s="2" t="str">
        <f ca="1">IFERROR(__xludf.DUMMYFUNCTION("""COMPUTED_VALUE"""),"Building")</f>
        <v>Building</v>
      </c>
      <c r="D8936" s="2" t="str">
        <f ca="1">IFERROR(__xludf.DUMMYFUNCTION("""COMPUTED_VALUE"""),"Ras Al Khaimah&gt;Yasmin Village&gt;Yasmin Village Building 7")</f>
        <v>Ras Al Khaimah&gt;Yasmin Village&gt;Yasmin Village Building 7</v>
      </c>
      <c r="E8936" s="2"/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</row>
    <row r="8937" spans="1:26" ht="16.5" x14ac:dyDescent="0.35">
      <c r="A8937" s="2" t="str">
        <f ca="1">IFERROR(__xludf.DUMMYFUNCTION("""COMPUTED_VALUE"""),"Ras Al Khaimah")</f>
        <v>Ras Al Khaimah</v>
      </c>
      <c r="B8937" s="2" t="str">
        <f ca="1">IFERROR(__xludf.DUMMYFUNCTION("""COMPUTED_VALUE"""),"Yasmin Tower")</f>
        <v>Yasmin Tower</v>
      </c>
      <c r="C8937" s="2"/>
      <c r="D8937" s="2" t="str">
        <f ca="1">IFERROR(__xludf.DUMMYFUNCTION("""COMPUTED_VALUE"""),"Ras Al Khaimah&gt;Ras Al Selaab&gt;Yasmin Tower")</f>
        <v>Ras Al Khaimah&gt;Ras Al Selaab&gt;Yasmin Tower</v>
      </c>
      <c r="E8937" s="2"/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  <c r="W8937" s="2"/>
      <c r="X8937" s="2"/>
      <c r="Y8937" s="2"/>
      <c r="Z8937" s="2"/>
    </row>
    <row r="8938" spans="1:26" ht="16.5" x14ac:dyDescent="0.35">
      <c r="A8938" s="2" t="str">
        <f ca="1">IFERROR(__xludf.DUMMYFUNCTION("""COMPUTED_VALUE"""),"Ras Al Khaimah")</f>
        <v>Ras Al Khaimah</v>
      </c>
      <c r="B8938" s="2" t="str">
        <f ca="1">IFERROR(__xludf.DUMMYFUNCTION("""COMPUTED_VALUE"""),"Al Mairid")</f>
        <v>Al Mairid</v>
      </c>
      <c r="C8938" s="2" t="str">
        <f ca="1">IFERROR(__xludf.DUMMYFUNCTION("""COMPUTED_VALUE"""),"Neighbourhood")</f>
        <v>Neighbourhood</v>
      </c>
      <c r="D8938" s="2" t="str">
        <f ca="1">IFERROR(__xludf.DUMMYFUNCTION("""COMPUTED_VALUE"""),"Ras Al Khaimah&gt;Al Mairid")</f>
        <v>Ras Al Khaimah&gt;Al Mairid</v>
      </c>
      <c r="E8938" s="2"/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  <c r="W8938" s="2"/>
      <c r="X8938" s="2"/>
      <c r="Y8938" s="2"/>
      <c r="Z8938" s="2"/>
    </row>
    <row r="8939" spans="1:26" ht="16.5" x14ac:dyDescent="0.35">
      <c r="A8939" s="2" t="str">
        <f ca="1">IFERROR(__xludf.DUMMYFUNCTION("""COMPUTED_VALUE"""),"Ras Al Khaimah")</f>
        <v>Ras Al Khaimah</v>
      </c>
      <c r="B8939" s="2" t="str">
        <f ca="1">IFERROR(__xludf.DUMMYFUNCTION("""COMPUTED_VALUE"""),"Seih Al Ghubb")</f>
        <v>Seih Al Ghubb</v>
      </c>
      <c r="C8939" s="2"/>
      <c r="D8939" s="2" t="str">
        <f ca="1">IFERROR(__xludf.DUMMYFUNCTION("""COMPUTED_VALUE"""),"Ras Al Khaimah&gt;Seih Al Ghubb")</f>
        <v>Ras Al Khaimah&gt;Seih Al Ghubb</v>
      </c>
      <c r="E8939" s="2"/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</row>
    <row r="8940" spans="1:26" ht="16.5" x14ac:dyDescent="0.35">
      <c r="A8940" s="2" t="str">
        <f ca="1">IFERROR(__xludf.DUMMYFUNCTION("""COMPUTED_VALUE"""),"Umm Al Quwain")</f>
        <v>Umm Al Quwain</v>
      </c>
      <c r="B8940" s="2" t="str">
        <f ca="1">IFERROR(__xludf.DUMMYFUNCTION("""COMPUTED_VALUE"""),"The International School of Choueifat - Umm Al Quwain")</f>
        <v>The International School of Choueifat - Umm Al Quwain</v>
      </c>
      <c r="C8940" s="2" t="str">
        <f ca="1">IFERROR(__xludf.DUMMYFUNCTION("""COMPUTED_VALUE"""),"School")</f>
        <v>School</v>
      </c>
      <c r="D8940" s="2" t="str">
        <f ca="1">IFERROR(__xludf.DUMMYFUNCTION("""COMPUTED_VALUE"""),"Umm Al Quwain&gt;The International School of Choueifat - Umm Al Quwain")</f>
        <v>Umm Al Quwain&gt;The International School of Choueifat - Umm Al Quwain</v>
      </c>
      <c r="E8940" s="2"/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  <c r="W8940" s="2"/>
      <c r="X8940" s="2"/>
      <c r="Y8940" s="2"/>
      <c r="Z8940" s="2"/>
    </row>
    <row r="8941" spans="1:26" ht="16.5" x14ac:dyDescent="0.35">
      <c r="A8941" s="2" t="str">
        <f ca="1">IFERROR(__xludf.DUMMYFUNCTION("""COMPUTED_VALUE"""),"Umm Al Quwain")</f>
        <v>Umm Al Quwain</v>
      </c>
      <c r="B8941" s="2" t="str">
        <f ca="1">IFERROR(__xludf.DUMMYFUNCTION("""COMPUTED_VALUE"""),"Umm Al Quwain Marina")</f>
        <v>Umm Al Quwain Marina</v>
      </c>
      <c r="C8941" s="2" t="str">
        <f ca="1">IFERROR(__xludf.DUMMYFUNCTION("""COMPUTED_VALUE"""),"Neighbourhood")</f>
        <v>Neighbourhood</v>
      </c>
      <c r="D8941" s="2" t="str">
        <f ca="1">IFERROR(__xludf.DUMMYFUNCTION("""COMPUTED_VALUE"""),"Umm Al Quwain&gt;Al Ramlah&gt;Umm Al Quwain Marina")</f>
        <v>Umm Al Quwain&gt;Al Ramlah&gt;Umm Al Quwain Marina</v>
      </c>
      <c r="E8941" s="2"/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  <c r="W8941" s="2"/>
      <c r="X8941" s="2"/>
      <c r="Y8941" s="2"/>
      <c r="Z8941" s="2"/>
    </row>
    <row r="8942" spans="1:26" ht="16.5" x14ac:dyDescent="0.35">
      <c r="A8942" s="2" t="str">
        <f ca="1">IFERROR(__xludf.DUMMYFUNCTION("""COMPUTED_VALUE"""),"Umm Al Quwain")</f>
        <v>Umm Al Quwain</v>
      </c>
      <c r="B8942" s="2" t="str">
        <f ca="1">IFERROR(__xludf.DUMMYFUNCTION("""COMPUTED_VALUE"""),"Selene Beach Residences Tower C")</f>
        <v>Selene Beach Residences Tower C</v>
      </c>
      <c r="C8942" s="2" t="str">
        <f ca="1">IFERROR(__xludf.DUMMYFUNCTION("""COMPUTED_VALUE"""),"Building")</f>
        <v>Building</v>
      </c>
      <c r="D8942" s="2" t="str">
        <f ca="1">IFERROR(__xludf.DUMMYFUNCTION("""COMPUTED_VALUE"""),"Umm Al Quwain&gt;Al Seanneeah&gt;Sobha Siniya Island&gt;Selene Beach Residences&gt;Selene Beach Residences Tower C")</f>
        <v>Umm Al Quwain&gt;Al Seanneeah&gt;Sobha Siniya Island&gt;Selene Beach Residences&gt;Selene Beach Residences Tower C</v>
      </c>
      <c r="E8942" s="2"/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  <c r="W8942" s="2"/>
      <c r="X8942" s="2"/>
      <c r="Y8942" s="2"/>
      <c r="Z8942" s="2"/>
    </row>
    <row r="8943" spans="1:26" ht="16.5" x14ac:dyDescent="0.35">
      <c r="A8943" s="2" t="str">
        <f ca="1">IFERROR(__xludf.DUMMYFUNCTION("""COMPUTED_VALUE"""),"Umm Al Quwain")</f>
        <v>Umm Al Quwain</v>
      </c>
      <c r="B8943" s="2" t="str">
        <f ca="1">IFERROR(__xludf.DUMMYFUNCTION("""COMPUTED_VALUE"""),"Starline Beach Residences Building 2")</f>
        <v>Starline Beach Residences Building 2</v>
      </c>
      <c r="C8943" s="2" t="str">
        <f ca="1">IFERROR(__xludf.DUMMYFUNCTION("""COMPUTED_VALUE"""),"Building")</f>
        <v>Building</v>
      </c>
      <c r="D8943" s="2" t="str">
        <f ca="1">IFERROR(__xludf.DUMMYFUNCTION("""COMPUTED_VALUE"""),"Umm Al Quwain&gt;Al Seanneeah&gt;Sobha Siniya Island&gt;Starline Beach Residences&gt;Starline Beach Residences Building 2")</f>
        <v>Umm Al Quwain&gt;Al Seanneeah&gt;Sobha Siniya Island&gt;Starline Beach Residences&gt;Starline Beach Residences Building 2</v>
      </c>
      <c r="E8943" s="2"/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  <c r="W8943" s="2"/>
      <c r="X8943" s="2"/>
      <c r="Y8943" s="2"/>
      <c r="Z8943" s="2"/>
    </row>
    <row r="8944" spans="1:26" ht="16.5" x14ac:dyDescent="0.35">
      <c r="A8944" s="2" t="str">
        <f ca="1">IFERROR(__xludf.DUMMYFUNCTION("""COMPUTED_VALUE"""),"Fujairah")</f>
        <v>Fujairah</v>
      </c>
      <c r="B8944" s="2" t="str">
        <f ca="1">IFERROR(__xludf.DUMMYFUNCTION("""COMPUTED_VALUE"""),"Mina Al Fajer (Mountain Villas)")</f>
        <v>Mina Al Fajer (Mountain Villas)</v>
      </c>
      <c r="C8944" s="2"/>
      <c r="D8944" s="2" t="str">
        <f ca="1">IFERROR(__xludf.DUMMYFUNCTION("""COMPUTED_VALUE"""),"Fujairah&gt;Mina Al Fajer&gt;Mina Al Fajer (Mountain Villas)")</f>
        <v>Fujairah&gt;Mina Al Fajer&gt;Mina Al Fajer (Mountain Villas)</v>
      </c>
      <c r="E8944" s="2"/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  <c r="W8944" s="2"/>
      <c r="X8944" s="2"/>
      <c r="Y8944" s="2"/>
      <c r="Z8944" s="2"/>
    </row>
    <row r="8945" spans="1:26" ht="16.5" x14ac:dyDescent="0.35">
      <c r="A8945" s="2" t="str">
        <f ca="1">IFERROR(__xludf.DUMMYFUNCTION("""COMPUTED_VALUE"""),"Fujairah")</f>
        <v>Fujairah</v>
      </c>
      <c r="B8945" s="2" t="str">
        <f ca="1">IFERROR(__xludf.DUMMYFUNCTION("""COMPUTED_VALUE"""),"Mattar Residence 2")</f>
        <v>Mattar Residence 2</v>
      </c>
      <c r="C8945" s="2" t="str">
        <f ca="1">IFERROR(__xludf.DUMMYFUNCTION("""COMPUTED_VALUE"""),"Building")</f>
        <v>Building</v>
      </c>
      <c r="D8945" s="2" t="str">
        <f ca="1">IFERROR(__xludf.DUMMYFUNCTION("""COMPUTED_VALUE"""),"Fujairah&gt;Al Faseel Area&gt;Mattar Residence 2")</f>
        <v>Fujairah&gt;Al Faseel Area&gt;Mattar Residence 2</v>
      </c>
      <c r="E8945" s="2"/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  <c r="W8945" s="2"/>
      <c r="X8945" s="2"/>
      <c r="Y8945" s="2"/>
      <c r="Z8945" s="2"/>
    </row>
    <row r="8946" spans="1:26" ht="16.5" x14ac:dyDescent="0.35">
      <c r="A8946" s="2" t="str">
        <f ca="1">IFERROR(__xludf.DUMMYFUNCTION("""COMPUTED_VALUE"""),"Fujairah")</f>
        <v>Fujairah</v>
      </c>
      <c r="B8946" s="2" t="str">
        <f ca="1">IFERROR(__xludf.DUMMYFUNCTION("""COMPUTED_VALUE"""),"The Uptown")</f>
        <v>The Uptown</v>
      </c>
      <c r="C8946" s="2" t="str">
        <f ca="1">IFERROR(__xludf.DUMMYFUNCTION("""COMPUTED_VALUE"""),"Building")</f>
        <v>Building</v>
      </c>
      <c r="D8946" s="2" t="str">
        <f ca="1">IFERROR(__xludf.DUMMYFUNCTION("""COMPUTED_VALUE"""),"Fujairah&gt;Al Hilal City&gt;The Uptown")</f>
        <v>Fujairah&gt;Al Hilal City&gt;The Uptown</v>
      </c>
      <c r="E8946" s="2"/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  <c r="W8946" s="2"/>
      <c r="X8946" s="2"/>
      <c r="Y8946" s="2"/>
      <c r="Z8946" s="2"/>
    </row>
    <row r="8947" spans="1:26" ht="16.5" x14ac:dyDescent="0.35">
      <c r="A8947" s="2" t="str">
        <f ca="1">IFERROR(__xludf.DUMMYFUNCTION("""COMPUTED_VALUE"""),"Dubai")</f>
        <v>Dubai</v>
      </c>
      <c r="B8947" s="2" t="str">
        <f ca="1">IFERROR(__xludf.DUMMYFUNCTION("""COMPUTED_VALUE"""),"The Apartments Dubai World Trade Centre C")</f>
        <v>The Apartments Dubai World Trade Centre C</v>
      </c>
      <c r="C8947" s="2" t="str">
        <f ca="1">IFERROR(__xludf.DUMMYFUNCTION("""COMPUTED_VALUE"""),"Building")</f>
        <v>Building</v>
      </c>
      <c r="D8947" s="2" t="str">
        <f ca="1">IFERROR(__xludf.DUMMYFUNCTION("""COMPUTED_VALUE"""),"Dubai&gt;World Trade Centre&gt;The Apartments Dubai World Trade Centre&gt;The Apartments Dubai World Trade Centre C")</f>
        <v>Dubai&gt;World Trade Centre&gt;The Apartments Dubai World Trade Centre&gt;The Apartments Dubai World Trade Centre C</v>
      </c>
      <c r="E8947" s="2"/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  <c r="W8947" s="2"/>
      <c r="X8947" s="2"/>
      <c r="Y8947" s="2"/>
      <c r="Z8947" s="2"/>
    </row>
    <row r="8948" spans="1:26" ht="16.5" x14ac:dyDescent="0.35">
      <c r="A8948" s="2" t="str">
        <f ca="1">IFERROR(__xludf.DUMMYFUNCTION("""COMPUTED_VALUE"""),"Dubai")</f>
        <v>Dubai</v>
      </c>
      <c r="B8948" s="2" t="str">
        <f ca="1">IFERROR(__xludf.DUMMYFUNCTION("""COMPUTED_VALUE"""),"Al Madan Building 2")</f>
        <v>Al Madan Building 2</v>
      </c>
      <c r="C8948" s="2" t="str">
        <f ca="1">IFERROR(__xludf.DUMMYFUNCTION("""COMPUTED_VALUE"""),"Building")</f>
        <v>Building</v>
      </c>
      <c r="D8948" s="2" t="str">
        <f ca="1">IFERROR(__xludf.DUMMYFUNCTION("""COMPUTED_VALUE"""),"Dubai&gt;Al Qusais&gt;Al Qusais Residential Area&gt;Al Qusais 2&gt;Al Madan Building 2")</f>
        <v>Dubai&gt;Al Qusais&gt;Al Qusais Residential Area&gt;Al Qusais 2&gt;Al Madan Building 2</v>
      </c>
      <c r="E8948" s="2"/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  <c r="W8948" s="2"/>
      <c r="X8948" s="2"/>
      <c r="Y8948" s="2"/>
      <c r="Z8948" s="2"/>
    </row>
    <row r="8949" spans="1:26" ht="16.5" x14ac:dyDescent="0.35">
      <c r="A8949" s="2" t="str">
        <f ca="1">IFERROR(__xludf.DUMMYFUNCTION("""COMPUTED_VALUE"""),"Dubai")</f>
        <v>Dubai</v>
      </c>
      <c r="B8949" s="2" t="str">
        <f ca="1">IFERROR(__xludf.DUMMYFUNCTION("""COMPUTED_VALUE"""),"Qusais Tower 1")</f>
        <v>Qusais Tower 1</v>
      </c>
      <c r="C8949" s="2" t="str">
        <f ca="1">IFERROR(__xludf.DUMMYFUNCTION("""COMPUTED_VALUE"""),"Building")</f>
        <v>Building</v>
      </c>
      <c r="D8949" s="2" t="str">
        <f ca="1">IFERROR(__xludf.DUMMYFUNCTION("""COMPUTED_VALUE"""),"Dubai&gt;Al Qusais&gt;Al Qusais Residential Area&gt;Al Qusais 1&gt;Qusais Tower 1")</f>
        <v>Dubai&gt;Al Qusais&gt;Al Qusais Residential Area&gt;Al Qusais 1&gt;Qusais Tower 1</v>
      </c>
      <c r="E8949" s="2"/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  <c r="W8949" s="2"/>
      <c r="X8949" s="2"/>
      <c r="Y8949" s="2"/>
      <c r="Z8949" s="2"/>
    </row>
    <row r="8950" spans="1:26" ht="16.5" x14ac:dyDescent="0.35">
      <c r="A8950" s="2" t="str">
        <f ca="1">IFERROR(__xludf.DUMMYFUNCTION("""COMPUTED_VALUE"""),"Dubai")</f>
        <v>Dubai</v>
      </c>
      <c r="B8950" s="2" t="str">
        <f ca="1">IFERROR(__xludf.DUMMYFUNCTION("""COMPUTED_VALUE"""),"Sama House")</f>
        <v>Sama House</v>
      </c>
      <c r="C8950" s="2" t="str">
        <f ca="1">IFERROR(__xludf.DUMMYFUNCTION("""COMPUTED_VALUE"""),"Building")</f>
        <v>Building</v>
      </c>
      <c r="D8950" s="2" t="str">
        <f ca="1">IFERROR(__xludf.DUMMYFUNCTION("""COMPUTED_VALUE"""),"Dubai&gt;Al Qusais&gt;Al Qusais Residential Area&gt;Al Qusais 1&gt;Sama House")</f>
        <v>Dubai&gt;Al Qusais&gt;Al Qusais Residential Area&gt;Al Qusais 1&gt;Sama House</v>
      </c>
      <c r="E8950" s="2"/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  <c r="W8950" s="2"/>
      <c r="X8950" s="2"/>
      <c r="Y8950" s="2"/>
      <c r="Z8950" s="2"/>
    </row>
    <row r="8951" spans="1:26" ht="16.5" x14ac:dyDescent="0.35">
      <c r="A8951" s="2" t="str">
        <f ca="1">IFERROR(__xludf.DUMMYFUNCTION("""COMPUTED_VALUE"""),"Dubai")</f>
        <v>Dubai</v>
      </c>
      <c r="B8951" s="2" t="str">
        <f ca="1">IFERROR(__xludf.DUMMYFUNCTION("""COMPUTED_VALUE"""),"Zulekha Colonnade")</f>
        <v>Zulekha Colonnade</v>
      </c>
      <c r="C8951" s="2" t="str">
        <f ca="1">IFERROR(__xludf.DUMMYFUNCTION("""COMPUTED_VALUE"""),"Building")</f>
        <v>Building</v>
      </c>
      <c r="D8951" s="2" t="str">
        <f ca="1">IFERROR(__xludf.DUMMYFUNCTION("""COMPUTED_VALUE"""),"Dubai&gt;Al Qusais&gt;Al Qusais Industrial Area&gt;Al Qusais Industrial 4&gt;Zulekha Colonnade")</f>
        <v>Dubai&gt;Al Qusais&gt;Al Qusais Industrial Area&gt;Al Qusais Industrial 4&gt;Zulekha Colonnade</v>
      </c>
      <c r="E8951" s="2"/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  <c r="W8951" s="2"/>
      <c r="X8951" s="2"/>
      <c r="Y8951" s="2"/>
      <c r="Z8951" s="2"/>
    </row>
    <row r="8952" spans="1:26" ht="16.5" x14ac:dyDescent="0.35">
      <c r="A8952" s="2" t="str">
        <f ca="1">IFERROR(__xludf.DUMMYFUNCTION("""COMPUTED_VALUE"""),"Dubai")</f>
        <v>Dubai</v>
      </c>
      <c r="B8952" s="2" t="str">
        <f ca="1">IFERROR(__xludf.DUMMYFUNCTION("""COMPUTED_VALUE"""),"Acacia A")</f>
        <v>Acacia A</v>
      </c>
      <c r="C8952" s="2" t="str">
        <f ca="1">IFERROR(__xludf.DUMMYFUNCTION("""COMPUTED_VALUE"""),"Building")</f>
        <v>Building</v>
      </c>
      <c r="D8952" s="2" t="str">
        <f ca="1">IFERROR(__xludf.DUMMYFUNCTION("""COMPUTED_VALUE"""),"Dubai&gt;Dubai Hills Estate&gt;Park Heights&gt;Acacia&gt;Acacia A")</f>
        <v>Dubai&gt;Dubai Hills Estate&gt;Park Heights&gt;Acacia&gt;Acacia A</v>
      </c>
      <c r="E8952" s="2"/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  <c r="W8952" s="2"/>
      <c r="X8952" s="2"/>
      <c r="Y8952" s="2"/>
      <c r="Z8952" s="2"/>
    </row>
    <row r="8953" spans="1:26" ht="16.5" x14ac:dyDescent="0.35">
      <c r="A8953" s="2" t="str">
        <f ca="1">IFERROR(__xludf.DUMMYFUNCTION("""COMPUTED_VALUE"""),"Dubai")</f>
        <v>Dubai</v>
      </c>
      <c r="B8953" s="2" t="str">
        <f ca="1">IFERROR(__xludf.DUMMYFUNCTION("""COMPUTED_VALUE"""),"Collective 2.0 Tower A")</f>
        <v>Collective 2.0 Tower A</v>
      </c>
      <c r="C8953" s="2" t="str">
        <f ca="1">IFERROR(__xludf.DUMMYFUNCTION("""COMPUTED_VALUE"""),"Building")</f>
        <v>Building</v>
      </c>
      <c r="D8953" s="2" t="str">
        <f ca="1">IFERROR(__xludf.DUMMYFUNCTION("""COMPUTED_VALUE"""),"Dubai&gt;Dubai Hills Estate&gt;Collective 2.0&gt;Collective 2.0 Tower A")</f>
        <v>Dubai&gt;Dubai Hills Estate&gt;Collective 2.0&gt;Collective 2.0 Tower A</v>
      </c>
      <c r="E8953" s="2"/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  <c r="W8953" s="2"/>
      <c r="X8953" s="2"/>
      <c r="Y8953" s="2"/>
      <c r="Z8953" s="2"/>
    </row>
    <row r="8954" spans="1:26" ht="16.5" x14ac:dyDescent="0.35">
      <c r="A8954" s="2" t="str">
        <f ca="1">IFERROR(__xludf.DUMMYFUNCTION("""COMPUTED_VALUE"""),"Dubai")</f>
        <v>Dubai</v>
      </c>
      <c r="B8954" s="2" t="str">
        <f ca="1">IFERROR(__xludf.DUMMYFUNCTION("""COMPUTED_VALUE"""),"Golf Place II")</f>
        <v>Golf Place II</v>
      </c>
      <c r="C8954" s="2" t="str">
        <f ca="1">IFERROR(__xludf.DUMMYFUNCTION("""COMPUTED_VALUE"""),"Neighbourhood")</f>
        <v>Neighbourhood</v>
      </c>
      <c r="D8954" s="2" t="str">
        <f ca="1">IFERROR(__xludf.DUMMYFUNCTION("""COMPUTED_VALUE"""),"Dubai&gt;Dubai Hills Estate&gt;Golf Place II")</f>
        <v>Dubai&gt;Dubai Hills Estate&gt;Golf Place II</v>
      </c>
      <c r="E8954" s="2"/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  <c r="W8954" s="2"/>
      <c r="X8954" s="2"/>
      <c r="Y8954" s="2"/>
      <c r="Z8954" s="2"/>
    </row>
    <row r="8955" spans="1:26" ht="16.5" x14ac:dyDescent="0.35">
      <c r="A8955" s="2" t="str">
        <f ca="1">IFERROR(__xludf.DUMMYFUNCTION("""COMPUTED_VALUE"""),"Dubai")</f>
        <v>Dubai</v>
      </c>
      <c r="B8955" s="2" t="str">
        <f ca="1">IFERROR(__xludf.DUMMYFUNCTION("""COMPUTED_VALUE"""),"Socio Tower A")</f>
        <v>Socio Tower A</v>
      </c>
      <c r="C8955" s="2" t="str">
        <f ca="1">IFERROR(__xludf.DUMMYFUNCTION("""COMPUTED_VALUE"""),"Building")</f>
        <v>Building</v>
      </c>
      <c r="D8955" s="2" t="str">
        <f ca="1">IFERROR(__xludf.DUMMYFUNCTION("""COMPUTED_VALUE"""),"Dubai&gt;Dubai Hills Estate&gt;Socio&gt;Socio Tower A")</f>
        <v>Dubai&gt;Dubai Hills Estate&gt;Socio&gt;Socio Tower A</v>
      </c>
      <c r="E8955" s="2"/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  <c r="W8955" s="2"/>
      <c r="X8955" s="2"/>
      <c r="Y8955" s="2"/>
      <c r="Z8955" s="2"/>
    </row>
    <row r="8956" spans="1:26" ht="16.5" x14ac:dyDescent="0.35">
      <c r="A8956" s="2" t="str">
        <f ca="1">IFERROR(__xludf.DUMMYFUNCTION("""COMPUTED_VALUE"""),"Dubai")</f>
        <v>Dubai</v>
      </c>
      <c r="B8956" s="2" t="str">
        <f ca="1">IFERROR(__xludf.DUMMYFUNCTION("""COMPUTED_VALUE"""),"Parkwood")</f>
        <v>Parkwood</v>
      </c>
      <c r="C8956" s="2" t="str">
        <f ca="1">IFERROR(__xludf.DUMMYFUNCTION("""COMPUTED_VALUE"""),"Cluster")</f>
        <v>Cluster</v>
      </c>
      <c r="D8956" s="2" t="str">
        <f ca="1">IFERROR(__xludf.DUMMYFUNCTION("""COMPUTED_VALUE"""),"Dubai&gt;Dubai Hills Estate&gt;Parkwood")</f>
        <v>Dubai&gt;Dubai Hills Estate&gt;Parkwood</v>
      </c>
      <c r="E8956" s="2"/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  <c r="W8956" s="2"/>
      <c r="X8956" s="2"/>
      <c r="Y8956" s="2"/>
      <c r="Z8956" s="2"/>
    </row>
    <row r="8957" spans="1:26" ht="16.5" x14ac:dyDescent="0.35">
      <c r="A8957" s="2" t="str">
        <f ca="1">IFERROR(__xludf.DUMMYFUNCTION("""COMPUTED_VALUE"""),"Dubai")</f>
        <v>Dubai</v>
      </c>
      <c r="B8957" s="2" t="str">
        <f ca="1">IFERROR(__xludf.DUMMYFUNCTION("""COMPUTED_VALUE"""),"Masaken Al Muraqqabat 02")</f>
        <v>Masaken Al Muraqqabat 02</v>
      </c>
      <c r="C8957" s="2" t="str">
        <f ca="1">IFERROR(__xludf.DUMMYFUNCTION("""COMPUTED_VALUE"""),"Building")</f>
        <v>Building</v>
      </c>
      <c r="D8957" s="2" t="str">
        <f ca="1">IFERROR(__xludf.DUMMYFUNCTION("""COMPUTED_VALUE"""),"Dubai&gt;Deira&gt;Al Muraqqabat&gt;Masaken Al Muraqqabat 02")</f>
        <v>Dubai&gt;Deira&gt;Al Muraqqabat&gt;Masaken Al Muraqqabat 02</v>
      </c>
      <c r="E8957" s="2"/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  <c r="W8957" s="2"/>
      <c r="X8957" s="2"/>
      <c r="Y8957" s="2"/>
      <c r="Z8957" s="2"/>
    </row>
    <row r="8958" spans="1:26" ht="16.5" x14ac:dyDescent="0.35">
      <c r="A8958" s="2" t="str">
        <f ca="1">IFERROR(__xludf.DUMMYFUNCTION("""COMPUTED_VALUE"""),"Dubai")</f>
        <v>Dubai</v>
      </c>
      <c r="B8958" s="2" t="str">
        <f ca="1">IFERROR(__xludf.DUMMYFUNCTION("""COMPUTED_VALUE"""),"Al Jazeera House")</f>
        <v>Al Jazeera House</v>
      </c>
      <c r="C8958" s="2" t="str">
        <f ca="1">IFERROR(__xludf.DUMMYFUNCTION("""COMPUTED_VALUE"""),"Building")</f>
        <v>Building</v>
      </c>
      <c r="D8958" s="2" t="str">
        <f ca="1">IFERROR(__xludf.DUMMYFUNCTION("""COMPUTED_VALUE"""),"Dubai&gt;Deira&gt;Al Muraqqabat&gt;Al Jazeera House")</f>
        <v>Dubai&gt;Deira&gt;Al Muraqqabat&gt;Al Jazeera House</v>
      </c>
      <c r="E8958" s="2"/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  <c r="W8958" s="2"/>
      <c r="X8958" s="2"/>
      <c r="Y8958" s="2"/>
      <c r="Z8958" s="2"/>
    </row>
    <row r="8959" spans="1:26" ht="16.5" x14ac:dyDescent="0.35">
      <c r="A8959" s="2" t="str">
        <f ca="1">IFERROR(__xludf.DUMMYFUNCTION("""COMPUTED_VALUE"""),"Dubai")</f>
        <v>Dubai</v>
      </c>
      <c r="B8959" s="2" t="str">
        <f ca="1">IFERROR(__xludf.DUMMYFUNCTION("""COMPUTED_VALUE"""),"Ghuloom Badri Building")</f>
        <v>Ghuloom Badri Building</v>
      </c>
      <c r="C8959" s="2" t="str">
        <f ca="1">IFERROR(__xludf.DUMMYFUNCTION("""COMPUTED_VALUE"""),"Building")</f>
        <v>Building</v>
      </c>
      <c r="D8959" s="2" t="str">
        <f ca="1">IFERROR(__xludf.DUMMYFUNCTION("""COMPUTED_VALUE"""),"Dubai&gt;Deira&gt;Riggat Al Buteen&gt;Ghuloom Badri Building")</f>
        <v>Dubai&gt;Deira&gt;Riggat Al Buteen&gt;Ghuloom Badri Building</v>
      </c>
      <c r="E8959" s="2"/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  <c r="W8959" s="2"/>
      <c r="X8959" s="2"/>
      <c r="Y8959" s="2"/>
      <c r="Z8959" s="2"/>
    </row>
    <row r="8960" spans="1:26" ht="16.5" x14ac:dyDescent="0.35">
      <c r="A8960" s="2" t="str">
        <f ca="1">IFERROR(__xludf.DUMMYFUNCTION("""COMPUTED_VALUE"""),"Dubai")</f>
        <v>Dubai</v>
      </c>
      <c r="B8960" s="2" t="str">
        <f ca="1">IFERROR(__xludf.DUMMYFUNCTION("""COMPUTED_VALUE"""),"Atrium Building")</f>
        <v>Atrium Building</v>
      </c>
      <c r="C8960" s="2" t="str">
        <f ca="1">IFERROR(__xludf.DUMMYFUNCTION("""COMPUTED_VALUE"""),"Building")</f>
        <v>Building</v>
      </c>
      <c r="D8960" s="2" t="str">
        <f ca="1">IFERROR(__xludf.DUMMYFUNCTION("""COMPUTED_VALUE"""),"Dubai&gt;Deira&gt;Hor Al Anz&gt;Atrium Building")</f>
        <v>Dubai&gt;Deira&gt;Hor Al Anz&gt;Atrium Building</v>
      </c>
      <c r="E8960" s="2"/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  <c r="W8960" s="2"/>
      <c r="X8960" s="2"/>
      <c r="Y8960" s="2"/>
      <c r="Z8960" s="2"/>
    </row>
    <row r="8961" spans="1:26" ht="16.5" x14ac:dyDescent="0.35">
      <c r="A8961" s="2" t="str">
        <f ca="1">IFERROR(__xludf.DUMMYFUNCTION("""COMPUTED_VALUE"""),"Dubai")</f>
        <v>Dubai</v>
      </c>
      <c r="B8961" s="2" t="str">
        <f ca="1">IFERROR(__xludf.DUMMYFUNCTION("""COMPUTED_VALUE"""),"Al Zarooni Building")</f>
        <v>Al Zarooni Building</v>
      </c>
      <c r="C8961" s="2" t="str">
        <f ca="1">IFERROR(__xludf.DUMMYFUNCTION("""COMPUTED_VALUE"""),"Building")</f>
        <v>Building</v>
      </c>
      <c r="D8961" s="2" t="str">
        <f ca="1">IFERROR(__xludf.DUMMYFUNCTION("""COMPUTED_VALUE"""),"Dubai&gt;Deira&gt;Hor Al Anz&gt;Al Zarooni Building")</f>
        <v>Dubai&gt;Deira&gt;Hor Al Anz&gt;Al Zarooni Building</v>
      </c>
      <c r="E8961" s="2"/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  <c r="W8961" s="2"/>
      <c r="X8961" s="2"/>
      <c r="Y8961" s="2"/>
      <c r="Z8961" s="2"/>
    </row>
    <row r="8962" spans="1:26" ht="16.5" x14ac:dyDescent="0.35">
      <c r="A8962" s="2" t="str">
        <f ca="1">IFERROR(__xludf.DUMMYFUNCTION("""COMPUTED_VALUE"""),"Dubai")</f>
        <v>Dubai</v>
      </c>
      <c r="B8962" s="2" t="str">
        <f ca="1">IFERROR(__xludf.DUMMYFUNCTION("""COMPUTED_VALUE"""),"Block A Building")</f>
        <v>Block A Building</v>
      </c>
      <c r="C8962" s="2" t="str">
        <f ca="1">IFERROR(__xludf.DUMMYFUNCTION("""COMPUTED_VALUE"""),"Building")</f>
        <v>Building</v>
      </c>
      <c r="D8962" s="2" t="str">
        <f ca="1">IFERROR(__xludf.DUMMYFUNCTION("""COMPUTED_VALUE"""),"Dubai&gt;Deira&gt;Al Muteena&gt;Block A Building")</f>
        <v>Dubai&gt;Deira&gt;Al Muteena&gt;Block A Building</v>
      </c>
      <c r="E8962" s="2"/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  <c r="W8962" s="2"/>
      <c r="X8962" s="2"/>
      <c r="Y8962" s="2"/>
      <c r="Z8962" s="2"/>
    </row>
    <row r="8963" spans="1:26" ht="16.5" x14ac:dyDescent="0.35">
      <c r="A8963" s="2" t="str">
        <f ca="1">IFERROR(__xludf.DUMMYFUNCTION("""COMPUTED_VALUE"""),"Dubai")</f>
        <v>Dubai</v>
      </c>
      <c r="B8963" s="2" t="str">
        <f ca="1">IFERROR(__xludf.DUMMYFUNCTION("""COMPUTED_VALUE"""),"Al Rega 17")</f>
        <v>Al Rega 17</v>
      </c>
      <c r="C8963" s="2" t="str">
        <f ca="1">IFERROR(__xludf.DUMMYFUNCTION("""COMPUTED_VALUE"""),"Building")</f>
        <v>Building</v>
      </c>
      <c r="D8963" s="2" t="str">
        <f ca="1">IFERROR(__xludf.DUMMYFUNCTION("""COMPUTED_VALUE"""),"Dubai&gt;Deira&gt;Al Rigga&gt;Al Rega 17")</f>
        <v>Dubai&gt;Deira&gt;Al Rigga&gt;Al Rega 17</v>
      </c>
      <c r="E8963" s="2"/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  <c r="W8963" s="2"/>
      <c r="X8963" s="2"/>
      <c r="Y8963" s="2"/>
      <c r="Z8963" s="2"/>
    </row>
    <row r="8964" spans="1:26" ht="16.5" x14ac:dyDescent="0.35">
      <c r="A8964" s="2" t="str">
        <f ca="1">IFERROR(__xludf.DUMMYFUNCTION("""COMPUTED_VALUE"""),"Dubai")</f>
        <v>Dubai</v>
      </c>
      <c r="B8964" s="2" t="str">
        <f ca="1">IFERROR(__xludf.DUMMYFUNCTION("""COMPUTED_VALUE"""),"Hind Plaza 1")</f>
        <v>Hind Plaza 1</v>
      </c>
      <c r="C8964" s="2" t="str">
        <f ca="1">IFERROR(__xludf.DUMMYFUNCTION("""COMPUTED_VALUE"""),"Building")</f>
        <v>Building</v>
      </c>
      <c r="D8964" s="2" t="str">
        <f ca="1">IFERROR(__xludf.DUMMYFUNCTION("""COMPUTED_VALUE"""),"Dubai&gt;Deira&gt;Deira Enrichment Project&gt;Hind Plaza&gt;Hind Plaza 1")</f>
        <v>Dubai&gt;Deira&gt;Deira Enrichment Project&gt;Hind Plaza&gt;Hind Plaza 1</v>
      </c>
      <c r="E8964" s="2"/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  <c r="W8964" s="2"/>
      <c r="X8964" s="2"/>
      <c r="Y8964" s="2"/>
      <c r="Z8964" s="2"/>
    </row>
    <row r="8965" spans="1:26" ht="16.5" x14ac:dyDescent="0.35">
      <c r="A8965" s="2" t="str">
        <f ca="1">IFERROR(__xludf.DUMMYFUNCTION("""COMPUTED_VALUE"""),"Dubai")</f>
        <v>Dubai</v>
      </c>
      <c r="B8965" s="2" t="str">
        <f ca="1">IFERROR(__xludf.DUMMYFUNCTION("""COMPUTED_VALUE"""),"Hyatt Place Dubai Wasl District")</f>
        <v>Hyatt Place Dubai Wasl District</v>
      </c>
      <c r="C8965" s="2" t="str">
        <f ca="1">IFERROR(__xludf.DUMMYFUNCTION("""COMPUTED_VALUE"""),"Building")</f>
        <v>Building</v>
      </c>
      <c r="D8965" s="2" t="str">
        <f ca="1">IFERROR(__xludf.DUMMYFUNCTION("""COMPUTED_VALUE"""),"Dubai&gt;Deira&gt;Naif&gt;Hyatt Place Dubai Wasl District")</f>
        <v>Dubai&gt;Deira&gt;Naif&gt;Hyatt Place Dubai Wasl District</v>
      </c>
      <c r="E8965" s="2"/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  <c r="W8965" s="2"/>
      <c r="X8965" s="2"/>
      <c r="Y8965" s="2"/>
      <c r="Z8965" s="2"/>
    </row>
    <row r="8966" spans="1:26" ht="16.5" x14ac:dyDescent="0.35">
      <c r="A8966" s="2" t="str">
        <f ca="1">IFERROR(__xludf.DUMMYFUNCTION("""COMPUTED_VALUE"""),"Dubai")</f>
        <v>Dubai</v>
      </c>
      <c r="B8966" s="2" t="str">
        <f ca="1">IFERROR(__xludf.DUMMYFUNCTION("""COMPUTED_VALUE"""),"Al Jabri Building")</f>
        <v>Al Jabri Building</v>
      </c>
      <c r="C8966" s="2" t="str">
        <f ca="1">IFERROR(__xludf.DUMMYFUNCTION("""COMPUTED_VALUE"""),"Building")</f>
        <v>Building</v>
      </c>
      <c r="D8966" s="2" t="str">
        <f ca="1">IFERROR(__xludf.DUMMYFUNCTION("""COMPUTED_VALUE"""),"Dubai&gt;Deira&gt;Naif&gt;Al Jabri Building")</f>
        <v>Dubai&gt;Deira&gt;Naif&gt;Al Jabri Building</v>
      </c>
      <c r="E8966" s="2"/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  <c r="W8966" s="2"/>
      <c r="X8966" s="2"/>
      <c r="Y8966" s="2"/>
      <c r="Z8966" s="2"/>
    </row>
    <row r="8967" spans="1:26" ht="16.5" x14ac:dyDescent="0.35">
      <c r="A8967" s="2" t="str">
        <f ca="1">IFERROR(__xludf.DUMMYFUNCTION("""COMPUTED_VALUE"""),"Dubai")</f>
        <v>Dubai</v>
      </c>
      <c r="B8967" s="2" t="str">
        <f ca="1">IFERROR(__xludf.DUMMYFUNCTION("""COMPUTED_VALUE"""),"Abdulwahed Bin Shabib Proptery 151 Building")</f>
        <v>Abdulwahed Bin Shabib Proptery 151 Building</v>
      </c>
      <c r="C8967" s="2" t="str">
        <f ca="1">IFERROR(__xludf.DUMMYFUNCTION("""COMPUTED_VALUE"""),"Building")</f>
        <v>Building</v>
      </c>
      <c r="D8967" s="2" t="str">
        <f ca="1">IFERROR(__xludf.DUMMYFUNCTION("""COMPUTED_VALUE"""),"Dubai&gt;Deira&gt;Al Murar&gt;Abdulwahed Bin Shabib Proptery 151 Building")</f>
        <v>Dubai&gt;Deira&gt;Al Murar&gt;Abdulwahed Bin Shabib Proptery 151 Building</v>
      </c>
      <c r="E8967" s="2"/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  <c r="W8967" s="2"/>
      <c r="X8967" s="2"/>
      <c r="Y8967" s="2"/>
      <c r="Z8967" s="2"/>
    </row>
    <row r="8968" spans="1:26" ht="16.5" x14ac:dyDescent="0.35">
      <c r="A8968" s="2" t="str">
        <f ca="1">IFERROR(__xludf.DUMMYFUNCTION("""COMPUTED_VALUE"""),"Dubai")</f>
        <v>Dubai</v>
      </c>
      <c r="B8968" s="2" t="str">
        <f ca="1">IFERROR(__xludf.DUMMYFUNCTION("""COMPUTED_VALUE"""),"Golden Building")</f>
        <v>Golden Building</v>
      </c>
      <c r="C8968" s="2" t="str">
        <f ca="1">IFERROR(__xludf.DUMMYFUNCTION("""COMPUTED_VALUE"""),"Building")</f>
        <v>Building</v>
      </c>
      <c r="D8968" s="2" t="str">
        <f ca="1">IFERROR(__xludf.DUMMYFUNCTION("""COMPUTED_VALUE"""),"Dubai&gt;Deira&gt;Al Daghaya&gt;Golden Building")</f>
        <v>Dubai&gt;Deira&gt;Al Daghaya&gt;Golden Building</v>
      </c>
      <c r="E8968" s="2"/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  <c r="W8968" s="2"/>
      <c r="X8968" s="2"/>
      <c r="Y8968" s="2"/>
      <c r="Z8968" s="2"/>
    </row>
    <row r="8969" spans="1:26" ht="16.5" x14ac:dyDescent="0.35">
      <c r="A8969" s="2" t="str">
        <f ca="1">IFERROR(__xludf.DUMMYFUNCTION("""COMPUTED_VALUE"""),"Dubai")</f>
        <v>Dubai</v>
      </c>
      <c r="B8969" s="2" t="str">
        <f ca="1">IFERROR(__xludf.DUMMYFUNCTION("""COMPUTED_VALUE"""),"Al Masaood Tower 2")</f>
        <v>Al Masaood Tower 2</v>
      </c>
      <c r="C8969" s="2" t="str">
        <f ca="1">IFERROR(__xludf.DUMMYFUNCTION("""COMPUTED_VALUE"""),"Building")</f>
        <v>Building</v>
      </c>
      <c r="D8969" s="2" t="str">
        <f ca="1">IFERROR(__xludf.DUMMYFUNCTION("""COMPUTED_VALUE"""),"Dubai&gt;Deira&gt;Port Saeed&gt;Al Masaood Tower 2")</f>
        <v>Dubai&gt;Deira&gt;Port Saeed&gt;Al Masaood Tower 2</v>
      </c>
      <c r="E8969" s="2"/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  <c r="W8969" s="2"/>
      <c r="X8969" s="2"/>
      <c r="Y8969" s="2"/>
      <c r="Z8969" s="2"/>
    </row>
    <row r="8970" spans="1:26" ht="16.5" x14ac:dyDescent="0.35">
      <c r="A8970" s="2" t="str">
        <f ca="1">IFERROR(__xludf.DUMMYFUNCTION("""COMPUTED_VALUE"""),"Dubai")</f>
        <v>Dubai</v>
      </c>
      <c r="B8970" s="2" t="str">
        <f ca="1">IFERROR(__xludf.DUMMYFUNCTION("""COMPUTED_VALUE"""),"Majed Ahmad Mohd Al Ghurair Building")</f>
        <v>Majed Ahmad Mohd Al Ghurair Building</v>
      </c>
      <c r="C8970" s="2" t="str">
        <f ca="1">IFERROR(__xludf.DUMMYFUNCTION("""COMPUTED_VALUE"""),"Building")</f>
        <v>Building</v>
      </c>
      <c r="D8970" s="2" t="str">
        <f ca="1">IFERROR(__xludf.DUMMYFUNCTION("""COMPUTED_VALUE"""),"Dubai&gt;Deira&gt;Port Saeed&gt;Majed Ahmad Mohd Al Ghurair Building")</f>
        <v>Dubai&gt;Deira&gt;Port Saeed&gt;Majed Ahmad Mohd Al Ghurair Building</v>
      </c>
      <c r="E8970" s="2"/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  <c r="W8970" s="2"/>
      <c r="X8970" s="2"/>
      <c r="Y8970" s="2"/>
      <c r="Z8970" s="2"/>
    </row>
    <row r="8971" spans="1:26" ht="16.5" x14ac:dyDescent="0.35">
      <c r="A8971" s="2" t="str">
        <f ca="1">IFERROR(__xludf.DUMMYFUNCTION("""COMPUTED_VALUE"""),"Dubai")</f>
        <v>Dubai</v>
      </c>
      <c r="B8971" s="2" t="str">
        <f ca="1">IFERROR(__xludf.DUMMYFUNCTION("""COMPUTED_VALUE"""),"Al Habtoor City")</f>
        <v>Al Habtoor City</v>
      </c>
      <c r="C8971" s="2" t="str">
        <f ca="1">IFERROR(__xludf.DUMMYFUNCTION("""COMPUTED_VALUE"""),"Neighbourhood")</f>
        <v>Neighbourhood</v>
      </c>
      <c r="D8971" s="2" t="str">
        <f ca="1">IFERROR(__xludf.DUMMYFUNCTION("""COMPUTED_VALUE"""),"Dubai&gt;Business Bay&gt;Al Habtoor City")</f>
        <v>Dubai&gt;Business Bay&gt;Al Habtoor City</v>
      </c>
      <c r="E8971" s="2"/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  <c r="W8971" s="2"/>
      <c r="X8971" s="2"/>
      <c r="Y8971" s="2"/>
      <c r="Z8971" s="2"/>
    </row>
    <row r="8972" spans="1:26" ht="16.5" x14ac:dyDescent="0.35">
      <c r="A8972" s="2" t="str">
        <f ca="1">IFERROR(__xludf.DUMMYFUNCTION("""COMPUTED_VALUE"""),"Dubai")</f>
        <v>Dubai</v>
      </c>
      <c r="B8972" s="2" t="str">
        <f ca="1">IFERROR(__xludf.DUMMYFUNCTION("""COMPUTED_VALUE"""),"Capital Bay Tower A")</f>
        <v>Capital Bay Tower A</v>
      </c>
      <c r="C8972" s="2" t="str">
        <f ca="1">IFERROR(__xludf.DUMMYFUNCTION("""COMPUTED_VALUE"""),"Building")</f>
        <v>Building</v>
      </c>
      <c r="D8972" s="2" t="str">
        <f ca="1">IFERROR(__xludf.DUMMYFUNCTION("""COMPUTED_VALUE"""),"Dubai&gt;Business Bay&gt;Capital Bay Towers&gt;Capital Bay Tower A")</f>
        <v>Dubai&gt;Business Bay&gt;Capital Bay Towers&gt;Capital Bay Tower A</v>
      </c>
      <c r="E8972" s="2"/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  <c r="W8972" s="2"/>
      <c r="X8972" s="2"/>
      <c r="Y8972" s="2"/>
      <c r="Z8972" s="2"/>
    </row>
    <row r="8973" spans="1:26" ht="16.5" x14ac:dyDescent="0.35">
      <c r="A8973" s="2" t="str">
        <f ca="1">IFERROR(__xludf.DUMMYFUNCTION("""COMPUTED_VALUE"""),"Dubai")</f>
        <v>Dubai</v>
      </c>
      <c r="B8973" s="2" t="str">
        <f ca="1">IFERROR(__xludf.DUMMYFUNCTION("""COMPUTED_VALUE"""),"SLS Dubai Hotel &amp; Residences")</f>
        <v>SLS Dubai Hotel &amp; Residences</v>
      </c>
      <c r="C8973" s="2" t="str">
        <f ca="1">IFERROR(__xludf.DUMMYFUNCTION("""COMPUTED_VALUE"""),"Building")</f>
        <v>Building</v>
      </c>
      <c r="D8973" s="2" t="str">
        <f ca="1">IFERROR(__xludf.DUMMYFUNCTION("""COMPUTED_VALUE"""),"Dubai&gt;Business Bay&gt;SLS Dubai Hotel &amp; Residences")</f>
        <v>Dubai&gt;Business Bay&gt;SLS Dubai Hotel &amp; Residences</v>
      </c>
      <c r="E8973" s="2"/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  <c r="W8973" s="2"/>
      <c r="X8973" s="2"/>
      <c r="Y8973" s="2"/>
      <c r="Z8973" s="2"/>
    </row>
    <row r="8974" spans="1:26" ht="16.5" x14ac:dyDescent="0.35">
      <c r="A8974" s="2" t="str">
        <f ca="1">IFERROR(__xludf.DUMMYFUNCTION("""COMPUTED_VALUE"""),"Dubai")</f>
        <v>Dubai</v>
      </c>
      <c r="B8974" s="2" t="str">
        <f ca="1">IFERROR(__xludf.DUMMYFUNCTION("""COMPUTED_VALUE"""),"The Voleo")</f>
        <v>The Voleo</v>
      </c>
      <c r="C8974" s="2" t="str">
        <f ca="1">IFERROR(__xludf.DUMMYFUNCTION("""COMPUTED_VALUE"""),"Building")</f>
        <v>Building</v>
      </c>
      <c r="D8974" s="2" t="str">
        <f ca="1">IFERROR(__xludf.DUMMYFUNCTION("""COMPUTED_VALUE"""),"Dubai&gt;Business Bay&gt;The Voleo")</f>
        <v>Dubai&gt;Business Bay&gt;The Voleo</v>
      </c>
      <c r="E8974" s="2"/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  <c r="W8974" s="2"/>
      <c r="X8974" s="2"/>
      <c r="Y8974" s="2"/>
      <c r="Z8974" s="2"/>
    </row>
    <row r="8975" spans="1:26" ht="16.5" x14ac:dyDescent="0.35">
      <c r="A8975" s="2" t="str">
        <f ca="1">IFERROR(__xludf.DUMMYFUNCTION("""COMPUTED_VALUE"""),"Dubai")</f>
        <v>Dubai</v>
      </c>
      <c r="B8975" s="2" t="str">
        <f ca="1">IFERROR(__xludf.DUMMYFUNCTION("""COMPUTED_VALUE"""),"Opal Tower")</f>
        <v>Opal Tower</v>
      </c>
      <c r="C8975" s="2" t="str">
        <f ca="1">IFERROR(__xludf.DUMMYFUNCTION("""COMPUTED_VALUE"""),"Building")</f>
        <v>Building</v>
      </c>
      <c r="D8975" s="2" t="str">
        <f ca="1">IFERROR(__xludf.DUMMYFUNCTION("""COMPUTED_VALUE"""),"Dubai&gt;Business Bay&gt;Opal Tower")</f>
        <v>Dubai&gt;Business Bay&gt;Opal Tower</v>
      </c>
      <c r="E8975" s="2"/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  <c r="W8975" s="2"/>
      <c r="X8975" s="2"/>
      <c r="Y8975" s="2"/>
      <c r="Z8975" s="2"/>
    </row>
    <row r="8976" spans="1:26" ht="16.5" x14ac:dyDescent="0.35">
      <c r="A8976" s="2" t="str">
        <f ca="1">IFERROR(__xludf.DUMMYFUNCTION("""COMPUTED_VALUE"""),"Dubai")</f>
        <v>Dubai</v>
      </c>
      <c r="B8976" s="2" t="str">
        <f ca="1">IFERROR(__xludf.DUMMYFUNCTION("""COMPUTED_VALUE"""),"Westburry Square")</f>
        <v>Westburry Square</v>
      </c>
      <c r="C8976" s="2" t="str">
        <f ca="1">IFERROR(__xludf.DUMMYFUNCTION("""COMPUTED_VALUE"""),"Cluster")</f>
        <v>Cluster</v>
      </c>
      <c r="D8976" s="2" t="str">
        <f ca="1">IFERROR(__xludf.DUMMYFUNCTION("""COMPUTED_VALUE"""),"Dubai&gt;Business Bay&gt;Westburry Square")</f>
        <v>Dubai&gt;Business Bay&gt;Westburry Square</v>
      </c>
      <c r="E8976" s="2"/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  <c r="W8976" s="2"/>
      <c r="X8976" s="2"/>
      <c r="Y8976" s="2"/>
      <c r="Z8976" s="2"/>
    </row>
    <row r="8977" spans="1:26" ht="16.5" x14ac:dyDescent="0.35">
      <c r="A8977" s="2" t="str">
        <f ca="1">IFERROR(__xludf.DUMMYFUNCTION("""COMPUTED_VALUE"""),"Dubai")</f>
        <v>Dubai</v>
      </c>
      <c r="B8977" s="2" t="str">
        <f ca="1">IFERROR(__xludf.DUMMYFUNCTION("""COMPUTED_VALUE"""),"The Quayside")</f>
        <v>The Quayside</v>
      </c>
      <c r="C8977" s="2" t="str">
        <f ca="1">IFERROR(__xludf.DUMMYFUNCTION("""COMPUTED_VALUE"""),"Building")</f>
        <v>Building</v>
      </c>
      <c r="D8977" s="2" t="str">
        <f ca="1">IFERROR(__xludf.DUMMYFUNCTION("""COMPUTED_VALUE"""),"Dubai&gt;Business Bay&gt;The Quayside")</f>
        <v>Dubai&gt;Business Bay&gt;The Quayside</v>
      </c>
      <c r="E8977" s="2"/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  <c r="W8977" s="2"/>
      <c r="X8977" s="2"/>
      <c r="Y8977" s="2"/>
      <c r="Z8977" s="2"/>
    </row>
    <row r="8978" spans="1:26" ht="16.5" x14ac:dyDescent="0.35">
      <c r="A8978" s="2" t="str">
        <f ca="1">IFERROR(__xludf.DUMMYFUNCTION("""COMPUTED_VALUE"""),"Dubai")</f>
        <v>Dubai</v>
      </c>
      <c r="B8978" s="2" t="str">
        <f ca="1">IFERROR(__xludf.DUMMYFUNCTION("""COMPUTED_VALUE"""),"Peninsula One")</f>
        <v>Peninsula One</v>
      </c>
      <c r="C8978" s="2" t="str">
        <f ca="1">IFERROR(__xludf.DUMMYFUNCTION("""COMPUTED_VALUE"""),"Building")</f>
        <v>Building</v>
      </c>
      <c r="D8978" s="2" t="str">
        <f ca="1">IFERROR(__xludf.DUMMYFUNCTION("""COMPUTED_VALUE"""),"Dubai&gt;Business Bay&gt;Peninsula&gt;Peninsula One")</f>
        <v>Dubai&gt;Business Bay&gt;Peninsula&gt;Peninsula One</v>
      </c>
      <c r="E8978" s="2"/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  <c r="W8978" s="2"/>
      <c r="X8978" s="2"/>
      <c r="Y8978" s="2"/>
      <c r="Z8978" s="2"/>
    </row>
    <row r="8979" spans="1:26" ht="16.5" x14ac:dyDescent="0.35">
      <c r="A8979" s="2" t="str">
        <f ca="1">IFERROR(__xludf.DUMMYFUNCTION("""COMPUTED_VALUE"""),"Dubai")</f>
        <v>Dubai</v>
      </c>
      <c r="B8979" s="2" t="str">
        <f ca="1">IFERROR(__xludf.DUMMYFUNCTION("""COMPUTED_VALUE"""),"Central 1 Dubai")</f>
        <v>Central 1 Dubai</v>
      </c>
      <c r="C8979" s="2" t="str">
        <f ca="1">IFERROR(__xludf.DUMMYFUNCTION("""COMPUTED_VALUE"""),"Building")</f>
        <v>Building</v>
      </c>
      <c r="D8979" s="2" t="str">
        <f ca="1">IFERROR(__xludf.DUMMYFUNCTION("""COMPUTED_VALUE"""),"Dubai&gt;Business Bay&gt;Central 1 Dubai")</f>
        <v>Dubai&gt;Business Bay&gt;Central 1 Dubai</v>
      </c>
      <c r="E8979" s="2"/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</row>
    <row r="8980" spans="1:26" ht="16.5" x14ac:dyDescent="0.35">
      <c r="A8980" s="2" t="str">
        <f ca="1">IFERROR(__xludf.DUMMYFUNCTION("""COMPUTED_VALUE"""),"Dubai")</f>
        <v>Dubai</v>
      </c>
      <c r="B8980" s="2" t="str">
        <f ca="1">IFERROR(__xludf.DUMMYFUNCTION("""COMPUTED_VALUE"""),"The Imperial Residence Podium")</f>
        <v>The Imperial Residence Podium</v>
      </c>
      <c r="C8980" s="2" t="str">
        <f ca="1">IFERROR(__xludf.DUMMYFUNCTION("""COMPUTED_VALUE"""),"Building")</f>
        <v>Building</v>
      </c>
      <c r="D8980" s="2" t="str">
        <f ca="1">IFERROR(__xludf.DUMMYFUNCTION("""COMPUTED_VALUE"""),"Dubai&gt;Jumeirah Village Triangle (JVT)&gt;JVT District 5&gt;The Imperial Residence&gt;The Imperial Residence Podium")</f>
        <v>Dubai&gt;Jumeirah Village Triangle (JVT)&gt;JVT District 5&gt;The Imperial Residence&gt;The Imperial Residence Podium</v>
      </c>
      <c r="E8980" s="2"/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  <c r="W8980" s="2"/>
      <c r="X8980" s="2"/>
      <c r="Y8980" s="2"/>
      <c r="Z8980" s="2"/>
    </row>
    <row r="8981" spans="1:26" ht="16.5" x14ac:dyDescent="0.35">
      <c r="A8981" s="2" t="str">
        <f ca="1">IFERROR(__xludf.DUMMYFUNCTION("""COMPUTED_VALUE"""),"Dubai")</f>
        <v>Dubai</v>
      </c>
      <c r="B8981" s="2" t="str">
        <f ca="1">IFERROR(__xludf.DUMMYFUNCTION("""COMPUTED_VALUE"""),"District 8N")</f>
        <v>District 8N</v>
      </c>
      <c r="C8981" s="2" t="str">
        <f ca="1">IFERROR(__xludf.DUMMYFUNCTION("""COMPUTED_VALUE"""),"Neighbourhood")</f>
        <v>Neighbourhood</v>
      </c>
      <c r="D8981" s="2" t="str">
        <f ca="1">IFERROR(__xludf.DUMMYFUNCTION("""COMPUTED_VALUE"""),"Dubai&gt;Jumeirah Village Triangle (JVT)&gt;JVT District 8&gt;District 8N")</f>
        <v>Dubai&gt;Jumeirah Village Triangle (JVT)&gt;JVT District 8&gt;District 8N</v>
      </c>
      <c r="E8981" s="2"/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  <c r="W8981" s="2"/>
      <c r="X8981" s="2"/>
      <c r="Y8981" s="2"/>
      <c r="Z8981" s="2"/>
    </row>
    <row r="8982" spans="1:26" ht="16.5" x14ac:dyDescent="0.35">
      <c r="A8982" s="2" t="str">
        <f ca="1">IFERROR(__xludf.DUMMYFUNCTION("""COMPUTED_VALUE"""),"Dubai")</f>
        <v>Dubai</v>
      </c>
      <c r="B8982" s="2" t="str">
        <f ca="1">IFERROR(__xludf.DUMMYFUNCTION("""COMPUTED_VALUE"""),"Cloud Tower A")</f>
        <v>Cloud Tower A</v>
      </c>
      <c r="C8982" s="2" t="str">
        <f ca="1">IFERROR(__xludf.DUMMYFUNCTION("""COMPUTED_VALUE"""),"Building")</f>
        <v>Building</v>
      </c>
      <c r="D8982" s="2" t="str">
        <f ca="1">IFERROR(__xludf.DUMMYFUNCTION("""COMPUTED_VALUE"""),"Dubai&gt;Jumeirah Village Triangle (JVT)&gt;JVT District 2&gt;Cloud Tower&gt;Cloud Tower A")</f>
        <v>Dubai&gt;Jumeirah Village Triangle (JVT)&gt;JVT District 2&gt;Cloud Tower&gt;Cloud Tower A</v>
      </c>
      <c r="E8982" s="2"/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  <c r="W8982" s="2"/>
      <c r="X8982" s="2"/>
      <c r="Y8982" s="2"/>
      <c r="Z8982" s="2"/>
    </row>
    <row r="8983" spans="1:26" ht="16.5" x14ac:dyDescent="0.35">
      <c r="A8983" s="2" t="str">
        <f ca="1">IFERROR(__xludf.DUMMYFUNCTION("""COMPUTED_VALUE"""),"Dubai")</f>
        <v>Dubai</v>
      </c>
      <c r="B8983" s="2" t="str">
        <f ca="1">IFERROR(__xludf.DUMMYFUNCTION("""COMPUTED_VALUE"""),"Maya 1")</f>
        <v>Maya 1</v>
      </c>
      <c r="C8983" s="2" t="str">
        <f ca="1">IFERROR(__xludf.DUMMYFUNCTION("""COMPUTED_VALUE"""),"Building")</f>
        <v>Building</v>
      </c>
      <c r="D8983" s="2" t="str">
        <f ca="1">IFERROR(__xludf.DUMMYFUNCTION("""COMPUTED_VALUE"""),"Dubai&gt;Jumeirah Village Triangle (JVT)&gt;JVT District 7&gt;Maya 1")</f>
        <v>Dubai&gt;Jumeirah Village Triangle (JVT)&gt;JVT District 7&gt;Maya 1</v>
      </c>
      <c r="E8983" s="2"/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  <c r="W8983" s="2"/>
      <c r="X8983" s="2"/>
      <c r="Y8983" s="2"/>
      <c r="Z8983" s="2"/>
    </row>
    <row r="8984" spans="1:26" ht="16.5" x14ac:dyDescent="0.35">
      <c r="A8984" s="2" t="str">
        <f ca="1">IFERROR(__xludf.DUMMYFUNCTION("""COMPUTED_VALUE"""),"Dubai")</f>
        <v>Dubai</v>
      </c>
      <c r="B8984" s="2" t="str">
        <f ca="1">IFERROR(__xludf.DUMMYFUNCTION("""COMPUTED_VALUE"""),"District 4F")</f>
        <v>District 4F</v>
      </c>
      <c r="C8984" s="2" t="str">
        <f ca="1">IFERROR(__xludf.DUMMYFUNCTION("""COMPUTED_VALUE"""),"Neighbourhood")</f>
        <v>Neighbourhood</v>
      </c>
      <c r="D8984" s="2" t="str">
        <f ca="1">IFERROR(__xludf.DUMMYFUNCTION("""COMPUTED_VALUE"""),"Dubai&gt;Jumeirah Village Triangle (JVT)&gt;JVT District 4&gt;District 4F")</f>
        <v>Dubai&gt;Jumeirah Village Triangle (JVT)&gt;JVT District 4&gt;District 4F</v>
      </c>
      <c r="E8984" s="2"/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  <c r="W8984" s="2"/>
      <c r="X8984" s="2"/>
      <c r="Y8984" s="2"/>
      <c r="Z8984" s="2"/>
    </row>
    <row r="8985" spans="1:26" ht="16.5" x14ac:dyDescent="0.35">
      <c r="A8985" s="2" t="str">
        <f ca="1">IFERROR(__xludf.DUMMYFUNCTION("""COMPUTED_VALUE"""),"Dubai")</f>
        <v>Dubai</v>
      </c>
      <c r="B8985" s="2" t="str">
        <f ca="1">IFERROR(__xludf.DUMMYFUNCTION("""COMPUTED_VALUE"""),"Terhab Hotel and Towers")</f>
        <v>Terhab Hotel and Towers</v>
      </c>
      <c r="C8985" s="2" t="str">
        <f ca="1">IFERROR(__xludf.DUMMYFUNCTION("""COMPUTED_VALUE"""),"Building")</f>
        <v>Building</v>
      </c>
      <c r="D8985" s="2" t="str">
        <f ca="1">IFERROR(__xludf.DUMMYFUNCTION("""COMPUTED_VALUE"""),"Dubai&gt;Jumeirah Village Triangle (JVT)&gt;JVT District 3&gt;Terhab Hotel and Towers")</f>
        <v>Dubai&gt;Jumeirah Village Triangle (JVT)&gt;JVT District 3&gt;Terhab Hotel and Towers</v>
      </c>
      <c r="E8985" s="2"/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  <c r="W8985" s="2"/>
      <c r="X8985" s="2"/>
      <c r="Y8985" s="2"/>
      <c r="Z8985" s="2"/>
    </row>
    <row r="8986" spans="1:26" ht="16.5" x14ac:dyDescent="0.35">
      <c r="A8986" s="2" t="str">
        <f ca="1">IFERROR(__xludf.DUMMYFUNCTION("""COMPUTED_VALUE"""),"Dubai")</f>
        <v>Dubai</v>
      </c>
      <c r="B8986" s="2" t="str">
        <f ca="1">IFERROR(__xludf.DUMMYFUNCTION("""COMPUTED_VALUE"""),"Al Ramth 33")</f>
        <v>Al Ramth 33</v>
      </c>
      <c r="C8986" s="2" t="str">
        <f ca="1">IFERROR(__xludf.DUMMYFUNCTION("""COMPUTED_VALUE"""),"Building")</f>
        <v>Building</v>
      </c>
      <c r="D8986" s="2" t="str">
        <f ca="1">IFERROR(__xludf.DUMMYFUNCTION("""COMPUTED_VALUE"""),"Dubai&gt;Remraam&gt;Al Ramth&gt;Al Ramth 33")</f>
        <v>Dubai&gt;Remraam&gt;Al Ramth&gt;Al Ramth 33</v>
      </c>
      <c r="E8986" s="2"/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  <c r="W8986" s="2"/>
      <c r="X8986" s="2"/>
      <c r="Y8986" s="2"/>
      <c r="Z8986" s="2"/>
    </row>
    <row r="8987" spans="1:26" ht="16.5" x14ac:dyDescent="0.35">
      <c r="A8987" s="2" t="str">
        <f ca="1">IFERROR(__xludf.DUMMYFUNCTION("""COMPUTED_VALUE"""),"Dubai")</f>
        <v>Dubai</v>
      </c>
      <c r="B8987" s="2" t="str">
        <f ca="1">IFERROR(__xludf.DUMMYFUNCTION("""COMPUTED_VALUE"""),"Al Ramth 20")</f>
        <v>Al Ramth 20</v>
      </c>
      <c r="C8987" s="2" t="str">
        <f ca="1">IFERROR(__xludf.DUMMYFUNCTION("""COMPUTED_VALUE"""),"Building")</f>
        <v>Building</v>
      </c>
      <c r="D8987" s="2" t="str">
        <f ca="1">IFERROR(__xludf.DUMMYFUNCTION("""COMPUTED_VALUE"""),"Dubai&gt;Remraam&gt;Al Ramth&gt;Al Ramth 20")</f>
        <v>Dubai&gt;Remraam&gt;Al Ramth&gt;Al Ramth 20</v>
      </c>
      <c r="E8987" s="2"/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  <c r="W8987" s="2"/>
      <c r="X8987" s="2"/>
      <c r="Y8987" s="2"/>
      <c r="Z8987" s="2"/>
    </row>
    <row r="8988" spans="1:26" ht="16.5" x14ac:dyDescent="0.35">
      <c r="A8988" s="2" t="str">
        <f ca="1">IFERROR(__xludf.DUMMYFUNCTION("""COMPUTED_VALUE"""),"Dubai")</f>
        <v>Dubai</v>
      </c>
      <c r="B8988" s="2" t="str">
        <f ca="1">IFERROR(__xludf.DUMMYFUNCTION("""COMPUTED_VALUE"""),"Al Thamam 12")</f>
        <v>Al Thamam 12</v>
      </c>
      <c r="C8988" s="2" t="str">
        <f ca="1">IFERROR(__xludf.DUMMYFUNCTION("""COMPUTED_VALUE"""),"Building")</f>
        <v>Building</v>
      </c>
      <c r="D8988" s="2" t="str">
        <f ca="1">IFERROR(__xludf.DUMMYFUNCTION("""COMPUTED_VALUE"""),"Dubai&gt;Remraam&gt;Al Thamam&gt;Al Thamam 12")</f>
        <v>Dubai&gt;Remraam&gt;Al Thamam&gt;Al Thamam 12</v>
      </c>
      <c r="E8988" s="2"/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</row>
    <row r="8989" spans="1:26" ht="16.5" x14ac:dyDescent="0.35">
      <c r="A8989" s="2" t="str">
        <f ca="1">IFERROR(__xludf.DUMMYFUNCTION("""COMPUTED_VALUE"""),"Dubai")</f>
        <v>Dubai</v>
      </c>
      <c r="B8989" s="2" t="str">
        <f ca="1">IFERROR(__xludf.DUMMYFUNCTION("""COMPUTED_VALUE"""),"Livel Residenza")</f>
        <v>Livel Residenza</v>
      </c>
      <c r="C8989" s="2" t="str">
        <f ca="1">IFERROR(__xludf.DUMMYFUNCTION("""COMPUTED_VALUE"""),"Building")</f>
        <v>Building</v>
      </c>
      <c r="D8989" s="2" t="str">
        <f ca="1">IFERROR(__xludf.DUMMYFUNCTION("""COMPUTED_VALUE"""),"Dubai&gt;Jumeirah Village Circle (JVC)&gt;JVC District 17&gt;Livel Residenza")</f>
        <v>Dubai&gt;Jumeirah Village Circle (JVC)&gt;JVC District 17&gt;Livel Residenza</v>
      </c>
      <c r="E8989" s="2"/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</row>
    <row r="8990" spans="1:26" ht="16.5" x14ac:dyDescent="0.35">
      <c r="A8990" s="2" t="str">
        <f ca="1">IFERROR(__xludf.DUMMYFUNCTION("""COMPUTED_VALUE"""),"Dubai")</f>
        <v>Dubai</v>
      </c>
      <c r="B8990" s="2" t="str">
        <f ca="1">IFERROR(__xludf.DUMMYFUNCTION("""COMPUTED_VALUE"""),"Roxana Residence C")</f>
        <v>Roxana Residence C</v>
      </c>
      <c r="C8990" s="2" t="str">
        <f ca="1">IFERROR(__xludf.DUMMYFUNCTION("""COMPUTED_VALUE"""),"Building")</f>
        <v>Building</v>
      </c>
      <c r="D8990" s="2" t="str">
        <f ca="1">IFERROR(__xludf.DUMMYFUNCTION("""COMPUTED_VALUE"""),"Dubai&gt;Jumeirah Village Circle (JVC)&gt;JVC District 12&gt;Roxana Residences&gt;Roxana Residence C")</f>
        <v>Dubai&gt;Jumeirah Village Circle (JVC)&gt;JVC District 12&gt;Roxana Residences&gt;Roxana Residence C</v>
      </c>
      <c r="E8990" s="2"/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  <c r="W8990" s="2"/>
      <c r="X8990" s="2"/>
      <c r="Y8990" s="2"/>
      <c r="Z8990" s="2"/>
    </row>
    <row r="8991" spans="1:26" ht="16.5" x14ac:dyDescent="0.35">
      <c r="A8991" s="2" t="str">
        <f ca="1">IFERROR(__xludf.DUMMYFUNCTION("""COMPUTED_VALUE"""),"Dubai")</f>
        <v>Dubai</v>
      </c>
      <c r="B8991" s="2" t="str">
        <f ca="1">IFERROR(__xludf.DUMMYFUNCTION("""COMPUTED_VALUE"""),"La Perla Homes 12")</f>
        <v>La Perla Homes 12</v>
      </c>
      <c r="C8991" s="2" t="str">
        <f ca="1">IFERROR(__xludf.DUMMYFUNCTION("""COMPUTED_VALUE"""),"Neighbourhood")</f>
        <v>Neighbourhood</v>
      </c>
      <c r="D8991" s="2" t="str">
        <f ca="1">IFERROR(__xludf.DUMMYFUNCTION("""COMPUTED_VALUE"""),"Dubai&gt;Jumeirah Village Circle (JVC)&gt;JVC District 12&gt;La Perla Homes 12")</f>
        <v>Dubai&gt;Jumeirah Village Circle (JVC)&gt;JVC District 12&gt;La Perla Homes 12</v>
      </c>
      <c r="E8991" s="2"/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  <c r="W8991" s="2"/>
      <c r="X8991" s="2"/>
      <c r="Y8991" s="2"/>
      <c r="Z8991" s="2"/>
    </row>
    <row r="8992" spans="1:26" ht="16.5" x14ac:dyDescent="0.35">
      <c r="A8992" s="2" t="str">
        <f ca="1">IFERROR(__xludf.DUMMYFUNCTION("""COMPUTED_VALUE"""),"Dubai")</f>
        <v>Dubai</v>
      </c>
      <c r="B8992" s="2" t="str">
        <f ca="1">IFERROR(__xludf.DUMMYFUNCTION("""COMPUTED_VALUE"""),"Casa Luxo")</f>
        <v>Casa Luxo</v>
      </c>
      <c r="C8992" s="2" t="str">
        <f ca="1">IFERROR(__xludf.DUMMYFUNCTION("""COMPUTED_VALUE"""),"Neighbourhood")</f>
        <v>Neighbourhood</v>
      </c>
      <c r="D8992" s="2" t="str">
        <f ca="1">IFERROR(__xludf.DUMMYFUNCTION("""COMPUTED_VALUE"""),"Dubai&gt;Jumeirah Village Circle (JVC)&gt;JVC District 12&gt;Casa Luxo")</f>
        <v>Dubai&gt;Jumeirah Village Circle (JVC)&gt;JVC District 12&gt;Casa Luxo</v>
      </c>
      <c r="E8992" s="2"/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  <c r="W8992" s="2"/>
      <c r="X8992" s="2"/>
      <c r="Y8992" s="2"/>
      <c r="Z8992" s="2"/>
    </row>
    <row r="8993" spans="1:26" ht="16.5" x14ac:dyDescent="0.35">
      <c r="A8993" s="2" t="str">
        <f ca="1">IFERROR(__xludf.DUMMYFUNCTION("""COMPUTED_VALUE"""),"Dubai")</f>
        <v>Dubai</v>
      </c>
      <c r="B8993" s="2" t="str">
        <f ca="1">IFERROR(__xludf.DUMMYFUNCTION("""COMPUTED_VALUE"""),"Al Manal Elite")</f>
        <v>Al Manal Elite</v>
      </c>
      <c r="C8993" s="2" t="str">
        <f ca="1">IFERROR(__xludf.DUMMYFUNCTION("""COMPUTED_VALUE"""),"Building")</f>
        <v>Building</v>
      </c>
      <c r="D8993" s="2" t="str">
        <f ca="1">IFERROR(__xludf.DUMMYFUNCTION("""COMPUTED_VALUE"""),"Dubai&gt;Jumeirah Village Circle (JVC)&gt;JVC District 13&gt;Al Manal Elite")</f>
        <v>Dubai&gt;Jumeirah Village Circle (JVC)&gt;JVC District 13&gt;Al Manal Elite</v>
      </c>
      <c r="E8993" s="2"/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  <c r="W8993" s="2"/>
      <c r="X8993" s="2"/>
      <c r="Y8993" s="2"/>
      <c r="Z8993" s="2"/>
    </row>
    <row r="8994" spans="1:26" ht="16.5" x14ac:dyDescent="0.35">
      <c r="A8994" s="2" t="str">
        <f ca="1">IFERROR(__xludf.DUMMYFUNCTION("""COMPUTED_VALUE"""),"Dubai")</f>
        <v>Dubai</v>
      </c>
      <c r="B8994" s="2" t="str">
        <f ca="1">IFERROR(__xludf.DUMMYFUNCTION("""COMPUTED_VALUE"""),"Samana Waves")</f>
        <v>Samana Waves</v>
      </c>
      <c r="C8994" s="2" t="str">
        <f ca="1">IFERROR(__xludf.DUMMYFUNCTION("""COMPUTED_VALUE"""),"Building")</f>
        <v>Building</v>
      </c>
      <c r="D8994" s="2" t="str">
        <f ca="1">IFERROR(__xludf.DUMMYFUNCTION("""COMPUTED_VALUE"""),"Dubai&gt;Jumeirah Village Circle (JVC)&gt;JVC District 13&gt;Samana Waves")</f>
        <v>Dubai&gt;Jumeirah Village Circle (JVC)&gt;JVC District 13&gt;Samana Waves</v>
      </c>
      <c r="E8994" s="2"/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  <c r="W8994" s="2"/>
      <c r="X8994" s="2"/>
      <c r="Y8994" s="2"/>
      <c r="Z8994" s="2"/>
    </row>
    <row r="8995" spans="1:26" ht="16.5" x14ac:dyDescent="0.35">
      <c r="A8995" s="2" t="str">
        <f ca="1">IFERROR(__xludf.DUMMYFUNCTION("""COMPUTED_VALUE"""),"Dubai")</f>
        <v>Dubai</v>
      </c>
      <c r="B8995" s="2" t="str">
        <f ca="1">IFERROR(__xludf.DUMMYFUNCTION("""COMPUTED_VALUE"""),"The Veranda Collection 1")</f>
        <v>The Veranda Collection 1</v>
      </c>
      <c r="C8995" s="2" t="str">
        <f ca="1">IFERROR(__xludf.DUMMYFUNCTION("""COMPUTED_VALUE"""),"Neighbourhood")</f>
        <v>Neighbourhood</v>
      </c>
      <c r="D8995" s="2" t="str">
        <f ca="1">IFERROR(__xludf.DUMMYFUNCTION("""COMPUTED_VALUE"""),"Dubai&gt;Jumeirah Village Circle (JVC)&gt;JVC District 13&gt;The Veranda Collection 1")</f>
        <v>Dubai&gt;Jumeirah Village Circle (JVC)&gt;JVC District 13&gt;The Veranda Collection 1</v>
      </c>
      <c r="E8995" s="2"/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  <c r="W8995" s="2"/>
      <c r="X8995" s="2"/>
      <c r="Y8995" s="2"/>
      <c r="Z8995" s="2"/>
    </row>
    <row r="8996" spans="1:26" ht="16.5" x14ac:dyDescent="0.35">
      <c r="A8996" s="2" t="str">
        <f ca="1">IFERROR(__xludf.DUMMYFUNCTION("""COMPUTED_VALUE"""),"Dubai")</f>
        <v>Dubai</v>
      </c>
      <c r="B8996" s="2" t="str">
        <f ca="1">IFERROR(__xludf.DUMMYFUNCTION("""COMPUTED_VALUE"""),"Noora Residence")</f>
        <v>Noora Residence</v>
      </c>
      <c r="C8996" s="2" t="str">
        <f ca="1">IFERROR(__xludf.DUMMYFUNCTION("""COMPUTED_VALUE"""),"Building")</f>
        <v>Building</v>
      </c>
      <c r="D8996" s="2" t="str">
        <f ca="1">IFERROR(__xludf.DUMMYFUNCTION("""COMPUTED_VALUE"""),"Dubai&gt;Jumeirah Village Circle (JVC)&gt;JVC District 10&gt;Noora Residence")</f>
        <v>Dubai&gt;Jumeirah Village Circle (JVC)&gt;JVC District 10&gt;Noora Residence</v>
      </c>
      <c r="E8996" s="2"/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</row>
    <row r="8997" spans="1:26" ht="16.5" x14ac:dyDescent="0.35">
      <c r="A8997" s="2" t="str">
        <f ca="1">IFERROR(__xludf.DUMMYFUNCTION("""COMPUTED_VALUE"""),"Dubai")</f>
        <v>Dubai</v>
      </c>
      <c r="B8997" s="2" t="str">
        <f ca="1">IFERROR(__xludf.DUMMYFUNCTION("""COMPUTED_VALUE"""),"Park Villas")</f>
        <v>Park Villas</v>
      </c>
      <c r="C8997" s="2" t="str">
        <f ca="1">IFERROR(__xludf.DUMMYFUNCTION("""COMPUTED_VALUE"""),"Neighbourhood")</f>
        <v>Neighbourhood</v>
      </c>
      <c r="D8997" s="2" t="str">
        <f ca="1">IFERROR(__xludf.DUMMYFUNCTION("""COMPUTED_VALUE"""),"Dubai&gt;Jumeirah Village Circle (JVC)&gt;JVC District 10&gt;Park Villas")</f>
        <v>Dubai&gt;Jumeirah Village Circle (JVC)&gt;JVC District 10&gt;Park Villas</v>
      </c>
      <c r="E8997" s="2"/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  <c r="W8997" s="2"/>
      <c r="X8997" s="2"/>
      <c r="Y8997" s="2"/>
      <c r="Z8997" s="2"/>
    </row>
    <row r="8998" spans="1:26" ht="16.5" x14ac:dyDescent="0.35">
      <c r="A8998" s="2" t="str">
        <f ca="1">IFERROR(__xludf.DUMMYFUNCTION("""COMPUTED_VALUE"""),"Dubai")</f>
        <v>Dubai</v>
      </c>
      <c r="B8998" s="2" t="str">
        <f ca="1">IFERROR(__xludf.DUMMYFUNCTION("""COMPUTED_VALUE"""),"Ajyad Building")</f>
        <v>Ajyad Building</v>
      </c>
      <c r="C8998" s="2" t="str">
        <f ca="1">IFERROR(__xludf.DUMMYFUNCTION("""COMPUTED_VALUE"""),"Building")</f>
        <v>Building</v>
      </c>
      <c r="D8998" s="2" t="str">
        <f ca="1">IFERROR(__xludf.DUMMYFUNCTION("""COMPUTED_VALUE"""),"Dubai&gt;Jumeirah Village Circle (JVC)&gt;JVC District 10&gt;Ajyad Building")</f>
        <v>Dubai&gt;Jumeirah Village Circle (JVC)&gt;JVC District 10&gt;Ajyad Building</v>
      </c>
      <c r="E8998" s="2"/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  <c r="W8998" s="2"/>
      <c r="X8998" s="2"/>
      <c r="Y8998" s="2"/>
      <c r="Z8998" s="2"/>
    </row>
    <row r="8999" spans="1:26" ht="16.5" x14ac:dyDescent="0.35">
      <c r="A8999" s="2" t="str">
        <f ca="1">IFERROR(__xludf.DUMMYFUNCTION("""COMPUTED_VALUE"""),"Dubai")</f>
        <v>Dubai</v>
      </c>
      <c r="B8999" s="2" t="str">
        <f ca="1">IFERROR(__xludf.DUMMYFUNCTION("""COMPUTED_VALUE"""),"Parkvale Residences")</f>
        <v>Parkvale Residences</v>
      </c>
      <c r="C8999" s="2" t="str">
        <f ca="1">IFERROR(__xludf.DUMMYFUNCTION("""COMPUTED_VALUE"""),"Neighbourhood")</f>
        <v>Neighbourhood</v>
      </c>
      <c r="D8999" s="2" t="str">
        <f ca="1">IFERROR(__xludf.DUMMYFUNCTION("""COMPUTED_VALUE"""),"Dubai&gt;Jumeirah Village Circle (JVC)&gt;JVC District 10&gt;Parkvale Residences")</f>
        <v>Dubai&gt;Jumeirah Village Circle (JVC)&gt;JVC District 10&gt;Parkvale Residences</v>
      </c>
      <c r="E8999" s="2"/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  <c r="W8999" s="2"/>
      <c r="X8999" s="2"/>
      <c r="Y8999" s="2"/>
      <c r="Z8999" s="2"/>
    </row>
    <row r="9000" spans="1:26" ht="16.5" x14ac:dyDescent="0.35">
      <c r="A9000" s="2" t="str">
        <f ca="1">IFERROR(__xludf.DUMMYFUNCTION("""COMPUTED_VALUE"""),"Dubai")</f>
        <v>Dubai</v>
      </c>
      <c r="B9000" s="2" t="str">
        <f ca="1">IFERROR(__xludf.DUMMYFUNCTION("""COMPUTED_VALUE"""),"May Residence Tower 3")</f>
        <v>May Residence Tower 3</v>
      </c>
      <c r="C9000" s="2" t="str">
        <f ca="1">IFERROR(__xludf.DUMMYFUNCTION("""COMPUTED_VALUE"""),"Building")</f>
        <v>Building</v>
      </c>
      <c r="D9000" s="2" t="str">
        <f ca="1">IFERROR(__xludf.DUMMYFUNCTION("""COMPUTED_VALUE"""),"Dubai&gt;Jumeirah Village Circle (JVC)&gt;JVC District 10&gt;May Residence&gt;May Residence Tower 3")</f>
        <v>Dubai&gt;Jumeirah Village Circle (JVC)&gt;JVC District 10&gt;May Residence&gt;May Residence Tower 3</v>
      </c>
      <c r="E9000" s="2"/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  <c r="W9000" s="2"/>
      <c r="X9000" s="2"/>
      <c r="Y9000" s="2"/>
      <c r="Z9000" s="2"/>
    </row>
    <row r="9001" spans="1:26" ht="16.5" x14ac:dyDescent="0.35">
      <c r="A9001" s="2" t="str">
        <f ca="1">IFERROR(__xludf.DUMMYFUNCTION("""COMPUTED_VALUE"""),"Dubai")</f>
        <v>Dubai</v>
      </c>
      <c r="B9001" s="2" t="str">
        <f ca="1">IFERROR(__xludf.DUMMYFUNCTION("""COMPUTED_VALUE"""),"Summer 1 Block B")</f>
        <v>Summer 1 Block B</v>
      </c>
      <c r="C9001" s="2" t="str">
        <f ca="1">IFERROR(__xludf.DUMMYFUNCTION("""COMPUTED_VALUE"""),"Building")</f>
        <v>Building</v>
      </c>
      <c r="D9001" s="2" t="str">
        <f ca="1">IFERROR(__xludf.DUMMYFUNCTION("""COMPUTED_VALUE"""),"Dubai&gt;Jumeirah Village Circle (JVC)&gt;JVC District 15&gt;Seasons Community&gt;Summer&gt;Summer 1 Block B")</f>
        <v>Dubai&gt;Jumeirah Village Circle (JVC)&gt;JVC District 15&gt;Seasons Community&gt;Summer&gt;Summer 1 Block B</v>
      </c>
      <c r="E9001" s="2"/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  <c r="W9001" s="2"/>
      <c r="X9001" s="2"/>
      <c r="Y9001" s="2"/>
      <c r="Z9001" s="2"/>
    </row>
    <row r="9002" spans="1:26" ht="16.5" x14ac:dyDescent="0.35">
      <c r="A9002" s="2" t="str">
        <f ca="1">IFERROR(__xludf.DUMMYFUNCTION("""COMPUTED_VALUE"""),"Dubai")</f>
        <v>Dubai</v>
      </c>
      <c r="B9002" s="2" t="str">
        <f ca="1">IFERROR(__xludf.DUMMYFUNCTION("""COMPUTED_VALUE"""),"Grand Paradise I")</f>
        <v>Grand Paradise I</v>
      </c>
      <c r="C9002" s="2" t="str">
        <f ca="1">IFERROR(__xludf.DUMMYFUNCTION("""COMPUTED_VALUE"""),"Neighbourhood")</f>
        <v>Neighbourhood</v>
      </c>
      <c r="D9002" s="2" t="str">
        <f ca="1">IFERROR(__xludf.DUMMYFUNCTION("""COMPUTED_VALUE"""),"Dubai&gt;Jumeirah Village Circle (JVC)&gt;JVC District 15&gt;Grand Paradise I")</f>
        <v>Dubai&gt;Jumeirah Village Circle (JVC)&gt;JVC District 15&gt;Grand Paradise I</v>
      </c>
      <c r="E9002" s="2"/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  <c r="W9002" s="2"/>
      <c r="X9002" s="2"/>
      <c r="Y9002" s="2"/>
      <c r="Z9002" s="2"/>
    </row>
    <row r="9003" spans="1:26" ht="16.5" x14ac:dyDescent="0.35">
      <c r="A9003" s="2" t="str">
        <f ca="1">IFERROR(__xludf.DUMMYFUNCTION("""COMPUTED_VALUE"""),"Dubai")</f>
        <v>Dubai</v>
      </c>
      <c r="B9003" s="2" t="str">
        <f ca="1">IFERROR(__xludf.DUMMYFUNCTION("""COMPUTED_VALUE"""),"Westview Garden")</f>
        <v>Westview Garden</v>
      </c>
      <c r="C9003" s="2" t="str">
        <f ca="1">IFERROR(__xludf.DUMMYFUNCTION("""COMPUTED_VALUE"""),"Building")</f>
        <v>Building</v>
      </c>
      <c r="D9003" s="2" t="str">
        <f ca="1">IFERROR(__xludf.DUMMYFUNCTION("""COMPUTED_VALUE"""),"Dubai&gt;Jumeirah Village Circle (JVC)&gt;JVC District 15&gt;Westview Garden")</f>
        <v>Dubai&gt;Jumeirah Village Circle (JVC)&gt;JVC District 15&gt;Westview Garden</v>
      </c>
      <c r="E9003" s="2"/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  <c r="W9003" s="2"/>
      <c r="X9003" s="2"/>
      <c r="Y9003" s="2"/>
      <c r="Z9003" s="2"/>
    </row>
    <row r="9004" spans="1:26" ht="16.5" x14ac:dyDescent="0.35">
      <c r="A9004" s="2" t="str">
        <f ca="1">IFERROR(__xludf.DUMMYFUNCTION("""COMPUTED_VALUE"""),"Dubai")</f>
        <v>Dubai</v>
      </c>
      <c r="B9004" s="2" t="str">
        <f ca="1">IFERROR(__xludf.DUMMYFUNCTION("""COMPUTED_VALUE"""),"Mirabella 8")</f>
        <v>Mirabella 8</v>
      </c>
      <c r="C9004" s="2" t="str">
        <f ca="1">IFERROR(__xludf.DUMMYFUNCTION("""COMPUTED_VALUE"""),"Neighbourhood")</f>
        <v>Neighbourhood</v>
      </c>
      <c r="D9004" s="2" t="str">
        <f ca="1">IFERROR(__xludf.DUMMYFUNCTION("""COMPUTED_VALUE"""),"Dubai&gt;Jumeirah Village Circle (JVC)&gt;JVC District 11&gt;Mirabella 8")</f>
        <v>Dubai&gt;Jumeirah Village Circle (JVC)&gt;JVC District 11&gt;Mirabella 8</v>
      </c>
      <c r="E9004" s="2"/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  <c r="W9004" s="2"/>
      <c r="X9004" s="2"/>
      <c r="Y9004" s="2"/>
      <c r="Z9004" s="2"/>
    </row>
    <row r="9005" spans="1:26" ht="16.5" x14ac:dyDescent="0.35">
      <c r="A9005" s="2" t="str">
        <f ca="1">IFERROR(__xludf.DUMMYFUNCTION("""COMPUTED_VALUE"""),"Dubai")</f>
        <v>Dubai</v>
      </c>
      <c r="B9005" s="2" t="str">
        <f ca="1">IFERROR(__xludf.DUMMYFUNCTION("""COMPUTED_VALUE"""),"Building 2")</f>
        <v>Building 2</v>
      </c>
      <c r="C9005" s="2" t="str">
        <f ca="1">IFERROR(__xludf.DUMMYFUNCTION("""COMPUTED_VALUE"""),"Building")</f>
        <v>Building</v>
      </c>
      <c r="D9005" s="2" t="str">
        <f ca="1">IFERROR(__xludf.DUMMYFUNCTION("""COMPUTED_VALUE"""),"Dubai&gt;Jumeirah Village Circle (JVC)&gt;JVC District 11&gt;Elitz by Danube&gt;Building 2")</f>
        <v>Dubai&gt;Jumeirah Village Circle (JVC)&gt;JVC District 11&gt;Elitz by Danube&gt;Building 2</v>
      </c>
      <c r="E9005" s="2"/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  <c r="W9005" s="2"/>
      <c r="X9005" s="2"/>
      <c r="Y9005" s="2"/>
      <c r="Z9005" s="2"/>
    </row>
    <row r="9006" spans="1:26" ht="16.5" x14ac:dyDescent="0.35">
      <c r="A9006" s="2" t="str">
        <f ca="1">IFERROR(__xludf.DUMMYFUNCTION("""COMPUTED_VALUE"""),"Dubai")</f>
        <v>Dubai</v>
      </c>
      <c r="B9006" s="2" t="str">
        <f ca="1">IFERROR(__xludf.DUMMYFUNCTION("""COMPUTED_VALUE"""),"Graygate Residences")</f>
        <v>Graygate Residences</v>
      </c>
      <c r="C9006" s="2" t="str">
        <f ca="1">IFERROR(__xludf.DUMMYFUNCTION("""COMPUTED_VALUE"""),"Building")</f>
        <v>Building</v>
      </c>
      <c r="D9006" s="2" t="str">
        <f ca="1">IFERROR(__xludf.DUMMYFUNCTION("""COMPUTED_VALUE"""),"Dubai&gt;Jumeirah Village Circle (JVC)&gt;JVC District 11&gt;Graygate Residences")</f>
        <v>Dubai&gt;Jumeirah Village Circle (JVC)&gt;JVC District 11&gt;Graygate Residences</v>
      </c>
      <c r="E9006" s="2"/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  <c r="W9006" s="2"/>
      <c r="X9006" s="2"/>
      <c r="Y9006" s="2"/>
      <c r="Z9006" s="2"/>
    </row>
    <row r="9007" spans="1:26" ht="16.5" x14ac:dyDescent="0.35">
      <c r="A9007" s="2" t="str">
        <f ca="1">IFERROR(__xludf.DUMMYFUNCTION("""COMPUTED_VALUE"""),"Dubai")</f>
        <v>Dubai</v>
      </c>
      <c r="B9007" s="2" t="str">
        <f ca="1">IFERROR(__xludf.DUMMYFUNCTION("""COMPUTED_VALUE"""),"Sandoval Garden Block B")</f>
        <v>Sandoval Garden Block B</v>
      </c>
      <c r="C9007" s="2" t="str">
        <f ca="1">IFERROR(__xludf.DUMMYFUNCTION("""COMPUTED_VALUE"""),"Building")</f>
        <v>Building</v>
      </c>
      <c r="D9007" s="2" t="str">
        <f ca="1">IFERROR(__xludf.DUMMYFUNCTION("""COMPUTED_VALUE"""),"Dubai&gt;Jumeirah Village Circle (JVC)&gt;JVC District 14&gt;Sandoval Garden&gt;Sandoval Garden Block B")</f>
        <v>Dubai&gt;Jumeirah Village Circle (JVC)&gt;JVC District 14&gt;Sandoval Garden&gt;Sandoval Garden Block B</v>
      </c>
      <c r="E9007" s="2"/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  <c r="W9007" s="2"/>
      <c r="X9007" s="2"/>
      <c r="Y9007" s="2"/>
      <c r="Z9007" s="2"/>
    </row>
    <row r="9008" spans="1:26" ht="16.5" x14ac:dyDescent="0.35">
      <c r="A9008" s="2" t="str">
        <f ca="1">IFERROR(__xludf.DUMMYFUNCTION("""COMPUTED_VALUE"""),"Dubai")</f>
        <v>Dubai</v>
      </c>
      <c r="B9008" s="2" t="str">
        <f ca="1">IFERROR(__xludf.DUMMYFUNCTION("""COMPUTED_VALUE"""),"Shamal Terraces")</f>
        <v>Shamal Terraces</v>
      </c>
      <c r="C9008" s="2" t="str">
        <f ca="1">IFERROR(__xludf.DUMMYFUNCTION("""COMPUTED_VALUE"""),"Neighbourhood")</f>
        <v>Neighbourhood</v>
      </c>
      <c r="D9008" s="2" t="str">
        <f ca="1">IFERROR(__xludf.DUMMYFUNCTION("""COMPUTED_VALUE"""),"Dubai&gt;Jumeirah Village Circle (JVC)&gt;JVC District 14&gt;Shamal Terraces")</f>
        <v>Dubai&gt;Jumeirah Village Circle (JVC)&gt;JVC District 14&gt;Shamal Terraces</v>
      </c>
      <c r="E9008" s="2"/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  <c r="W9008" s="2"/>
      <c r="X9008" s="2"/>
      <c r="Y9008" s="2"/>
      <c r="Z9008" s="2"/>
    </row>
    <row r="9009" spans="1:26" ht="16.5" x14ac:dyDescent="0.35">
      <c r="A9009" s="2" t="str">
        <f ca="1">IFERROR(__xludf.DUMMYFUNCTION("""COMPUTED_VALUE"""),"Dubai")</f>
        <v>Dubai</v>
      </c>
      <c r="B9009" s="2" t="str">
        <f ca="1">IFERROR(__xludf.DUMMYFUNCTION("""COMPUTED_VALUE"""),"Hyati Avenue Townhouses")</f>
        <v>Hyati Avenue Townhouses</v>
      </c>
      <c r="C9009" s="2" t="str">
        <f ca="1">IFERROR(__xludf.DUMMYFUNCTION("""COMPUTED_VALUE"""),"Neighbourhood")</f>
        <v>Neighbourhood</v>
      </c>
      <c r="D9009" s="2" t="str">
        <f ca="1">IFERROR(__xludf.DUMMYFUNCTION("""COMPUTED_VALUE"""),"Dubai&gt;Jumeirah Village Circle (JVC)&gt;JVC District 14&gt;Hyati Avenue Townhouses")</f>
        <v>Dubai&gt;Jumeirah Village Circle (JVC)&gt;JVC District 14&gt;Hyati Avenue Townhouses</v>
      </c>
      <c r="E9009" s="2"/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  <c r="W9009" s="2"/>
      <c r="X9009" s="2"/>
      <c r="Y9009" s="2"/>
      <c r="Z9009" s="2"/>
    </row>
    <row r="9010" spans="1:26" ht="16.5" x14ac:dyDescent="0.35">
      <c r="A9010" s="2" t="str">
        <f ca="1">IFERROR(__xludf.DUMMYFUNCTION("""COMPUTED_VALUE"""),"Dubai")</f>
        <v>Dubai</v>
      </c>
      <c r="B9010" s="2" t="str">
        <f ca="1">IFERROR(__xludf.DUMMYFUNCTION("""COMPUTED_VALUE"""),"Munira Residence")</f>
        <v>Munira Residence</v>
      </c>
      <c r="C9010" s="2" t="str">
        <f ca="1">IFERROR(__xludf.DUMMYFUNCTION("""COMPUTED_VALUE"""),"Building")</f>
        <v>Building</v>
      </c>
      <c r="D9010" s="2" t="str">
        <f ca="1">IFERROR(__xludf.DUMMYFUNCTION("""COMPUTED_VALUE"""),"Dubai&gt;Dubai Land Residence Complex&gt;Munira Residence")</f>
        <v>Dubai&gt;Dubai Land Residence Complex&gt;Munira Residence</v>
      </c>
      <c r="E9010" s="2"/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  <c r="W9010" s="2"/>
      <c r="X9010" s="2"/>
      <c r="Y9010" s="2"/>
      <c r="Z9010" s="2"/>
    </row>
    <row r="9011" spans="1:26" ht="16.5" x14ac:dyDescent="0.35">
      <c r="A9011" s="2" t="str">
        <f ca="1">IFERROR(__xludf.DUMMYFUNCTION("""COMPUTED_VALUE"""),"Dubai")</f>
        <v>Dubai</v>
      </c>
      <c r="B9011" s="2" t="str">
        <f ca="1">IFERROR(__xludf.DUMMYFUNCTION("""COMPUTED_VALUE"""),"AG Square")</f>
        <v>AG Square</v>
      </c>
      <c r="C9011" s="2" t="str">
        <f ca="1">IFERROR(__xludf.DUMMYFUNCTION("""COMPUTED_VALUE"""),"Building")</f>
        <v>Building</v>
      </c>
      <c r="D9011" s="2" t="str">
        <f ca="1">IFERROR(__xludf.DUMMYFUNCTION("""COMPUTED_VALUE"""),"Dubai&gt;Dubai Land Residence Complex&gt;AG Square")</f>
        <v>Dubai&gt;Dubai Land Residence Complex&gt;AG Square</v>
      </c>
      <c r="E9011" s="2"/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  <c r="W9011" s="2"/>
      <c r="X9011" s="2"/>
      <c r="Y9011" s="2"/>
      <c r="Z9011" s="2"/>
    </row>
    <row r="9012" spans="1:26" ht="16.5" x14ac:dyDescent="0.35">
      <c r="A9012" s="2" t="str">
        <f ca="1">IFERROR(__xludf.DUMMYFUNCTION("""COMPUTED_VALUE"""),"Dubai")</f>
        <v>Dubai</v>
      </c>
      <c r="B9012" s="2" t="str">
        <f ca="1">IFERROR(__xludf.DUMMYFUNCTION("""COMPUTED_VALUE"""),"Weybridge Gardens 3")</f>
        <v>Weybridge Gardens 3</v>
      </c>
      <c r="C9012" s="2" t="str">
        <f ca="1">IFERROR(__xludf.DUMMYFUNCTION("""COMPUTED_VALUE"""),"Building")</f>
        <v>Building</v>
      </c>
      <c r="D9012" s="2" t="str">
        <f ca="1">IFERROR(__xludf.DUMMYFUNCTION("""COMPUTED_VALUE"""),"Dubai&gt;Dubai Land Residence Complex&gt;Weybridge Gardens 3")</f>
        <v>Dubai&gt;Dubai Land Residence Complex&gt;Weybridge Gardens 3</v>
      </c>
      <c r="E9012" s="2"/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  <c r="W9012" s="2"/>
      <c r="X9012" s="2"/>
      <c r="Y9012" s="2"/>
      <c r="Z9012" s="2"/>
    </row>
    <row r="9013" spans="1:26" ht="16.5" x14ac:dyDescent="0.35">
      <c r="A9013" s="2" t="str">
        <f ca="1">IFERROR(__xludf.DUMMYFUNCTION("""COMPUTED_VALUE"""),"Dubai")</f>
        <v>Dubai</v>
      </c>
      <c r="B9013" s="2" t="str">
        <f ca="1">IFERROR(__xludf.DUMMYFUNCTION("""COMPUTED_VALUE"""),"Reef 998")</f>
        <v>Reef 998</v>
      </c>
      <c r="C9013" s="2" t="str">
        <f ca="1">IFERROR(__xludf.DUMMYFUNCTION("""COMPUTED_VALUE"""),"Building")</f>
        <v>Building</v>
      </c>
      <c r="D9013" s="2" t="str">
        <f ca="1">IFERROR(__xludf.DUMMYFUNCTION("""COMPUTED_VALUE"""),"Dubai&gt;Dubai Land Residence Complex&gt;Reef 998")</f>
        <v>Dubai&gt;Dubai Land Residence Complex&gt;Reef 998</v>
      </c>
      <c r="E9013" s="2"/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  <c r="W9013" s="2"/>
      <c r="X9013" s="2"/>
      <c r="Y9013" s="2"/>
      <c r="Z9013" s="2"/>
    </row>
    <row r="9014" spans="1:26" ht="16.5" x14ac:dyDescent="0.35">
      <c r="A9014" s="2" t="str">
        <f ca="1">IFERROR(__xludf.DUMMYFUNCTION("""COMPUTED_VALUE"""),"Dubai")</f>
        <v>Dubai</v>
      </c>
      <c r="B9014" s="2" t="str">
        <f ca="1">IFERROR(__xludf.DUMMYFUNCTION("""COMPUTED_VALUE"""),"Bond Living")</f>
        <v>Bond Living</v>
      </c>
      <c r="C9014" s="2" t="str">
        <f ca="1">IFERROR(__xludf.DUMMYFUNCTION("""COMPUTED_VALUE"""),"Building")</f>
        <v>Building</v>
      </c>
      <c r="D9014" s="2" t="str">
        <f ca="1">IFERROR(__xludf.DUMMYFUNCTION("""COMPUTED_VALUE"""),"Dubai&gt;Dubai Land Residence Complex&gt;Bond Living")</f>
        <v>Dubai&gt;Dubai Land Residence Complex&gt;Bond Living</v>
      </c>
      <c r="E9014" s="2"/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  <c r="W9014" s="2"/>
      <c r="X9014" s="2"/>
      <c r="Y9014" s="2"/>
      <c r="Z9014" s="2"/>
    </row>
    <row r="9015" spans="1:26" ht="16.5" x14ac:dyDescent="0.35">
      <c r="A9015" s="2" t="str">
        <f ca="1">IFERROR(__xludf.DUMMYFUNCTION("""COMPUTED_VALUE"""),"Dubai")</f>
        <v>Dubai</v>
      </c>
      <c r="B9015" s="2" t="str">
        <f ca="1">IFERROR(__xludf.DUMMYFUNCTION("""COMPUTED_VALUE"""),"Janayen Avenue B")</f>
        <v>Janayen Avenue B</v>
      </c>
      <c r="C9015" s="2" t="str">
        <f ca="1">IFERROR(__xludf.DUMMYFUNCTION("""COMPUTED_VALUE"""),"Building")</f>
        <v>Building</v>
      </c>
      <c r="D9015" s="2" t="str">
        <f ca="1">IFERROR(__xludf.DUMMYFUNCTION("""COMPUTED_VALUE"""),"Dubai&gt;Mirdif&gt;Mirdif Hills&gt;Janayen Avenue&gt;Janayen Avenue B")</f>
        <v>Dubai&gt;Mirdif&gt;Mirdif Hills&gt;Janayen Avenue&gt;Janayen Avenue B</v>
      </c>
      <c r="E9015" s="2"/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  <c r="W9015" s="2"/>
      <c r="X9015" s="2"/>
      <c r="Y9015" s="2"/>
      <c r="Z9015" s="2"/>
    </row>
    <row r="9016" spans="1:26" ht="16.5" x14ac:dyDescent="0.35">
      <c r="A9016" s="2" t="str">
        <f ca="1">IFERROR(__xludf.DUMMYFUNCTION("""COMPUTED_VALUE"""),"Dubai")</f>
        <v>Dubai</v>
      </c>
      <c r="B9016" s="2" t="str">
        <f ca="1">IFERROR(__xludf.DUMMYFUNCTION("""COMPUTED_VALUE"""),"Jumeirah Sands Villas")</f>
        <v>Jumeirah Sands Villas</v>
      </c>
      <c r="C9016" s="2" t="str">
        <f ca="1">IFERROR(__xludf.DUMMYFUNCTION("""COMPUTED_VALUE"""),"Neighbourhood")</f>
        <v>Neighbourhood</v>
      </c>
      <c r="D9016" s="2" t="str">
        <f ca="1">IFERROR(__xludf.DUMMYFUNCTION("""COMPUTED_VALUE"""),"Dubai&gt;Mirdif&gt;Jumeirah Sands Villas")</f>
        <v>Dubai&gt;Mirdif&gt;Jumeirah Sands Villas</v>
      </c>
      <c r="E9016" s="2"/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  <c r="W9016" s="2"/>
      <c r="X9016" s="2"/>
      <c r="Y9016" s="2"/>
      <c r="Z9016" s="2"/>
    </row>
    <row r="9017" spans="1:26" ht="16.5" x14ac:dyDescent="0.35">
      <c r="A9017" s="2" t="str">
        <f ca="1">IFERROR(__xludf.DUMMYFUNCTION("""COMPUTED_VALUE"""),"Dubai")</f>
        <v>Dubai</v>
      </c>
      <c r="B9017" s="2" t="str">
        <f ca="1">IFERROR(__xludf.DUMMYFUNCTION("""COMPUTED_VALUE"""),"Al Garhoud")</f>
        <v>Al Garhoud</v>
      </c>
      <c r="C9017" s="2" t="str">
        <f ca="1">IFERROR(__xludf.DUMMYFUNCTION("""COMPUTED_VALUE"""),"Neighbourhood")</f>
        <v>Neighbourhood</v>
      </c>
      <c r="D9017" s="2" t="str">
        <f ca="1">IFERROR(__xludf.DUMMYFUNCTION("""COMPUTED_VALUE"""),"Dubai&gt;Al Garhoud")</f>
        <v>Dubai&gt;Al Garhoud</v>
      </c>
      <c r="E9017" s="2"/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  <c r="W9017" s="2"/>
      <c r="X9017" s="2"/>
      <c r="Y9017" s="2"/>
      <c r="Z9017" s="2"/>
    </row>
    <row r="9018" spans="1:26" ht="16.5" x14ac:dyDescent="0.35">
      <c r="A9018" s="2" t="str">
        <f ca="1">IFERROR(__xludf.DUMMYFUNCTION("""COMPUTED_VALUE"""),"Dubai")</f>
        <v>Dubai</v>
      </c>
      <c r="B9018" s="2" t="str">
        <f ca="1">IFERROR(__xludf.DUMMYFUNCTION("""COMPUTED_VALUE"""),"Garhoud Atrium")</f>
        <v>Garhoud Atrium</v>
      </c>
      <c r="C9018" s="2" t="str">
        <f ca="1">IFERROR(__xludf.DUMMYFUNCTION("""COMPUTED_VALUE"""),"Building")</f>
        <v>Building</v>
      </c>
      <c r="D9018" s="2" t="str">
        <f ca="1">IFERROR(__xludf.DUMMYFUNCTION("""COMPUTED_VALUE"""),"Dubai&gt;Al Garhoud&gt;Garhoud Atrium")</f>
        <v>Dubai&gt;Al Garhoud&gt;Garhoud Atrium</v>
      </c>
      <c r="E9018" s="2"/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  <c r="W9018" s="2"/>
      <c r="X9018" s="2"/>
      <c r="Y9018" s="2"/>
      <c r="Z9018" s="2"/>
    </row>
    <row r="9019" spans="1:26" ht="16.5" x14ac:dyDescent="0.35">
      <c r="A9019" s="2" t="str">
        <f ca="1">IFERROR(__xludf.DUMMYFUNCTION("""COMPUTED_VALUE"""),"Dubai")</f>
        <v>Dubai</v>
      </c>
      <c r="B9019" s="2" t="str">
        <f ca="1">IFERROR(__xludf.DUMMYFUNCTION("""COMPUTED_VALUE"""),"Jumeirah Creekside Hotel")</f>
        <v>Jumeirah Creekside Hotel</v>
      </c>
      <c r="C9019" s="2" t="str">
        <f ca="1">IFERROR(__xludf.DUMMYFUNCTION("""COMPUTED_VALUE"""),"Building")</f>
        <v>Building</v>
      </c>
      <c r="D9019" s="2" t="str">
        <f ca="1">IFERROR(__xludf.DUMMYFUNCTION("""COMPUTED_VALUE"""),"Dubai&gt;Al Garhoud&gt;Jumeirah Creekside Hotel")</f>
        <v>Dubai&gt;Al Garhoud&gt;Jumeirah Creekside Hotel</v>
      </c>
      <c r="E9019" s="2"/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  <c r="W9019" s="2"/>
      <c r="X9019" s="2"/>
      <c r="Y9019" s="2"/>
      <c r="Z9019" s="2"/>
    </row>
    <row r="9020" spans="1:26" ht="16.5" x14ac:dyDescent="0.35">
      <c r="A9020" s="2" t="str">
        <f ca="1">IFERROR(__xludf.DUMMYFUNCTION("""COMPUTED_VALUE"""),"Dubai")</f>
        <v>Dubai</v>
      </c>
      <c r="B9020" s="2" t="str">
        <f ca="1">IFERROR(__xludf.DUMMYFUNCTION("""COMPUTED_VALUE"""),"Cluster 9")</f>
        <v>Cluster 9</v>
      </c>
      <c r="C9020" s="2" t="str">
        <f ca="1">IFERROR(__xludf.DUMMYFUNCTION("""COMPUTED_VALUE"""),"Neighbourhood")</f>
        <v>Neighbourhood</v>
      </c>
      <c r="D9020" s="2" t="str">
        <f ca="1">IFERROR(__xludf.DUMMYFUNCTION("""COMPUTED_VALUE"""),"Dubai&gt;Jumeirah Islands&gt;Cluster 9")</f>
        <v>Dubai&gt;Jumeirah Islands&gt;Cluster 9</v>
      </c>
      <c r="E9020" s="2"/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  <c r="W9020" s="2"/>
      <c r="X9020" s="2"/>
      <c r="Y9020" s="2"/>
      <c r="Z9020" s="2"/>
    </row>
    <row r="9021" spans="1:26" ht="16.5" x14ac:dyDescent="0.35">
      <c r="A9021" s="2" t="str">
        <f ca="1">IFERROR(__xludf.DUMMYFUNCTION("""COMPUTED_VALUE"""),"Dubai")</f>
        <v>Dubai</v>
      </c>
      <c r="B9021" s="2" t="str">
        <f ca="1">IFERROR(__xludf.DUMMYFUNCTION("""COMPUTED_VALUE"""),"Cluster 41")</f>
        <v>Cluster 41</v>
      </c>
      <c r="C9021" s="2" t="str">
        <f ca="1">IFERROR(__xludf.DUMMYFUNCTION("""COMPUTED_VALUE"""),"Neighbourhood")</f>
        <v>Neighbourhood</v>
      </c>
      <c r="D9021" s="2" t="str">
        <f ca="1">IFERROR(__xludf.DUMMYFUNCTION("""COMPUTED_VALUE"""),"Dubai&gt;Jumeirah Islands&gt;Cluster 41")</f>
        <v>Dubai&gt;Jumeirah Islands&gt;Cluster 41</v>
      </c>
      <c r="E9021" s="2"/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  <c r="W9021" s="2"/>
      <c r="X9021" s="2"/>
      <c r="Y9021" s="2"/>
      <c r="Z9021" s="2"/>
    </row>
    <row r="9022" spans="1:26" ht="16.5" x14ac:dyDescent="0.35">
      <c r="A9022" s="2" t="str">
        <f ca="1">IFERROR(__xludf.DUMMYFUNCTION("""COMPUTED_VALUE"""),"Dubai")</f>
        <v>Dubai</v>
      </c>
      <c r="B9022" s="2" t="str">
        <f ca="1">IFERROR(__xludf.DUMMYFUNCTION("""COMPUTED_VALUE"""),"Garden Apartments East A")</f>
        <v>Garden Apartments East A</v>
      </c>
      <c r="C9022" s="2" t="str">
        <f ca="1">IFERROR(__xludf.DUMMYFUNCTION("""COMPUTED_VALUE"""),"Building")</f>
        <v>Building</v>
      </c>
      <c r="D9022" s="2" t="str">
        <f ca="1">IFERROR(__xludf.DUMMYFUNCTION("""COMPUTED_VALUE"""),"Dubai&gt;Green Community&gt;Garden East Apartments&gt;Garden Apartments East A")</f>
        <v>Dubai&gt;Green Community&gt;Garden East Apartments&gt;Garden Apartments East A</v>
      </c>
      <c r="E9022" s="2"/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  <c r="W9022" s="2"/>
      <c r="X9022" s="2"/>
      <c r="Y9022" s="2"/>
      <c r="Z9022" s="2"/>
    </row>
    <row r="9023" spans="1:26" ht="16.5" x14ac:dyDescent="0.35">
      <c r="A9023" s="2" t="str">
        <f ca="1">IFERROR(__xludf.DUMMYFUNCTION("""COMPUTED_VALUE"""),"Dubai")</f>
        <v>Dubai</v>
      </c>
      <c r="B9023" s="2" t="str">
        <f ca="1">IFERROR(__xludf.DUMMYFUNCTION("""COMPUTED_VALUE"""),"Green Community West")</f>
        <v>Green Community West</v>
      </c>
      <c r="C9023" s="2" t="str">
        <f ca="1">IFERROR(__xludf.DUMMYFUNCTION("""COMPUTED_VALUE"""),"Neighbourhood")</f>
        <v>Neighbourhood</v>
      </c>
      <c r="D9023" s="2" t="str">
        <f ca="1">IFERROR(__xludf.DUMMYFUNCTION("""COMPUTED_VALUE"""),"Dubai&gt;Green Community&gt;Green Community West")</f>
        <v>Dubai&gt;Green Community&gt;Green Community West</v>
      </c>
      <c r="E9023" s="2"/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  <c r="W9023" s="2"/>
      <c r="X9023" s="2"/>
      <c r="Y9023" s="2"/>
      <c r="Z9023" s="2"/>
    </row>
    <row r="9024" spans="1:26" ht="16.5" x14ac:dyDescent="0.35">
      <c r="A9024" s="2" t="str">
        <f ca="1">IFERROR(__xludf.DUMMYFUNCTION("""COMPUTED_VALUE"""),"Dubai")</f>
        <v>Dubai</v>
      </c>
      <c r="B9024" s="2" t="str">
        <f ca="1">IFERROR(__xludf.DUMMYFUNCTION("""COMPUTED_VALUE"""),"Elite Sports Residence 10")</f>
        <v>Elite Sports Residence 10</v>
      </c>
      <c r="C9024" s="2" t="str">
        <f ca="1">IFERROR(__xludf.DUMMYFUNCTION("""COMPUTED_VALUE"""),"Cluster")</f>
        <v>Cluster</v>
      </c>
      <c r="D9024" s="2" t="str">
        <f ca="1">IFERROR(__xludf.DUMMYFUNCTION("""COMPUTED_VALUE"""),"Dubai&gt;Dubai Sports City&gt;Elite Sports Residence&gt;Elite Sports Residence 10")</f>
        <v>Dubai&gt;Dubai Sports City&gt;Elite Sports Residence&gt;Elite Sports Residence 10</v>
      </c>
      <c r="E9024" s="2"/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  <c r="W9024" s="2"/>
      <c r="X9024" s="2"/>
      <c r="Y9024" s="2"/>
      <c r="Z9024" s="2"/>
    </row>
    <row r="9025" spans="1:26" ht="16.5" x14ac:dyDescent="0.35">
      <c r="A9025" s="2" t="str">
        <f ca="1">IFERROR(__xludf.DUMMYFUNCTION("""COMPUTED_VALUE"""),"Dubai")</f>
        <v>Dubai</v>
      </c>
      <c r="B9025" s="2" t="str">
        <f ca="1">IFERROR(__xludf.DUMMYFUNCTION("""COMPUTED_VALUE"""),"Golf View")</f>
        <v>Golf View</v>
      </c>
      <c r="C9025" s="2" t="str">
        <f ca="1">IFERROR(__xludf.DUMMYFUNCTION("""COMPUTED_VALUE"""),"Building")</f>
        <v>Building</v>
      </c>
      <c r="D9025" s="2" t="str">
        <f ca="1">IFERROR(__xludf.DUMMYFUNCTION("""COMPUTED_VALUE"""),"Dubai&gt;Dubai Sports City&gt;Golf View")</f>
        <v>Dubai&gt;Dubai Sports City&gt;Golf View</v>
      </c>
      <c r="E9025" s="2"/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  <c r="W9025" s="2"/>
      <c r="X9025" s="2"/>
      <c r="Y9025" s="2"/>
      <c r="Z9025" s="2"/>
    </row>
    <row r="9026" spans="1:26" ht="16.5" x14ac:dyDescent="0.35">
      <c r="A9026" s="2" t="str">
        <f ca="1">IFERROR(__xludf.DUMMYFUNCTION("""COMPUTED_VALUE"""),"Dubai")</f>
        <v>Dubai</v>
      </c>
      <c r="B9026" s="2" t="str">
        <f ca="1">IFERROR(__xludf.DUMMYFUNCTION("""COMPUTED_VALUE"""),"Oasis Tower 1")</f>
        <v>Oasis Tower 1</v>
      </c>
      <c r="C9026" s="2" t="str">
        <f ca="1">IFERROR(__xludf.DUMMYFUNCTION("""COMPUTED_VALUE"""),"Building")</f>
        <v>Building</v>
      </c>
      <c r="D9026" s="2" t="str">
        <f ca="1">IFERROR(__xludf.DUMMYFUNCTION("""COMPUTED_VALUE"""),"Dubai&gt;Dubai Sports City&gt;Oasis Tower 1")</f>
        <v>Dubai&gt;Dubai Sports City&gt;Oasis Tower 1</v>
      </c>
      <c r="E9026" s="2"/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  <c r="W9026" s="2"/>
      <c r="X9026" s="2"/>
      <c r="Y9026" s="2"/>
      <c r="Z9026" s="2"/>
    </row>
    <row r="9027" spans="1:26" ht="16.5" x14ac:dyDescent="0.35">
      <c r="A9027" s="2" t="str">
        <f ca="1">IFERROR(__xludf.DUMMYFUNCTION("""COMPUTED_VALUE"""),"Dubai")</f>
        <v>Dubai</v>
      </c>
      <c r="B9027" s="2" t="str">
        <f ca="1">IFERROR(__xludf.DUMMYFUNCTION("""COMPUTED_VALUE"""),"Sportz By Danube Tower 1")</f>
        <v>Sportz By Danube Tower 1</v>
      </c>
      <c r="C9027" s="2" t="str">
        <f ca="1">IFERROR(__xludf.DUMMYFUNCTION("""COMPUTED_VALUE"""),"Building")</f>
        <v>Building</v>
      </c>
      <c r="D9027" s="2" t="str">
        <f ca="1">IFERROR(__xludf.DUMMYFUNCTION("""COMPUTED_VALUE"""),"Dubai&gt;Dubai Sports City&gt;Sportz By Danube&gt;Sportz By Danube Tower 1")</f>
        <v>Dubai&gt;Dubai Sports City&gt;Sportz By Danube&gt;Sportz By Danube Tower 1</v>
      </c>
      <c r="E9027" s="2"/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  <c r="W9027" s="2"/>
      <c r="X9027" s="2"/>
      <c r="Y9027" s="2"/>
      <c r="Z9027" s="2"/>
    </row>
    <row r="9028" spans="1:26" ht="16.5" x14ac:dyDescent="0.35">
      <c r="A9028" s="2" t="str">
        <f ca="1">IFERROR(__xludf.DUMMYFUNCTION("""COMPUTED_VALUE"""),"Dubai")</f>
        <v>Dubai</v>
      </c>
      <c r="B9028" s="2" t="str">
        <f ca="1">IFERROR(__xludf.DUMMYFUNCTION("""COMPUTED_VALUE"""),"Bahwan Tower")</f>
        <v>Bahwan Tower</v>
      </c>
      <c r="C9028" s="2" t="str">
        <f ca="1">IFERROR(__xludf.DUMMYFUNCTION("""COMPUTED_VALUE"""),"Building")</f>
        <v>Building</v>
      </c>
      <c r="D9028" s="2" t="str">
        <f ca="1">IFERROR(__xludf.DUMMYFUNCTION("""COMPUTED_VALUE"""),"Dubai&gt;Al Nahda (Dubai)&gt;Al Nahda 1&gt;Bahwan Tower")</f>
        <v>Dubai&gt;Al Nahda (Dubai)&gt;Al Nahda 1&gt;Bahwan Tower</v>
      </c>
      <c r="E9028" s="2"/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  <c r="W9028" s="2"/>
      <c r="X9028" s="2"/>
      <c r="Y9028" s="2"/>
      <c r="Z9028" s="2"/>
    </row>
    <row r="9029" spans="1:26" ht="16.5" x14ac:dyDescent="0.35">
      <c r="A9029" s="2" t="str">
        <f ca="1">IFERROR(__xludf.DUMMYFUNCTION("""COMPUTED_VALUE"""),"Dubai")</f>
        <v>Dubai</v>
      </c>
      <c r="B9029" s="2" t="str">
        <f ca="1">IFERROR(__xludf.DUMMYFUNCTION("""COMPUTED_VALUE"""),"Bin Juma 6")</f>
        <v>Bin Juma 6</v>
      </c>
      <c r="C9029" s="2" t="str">
        <f ca="1">IFERROR(__xludf.DUMMYFUNCTION("""COMPUTED_VALUE"""),"Building")</f>
        <v>Building</v>
      </c>
      <c r="D9029" s="2" t="str">
        <f ca="1">IFERROR(__xludf.DUMMYFUNCTION("""COMPUTED_VALUE"""),"Dubai&gt;Al Nahda (Dubai)&gt;Al Nahda 1&gt;Bin Juma&gt;Bin Juma 6")</f>
        <v>Dubai&gt;Al Nahda (Dubai)&gt;Al Nahda 1&gt;Bin Juma&gt;Bin Juma 6</v>
      </c>
      <c r="E9029" s="2"/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  <c r="W9029" s="2"/>
      <c r="X9029" s="2"/>
      <c r="Y9029" s="2"/>
      <c r="Z9029" s="2"/>
    </row>
    <row r="9030" spans="1:26" ht="16.5" x14ac:dyDescent="0.35">
      <c r="A9030" s="2" t="str">
        <f ca="1">IFERROR(__xludf.DUMMYFUNCTION("""COMPUTED_VALUE"""),"Dubai")</f>
        <v>Dubai</v>
      </c>
      <c r="B9030" s="2" t="str">
        <f ca="1">IFERROR(__xludf.DUMMYFUNCTION("""COMPUTED_VALUE"""),"Al Khattal Building")</f>
        <v>Al Khattal Building</v>
      </c>
      <c r="C9030" s="2" t="str">
        <f ca="1">IFERROR(__xludf.DUMMYFUNCTION("""COMPUTED_VALUE"""),"Building")</f>
        <v>Building</v>
      </c>
      <c r="D9030" s="2" t="str">
        <f ca="1">IFERROR(__xludf.DUMMYFUNCTION("""COMPUTED_VALUE"""),"Dubai&gt;Al Nahda (Dubai)&gt;Al Nahda 2&gt;Al Khattal Building")</f>
        <v>Dubai&gt;Al Nahda (Dubai)&gt;Al Nahda 2&gt;Al Khattal Building</v>
      </c>
      <c r="E9030" s="2"/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  <c r="W9030" s="2"/>
      <c r="X9030" s="2"/>
      <c r="Y9030" s="2"/>
      <c r="Z9030" s="2"/>
    </row>
    <row r="9031" spans="1:26" ht="16.5" x14ac:dyDescent="0.35">
      <c r="A9031" s="2" t="str">
        <f ca="1">IFERROR(__xludf.DUMMYFUNCTION("""COMPUTED_VALUE"""),"Dubai")</f>
        <v>Dubai</v>
      </c>
      <c r="B9031" s="2" t="str">
        <f ca="1">IFERROR(__xludf.DUMMYFUNCTION("""COMPUTED_VALUE"""),"Al Nahda Towers")</f>
        <v>Al Nahda Towers</v>
      </c>
      <c r="C9031" s="2" t="str">
        <f ca="1">IFERROR(__xludf.DUMMYFUNCTION("""COMPUTED_VALUE"""),"Building")</f>
        <v>Building</v>
      </c>
      <c r="D9031" s="2" t="str">
        <f ca="1">IFERROR(__xludf.DUMMYFUNCTION("""COMPUTED_VALUE"""),"Dubai&gt;Al Nahda (Dubai)&gt;Al Nahda 2&gt;Al Nahda Towers")</f>
        <v>Dubai&gt;Al Nahda (Dubai)&gt;Al Nahda 2&gt;Al Nahda Towers</v>
      </c>
      <c r="E9031" s="2"/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  <c r="W9031" s="2"/>
      <c r="X9031" s="2"/>
      <c r="Y9031" s="2"/>
      <c r="Z9031" s="2"/>
    </row>
    <row r="9032" spans="1:26" ht="16.5" x14ac:dyDescent="0.35">
      <c r="A9032" s="2" t="str">
        <f ca="1">IFERROR(__xludf.DUMMYFUNCTION("""COMPUTED_VALUE"""),"Dubai")</f>
        <v>Dubai</v>
      </c>
      <c r="B9032" s="2" t="str">
        <f ca="1">IFERROR(__xludf.DUMMYFUNCTION("""COMPUTED_VALUE"""),"Al Nahda Plaza")</f>
        <v>Al Nahda Plaza</v>
      </c>
      <c r="C9032" s="2" t="str">
        <f ca="1">IFERROR(__xludf.DUMMYFUNCTION("""COMPUTED_VALUE"""),"Building")</f>
        <v>Building</v>
      </c>
      <c r="D9032" s="2" t="str">
        <f ca="1">IFERROR(__xludf.DUMMYFUNCTION("""COMPUTED_VALUE"""),"Dubai&gt;Al Nahda (Dubai)&gt;Al Nahda 2&gt;Al Nahda Plaza")</f>
        <v>Dubai&gt;Al Nahda (Dubai)&gt;Al Nahda 2&gt;Al Nahda Plaza</v>
      </c>
      <c r="E9032" s="2"/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  <c r="W9032" s="2"/>
      <c r="X9032" s="2"/>
      <c r="Y9032" s="2"/>
      <c r="Z9032" s="2"/>
    </row>
    <row r="9033" spans="1:26" ht="16.5" x14ac:dyDescent="0.35">
      <c r="A9033" s="2" t="str">
        <f ca="1">IFERROR(__xludf.DUMMYFUNCTION("""COMPUTED_VALUE"""),"Dubai")</f>
        <v>Dubai</v>
      </c>
      <c r="B9033" s="2" t="str">
        <f ca="1">IFERROR(__xludf.DUMMYFUNCTION("""COMPUTED_VALUE"""),"Rashid Bakhit Rashid Al Jumairi Building")</f>
        <v>Rashid Bakhit Rashid Al Jumairi Building</v>
      </c>
      <c r="C9033" s="2" t="str">
        <f ca="1">IFERROR(__xludf.DUMMYFUNCTION("""COMPUTED_VALUE"""),"Building")</f>
        <v>Building</v>
      </c>
      <c r="D9033" s="2" t="str">
        <f ca="1">IFERROR(__xludf.DUMMYFUNCTION("""COMPUTED_VALUE"""),"Dubai&gt;Al Nahda (Dubai)&gt;Al Nahda 2&gt;Rashid Bakhit Rashid Al Jumairi Building")</f>
        <v>Dubai&gt;Al Nahda (Dubai)&gt;Al Nahda 2&gt;Rashid Bakhit Rashid Al Jumairi Building</v>
      </c>
      <c r="E9033" s="2"/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  <c r="W9033" s="2"/>
      <c r="X9033" s="2"/>
      <c r="Y9033" s="2"/>
      <c r="Z9033" s="2"/>
    </row>
    <row r="9034" spans="1:26" ht="16.5" x14ac:dyDescent="0.35">
      <c r="A9034" s="2" t="str">
        <f ca="1">IFERROR(__xludf.DUMMYFUNCTION("""COMPUTED_VALUE"""),"Dubai")</f>
        <v>Dubai</v>
      </c>
      <c r="B9034" s="2" t="str">
        <f ca="1">IFERROR(__xludf.DUMMYFUNCTION("""COMPUTED_VALUE"""),"Waterview Villas")</f>
        <v>Waterview Villas</v>
      </c>
      <c r="C9034" s="2" t="str">
        <f ca="1">IFERROR(__xludf.DUMMYFUNCTION("""COMPUTED_VALUE"""),"Neighbourhood")</f>
        <v>Neighbourhood</v>
      </c>
      <c r="D9034" s="2" t="str">
        <f ca="1">IFERROR(__xludf.DUMMYFUNCTION("""COMPUTED_VALUE"""),"Dubai&gt;Jumeirah Park&gt;District 6&gt;Waterview Villas")</f>
        <v>Dubai&gt;Jumeirah Park&gt;District 6&gt;Waterview Villas</v>
      </c>
      <c r="E9034" s="2"/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  <c r="W9034" s="2"/>
      <c r="X9034" s="2"/>
      <c r="Y9034" s="2"/>
      <c r="Z9034" s="2"/>
    </row>
    <row r="9035" spans="1:26" ht="16.5" x14ac:dyDescent="0.35">
      <c r="A9035" s="2" t="str">
        <f ca="1">IFERROR(__xludf.DUMMYFUNCTION("""COMPUTED_VALUE"""),"Dubai")</f>
        <v>Dubai</v>
      </c>
      <c r="B9035" s="2" t="str">
        <f ca="1">IFERROR(__xludf.DUMMYFUNCTION("""COMPUTED_VALUE"""),"Lagoon Views 1 Tower C")</f>
        <v>Lagoon Views 1 Tower C</v>
      </c>
      <c r="C9035" s="2" t="str">
        <f ca="1">IFERROR(__xludf.DUMMYFUNCTION("""COMPUTED_VALUE"""),"Building")</f>
        <v>Building</v>
      </c>
      <c r="D9035" s="2" t="str">
        <f ca="1">IFERROR(__xludf.DUMMYFUNCTION("""COMPUTED_VALUE"""),"Dubai&gt;DAMAC Lagoons&gt;Lagoon Views&gt;Lagoon Views 1 Tower C")</f>
        <v>Dubai&gt;DAMAC Lagoons&gt;Lagoon Views&gt;Lagoon Views 1 Tower C</v>
      </c>
      <c r="E9035" s="2"/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  <c r="W9035" s="2"/>
      <c r="X9035" s="2"/>
      <c r="Y9035" s="2"/>
      <c r="Z9035" s="2"/>
    </row>
    <row r="9036" spans="1:26" ht="16.5" x14ac:dyDescent="0.35">
      <c r="A9036" s="2" t="str">
        <f ca="1">IFERROR(__xludf.DUMMYFUNCTION("""COMPUTED_VALUE"""),"Dubai")</f>
        <v>Dubai</v>
      </c>
      <c r="B9036" s="2" t="str">
        <f ca="1">IFERROR(__xludf.DUMMYFUNCTION("""COMPUTED_VALUE"""),"Liwan Gate 2")</f>
        <v>Liwan Gate 2</v>
      </c>
      <c r="C9036" s="2" t="str">
        <f ca="1">IFERROR(__xludf.DUMMYFUNCTION("""COMPUTED_VALUE"""),"Building")</f>
        <v>Building</v>
      </c>
      <c r="D9036" s="2" t="str">
        <f ca="1">IFERROR(__xludf.DUMMYFUNCTION("""COMPUTED_VALUE"""),"Dubai&gt;Liwan 2&gt;Liwan Gate&gt;Liwan Gate 2")</f>
        <v>Dubai&gt;Liwan 2&gt;Liwan Gate&gt;Liwan Gate 2</v>
      </c>
      <c r="E9036" s="2"/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  <c r="W9036" s="2"/>
      <c r="X9036" s="2"/>
      <c r="Y9036" s="2"/>
      <c r="Z9036" s="2"/>
    </row>
    <row r="9037" spans="1:26" ht="16.5" x14ac:dyDescent="0.35">
      <c r="A9037" s="2" t="str">
        <f ca="1">IFERROR(__xludf.DUMMYFUNCTION("""COMPUTED_VALUE"""),"Dubai")</f>
        <v>Dubai</v>
      </c>
      <c r="B9037" s="2" t="str">
        <f ca="1">IFERROR(__xludf.DUMMYFUNCTION("""COMPUTED_VALUE"""),"Remac Residence 12")</f>
        <v>Remac Residence 12</v>
      </c>
      <c r="C9037" s="2" t="str">
        <f ca="1">IFERROR(__xludf.DUMMYFUNCTION("""COMPUTED_VALUE"""),"Building")</f>
        <v>Building</v>
      </c>
      <c r="D9037" s="2" t="str">
        <f ca="1">IFERROR(__xludf.DUMMYFUNCTION("""COMPUTED_VALUE"""),"Dubai&gt;Liwan 2&gt;Remac Residence 12")</f>
        <v>Dubai&gt;Liwan 2&gt;Remac Residence 12</v>
      </c>
      <c r="E9037" s="2"/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  <c r="W9037" s="2"/>
      <c r="X9037" s="2"/>
      <c r="Y9037" s="2"/>
      <c r="Z9037" s="2"/>
    </row>
    <row r="9038" spans="1:26" ht="16.5" x14ac:dyDescent="0.35">
      <c r="A9038" s="2" t="str">
        <f ca="1">IFERROR(__xludf.DUMMYFUNCTION("""COMPUTED_VALUE"""),"Dubai")</f>
        <v>Dubai</v>
      </c>
      <c r="B9038" s="2" t="str">
        <f ca="1">IFERROR(__xludf.DUMMYFUNCTION("""COMPUTED_VALUE"""),"Arenco Building Block 4")</f>
        <v>Arenco Building Block 4</v>
      </c>
      <c r="C9038" s="2" t="str">
        <f ca="1">IFERROR(__xludf.DUMMYFUNCTION("""COMPUTED_VALUE"""),"Building")</f>
        <v>Building</v>
      </c>
      <c r="D9038" s="2" t="str">
        <f ca="1">IFERROR(__xludf.DUMMYFUNCTION("""COMPUTED_VALUE"""),"Dubai&gt;Dubai Investment Park (DIP)&gt;Dubai Investment Park 1&gt;Arenco Offices&gt;Arenco Building Block 4")</f>
        <v>Dubai&gt;Dubai Investment Park (DIP)&gt;Dubai Investment Park 1&gt;Arenco Offices&gt;Arenco Building Block 4</v>
      </c>
      <c r="E9038" s="2"/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  <c r="W9038" s="2"/>
      <c r="X9038" s="2"/>
      <c r="Y9038" s="2"/>
      <c r="Z9038" s="2"/>
    </row>
    <row r="9039" spans="1:26" ht="16.5" x14ac:dyDescent="0.35">
      <c r="A9039" s="2" t="str">
        <f ca="1">IFERROR(__xludf.DUMMYFUNCTION("""COMPUTED_VALUE"""),"Dubai")</f>
        <v>Dubai</v>
      </c>
      <c r="B9039" s="2" t="str">
        <f ca="1">IFERROR(__xludf.DUMMYFUNCTION("""COMPUTED_VALUE"""),"City Experts Group Labour Accommodation")</f>
        <v>City Experts Group Labour Accommodation</v>
      </c>
      <c r="C9039" s="2" t="str">
        <f ca="1">IFERROR(__xludf.DUMMYFUNCTION("""COMPUTED_VALUE"""),"Cluster")</f>
        <v>Cluster</v>
      </c>
      <c r="D9039" s="2" t="str">
        <f ca="1">IFERROR(__xludf.DUMMYFUNCTION("""COMPUTED_VALUE"""),"Dubai&gt;Dubai Investment Park (DIP)&gt;Dubai Investment Park 1&gt;City Experts Group Labour Accommodation")</f>
        <v>Dubai&gt;Dubai Investment Park (DIP)&gt;Dubai Investment Park 1&gt;City Experts Group Labour Accommodation</v>
      </c>
      <c r="E9039" s="2"/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  <c r="W9039" s="2"/>
      <c r="X9039" s="2"/>
      <c r="Y9039" s="2"/>
      <c r="Z9039" s="2"/>
    </row>
    <row r="9040" spans="1:26" ht="16.5" x14ac:dyDescent="0.35">
      <c r="A9040" s="2" t="str">
        <f ca="1">IFERROR(__xludf.DUMMYFUNCTION("""COMPUTED_VALUE"""),"Dubai")</f>
        <v>Dubai</v>
      </c>
      <c r="B9040" s="2" t="str">
        <f ca="1">IFERROR(__xludf.DUMMYFUNCTION("""COMPUTED_VALUE"""),"Multiplex Staff Accommodation")</f>
        <v>Multiplex Staff Accommodation</v>
      </c>
      <c r="C9040" s="2" t="str">
        <f ca="1">IFERROR(__xludf.DUMMYFUNCTION("""COMPUTED_VALUE"""),"Building")</f>
        <v>Building</v>
      </c>
      <c r="D9040" s="2" t="str">
        <f ca="1">IFERROR(__xludf.DUMMYFUNCTION("""COMPUTED_VALUE"""),"Dubai&gt;Dubai Investment Park (DIP)&gt;Dubai Investment Park 1&gt;Multiplex Staff Accommodation")</f>
        <v>Dubai&gt;Dubai Investment Park (DIP)&gt;Dubai Investment Park 1&gt;Multiplex Staff Accommodation</v>
      </c>
      <c r="E9040" s="2"/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  <c r="W9040" s="2"/>
      <c r="X9040" s="2"/>
      <c r="Y9040" s="2"/>
      <c r="Z9040" s="2"/>
    </row>
    <row r="9041" spans="1:26" ht="16.5" x14ac:dyDescent="0.35">
      <c r="A9041" s="2" t="str">
        <f ca="1">IFERROR(__xludf.DUMMYFUNCTION("""COMPUTED_VALUE"""),"Dubai")</f>
        <v>Dubai</v>
      </c>
      <c r="B9041" s="2" t="str">
        <f ca="1">IFERROR(__xludf.DUMMYFUNCTION("""COMPUTED_VALUE"""),"Moon Residence")</f>
        <v>Moon Residence</v>
      </c>
      <c r="C9041" s="2" t="str">
        <f ca="1">IFERROR(__xludf.DUMMYFUNCTION("""COMPUTED_VALUE"""),"Building")</f>
        <v>Building</v>
      </c>
      <c r="D9041" s="2" t="str">
        <f ca="1">IFERROR(__xludf.DUMMYFUNCTION("""COMPUTED_VALUE"""),"Dubai&gt;Dubai Investment Park (DIP)&gt;The Village&gt;Moon Residence")</f>
        <v>Dubai&gt;Dubai Investment Park (DIP)&gt;The Village&gt;Moon Residence</v>
      </c>
      <c r="E9041" s="2"/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  <c r="W9041" s="2"/>
      <c r="X9041" s="2"/>
      <c r="Y9041" s="2"/>
      <c r="Z9041" s="2"/>
    </row>
    <row r="9042" spans="1:26" ht="16.5" x14ac:dyDescent="0.35">
      <c r="A9042" s="2" t="str">
        <f ca="1">IFERROR(__xludf.DUMMYFUNCTION("""COMPUTED_VALUE"""),"Dubai")</f>
        <v>Dubai</v>
      </c>
      <c r="B9042" s="2" t="str">
        <f ca="1">IFERROR(__xludf.DUMMYFUNCTION("""COMPUTED_VALUE"""),"B14")</f>
        <v>B14</v>
      </c>
      <c r="C9042" s="2" t="str">
        <f ca="1">IFERROR(__xludf.DUMMYFUNCTION("""COMPUTED_VALUE"""),"Building")</f>
        <v>Building</v>
      </c>
      <c r="D9042" s="2" t="str">
        <f ca="1">IFERROR(__xludf.DUMMYFUNCTION("""COMPUTED_VALUE"""),"Dubai&gt;Dubai Investment Park (DIP)&gt;Dubai Investment Park 2&gt;Dunes Village&gt;B14")</f>
        <v>Dubai&gt;Dubai Investment Park (DIP)&gt;Dubai Investment Park 2&gt;Dunes Village&gt;B14</v>
      </c>
      <c r="E9042" s="2"/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  <c r="W9042" s="2"/>
      <c r="X9042" s="2"/>
      <c r="Y9042" s="2"/>
      <c r="Z9042" s="2"/>
    </row>
    <row r="9043" spans="1:26" ht="16.5" x14ac:dyDescent="0.35">
      <c r="A9043" s="2" t="str">
        <f ca="1">IFERROR(__xludf.DUMMYFUNCTION("""COMPUTED_VALUE"""),"Dubai")</f>
        <v>Dubai</v>
      </c>
      <c r="B9043" s="2" t="str">
        <f ca="1">IFERROR(__xludf.DUMMYFUNCTION("""COMPUTED_VALUE"""),"Imperial Residence A")</f>
        <v>Imperial Residence A</v>
      </c>
      <c r="C9043" s="2" t="str">
        <f ca="1">IFERROR(__xludf.DUMMYFUNCTION("""COMPUTED_VALUE"""),"Building")</f>
        <v>Building</v>
      </c>
      <c r="D9043" s="2" t="str">
        <f ca="1">IFERROR(__xludf.DUMMYFUNCTION("""COMPUTED_VALUE"""),"Dubai&gt;Dubai Investment Park (DIP)&gt;Imperial Residences (DIP)&gt;Imperial Residence A")</f>
        <v>Dubai&gt;Dubai Investment Park (DIP)&gt;Imperial Residences (DIP)&gt;Imperial Residence A</v>
      </c>
      <c r="E9043" s="2"/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  <c r="W9043" s="2"/>
      <c r="X9043" s="2"/>
      <c r="Y9043" s="2"/>
      <c r="Z9043" s="2"/>
    </row>
    <row r="9044" spans="1:26" ht="16.5" x14ac:dyDescent="0.35">
      <c r="A9044" s="2" t="str">
        <f ca="1">IFERROR(__xludf.DUMMYFUNCTION("""COMPUTED_VALUE"""),"Dubai")</f>
        <v>Dubai</v>
      </c>
      <c r="B9044" s="2" t="str">
        <f ca="1">IFERROR(__xludf.DUMMYFUNCTION("""COMPUTED_VALUE"""),"Montura 3")</f>
        <v>Montura 3</v>
      </c>
      <c r="C9044" s="2" t="str">
        <f ca="1">IFERROR(__xludf.DUMMYFUNCTION("""COMPUTED_VALUE"""),"Neighbourhood")</f>
        <v>Neighbourhood</v>
      </c>
      <c r="D9044" s="2" t="str">
        <f ca="1">IFERROR(__xludf.DUMMYFUNCTION("""COMPUTED_VALUE"""),"Dubai&gt;Dubai Investment Park (DIP)&gt;Grand Polo Club &amp; Resort&gt;Montura 3")</f>
        <v>Dubai&gt;Dubai Investment Park (DIP)&gt;Grand Polo Club &amp; Resort&gt;Montura 3</v>
      </c>
      <c r="E9044" s="2"/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  <c r="W9044" s="2"/>
      <c r="X9044" s="2"/>
      <c r="Y9044" s="2"/>
      <c r="Z9044" s="2"/>
    </row>
    <row r="9045" spans="1:26" ht="16.5" x14ac:dyDescent="0.35">
      <c r="A9045" s="2" t="str">
        <f ca="1">IFERROR(__xludf.DUMMYFUNCTION("""COMPUTED_VALUE"""),"Dubai")</f>
        <v>Dubai</v>
      </c>
      <c r="B9045" s="2" t="str">
        <f ca="1">IFERROR(__xludf.DUMMYFUNCTION("""COMPUTED_VALUE"""),"Midtown Central Majan")</f>
        <v>Midtown Central Majan</v>
      </c>
      <c r="C9045" s="2" t="str">
        <f ca="1">IFERROR(__xludf.DUMMYFUNCTION("""COMPUTED_VALUE"""),"Building")</f>
        <v>Building</v>
      </c>
      <c r="D9045" s="2" t="str">
        <f ca="1">IFERROR(__xludf.DUMMYFUNCTION("""COMPUTED_VALUE"""),"Dubai&gt;Majan&gt;Midtown Central Majan")</f>
        <v>Dubai&gt;Majan&gt;Midtown Central Majan</v>
      </c>
      <c r="E9045" s="2"/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  <c r="W9045" s="2"/>
      <c r="X9045" s="2"/>
      <c r="Y9045" s="2"/>
      <c r="Z9045" s="2"/>
    </row>
    <row r="9046" spans="1:26" ht="16.5" x14ac:dyDescent="0.35">
      <c r="A9046" s="2" t="str">
        <f ca="1">IFERROR(__xludf.DUMMYFUNCTION("""COMPUTED_VALUE"""),"Dubai")</f>
        <v>Dubai</v>
      </c>
      <c r="B9046" s="2" t="str">
        <f ca="1">IFERROR(__xludf.DUMMYFUNCTION("""COMPUTED_VALUE"""),"The Grove Residence")</f>
        <v>The Grove Residence</v>
      </c>
      <c r="C9046" s="2" t="str">
        <f ca="1">IFERROR(__xludf.DUMMYFUNCTION("""COMPUTED_VALUE"""),"Building")</f>
        <v>Building</v>
      </c>
      <c r="D9046" s="2" t="str">
        <f ca="1">IFERROR(__xludf.DUMMYFUNCTION("""COMPUTED_VALUE"""),"Dubai&gt;Majan&gt;The Grove Residence")</f>
        <v>Dubai&gt;Majan&gt;The Grove Residence</v>
      </c>
      <c r="E9046" s="2"/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  <c r="W9046" s="2"/>
      <c r="X9046" s="2"/>
      <c r="Y9046" s="2"/>
      <c r="Z9046" s="2"/>
    </row>
    <row r="9047" spans="1:26" ht="16.5" x14ac:dyDescent="0.35">
      <c r="A9047" s="2" t="str">
        <f ca="1">IFERROR(__xludf.DUMMYFUNCTION("""COMPUTED_VALUE"""),"Dubai")</f>
        <v>Dubai</v>
      </c>
      <c r="B9047" s="2" t="str">
        <f ca="1">IFERROR(__xludf.DUMMYFUNCTION("""COMPUTED_VALUE"""),"Vincitore Wellness Estate Tower A")</f>
        <v>Vincitore Wellness Estate Tower A</v>
      </c>
      <c r="C9047" s="2" t="str">
        <f ca="1">IFERROR(__xludf.DUMMYFUNCTION("""COMPUTED_VALUE"""),"Building")</f>
        <v>Building</v>
      </c>
      <c r="D9047" s="2" t="str">
        <f ca="1">IFERROR(__xludf.DUMMYFUNCTION("""COMPUTED_VALUE"""),"Dubai&gt;Majan&gt;Vincitore Wellness Estate&gt;Vincitore Wellness Estate Tower A")</f>
        <v>Dubai&gt;Majan&gt;Vincitore Wellness Estate&gt;Vincitore Wellness Estate Tower A</v>
      </c>
      <c r="E9047" s="2"/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  <c r="W9047" s="2"/>
      <c r="X9047" s="2"/>
      <c r="Y9047" s="2"/>
      <c r="Z9047" s="2"/>
    </row>
    <row r="9048" spans="1:26" ht="16.5" x14ac:dyDescent="0.35">
      <c r="A9048" s="2" t="str">
        <f ca="1">IFERROR(__xludf.DUMMYFUNCTION("""COMPUTED_VALUE"""),"Dubai")</f>
        <v>Dubai</v>
      </c>
      <c r="B9048" s="2" t="str">
        <f ca="1">IFERROR(__xludf.DUMMYFUNCTION("""COMPUTED_VALUE"""),"Skyscape Avenue")</f>
        <v>Skyscape Avenue</v>
      </c>
      <c r="C9048" s="2" t="str">
        <f ca="1">IFERROR(__xludf.DUMMYFUNCTION("""COMPUTED_VALUE"""),"Building")</f>
        <v>Building</v>
      </c>
      <c r="D9048" s="2" t="str">
        <f ca="1">IFERROR(__xludf.DUMMYFUNCTION("""COMPUTED_VALUE"""),"Dubai&gt;Sobha Hartland 2&gt;Skyscape&gt;Skyscape Avenue")</f>
        <v>Dubai&gt;Sobha Hartland 2&gt;Skyscape&gt;Skyscape Avenue</v>
      </c>
      <c r="E9048" s="2"/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  <c r="W9048" s="2"/>
      <c r="X9048" s="2"/>
      <c r="Y9048" s="2"/>
      <c r="Z9048" s="2"/>
    </row>
    <row r="9049" spans="1:26" ht="16.5" x14ac:dyDescent="0.35">
      <c r="A9049" s="2" t="str">
        <f ca="1">IFERROR(__xludf.DUMMYFUNCTION("""COMPUTED_VALUE"""),"Dubai")</f>
        <v>Dubai</v>
      </c>
      <c r="B9049" s="2" t="str">
        <f ca="1">IFERROR(__xludf.DUMMYFUNCTION("""COMPUTED_VALUE"""),"Glitz 2")</f>
        <v>Glitz 2</v>
      </c>
      <c r="C9049" s="2" t="str">
        <f ca="1">IFERROR(__xludf.DUMMYFUNCTION("""COMPUTED_VALUE"""),"Building")</f>
        <v>Building</v>
      </c>
      <c r="D9049" s="2" t="str">
        <f ca="1">IFERROR(__xludf.DUMMYFUNCTION("""COMPUTED_VALUE"""),"Dubai&gt;Dubai Studio City&gt;Glitz&gt;Glitz 2")</f>
        <v>Dubai&gt;Dubai Studio City&gt;Glitz&gt;Glitz 2</v>
      </c>
      <c r="E9049" s="2"/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  <c r="W9049" s="2"/>
      <c r="X9049" s="2"/>
      <c r="Y9049" s="2"/>
      <c r="Z9049" s="2"/>
    </row>
    <row r="9050" spans="1:26" ht="16.5" x14ac:dyDescent="0.35">
      <c r="A9050" s="2" t="str">
        <f ca="1">IFERROR(__xludf.DUMMYFUNCTION("""COMPUTED_VALUE"""),"Dubai")</f>
        <v>Dubai</v>
      </c>
      <c r="B9050" s="2" t="str">
        <f ca="1">IFERROR(__xludf.DUMMYFUNCTION("""COMPUTED_VALUE"""),"Verano by Prescott")</f>
        <v>Verano by Prescott</v>
      </c>
      <c r="C9050" s="2" t="str">
        <f ca="1">IFERROR(__xludf.DUMMYFUNCTION("""COMPUTED_VALUE"""),"Building")</f>
        <v>Building</v>
      </c>
      <c r="D9050" s="2" t="str">
        <f ca="1">IFERROR(__xludf.DUMMYFUNCTION("""COMPUTED_VALUE"""),"Dubai&gt;Dubai Studio City&gt;Verano by Prescott")</f>
        <v>Dubai&gt;Dubai Studio City&gt;Verano by Prescott</v>
      </c>
      <c r="E9050" s="2"/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  <c r="W9050" s="2"/>
      <c r="X9050" s="2"/>
      <c r="Y9050" s="2"/>
      <c r="Z9050" s="2"/>
    </row>
    <row r="9051" spans="1:26" ht="16.5" x14ac:dyDescent="0.35">
      <c r="A9051" s="2" t="str">
        <f ca="1">IFERROR(__xludf.DUMMYFUNCTION("""COMPUTED_VALUE"""),"Dubai")</f>
        <v>Dubai</v>
      </c>
      <c r="B9051" s="2" t="str">
        <f ca="1">IFERROR(__xludf.DUMMYFUNCTION("""COMPUTED_VALUE"""),"Kensington Waters")</f>
        <v>Kensington Waters</v>
      </c>
      <c r="C9051" s="2" t="str">
        <f ca="1">IFERROR(__xludf.DUMMYFUNCTION("""COMPUTED_VALUE"""),"Cluster")</f>
        <v>Cluster</v>
      </c>
      <c r="D9051" s="2" t="str">
        <f ca="1">IFERROR(__xludf.DUMMYFUNCTION("""COMPUTED_VALUE"""),"Dubai&gt;Sobha Hartland&gt;Kensington Waters")</f>
        <v>Dubai&gt;Sobha Hartland&gt;Kensington Waters</v>
      </c>
      <c r="E9051" s="2"/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  <c r="W9051" s="2"/>
      <c r="X9051" s="2"/>
      <c r="Y9051" s="2"/>
      <c r="Z9051" s="2"/>
    </row>
    <row r="9052" spans="1:26" ht="16.5" x14ac:dyDescent="0.35">
      <c r="A9052" s="2" t="str">
        <f ca="1">IFERROR(__xludf.DUMMYFUNCTION("""COMPUTED_VALUE"""),"Dubai")</f>
        <v>Dubai</v>
      </c>
      <c r="B9052" s="2" t="str">
        <f ca="1">IFERROR(__xludf.DUMMYFUNCTION("""COMPUTED_VALUE"""),"Sobha Creek Vistas Heights Tower A")</f>
        <v>Sobha Creek Vistas Heights Tower A</v>
      </c>
      <c r="C9052" s="2" t="str">
        <f ca="1">IFERROR(__xludf.DUMMYFUNCTION("""COMPUTED_VALUE"""),"Building")</f>
        <v>Building</v>
      </c>
      <c r="D9052" s="2" t="str">
        <f ca="1">IFERROR(__xludf.DUMMYFUNCTION("""COMPUTED_VALUE"""),"Dubai&gt;Sobha Hartland&gt;Sobha Creek Vistas Heights&gt;Sobha Creek Vistas Heights Tower A")</f>
        <v>Dubai&gt;Sobha Hartland&gt;Sobha Creek Vistas Heights&gt;Sobha Creek Vistas Heights Tower A</v>
      </c>
      <c r="E9052" s="2"/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  <c r="W9052" s="2"/>
      <c r="X9052" s="2"/>
      <c r="Y9052" s="2"/>
      <c r="Z9052" s="2"/>
    </row>
    <row r="9053" spans="1:26" ht="16.5" x14ac:dyDescent="0.35">
      <c r="A9053" s="2" t="str">
        <f ca="1">IFERROR(__xludf.DUMMYFUNCTION("""COMPUTED_VALUE"""),"Dubai")</f>
        <v>Dubai</v>
      </c>
      <c r="B9053" s="2" t="str">
        <f ca="1">IFERROR(__xludf.DUMMYFUNCTION("""COMPUTED_VALUE"""),"Building 3E")</f>
        <v>Building 3E</v>
      </c>
      <c r="C9053" s="2" t="str">
        <f ca="1">IFERROR(__xludf.DUMMYFUNCTION("""COMPUTED_VALUE"""),"Building")</f>
        <v>Building</v>
      </c>
      <c r="D9053" s="2" t="str">
        <f ca="1">IFERROR(__xludf.DUMMYFUNCTION("""COMPUTED_VALUE"""),"Dubai&gt;Expo City&gt;Expo Village&gt;Residences 3&gt;Building 3E")</f>
        <v>Dubai&gt;Expo City&gt;Expo Village&gt;Residences 3&gt;Building 3E</v>
      </c>
      <c r="E9053" s="2"/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  <c r="W9053" s="2"/>
      <c r="X9053" s="2"/>
      <c r="Y9053" s="2"/>
      <c r="Z9053" s="2"/>
    </row>
    <row r="9054" spans="1:26" ht="16.5" x14ac:dyDescent="0.35">
      <c r="A9054" s="2" t="str">
        <f ca="1">IFERROR(__xludf.DUMMYFUNCTION("""COMPUTED_VALUE"""),"Dubai")</f>
        <v>Dubai</v>
      </c>
      <c r="B9054" s="2" t="str">
        <f ca="1">IFERROR(__xludf.DUMMYFUNCTION("""COMPUTED_VALUE"""),"Terra Gardens")</f>
        <v>Terra Gardens</v>
      </c>
      <c r="C9054" s="2" t="str">
        <f ca="1">IFERROR(__xludf.DUMMYFUNCTION("""COMPUTED_VALUE"""),"Cluster")</f>
        <v>Cluster</v>
      </c>
      <c r="D9054" s="2" t="str">
        <f ca="1">IFERROR(__xludf.DUMMYFUNCTION("""COMPUTED_VALUE"""),"Dubai&gt;Expo City&gt;Terra Gardens")</f>
        <v>Dubai&gt;Expo City&gt;Terra Gardens</v>
      </c>
      <c r="E9054" s="2"/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  <c r="W9054" s="2"/>
      <c r="X9054" s="2"/>
      <c r="Y9054" s="2"/>
      <c r="Z9054" s="2"/>
    </row>
    <row r="9055" spans="1:26" ht="16.5" x14ac:dyDescent="0.35">
      <c r="A9055" s="2" t="str">
        <f ca="1">IFERROR(__xludf.DUMMYFUNCTION("""COMPUTED_VALUE"""),"Dubai")</f>
        <v>Dubai</v>
      </c>
      <c r="B9055" s="2" t="str">
        <f ca="1">IFERROR(__xludf.DUMMYFUNCTION("""COMPUTED_VALUE"""),"Falls")</f>
        <v>Falls</v>
      </c>
      <c r="C9055" s="2" t="str">
        <f ca="1">IFERROR(__xludf.DUMMYFUNCTION("""COMPUTED_VALUE"""),"Neighbourhood")</f>
        <v>Neighbourhood</v>
      </c>
      <c r="D9055" s="2" t="str">
        <f ca="1">IFERROR(__xludf.DUMMYFUNCTION("""COMPUTED_VALUE"""),"Dubai&gt;Haven by Aldar&gt;Falls")</f>
        <v>Dubai&gt;Haven by Aldar&gt;Falls</v>
      </c>
      <c r="E9055" s="2"/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  <c r="W9055" s="2"/>
      <c r="X9055" s="2"/>
      <c r="Y9055" s="2"/>
      <c r="Z9055" s="2"/>
    </row>
    <row r="9056" spans="1:26" ht="16.5" x14ac:dyDescent="0.35">
      <c r="A9056" s="2" t="str">
        <f ca="1">IFERROR(__xludf.DUMMYFUNCTION("""COMPUTED_VALUE"""),"Dubai")</f>
        <v>Dubai</v>
      </c>
      <c r="B9056" s="2" t="str">
        <f ca="1">IFERROR(__xludf.DUMMYFUNCTION("""COMPUTED_VALUE"""),"Hatta")</f>
        <v>Hatta</v>
      </c>
      <c r="C9056" s="2" t="str">
        <f ca="1">IFERROR(__xludf.DUMMYFUNCTION("""COMPUTED_VALUE"""),"Neighbourhood")</f>
        <v>Neighbourhood</v>
      </c>
      <c r="D9056" s="2" t="str">
        <f ca="1">IFERROR(__xludf.DUMMYFUNCTION("""COMPUTED_VALUE"""),"Dubai&gt;Hatta")</f>
        <v>Dubai&gt;Hatta</v>
      </c>
      <c r="E9056" s="2"/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  <c r="W9056" s="2"/>
      <c r="X9056" s="2"/>
      <c r="Y9056" s="2"/>
      <c r="Z9056" s="2"/>
    </row>
    <row r="9057" spans="1:26" ht="16.5" x14ac:dyDescent="0.35">
      <c r="A9057" s="2" t="str">
        <f ca="1">IFERROR(__xludf.DUMMYFUNCTION("""COMPUTED_VALUE"""),"Dubai")</f>
        <v>Dubai</v>
      </c>
      <c r="B9057" s="2" t="str">
        <f ca="1">IFERROR(__xludf.DUMMYFUNCTION("""COMPUTED_VALUE"""),"Cilia")</f>
        <v>Cilia</v>
      </c>
      <c r="C9057" s="2" t="str">
        <f ca="1">IFERROR(__xludf.DUMMYFUNCTION("""COMPUTED_VALUE"""),"Cluster")</f>
        <v>Cluster</v>
      </c>
      <c r="D9057" s="2" t="str">
        <f ca="1">IFERROR(__xludf.DUMMYFUNCTION("""COMPUTED_VALUE"""),"Dubai&gt;Ghaf Woods&gt;Cilia")</f>
        <v>Dubai&gt;Ghaf Woods&gt;Cilia</v>
      </c>
      <c r="E9057" s="2"/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  <c r="W9057" s="2"/>
      <c r="X9057" s="2"/>
      <c r="Y9057" s="2"/>
      <c r="Z9057" s="2"/>
    </row>
    <row r="9058" spans="1:26" ht="16.5" x14ac:dyDescent="0.35">
      <c r="A9058" s="2" t="str">
        <f ca="1">IFERROR(__xludf.DUMMYFUNCTION("""COMPUTED_VALUE"""),"Dubai")</f>
        <v>Dubai</v>
      </c>
      <c r="B9058" s="2" t="str">
        <f ca="1">IFERROR(__xludf.DUMMYFUNCTION("""COMPUTED_VALUE"""),"Maldives 4")</f>
        <v>Maldives 4</v>
      </c>
      <c r="C9058" s="2" t="str">
        <f ca="1">IFERROR(__xludf.DUMMYFUNCTION("""COMPUTED_VALUE"""),"Neighbourhood")</f>
        <v>Neighbourhood</v>
      </c>
      <c r="D9058" s="2" t="str">
        <f ca="1">IFERROR(__xludf.DUMMYFUNCTION("""COMPUTED_VALUE"""),"Dubai&gt;DAMAC Islands&gt;Maldives 4")</f>
        <v>Dubai&gt;DAMAC Islands&gt;Maldives 4</v>
      </c>
      <c r="E9058" s="2"/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  <c r="W9058" s="2"/>
      <c r="X9058" s="2"/>
      <c r="Y9058" s="2"/>
      <c r="Z9058" s="2"/>
    </row>
    <row r="9059" spans="1:26" ht="16.5" x14ac:dyDescent="0.35">
      <c r="A9059" s="2" t="str">
        <f ca="1">IFERROR(__xludf.DUMMYFUNCTION("""COMPUTED_VALUE"""),"Dubai")</f>
        <v>Dubai</v>
      </c>
      <c r="B9059" s="2" t="str">
        <f ca="1">IFERROR(__xludf.DUMMYFUNCTION("""COMPUTED_VALUE"""),"Rimal 1")</f>
        <v>Rimal 1</v>
      </c>
      <c r="C9059" s="2" t="str">
        <f ca="1">IFERROR(__xludf.DUMMYFUNCTION("""COMPUTED_VALUE"""),"Building")</f>
        <v>Building</v>
      </c>
      <c r="D9059" s="2" t="str">
        <f ca="1">IFERROR(__xludf.DUMMYFUNCTION("""COMPUTED_VALUE"""),"Dubai&gt;Jumeirah Beach Residence (JBR)&gt;Rimal&gt;Rimal 1")</f>
        <v>Dubai&gt;Jumeirah Beach Residence (JBR)&gt;Rimal&gt;Rimal 1</v>
      </c>
      <c r="E9059" s="2"/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  <c r="W9059" s="2"/>
      <c r="X9059" s="2"/>
      <c r="Y9059" s="2"/>
      <c r="Z9059" s="2"/>
    </row>
    <row r="9060" spans="1:26" ht="16.5" x14ac:dyDescent="0.35">
      <c r="A9060" s="2" t="str">
        <f ca="1">IFERROR(__xludf.DUMMYFUNCTION("""COMPUTED_VALUE"""),"Dubai")</f>
        <v>Dubai</v>
      </c>
      <c r="B9060" s="2" t="str">
        <f ca="1">IFERROR(__xludf.DUMMYFUNCTION("""COMPUTED_VALUE"""),"Sensoria At FIVE Luxe")</f>
        <v>Sensoria At FIVE Luxe</v>
      </c>
      <c r="C9060" s="2" t="str">
        <f ca="1">IFERROR(__xludf.DUMMYFUNCTION("""COMPUTED_VALUE"""),"Building")</f>
        <v>Building</v>
      </c>
      <c r="D9060" s="2" t="str">
        <f ca="1">IFERROR(__xludf.DUMMYFUNCTION("""COMPUTED_VALUE"""),"Dubai&gt;Jumeirah Beach Residence (JBR)&gt;Sensoria At FIVE Luxe")</f>
        <v>Dubai&gt;Jumeirah Beach Residence (JBR)&gt;Sensoria At FIVE Luxe</v>
      </c>
      <c r="E9060" s="2"/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  <c r="W9060" s="2"/>
      <c r="X9060" s="2"/>
      <c r="Y9060" s="2"/>
      <c r="Z9060" s="2"/>
    </row>
    <row r="9061" spans="1:26" ht="16.5" x14ac:dyDescent="0.35">
      <c r="A9061" s="2" t="str">
        <f ca="1">IFERROR(__xludf.DUMMYFUNCTION("""COMPUTED_VALUE"""),"Dubai")</f>
        <v>Dubai</v>
      </c>
      <c r="B9061" s="2" t="str">
        <f ca="1">IFERROR(__xludf.DUMMYFUNCTION("""COMPUTED_VALUE"""),"Helvetia Verde")</f>
        <v>Helvetia Verde</v>
      </c>
      <c r="C9061" s="2" t="str">
        <f ca="1">IFERROR(__xludf.DUMMYFUNCTION("""COMPUTED_VALUE"""),"Building")</f>
        <v>Building</v>
      </c>
      <c r="D9061" s="2" t="str">
        <f ca="1">IFERROR(__xludf.DUMMYFUNCTION("""COMPUTED_VALUE"""),"Dubai&gt;Meydan Horizon&gt;Helvetia Verde")</f>
        <v>Dubai&gt;Meydan Horizon&gt;Helvetia Verde</v>
      </c>
      <c r="E9061" s="2"/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  <c r="W9061" s="2"/>
      <c r="X9061" s="2"/>
      <c r="Y9061" s="2"/>
      <c r="Z9061" s="2"/>
    </row>
    <row r="9062" spans="1:26" ht="16.5" x14ac:dyDescent="0.35">
      <c r="A9062" s="2" t="str">
        <f ca="1">IFERROR(__xludf.DUMMYFUNCTION("""COMPUTED_VALUE"""),"Dubai")</f>
        <v>Dubai</v>
      </c>
      <c r="B9062" s="2" t="str">
        <f ca="1">IFERROR(__xludf.DUMMYFUNCTION("""COMPUTED_VALUE"""),"Block B")</f>
        <v>Block B</v>
      </c>
      <c r="C9062" s="2" t="str">
        <f ca="1">IFERROR(__xludf.DUMMYFUNCTION("""COMPUTED_VALUE"""),"Neighbourhood")</f>
        <v>Neighbourhood</v>
      </c>
      <c r="D9062" s="2" t="str">
        <f ca="1">IFERROR(__xludf.DUMMYFUNCTION("""COMPUTED_VALUE"""),"Dubai&gt;Al Wasl&gt;Dar Wasl&gt;Block B")</f>
        <v>Dubai&gt;Al Wasl&gt;Dar Wasl&gt;Block B</v>
      </c>
      <c r="E9062" s="2"/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  <c r="W9062" s="2"/>
      <c r="X9062" s="2"/>
      <c r="Y9062" s="2"/>
      <c r="Z9062" s="2"/>
    </row>
    <row r="9063" spans="1:26" ht="16.5" x14ac:dyDescent="0.35">
      <c r="A9063" s="2" t="str">
        <f ca="1">IFERROR(__xludf.DUMMYFUNCTION("""COMPUTED_VALUE"""),"Dubai")</f>
        <v>Dubai</v>
      </c>
      <c r="B9063" s="2" t="str">
        <f ca="1">IFERROR(__xludf.DUMMYFUNCTION("""COMPUTED_VALUE"""),"Castleton")</f>
        <v>Castleton</v>
      </c>
      <c r="C9063" s="2" t="str">
        <f ca="1">IFERROR(__xludf.DUMMYFUNCTION("""COMPUTED_VALUE"""),"Building")</f>
        <v>Building</v>
      </c>
      <c r="D9063" s="2" t="str">
        <f ca="1">IFERROR(__xludf.DUMMYFUNCTION("""COMPUTED_VALUE"""),"Dubai&gt;Al Wasl&gt;City Walk&gt;Central Park&gt;Castleton")</f>
        <v>Dubai&gt;Al Wasl&gt;City Walk&gt;Central Park&gt;Castleton</v>
      </c>
      <c r="E9063" s="2"/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  <c r="W9063" s="2"/>
      <c r="X9063" s="2"/>
      <c r="Y9063" s="2"/>
      <c r="Z9063" s="2"/>
    </row>
    <row r="9064" spans="1:26" ht="16.5" x14ac:dyDescent="0.35">
      <c r="A9064" s="2" t="str">
        <f ca="1">IFERROR(__xludf.DUMMYFUNCTION("""COMPUTED_VALUE"""),"Dubai")</f>
        <v>Dubai</v>
      </c>
      <c r="B9064" s="2" t="str">
        <f ca="1">IFERROR(__xludf.DUMMYFUNCTION("""COMPUTED_VALUE"""),"Tower B")</f>
        <v>Tower B</v>
      </c>
      <c r="C9064" s="2" t="str">
        <f ca="1">IFERROR(__xludf.DUMMYFUNCTION("""COMPUTED_VALUE"""),"Building")</f>
        <v>Building</v>
      </c>
      <c r="D9064" s="2" t="str">
        <f ca="1">IFERROR(__xludf.DUMMYFUNCTION("""COMPUTED_VALUE"""),"Dubai&gt;Al Wasl&gt;City Walk&gt;City Walk Northline 2&gt;Tower B")</f>
        <v>Dubai&gt;Al Wasl&gt;City Walk&gt;City Walk Northline 2&gt;Tower B</v>
      </c>
      <c r="E9064" s="2"/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</row>
    <row r="9065" spans="1:26" ht="16.5" x14ac:dyDescent="0.35">
      <c r="A9065" s="2" t="str">
        <f ca="1">IFERROR(__xludf.DUMMYFUNCTION("""COMPUTED_VALUE"""),"Dubai")</f>
        <v>Dubai</v>
      </c>
      <c r="B9065" s="2" t="str">
        <f ca="1">IFERROR(__xludf.DUMMYFUNCTION("""COMPUTED_VALUE"""),"Safa One Tower A")</f>
        <v>Safa One Tower A</v>
      </c>
      <c r="C9065" s="2" t="str">
        <f ca="1">IFERROR(__xludf.DUMMYFUNCTION("""COMPUTED_VALUE"""),"Building")</f>
        <v>Building</v>
      </c>
      <c r="D9065" s="2" t="str">
        <f ca="1">IFERROR(__xludf.DUMMYFUNCTION("""COMPUTED_VALUE"""),"Dubai&gt;Al Wasl&gt;Safa One by De Grisogono&gt;Safa One Tower A")</f>
        <v>Dubai&gt;Al Wasl&gt;Safa One by De Grisogono&gt;Safa One Tower A</v>
      </c>
      <c r="E9065" s="2"/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  <c r="W9065" s="2"/>
      <c r="X9065" s="2"/>
      <c r="Y9065" s="2"/>
      <c r="Z9065" s="2"/>
    </row>
    <row r="9066" spans="1:26" ht="16.5" x14ac:dyDescent="0.35">
      <c r="A9066" s="2" t="str">
        <f ca="1">IFERROR(__xludf.DUMMYFUNCTION("""COMPUTED_VALUE"""),"Dubai")</f>
        <v>Dubai</v>
      </c>
      <c r="B9066" s="2" t="str">
        <f ca="1">IFERROR(__xludf.DUMMYFUNCTION("""COMPUTED_VALUE"""),"Resortz by Danube")</f>
        <v>Resortz by Danube</v>
      </c>
      <c r="C9066" s="2" t="str">
        <f ca="1">IFERROR(__xludf.DUMMYFUNCTION("""COMPUTED_VALUE"""),"Cluster")</f>
        <v>Cluster</v>
      </c>
      <c r="D9066" s="2" t="str">
        <f ca="1">IFERROR(__xludf.DUMMYFUNCTION("""COMPUTED_VALUE"""),"Dubai&gt;Arjan&gt;Resortz by Danube")</f>
        <v>Dubai&gt;Arjan&gt;Resortz by Danube</v>
      </c>
      <c r="E9066" s="2"/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  <c r="W9066" s="2"/>
      <c r="X9066" s="2"/>
      <c r="Y9066" s="2"/>
      <c r="Z9066" s="2"/>
    </row>
    <row r="9067" spans="1:26" ht="16.5" x14ac:dyDescent="0.35">
      <c r="A9067" s="2" t="str">
        <f ca="1">IFERROR(__xludf.DUMMYFUNCTION("""COMPUTED_VALUE"""),"Dubai")</f>
        <v>Dubai</v>
      </c>
      <c r="B9067" s="2" t="str">
        <f ca="1">IFERROR(__xludf.DUMMYFUNCTION("""COMPUTED_VALUE"""),"Aryene Greens")</f>
        <v>Aryene Greens</v>
      </c>
      <c r="C9067" s="2" t="str">
        <f ca="1">IFERROR(__xludf.DUMMYFUNCTION("""COMPUTED_VALUE"""),"Building")</f>
        <v>Building</v>
      </c>
      <c r="D9067" s="2" t="str">
        <f ca="1">IFERROR(__xludf.DUMMYFUNCTION("""COMPUTED_VALUE"""),"Dubai&gt;Arjan&gt;Aryene Greens")</f>
        <v>Dubai&gt;Arjan&gt;Aryene Greens</v>
      </c>
      <c r="E9067" s="2"/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  <c r="W9067" s="2"/>
      <c r="X9067" s="2"/>
      <c r="Y9067" s="2"/>
      <c r="Z9067" s="2"/>
    </row>
    <row r="9068" spans="1:26" ht="16.5" x14ac:dyDescent="0.35">
      <c r="A9068" s="2" t="str">
        <f ca="1">IFERROR(__xludf.DUMMYFUNCTION("""COMPUTED_VALUE"""),"Dubai")</f>
        <v>Dubai</v>
      </c>
      <c r="B9068" s="2" t="str">
        <f ca="1">IFERROR(__xludf.DUMMYFUNCTION("""COMPUTED_VALUE"""),"Lincoln Park A")</f>
        <v>Lincoln Park A</v>
      </c>
      <c r="C9068" s="2" t="str">
        <f ca="1">IFERROR(__xludf.DUMMYFUNCTION("""COMPUTED_VALUE"""),"Building")</f>
        <v>Building</v>
      </c>
      <c r="D9068" s="2" t="str">
        <f ca="1">IFERROR(__xludf.DUMMYFUNCTION("""COMPUTED_VALUE"""),"Dubai&gt;Arjan&gt;Lincoln Park&gt;Lincoln Park A")</f>
        <v>Dubai&gt;Arjan&gt;Lincoln Park&gt;Lincoln Park A</v>
      </c>
      <c r="E9068" s="2"/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  <c r="W9068" s="2"/>
      <c r="X9068" s="2"/>
      <c r="Y9068" s="2"/>
      <c r="Z9068" s="2"/>
    </row>
    <row r="9069" spans="1:26" ht="16.5" x14ac:dyDescent="0.35">
      <c r="A9069" s="2" t="str">
        <f ca="1">IFERROR(__xludf.DUMMYFUNCTION("""COMPUTED_VALUE"""),"Dubai")</f>
        <v>Dubai</v>
      </c>
      <c r="B9069" s="2" t="str">
        <f ca="1">IFERROR(__xludf.DUMMYFUNCTION("""COMPUTED_VALUE"""),"Leerbach Palace Tower")</f>
        <v>Leerbach Palace Tower</v>
      </c>
      <c r="C9069" s="2" t="str">
        <f ca="1">IFERROR(__xludf.DUMMYFUNCTION("""COMPUTED_VALUE"""),"Building")</f>
        <v>Building</v>
      </c>
      <c r="D9069" s="2" t="str">
        <f ca="1">IFERROR(__xludf.DUMMYFUNCTION("""COMPUTED_VALUE"""),"Dubai&gt;Arjan&gt;Leerbach Palace Tower")</f>
        <v>Dubai&gt;Arjan&gt;Leerbach Palace Tower</v>
      </c>
      <c r="E9069" s="2"/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</row>
    <row r="9070" spans="1:26" ht="16.5" x14ac:dyDescent="0.35">
      <c r="A9070" s="2" t="str">
        <f ca="1">IFERROR(__xludf.DUMMYFUNCTION("""COMPUTED_VALUE"""),"Dubai")</f>
        <v>Dubai</v>
      </c>
      <c r="B9070" s="2" t="str">
        <f ca="1">IFERROR(__xludf.DUMMYFUNCTION("""COMPUTED_VALUE"""),"Samana Skyros")</f>
        <v>Samana Skyros</v>
      </c>
      <c r="C9070" s="2" t="str">
        <f ca="1">IFERROR(__xludf.DUMMYFUNCTION("""COMPUTED_VALUE"""),"Building")</f>
        <v>Building</v>
      </c>
      <c r="D9070" s="2" t="str">
        <f ca="1">IFERROR(__xludf.DUMMYFUNCTION("""COMPUTED_VALUE"""),"Dubai&gt;Arjan&gt;Samana Skyros")</f>
        <v>Dubai&gt;Arjan&gt;Samana Skyros</v>
      </c>
      <c r="E9070" s="2"/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</row>
    <row r="9071" spans="1:26" ht="16.5" x14ac:dyDescent="0.35">
      <c r="A9071" s="2" t="str">
        <f ca="1">IFERROR(__xludf.DUMMYFUNCTION("""COMPUTED_VALUE"""),"Dubai")</f>
        <v>Dubai</v>
      </c>
      <c r="B9071" s="2" t="str">
        <f ca="1">IFERROR(__xludf.DUMMYFUNCTION("""COMPUTED_VALUE"""),"Empire Estates")</f>
        <v>Empire Estates</v>
      </c>
      <c r="C9071" s="2" t="str">
        <f ca="1">IFERROR(__xludf.DUMMYFUNCTION("""COMPUTED_VALUE"""),"Building")</f>
        <v>Building</v>
      </c>
      <c r="D9071" s="2" t="str">
        <f ca="1">IFERROR(__xludf.DUMMYFUNCTION("""COMPUTED_VALUE"""),"Dubai&gt;Arjan&gt;Empire Estates")</f>
        <v>Dubai&gt;Arjan&gt;Empire Estates</v>
      </c>
      <c r="E9071" s="2"/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</row>
    <row r="9072" spans="1:26" ht="16.5" x14ac:dyDescent="0.35">
      <c r="A9072" s="2" t="str">
        <f ca="1">IFERROR(__xludf.DUMMYFUNCTION("""COMPUTED_VALUE"""),"Dubai")</f>
        <v>Dubai</v>
      </c>
      <c r="B9072" s="2" t="str">
        <f ca="1">IFERROR(__xludf.DUMMYFUNCTION("""COMPUTED_VALUE"""),"Marquis One")</f>
        <v>Marquis One</v>
      </c>
      <c r="C9072" s="2" t="str">
        <f ca="1">IFERROR(__xludf.DUMMYFUNCTION("""COMPUTED_VALUE"""),"Building")</f>
        <v>Building</v>
      </c>
      <c r="D9072" s="2" t="str">
        <f ca="1">IFERROR(__xludf.DUMMYFUNCTION("""COMPUTED_VALUE"""),"Dubai&gt;Arjan&gt;Marquis One")</f>
        <v>Dubai&gt;Arjan&gt;Marquis One</v>
      </c>
      <c r="E9072" s="2"/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</row>
    <row r="9073" spans="1:26" ht="16.5" x14ac:dyDescent="0.35">
      <c r="A9073" s="2" t="str">
        <f ca="1">IFERROR(__xludf.DUMMYFUNCTION("""COMPUTED_VALUE"""),"Dubai")</f>
        <v>Dubai</v>
      </c>
      <c r="B9073" s="2" t="str">
        <f ca="1">IFERROR(__xludf.DUMMYFUNCTION("""COMPUTED_VALUE"""),"Splendour Villas")</f>
        <v>Splendour Villas</v>
      </c>
      <c r="C9073" s="2" t="str">
        <f ca="1">IFERROR(__xludf.DUMMYFUNCTION("""COMPUTED_VALUE"""),"Neighbourhood")</f>
        <v>Neighbourhood</v>
      </c>
      <c r="D9073" s="2" t="str">
        <f ca="1">IFERROR(__xludf.DUMMYFUNCTION("""COMPUTED_VALUE"""),"Dubai&gt;Al Safa&gt;Al Safa 1&gt;Splendour Villas")</f>
        <v>Dubai&gt;Al Safa&gt;Al Safa 1&gt;Splendour Villas</v>
      </c>
      <c r="E9073" s="2"/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  <c r="W9073" s="2"/>
      <c r="X9073" s="2"/>
      <c r="Y9073" s="2"/>
      <c r="Z9073" s="2"/>
    </row>
    <row r="9074" spans="1:26" ht="16.5" x14ac:dyDescent="0.35">
      <c r="A9074" s="2" t="str">
        <f ca="1">IFERROR(__xludf.DUMMYFUNCTION("""COMPUTED_VALUE"""),"Abu Dhabi")</f>
        <v>Abu Dhabi</v>
      </c>
      <c r="B9074" s="2" t="str">
        <f ca="1">IFERROR(__xludf.DUMMYFUNCTION("""COMPUTED_VALUE"""),"Silver Wave Tower")</f>
        <v>Silver Wave Tower</v>
      </c>
      <c r="C9074" s="2" t="str">
        <f ca="1">IFERROR(__xludf.DUMMYFUNCTION("""COMPUTED_VALUE"""),"Building")</f>
        <v>Building</v>
      </c>
      <c r="D9074" s="2" t="str">
        <f ca="1">IFERROR(__xludf.DUMMYFUNCTION("""COMPUTED_VALUE"""),"Abu Dhabi&gt;Zayed Port&gt;Silver Wave Tower")</f>
        <v>Abu Dhabi&gt;Zayed Port&gt;Silver Wave Tower</v>
      </c>
      <c r="E9074" s="2"/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  <c r="W9074" s="2"/>
      <c r="X9074" s="2"/>
      <c r="Y9074" s="2"/>
      <c r="Z9074" s="2"/>
    </row>
    <row r="9075" spans="1:26" ht="16.5" x14ac:dyDescent="0.35">
      <c r="A9075" s="2" t="str">
        <f ca="1">IFERROR(__xludf.DUMMYFUNCTION("""COMPUTED_VALUE"""),"Abu Dhabi")</f>
        <v>Abu Dhabi</v>
      </c>
      <c r="B9075" s="2" t="str">
        <f ca="1">IFERROR(__xludf.DUMMYFUNCTION("""COMPUTED_VALUE"""),"Royal Marina Villas")</f>
        <v>Royal Marina Villas</v>
      </c>
      <c r="C9075" s="2" t="str">
        <f ca="1">IFERROR(__xludf.DUMMYFUNCTION("""COMPUTED_VALUE"""),"Neighbourhood")</f>
        <v>Neighbourhood</v>
      </c>
      <c r="D9075" s="2" t="str">
        <f ca="1">IFERROR(__xludf.DUMMYFUNCTION("""COMPUTED_VALUE"""),"Abu Dhabi&gt;Marina Village&gt;Royal Marina Villas")</f>
        <v>Abu Dhabi&gt;Marina Village&gt;Royal Marina Villas</v>
      </c>
      <c r="E9075" s="2"/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  <c r="W9075" s="2"/>
      <c r="X9075" s="2"/>
      <c r="Y9075" s="2"/>
      <c r="Z9075" s="2"/>
    </row>
    <row r="9076" spans="1:26" ht="16.5" x14ac:dyDescent="0.35">
      <c r="A9076" s="2" t="str">
        <f ca="1">IFERROR(__xludf.DUMMYFUNCTION("""COMPUTED_VALUE"""),"Abu Dhabi")</f>
        <v>Abu Dhabi</v>
      </c>
      <c r="B9076" s="2" t="str">
        <f ca="1">IFERROR(__xludf.DUMMYFUNCTION("""COMPUTED_VALUE"""),"City Tower")</f>
        <v>City Tower</v>
      </c>
      <c r="C9076" s="2"/>
      <c r="D9076" s="2" t="str">
        <f ca="1">IFERROR(__xludf.DUMMYFUNCTION("""COMPUTED_VALUE"""),"Abu Dhabi&gt;Al Wahdah&gt;City Tower")</f>
        <v>Abu Dhabi&gt;Al Wahdah&gt;City Tower</v>
      </c>
      <c r="E9076" s="2"/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</row>
    <row r="9077" spans="1:26" ht="16.5" x14ac:dyDescent="0.35">
      <c r="A9077" s="2" t="str">
        <f ca="1">IFERROR(__xludf.DUMMYFUNCTION("""COMPUTED_VALUE"""),"Abu Dhabi")</f>
        <v>Abu Dhabi</v>
      </c>
      <c r="B9077" s="2" t="str">
        <f ca="1">IFERROR(__xludf.DUMMYFUNCTION("""COMPUTED_VALUE"""),"Makeen Tower")</f>
        <v>Makeen Tower</v>
      </c>
      <c r="C9077" s="2" t="str">
        <f ca="1">IFERROR(__xludf.DUMMYFUNCTION("""COMPUTED_VALUE"""),"Building")</f>
        <v>Building</v>
      </c>
      <c r="D9077" s="2" t="str">
        <f ca="1">IFERROR(__xludf.DUMMYFUNCTION("""COMPUTED_VALUE"""),"Abu Dhabi&gt;Tourist Club Area (TCA)&gt;Makeen Tower")</f>
        <v>Abu Dhabi&gt;Tourist Club Area (TCA)&gt;Makeen Tower</v>
      </c>
      <c r="E9077" s="2"/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  <c r="W9077" s="2"/>
      <c r="X9077" s="2"/>
      <c r="Y9077" s="2"/>
      <c r="Z9077" s="2"/>
    </row>
    <row r="9078" spans="1:26" ht="16.5" x14ac:dyDescent="0.35">
      <c r="A9078" s="2" t="str">
        <f ca="1">IFERROR(__xludf.DUMMYFUNCTION("""COMPUTED_VALUE"""),"Abu Dhabi")</f>
        <v>Abu Dhabi</v>
      </c>
      <c r="B9078" s="2" t="str">
        <f ca="1">IFERROR(__xludf.DUMMYFUNCTION("""COMPUTED_VALUE"""),"The Gallery Building")</f>
        <v>The Gallery Building</v>
      </c>
      <c r="C9078" s="2" t="str">
        <f ca="1">IFERROR(__xludf.DUMMYFUNCTION("""COMPUTED_VALUE"""),"Building")</f>
        <v>Building</v>
      </c>
      <c r="D9078" s="2" t="str">
        <f ca="1">IFERROR(__xludf.DUMMYFUNCTION("""COMPUTED_VALUE"""),"Abu Dhabi&gt;Al Zahiyah&gt;The Gallery Building")</f>
        <v>Abu Dhabi&gt;Al Zahiyah&gt;The Gallery Building</v>
      </c>
      <c r="E9078" s="2"/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  <c r="W9078" s="2"/>
      <c r="X9078" s="2"/>
      <c r="Y9078" s="2"/>
      <c r="Z9078" s="2"/>
    </row>
    <row r="9079" spans="1:26" ht="16.5" x14ac:dyDescent="0.35">
      <c r="A9079" s="2" t="str">
        <f ca="1">IFERROR(__xludf.DUMMYFUNCTION("""COMPUTED_VALUE"""),"Abu Dhabi")</f>
        <v>Abu Dhabi</v>
      </c>
      <c r="B9079" s="2" t="str">
        <f ca="1">IFERROR(__xludf.DUMMYFUNCTION("""COMPUTED_VALUE"""),"Budoor")</f>
        <v>Budoor</v>
      </c>
      <c r="C9079" s="2" t="str">
        <f ca="1">IFERROR(__xludf.DUMMYFUNCTION("""COMPUTED_VALUE"""),"Neighbourhood")</f>
        <v>Neighbourhood</v>
      </c>
      <c r="D9079" s="2" t="str">
        <f ca="1">IFERROR(__xludf.DUMMYFUNCTION("""COMPUTED_VALUE"""),"Abu Dhabi&gt;Al Jurf&gt;Al Jurf Gardens&gt;Budoor")</f>
        <v>Abu Dhabi&gt;Al Jurf&gt;Al Jurf Gardens&gt;Budoor</v>
      </c>
      <c r="E9079" s="2"/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</row>
    <row r="9080" spans="1:26" ht="16.5" x14ac:dyDescent="0.35">
      <c r="A9080" s="2" t="str">
        <f ca="1">IFERROR(__xludf.DUMMYFUNCTION("""COMPUTED_VALUE"""),"Abu Dhabi")</f>
        <v>Abu Dhabi</v>
      </c>
      <c r="B9080" s="2" t="str">
        <f ca="1">IFERROR(__xludf.DUMMYFUNCTION("""COMPUTED_VALUE"""),"The Views Tower 2")</f>
        <v>The Views Tower 2</v>
      </c>
      <c r="C9080" s="2" t="str">
        <f ca="1">IFERROR(__xludf.DUMMYFUNCTION("""COMPUTED_VALUE"""),"Building")</f>
        <v>Building</v>
      </c>
      <c r="D9080" s="2" t="str">
        <f ca="1">IFERROR(__xludf.DUMMYFUNCTION("""COMPUTED_VALUE"""),"Abu Dhabi&gt;Corniche Area&gt;The Views At Saraya&gt;The Views Tower 2")</f>
        <v>Abu Dhabi&gt;Corniche Area&gt;The Views At Saraya&gt;The Views Tower 2</v>
      </c>
      <c r="E9080" s="2"/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  <c r="W9080" s="2"/>
      <c r="X9080" s="2"/>
      <c r="Y9080" s="2"/>
      <c r="Z9080" s="2"/>
    </row>
    <row r="9081" spans="1:26" ht="16.5" x14ac:dyDescent="0.35">
      <c r="A9081" s="2" t="str">
        <f ca="1">IFERROR(__xludf.DUMMYFUNCTION("""COMPUTED_VALUE"""),"Abu Dhabi")</f>
        <v>Abu Dhabi</v>
      </c>
      <c r="B9081" s="2" t="str">
        <f ca="1">IFERROR(__xludf.DUMMYFUNCTION("""COMPUTED_VALUE"""),"C40 Building")</f>
        <v>C40 Building</v>
      </c>
      <c r="C9081" s="2"/>
      <c r="D9081" s="2" t="str">
        <f ca="1">IFERROR(__xludf.DUMMYFUNCTION("""COMPUTED_VALUE"""),"Abu Dhabi&gt;Al Falah Street&gt;C40 Building")</f>
        <v>Abu Dhabi&gt;Al Falah Street&gt;C40 Building</v>
      </c>
      <c r="E9081" s="2"/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  <c r="W9081" s="2"/>
      <c r="X9081" s="2"/>
      <c r="Y9081" s="2"/>
      <c r="Z9081" s="2"/>
    </row>
    <row r="9082" spans="1:26" ht="16.5" x14ac:dyDescent="0.35">
      <c r="A9082" s="2" t="str">
        <f ca="1">IFERROR(__xludf.DUMMYFUNCTION("""COMPUTED_VALUE"""),"Abu Dhabi")</f>
        <v>Abu Dhabi</v>
      </c>
      <c r="B9082" s="2" t="str">
        <f ca="1">IFERROR(__xludf.DUMMYFUNCTION("""COMPUTED_VALUE"""),"Eastern Road")</f>
        <v>Eastern Road</v>
      </c>
      <c r="C9082" s="2"/>
      <c r="D9082" s="2" t="str">
        <f ca="1">IFERROR(__xludf.DUMMYFUNCTION("""COMPUTED_VALUE"""),"Abu Dhabi&gt;Eastern Road")</f>
        <v>Abu Dhabi&gt;Eastern Road</v>
      </c>
      <c r="E9082" s="2"/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  <c r="W9082" s="2"/>
      <c r="X9082" s="2"/>
      <c r="Y9082" s="2"/>
      <c r="Z9082" s="2"/>
    </row>
    <row r="9083" spans="1:26" ht="16.5" x14ac:dyDescent="0.35">
      <c r="A9083" s="2" t="str">
        <f ca="1">IFERROR(__xludf.DUMMYFUNCTION("""COMPUTED_VALUE"""),"Abu Dhabi")</f>
        <v>Abu Dhabi</v>
      </c>
      <c r="B9083" s="2" t="str">
        <f ca="1">IFERROR(__xludf.DUMMYFUNCTION("""COMPUTED_VALUE"""),"Madinat Zayed Office Tower")</f>
        <v>Madinat Zayed Office Tower</v>
      </c>
      <c r="C9083" s="2"/>
      <c r="D9083" s="2" t="str">
        <f ca="1">IFERROR(__xludf.DUMMYFUNCTION("""COMPUTED_VALUE"""),"Abu Dhabi&gt;Madinat Zayed&gt;Madinat Zayed Office Tower")</f>
        <v>Abu Dhabi&gt;Madinat Zayed&gt;Madinat Zayed Office Tower</v>
      </c>
      <c r="E9083" s="2"/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  <c r="W9083" s="2"/>
      <c r="X9083" s="2"/>
      <c r="Y9083" s="2"/>
      <c r="Z9083" s="2"/>
    </row>
    <row r="9084" spans="1:26" ht="16.5" x14ac:dyDescent="0.35">
      <c r="A9084" s="2" t="str">
        <f ca="1">IFERROR(__xludf.DUMMYFUNCTION("""COMPUTED_VALUE"""),"Abu Dhabi")</f>
        <v>Abu Dhabi</v>
      </c>
      <c r="B9084" s="2" t="str">
        <f ca="1">IFERROR(__xludf.DUMMYFUNCTION("""COMPUTED_VALUE"""),"Park Place")</f>
        <v>Park Place</v>
      </c>
      <c r="C9084" s="2" t="str">
        <f ca="1">IFERROR(__xludf.DUMMYFUNCTION("""COMPUTED_VALUE"""),"Building")</f>
        <v>Building</v>
      </c>
      <c r="D9084" s="2" t="str">
        <f ca="1">IFERROR(__xludf.DUMMYFUNCTION("""COMPUTED_VALUE"""),"Abu Dhabi&gt;Zayed Sports City&gt;Park Place")</f>
        <v>Abu Dhabi&gt;Zayed Sports City&gt;Park Place</v>
      </c>
      <c r="E9084" s="2"/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  <c r="W9084" s="2"/>
      <c r="X9084" s="2"/>
      <c r="Y9084" s="2"/>
      <c r="Z9084" s="2"/>
    </row>
    <row r="9085" spans="1:26" ht="16.5" x14ac:dyDescent="0.35">
      <c r="A9085" s="2" t="str">
        <f ca="1">IFERROR(__xludf.DUMMYFUNCTION("""COMPUTED_VALUE"""),"Abu Dhabi")</f>
        <v>Abu Dhabi</v>
      </c>
      <c r="B9085" s="2" t="str">
        <f ca="1">IFERROR(__xludf.DUMMYFUNCTION("""COMPUTED_VALUE"""),"MSH6")</f>
        <v>MSH6</v>
      </c>
      <c r="C9085" s="2" t="str">
        <f ca="1">IFERROR(__xludf.DUMMYFUNCTION("""COMPUTED_VALUE"""),"Neighbourhood")</f>
        <v>Neighbourhood</v>
      </c>
      <c r="D9085" s="2" t="str">
        <f ca="1">IFERROR(__xludf.DUMMYFUNCTION("""COMPUTED_VALUE"""),"Abu Dhabi&gt;Shakhbout City&gt;MSH6")</f>
        <v>Abu Dhabi&gt;Shakhbout City&gt;MSH6</v>
      </c>
      <c r="E9085" s="2"/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  <c r="W9085" s="2"/>
      <c r="X9085" s="2"/>
      <c r="Y9085" s="2"/>
      <c r="Z9085" s="2"/>
    </row>
    <row r="9086" spans="1:26" ht="16.5" x14ac:dyDescent="0.35">
      <c r="A9086" s="2" t="str">
        <f ca="1">IFERROR(__xludf.DUMMYFUNCTION("""COMPUTED_VALUE"""),"Abu Dhabi")</f>
        <v>Abu Dhabi</v>
      </c>
      <c r="B9086" s="2" t="str">
        <f ca="1">IFERROR(__xludf.DUMMYFUNCTION("""COMPUTED_VALUE"""),"MSH38")</f>
        <v>MSH38</v>
      </c>
      <c r="C9086" s="2" t="str">
        <f ca="1">IFERROR(__xludf.DUMMYFUNCTION("""COMPUTED_VALUE"""),"Neighbourhood")</f>
        <v>Neighbourhood</v>
      </c>
      <c r="D9086" s="2" t="str">
        <f ca="1">IFERROR(__xludf.DUMMYFUNCTION("""COMPUTED_VALUE"""),"Abu Dhabi&gt;Shakhbout City&gt;MSH38")</f>
        <v>Abu Dhabi&gt;Shakhbout City&gt;MSH38</v>
      </c>
      <c r="E9086" s="2"/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  <c r="W9086" s="2"/>
      <c r="X9086" s="2"/>
      <c r="Y9086" s="2"/>
      <c r="Z9086" s="2"/>
    </row>
    <row r="9087" spans="1:26" ht="16.5" x14ac:dyDescent="0.35">
      <c r="A9087" s="2" t="str">
        <f ca="1">IFERROR(__xludf.DUMMYFUNCTION("""COMPUTED_VALUE"""),"Abu Dhabi")</f>
        <v>Abu Dhabi</v>
      </c>
      <c r="B9087" s="2" t="str">
        <f ca="1">IFERROR(__xludf.DUMMYFUNCTION("""COMPUTED_VALUE"""),"Al Deem Townhomes")</f>
        <v>Al Deem Townhomes</v>
      </c>
      <c r="C9087" s="2" t="str">
        <f ca="1">IFERROR(__xludf.DUMMYFUNCTION("""COMPUTED_VALUE"""),"Neighbourhood")</f>
        <v>Neighbourhood</v>
      </c>
      <c r="D9087" s="2" t="str">
        <f ca="1">IFERROR(__xludf.DUMMYFUNCTION("""COMPUTED_VALUE"""),"Abu Dhabi&gt;Al Bahia&gt;Balghaiylam&gt;Al Deem Townhomes")</f>
        <v>Abu Dhabi&gt;Al Bahia&gt;Balghaiylam&gt;Al Deem Townhomes</v>
      </c>
      <c r="E9087" s="2"/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  <c r="W9087" s="2"/>
      <c r="X9087" s="2"/>
      <c r="Y9087" s="2"/>
      <c r="Z9087" s="2"/>
    </row>
    <row r="9088" spans="1:26" ht="16.5" x14ac:dyDescent="0.35">
      <c r="A9088" s="2" t="str">
        <f ca="1">IFERROR(__xludf.DUMMYFUNCTION("""COMPUTED_VALUE"""),"Abu Dhabi")</f>
        <v>Abu Dhabi</v>
      </c>
      <c r="B9088" s="2" t="str">
        <f ca="1">IFERROR(__xludf.DUMMYFUNCTION("""COMPUTED_VALUE"""),"Eastern Mangrove Promenade")</f>
        <v>Eastern Mangrove Promenade</v>
      </c>
      <c r="C9088" s="2" t="str">
        <f ca="1">IFERROR(__xludf.DUMMYFUNCTION("""COMPUTED_VALUE"""),"Building")</f>
        <v>Building</v>
      </c>
      <c r="D9088" s="2" t="str">
        <f ca="1">IFERROR(__xludf.DUMMYFUNCTION("""COMPUTED_VALUE"""),"Abu Dhabi&gt;Al Zahraa&gt;Eastern Mangroves Complex&gt;Eastern Mangrove Promenade")</f>
        <v>Abu Dhabi&gt;Al Zahraa&gt;Eastern Mangroves Complex&gt;Eastern Mangrove Promenade</v>
      </c>
      <c r="E9088" s="2"/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  <c r="W9088" s="2"/>
      <c r="X9088" s="2"/>
      <c r="Y9088" s="2"/>
      <c r="Z9088" s="2"/>
    </row>
    <row r="9089" spans="1:26" ht="16.5" x14ac:dyDescent="0.35">
      <c r="A9089" s="2" t="str">
        <f ca="1">IFERROR(__xludf.DUMMYFUNCTION("""COMPUTED_VALUE"""),"Abu Dhabi")</f>
        <v>Abu Dhabi</v>
      </c>
      <c r="B9089" s="2" t="str">
        <f ca="1">IFERROR(__xludf.DUMMYFUNCTION("""COMPUTED_VALUE"""),"Building 1")</f>
        <v>Building 1</v>
      </c>
      <c r="C9089" s="2" t="str">
        <f ca="1">IFERROR(__xludf.DUMMYFUNCTION("""COMPUTED_VALUE"""),"Building")</f>
        <v>Building</v>
      </c>
      <c r="D9089" s="2" t="str">
        <f ca="1">IFERROR(__xludf.DUMMYFUNCTION("""COMPUTED_VALUE"""),"Abu Dhabi&gt;Zayed City&gt;City Gate Towers&gt;Building 1")</f>
        <v>Abu Dhabi&gt;Zayed City&gt;City Gate Towers&gt;Building 1</v>
      </c>
      <c r="E9089" s="2"/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</row>
    <row r="9090" spans="1:26" ht="16.5" x14ac:dyDescent="0.35">
      <c r="A9090" s="2" t="str">
        <f ca="1">IFERROR(__xludf.DUMMYFUNCTION("""COMPUTED_VALUE"""),"Abu Dhabi")</f>
        <v>Abu Dhabi</v>
      </c>
      <c r="B9090" s="2" t="str">
        <f ca="1">IFERROR(__xludf.DUMMYFUNCTION("""COMPUTED_VALUE"""),"Fahid Island")</f>
        <v>Fahid Island</v>
      </c>
      <c r="C9090" s="2" t="str">
        <f ca="1">IFERROR(__xludf.DUMMYFUNCTION("""COMPUTED_VALUE"""),"Neighbourhood")</f>
        <v>Neighbourhood</v>
      </c>
      <c r="D9090" s="2" t="str">
        <f ca="1">IFERROR(__xludf.DUMMYFUNCTION("""COMPUTED_VALUE"""),"Abu Dhabi&gt;Fahid Island")</f>
        <v>Abu Dhabi&gt;Fahid Island</v>
      </c>
      <c r="E9090" s="2"/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  <c r="W9090" s="2"/>
      <c r="X9090" s="2"/>
      <c r="Y9090" s="2"/>
      <c r="Z9090" s="2"/>
    </row>
    <row r="9091" spans="1:26" ht="16.5" x14ac:dyDescent="0.35">
      <c r="A9091" s="2" t="str">
        <f ca="1">IFERROR(__xludf.DUMMYFUNCTION("""COMPUTED_VALUE"""),"Abu Dhabi")</f>
        <v>Abu Dhabi</v>
      </c>
      <c r="B9091" s="2" t="str">
        <f ca="1">IFERROR(__xludf.DUMMYFUNCTION("""COMPUTED_VALUE"""),"The District Tower B")</f>
        <v>The District Tower B</v>
      </c>
      <c r="C9091" s="2" t="str">
        <f ca="1">IFERROR(__xludf.DUMMYFUNCTION("""COMPUTED_VALUE"""),"Building")</f>
        <v>Building</v>
      </c>
      <c r="D9091" s="2" t="str">
        <f ca="1">IFERROR(__xludf.DUMMYFUNCTION("""COMPUTED_VALUE"""),"Abu Dhabi&gt;Al Reem Island&gt;Tamouh&gt;The District&gt;The District Tower B")</f>
        <v>Abu Dhabi&gt;Al Reem Island&gt;Tamouh&gt;The District&gt;The District Tower B</v>
      </c>
      <c r="E9091" s="2"/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  <c r="W9091" s="2"/>
      <c r="X9091" s="2"/>
      <c r="Y9091" s="2"/>
      <c r="Z9091" s="2"/>
    </row>
    <row r="9092" spans="1:26" ht="16.5" x14ac:dyDescent="0.35">
      <c r="A9092" s="2" t="str">
        <f ca="1">IFERROR(__xludf.DUMMYFUNCTION("""COMPUTED_VALUE"""),"Abu Dhabi")</f>
        <v>Abu Dhabi</v>
      </c>
      <c r="B9092" s="2" t="str">
        <f ca="1">IFERROR(__xludf.DUMMYFUNCTION("""COMPUTED_VALUE"""),"Najmat C02 Tower")</f>
        <v>Najmat C02 Tower</v>
      </c>
      <c r="C9092" s="2" t="str">
        <f ca="1">IFERROR(__xludf.DUMMYFUNCTION("""COMPUTED_VALUE"""),"Building")</f>
        <v>Building</v>
      </c>
      <c r="D9092" s="2" t="str">
        <f ca="1">IFERROR(__xludf.DUMMYFUNCTION("""COMPUTED_VALUE"""),"Abu Dhabi&gt;Al Reem Island&gt;Najmat Abu Dhabi&gt;Najmat Towers&gt;Najmat C02 Tower")</f>
        <v>Abu Dhabi&gt;Al Reem Island&gt;Najmat Abu Dhabi&gt;Najmat Towers&gt;Najmat C02 Tower</v>
      </c>
      <c r="E9092" s="2"/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</row>
    <row r="9093" spans="1:26" ht="16.5" x14ac:dyDescent="0.35">
      <c r="A9093" s="2" t="str">
        <f ca="1">IFERROR(__xludf.DUMMYFUNCTION("""COMPUTED_VALUE"""),"Abu Dhabi")</f>
        <v>Abu Dhabi</v>
      </c>
      <c r="B9093" s="2" t="str">
        <f ca="1">IFERROR(__xludf.DUMMYFUNCTION("""COMPUTED_VALUE"""),"Al Wifaq Tower")</f>
        <v>Al Wifaq Tower</v>
      </c>
      <c r="C9093" s="2" t="str">
        <f ca="1">IFERROR(__xludf.DUMMYFUNCTION("""COMPUTED_VALUE"""),"Building")</f>
        <v>Building</v>
      </c>
      <c r="D9093" s="2" t="str">
        <f ca="1">IFERROR(__xludf.DUMMYFUNCTION("""COMPUTED_VALUE"""),"Abu Dhabi&gt;Al Reem Island&gt;Shams Abu Dhabi&gt;Al Wifaq Tower")</f>
        <v>Abu Dhabi&gt;Al Reem Island&gt;Shams Abu Dhabi&gt;Al Wifaq Tower</v>
      </c>
      <c r="E9093" s="2"/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</row>
    <row r="9094" spans="1:26" ht="16.5" x14ac:dyDescent="0.35">
      <c r="A9094" s="2" t="str">
        <f ca="1">IFERROR(__xludf.DUMMYFUNCTION("""COMPUTED_VALUE"""),"Abu Dhabi")</f>
        <v>Abu Dhabi</v>
      </c>
      <c r="B9094" s="2" t="str">
        <f ca="1">IFERROR(__xludf.DUMMYFUNCTION("""COMPUTED_VALUE"""),"Oceanscape")</f>
        <v>Oceanscape</v>
      </c>
      <c r="C9094" s="2" t="str">
        <f ca="1">IFERROR(__xludf.DUMMYFUNCTION("""COMPUTED_VALUE"""),"Building")</f>
        <v>Building</v>
      </c>
      <c r="D9094" s="2" t="str">
        <f ca="1">IFERROR(__xludf.DUMMYFUNCTION("""COMPUTED_VALUE"""),"Abu Dhabi&gt;Al Reem Island&gt;Shams Abu Dhabi&gt;Oceanscape")</f>
        <v>Abu Dhabi&gt;Al Reem Island&gt;Shams Abu Dhabi&gt;Oceanscape</v>
      </c>
      <c r="E9094" s="2"/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  <c r="W9094" s="2"/>
      <c r="X9094" s="2"/>
      <c r="Y9094" s="2"/>
      <c r="Z9094" s="2"/>
    </row>
    <row r="9095" spans="1:26" ht="16.5" x14ac:dyDescent="0.35">
      <c r="A9095" s="2" t="str">
        <f ca="1">IFERROR(__xludf.DUMMYFUNCTION("""COMPUTED_VALUE"""),"Abu Dhabi")</f>
        <v>Abu Dhabi</v>
      </c>
      <c r="B9095" s="2" t="str">
        <f ca="1">IFERROR(__xludf.DUMMYFUNCTION("""COMPUTED_VALUE"""),"City of Lights")</f>
        <v>City of Lights</v>
      </c>
      <c r="C9095" s="2" t="str">
        <f ca="1">IFERROR(__xludf.DUMMYFUNCTION("""COMPUTED_VALUE"""),"Neighbourhood")</f>
        <v>Neighbourhood</v>
      </c>
      <c r="D9095" s="2" t="str">
        <f ca="1">IFERROR(__xludf.DUMMYFUNCTION("""COMPUTED_VALUE"""),"Abu Dhabi&gt;Al Reem Island&gt;City of Lights")</f>
        <v>Abu Dhabi&gt;Al Reem Island&gt;City of Lights</v>
      </c>
      <c r="E9095" s="2"/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  <c r="W9095" s="2"/>
      <c r="X9095" s="2"/>
      <c r="Y9095" s="2"/>
      <c r="Z9095" s="2"/>
    </row>
    <row r="9096" spans="1:26" ht="16.5" x14ac:dyDescent="0.35">
      <c r="A9096" s="2" t="str">
        <f ca="1">IFERROR(__xludf.DUMMYFUNCTION("""COMPUTED_VALUE"""),"Abu Dhabi")</f>
        <v>Abu Dhabi</v>
      </c>
      <c r="B9096" s="2" t="str">
        <f ca="1">IFERROR(__xludf.DUMMYFUNCTION("""COMPUTED_VALUE"""),"Hydra Lantern")</f>
        <v>Hydra Lantern</v>
      </c>
      <c r="C9096" s="2" t="str">
        <f ca="1">IFERROR(__xludf.DUMMYFUNCTION("""COMPUTED_VALUE"""),"Building")</f>
        <v>Building</v>
      </c>
      <c r="D9096" s="2" t="str">
        <f ca="1">IFERROR(__xludf.DUMMYFUNCTION("""COMPUTED_VALUE"""),"Abu Dhabi&gt;Al Reem Island&gt;Hydra Lantern")</f>
        <v>Abu Dhabi&gt;Al Reem Island&gt;Hydra Lantern</v>
      </c>
      <c r="E9096" s="2"/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  <c r="W9096" s="2"/>
      <c r="X9096" s="2"/>
      <c r="Y9096" s="2"/>
      <c r="Z9096" s="2"/>
    </row>
    <row r="9097" spans="1:26" ht="16.5" x14ac:dyDescent="0.35">
      <c r="A9097" s="2" t="str">
        <f ca="1">IFERROR(__xludf.DUMMYFUNCTION("""COMPUTED_VALUE"""),"Abu Dhabi")</f>
        <v>Abu Dhabi</v>
      </c>
      <c r="B9097" s="2" t="str">
        <f ca="1">IFERROR(__xludf.DUMMYFUNCTION("""COMPUTED_VALUE"""),"Marlin")</f>
        <v>Marlin</v>
      </c>
      <c r="C9097" s="2" t="str">
        <f ca="1">IFERROR(__xludf.DUMMYFUNCTION("""COMPUTED_VALUE"""),"Cluster")</f>
        <v>Cluster</v>
      </c>
      <c r="D9097" s="2" t="str">
        <f ca="1">IFERROR(__xludf.DUMMYFUNCTION("""COMPUTED_VALUE"""),"Abu Dhabi&gt;Al Reem Island&gt;Marlin")</f>
        <v>Abu Dhabi&gt;Al Reem Island&gt;Marlin</v>
      </c>
      <c r="E9097" s="2"/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</row>
    <row r="9098" spans="1:26" ht="16.5" x14ac:dyDescent="0.35">
      <c r="A9098" s="2" t="str">
        <f ca="1">IFERROR(__xludf.DUMMYFUNCTION("""COMPUTED_VALUE"""),"Abu Dhabi")</f>
        <v>Abu Dhabi</v>
      </c>
      <c r="B9098" s="2" t="str">
        <f ca="1">IFERROR(__xludf.DUMMYFUNCTION("""COMPUTED_VALUE"""),"Golden Falcon Tower")</f>
        <v>Golden Falcon Tower</v>
      </c>
      <c r="C9098" s="2" t="str">
        <f ca="1">IFERROR(__xludf.DUMMYFUNCTION("""COMPUTED_VALUE"""),"Building")</f>
        <v>Building</v>
      </c>
      <c r="D9098" s="2" t="str">
        <f ca="1">IFERROR(__xludf.DUMMYFUNCTION("""COMPUTED_VALUE"""),"Abu Dhabi&gt;Hamdan Street&gt;Golden Falcon Tower")</f>
        <v>Abu Dhabi&gt;Hamdan Street&gt;Golden Falcon Tower</v>
      </c>
      <c r="E9098" s="2"/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</row>
    <row r="9099" spans="1:26" ht="16.5" x14ac:dyDescent="0.35">
      <c r="A9099" s="2" t="str">
        <f ca="1">IFERROR(__xludf.DUMMYFUNCTION("""COMPUTED_VALUE"""),"Abu Dhabi")</f>
        <v>Abu Dhabi</v>
      </c>
      <c r="B9099" s="2" t="str">
        <f ca="1">IFERROR(__xludf.DUMMYFUNCTION("""COMPUTED_VALUE"""),"Khalidiyah Centre")</f>
        <v>Khalidiyah Centre</v>
      </c>
      <c r="C9099" s="2" t="str">
        <f ca="1">IFERROR(__xludf.DUMMYFUNCTION("""COMPUTED_VALUE"""),"Building")</f>
        <v>Building</v>
      </c>
      <c r="D9099" s="2" t="str">
        <f ca="1">IFERROR(__xludf.DUMMYFUNCTION("""COMPUTED_VALUE"""),"Abu Dhabi&gt;Al Khalidiyah&gt;Khalidiyah Centre")</f>
        <v>Abu Dhabi&gt;Al Khalidiyah&gt;Khalidiyah Centre</v>
      </c>
      <c r="E9099" s="2"/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</row>
    <row r="9100" spans="1:26" ht="16.5" x14ac:dyDescent="0.35">
      <c r="A9100" s="2" t="str">
        <f ca="1">IFERROR(__xludf.DUMMYFUNCTION("""COMPUTED_VALUE"""),"Abu Dhabi")</f>
        <v>Abu Dhabi</v>
      </c>
      <c r="B9100" s="2" t="str">
        <f ca="1">IFERROR(__xludf.DUMMYFUNCTION("""COMPUTED_VALUE"""),"Crescent International Private School - Abu Dhabi")</f>
        <v>Crescent International Private School - Abu Dhabi</v>
      </c>
      <c r="C9100" s="2" t="str">
        <f ca="1">IFERROR(__xludf.DUMMYFUNCTION("""COMPUTED_VALUE"""),"School")</f>
        <v>School</v>
      </c>
      <c r="D9100" s="2" t="str">
        <f ca="1">IFERROR(__xludf.DUMMYFUNCTION("""COMPUTED_VALUE"""),"Abu Dhabi&gt;Khalifa City&gt;Crescent International Private School - Abu Dhabi")</f>
        <v>Abu Dhabi&gt;Khalifa City&gt;Crescent International Private School - Abu Dhabi</v>
      </c>
      <c r="E9100" s="2"/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  <c r="W9100" s="2"/>
      <c r="X9100" s="2"/>
      <c r="Y9100" s="2"/>
      <c r="Z9100" s="2"/>
    </row>
    <row r="9101" spans="1:26" ht="16.5" x14ac:dyDescent="0.35">
      <c r="A9101" s="2" t="str">
        <f ca="1">IFERROR(__xludf.DUMMYFUNCTION("""COMPUTED_VALUE"""),"Abu Dhabi")</f>
        <v>Abu Dhabi</v>
      </c>
      <c r="B9101" s="2" t="str">
        <f ca="1">IFERROR(__xludf.DUMMYFUNCTION("""COMPUTED_VALUE"""),"SE16")</f>
        <v>SE16</v>
      </c>
      <c r="C9101" s="2" t="str">
        <f ca="1">IFERROR(__xludf.DUMMYFUNCTION("""COMPUTED_VALUE"""),"Neighbourhood")</f>
        <v>Neighbourhood</v>
      </c>
      <c r="D9101" s="2" t="str">
        <f ca="1">IFERROR(__xludf.DUMMYFUNCTION("""COMPUTED_VALUE"""),"Abu Dhabi&gt;Khalifa City&gt;SE16")</f>
        <v>Abu Dhabi&gt;Khalifa City&gt;SE16</v>
      </c>
      <c r="E9101" s="2"/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  <c r="W9101" s="2"/>
      <c r="X9101" s="2"/>
      <c r="Y9101" s="2"/>
      <c r="Z9101" s="2"/>
    </row>
    <row r="9102" spans="1:26" ht="16.5" x14ac:dyDescent="0.35">
      <c r="A9102" s="2" t="str">
        <f ca="1">IFERROR(__xludf.DUMMYFUNCTION("""COMPUTED_VALUE"""),"Abu Dhabi")</f>
        <v>Abu Dhabi</v>
      </c>
      <c r="B9102" s="2" t="str">
        <f ca="1">IFERROR(__xludf.DUMMYFUNCTION("""COMPUTED_VALUE"""),"Al Wathba Tower")</f>
        <v>Al Wathba Tower</v>
      </c>
      <c r="C9102" s="2" t="str">
        <f ca="1">IFERROR(__xludf.DUMMYFUNCTION("""COMPUTED_VALUE"""),"Building")</f>
        <v>Building</v>
      </c>
      <c r="D9102" s="2" t="str">
        <f ca="1">IFERROR(__xludf.DUMMYFUNCTION("""COMPUTED_VALUE"""),"Abu Dhabi&gt;Al Markaziya&gt;Al Wathba Tower")</f>
        <v>Abu Dhabi&gt;Al Markaziya&gt;Al Wathba Tower</v>
      </c>
      <c r="E9102" s="2"/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  <c r="W9102" s="2"/>
      <c r="X9102" s="2"/>
      <c r="Y9102" s="2"/>
      <c r="Z9102" s="2"/>
    </row>
    <row r="9103" spans="1:26" ht="16.5" x14ac:dyDescent="0.35">
      <c r="A9103" s="2" t="str">
        <f ca="1">IFERROR(__xludf.DUMMYFUNCTION("""COMPUTED_VALUE"""),"Abu Dhabi")</f>
        <v>Abu Dhabi</v>
      </c>
      <c r="B9103" s="2" t="str">
        <f ca="1">IFERROR(__xludf.DUMMYFUNCTION("""COMPUTED_VALUE"""),"Al Khubaira Village")</f>
        <v>Al Khubaira Village</v>
      </c>
      <c r="C9103" s="2"/>
      <c r="D9103" s="2" t="str">
        <f ca="1">IFERROR(__xludf.DUMMYFUNCTION("""COMPUTED_VALUE"""),"Abu Dhabi&gt;Al Ghadeer&gt;Al Khubaira Village")</f>
        <v>Abu Dhabi&gt;Al Ghadeer&gt;Al Khubaira Village</v>
      </c>
      <c r="E9103" s="2"/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  <c r="W9103" s="2"/>
      <c r="X9103" s="2"/>
      <c r="Y9103" s="2"/>
      <c r="Z9103" s="2"/>
    </row>
    <row r="9104" spans="1:26" ht="16.5" x14ac:dyDescent="0.35">
      <c r="A9104" s="2" t="str">
        <f ca="1">IFERROR(__xludf.DUMMYFUNCTION("""COMPUTED_VALUE"""),"Abu Dhabi")</f>
        <v>Abu Dhabi</v>
      </c>
      <c r="B9104" s="2" t="str">
        <f ca="1">IFERROR(__xludf.DUMMYFUNCTION("""COMPUTED_VALUE"""),"Lilac")</f>
        <v>Lilac</v>
      </c>
      <c r="C9104" s="2" t="str">
        <f ca="1">IFERROR(__xludf.DUMMYFUNCTION("""COMPUTED_VALUE"""),"Building")</f>
        <v>Building</v>
      </c>
      <c r="D9104" s="2" t="str">
        <f ca="1">IFERROR(__xludf.DUMMYFUNCTION("""COMPUTED_VALUE"""),"Abu Dhabi&gt;Saadiyat Island&gt;Saadiyat Cultural District&gt;Mamsha Al Saadiyat&gt;Lilac")</f>
        <v>Abu Dhabi&gt;Saadiyat Island&gt;Saadiyat Cultural District&gt;Mamsha Al Saadiyat&gt;Lilac</v>
      </c>
      <c r="E9104" s="2"/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  <c r="W9104" s="2"/>
      <c r="X9104" s="2"/>
      <c r="Y9104" s="2"/>
      <c r="Z9104" s="2"/>
    </row>
    <row r="9105" spans="1:26" ht="16.5" x14ac:dyDescent="0.35">
      <c r="A9105" s="2" t="str">
        <f ca="1">IFERROR(__xludf.DUMMYFUNCTION("""COMPUTED_VALUE"""),"Abu Dhabi")</f>
        <v>Abu Dhabi</v>
      </c>
      <c r="B9105" s="2" t="str">
        <f ca="1">IFERROR(__xludf.DUMMYFUNCTION("""COMPUTED_VALUE"""),"Nasayem Tower 2")</f>
        <v>Nasayem Tower 2</v>
      </c>
      <c r="C9105" s="2" t="str">
        <f ca="1">IFERROR(__xludf.DUMMYFUNCTION("""COMPUTED_VALUE"""),"Building")</f>
        <v>Building</v>
      </c>
      <c r="D9105" s="2" t="str">
        <f ca="1">IFERROR(__xludf.DUMMYFUNCTION("""COMPUTED_VALUE"""),"Abu Dhabi&gt;Saadiyat Island&gt;Saadiyat Al Marina&gt;Nasayem Complex&gt;Nasayem Tower 2")</f>
        <v>Abu Dhabi&gt;Saadiyat Island&gt;Saadiyat Al Marina&gt;Nasayem Complex&gt;Nasayem Tower 2</v>
      </c>
      <c r="E9105" s="2"/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  <c r="W9105" s="2"/>
      <c r="X9105" s="2"/>
      <c r="Y9105" s="2"/>
      <c r="Z9105" s="2"/>
    </row>
    <row r="9106" spans="1:26" ht="16.5" x14ac:dyDescent="0.35">
      <c r="A9106" s="2" t="str">
        <f ca="1">IFERROR(__xludf.DUMMYFUNCTION("""COMPUTED_VALUE"""),"Abu Dhabi")</f>
        <v>Abu Dhabi</v>
      </c>
      <c r="B9106" s="2" t="str">
        <f ca="1">IFERROR(__xludf.DUMMYFUNCTION("""COMPUTED_VALUE"""),"St Regis Residences Block 4")</f>
        <v>St Regis Residences Block 4</v>
      </c>
      <c r="C9106" s="2" t="str">
        <f ca="1">IFERROR(__xludf.DUMMYFUNCTION("""COMPUTED_VALUE"""),"Building")</f>
        <v>Building</v>
      </c>
      <c r="D9106" s="2" t="str">
        <f ca="1">IFERROR(__xludf.DUMMYFUNCTION("""COMPUTED_VALUE"""),"Abu Dhabi&gt;Saadiyat Island&gt;Saadiyat Beach&gt;Saadiyat St Regis Residences&gt;St Regis Residences Block 4")</f>
        <v>Abu Dhabi&gt;Saadiyat Island&gt;Saadiyat Beach&gt;Saadiyat St Regis Residences&gt;St Regis Residences Block 4</v>
      </c>
      <c r="E9106" s="2"/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  <c r="W9106" s="2"/>
      <c r="X9106" s="2"/>
      <c r="Y9106" s="2"/>
      <c r="Z9106" s="2"/>
    </row>
    <row r="9107" spans="1:26" ht="16.5" x14ac:dyDescent="0.35">
      <c r="A9107" s="2" t="str">
        <f ca="1">IFERROR(__xludf.DUMMYFUNCTION("""COMPUTED_VALUE"""),"Abu Dhabi")</f>
        <v>Abu Dhabi</v>
      </c>
      <c r="B9107" s="2" t="str">
        <f ca="1">IFERROR(__xludf.DUMMYFUNCTION("""COMPUTED_VALUE"""),"Lord Tower")</f>
        <v>Lord Tower</v>
      </c>
      <c r="C9107" s="2" t="str">
        <f ca="1">IFERROR(__xludf.DUMMYFUNCTION("""COMPUTED_VALUE"""),"Building")</f>
        <v>Building</v>
      </c>
      <c r="D9107" s="2" t="str">
        <f ca="1">IFERROR(__xludf.DUMMYFUNCTION("""COMPUTED_VALUE"""),"Abu Dhabi&gt;Al Raha Beach&gt;Lord Tower")</f>
        <v>Abu Dhabi&gt;Al Raha Beach&gt;Lord Tower</v>
      </c>
      <c r="E9107" s="2"/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  <c r="W9107" s="2"/>
      <c r="X9107" s="2"/>
      <c r="Y9107" s="2"/>
      <c r="Z9107" s="2"/>
    </row>
    <row r="9108" spans="1:26" ht="16.5" x14ac:dyDescent="0.35">
      <c r="A9108" s="2" t="str">
        <f ca="1">IFERROR(__xludf.DUMMYFUNCTION("""COMPUTED_VALUE"""),"Abu Dhabi")</f>
        <v>Abu Dhabi</v>
      </c>
      <c r="B9108" s="2" t="str">
        <f ca="1">IFERROR(__xludf.DUMMYFUNCTION("""COMPUTED_VALUE"""),"Al Barza")</f>
        <v>Al Barza</v>
      </c>
      <c r="C9108" s="2" t="str">
        <f ca="1">IFERROR(__xludf.DUMMYFUNCTION("""COMPUTED_VALUE"""),"Building")</f>
        <v>Building</v>
      </c>
      <c r="D9108" s="2" t="str">
        <f ca="1">IFERROR(__xludf.DUMMYFUNCTION("""COMPUTED_VALUE"""),"Abu Dhabi&gt;Al Raha Beach&gt;Al Bandar&gt;Al Barza")</f>
        <v>Abu Dhabi&gt;Al Raha Beach&gt;Al Bandar&gt;Al Barza</v>
      </c>
      <c r="E9108" s="2"/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  <c r="W9108" s="2"/>
      <c r="X9108" s="2"/>
      <c r="Y9108" s="2"/>
      <c r="Z9108" s="2"/>
    </row>
    <row r="9109" spans="1:26" ht="16.5" x14ac:dyDescent="0.35">
      <c r="A9109" s="2" t="str">
        <f ca="1">IFERROR(__xludf.DUMMYFUNCTION("""COMPUTED_VALUE"""),"Abu Dhabi")</f>
        <v>Abu Dhabi</v>
      </c>
      <c r="B9109" s="2" t="str">
        <f ca="1">IFERROR(__xludf.DUMMYFUNCTION("""COMPUTED_VALUE"""),"P-2716 Building")</f>
        <v>P-2716 Building</v>
      </c>
      <c r="C9109" s="2" t="str">
        <f ca="1">IFERROR(__xludf.DUMMYFUNCTION("""COMPUTED_VALUE"""),"Building")</f>
        <v>Building</v>
      </c>
      <c r="D9109" s="2" t="str">
        <f ca="1">IFERROR(__xludf.DUMMYFUNCTION("""COMPUTED_VALUE"""),"Abu Dhabi&gt;Al Raha Beach&gt;Al Dana&gt;P-2716 Building")</f>
        <v>Abu Dhabi&gt;Al Raha Beach&gt;Al Dana&gt;P-2716 Building</v>
      </c>
      <c r="E9109" s="2"/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  <c r="W9109" s="2"/>
      <c r="X9109" s="2"/>
      <c r="Y9109" s="2"/>
      <c r="Z9109" s="2"/>
    </row>
    <row r="9110" spans="1:26" ht="16.5" x14ac:dyDescent="0.35">
      <c r="A9110" s="2" t="str">
        <f ca="1">IFERROR(__xludf.DUMMYFUNCTION("""COMPUTED_VALUE"""),"Abu Dhabi")</f>
        <v>Abu Dhabi</v>
      </c>
      <c r="B9110" s="2" t="str">
        <f ca="1">IFERROR(__xludf.DUMMYFUNCTION("""COMPUTED_VALUE"""),"P-1623")</f>
        <v>P-1623</v>
      </c>
      <c r="C9110" s="2" t="str">
        <f ca="1">IFERROR(__xludf.DUMMYFUNCTION("""COMPUTED_VALUE"""),"Building")</f>
        <v>Building</v>
      </c>
      <c r="D9110" s="2" t="str">
        <f ca="1">IFERROR(__xludf.DUMMYFUNCTION("""COMPUTED_VALUE"""),"Abu Dhabi&gt;Al Raha Beach&gt;P-1623")</f>
        <v>Abu Dhabi&gt;Al Raha Beach&gt;P-1623</v>
      </c>
      <c r="E9110" s="2"/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  <c r="W9110" s="2"/>
      <c r="X9110" s="2"/>
      <c r="Y9110" s="2"/>
      <c r="Z9110" s="2"/>
    </row>
    <row r="9111" spans="1:26" ht="16.5" x14ac:dyDescent="0.35">
      <c r="A9111" s="2" t="str">
        <f ca="1">IFERROR(__xludf.DUMMYFUNCTION("""COMPUTED_VALUE"""),"Abu Dhabi")</f>
        <v>Abu Dhabi</v>
      </c>
      <c r="B9111" s="2" t="str">
        <f ca="1">IFERROR(__xludf.DUMMYFUNCTION("""COMPUTED_VALUE"""),"Al Muroor Tower")</f>
        <v>Al Muroor Tower</v>
      </c>
      <c r="C9111" s="2" t="str">
        <f ca="1">IFERROR(__xludf.DUMMYFUNCTION("""COMPUTED_VALUE"""),"Building")</f>
        <v>Building</v>
      </c>
      <c r="D9111" s="2" t="str">
        <f ca="1">IFERROR(__xludf.DUMMYFUNCTION("""COMPUTED_VALUE"""),"Abu Dhabi&gt;Al Muroor&gt;Al Muroor Tower")</f>
        <v>Abu Dhabi&gt;Al Muroor&gt;Al Muroor Tower</v>
      </c>
      <c r="E9111" s="2"/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  <c r="W9111" s="2"/>
      <c r="X9111" s="2"/>
      <c r="Y9111" s="2"/>
      <c r="Z9111" s="2"/>
    </row>
    <row r="9112" spans="1:26" ht="16.5" x14ac:dyDescent="0.35">
      <c r="A9112" s="2" t="str">
        <f ca="1">IFERROR(__xludf.DUMMYFUNCTION("""COMPUTED_VALUE"""),"Abu Dhabi")</f>
        <v>Abu Dhabi</v>
      </c>
      <c r="B9112" s="2" t="str">
        <f ca="1">IFERROR(__xludf.DUMMYFUNCTION("""COMPUTED_VALUE"""),"Dunes International School")</f>
        <v>Dunes International School</v>
      </c>
      <c r="C9112" s="2" t="str">
        <f ca="1">IFERROR(__xludf.DUMMYFUNCTION("""COMPUTED_VALUE"""),"School")</f>
        <v>School</v>
      </c>
      <c r="D9112" s="2" t="str">
        <f ca="1">IFERROR(__xludf.DUMMYFUNCTION("""COMPUTED_VALUE"""),"Abu Dhabi&gt;Mohamed Bin Zayed City&gt;Dunes International School")</f>
        <v>Abu Dhabi&gt;Mohamed Bin Zayed City&gt;Dunes International School</v>
      </c>
      <c r="E9112" s="2"/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  <c r="W9112" s="2"/>
      <c r="X9112" s="2"/>
      <c r="Y9112" s="2"/>
      <c r="Z9112" s="2"/>
    </row>
    <row r="9113" spans="1:26" ht="16.5" x14ac:dyDescent="0.35">
      <c r="A9113" s="2" t="str">
        <f ca="1">IFERROR(__xludf.DUMMYFUNCTION("""COMPUTED_VALUE"""),"Abu Dhabi")</f>
        <v>Abu Dhabi</v>
      </c>
      <c r="B9113" s="2" t="str">
        <f ca="1">IFERROR(__xludf.DUMMYFUNCTION("""COMPUTED_VALUE"""),"Zone 12")</f>
        <v>Zone 12</v>
      </c>
      <c r="C9113" s="2" t="str">
        <f ca="1">IFERROR(__xludf.DUMMYFUNCTION("""COMPUTED_VALUE"""),"Neighbourhood")</f>
        <v>Neighbourhood</v>
      </c>
      <c r="D9113" s="2" t="str">
        <f ca="1">IFERROR(__xludf.DUMMYFUNCTION("""COMPUTED_VALUE"""),"Abu Dhabi&gt;Mohamed Bin Zayed City&gt;Zone 12")</f>
        <v>Abu Dhabi&gt;Mohamed Bin Zayed City&gt;Zone 12</v>
      </c>
      <c r="E9113" s="2"/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  <c r="W9113" s="2"/>
      <c r="X9113" s="2"/>
      <c r="Y9113" s="2"/>
      <c r="Z9113" s="2"/>
    </row>
    <row r="9114" spans="1:26" ht="16.5" x14ac:dyDescent="0.35">
      <c r="A9114" s="2" t="str">
        <f ca="1">IFERROR(__xludf.DUMMYFUNCTION("""COMPUTED_VALUE"""),"Abu Dhabi")</f>
        <v>Abu Dhabi</v>
      </c>
      <c r="B9114" s="2" t="str">
        <f ca="1">IFERROR(__xludf.DUMMYFUNCTION("""COMPUTED_VALUE"""),"Al Reef")</f>
        <v>Al Reef</v>
      </c>
      <c r="C9114" s="2" t="str">
        <f ca="1">IFERROR(__xludf.DUMMYFUNCTION("""COMPUTED_VALUE"""),"Neighbourhood")</f>
        <v>Neighbourhood</v>
      </c>
      <c r="D9114" s="2" t="str">
        <f ca="1">IFERROR(__xludf.DUMMYFUNCTION("""COMPUTED_VALUE"""),"Abu Dhabi&gt;Al Reef")</f>
        <v>Abu Dhabi&gt;Al Reef</v>
      </c>
      <c r="E9114" s="2"/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  <c r="W9114" s="2"/>
      <c r="X9114" s="2"/>
      <c r="Y9114" s="2"/>
      <c r="Z9114" s="2"/>
    </row>
    <row r="9115" spans="1:26" ht="16.5" x14ac:dyDescent="0.35">
      <c r="A9115" s="2" t="str">
        <f ca="1">IFERROR(__xludf.DUMMYFUNCTION("""COMPUTED_VALUE"""),"Abu Dhabi")</f>
        <v>Abu Dhabi</v>
      </c>
      <c r="B9115" s="2" t="str">
        <f ca="1">IFERROR(__xludf.DUMMYFUNCTION("""COMPUTED_VALUE"""),"Building 20")</f>
        <v>Building 20</v>
      </c>
      <c r="C9115" s="2" t="str">
        <f ca="1">IFERROR(__xludf.DUMMYFUNCTION("""COMPUTED_VALUE"""),"Building")</f>
        <v>Building</v>
      </c>
      <c r="D9115" s="2" t="str">
        <f ca="1">IFERROR(__xludf.DUMMYFUNCTION("""COMPUTED_VALUE"""),"Abu Dhabi&gt;Al Reef&gt;Al Reef Downtown&gt;Building 20")</f>
        <v>Abu Dhabi&gt;Al Reef&gt;Al Reef Downtown&gt;Building 20</v>
      </c>
      <c r="E9115" s="2"/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  <c r="W9115" s="2"/>
      <c r="X9115" s="2"/>
      <c r="Y9115" s="2"/>
      <c r="Z9115" s="2"/>
    </row>
    <row r="9116" spans="1:26" ht="16.5" x14ac:dyDescent="0.35">
      <c r="A9116" s="2" t="str">
        <f ca="1">IFERROR(__xludf.DUMMYFUNCTION("""COMPUTED_VALUE"""),"Abu Dhabi")</f>
        <v>Abu Dhabi</v>
      </c>
      <c r="B9116" s="2" t="str">
        <f ca="1">IFERROR(__xludf.DUMMYFUNCTION("""COMPUTED_VALUE"""),"Zone 5")</f>
        <v>Zone 5</v>
      </c>
      <c r="C9116" s="2" t="str">
        <f ca="1">IFERROR(__xludf.DUMMYFUNCTION("""COMPUTED_VALUE"""),"Neighbourhood")</f>
        <v>Neighbourhood</v>
      </c>
      <c r="D9116" s="2" t="str">
        <f ca="1">IFERROR(__xludf.DUMMYFUNCTION("""COMPUTED_VALUE"""),"Abu Dhabi&gt;Hydra Village&gt;Zone 5")</f>
        <v>Abu Dhabi&gt;Hydra Village&gt;Zone 5</v>
      </c>
      <c r="E9116" s="2"/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  <c r="W9116" s="2"/>
      <c r="X9116" s="2"/>
      <c r="Y9116" s="2"/>
      <c r="Z9116" s="2"/>
    </row>
    <row r="9117" spans="1:26" ht="16.5" x14ac:dyDescent="0.35">
      <c r="A9117" s="2" t="str">
        <f ca="1">IFERROR(__xludf.DUMMYFUNCTION("""COMPUTED_VALUE"""),"Abu Dhabi")</f>
        <v>Abu Dhabi</v>
      </c>
      <c r="B9117" s="2" t="str">
        <f ca="1">IFERROR(__xludf.DUMMYFUNCTION("""COMPUTED_VALUE"""),"Al Neem Residence")</f>
        <v>Al Neem Residence</v>
      </c>
      <c r="C9117" s="2" t="str">
        <f ca="1">IFERROR(__xludf.DUMMYFUNCTION("""COMPUTED_VALUE"""),"Building")</f>
        <v>Building</v>
      </c>
      <c r="D9117" s="2" t="str">
        <f ca="1">IFERROR(__xludf.DUMMYFUNCTION("""COMPUTED_VALUE"""),"Abu Dhabi&gt;Rawdhat Abu Dhabi&gt;Al Neem Residence")</f>
        <v>Abu Dhabi&gt;Rawdhat Abu Dhabi&gt;Al Neem Residence</v>
      </c>
      <c r="E9117" s="2"/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  <c r="W9117" s="2"/>
      <c r="X9117" s="2"/>
      <c r="Y9117" s="2"/>
      <c r="Z9117" s="2"/>
    </row>
    <row r="9118" spans="1:26" ht="16.5" x14ac:dyDescent="0.35">
      <c r="A9118" s="2" t="str">
        <f ca="1">IFERROR(__xludf.DUMMYFUNCTION("""COMPUTED_VALUE"""),"Abu Dhabi")</f>
        <v>Abu Dhabi</v>
      </c>
      <c r="B9118" s="2" t="str">
        <f ca="1">IFERROR(__xludf.DUMMYFUNCTION("""COMPUTED_VALUE"""),"Ghantoot")</f>
        <v>Ghantoot</v>
      </c>
      <c r="C9118" s="2" t="str">
        <f ca="1">IFERROR(__xludf.DUMMYFUNCTION("""COMPUTED_VALUE"""),"Neighbourhood")</f>
        <v>Neighbourhood</v>
      </c>
      <c r="D9118" s="2" t="str">
        <f ca="1">IFERROR(__xludf.DUMMYFUNCTION("""COMPUTED_VALUE"""),"Abu Dhabi&gt;Ghantoot")</f>
        <v>Abu Dhabi&gt;Ghantoot</v>
      </c>
      <c r="E9118" s="2"/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  <c r="W9118" s="2"/>
      <c r="X9118" s="2"/>
      <c r="Y9118" s="2"/>
      <c r="Z9118" s="2"/>
    </row>
    <row r="9119" spans="1:26" ht="16.5" x14ac:dyDescent="0.35">
      <c r="A9119" s="2" t="str">
        <f ca="1">IFERROR(__xludf.DUMMYFUNCTION("""COMPUTED_VALUE"""),"Abu Dhabi")</f>
        <v>Abu Dhabi</v>
      </c>
      <c r="B9119" s="2" t="str">
        <f ca="1">IFERROR(__xludf.DUMMYFUNCTION("""COMPUTED_VALUE"""),"Mayan 2")</f>
        <v>Mayan 2</v>
      </c>
      <c r="C9119" s="2" t="str">
        <f ca="1">IFERROR(__xludf.DUMMYFUNCTION("""COMPUTED_VALUE"""),"Building")</f>
        <v>Building</v>
      </c>
      <c r="D9119" s="2" t="str">
        <f ca="1">IFERROR(__xludf.DUMMYFUNCTION("""COMPUTED_VALUE"""),"Abu Dhabi&gt;Yas Island&gt;Mayan&gt;Mayan 2")</f>
        <v>Abu Dhabi&gt;Yas Island&gt;Mayan&gt;Mayan 2</v>
      </c>
      <c r="E9119" s="2"/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  <c r="W9119" s="2"/>
      <c r="X9119" s="2"/>
      <c r="Y9119" s="2"/>
      <c r="Z9119" s="2"/>
    </row>
    <row r="9120" spans="1:26" ht="16.5" x14ac:dyDescent="0.35">
      <c r="A9120" s="2" t="str">
        <f ca="1">IFERROR(__xludf.DUMMYFUNCTION("""COMPUTED_VALUE"""),"Abu Dhabi")</f>
        <v>Abu Dhabi</v>
      </c>
      <c r="B9120" s="2" t="str">
        <f ca="1">IFERROR(__xludf.DUMMYFUNCTION("""COMPUTED_VALUE"""),"Sea La Vie Tower 2")</f>
        <v>Sea La Vie Tower 2</v>
      </c>
      <c r="C9120" s="2" t="str">
        <f ca="1">IFERROR(__xludf.DUMMYFUNCTION("""COMPUTED_VALUE"""),"Building")</f>
        <v>Building</v>
      </c>
      <c r="D9120" s="2" t="str">
        <f ca="1">IFERROR(__xludf.DUMMYFUNCTION("""COMPUTED_VALUE"""),"Abu Dhabi&gt;Yas Island&gt;Sea La Vie&gt;Sea La Vie Tower 2")</f>
        <v>Abu Dhabi&gt;Yas Island&gt;Sea La Vie&gt;Sea La Vie Tower 2</v>
      </c>
      <c r="E9120" s="2"/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  <c r="W9120" s="2"/>
      <c r="X9120" s="2"/>
      <c r="Y9120" s="2"/>
      <c r="Z9120" s="2"/>
    </row>
    <row r="9121" spans="1:26" ht="16.5" x14ac:dyDescent="0.35">
      <c r="A9121" s="2" t="str">
        <f ca="1">IFERROR(__xludf.DUMMYFUNCTION("""COMPUTED_VALUE"""),"Abu Dhabi")</f>
        <v>Abu Dhabi</v>
      </c>
      <c r="B9121" s="2" t="str">
        <f ca="1">IFERROR(__xludf.DUMMYFUNCTION("""COMPUTED_VALUE"""),"Al Dhannah City")</f>
        <v>Al Dhannah City</v>
      </c>
      <c r="C9121" s="2" t="str">
        <f ca="1">IFERROR(__xludf.DUMMYFUNCTION("""COMPUTED_VALUE"""),"Neighbourhood")</f>
        <v>Neighbourhood</v>
      </c>
      <c r="D9121" s="2" t="str">
        <f ca="1">IFERROR(__xludf.DUMMYFUNCTION("""COMPUTED_VALUE"""),"Abu Dhabi&gt;Al Dhannah City")</f>
        <v>Abu Dhabi&gt;Al Dhannah City</v>
      </c>
      <c r="E9121" s="2"/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  <c r="W9121" s="2"/>
      <c r="X9121" s="2"/>
      <c r="Y9121" s="2"/>
      <c r="Z9121" s="2"/>
    </row>
    <row r="9122" spans="1:26" ht="16.5" x14ac:dyDescent="0.35">
      <c r="A9122" s="2" t="str">
        <f ca="1">IFERROR(__xludf.DUMMYFUNCTION("""COMPUTED_VALUE"""),"Ajman")</f>
        <v>Ajman</v>
      </c>
      <c r="B9122" s="2" t="str">
        <f ca="1">IFERROR(__xludf.DUMMYFUNCTION("""COMPUTED_VALUE"""),"Ajman")</f>
        <v>Ajman</v>
      </c>
      <c r="C9122" s="2" t="str">
        <f ca="1">IFERROR(__xludf.DUMMYFUNCTION("""COMPUTED_VALUE"""),"Emirate")</f>
        <v>Emirate</v>
      </c>
      <c r="D9122" s="2" t="str">
        <f ca="1">IFERROR(__xludf.DUMMYFUNCTION("""COMPUTED_VALUE"""),"Ajman")</f>
        <v>Ajman</v>
      </c>
      <c r="E9122" s="2"/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  <c r="W9122" s="2"/>
      <c r="X9122" s="2"/>
      <c r="Y9122" s="2"/>
      <c r="Z9122" s="2"/>
    </row>
    <row r="9123" spans="1:26" ht="16.5" x14ac:dyDescent="0.35">
      <c r="A9123" s="2" t="str">
        <f ca="1">IFERROR(__xludf.DUMMYFUNCTION("""COMPUTED_VALUE"""),"Ajman")</f>
        <v>Ajman</v>
      </c>
      <c r="B9123" s="2" t="str">
        <f ca="1">IFERROR(__xludf.DUMMYFUNCTION("""COMPUTED_VALUE"""),"Paradise Lakes B9")</f>
        <v>Paradise Lakes B9</v>
      </c>
      <c r="C9123" s="2" t="str">
        <f ca="1">IFERROR(__xludf.DUMMYFUNCTION("""COMPUTED_VALUE"""),"Building")</f>
        <v>Building</v>
      </c>
      <c r="D9123" s="2" t="str">
        <f ca="1">IFERROR(__xludf.DUMMYFUNCTION("""COMPUTED_VALUE"""),"Ajman&gt;Emirates City&gt;Paradise Lakes&gt;Paradise Lakes B9")</f>
        <v>Ajman&gt;Emirates City&gt;Paradise Lakes&gt;Paradise Lakes B9</v>
      </c>
      <c r="E9123" s="2"/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  <c r="W9123" s="2"/>
      <c r="X9123" s="2"/>
      <c r="Y9123" s="2"/>
      <c r="Z9123" s="2"/>
    </row>
    <row r="9124" spans="1:26" ht="16.5" x14ac:dyDescent="0.35">
      <c r="A9124" s="2" t="str">
        <f ca="1">IFERROR(__xludf.DUMMYFUNCTION("""COMPUTED_VALUE"""),"Ajman")</f>
        <v>Ajman</v>
      </c>
      <c r="B9124" s="2" t="str">
        <f ca="1">IFERROR(__xludf.DUMMYFUNCTION("""COMPUTED_VALUE"""),"Venice Tower")</f>
        <v>Venice Tower</v>
      </c>
      <c r="C9124" s="2" t="str">
        <f ca="1">IFERROR(__xludf.DUMMYFUNCTION("""COMPUTED_VALUE"""),"Building")</f>
        <v>Building</v>
      </c>
      <c r="D9124" s="2" t="str">
        <f ca="1">IFERROR(__xludf.DUMMYFUNCTION("""COMPUTED_VALUE"""),"Ajman&gt;Emirates City&gt;Venice Tower")</f>
        <v>Ajman&gt;Emirates City&gt;Venice Tower</v>
      </c>
      <c r="E9124" s="2"/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  <c r="W9124" s="2"/>
      <c r="X9124" s="2"/>
      <c r="Y9124" s="2"/>
      <c r="Z9124" s="2"/>
    </row>
    <row r="9125" spans="1:26" ht="16.5" x14ac:dyDescent="0.35">
      <c r="A9125" s="2" t="str">
        <f ca="1">IFERROR(__xludf.DUMMYFUNCTION("""COMPUTED_VALUE"""),"Ajman")</f>
        <v>Ajman</v>
      </c>
      <c r="B9125" s="2" t="str">
        <f ca="1">IFERROR(__xludf.DUMMYFUNCTION("""COMPUTED_VALUE"""),"Al Jurf 2")</f>
        <v>Al Jurf 2</v>
      </c>
      <c r="C9125" s="2" t="str">
        <f ca="1">IFERROR(__xludf.DUMMYFUNCTION("""COMPUTED_VALUE"""),"Neighbourhood")</f>
        <v>Neighbourhood</v>
      </c>
      <c r="D9125" s="2" t="str">
        <f ca="1">IFERROR(__xludf.DUMMYFUNCTION("""COMPUTED_VALUE"""),"Ajman&gt;Al Jurf&gt;Al Jurf 2")</f>
        <v>Ajman&gt;Al Jurf&gt;Al Jurf 2</v>
      </c>
      <c r="E9125" s="2"/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  <c r="W9125" s="2"/>
      <c r="X9125" s="2"/>
      <c r="Y9125" s="2"/>
      <c r="Z9125" s="2"/>
    </row>
    <row r="9126" spans="1:26" ht="16.5" x14ac:dyDescent="0.35">
      <c r="A9126" s="2" t="str">
        <f ca="1">IFERROR(__xludf.DUMMYFUNCTION("""COMPUTED_VALUE"""),"Ajman")</f>
        <v>Ajman</v>
      </c>
      <c r="B9126" s="2" t="str">
        <f ca="1">IFERROR(__xludf.DUMMYFUNCTION("""COMPUTED_VALUE"""),"Horizon Tower D")</f>
        <v>Horizon Tower D</v>
      </c>
      <c r="C9126" s="2"/>
      <c r="D9126" s="2" t="str">
        <f ca="1">IFERROR(__xludf.DUMMYFUNCTION("""COMPUTED_VALUE"""),"Ajman&gt;Ajman Downtown&gt;Horizon Tower&gt;Horizon Tower D")</f>
        <v>Ajman&gt;Ajman Downtown&gt;Horizon Tower&gt;Horizon Tower D</v>
      </c>
      <c r="E9126" s="2"/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</row>
    <row r="9127" spans="1:26" ht="16.5" x14ac:dyDescent="0.35">
      <c r="A9127" s="2" t="str">
        <f ca="1">IFERROR(__xludf.DUMMYFUNCTION("""COMPUTED_VALUE"""),"Ajman")</f>
        <v>Ajman</v>
      </c>
      <c r="B9127" s="2" t="str">
        <f ca="1">IFERROR(__xludf.DUMMYFUNCTION("""COMPUTED_VALUE"""),"Oasis Tower 2")</f>
        <v>Oasis Tower 2</v>
      </c>
      <c r="C9127" s="2" t="str">
        <f ca="1">IFERROR(__xludf.DUMMYFUNCTION("""COMPUTED_VALUE"""),"Building")</f>
        <v>Building</v>
      </c>
      <c r="D9127" s="2" t="str">
        <f ca="1">IFERROR(__xludf.DUMMYFUNCTION("""COMPUTED_VALUE"""),"Ajman&gt;Al Rashidiya&gt;Al Rashidiya 1&gt;Oasis Towers&gt;Oasis Tower 2")</f>
        <v>Ajman&gt;Al Rashidiya&gt;Al Rashidiya 1&gt;Oasis Towers&gt;Oasis Tower 2</v>
      </c>
      <c r="E9127" s="2"/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  <c r="W9127" s="2"/>
      <c r="X9127" s="2"/>
      <c r="Y9127" s="2"/>
      <c r="Z9127" s="2"/>
    </row>
    <row r="9128" spans="1:26" ht="16.5" x14ac:dyDescent="0.35">
      <c r="A9128" s="2" t="str">
        <f ca="1">IFERROR(__xludf.DUMMYFUNCTION("""COMPUTED_VALUE"""),"Ajman")</f>
        <v>Ajman</v>
      </c>
      <c r="B9128" s="2" t="str">
        <f ca="1">IFERROR(__xludf.DUMMYFUNCTION("""COMPUTED_VALUE"""),"Ajman One Tower 5")</f>
        <v>Ajman One Tower 5</v>
      </c>
      <c r="C9128" s="2"/>
      <c r="D9128" s="2" t="str">
        <f ca="1">IFERROR(__xludf.DUMMYFUNCTION("""COMPUTED_VALUE"""),"Ajman&gt;Al Rashidiya&gt;Al Rashidiya 3&gt;Ajman One Towers&gt;Ajman One Tower 5")</f>
        <v>Ajman&gt;Al Rashidiya&gt;Al Rashidiya 3&gt;Ajman One Towers&gt;Ajman One Tower 5</v>
      </c>
      <c r="E9128" s="2"/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  <c r="W9128" s="2"/>
      <c r="X9128" s="2"/>
      <c r="Y9128" s="2"/>
      <c r="Z9128" s="2"/>
    </row>
    <row r="9129" spans="1:26" ht="16.5" x14ac:dyDescent="0.35">
      <c r="A9129" s="2" t="str">
        <f ca="1">IFERROR(__xludf.DUMMYFUNCTION("""COMPUTED_VALUE"""),"Ajman")</f>
        <v>Ajman</v>
      </c>
      <c r="B9129" s="2" t="str">
        <f ca="1">IFERROR(__xludf.DUMMYFUNCTION("""COMPUTED_VALUE"""),"Al Mowaihat 3")</f>
        <v>Al Mowaihat 3</v>
      </c>
      <c r="C9129" s="2" t="str">
        <f ca="1">IFERROR(__xludf.DUMMYFUNCTION("""COMPUTED_VALUE"""),"Neighbourhood")</f>
        <v>Neighbourhood</v>
      </c>
      <c r="D9129" s="2" t="str">
        <f ca="1">IFERROR(__xludf.DUMMYFUNCTION("""COMPUTED_VALUE"""),"Ajman&gt;Al Mowaihat&gt;Al Mowaihat 3")</f>
        <v>Ajman&gt;Al Mowaihat&gt;Al Mowaihat 3</v>
      </c>
      <c r="E9129" s="2"/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  <c r="W9129" s="2"/>
      <c r="X9129" s="2"/>
      <c r="Y9129" s="2"/>
      <c r="Z9129" s="2"/>
    </row>
    <row r="9130" spans="1:26" ht="16.5" x14ac:dyDescent="0.35">
      <c r="A9130" s="2" t="str">
        <f ca="1">IFERROR(__xludf.DUMMYFUNCTION("""COMPUTED_VALUE"""),"Ajman")</f>
        <v>Ajman</v>
      </c>
      <c r="B9130" s="2" t="str">
        <f ca="1">IFERROR(__xludf.DUMMYFUNCTION("""COMPUTED_VALUE"""),"East Point Indian International School, Ajman")</f>
        <v>East Point Indian International School, Ajman</v>
      </c>
      <c r="C9130" s="2" t="str">
        <f ca="1">IFERROR(__xludf.DUMMYFUNCTION("""COMPUTED_VALUE"""),"School")</f>
        <v>School</v>
      </c>
      <c r="D9130" s="2" t="str">
        <f ca="1">IFERROR(__xludf.DUMMYFUNCTION("""COMPUTED_VALUE"""),"Ajman&gt;Al Hamidiyah&gt;East Point Indian International School, Ajman")</f>
        <v>Ajman&gt;Al Hamidiyah&gt;East Point Indian International School, Ajman</v>
      </c>
      <c r="E9130" s="2"/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  <c r="W9130" s="2"/>
      <c r="X9130" s="2"/>
      <c r="Y9130" s="2"/>
      <c r="Z9130" s="2"/>
    </row>
    <row r="9131" spans="1:26" ht="16.5" x14ac:dyDescent="0.35">
      <c r="A9131" s="2" t="str">
        <f ca="1">IFERROR(__xludf.DUMMYFUNCTION("""COMPUTED_VALUE"""),"Ajman")</f>
        <v>Ajman</v>
      </c>
      <c r="B9131" s="2" t="str">
        <f ca="1">IFERROR(__xludf.DUMMYFUNCTION("""COMPUTED_VALUE"""),"Al Manama")</f>
        <v>Al Manama</v>
      </c>
      <c r="C9131" s="2" t="str">
        <f ca="1">IFERROR(__xludf.DUMMYFUNCTION("""COMPUTED_VALUE"""),"Neighbourhood")</f>
        <v>Neighbourhood</v>
      </c>
      <c r="D9131" s="2" t="str">
        <f ca="1">IFERROR(__xludf.DUMMYFUNCTION("""COMPUTED_VALUE"""),"Ajman&gt;Al Manama")</f>
        <v>Ajman&gt;Al Manama</v>
      </c>
      <c r="E9131" s="2"/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  <c r="W9131" s="2"/>
      <c r="X9131" s="2"/>
      <c r="Y9131" s="2"/>
      <c r="Z9131" s="2"/>
    </row>
    <row r="9132" spans="1:26" ht="16.5" x14ac:dyDescent="0.35">
      <c r="A9132" s="2" t="str">
        <f ca="1">IFERROR(__xludf.DUMMYFUNCTION("""COMPUTED_VALUE"""),"Ajman")</f>
        <v>Ajman</v>
      </c>
      <c r="B9132" s="2" t="str">
        <f ca="1">IFERROR(__xludf.DUMMYFUNCTION("""COMPUTED_VALUE"""),"Geepas Building 6")</f>
        <v>Geepas Building 6</v>
      </c>
      <c r="C9132" s="2"/>
      <c r="D9132" s="2" t="str">
        <f ca="1">IFERROR(__xludf.DUMMYFUNCTION("""COMPUTED_VALUE"""),"Ajman&gt;Al Nakhil&gt;Geepas Building 6")</f>
        <v>Ajman&gt;Al Nakhil&gt;Geepas Building 6</v>
      </c>
      <c r="E9132" s="2"/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  <c r="W9132" s="2"/>
      <c r="X9132" s="2"/>
      <c r="Y9132" s="2"/>
      <c r="Z9132" s="2"/>
    </row>
    <row r="9133" spans="1:26" ht="16.5" x14ac:dyDescent="0.35">
      <c r="A9133" s="2" t="str">
        <f ca="1">IFERROR(__xludf.DUMMYFUNCTION("""COMPUTED_VALUE"""),"Ajman")</f>
        <v>Ajman</v>
      </c>
      <c r="B9133" s="2" t="str">
        <f ca="1">IFERROR(__xludf.DUMMYFUNCTION("""COMPUTED_VALUE"""),"Dewan Towers")</f>
        <v>Dewan Towers</v>
      </c>
      <c r="C9133" s="2" t="str">
        <f ca="1">IFERROR(__xludf.DUMMYFUNCTION("""COMPUTED_VALUE"""),"Building")</f>
        <v>Building</v>
      </c>
      <c r="D9133" s="2" t="str">
        <f ca="1">IFERROR(__xludf.DUMMYFUNCTION("""COMPUTED_VALUE"""),"Ajman&gt;Al Owan&gt;Dewan Towers")</f>
        <v>Ajman&gt;Al Owan&gt;Dewan Towers</v>
      </c>
      <c r="E9133" s="2"/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  <c r="W9133" s="2"/>
      <c r="X9133" s="2"/>
      <c r="Y9133" s="2"/>
      <c r="Z9133" s="2"/>
    </row>
    <row r="9134" spans="1:26" ht="16.5" x14ac:dyDescent="0.35">
      <c r="A9134" s="2" t="str">
        <f ca="1">IFERROR(__xludf.DUMMYFUNCTION("""COMPUTED_VALUE"""),"Ajman")</f>
        <v>Ajman</v>
      </c>
      <c r="B9134" s="2" t="str">
        <f ca="1">IFERROR(__xludf.DUMMYFUNCTION("""COMPUTED_VALUE"""),"Palm 1 Time Residence")</f>
        <v>Palm 1 Time Residence</v>
      </c>
      <c r="C9134" s="2"/>
      <c r="D9134" s="2" t="str">
        <f ca="1">IFERROR(__xludf.DUMMYFUNCTION("""COMPUTED_VALUE"""),"Ajman&gt;Al Nuaimiya&gt;Al Nuaimiya 1&gt;Palm 1 Time Residence")</f>
        <v>Ajman&gt;Al Nuaimiya&gt;Al Nuaimiya 1&gt;Palm 1 Time Residence</v>
      </c>
      <c r="E9134" s="2"/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  <c r="W9134" s="2"/>
      <c r="X9134" s="2"/>
      <c r="Y9134" s="2"/>
      <c r="Z9134" s="2"/>
    </row>
    <row r="9135" spans="1:26" ht="16.5" x14ac:dyDescent="0.35">
      <c r="A9135" s="2" t="str">
        <f ca="1">IFERROR(__xludf.DUMMYFUNCTION("""COMPUTED_VALUE"""),"Ajman")</f>
        <v>Ajman</v>
      </c>
      <c r="B9135" s="2" t="str">
        <f ca="1">IFERROR(__xludf.DUMMYFUNCTION("""COMPUTED_VALUE"""),"Amina One Tower")</f>
        <v>Amina One Tower</v>
      </c>
      <c r="C9135" s="2"/>
      <c r="D9135" s="2" t="str">
        <f ca="1">IFERROR(__xludf.DUMMYFUNCTION("""COMPUTED_VALUE"""),"Ajman&gt;Awali City&gt;Amina One Tower")</f>
        <v>Ajman&gt;Awali City&gt;Amina One Tower</v>
      </c>
      <c r="E9135" s="2"/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</row>
    <row r="9136" spans="1:26" ht="16.5" x14ac:dyDescent="0.35">
      <c r="A9136" s="2" t="str">
        <f ca="1">IFERROR(__xludf.DUMMYFUNCTION("""COMPUTED_VALUE"""),"Sharjah")</f>
        <v>Sharjah</v>
      </c>
      <c r="B9136" s="2" t="str">
        <f ca="1">IFERROR(__xludf.DUMMYFUNCTION("""COMPUTED_VALUE"""),"Dunes Tower")</f>
        <v>Dunes Tower</v>
      </c>
      <c r="C9136" s="2" t="str">
        <f ca="1">IFERROR(__xludf.DUMMYFUNCTION("""COMPUTED_VALUE"""),"Building")</f>
        <v>Building</v>
      </c>
      <c r="D9136" s="2" t="str">
        <f ca="1">IFERROR(__xludf.DUMMYFUNCTION("""COMPUTED_VALUE"""),"Sharjah&gt;Al Nahda (Sharjah)&gt;Dunes Tower")</f>
        <v>Sharjah&gt;Al Nahda (Sharjah)&gt;Dunes Tower</v>
      </c>
      <c r="E9136" s="2"/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</row>
    <row r="9137" spans="1:26" ht="16.5" x14ac:dyDescent="0.35">
      <c r="A9137" s="2" t="str">
        <f ca="1">IFERROR(__xludf.DUMMYFUNCTION("""COMPUTED_VALUE"""),"Sharjah")</f>
        <v>Sharjah</v>
      </c>
      <c r="B9137" s="2" t="str">
        <f ca="1">IFERROR(__xludf.DUMMYFUNCTION("""COMPUTED_VALUE"""),"Al Nahda House")</f>
        <v>Al Nahda House</v>
      </c>
      <c r="C9137" s="2"/>
      <c r="D9137" s="2" t="str">
        <f ca="1">IFERROR(__xludf.DUMMYFUNCTION("""COMPUTED_VALUE"""),"Sharjah&gt;Al Nahda (Sharjah)&gt;Al Nahda House")</f>
        <v>Sharjah&gt;Al Nahda (Sharjah)&gt;Al Nahda House</v>
      </c>
      <c r="E9137" s="2"/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</row>
    <row r="9138" spans="1:26" ht="16.5" x14ac:dyDescent="0.35">
      <c r="A9138" s="2" t="str">
        <f ca="1">IFERROR(__xludf.DUMMYFUNCTION("""COMPUTED_VALUE"""),"Sharjah")</f>
        <v>Sharjah</v>
      </c>
      <c r="B9138" s="2" t="str">
        <f ca="1">IFERROR(__xludf.DUMMYFUNCTION("""COMPUTED_VALUE"""),"Al Kubra Tower")</f>
        <v>Al Kubra Tower</v>
      </c>
      <c r="C9138" s="2"/>
      <c r="D9138" s="2" t="str">
        <f ca="1">IFERROR(__xludf.DUMMYFUNCTION("""COMPUTED_VALUE"""),"Sharjah&gt;Al Nahda (Sharjah)&gt;Al Kubra Tower")</f>
        <v>Sharjah&gt;Al Nahda (Sharjah)&gt;Al Kubra Tower</v>
      </c>
      <c r="E9138" s="2"/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  <c r="W9138" s="2"/>
      <c r="X9138" s="2"/>
      <c r="Y9138" s="2"/>
      <c r="Z9138" s="2"/>
    </row>
    <row r="9139" spans="1:26" ht="16.5" x14ac:dyDescent="0.35">
      <c r="A9139" s="2" t="str">
        <f ca="1">IFERROR(__xludf.DUMMYFUNCTION("""COMPUTED_VALUE"""),"Sharjah")</f>
        <v>Sharjah</v>
      </c>
      <c r="B9139" s="2" t="str">
        <f ca="1">IFERROR(__xludf.DUMMYFUNCTION("""COMPUTED_VALUE"""),"Noora Building")</f>
        <v>Noora Building</v>
      </c>
      <c r="C9139" s="2"/>
      <c r="D9139" s="2" t="str">
        <f ca="1">IFERROR(__xludf.DUMMYFUNCTION("""COMPUTED_VALUE"""),"Sharjah&gt;Al Nahda (Sharjah)&gt;Noora Building")</f>
        <v>Sharjah&gt;Al Nahda (Sharjah)&gt;Noora Building</v>
      </c>
      <c r="E9139" s="2"/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</row>
    <row r="9140" spans="1:26" ht="16.5" x14ac:dyDescent="0.35">
      <c r="A9140" s="2" t="str">
        <f ca="1">IFERROR(__xludf.DUMMYFUNCTION("""COMPUTED_VALUE"""),"Sharjah")</f>
        <v>Sharjah</v>
      </c>
      <c r="B9140" s="2" t="str">
        <f ca="1">IFERROR(__xludf.DUMMYFUNCTION("""COMPUTED_VALUE"""),"Al Fahad Tower")</f>
        <v>Al Fahad Tower</v>
      </c>
      <c r="C9140" s="2" t="str">
        <f ca="1">IFERROR(__xludf.DUMMYFUNCTION("""COMPUTED_VALUE"""),"Building")</f>
        <v>Building</v>
      </c>
      <c r="D9140" s="2" t="str">
        <f ca="1">IFERROR(__xludf.DUMMYFUNCTION("""COMPUTED_VALUE"""),"Sharjah&gt;Al Nahda (Sharjah)&gt;Al Fahad Tower")</f>
        <v>Sharjah&gt;Al Nahda (Sharjah)&gt;Al Fahad Tower</v>
      </c>
      <c r="E9140" s="2"/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</row>
    <row r="9141" spans="1:26" ht="16.5" x14ac:dyDescent="0.35">
      <c r="A9141" s="2" t="str">
        <f ca="1">IFERROR(__xludf.DUMMYFUNCTION("""COMPUTED_VALUE"""),"Sharjah")</f>
        <v>Sharjah</v>
      </c>
      <c r="B9141" s="2" t="str">
        <f ca="1">IFERROR(__xludf.DUMMYFUNCTION("""COMPUTED_VALUE"""),"Misk 1")</f>
        <v>Misk 1</v>
      </c>
      <c r="C9141" s="2" t="str">
        <f ca="1">IFERROR(__xludf.DUMMYFUNCTION("""COMPUTED_VALUE"""),"Building")</f>
        <v>Building</v>
      </c>
      <c r="D9141" s="2" t="str">
        <f ca="1">IFERROR(__xludf.DUMMYFUNCTION("""COMPUTED_VALUE"""),"Sharjah&gt;Aljada&gt;Misk Apartments&gt;Misk 1")</f>
        <v>Sharjah&gt;Aljada&gt;Misk Apartments&gt;Misk 1</v>
      </c>
      <c r="E9141" s="2"/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  <c r="W9141" s="2"/>
      <c r="X9141" s="2"/>
      <c r="Y9141" s="2"/>
      <c r="Z9141" s="2"/>
    </row>
    <row r="9142" spans="1:26" ht="16.5" x14ac:dyDescent="0.35">
      <c r="A9142" s="2" t="str">
        <f ca="1">IFERROR(__xludf.DUMMYFUNCTION("""COMPUTED_VALUE"""),"Sharjah")</f>
        <v>Sharjah</v>
      </c>
      <c r="B9142" s="2" t="str">
        <f ca="1">IFERROR(__xludf.DUMMYFUNCTION("""COMPUTED_VALUE"""),"Sokoon 2")</f>
        <v>Sokoon 2</v>
      </c>
      <c r="C9142" s="2" t="str">
        <f ca="1">IFERROR(__xludf.DUMMYFUNCTION("""COMPUTED_VALUE"""),"Building")</f>
        <v>Building</v>
      </c>
      <c r="D9142" s="2" t="str">
        <f ca="1">IFERROR(__xludf.DUMMYFUNCTION("""COMPUTED_VALUE"""),"Sharjah&gt;Aljada&gt;Naseej District&gt;Sokoon&gt;Sokoon 2")</f>
        <v>Sharjah&gt;Aljada&gt;Naseej District&gt;Sokoon&gt;Sokoon 2</v>
      </c>
      <c r="E9142" s="2"/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  <c r="W9142" s="2"/>
      <c r="X9142" s="2"/>
      <c r="Y9142" s="2"/>
      <c r="Z9142" s="2"/>
    </row>
    <row r="9143" spans="1:26" ht="16.5" x14ac:dyDescent="0.35">
      <c r="A9143" s="2" t="str">
        <f ca="1">IFERROR(__xludf.DUMMYFUNCTION("""COMPUTED_VALUE"""),"Sharjah")</f>
        <v>Sharjah</v>
      </c>
      <c r="B9143" s="2" t="str">
        <f ca="1">IFERROR(__xludf.DUMMYFUNCTION("""COMPUTED_VALUE"""),"Nasaq 5")</f>
        <v>Nasaq 5</v>
      </c>
      <c r="C9143" s="2" t="str">
        <f ca="1">IFERROR(__xludf.DUMMYFUNCTION("""COMPUTED_VALUE"""),"Building")</f>
        <v>Building</v>
      </c>
      <c r="D9143" s="2" t="str">
        <f ca="1">IFERROR(__xludf.DUMMYFUNCTION("""COMPUTED_VALUE"""),"Sharjah&gt;Aljada&gt;Nasaq&gt;Nasaq 5")</f>
        <v>Sharjah&gt;Aljada&gt;Nasaq&gt;Nasaq 5</v>
      </c>
      <c r="E9143" s="2"/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  <c r="W9143" s="2"/>
      <c r="X9143" s="2"/>
      <c r="Y9143" s="2"/>
      <c r="Z9143" s="2"/>
    </row>
    <row r="9144" spans="1:26" ht="16.5" x14ac:dyDescent="0.35">
      <c r="A9144" s="2" t="str">
        <f ca="1">IFERROR(__xludf.DUMMYFUNCTION("""COMPUTED_VALUE"""),"Sharjah")</f>
        <v>Sharjah</v>
      </c>
      <c r="B9144" s="2" t="str">
        <f ca="1">IFERROR(__xludf.DUMMYFUNCTION("""COMPUTED_VALUE"""),"Corniche Al Buhaira")</f>
        <v>Corniche Al Buhaira</v>
      </c>
      <c r="C9144" s="2" t="str">
        <f ca="1">IFERROR(__xludf.DUMMYFUNCTION("""COMPUTED_VALUE"""),"Neighbourhood")</f>
        <v>Neighbourhood</v>
      </c>
      <c r="D9144" s="2" t="str">
        <f ca="1">IFERROR(__xludf.DUMMYFUNCTION("""COMPUTED_VALUE"""),"Sharjah&gt;Corniche Al Buhaira")</f>
        <v>Sharjah&gt;Corniche Al Buhaira</v>
      </c>
      <c r="E9144" s="2"/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  <c r="W9144" s="2"/>
      <c r="X9144" s="2"/>
      <c r="Y9144" s="2"/>
      <c r="Z9144" s="2"/>
    </row>
    <row r="9145" spans="1:26" ht="16.5" x14ac:dyDescent="0.35">
      <c r="A9145" s="2" t="str">
        <f ca="1">IFERROR(__xludf.DUMMYFUNCTION("""COMPUTED_VALUE"""),"Sharjah")</f>
        <v>Sharjah</v>
      </c>
      <c r="B9145" s="2" t="str">
        <f ca="1">IFERROR(__xludf.DUMMYFUNCTION("""COMPUTED_VALUE"""),"Al Nayli Building")</f>
        <v>Al Nayli Building</v>
      </c>
      <c r="C9145" s="2" t="str">
        <f ca="1">IFERROR(__xludf.DUMMYFUNCTION("""COMPUTED_VALUE"""),"Building")</f>
        <v>Building</v>
      </c>
      <c r="D9145" s="2" t="str">
        <f ca="1">IFERROR(__xludf.DUMMYFUNCTION("""COMPUTED_VALUE"""),"Sharjah&gt;Abu Shagara&gt;Al Nayli Building")</f>
        <v>Sharjah&gt;Abu Shagara&gt;Al Nayli Building</v>
      </c>
      <c r="E9145" s="2"/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  <c r="W9145" s="2"/>
      <c r="X9145" s="2"/>
      <c r="Y9145" s="2"/>
      <c r="Z9145" s="2"/>
    </row>
    <row r="9146" spans="1:26" ht="16.5" x14ac:dyDescent="0.35">
      <c r="A9146" s="2" t="str">
        <f ca="1">IFERROR(__xludf.DUMMYFUNCTION("""COMPUTED_VALUE"""),"Sharjah")</f>
        <v>Sharjah</v>
      </c>
      <c r="B9146" s="2" t="str">
        <f ca="1">IFERROR(__xludf.DUMMYFUNCTION("""COMPUTED_VALUE"""),"Qasr Al Saadah Tower")</f>
        <v>Qasr Al Saadah Tower</v>
      </c>
      <c r="C9146" s="2" t="str">
        <f ca="1">IFERROR(__xludf.DUMMYFUNCTION("""COMPUTED_VALUE"""),"Building")</f>
        <v>Building</v>
      </c>
      <c r="D9146" s="2" t="str">
        <f ca="1">IFERROR(__xludf.DUMMYFUNCTION("""COMPUTED_VALUE"""),"Sharjah&gt;Al Mamzar&gt;Qasr Al Saadah Tower")</f>
        <v>Sharjah&gt;Al Mamzar&gt;Qasr Al Saadah Tower</v>
      </c>
      <c r="E9146" s="2"/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  <c r="W9146" s="2"/>
      <c r="X9146" s="2"/>
      <c r="Y9146" s="2"/>
      <c r="Z9146" s="2"/>
    </row>
    <row r="9147" spans="1:26" ht="16.5" x14ac:dyDescent="0.35">
      <c r="A9147" s="2" t="str">
        <f ca="1">IFERROR(__xludf.DUMMYFUNCTION("""COMPUTED_VALUE"""),"Sharjah")</f>
        <v>Sharjah</v>
      </c>
      <c r="B9147" s="2" t="str">
        <f ca="1">IFERROR(__xludf.DUMMYFUNCTION("""COMPUTED_VALUE"""),"Al Ramla East")</f>
        <v>Al Ramla East</v>
      </c>
      <c r="C9147" s="2"/>
      <c r="D9147" s="2" t="str">
        <f ca="1">IFERROR(__xludf.DUMMYFUNCTION("""COMPUTED_VALUE"""),"Sharjah&gt;Al Ramla&gt;Al Ramla East")</f>
        <v>Sharjah&gt;Al Ramla&gt;Al Ramla East</v>
      </c>
      <c r="E9147" s="2"/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  <c r="W9147" s="2"/>
      <c r="X9147" s="2"/>
      <c r="Y9147" s="2"/>
      <c r="Z9147" s="2"/>
    </row>
    <row r="9148" spans="1:26" ht="16.5" x14ac:dyDescent="0.35">
      <c r="A9148" s="2" t="str">
        <f ca="1">IFERROR(__xludf.DUMMYFUNCTION("""COMPUTED_VALUE"""),"Sharjah")</f>
        <v>Sharjah</v>
      </c>
      <c r="B9148" s="2" t="str">
        <f ca="1">IFERROR(__xludf.DUMMYFUNCTION("""COMPUTED_VALUE"""),"Naseem Residence")</f>
        <v>Naseem Residence</v>
      </c>
      <c r="C9148" s="2"/>
      <c r="D9148" s="2" t="str">
        <f ca="1">IFERROR(__xludf.DUMMYFUNCTION("""COMPUTED_VALUE"""),"Sharjah&gt;Tilal City&gt;Naseem Residence")</f>
        <v>Sharjah&gt;Tilal City&gt;Naseem Residence</v>
      </c>
      <c r="E9148" s="2"/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  <c r="W9148" s="2"/>
      <c r="X9148" s="2"/>
      <c r="Y9148" s="2"/>
      <c r="Z9148" s="2"/>
    </row>
    <row r="9149" spans="1:26" ht="16.5" x14ac:dyDescent="0.35">
      <c r="A9149" s="2" t="str">
        <f ca="1">IFERROR(__xludf.DUMMYFUNCTION("""COMPUTED_VALUE"""),"Sharjah")</f>
        <v>Sharjah</v>
      </c>
      <c r="B9149" s="2" t="str">
        <f ca="1">IFERROR(__xludf.DUMMYFUNCTION("""COMPUTED_VALUE"""),"Al Sabkha")</f>
        <v>Al Sabkha</v>
      </c>
      <c r="C9149" s="2" t="str">
        <f ca="1">IFERROR(__xludf.DUMMYFUNCTION("""COMPUTED_VALUE"""),"Neighbourhood")</f>
        <v>Neighbourhood</v>
      </c>
      <c r="D9149" s="2" t="str">
        <f ca="1">IFERROR(__xludf.DUMMYFUNCTION("""COMPUTED_VALUE"""),"Sharjah&gt;Al Sabkha")</f>
        <v>Sharjah&gt;Al Sabkha</v>
      </c>
      <c r="E9149" s="2"/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</row>
    <row r="9150" spans="1:26" ht="16.5" x14ac:dyDescent="0.35">
      <c r="A9150" s="2" t="str">
        <f ca="1">IFERROR(__xludf.DUMMYFUNCTION("""COMPUTED_VALUE"""),"Sharjah")</f>
        <v>Sharjah</v>
      </c>
      <c r="B9150" s="2" t="str">
        <f ca="1">IFERROR(__xludf.DUMMYFUNCTION("""COMPUTED_VALUE"""),"Clock Tower Offices")</f>
        <v>Clock Tower Offices</v>
      </c>
      <c r="C9150" s="2"/>
      <c r="D9150" s="2" t="str">
        <f ca="1">IFERROR(__xludf.DUMMYFUNCTION("""COMPUTED_VALUE"""),"Sharjah&gt;Al Musalla&gt;Clock Tower Offices")</f>
        <v>Sharjah&gt;Al Musalla&gt;Clock Tower Offices</v>
      </c>
      <c r="E9150" s="2"/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  <c r="W9150" s="2"/>
      <c r="X9150" s="2"/>
      <c r="Y9150" s="2"/>
      <c r="Z9150" s="2"/>
    </row>
    <row r="9151" spans="1:26" ht="16.5" x14ac:dyDescent="0.35">
      <c r="A9151" s="2" t="str">
        <f ca="1">IFERROR(__xludf.DUMMYFUNCTION("""COMPUTED_VALUE"""),"Sharjah")</f>
        <v>Sharjah</v>
      </c>
      <c r="B9151" s="2" t="str">
        <f ca="1">IFERROR(__xludf.DUMMYFUNCTION("""COMPUTED_VALUE"""),"Ajman Academy")</f>
        <v>Ajman Academy</v>
      </c>
      <c r="C9151" s="2" t="str">
        <f ca="1">IFERROR(__xludf.DUMMYFUNCTION("""COMPUTED_VALUE"""),"School")</f>
        <v>School</v>
      </c>
      <c r="D9151" s="2" t="str">
        <f ca="1">IFERROR(__xludf.DUMMYFUNCTION("""COMPUTED_VALUE"""),"Sharjah&gt;Al Talae&gt;Ajman Academy")</f>
        <v>Sharjah&gt;Al Talae&gt;Ajman Academy</v>
      </c>
      <c r="E9151" s="2"/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  <c r="W9151" s="2"/>
      <c r="X9151" s="2"/>
      <c r="Y9151" s="2"/>
      <c r="Z9151" s="2"/>
    </row>
    <row r="9152" spans="1:26" ht="16.5" x14ac:dyDescent="0.35">
      <c r="A9152" s="2" t="str">
        <f ca="1">IFERROR(__xludf.DUMMYFUNCTION("""COMPUTED_VALUE"""),"Sharjah")</f>
        <v>Sharjah</v>
      </c>
      <c r="B9152" s="2" t="str">
        <f ca="1">IFERROR(__xludf.DUMMYFUNCTION("""COMPUTED_VALUE"""),"Mina Office Building")</f>
        <v>Mina Office Building</v>
      </c>
      <c r="C9152" s="2"/>
      <c r="D9152" s="2" t="str">
        <f ca="1">IFERROR(__xludf.DUMMYFUNCTION("""COMPUTED_VALUE"""),"Sharjah&gt;Al Mareija&gt;Mina Office Building")</f>
        <v>Sharjah&gt;Al Mareija&gt;Mina Office Building</v>
      </c>
      <c r="E9152" s="2"/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  <c r="W9152" s="2"/>
      <c r="X9152" s="2"/>
      <c r="Y9152" s="2"/>
      <c r="Z9152" s="2"/>
    </row>
    <row r="9153" spans="1:26" ht="16.5" x14ac:dyDescent="0.35">
      <c r="A9153" s="2" t="str">
        <f ca="1">IFERROR(__xludf.DUMMYFUNCTION("""COMPUTED_VALUE"""),"Sharjah")</f>
        <v>Sharjah</v>
      </c>
      <c r="B9153" s="2" t="str">
        <f ca="1">IFERROR(__xludf.DUMMYFUNCTION("""COMPUTED_VALUE"""),"Al Thuraya Island")</f>
        <v>Al Thuraya Island</v>
      </c>
      <c r="C9153" s="2" t="str">
        <f ca="1">IFERROR(__xludf.DUMMYFUNCTION("""COMPUTED_VALUE"""),"Neighbourhood")</f>
        <v>Neighbourhood</v>
      </c>
      <c r="D9153" s="2" t="str">
        <f ca="1">IFERROR(__xludf.DUMMYFUNCTION("""COMPUTED_VALUE"""),"Sharjah&gt;Ajmal Makan City - Sharjah Waterfront&gt;Al Thuraya Island")</f>
        <v>Sharjah&gt;Ajmal Makan City - Sharjah Waterfront&gt;Al Thuraya Island</v>
      </c>
      <c r="E9153" s="2"/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  <c r="W9153" s="2"/>
      <c r="X9153" s="2"/>
      <c r="Y9153" s="2"/>
      <c r="Z9153" s="2"/>
    </row>
    <row r="9154" spans="1:26" ht="16.5" x14ac:dyDescent="0.35">
      <c r="A9154" s="2" t="str">
        <f ca="1">IFERROR(__xludf.DUMMYFUNCTION("""COMPUTED_VALUE"""),"Sharjah")</f>
        <v>Sharjah</v>
      </c>
      <c r="B9154" s="2" t="str">
        <f ca="1">IFERROR(__xludf.DUMMYFUNCTION("""COMPUTED_VALUE"""),"Al Mahatah")</f>
        <v>Al Mahatah</v>
      </c>
      <c r="C9154" s="2" t="str">
        <f ca="1">IFERROR(__xludf.DUMMYFUNCTION("""COMPUTED_VALUE"""),"Neighbourhood")</f>
        <v>Neighbourhood</v>
      </c>
      <c r="D9154" s="2" t="str">
        <f ca="1">IFERROR(__xludf.DUMMYFUNCTION("""COMPUTED_VALUE"""),"Sharjah&gt;Al Mahatah")</f>
        <v>Sharjah&gt;Al Mahatah</v>
      </c>
      <c r="E9154" s="2"/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  <c r="W9154" s="2"/>
      <c r="X9154" s="2"/>
      <c r="Y9154" s="2"/>
      <c r="Z9154" s="2"/>
    </row>
    <row r="9155" spans="1:26" ht="16.5" x14ac:dyDescent="0.35">
      <c r="A9155" s="2" t="str">
        <f ca="1">IFERROR(__xludf.DUMMYFUNCTION("""COMPUTED_VALUE"""),"Sharjah")</f>
        <v>Sharjah</v>
      </c>
      <c r="B9155" s="2" t="str">
        <f ca="1">IFERROR(__xludf.DUMMYFUNCTION("""COMPUTED_VALUE"""),"Tiger 4 Tower")</f>
        <v>Tiger 4 Tower</v>
      </c>
      <c r="C9155" s="2"/>
      <c r="D9155" s="2" t="str">
        <f ca="1">IFERROR(__xludf.DUMMYFUNCTION("""COMPUTED_VALUE"""),"Sharjah&gt;Al Khan&gt;Tiger 4 Tower")</f>
        <v>Sharjah&gt;Al Khan&gt;Tiger 4 Tower</v>
      </c>
      <c r="E9155" s="2"/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  <c r="W9155" s="2"/>
      <c r="X9155" s="2"/>
      <c r="Y9155" s="2"/>
      <c r="Z9155" s="2"/>
    </row>
    <row r="9156" spans="1:26" ht="16.5" x14ac:dyDescent="0.35">
      <c r="A9156" s="2" t="str">
        <f ca="1">IFERROR(__xludf.DUMMYFUNCTION("""COMPUTED_VALUE"""),"Sharjah")</f>
        <v>Sharjah</v>
      </c>
      <c r="B9156" s="2" t="str">
        <f ca="1">IFERROR(__xludf.DUMMYFUNCTION("""COMPUTED_VALUE"""),"Al Huda Towers")</f>
        <v>Al Huda Towers</v>
      </c>
      <c r="C9156" s="2" t="str">
        <f ca="1">IFERROR(__xludf.DUMMYFUNCTION("""COMPUTED_VALUE"""),"Building")</f>
        <v>Building</v>
      </c>
      <c r="D9156" s="2" t="str">
        <f ca="1">IFERROR(__xludf.DUMMYFUNCTION("""COMPUTED_VALUE"""),"Sharjah&gt;Al Khan&gt;Al Huda Towers")</f>
        <v>Sharjah&gt;Al Khan&gt;Al Huda Towers</v>
      </c>
      <c r="E9156" s="2"/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  <c r="W9156" s="2"/>
      <c r="X9156" s="2"/>
      <c r="Y9156" s="2"/>
      <c r="Z9156" s="2"/>
    </row>
    <row r="9157" spans="1:26" ht="16.5" x14ac:dyDescent="0.35">
      <c r="A9157" s="2" t="str">
        <f ca="1">IFERROR(__xludf.DUMMYFUNCTION("""COMPUTED_VALUE"""),"Sharjah")</f>
        <v>Sharjah</v>
      </c>
      <c r="B9157" s="2" t="str">
        <f ca="1">IFERROR(__xludf.DUMMYFUNCTION("""COMPUTED_VALUE"""),"Crystal Residences Tower A")</f>
        <v>Crystal Residences Tower A</v>
      </c>
      <c r="C9157" s="2" t="str">
        <f ca="1">IFERROR(__xludf.DUMMYFUNCTION("""COMPUTED_VALUE"""),"Building")</f>
        <v>Building</v>
      </c>
      <c r="D9157" s="2" t="str">
        <f ca="1">IFERROR(__xludf.DUMMYFUNCTION("""COMPUTED_VALUE"""),"Sharjah&gt;Al Khan&gt;Maryam Island&gt;Crystal Residences&gt;Crystal Residences Tower A")</f>
        <v>Sharjah&gt;Al Khan&gt;Maryam Island&gt;Crystal Residences&gt;Crystal Residences Tower A</v>
      </c>
      <c r="E9157" s="2"/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  <c r="W9157" s="2"/>
      <c r="X9157" s="2"/>
      <c r="Y9157" s="2"/>
      <c r="Z9157" s="2"/>
    </row>
    <row r="9158" spans="1:26" ht="16.5" x14ac:dyDescent="0.35">
      <c r="A9158" s="2" t="str">
        <f ca="1">IFERROR(__xludf.DUMMYFUNCTION("""COMPUTED_VALUE"""),"Sharjah")</f>
        <v>Sharjah</v>
      </c>
      <c r="B9158" s="2" t="str">
        <f ca="1">IFERROR(__xludf.DUMMYFUNCTION("""COMPUTED_VALUE"""),"Aqroobi Building")</f>
        <v>Aqroobi Building</v>
      </c>
      <c r="C9158" s="2"/>
      <c r="D9158" s="2" t="str">
        <f ca="1">IFERROR(__xludf.DUMMYFUNCTION("""COMPUTED_VALUE"""),"Sharjah&gt;Al Khan&gt;Aqroobi Building")</f>
        <v>Sharjah&gt;Al Khan&gt;Aqroobi Building</v>
      </c>
      <c r="E9158" s="2"/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  <c r="W9158" s="2"/>
      <c r="X9158" s="2"/>
      <c r="Y9158" s="2"/>
      <c r="Z9158" s="2"/>
    </row>
    <row r="9159" spans="1:26" ht="16.5" x14ac:dyDescent="0.35">
      <c r="A9159" s="2" t="str">
        <f ca="1">IFERROR(__xludf.DUMMYFUNCTION("""COMPUTED_VALUE"""),"Sharjah")</f>
        <v>Sharjah</v>
      </c>
      <c r="B9159" s="2" t="str">
        <f ca="1">IFERROR(__xludf.DUMMYFUNCTION("""COMPUTED_VALUE"""),"Sarkoa Tower")</f>
        <v>Sarkoa Tower</v>
      </c>
      <c r="C9159" s="2"/>
      <c r="D9159" s="2" t="str">
        <f ca="1">IFERROR(__xludf.DUMMYFUNCTION("""COMPUTED_VALUE"""),"Sharjah&gt;Al Majaz&gt;Al Majaz 2&gt;Sarkoa Tower")</f>
        <v>Sharjah&gt;Al Majaz&gt;Al Majaz 2&gt;Sarkoa Tower</v>
      </c>
      <c r="E9159" s="2"/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</row>
    <row r="9160" spans="1:26" ht="16.5" x14ac:dyDescent="0.35">
      <c r="A9160" s="2" t="str">
        <f ca="1">IFERROR(__xludf.DUMMYFUNCTION("""COMPUTED_VALUE"""),"Sharjah")</f>
        <v>Sharjah</v>
      </c>
      <c r="B9160" s="2" t="str">
        <f ca="1">IFERROR(__xludf.DUMMYFUNCTION("""COMPUTED_VALUE"""),"Al Munuj Building")</f>
        <v>Al Munuj Building</v>
      </c>
      <c r="C9160" s="2"/>
      <c r="D9160" s="2" t="str">
        <f ca="1">IFERROR(__xludf.DUMMYFUNCTION("""COMPUTED_VALUE"""),"Sharjah&gt;Al Majaz&gt;Al Majaz 2&gt;Al Munuj Building")</f>
        <v>Sharjah&gt;Al Majaz&gt;Al Majaz 2&gt;Al Munuj Building</v>
      </c>
      <c r="E9160" s="2"/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  <c r="W9160" s="2"/>
      <c r="X9160" s="2"/>
      <c r="Y9160" s="2"/>
      <c r="Z9160" s="2"/>
    </row>
    <row r="9161" spans="1:26" ht="16.5" x14ac:dyDescent="0.35">
      <c r="A9161" s="2" t="str">
        <f ca="1">IFERROR(__xludf.DUMMYFUNCTION("""COMPUTED_VALUE"""),"Sharjah")</f>
        <v>Sharjah</v>
      </c>
      <c r="B9161" s="2" t="str">
        <f ca="1">IFERROR(__xludf.DUMMYFUNCTION("""COMPUTED_VALUE"""),"Yasmeen Tower")</f>
        <v>Yasmeen Tower</v>
      </c>
      <c r="C9161" s="2" t="str">
        <f ca="1">IFERROR(__xludf.DUMMYFUNCTION("""COMPUTED_VALUE"""),"Building")</f>
        <v>Building</v>
      </c>
      <c r="D9161" s="2" t="str">
        <f ca="1">IFERROR(__xludf.DUMMYFUNCTION("""COMPUTED_VALUE"""),"Sharjah&gt;Al Majaz&gt;Al Majaz 2&gt;Yasmeen Tower")</f>
        <v>Sharjah&gt;Al Majaz&gt;Al Majaz 2&gt;Yasmeen Tower</v>
      </c>
      <c r="E9161" s="2"/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  <c r="W9161" s="2"/>
      <c r="X9161" s="2"/>
      <c r="Y9161" s="2"/>
      <c r="Z9161" s="2"/>
    </row>
    <row r="9162" spans="1:26" ht="16.5" x14ac:dyDescent="0.35">
      <c r="A9162" s="2" t="str">
        <f ca="1">IFERROR(__xludf.DUMMYFUNCTION("""COMPUTED_VALUE"""),"Sharjah")</f>
        <v>Sharjah</v>
      </c>
      <c r="B9162" s="2" t="str">
        <f ca="1">IFERROR(__xludf.DUMMYFUNCTION("""COMPUTED_VALUE"""),"The Blue Tower")</f>
        <v>The Blue Tower</v>
      </c>
      <c r="C9162" s="2" t="str">
        <f ca="1">IFERROR(__xludf.DUMMYFUNCTION("""COMPUTED_VALUE"""),"Building")</f>
        <v>Building</v>
      </c>
      <c r="D9162" s="2" t="str">
        <f ca="1">IFERROR(__xludf.DUMMYFUNCTION("""COMPUTED_VALUE"""),"Sharjah&gt;Al Majaz&gt;Al Majaz 3&gt;The Blue Tower")</f>
        <v>Sharjah&gt;Al Majaz&gt;Al Majaz 3&gt;The Blue Tower</v>
      </c>
      <c r="E9162" s="2"/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  <c r="W9162" s="2"/>
      <c r="X9162" s="2"/>
      <c r="Y9162" s="2"/>
      <c r="Z9162" s="2"/>
    </row>
    <row r="9163" spans="1:26" ht="16.5" x14ac:dyDescent="0.35">
      <c r="A9163" s="2" t="str">
        <f ca="1">IFERROR(__xludf.DUMMYFUNCTION("""COMPUTED_VALUE"""),"Sharjah")</f>
        <v>Sharjah</v>
      </c>
      <c r="B9163" s="2" t="str">
        <f ca="1">IFERROR(__xludf.DUMMYFUNCTION("""COMPUTED_VALUE"""),"Copthorne Hotel")</f>
        <v>Copthorne Hotel</v>
      </c>
      <c r="C9163" s="2"/>
      <c r="D9163" s="2" t="str">
        <f ca="1">IFERROR(__xludf.DUMMYFUNCTION("""COMPUTED_VALUE"""),"Sharjah&gt;Al Majaz&gt;Al Majaz 3&gt;Copthorne Hotel")</f>
        <v>Sharjah&gt;Al Majaz&gt;Al Majaz 3&gt;Copthorne Hotel</v>
      </c>
      <c r="E9163" s="2"/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  <c r="W9163" s="2"/>
      <c r="X9163" s="2"/>
      <c r="Y9163" s="2"/>
      <c r="Z9163" s="2"/>
    </row>
    <row r="9164" spans="1:26" ht="16.5" x14ac:dyDescent="0.35">
      <c r="A9164" s="2" t="str">
        <f ca="1">IFERROR(__xludf.DUMMYFUNCTION("""COMPUTED_VALUE"""),"Sharjah")</f>
        <v>Sharjah</v>
      </c>
      <c r="B9164" s="2" t="str">
        <f ca="1">IFERROR(__xludf.DUMMYFUNCTION("""COMPUTED_VALUE"""),"Al Huda Building")</f>
        <v>Al Huda Building</v>
      </c>
      <c r="C9164" s="2" t="str">
        <f ca="1">IFERROR(__xludf.DUMMYFUNCTION("""COMPUTED_VALUE"""),"Building")</f>
        <v>Building</v>
      </c>
      <c r="D9164" s="2" t="str">
        <f ca="1">IFERROR(__xludf.DUMMYFUNCTION("""COMPUTED_VALUE"""),"Sharjah&gt;Al Majaz&gt;Al Majaz 3&gt;Al Huda Building")</f>
        <v>Sharjah&gt;Al Majaz&gt;Al Majaz 3&gt;Al Huda Building</v>
      </c>
      <c r="E9164" s="2"/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</row>
    <row r="9165" spans="1:26" ht="16.5" x14ac:dyDescent="0.35">
      <c r="A9165" s="2" t="str">
        <f ca="1">IFERROR(__xludf.DUMMYFUNCTION("""COMPUTED_VALUE"""),"Sharjah")</f>
        <v>Sharjah</v>
      </c>
      <c r="B9165" s="2" t="str">
        <f ca="1">IFERROR(__xludf.DUMMYFUNCTION("""COMPUTED_VALUE"""),"Maisloon Building")</f>
        <v>Maisloon Building</v>
      </c>
      <c r="C9165" s="2"/>
      <c r="D9165" s="2" t="str">
        <f ca="1">IFERROR(__xludf.DUMMYFUNCTION("""COMPUTED_VALUE"""),"Sharjah&gt;Al Majaz&gt;Al Majaz 1&gt;Maisloon Building")</f>
        <v>Sharjah&gt;Al Majaz&gt;Al Majaz 1&gt;Maisloon Building</v>
      </c>
      <c r="E9165" s="2"/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  <c r="W9165" s="2"/>
      <c r="X9165" s="2"/>
      <c r="Y9165" s="2"/>
      <c r="Z9165" s="2"/>
    </row>
    <row r="9166" spans="1:26" ht="16.5" x14ac:dyDescent="0.35">
      <c r="A9166" s="2" t="str">
        <f ca="1">IFERROR(__xludf.DUMMYFUNCTION("""COMPUTED_VALUE"""),"Sharjah")</f>
        <v>Sharjah</v>
      </c>
      <c r="B9166" s="2" t="str">
        <f ca="1">IFERROR(__xludf.DUMMYFUNCTION("""COMPUTED_VALUE"""),"Rodhat Al Sidir")</f>
        <v>Rodhat Al Sidir</v>
      </c>
      <c r="C9166" s="2" t="str">
        <f ca="1">IFERROR(__xludf.DUMMYFUNCTION("""COMPUTED_VALUE"""),"Neighbourhood")</f>
        <v>Neighbourhood</v>
      </c>
      <c r="D9166" s="2" t="str">
        <f ca="1">IFERROR(__xludf.DUMMYFUNCTION("""COMPUTED_VALUE"""),"Sharjah&gt;Rodhat Al Sidir")</f>
        <v>Sharjah&gt;Rodhat Al Sidir</v>
      </c>
      <c r="E9166" s="2"/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  <c r="W9166" s="2"/>
      <c r="X9166" s="2"/>
      <c r="Y9166" s="2"/>
      <c r="Z9166" s="2"/>
    </row>
    <row r="9167" spans="1:26" ht="16.5" x14ac:dyDescent="0.35">
      <c r="A9167" s="2" t="str">
        <f ca="1">IFERROR(__xludf.DUMMYFUNCTION("""COMPUTED_VALUE"""),"Sharjah")</f>
        <v>Sharjah</v>
      </c>
      <c r="B9167" s="2" t="str">
        <f ca="1">IFERROR(__xludf.DUMMYFUNCTION("""COMPUTED_VALUE"""),"Al Taawun Street")</f>
        <v>Al Taawun Street</v>
      </c>
      <c r="C9167" s="2"/>
      <c r="D9167" s="2" t="str">
        <f ca="1">IFERROR(__xludf.DUMMYFUNCTION("""COMPUTED_VALUE"""),"Sharjah&gt;Al Taawun&gt;Al Taawun Street")</f>
        <v>Sharjah&gt;Al Taawun&gt;Al Taawun Street</v>
      </c>
      <c r="E9167" s="2"/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  <c r="W9167" s="2"/>
      <c r="X9167" s="2"/>
      <c r="Y9167" s="2"/>
      <c r="Z9167" s="2"/>
    </row>
    <row r="9168" spans="1:26" ht="16.5" x14ac:dyDescent="0.35">
      <c r="A9168" s="2" t="str">
        <f ca="1">IFERROR(__xludf.DUMMYFUNCTION("""COMPUTED_VALUE"""),"Sharjah")</f>
        <v>Sharjah</v>
      </c>
      <c r="B9168" s="2" t="str">
        <f ca="1">IFERROR(__xludf.DUMMYFUNCTION("""COMPUTED_VALUE"""),"Al Nad")</f>
        <v>Al Nad</v>
      </c>
      <c r="C9168" s="2" t="str">
        <f ca="1">IFERROR(__xludf.DUMMYFUNCTION("""COMPUTED_VALUE"""),"Neighbourhood")</f>
        <v>Neighbourhood</v>
      </c>
      <c r="D9168" s="2" t="str">
        <f ca="1">IFERROR(__xludf.DUMMYFUNCTION("""COMPUTED_VALUE"""),"Sharjah&gt;Al Qasimia&gt;Al Nad")</f>
        <v>Sharjah&gt;Al Qasimia&gt;Al Nad</v>
      </c>
      <c r="E9168" s="2"/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  <c r="W9168" s="2"/>
      <c r="X9168" s="2"/>
      <c r="Y9168" s="2"/>
      <c r="Z9168" s="2"/>
    </row>
    <row r="9169" spans="1:26" ht="16.5" x14ac:dyDescent="0.35">
      <c r="A9169" s="2" t="str">
        <f ca="1">IFERROR(__xludf.DUMMYFUNCTION("""COMPUTED_VALUE"""),"Sharjah")</f>
        <v>Sharjah</v>
      </c>
      <c r="B9169" s="2" t="str">
        <f ca="1">IFERROR(__xludf.DUMMYFUNCTION("""COMPUTED_VALUE"""),"Al Maha Regency Suites Hotel")</f>
        <v>Al Maha Regency Suites Hotel</v>
      </c>
      <c r="C9169" s="2"/>
      <c r="D9169" s="2" t="str">
        <f ca="1">IFERROR(__xludf.DUMMYFUNCTION("""COMPUTED_VALUE"""),"Sharjah&gt;Al Qasimia&gt;Al Nad&gt;Al Maha Regency Suites Hotel")</f>
        <v>Sharjah&gt;Al Qasimia&gt;Al Nad&gt;Al Maha Regency Suites Hotel</v>
      </c>
      <c r="E9169" s="2"/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  <c r="W9169" s="2"/>
      <c r="X9169" s="2"/>
      <c r="Y9169" s="2"/>
      <c r="Z9169" s="2"/>
    </row>
    <row r="9170" spans="1:26" ht="16.5" x14ac:dyDescent="0.35">
      <c r="A9170" s="2" t="str">
        <f ca="1">IFERROR(__xludf.DUMMYFUNCTION("""COMPUTED_VALUE"""),"Sharjah")</f>
        <v>Sharjah</v>
      </c>
      <c r="B9170" s="2" t="str">
        <f ca="1">IFERROR(__xludf.DUMMYFUNCTION("""COMPUTED_VALUE"""),"Kuwait Building")</f>
        <v>Kuwait Building</v>
      </c>
      <c r="C9170" s="2"/>
      <c r="D9170" s="2" t="str">
        <f ca="1">IFERROR(__xludf.DUMMYFUNCTION("""COMPUTED_VALUE"""),"Sharjah&gt;Al Qasimia&gt;Al Nad&gt;Kuwait Building")</f>
        <v>Sharjah&gt;Al Qasimia&gt;Al Nad&gt;Kuwait Building</v>
      </c>
      <c r="E9170" s="2"/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  <c r="W9170" s="2"/>
      <c r="X9170" s="2"/>
      <c r="Y9170" s="2"/>
      <c r="Z9170" s="2"/>
    </row>
    <row r="9171" spans="1:26" ht="16.5" x14ac:dyDescent="0.35">
      <c r="A9171" s="2" t="str">
        <f ca="1">IFERROR(__xludf.DUMMYFUNCTION("""COMPUTED_VALUE"""),"Sharjah")</f>
        <v>Sharjah</v>
      </c>
      <c r="B9171" s="2" t="str">
        <f ca="1">IFERROR(__xludf.DUMMYFUNCTION("""COMPUTED_VALUE"""),"Al Faisal 2 Building")</f>
        <v>Al Faisal 2 Building</v>
      </c>
      <c r="C9171" s="2" t="str">
        <f ca="1">IFERROR(__xludf.DUMMYFUNCTION("""COMPUTED_VALUE"""),"Building")</f>
        <v>Building</v>
      </c>
      <c r="D9171" s="2" t="str">
        <f ca="1">IFERROR(__xludf.DUMMYFUNCTION("""COMPUTED_VALUE"""),"Sharjah&gt;Al Qasimia&gt;Al Faisal 2 Building")</f>
        <v>Sharjah&gt;Al Qasimia&gt;Al Faisal 2 Building</v>
      </c>
      <c r="E9171" s="2"/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  <c r="W9171" s="2"/>
      <c r="X9171" s="2"/>
      <c r="Y9171" s="2"/>
      <c r="Z9171" s="2"/>
    </row>
    <row r="9172" spans="1:26" ht="16.5" x14ac:dyDescent="0.35">
      <c r="A9172" s="2" t="str">
        <f ca="1">IFERROR(__xludf.DUMMYFUNCTION("""COMPUTED_VALUE"""),"Sharjah")</f>
        <v>Sharjah</v>
      </c>
      <c r="B9172" s="2" t="str">
        <f ca="1">IFERROR(__xludf.DUMMYFUNCTION("""COMPUTED_VALUE"""),"Amina Abdulla Ali Gharwish Building")</f>
        <v>Amina Abdulla Ali Gharwish Building</v>
      </c>
      <c r="C9172" s="2"/>
      <c r="D9172" s="2" t="str">
        <f ca="1">IFERROR(__xludf.DUMMYFUNCTION("""COMPUTED_VALUE"""),"Sharjah&gt;Al Nabba&gt;Amina Abdulla Ali Gharwish Building")</f>
        <v>Sharjah&gt;Al Nabba&gt;Amina Abdulla Ali Gharwish Building</v>
      </c>
      <c r="E9172" s="2"/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  <c r="W9172" s="2"/>
      <c r="X9172" s="2"/>
      <c r="Y9172" s="2"/>
      <c r="Z9172" s="2"/>
    </row>
    <row r="9173" spans="1:26" ht="16.5" x14ac:dyDescent="0.35">
      <c r="A9173" s="2" t="str">
        <f ca="1">IFERROR(__xludf.DUMMYFUNCTION("""COMPUTED_VALUE"""),"Sharjah")</f>
        <v>Sharjah</v>
      </c>
      <c r="B9173" s="2" t="str">
        <f ca="1">IFERROR(__xludf.DUMMYFUNCTION("""COMPUTED_VALUE"""),"Al Mozon 5 Building")</f>
        <v>Al Mozon 5 Building</v>
      </c>
      <c r="C9173" s="2" t="str">
        <f ca="1">IFERROR(__xludf.DUMMYFUNCTION("""COMPUTED_VALUE"""),"Building")</f>
        <v>Building</v>
      </c>
      <c r="D9173" s="2" t="str">
        <f ca="1">IFERROR(__xludf.DUMMYFUNCTION("""COMPUTED_VALUE"""),"Sharjah&gt;Industrial Area&gt;Industrial Area 6&gt;Al Mozon 5 Building")</f>
        <v>Sharjah&gt;Industrial Area&gt;Industrial Area 6&gt;Al Mozon 5 Building</v>
      </c>
      <c r="E9173" s="2"/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  <c r="W9173" s="2"/>
      <c r="X9173" s="2"/>
      <c r="Y9173" s="2"/>
      <c r="Z9173" s="2"/>
    </row>
    <row r="9174" spans="1:26" ht="16.5" x14ac:dyDescent="0.35">
      <c r="A9174" s="2" t="str">
        <f ca="1">IFERROR(__xludf.DUMMYFUNCTION("""COMPUTED_VALUE"""),"Sharjah")</f>
        <v>Sharjah</v>
      </c>
      <c r="B9174" s="2" t="str">
        <f ca="1">IFERROR(__xludf.DUMMYFUNCTION("""COMPUTED_VALUE"""),"Souks Residential")</f>
        <v>Souks Residential</v>
      </c>
      <c r="C9174" s="2" t="str">
        <f ca="1">IFERROR(__xludf.DUMMYFUNCTION("""COMPUTED_VALUE"""),"Cluster")</f>
        <v>Cluster</v>
      </c>
      <c r="D9174" s="2" t="str">
        <f ca="1">IFERROR(__xludf.DUMMYFUNCTION("""COMPUTED_VALUE"""),"Sharjah&gt;Muwaileh&gt;Al Mamsha&gt;Souks Residential")</f>
        <v>Sharjah&gt;Muwaileh&gt;Al Mamsha&gt;Souks Residential</v>
      </c>
      <c r="E9174" s="2"/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  <c r="W9174" s="2"/>
      <c r="X9174" s="2"/>
      <c r="Y9174" s="2"/>
      <c r="Z9174" s="2"/>
    </row>
    <row r="9175" spans="1:26" ht="16.5" x14ac:dyDescent="0.35">
      <c r="A9175" s="2" t="str">
        <f ca="1">IFERROR(__xludf.DUMMYFUNCTION("""COMPUTED_VALUE"""),"Sharjah")</f>
        <v>Sharjah</v>
      </c>
      <c r="B9175" s="2" t="str">
        <f ca="1">IFERROR(__xludf.DUMMYFUNCTION("""COMPUTED_VALUE"""),"Nama 1")</f>
        <v>Nama 1</v>
      </c>
      <c r="C9175" s="2" t="str">
        <f ca="1">IFERROR(__xludf.DUMMYFUNCTION("""COMPUTED_VALUE"""),"Building")</f>
        <v>Building</v>
      </c>
      <c r="D9175" s="2" t="str">
        <f ca="1">IFERROR(__xludf.DUMMYFUNCTION("""COMPUTED_VALUE"""),"Sharjah&gt;Muwaileh&gt;Al Mamsha&gt;Raseel&gt;Nama 1")</f>
        <v>Sharjah&gt;Muwaileh&gt;Al Mamsha&gt;Raseel&gt;Nama 1</v>
      </c>
      <c r="E9175" s="2"/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  <c r="W9175" s="2"/>
      <c r="X9175" s="2"/>
      <c r="Y9175" s="2"/>
      <c r="Z9175" s="2"/>
    </row>
    <row r="9176" spans="1:26" ht="16.5" x14ac:dyDescent="0.35">
      <c r="A9176" s="2" t="str">
        <f ca="1">IFERROR(__xludf.DUMMYFUNCTION("""COMPUTED_VALUE"""),"Sharjah")</f>
        <v>Sharjah</v>
      </c>
      <c r="B9176" s="2" t="str">
        <f ca="1">IFERROR(__xludf.DUMMYFUNCTION("""COMPUTED_VALUE"""),"Zohour 3")</f>
        <v>Zohour 3</v>
      </c>
      <c r="C9176" s="2" t="str">
        <f ca="1">IFERROR(__xludf.DUMMYFUNCTION("""COMPUTED_VALUE"""),"Building")</f>
        <v>Building</v>
      </c>
      <c r="D9176" s="2" t="str">
        <f ca="1">IFERROR(__xludf.DUMMYFUNCTION("""COMPUTED_VALUE"""),"Sharjah&gt;Muwaileh&gt;Al Zahia&gt;UpTown Al Zahia&gt;Zohour&gt;Zohour 3")</f>
        <v>Sharjah&gt;Muwaileh&gt;Al Zahia&gt;UpTown Al Zahia&gt;Zohour&gt;Zohour 3</v>
      </c>
      <c r="E9176" s="2"/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  <c r="W9176" s="2"/>
      <c r="X9176" s="2"/>
      <c r="Y9176" s="2"/>
      <c r="Z9176" s="2"/>
    </row>
    <row r="9177" spans="1:26" ht="16.5" x14ac:dyDescent="0.35">
      <c r="A9177" s="2" t="str">
        <f ca="1">IFERROR(__xludf.DUMMYFUNCTION("""COMPUTED_VALUE"""),"Sharjah")</f>
        <v>Sharjah</v>
      </c>
      <c r="B9177" s="2" t="str">
        <f ca="1">IFERROR(__xludf.DUMMYFUNCTION("""COMPUTED_VALUE"""),"Manthena American School")</f>
        <v>Manthena American School</v>
      </c>
      <c r="C9177" s="2" t="str">
        <f ca="1">IFERROR(__xludf.DUMMYFUNCTION("""COMPUTED_VALUE"""),"School")</f>
        <v>School</v>
      </c>
      <c r="D9177" s="2" t="str">
        <f ca="1">IFERROR(__xludf.DUMMYFUNCTION("""COMPUTED_VALUE"""),"Sharjah&gt;Muwaileh Commercial&gt;Manthena American School")</f>
        <v>Sharjah&gt;Muwaileh Commercial&gt;Manthena American School</v>
      </c>
      <c r="E9177" s="2"/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  <c r="W9177" s="2"/>
      <c r="X9177" s="2"/>
      <c r="Y9177" s="2"/>
      <c r="Z9177" s="2"/>
    </row>
    <row r="9178" spans="1:26" ht="16.5" x14ac:dyDescent="0.35">
      <c r="A9178" s="2" t="str">
        <f ca="1">IFERROR(__xludf.DUMMYFUNCTION("""COMPUTED_VALUE"""),"Sharjah")</f>
        <v>Sharjah</v>
      </c>
      <c r="B9178" s="2" t="str">
        <f ca="1">IFERROR(__xludf.DUMMYFUNCTION("""COMPUTED_VALUE"""),"Hajar Building")</f>
        <v>Hajar Building</v>
      </c>
      <c r="C9178" s="2" t="str">
        <f ca="1">IFERROR(__xludf.DUMMYFUNCTION("""COMPUTED_VALUE"""),"Building")</f>
        <v>Building</v>
      </c>
      <c r="D9178" s="2" t="str">
        <f ca="1">IFERROR(__xludf.DUMMYFUNCTION("""COMPUTED_VALUE"""),"Sharjah&gt;Muwaileh Commercial&gt;Hajar Building")</f>
        <v>Sharjah&gt;Muwaileh Commercial&gt;Hajar Building</v>
      </c>
      <c r="E9178" s="2"/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</row>
    <row r="9179" spans="1:26" ht="16.5" x14ac:dyDescent="0.35">
      <c r="A9179" s="2" t="str">
        <f ca="1">IFERROR(__xludf.DUMMYFUNCTION("""COMPUTED_VALUE"""),"Sharjah")</f>
        <v>Sharjah</v>
      </c>
      <c r="B9179" s="2" t="str">
        <f ca="1">IFERROR(__xludf.DUMMYFUNCTION("""COMPUTED_VALUE"""),"Building 3310")</f>
        <v>Building 3310</v>
      </c>
      <c r="C9179" s="2" t="str">
        <f ca="1">IFERROR(__xludf.DUMMYFUNCTION("""COMPUTED_VALUE"""),"Building")</f>
        <v>Building</v>
      </c>
      <c r="D9179" s="2" t="str">
        <f ca="1">IFERROR(__xludf.DUMMYFUNCTION("""COMPUTED_VALUE"""),"Sharjah&gt;Muwaileh Commercial&gt;Building 3310")</f>
        <v>Sharjah&gt;Muwaileh Commercial&gt;Building 3310</v>
      </c>
      <c r="E9179" s="2"/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  <c r="W9179" s="2"/>
      <c r="X9179" s="2"/>
      <c r="Y9179" s="2"/>
      <c r="Z9179" s="2"/>
    </row>
    <row r="9180" spans="1:26" ht="16.5" x14ac:dyDescent="0.35">
      <c r="A9180" s="2" t="str">
        <f ca="1">IFERROR(__xludf.DUMMYFUNCTION("""COMPUTED_VALUE"""),"Al Ain")</f>
        <v>Al Ain</v>
      </c>
      <c r="B9180" s="2" t="str">
        <f ca="1">IFERROR(__xludf.DUMMYFUNCTION("""COMPUTED_VALUE"""),"Bida Bin Ammar")</f>
        <v>Bida Bin Ammar</v>
      </c>
      <c r="C9180" s="2" t="str">
        <f ca="1">IFERROR(__xludf.DUMMYFUNCTION("""COMPUTED_VALUE"""),"Neighbourhood")</f>
        <v>Neighbourhood</v>
      </c>
      <c r="D9180" s="2" t="str">
        <f ca="1">IFERROR(__xludf.DUMMYFUNCTION("""COMPUTED_VALUE"""),"Al Ain&gt;Asharij&gt;Bida Bin Ammar")</f>
        <v>Al Ain&gt;Asharij&gt;Bida Bin Ammar</v>
      </c>
      <c r="E9180" s="2"/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</row>
    <row r="9181" spans="1:26" ht="16.5" x14ac:dyDescent="0.35">
      <c r="A9181" s="2" t="str">
        <f ca="1">IFERROR(__xludf.DUMMYFUNCTION("""COMPUTED_VALUE"""),"Al Ain")</f>
        <v>Al Ain</v>
      </c>
      <c r="B9181" s="2" t="str">
        <f ca="1">IFERROR(__xludf.DUMMYFUNCTION("""COMPUTED_VALUE"""),"Al Reem Complex Block B")</f>
        <v>Al Reem Complex Block B</v>
      </c>
      <c r="C9181" s="2" t="str">
        <f ca="1">IFERROR(__xludf.DUMMYFUNCTION("""COMPUTED_VALUE"""),"Building")</f>
        <v>Building</v>
      </c>
      <c r="D9181" s="2" t="str">
        <f ca="1">IFERROR(__xludf.DUMMYFUNCTION("""COMPUTED_VALUE"""),"Al Ain&gt;Central District&gt;Al Rubainah&gt;Al Reem Complex&gt;Al Reem Complex Block B")</f>
        <v>Al Ain&gt;Central District&gt;Al Rubainah&gt;Al Reem Complex&gt;Al Reem Complex Block B</v>
      </c>
      <c r="E9181" s="2"/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</row>
    <row r="9182" spans="1:26" ht="16.5" x14ac:dyDescent="0.35">
      <c r="A9182" s="2" t="str">
        <f ca="1">IFERROR(__xludf.DUMMYFUNCTION("""COMPUTED_VALUE"""),"Al Ain")</f>
        <v>Al Ain</v>
      </c>
      <c r="B9182" s="2" t="str">
        <f ca="1">IFERROR(__xludf.DUMMYFUNCTION("""COMPUTED_VALUE"""),"Al Zaafaran")</f>
        <v>Al Zaafaran</v>
      </c>
      <c r="C9182" s="2" t="str">
        <f ca="1">IFERROR(__xludf.DUMMYFUNCTION("""COMPUTED_VALUE"""),"Neighbourhood")</f>
        <v>Neighbourhood</v>
      </c>
      <c r="D9182" s="2" t="str">
        <f ca="1">IFERROR(__xludf.DUMMYFUNCTION("""COMPUTED_VALUE"""),"Al Ain&gt;Al Khibeesi&gt;Al Zaafaran")</f>
        <v>Al Ain&gt;Al Khibeesi&gt;Al Zaafaran</v>
      </c>
      <c r="E9182" s="2"/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  <c r="W9182" s="2"/>
      <c r="X9182" s="2"/>
      <c r="Y9182" s="2"/>
      <c r="Z9182" s="2"/>
    </row>
    <row r="9183" spans="1:26" ht="16.5" x14ac:dyDescent="0.35">
      <c r="A9183" s="2" t="str">
        <f ca="1">IFERROR(__xludf.DUMMYFUNCTION("""COMPUTED_VALUE"""),"Al Ain")</f>
        <v>Al Ain</v>
      </c>
      <c r="B9183" s="2" t="str">
        <f ca="1">IFERROR(__xludf.DUMMYFUNCTION("""COMPUTED_VALUE"""),"Edu Fun Nursery")</f>
        <v>Edu Fun Nursery</v>
      </c>
      <c r="C9183" s="2" t="str">
        <f ca="1">IFERROR(__xludf.DUMMYFUNCTION("""COMPUTED_VALUE"""),"Nursery")</f>
        <v>Nursery</v>
      </c>
      <c r="D9183" s="2" t="str">
        <f ca="1">IFERROR(__xludf.DUMMYFUNCTION("""COMPUTED_VALUE"""),"Al Ain&gt;Al Bateen&gt;Edu Fun Nursery")</f>
        <v>Al Ain&gt;Al Bateen&gt;Edu Fun Nursery</v>
      </c>
      <c r="E9183" s="2"/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</row>
    <row r="9184" spans="1:26" ht="16.5" x14ac:dyDescent="0.35">
      <c r="A9184" s="2" t="str">
        <f ca="1">IFERROR(__xludf.DUMMYFUNCTION("""COMPUTED_VALUE"""),"Al Ain")</f>
        <v>Al Ain</v>
      </c>
      <c r="B9184" s="2" t="str">
        <f ca="1">IFERROR(__xludf.DUMMYFUNCTION("""COMPUTED_VALUE"""),"Grace Valley Indian School (GVIS) Al Ain")</f>
        <v>Grace Valley Indian School (GVIS) Al Ain</v>
      </c>
      <c r="C9184" s="2" t="str">
        <f ca="1">IFERROR(__xludf.DUMMYFUNCTION("""COMPUTED_VALUE"""),"School")</f>
        <v>School</v>
      </c>
      <c r="D9184" s="2" t="str">
        <f ca="1">IFERROR(__xludf.DUMMYFUNCTION("""COMPUTED_VALUE"""),"Al Ain&gt;Falaj Hazzaa&gt;Grace Valley Indian School (GVIS) Al Ain")</f>
        <v>Al Ain&gt;Falaj Hazzaa&gt;Grace Valley Indian School (GVIS) Al Ain</v>
      </c>
      <c r="E9184" s="2"/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  <c r="W9184" s="2"/>
      <c r="X9184" s="2"/>
      <c r="Y9184" s="2"/>
      <c r="Z9184" s="2"/>
    </row>
    <row r="9185" spans="1:26" ht="16.5" x14ac:dyDescent="0.35">
      <c r="A9185" s="2" t="str">
        <f ca="1">IFERROR(__xludf.DUMMYFUNCTION("""COMPUTED_VALUE"""),"Al Ain")</f>
        <v>Al Ain</v>
      </c>
      <c r="B9185" s="2" t="str">
        <f ca="1">IFERROR(__xludf.DUMMYFUNCTION("""COMPUTED_VALUE"""),"Al Noud")</f>
        <v>Al Noud</v>
      </c>
      <c r="C9185" s="2" t="str">
        <f ca="1">IFERROR(__xludf.DUMMYFUNCTION("""COMPUTED_VALUE"""),"Neighbourhood")</f>
        <v>Neighbourhood</v>
      </c>
      <c r="D9185" s="2" t="str">
        <f ca="1">IFERROR(__xludf.DUMMYFUNCTION("""COMPUTED_VALUE"""),"Al Ain&gt;Al Noud")</f>
        <v>Al Ain&gt;Al Noud</v>
      </c>
      <c r="E9185" s="2"/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  <c r="W9185" s="2"/>
      <c r="X9185" s="2"/>
      <c r="Y9185" s="2"/>
      <c r="Z9185" s="2"/>
    </row>
    <row r="9186" spans="1:26" ht="16.5" x14ac:dyDescent="0.35">
      <c r="A9186" s="2" t="str">
        <f ca="1">IFERROR(__xludf.DUMMYFUNCTION("""COMPUTED_VALUE"""),"Ras Al Khaimah")</f>
        <v>Ras Al Khaimah</v>
      </c>
      <c r="B9186" s="2" t="str">
        <f ca="1">IFERROR(__xludf.DUMMYFUNCTION("""COMPUTED_VALUE"""),"Julfar")</f>
        <v>Julfar</v>
      </c>
      <c r="C9186" s="2"/>
      <c r="D9186" s="2" t="str">
        <f ca="1">IFERROR(__xludf.DUMMYFUNCTION("""COMPUTED_VALUE"""),"Ras Al Khaimah&gt;Julfar")</f>
        <v>Ras Al Khaimah&gt;Julfar</v>
      </c>
      <c r="E9186" s="2"/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  <c r="W9186" s="2"/>
      <c r="X9186" s="2"/>
      <c r="Y9186" s="2"/>
      <c r="Z9186" s="2"/>
    </row>
    <row r="9187" spans="1:26" ht="16.5" x14ac:dyDescent="0.35">
      <c r="A9187" s="2" t="str">
        <f ca="1">IFERROR(__xludf.DUMMYFUNCTION("""COMPUTED_VALUE"""),"Ras Al Khaimah")</f>
        <v>Ras Al Khaimah</v>
      </c>
      <c r="B9187" s="2" t="str">
        <f ca="1">IFERROR(__xludf.DUMMYFUNCTION("""COMPUTED_VALUE"""),"Edge")</f>
        <v>Edge</v>
      </c>
      <c r="C9187" s="2" t="str">
        <f ca="1">IFERROR(__xludf.DUMMYFUNCTION("""COMPUTED_VALUE"""),"Building")</f>
        <v>Building</v>
      </c>
      <c r="D9187" s="2" t="str">
        <f ca="1">IFERROR(__xludf.DUMMYFUNCTION("""COMPUTED_VALUE"""),"Ras Al Khaimah&gt;Mina Al Arab&gt;Edge")</f>
        <v>Ras Al Khaimah&gt;Mina Al Arab&gt;Edge</v>
      </c>
      <c r="E9187" s="2"/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  <c r="W9187" s="2"/>
      <c r="X9187" s="2"/>
      <c r="Y9187" s="2"/>
      <c r="Z9187" s="2"/>
    </row>
    <row r="9188" spans="1:26" ht="16.5" x14ac:dyDescent="0.35">
      <c r="A9188" s="2" t="str">
        <f ca="1">IFERROR(__xludf.DUMMYFUNCTION("""COMPUTED_VALUE"""),"Ras Al Khaimah")</f>
        <v>Ras Al Khaimah</v>
      </c>
      <c r="B9188" s="2" t="str">
        <f ca="1">IFERROR(__xludf.DUMMYFUNCTION("""COMPUTED_VALUE"""),"Rosso Bay Residences")</f>
        <v>Rosso Bay Residences</v>
      </c>
      <c r="C9188" s="2" t="str">
        <f ca="1">IFERROR(__xludf.DUMMYFUNCTION("""COMPUTED_VALUE"""),"Building")</f>
        <v>Building</v>
      </c>
      <c r="D9188" s="2" t="str">
        <f ca="1">IFERROR(__xludf.DUMMYFUNCTION("""COMPUTED_VALUE"""),"Ras Al Khaimah&gt;Al Marjan Island&gt;Rosso Bay Residences")</f>
        <v>Ras Al Khaimah&gt;Al Marjan Island&gt;Rosso Bay Residences</v>
      </c>
      <c r="E9188" s="2"/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  <c r="W9188" s="2"/>
      <c r="X9188" s="2"/>
      <c r="Y9188" s="2"/>
      <c r="Z9188" s="2"/>
    </row>
    <row r="9189" spans="1:26" ht="16.5" x14ac:dyDescent="0.35">
      <c r="A9189" s="2" t="str">
        <f ca="1">IFERROR(__xludf.DUMMYFUNCTION("""COMPUTED_VALUE"""),"Ras Al Khaimah")</f>
        <v>Ras Al Khaimah</v>
      </c>
      <c r="B9189" s="2" t="str">
        <f ca="1">IFERROR(__xludf.DUMMYFUNCTION("""COMPUTED_VALUE"""),"Costa Mare Tower 2")</f>
        <v>Costa Mare Tower 2</v>
      </c>
      <c r="C9189" s="2" t="str">
        <f ca="1">IFERROR(__xludf.DUMMYFUNCTION("""COMPUTED_VALUE"""),"Building")</f>
        <v>Building</v>
      </c>
      <c r="D9189" s="2" t="str">
        <f ca="1">IFERROR(__xludf.DUMMYFUNCTION("""COMPUTED_VALUE"""),"Ras Al Khaimah&gt;Al Marjan Island&gt;Costa Mare&gt;Costa Mare Tower 2")</f>
        <v>Ras Al Khaimah&gt;Al Marjan Island&gt;Costa Mare&gt;Costa Mare Tower 2</v>
      </c>
      <c r="E9189" s="2"/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  <c r="W9189" s="2"/>
      <c r="X9189" s="2"/>
      <c r="Y9189" s="2"/>
      <c r="Z9189" s="2"/>
    </row>
    <row r="9190" spans="1:26" ht="16.5" x14ac:dyDescent="0.35">
      <c r="A9190" s="2" t="str">
        <f ca="1">IFERROR(__xludf.DUMMYFUNCTION("""COMPUTED_VALUE"""),"Ras Al Khaimah")</f>
        <v>Ras Al Khaimah</v>
      </c>
      <c r="B9190" s="2" t="str">
        <f ca="1">IFERROR(__xludf.DUMMYFUNCTION("""COMPUTED_VALUE"""),"Marina Apartment G")</f>
        <v>Marina Apartment G</v>
      </c>
      <c r="C9190" s="2" t="str">
        <f ca="1">IFERROR(__xludf.DUMMYFUNCTION("""COMPUTED_VALUE"""),"Building")</f>
        <v>Building</v>
      </c>
      <c r="D9190" s="2" t="str">
        <f ca="1">IFERROR(__xludf.DUMMYFUNCTION("""COMPUTED_VALUE"""),"Ras Al Khaimah&gt;Al Hamra Village&gt;Al Hamra Marina Residences&gt;Marina Apartment G")</f>
        <v>Ras Al Khaimah&gt;Al Hamra Village&gt;Al Hamra Marina Residences&gt;Marina Apartment G</v>
      </c>
      <c r="E9190" s="2"/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  <c r="W9190" s="2"/>
      <c r="X9190" s="2"/>
      <c r="Y9190" s="2"/>
      <c r="Z9190" s="2"/>
    </row>
    <row r="9191" spans="1:26" ht="16.5" x14ac:dyDescent="0.35">
      <c r="A9191" s="2" t="str">
        <f ca="1">IFERROR(__xludf.DUMMYFUNCTION("""COMPUTED_VALUE"""),"Ras Al Khaimah")</f>
        <v>Ras Al Khaimah</v>
      </c>
      <c r="B9191" s="2" t="str">
        <f ca="1">IFERROR(__xludf.DUMMYFUNCTION("""COMPUTED_VALUE"""),"Soto Grande Tower II")</f>
        <v>Soto Grande Tower II</v>
      </c>
      <c r="C9191" s="2" t="str">
        <f ca="1">IFERROR(__xludf.DUMMYFUNCTION("""COMPUTED_VALUE"""),"Building")</f>
        <v>Building</v>
      </c>
      <c r="D9191" s="2" t="str">
        <f ca="1">IFERROR(__xludf.DUMMYFUNCTION("""COMPUTED_VALUE"""),"Ras Al Khaimah&gt;Al Hamra Village&gt;Soto Grande&gt;Soto Grande Tower II")</f>
        <v>Ras Al Khaimah&gt;Al Hamra Village&gt;Soto Grande&gt;Soto Grande Tower II</v>
      </c>
      <c r="E9191" s="2"/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  <c r="W9191" s="2"/>
      <c r="X9191" s="2"/>
      <c r="Y9191" s="2"/>
      <c r="Z9191" s="2"/>
    </row>
    <row r="9192" spans="1:26" ht="16.5" x14ac:dyDescent="0.35">
      <c r="A9192" s="2" t="str">
        <f ca="1">IFERROR(__xludf.DUMMYFUNCTION("""COMPUTED_VALUE"""),"Ras Al Khaimah")</f>
        <v>Ras Al Khaimah</v>
      </c>
      <c r="B9192" s="2" t="str">
        <f ca="1">IFERROR(__xludf.DUMMYFUNCTION("""COMPUTED_VALUE"""),"Al Qusaidat")</f>
        <v>Al Qusaidat</v>
      </c>
      <c r="C9192" s="2" t="str">
        <f ca="1">IFERROR(__xludf.DUMMYFUNCTION("""COMPUTED_VALUE"""),"Neighbourhood")</f>
        <v>Neighbourhood</v>
      </c>
      <c r="D9192" s="2" t="str">
        <f ca="1">IFERROR(__xludf.DUMMYFUNCTION("""COMPUTED_VALUE"""),"Ras Al Khaimah&gt;Al Qusaidat")</f>
        <v>Ras Al Khaimah&gt;Al Qusaidat</v>
      </c>
      <c r="E9192" s="2"/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  <c r="W9192" s="2"/>
      <c r="X9192" s="2"/>
      <c r="Y9192" s="2"/>
      <c r="Z9192" s="2"/>
    </row>
    <row r="9193" spans="1:26" ht="16.5" x14ac:dyDescent="0.35">
      <c r="A9193" s="2" t="str">
        <f ca="1">IFERROR(__xludf.DUMMYFUNCTION("""COMPUTED_VALUE"""),"Ras Al Khaimah")</f>
        <v>Ras Al Khaimah</v>
      </c>
      <c r="B9193" s="2" t="str">
        <f ca="1">IFERROR(__xludf.DUMMYFUNCTION("""COMPUTED_VALUE"""),"Scholars Indian School")</f>
        <v>Scholars Indian School</v>
      </c>
      <c r="C9193" s="2" t="str">
        <f ca="1">IFERROR(__xludf.DUMMYFUNCTION("""COMPUTED_VALUE"""),"School")</f>
        <v>School</v>
      </c>
      <c r="D9193" s="2" t="str">
        <f ca="1">IFERROR(__xludf.DUMMYFUNCTION("""COMPUTED_VALUE"""),"Ras Al Khaimah&gt;Al Seer&gt;Scholars Indian School")</f>
        <v>Ras Al Khaimah&gt;Al Seer&gt;Scholars Indian School</v>
      </c>
      <c r="E9193" s="2"/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  <c r="W9193" s="2"/>
      <c r="X9193" s="2"/>
      <c r="Y9193" s="2"/>
      <c r="Z9193" s="2"/>
    </row>
    <row r="9194" spans="1:26" ht="16.5" x14ac:dyDescent="0.35">
      <c r="A9194" s="2" t="str">
        <f ca="1">IFERROR(__xludf.DUMMYFUNCTION("""COMPUTED_VALUE"""),"Ras Al Khaimah")</f>
        <v>Ras Al Khaimah</v>
      </c>
      <c r="B9194" s="2" t="str">
        <f ca="1">IFERROR(__xludf.DUMMYFUNCTION("""COMPUTED_VALUE"""),"Masafi")</f>
        <v>Masafi</v>
      </c>
      <c r="C9194" s="2"/>
      <c r="D9194" s="2" t="str">
        <f ca="1">IFERROR(__xludf.DUMMYFUNCTION("""COMPUTED_VALUE"""),"Ras Al Khaimah&gt;Masafi")</f>
        <v>Ras Al Khaimah&gt;Masafi</v>
      </c>
      <c r="E9194" s="2"/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  <c r="W9194" s="2"/>
      <c r="X9194" s="2"/>
      <c r="Y9194" s="2"/>
      <c r="Z9194" s="2"/>
    </row>
    <row r="9195" spans="1:26" ht="16.5" x14ac:dyDescent="0.35">
      <c r="A9195" s="2" t="str">
        <f ca="1">IFERROR(__xludf.DUMMYFUNCTION("""COMPUTED_VALUE"""),"Ras Al Khaimah")</f>
        <v>Ras Al Khaimah</v>
      </c>
      <c r="B9195" s="2" t="str">
        <f ca="1">IFERROR(__xludf.DUMMYFUNCTION("""COMPUTED_VALUE"""),"Nad Al Sili")</f>
        <v>Nad Al Sili</v>
      </c>
      <c r="C9195" s="2" t="str">
        <f ca="1">IFERROR(__xludf.DUMMYFUNCTION("""COMPUTED_VALUE"""),"Neighbourhood")</f>
        <v>Neighbourhood</v>
      </c>
      <c r="D9195" s="2" t="str">
        <f ca="1">IFERROR(__xludf.DUMMYFUNCTION("""COMPUTED_VALUE"""),"Ras Al Khaimah&gt;Nad Al Sili")</f>
        <v>Ras Al Khaimah&gt;Nad Al Sili</v>
      </c>
      <c r="E9195" s="2"/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</row>
    <row r="9196" spans="1:26" ht="16.5" x14ac:dyDescent="0.35">
      <c r="A9196" s="2" t="str">
        <f ca="1">IFERROR(__xludf.DUMMYFUNCTION("""COMPUTED_VALUE"""),"Umm Al Quwain")</f>
        <v>Umm Al Quwain</v>
      </c>
      <c r="B9196" s="2" t="str">
        <f ca="1">IFERROR(__xludf.DUMMYFUNCTION("""COMPUTED_VALUE"""),"Al Humrah B")</f>
        <v>Al Humrah B</v>
      </c>
      <c r="C9196" s="2"/>
      <c r="D9196" s="2" t="str">
        <f ca="1">IFERROR(__xludf.DUMMYFUNCTION("""COMPUTED_VALUE"""),"Umm Al Quwain&gt;Al Humrah&gt;Al Humrah B")</f>
        <v>Umm Al Quwain&gt;Al Humrah&gt;Al Humrah B</v>
      </c>
      <c r="E9196" s="2"/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  <c r="W9196" s="2"/>
      <c r="X9196" s="2"/>
      <c r="Y9196" s="2"/>
      <c r="Z9196" s="2"/>
    </row>
    <row r="9197" spans="1:26" ht="16.5" x14ac:dyDescent="0.35">
      <c r="A9197" s="2" t="str">
        <f ca="1">IFERROR(__xludf.DUMMYFUNCTION("""COMPUTED_VALUE"""),"Umm Al Quwain")</f>
        <v>Umm Al Quwain</v>
      </c>
      <c r="B9197" s="2" t="str">
        <f ca="1">IFERROR(__xludf.DUMMYFUNCTION("""COMPUTED_VALUE"""),"Al Seanneeah")</f>
        <v>Al Seanneeah</v>
      </c>
      <c r="C9197" s="2" t="str">
        <f ca="1">IFERROR(__xludf.DUMMYFUNCTION("""COMPUTED_VALUE"""),"Neighbourhood")</f>
        <v>Neighbourhood</v>
      </c>
      <c r="D9197" s="2" t="str">
        <f ca="1">IFERROR(__xludf.DUMMYFUNCTION("""COMPUTED_VALUE"""),"Umm Al Quwain&gt;Al Seanneeah")</f>
        <v>Umm Al Quwain&gt;Al Seanneeah</v>
      </c>
      <c r="E9197" s="2"/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</row>
    <row r="9198" spans="1:26" ht="16.5" x14ac:dyDescent="0.35">
      <c r="A9198" s="2" t="str">
        <f ca="1">IFERROR(__xludf.DUMMYFUNCTION("""COMPUTED_VALUE"""),"Umm Al Quwain")</f>
        <v>Umm Al Quwain</v>
      </c>
      <c r="B9198" s="2" t="str">
        <f ca="1">IFERROR(__xludf.DUMMYFUNCTION("""COMPUTED_VALUE"""),"Pierside Marina Residence Tower A")</f>
        <v>Pierside Marina Residence Tower A</v>
      </c>
      <c r="C9198" s="2" t="str">
        <f ca="1">IFERROR(__xludf.DUMMYFUNCTION("""COMPUTED_VALUE"""),"Building")</f>
        <v>Building</v>
      </c>
      <c r="D9198" s="2" t="str">
        <f ca="1">IFERROR(__xludf.DUMMYFUNCTION("""COMPUTED_VALUE"""),"Umm Al Quwain&gt;Al Seanneeah&gt;Sobha Siniya Island&gt;Pierside Marina Residence&gt;Pierside Marina Residence Tower A")</f>
        <v>Umm Al Quwain&gt;Al Seanneeah&gt;Sobha Siniya Island&gt;Pierside Marina Residence&gt;Pierside Marina Residence Tower A</v>
      </c>
      <c r="E9198" s="2"/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</row>
    <row r="9199" spans="1:26" ht="16.5" x14ac:dyDescent="0.35">
      <c r="A9199" s="2" t="str">
        <f ca="1">IFERROR(__xludf.DUMMYFUNCTION("""COMPUTED_VALUE"""),"Fujairah")</f>
        <v>Fujairah</v>
      </c>
      <c r="B9199" s="2" t="str">
        <f ca="1">IFERROR(__xludf.DUMMYFUNCTION("""COMPUTED_VALUE"""),"Fujairah")</f>
        <v>Fujairah</v>
      </c>
      <c r="C9199" s="2" t="str">
        <f ca="1">IFERROR(__xludf.DUMMYFUNCTION("""COMPUTED_VALUE"""),"Emirate")</f>
        <v>Emirate</v>
      </c>
      <c r="D9199" s="2" t="str">
        <f ca="1">IFERROR(__xludf.DUMMYFUNCTION("""COMPUTED_VALUE"""),"Fujairah")</f>
        <v>Fujairah</v>
      </c>
      <c r="E9199" s="2"/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  <c r="W9199" s="2"/>
      <c r="X9199" s="2"/>
      <c r="Y9199" s="2"/>
      <c r="Z9199" s="2"/>
    </row>
    <row r="9200" spans="1:26" ht="16.5" x14ac:dyDescent="0.35">
      <c r="A9200" s="2" t="str">
        <f ca="1">IFERROR(__xludf.DUMMYFUNCTION("""COMPUTED_VALUE"""),"Fujairah")</f>
        <v>Fujairah</v>
      </c>
      <c r="B9200" s="2" t="str">
        <f ca="1">IFERROR(__xludf.DUMMYFUNCTION("""COMPUTED_VALUE"""),"The White Village")</f>
        <v>The White Village</v>
      </c>
      <c r="C9200" s="2" t="str">
        <f ca="1">IFERROR(__xludf.DUMMYFUNCTION("""COMPUTED_VALUE"""),"Neighbourhood")</f>
        <v>Neighbourhood</v>
      </c>
      <c r="D9200" s="2" t="str">
        <f ca="1">IFERROR(__xludf.DUMMYFUNCTION("""COMPUTED_VALUE"""),"Fujairah&gt;Al Faseel Area&gt;The White Village")</f>
        <v>Fujairah&gt;Al Faseel Area&gt;The White Village</v>
      </c>
      <c r="E9200" s="2"/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  <c r="W9200" s="2"/>
      <c r="X9200" s="2"/>
      <c r="Y9200" s="2"/>
      <c r="Z9200" s="2"/>
    </row>
    <row r="9201" spans="1:26" ht="16.5" x14ac:dyDescent="0.35">
      <c r="A9201" s="2" t="str">
        <f ca="1">IFERROR(__xludf.DUMMYFUNCTION("""COMPUTED_VALUE"""),"Fujairah")</f>
        <v>Fujairah</v>
      </c>
      <c r="B9201" s="2" t="str">
        <f ca="1">IFERROR(__xludf.DUMMYFUNCTION("""COMPUTED_VALUE"""),"Al Aqah")</f>
        <v>Al Aqah</v>
      </c>
      <c r="C9201" s="2" t="str">
        <f ca="1">IFERROR(__xludf.DUMMYFUNCTION("""COMPUTED_VALUE"""),"Neighbourhood")</f>
        <v>Neighbourhood</v>
      </c>
      <c r="D9201" s="2" t="str">
        <f ca="1">IFERROR(__xludf.DUMMYFUNCTION("""COMPUTED_VALUE"""),"Fujairah&gt;Al Aqah")</f>
        <v>Fujairah&gt;Al Aqah</v>
      </c>
      <c r="E9201" s="2"/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  <c r="W9201" s="2"/>
      <c r="X9201" s="2"/>
      <c r="Y9201" s="2"/>
      <c r="Z9201" s="2"/>
    </row>
    <row r="9202" spans="1:26" ht="16.5" x14ac:dyDescent="0.35">
      <c r="A9202" s="2" t="str">
        <f ca="1">IFERROR(__xludf.DUMMYFUNCTION("""COMPUTED_VALUE"""),"Dubai")</f>
        <v>Dubai</v>
      </c>
      <c r="B9202" s="2" t="str">
        <f ca="1">IFERROR(__xludf.DUMMYFUNCTION("""COMPUTED_VALUE"""),"Vayla Residences")</f>
        <v>Vayla Residences</v>
      </c>
      <c r="C9202" s="2" t="str">
        <f ca="1">IFERROR(__xludf.DUMMYFUNCTION("""COMPUTED_VALUE"""),"Building")</f>
        <v>Building</v>
      </c>
      <c r="D9202" s="2" t="str">
        <f ca="1">IFERROR(__xludf.DUMMYFUNCTION("""COMPUTED_VALUE"""),"Dubai&gt;Dubai Islands&gt;Vayla Residences")</f>
        <v>Dubai&gt;Dubai Islands&gt;Vayla Residences</v>
      </c>
      <c r="E9202" s="2"/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  <c r="W9202" s="2"/>
      <c r="X9202" s="2"/>
      <c r="Y9202" s="2"/>
      <c r="Z9202" s="2"/>
    </row>
    <row r="9203" spans="1:26" ht="16.5" x14ac:dyDescent="0.35">
      <c r="A9203" s="2" t="str">
        <f ca="1">IFERROR(__xludf.DUMMYFUNCTION("""COMPUTED_VALUE"""),"Dubai")</f>
        <v>Dubai</v>
      </c>
      <c r="B9203" s="2" t="str">
        <f ca="1">IFERROR(__xludf.DUMMYFUNCTION("""COMPUTED_VALUE"""),"Amaranta 1")</f>
        <v>Amaranta 1</v>
      </c>
      <c r="C9203" s="2" t="str">
        <f ca="1">IFERROR(__xludf.DUMMYFUNCTION("""COMPUTED_VALUE"""),"Neighbourhood")</f>
        <v>Neighbourhood</v>
      </c>
      <c r="D9203" s="2" t="str">
        <f ca="1">IFERROR(__xludf.DUMMYFUNCTION("""COMPUTED_VALUE"""),"Dubai&gt;Dubailand&gt;Villanova&gt;Amaranta&gt;Amaranta 1")</f>
        <v>Dubai&gt;Dubailand&gt;Villanova&gt;Amaranta&gt;Amaranta 1</v>
      </c>
      <c r="E9203" s="2"/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  <c r="W9203" s="2"/>
      <c r="X9203" s="2"/>
      <c r="Y9203" s="2"/>
      <c r="Z9203" s="2"/>
    </row>
    <row r="9204" spans="1:26" ht="16.5" x14ac:dyDescent="0.35">
      <c r="A9204" s="2" t="str">
        <f ca="1">IFERROR(__xludf.DUMMYFUNCTION("""COMPUTED_VALUE"""),"Dubai")</f>
        <v>Dubai</v>
      </c>
      <c r="B9204" s="2" t="str">
        <f ca="1">IFERROR(__xludf.DUMMYFUNCTION("""COMPUTED_VALUE"""),"Serro")</f>
        <v>Serro</v>
      </c>
      <c r="C9204" s="2" t="str">
        <f ca="1">IFERROR(__xludf.DUMMYFUNCTION("""COMPUTED_VALUE"""),"Neighbourhood")</f>
        <v>Neighbourhood</v>
      </c>
      <c r="D9204" s="2" t="str">
        <f ca="1">IFERROR(__xludf.DUMMYFUNCTION("""COMPUTED_VALUE"""),"Dubai&gt;Dubailand&gt;The Heights Country Club&gt;Serro")</f>
        <v>Dubai&gt;Dubailand&gt;The Heights Country Club&gt;Serro</v>
      </c>
      <c r="E9204" s="2"/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  <c r="W9204" s="2"/>
      <c r="X9204" s="2"/>
      <c r="Y9204" s="2"/>
      <c r="Z9204" s="2"/>
    </row>
    <row r="9205" spans="1:26" ht="16.5" x14ac:dyDescent="0.35">
      <c r="A9205" s="2" t="str">
        <f ca="1">IFERROR(__xludf.DUMMYFUNCTION("""COMPUTED_VALUE"""),"Dubai")</f>
        <v>Dubai</v>
      </c>
      <c r="B9205" s="2" t="str">
        <f ca="1">IFERROR(__xludf.DUMMYFUNCTION("""COMPUTED_VALUE"""),"Zentral DWTC")</f>
        <v>Zentral DWTC</v>
      </c>
      <c r="C9205" s="2" t="str">
        <f ca="1">IFERROR(__xludf.DUMMYFUNCTION("""COMPUTED_VALUE"""),"Building")</f>
        <v>Building</v>
      </c>
      <c r="D9205" s="2" t="str">
        <f ca="1">IFERROR(__xludf.DUMMYFUNCTION("""COMPUTED_VALUE"""),"Dubai&gt;World Trade Centre&gt;Zentral DWTC")</f>
        <v>Dubai&gt;World Trade Centre&gt;Zentral DWTC</v>
      </c>
      <c r="E9205" s="2"/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</row>
    <row r="9206" spans="1:26" ht="16.5" x14ac:dyDescent="0.35">
      <c r="A9206" s="2" t="str">
        <f ca="1">IFERROR(__xludf.DUMMYFUNCTION("""COMPUTED_VALUE"""),"Dubai")</f>
        <v>Dubai</v>
      </c>
      <c r="B9206" s="2" t="str">
        <f ca="1">IFERROR(__xludf.DUMMYFUNCTION("""COMPUTED_VALUE"""),"Al Madan Building 1")</f>
        <v>Al Madan Building 1</v>
      </c>
      <c r="C9206" s="2" t="str">
        <f ca="1">IFERROR(__xludf.DUMMYFUNCTION("""COMPUTED_VALUE"""),"Building")</f>
        <v>Building</v>
      </c>
      <c r="D9206" s="2" t="str">
        <f ca="1">IFERROR(__xludf.DUMMYFUNCTION("""COMPUTED_VALUE"""),"Dubai&gt;Al Qusais&gt;Al Qusais Residential Area&gt;Al Qusais 2&gt;Al Madan Building 1")</f>
        <v>Dubai&gt;Al Qusais&gt;Al Qusais Residential Area&gt;Al Qusais 2&gt;Al Madan Building 1</v>
      </c>
      <c r="E9206" s="2"/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  <c r="W9206" s="2"/>
      <c r="X9206" s="2"/>
      <c r="Y9206" s="2"/>
      <c r="Z9206" s="2"/>
    </row>
    <row r="9207" spans="1:26" ht="16.5" x14ac:dyDescent="0.35">
      <c r="A9207" s="2" t="str">
        <f ca="1">IFERROR(__xludf.DUMMYFUNCTION("""COMPUTED_VALUE"""),"Dubai")</f>
        <v>Dubai</v>
      </c>
      <c r="B9207" s="2" t="str">
        <f ca="1">IFERROR(__xludf.DUMMYFUNCTION("""COMPUTED_VALUE"""),"Qusais House")</f>
        <v>Qusais House</v>
      </c>
      <c r="C9207" s="2" t="str">
        <f ca="1">IFERROR(__xludf.DUMMYFUNCTION("""COMPUTED_VALUE"""),"Building")</f>
        <v>Building</v>
      </c>
      <c r="D9207" s="2" t="str">
        <f ca="1">IFERROR(__xludf.DUMMYFUNCTION("""COMPUTED_VALUE"""),"Dubai&gt;Al Qusais&gt;Al Qusais Residential Area&gt;Al Qusais 1&gt;Qusais House")</f>
        <v>Dubai&gt;Al Qusais&gt;Al Qusais Residential Area&gt;Al Qusais 1&gt;Qusais House</v>
      </c>
      <c r="E9207" s="2"/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  <c r="W9207" s="2"/>
      <c r="X9207" s="2"/>
      <c r="Y9207" s="2"/>
      <c r="Z9207" s="2"/>
    </row>
    <row r="9208" spans="1:26" ht="16.5" x14ac:dyDescent="0.35">
      <c r="A9208" s="2" t="str">
        <f ca="1">IFERROR(__xludf.DUMMYFUNCTION("""COMPUTED_VALUE"""),"Dubai")</f>
        <v>Dubai</v>
      </c>
      <c r="B9208" s="2" t="str">
        <f ca="1">IFERROR(__xludf.DUMMYFUNCTION("""COMPUTED_VALUE"""),"Masaken Al Qusais 01")</f>
        <v>Masaken Al Qusais 01</v>
      </c>
      <c r="C9208" s="2" t="str">
        <f ca="1">IFERROR(__xludf.DUMMYFUNCTION("""COMPUTED_VALUE"""),"Building")</f>
        <v>Building</v>
      </c>
      <c r="D9208" s="2" t="str">
        <f ca="1">IFERROR(__xludf.DUMMYFUNCTION("""COMPUTED_VALUE"""),"Dubai&gt;Al Qusais&gt;Al Qusais Residential Area&gt;Al Qusais 1&gt;Masaken Al Qusais 01")</f>
        <v>Dubai&gt;Al Qusais&gt;Al Qusais Residential Area&gt;Al Qusais 1&gt;Masaken Al Qusais 01</v>
      </c>
      <c r="E9208" s="2"/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  <c r="W9208" s="2"/>
      <c r="X9208" s="2"/>
      <c r="Y9208" s="2"/>
      <c r="Z9208" s="2"/>
    </row>
    <row r="9209" spans="1:26" ht="16.5" x14ac:dyDescent="0.35">
      <c r="A9209" s="2" t="str">
        <f ca="1">IFERROR(__xludf.DUMMYFUNCTION("""COMPUTED_VALUE"""),"Dubai")</f>
        <v>Dubai</v>
      </c>
      <c r="B9209" s="2" t="str">
        <f ca="1">IFERROR(__xludf.DUMMYFUNCTION("""COMPUTED_VALUE"""),"Bin Shabib Mall")</f>
        <v>Bin Shabib Mall</v>
      </c>
      <c r="C9209" s="2" t="str">
        <f ca="1">IFERROR(__xludf.DUMMYFUNCTION("""COMPUTED_VALUE"""),"Building")</f>
        <v>Building</v>
      </c>
      <c r="D9209" s="2" t="str">
        <f ca="1">IFERROR(__xludf.DUMMYFUNCTION("""COMPUTED_VALUE"""),"Dubai&gt;Al Qusais&gt;Al Qusais Industrial Area&gt;Al Qusais Industrial 1&gt;Bin Shabib Mall")</f>
        <v>Dubai&gt;Al Qusais&gt;Al Qusais Industrial Area&gt;Al Qusais Industrial 1&gt;Bin Shabib Mall</v>
      </c>
      <c r="E9209" s="2"/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</row>
    <row r="9210" spans="1:26" ht="16.5" x14ac:dyDescent="0.35">
      <c r="A9210" s="2" t="str">
        <f ca="1">IFERROR(__xludf.DUMMYFUNCTION("""COMPUTED_VALUE"""),"Dubai")</f>
        <v>Dubai</v>
      </c>
      <c r="B9210" s="2" t="str">
        <f ca="1">IFERROR(__xludf.DUMMYFUNCTION("""COMPUTED_VALUE"""),"Mulberry 1 Building A1")</f>
        <v>Mulberry 1 Building A1</v>
      </c>
      <c r="C9210" s="2" t="str">
        <f ca="1">IFERROR(__xludf.DUMMYFUNCTION("""COMPUTED_VALUE"""),"Building")</f>
        <v>Building</v>
      </c>
      <c r="D9210" s="2" t="str">
        <f ca="1">IFERROR(__xludf.DUMMYFUNCTION("""COMPUTED_VALUE"""),"Dubai&gt;Dubai Hills Estate&gt;Park Heights&gt;Mulberry 1&gt;Mulberry 1 Building A1")</f>
        <v>Dubai&gt;Dubai Hills Estate&gt;Park Heights&gt;Mulberry 1&gt;Mulberry 1 Building A1</v>
      </c>
      <c r="E9210" s="2"/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  <c r="W9210" s="2"/>
      <c r="X9210" s="2"/>
      <c r="Y9210" s="2"/>
      <c r="Z9210" s="2"/>
    </row>
    <row r="9211" spans="1:26" ht="16.5" x14ac:dyDescent="0.35">
      <c r="A9211" s="2" t="str">
        <f ca="1">IFERROR(__xludf.DUMMYFUNCTION("""COMPUTED_VALUE"""),"Dubai")</f>
        <v>Dubai</v>
      </c>
      <c r="B9211" s="2" t="str">
        <f ca="1">IFERROR(__xludf.DUMMYFUNCTION("""COMPUTED_VALUE"""),"Executive Residences 2")</f>
        <v>Executive Residences 2</v>
      </c>
      <c r="C9211" s="2" t="str">
        <f ca="1">IFERROR(__xludf.DUMMYFUNCTION("""COMPUTED_VALUE"""),"Building")</f>
        <v>Building</v>
      </c>
      <c r="D9211" s="2" t="str">
        <f ca="1">IFERROR(__xludf.DUMMYFUNCTION("""COMPUTED_VALUE"""),"Dubai&gt;Dubai Hills Estate&gt;Executive Residences&gt;Executive Residences 2")</f>
        <v>Dubai&gt;Dubai Hills Estate&gt;Executive Residences&gt;Executive Residences 2</v>
      </c>
      <c r="E9211" s="2"/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  <c r="W9211" s="2"/>
      <c r="X9211" s="2"/>
      <c r="Y9211" s="2"/>
      <c r="Z9211" s="2"/>
    </row>
    <row r="9212" spans="1:26" ht="16.5" x14ac:dyDescent="0.35">
      <c r="A9212" s="2" t="str">
        <f ca="1">IFERROR(__xludf.DUMMYFUNCTION("""COMPUTED_VALUE"""),"Dubai")</f>
        <v>Dubai</v>
      </c>
      <c r="B9212" s="2" t="str">
        <f ca="1">IFERROR(__xludf.DUMMYFUNCTION("""COMPUTED_VALUE"""),"Ellington House III")</f>
        <v>Ellington House III</v>
      </c>
      <c r="C9212" s="2" t="str">
        <f ca="1">IFERROR(__xludf.DUMMYFUNCTION("""COMPUTED_VALUE"""),"Building")</f>
        <v>Building</v>
      </c>
      <c r="D9212" s="2" t="str">
        <f ca="1">IFERROR(__xludf.DUMMYFUNCTION("""COMPUTED_VALUE"""),"Dubai&gt;Dubai Hills Estate&gt;Ellington House&gt;Ellington House III")</f>
        <v>Dubai&gt;Dubai Hills Estate&gt;Ellington House&gt;Ellington House III</v>
      </c>
      <c r="E9212" s="2"/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</row>
    <row r="9213" spans="1:26" ht="16.5" x14ac:dyDescent="0.35">
      <c r="A9213" s="2" t="str">
        <f ca="1">IFERROR(__xludf.DUMMYFUNCTION("""COMPUTED_VALUE"""),"Dubai")</f>
        <v>Dubai</v>
      </c>
      <c r="B9213" s="2" t="str">
        <f ca="1">IFERROR(__xludf.DUMMYFUNCTION("""COMPUTED_VALUE"""),"Club Drive Tower B")</f>
        <v>Club Drive Tower B</v>
      </c>
      <c r="C9213" s="2" t="str">
        <f ca="1">IFERROR(__xludf.DUMMYFUNCTION("""COMPUTED_VALUE"""),"Building")</f>
        <v>Building</v>
      </c>
      <c r="D9213" s="2" t="str">
        <f ca="1">IFERROR(__xludf.DUMMYFUNCTION("""COMPUTED_VALUE"""),"Dubai&gt;Dubai Hills Estate&gt;Club Drive&gt;Club Drive Tower B")</f>
        <v>Dubai&gt;Dubai Hills Estate&gt;Club Drive&gt;Club Drive Tower B</v>
      </c>
      <c r="E9213" s="2"/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  <c r="W9213" s="2"/>
      <c r="X9213" s="2"/>
      <c r="Y9213" s="2"/>
      <c r="Z9213" s="2"/>
    </row>
    <row r="9214" spans="1:26" ht="16.5" x14ac:dyDescent="0.35">
      <c r="A9214" s="2" t="str">
        <f ca="1">IFERROR(__xludf.DUMMYFUNCTION("""COMPUTED_VALUE"""),"Dubai")</f>
        <v>Dubai</v>
      </c>
      <c r="B9214" s="2" t="str">
        <f ca="1">IFERROR(__xludf.DUMMYFUNCTION("""COMPUTED_VALUE"""),"Vida Residences Hillside")</f>
        <v>Vida Residences Hillside</v>
      </c>
      <c r="C9214" s="2" t="str">
        <f ca="1">IFERROR(__xludf.DUMMYFUNCTION("""COMPUTED_VALUE"""),"Neighbourhood")</f>
        <v>Neighbourhood</v>
      </c>
      <c r="D9214" s="2" t="str">
        <f ca="1">IFERROR(__xludf.DUMMYFUNCTION("""COMPUTED_VALUE"""),"Dubai&gt;Dubai Hills Estate&gt;Vida Residences Hillside")</f>
        <v>Dubai&gt;Dubai Hills Estate&gt;Vida Residences Hillside</v>
      </c>
      <c r="E9214" s="2"/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  <c r="W9214" s="2"/>
      <c r="X9214" s="2"/>
      <c r="Y9214" s="2"/>
      <c r="Z9214" s="2"/>
    </row>
    <row r="9215" spans="1:26" ht="16.5" x14ac:dyDescent="0.35">
      <c r="A9215" s="2" t="str">
        <f ca="1">IFERROR(__xludf.DUMMYFUNCTION("""COMPUTED_VALUE"""),"Dubai")</f>
        <v>Dubai</v>
      </c>
      <c r="B9215" s="2" t="str">
        <f ca="1">IFERROR(__xludf.DUMMYFUNCTION("""COMPUTED_VALUE"""),"Ali Bin Salim Building")</f>
        <v>Ali Bin Salim Building</v>
      </c>
      <c r="C9215" s="2" t="str">
        <f ca="1">IFERROR(__xludf.DUMMYFUNCTION("""COMPUTED_VALUE"""),"Building")</f>
        <v>Building</v>
      </c>
      <c r="D9215" s="2" t="str">
        <f ca="1">IFERROR(__xludf.DUMMYFUNCTION("""COMPUTED_VALUE"""),"Dubai&gt;Deira&gt;Al Muraqqabat&gt;Ali Bin Salim Building")</f>
        <v>Dubai&gt;Deira&gt;Al Muraqqabat&gt;Ali Bin Salim Building</v>
      </c>
      <c r="E9215" s="2"/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  <c r="W9215" s="2"/>
      <c r="X9215" s="2"/>
      <c r="Y9215" s="2"/>
      <c r="Z9215" s="2"/>
    </row>
    <row r="9216" spans="1:26" ht="16.5" x14ac:dyDescent="0.35">
      <c r="A9216" s="2" t="str">
        <f ca="1">IFERROR(__xludf.DUMMYFUNCTION("""COMPUTED_VALUE"""),"Dubai")</f>
        <v>Dubai</v>
      </c>
      <c r="B9216" s="2" t="str">
        <f ca="1">IFERROR(__xludf.DUMMYFUNCTION("""COMPUTED_VALUE"""),"Al Dana Centre")</f>
        <v>Al Dana Centre</v>
      </c>
      <c r="C9216" s="2" t="str">
        <f ca="1">IFERROR(__xludf.DUMMYFUNCTION("""COMPUTED_VALUE"""),"Building")</f>
        <v>Building</v>
      </c>
      <c r="D9216" s="2" t="str">
        <f ca="1">IFERROR(__xludf.DUMMYFUNCTION("""COMPUTED_VALUE"""),"Dubai&gt;Deira&gt;Al Muraqqabat&gt;Al Dana Centre")</f>
        <v>Dubai&gt;Deira&gt;Al Muraqqabat&gt;Al Dana Centre</v>
      </c>
      <c r="E9216" s="2"/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  <c r="W9216" s="2"/>
      <c r="X9216" s="2"/>
      <c r="Y9216" s="2"/>
      <c r="Z9216" s="2"/>
    </row>
    <row r="9217" spans="1:26" ht="16.5" x14ac:dyDescent="0.35">
      <c r="A9217" s="2" t="str">
        <f ca="1">IFERROR(__xludf.DUMMYFUNCTION("""COMPUTED_VALUE"""),"Dubai")</f>
        <v>Dubai</v>
      </c>
      <c r="B9217" s="2" t="str">
        <f ca="1">IFERROR(__xludf.DUMMYFUNCTION("""COMPUTED_VALUE"""),"Damas Building")</f>
        <v>Damas Building</v>
      </c>
      <c r="C9217" s="2" t="str">
        <f ca="1">IFERROR(__xludf.DUMMYFUNCTION("""COMPUTED_VALUE"""),"Building")</f>
        <v>Building</v>
      </c>
      <c r="D9217" s="2" t="str">
        <f ca="1">IFERROR(__xludf.DUMMYFUNCTION("""COMPUTED_VALUE"""),"Dubai&gt;Deira&gt;Riggat Al Buteen&gt;Damas Building")</f>
        <v>Dubai&gt;Deira&gt;Riggat Al Buteen&gt;Damas Building</v>
      </c>
      <c r="E9217" s="2"/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  <c r="W9217" s="2"/>
      <c r="X9217" s="2"/>
      <c r="Y9217" s="2"/>
      <c r="Z9217" s="2"/>
    </row>
    <row r="9218" spans="1:26" ht="16.5" x14ac:dyDescent="0.35">
      <c r="A9218" s="2" t="str">
        <f ca="1">IFERROR(__xludf.DUMMYFUNCTION("""COMPUTED_VALUE"""),"Dubai")</f>
        <v>Dubai</v>
      </c>
      <c r="B9218" s="2" t="str">
        <f ca="1">IFERROR(__xludf.DUMMYFUNCTION("""COMPUTED_VALUE"""),"Al Yasmeen Building")</f>
        <v>Al Yasmeen Building</v>
      </c>
      <c r="C9218" s="2" t="str">
        <f ca="1">IFERROR(__xludf.DUMMYFUNCTION("""COMPUTED_VALUE"""),"Building")</f>
        <v>Building</v>
      </c>
      <c r="D9218" s="2" t="str">
        <f ca="1">IFERROR(__xludf.DUMMYFUNCTION("""COMPUTED_VALUE"""),"Dubai&gt;Deira&gt;Hor Al Anz&gt;Al Yasmeen Building")</f>
        <v>Dubai&gt;Deira&gt;Hor Al Anz&gt;Al Yasmeen Building</v>
      </c>
      <c r="E9218" s="2"/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  <c r="W9218" s="2"/>
      <c r="X9218" s="2"/>
      <c r="Y9218" s="2"/>
      <c r="Z9218" s="2"/>
    </row>
    <row r="9219" spans="1:26" ht="16.5" x14ac:dyDescent="0.35">
      <c r="A9219" s="2" t="str">
        <f ca="1">IFERROR(__xludf.DUMMYFUNCTION("""COMPUTED_VALUE"""),"Dubai")</f>
        <v>Dubai</v>
      </c>
      <c r="B9219" s="2" t="str">
        <f ca="1">IFERROR(__xludf.DUMMYFUNCTION("""COMPUTED_VALUE"""),"Al Muteena")</f>
        <v>Al Muteena</v>
      </c>
      <c r="C9219" s="2" t="str">
        <f ca="1">IFERROR(__xludf.DUMMYFUNCTION("""COMPUTED_VALUE"""),"Neighbourhood")</f>
        <v>Neighbourhood</v>
      </c>
      <c r="D9219" s="2" t="str">
        <f ca="1">IFERROR(__xludf.DUMMYFUNCTION("""COMPUTED_VALUE"""),"Dubai&gt;Deira&gt;Al Muteena")</f>
        <v>Dubai&gt;Deira&gt;Al Muteena</v>
      </c>
      <c r="E9219" s="2"/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  <c r="W9219" s="2"/>
      <c r="X9219" s="2"/>
      <c r="Y9219" s="2"/>
      <c r="Z9219" s="2"/>
    </row>
    <row r="9220" spans="1:26" ht="16.5" x14ac:dyDescent="0.35">
      <c r="A9220" s="2" t="str">
        <f ca="1">IFERROR(__xludf.DUMMYFUNCTION("""COMPUTED_VALUE"""),"Dubai")</f>
        <v>Dubai</v>
      </c>
      <c r="B9220" s="2" t="str">
        <f ca="1">IFERROR(__xludf.DUMMYFUNCTION("""COMPUTED_VALUE"""),"Al Badri Building")</f>
        <v>Al Badri Building</v>
      </c>
      <c r="C9220" s="2" t="str">
        <f ca="1">IFERROR(__xludf.DUMMYFUNCTION("""COMPUTED_VALUE"""),"Building")</f>
        <v>Building</v>
      </c>
      <c r="D9220" s="2" t="str">
        <f ca="1">IFERROR(__xludf.DUMMYFUNCTION("""COMPUTED_VALUE"""),"Dubai&gt;Deira&gt;Al Muteena&gt;Al Badri Building")</f>
        <v>Dubai&gt;Deira&gt;Al Muteena&gt;Al Badri Building</v>
      </c>
      <c r="E9220" s="2"/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  <c r="W9220" s="2"/>
      <c r="X9220" s="2"/>
      <c r="Y9220" s="2"/>
      <c r="Z9220" s="2"/>
    </row>
    <row r="9221" spans="1:26" ht="16.5" x14ac:dyDescent="0.35">
      <c r="A9221" s="2" t="str">
        <f ca="1">IFERROR(__xludf.DUMMYFUNCTION("""COMPUTED_VALUE"""),"Dubai")</f>
        <v>Dubai</v>
      </c>
      <c r="B9221" s="2" t="str">
        <f ca="1">IFERROR(__xludf.DUMMYFUNCTION("""COMPUTED_VALUE"""),"Carlton Dubai Creek")</f>
        <v>Carlton Dubai Creek</v>
      </c>
      <c r="C9221" s="2" t="str">
        <f ca="1">IFERROR(__xludf.DUMMYFUNCTION("""COMPUTED_VALUE"""),"Building")</f>
        <v>Building</v>
      </c>
      <c r="D9221" s="2" t="str">
        <f ca="1">IFERROR(__xludf.DUMMYFUNCTION("""COMPUTED_VALUE"""),"Dubai&gt;Deira&gt;Al Rigga&gt;Carlton Dubai Creek")</f>
        <v>Dubai&gt;Deira&gt;Al Rigga&gt;Carlton Dubai Creek</v>
      </c>
      <c r="E9221" s="2"/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  <c r="W9221" s="2"/>
      <c r="X9221" s="2"/>
      <c r="Y9221" s="2"/>
      <c r="Z9221" s="2"/>
    </row>
    <row r="9222" spans="1:26" ht="16.5" x14ac:dyDescent="0.35">
      <c r="A9222" s="2" t="str">
        <f ca="1">IFERROR(__xludf.DUMMYFUNCTION("""COMPUTED_VALUE"""),"Dubai")</f>
        <v>Dubai</v>
      </c>
      <c r="B9222" s="2" t="str">
        <f ca="1">IFERROR(__xludf.DUMMYFUNCTION("""COMPUTED_VALUE"""),"Hind Plaza 5")</f>
        <v>Hind Plaza 5</v>
      </c>
      <c r="C9222" s="2" t="str">
        <f ca="1">IFERROR(__xludf.DUMMYFUNCTION("""COMPUTED_VALUE"""),"Building")</f>
        <v>Building</v>
      </c>
      <c r="D9222" s="2" t="str">
        <f ca="1">IFERROR(__xludf.DUMMYFUNCTION("""COMPUTED_VALUE"""),"Dubai&gt;Deira&gt;Deira Enrichment Project&gt;Hind Plaza&gt;Hind Plaza 5")</f>
        <v>Dubai&gt;Deira&gt;Deira Enrichment Project&gt;Hind Plaza&gt;Hind Plaza 5</v>
      </c>
      <c r="E9222" s="2"/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  <c r="W9222" s="2"/>
      <c r="X9222" s="2"/>
      <c r="Y9222" s="2"/>
      <c r="Z9222" s="2"/>
    </row>
    <row r="9223" spans="1:26" ht="16.5" x14ac:dyDescent="0.35">
      <c r="A9223" s="2" t="str">
        <f ca="1">IFERROR(__xludf.DUMMYFUNCTION("""COMPUTED_VALUE"""),"Dubai")</f>
        <v>Dubai</v>
      </c>
      <c r="B9223" s="2" t="str">
        <f ca="1">IFERROR(__xludf.DUMMYFUNCTION("""COMPUTED_VALUE"""),"City Building")</f>
        <v>City Building</v>
      </c>
      <c r="C9223" s="2" t="str">
        <f ca="1">IFERROR(__xludf.DUMMYFUNCTION("""COMPUTED_VALUE"""),"Building")</f>
        <v>Building</v>
      </c>
      <c r="D9223" s="2" t="str">
        <f ca="1">IFERROR(__xludf.DUMMYFUNCTION("""COMPUTED_VALUE"""),"Dubai&gt;Deira&gt;Naif&gt;City Building")</f>
        <v>Dubai&gt;Deira&gt;Naif&gt;City Building</v>
      </c>
      <c r="E9223" s="2"/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  <c r="W9223" s="2"/>
      <c r="X9223" s="2"/>
      <c r="Y9223" s="2"/>
      <c r="Z9223" s="2"/>
    </row>
    <row r="9224" spans="1:26" ht="16.5" x14ac:dyDescent="0.35">
      <c r="A9224" s="2" t="str">
        <f ca="1">IFERROR(__xludf.DUMMYFUNCTION("""COMPUTED_VALUE"""),"Dubai")</f>
        <v>Dubai</v>
      </c>
      <c r="B9224" s="2" t="str">
        <f ca="1">IFERROR(__xludf.DUMMYFUNCTION("""COMPUTED_VALUE"""),"Al Murar")</f>
        <v>Al Murar</v>
      </c>
      <c r="C9224" s="2" t="str">
        <f ca="1">IFERROR(__xludf.DUMMYFUNCTION("""COMPUTED_VALUE"""),"Neighbourhood")</f>
        <v>Neighbourhood</v>
      </c>
      <c r="D9224" s="2" t="str">
        <f ca="1">IFERROR(__xludf.DUMMYFUNCTION("""COMPUTED_VALUE"""),"Dubai&gt;Deira&gt;Al Murar")</f>
        <v>Dubai&gt;Deira&gt;Al Murar</v>
      </c>
      <c r="E9224" s="2"/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  <c r="W9224" s="2"/>
      <c r="X9224" s="2"/>
      <c r="Y9224" s="2"/>
      <c r="Z9224" s="2"/>
    </row>
    <row r="9225" spans="1:26" ht="16.5" x14ac:dyDescent="0.35">
      <c r="A9225" s="2" t="str">
        <f ca="1">IFERROR(__xludf.DUMMYFUNCTION("""COMPUTED_VALUE"""),"Dubai")</f>
        <v>Dubai</v>
      </c>
      <c r="B9225" s="2" t="str">
        <f ca="1">IFERROR(__xludf.DUMMYFUNCTION("""COMPUTED_VALUE"""),"Abdulla Building 1")</f>
        <v>Abdulla Building 1</v>
      </c>
      <c r="C9225" s="2" t="str">
        <f ca="1">IFERROR(__xludf.DUMMYFUNCTION("""COMPUTED_VALUE"""),"Building")</f>
        <v>Building</v>
      </c>
      <c r="D9225" s="2" t="str">
        <f ca="1">IFERROR(__xludf.DUMMYFUNCTION("""COMPUTED_VALUE"""),"Dubai&gt;Deira&gt;Al Murar&gt;Abdulla Building 1")</f>
        <v>Dubai&gt;Deira&gt;Al Murar&gt;Abdulla Building 1</v>
      </c>
      <c r="E9225" s="2"/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  <c r="W9225" s="2"/>
      <c r="X9225" s="2"/>
      <c r="Y9225" s="2"/>
      <c r="Z9225" s="2"/>
    </row>
    <row r="9226" spans="1:26" ht="16.5" x14ac:dyDescent="0.35">
      <c r="A9226" s="2" t="str">
        <f ca="1">IFERROR(__xludf.DUMMYFUNCTION("""COMPUTED_VALUE"""),"Dubai")</f>
        <v>Dubai</v>
      </c>
      <c r="B9226" s="2" t="str">
        <f ca="1">IFERROR(__xludf.DUMMYFUNCTION("""COMPUTED_VALUE"""),"Gold Souk")</f>
        <v>Gold Souk</v>
      </c>
      <c r="C9226" s="2" t="str">
        <f ca="1">IFERROR(__xludf.DUMMYFUNCTION("""COMPUTED_VALUE"""),"Neighbourhood")</f>
        <v>Neighbourhood</v>
      </c>
      <c r="D9226" s="2" t="str">
        <f ca="1">IFERROR(__xludf.DUMMYFUNCTION("""COMPUTED_VALUE"""),"Dubai&gt;Deira&gt;Al Ras&gt;Gold Souk")</f>
        <v>Dubai&gt;Deira&gt;Al Ras&gt;Gold Souk</v>
      </c>
      <c r="E9226" s="2"/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  <c r="W9226" s="2"/>
      <c r="X9226" s="2"/>
      <c r="Y9226" s="2"/>
      <c r="Z9226" s="2"/>
    </row>
    <row r="9227" spans="1:26" ht="16.5" x14ac:dyDescent="0.35">
      <c r="A9227" s="2" t="str">
        <f ca="1">IFERROR(__xludf.DUMMYFUNCTION("""COMPUTED_VALUE"""),"Dubai")</f>
        <v>Dubai</v>
      </c>
      <c r="B9227" s="2" t="str">
        <f ca="1">IFERROR(__xludf.DUMMYFUNCTION("""COMPUTED_VALUE"""),"Al Shenqaiti Building 3")</f>
        <v>Al Shenqaiti Building 3</v>
      </c>
      <c r="C9227" s="2" t="str">
        <f ca="1">IFERROR(__xludf.DUMMYFUNCTION("""COMPUTED_VALUE"""),"Building")</f>
        <v>Building</v>
      </c>
      <c r="D9227" s="2" t="str">
        <f ca="1">IFERROR(__xludf.DUMMYFUNCTION("""COMPUTED_VALUE"""),"Dubai&gt;Deira&gt;Port Saeed&gt;Al Shenqaiti Building 3")</f>
        <v>Dubai&gt;Deira&gt;Port Saeed&gt;Al Shenqaiti Building 3</v>
      </c>
      <c r="E9227" s="2"/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  <c r="W9227" s="2"/>
      <c r="X9227" s="2"/>
      <c r="Y9227" s="2"/>
      <c r="Z9227" s="2"/>
    </row>
    <row r="9228" spans="1:26" ht="16.5" x14ac:dyDescent="0.35">
      <c r="A9228" s="2" t="str">
        <f ca="1">IFERROR(__xludf.DUMMYFUNCTION("""COMPUTED_VALUE"""),"Dubai")</f>
        <v>Dubai</v>
      </c>
      <c r="B9228" s="2" t="str">
        <f ca="1">IFERROR(__xludf.DUMMYFUNCTION("""COMPUTED_VALUE"""),"Business Bay")</f>
        <v>Business Bay</v>
      </c>
      <c r="C9228" s="2" t="str">
        <f ca="1">IFERROR(__xludf.DUMMYFUNCTION("""COMPUTED_VALUE"""),"Neighbourhood")</f>
        <v>Neighbourhood</v>
      </c>
      <c r="D9228" s="2" t="str">
        <f ca="1">IFERROR(__xludf.DUMMYFUNCTION("""COMPUTED_VALUE"""),"Dubai&gt;Business Bay")</f>
        <v>Dubai&gt;Business Bay</v>
      </c>
      <c r="E9228" s="2"/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  <c r="W9228" s="2"/>
      <c r="X9228" s="2"/>
      <c r="Y9228" s="2"/>
      <c r="Z9228" s="2"/>
    </row>
    <row r="9229" spans="1:26" ht="16.5" x14ac:dyDescent="0.35">
      <c r="A9229" s="2" t="str">
        <f ca="1">IFERROR(__xludf.DUMMYFUNCTION("""COMPUTED_VALUE"""),"Dubai")</f>
        <v>Dubai</v>
      </c>
      <c r="B9229" s="2" t="str">
        <f ca="1">IFERROR(__xludf.DUMMYFUNCTION("""COMPUTED_VALUE"""),"Al Habtoor Tower")</f>
        <v>Al Habtoor Tower</v>
      </c>
      <c r="C9229" s="2" t="str">
        <f ca="1">IFERROR(__xludf.DUMMYFUNCTION("""COMPUTED_VALUE"""),"Building")</f>
        <v>Building</v>
      </c>
      <c r="D9229" s="2" t="str">
        <f ca="1">IFERROR(__xludf.DUMMYFUNCTION("""COMPUTED_VALUE"""),"Dubai&gt;Business Bay&gt;Al Habtoor City&gt;Al Habtoor Tower")</f>
        <v>Dubai&gt;Business Bay&gt;Al Habtoor City&gt;Al Habtoor Tower</v>
      </c>
      <c r="E9229" s="2"/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  <c r="W9229" s="2"/>
      <c r="X9229" s="2"/>
      <c r="Y9229" s="2"/>
      <c r="Z9229" s="2"/>
    </row>
    <row r="9230" spans="1:26" ht="16.5" x14ac:dyDescent="0.35">
      <c r="A9230" s="2" t="str">
        <f ca="1">IFERROR(__xludf.DUMMYFUNCTION("""COMPUTED_VALUE"""),"Dubai")</f>
        <v>Dubai</v>
      </c>
      <c r="B9230" s="2" t="str">
        <f ca="1">IFERROR(__xludf.DUMMYFUNCTION("""COMPUTED_VALUE"""),"Regal Tower")</f>
        <v>Regal Tower</v>
      </c>
      <c r="C9230" s="2" t="str">
        <f ca="1">IFERROR(__xludf.DUMMYFUNCTION("""COMPUTED_VALUE"""),"Building")</f>
        <v>Building</v>
      </c>
      <c r="D9230" s="2" t="str">
        <f ca="1">IFERROR(__xludf.DUMMYFUNCTION("""COMPUTED_VALUE"""),"Dubai&gt;Business Bay&gt;Regal Tower")</f>
        <v>Dubai&gt;Business Bay&gt;Regal Tower</v>
      </c>
      <c r="E9230" s="2"/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  <c r="W9230" s="2"/>
      <c r="X9230" s="2"/>
      <c r="Y9230" s="2"/>
      <c r="Z9230" s="2"/>
    </row>
    <row r="9231" spans="1:26" ht="16.5" x14ac:dyDescent="0.35">
      <c r="A9231" s="2" t="str">
        <f ca="1">IFERROR(__xludf.DUMMYFUNCTION("""COMPUTED_VALUE"""),"Dubai")</f>
        <v>Dubai</v>
      </c>
      <c r="B9231" s="2" t="str">
        <f ca="1">IFERROR(__xludf.DUMMYFUNCTION("""COMPUTED_VALUE"""),"Residence 110")</f>
        <v>Residence 110</v>
      </c>
      <c r="C9231" s="2" t="str">
        <f ca="1">IFERROR(__xludf.DUMMYFUNCTION("""COMPUTED_VALUE"""),"Building")</f>
        <v>Building</v>
      </c>
      <c r="D9231" s="2" t="str">
        <f ca="1">IFERROR(__xludf.DUMMYFUNCTION("""COMPUTED_VALUE"""),"Dubai&gt;Business Bay&gt;Residence 110")</f>
        <v>Dubai&gt;Business Bay&gt;Residence 110</v>
      </c>
      <c r="E9231" s="2"/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  <c r="W9231" s="2"/>
      <c r="X9231" s="2"/>
      <c r="Y9231" s="2"/>
      <c r="Z9231" s="2"/>
    </row>
    <row r="9232" spans="1:26" ht="16.5" x14ac:dyDescent="0.35">
      <c r="A9232" s="2" t="str">
        <f ca="1">IFERROR(__xludf.DUMMYFUNCTION("""COMPUTED_VALUE"""),"Dubai")</f>
        <v>Dubai</v>
      </c>
      <c r="B9232" s="2" t="str">
        <f ca="1">IFERROR(__xludf.DUMMYFUNCTION("""COMPUTED_VALUE"""),"Damac Maison Prive Podium")</f>
        <v>Damac Maison Prive Podium</v>
      </c>
      <c r="C9232" s="2" t="str">
        <f ca="1">IFERROR(__xludf.DUMMYFUNCTION("""COMPUTED_VALUE"""),"Building")</f>
        <v>Building</v>
      </c>
      <c r="D9232" s="2" t="str">
        <f ca="1">IFERROR(__xludf.DUMMYFUNCTION("""COMPUTED_VALUE"""),"Dubai&gt;Business Bay&gt;DAMAC Maison Prive&gt;Damac Maison Prive Podium")</f>
        <v>Dubai&gt;Business Bay&gt;DAMAC Maison Prive&gt;Damac Maison Prive Podium</v>
      </c>
      <c r="E9232" s="2"/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  <c r="W9232" s="2"/>
      <c r="X9232" s="2"/>
      <c r="Y9232" s="2"/>
      <c r="Z9232" s="2"/>
    </row>
    <row r="9233" spans="1:26" ht="16.5" x14ac:dyDescent="0.35">
      <c r="A9233" s="2" t="str">
        <f ca="1">IFERROR(__xludf.DUMMYFUNCTION("""COMPUTED_VALUE"""),"Dubai")</f>
        <v>Dubai</v>
      </c>
      <c r="B9233" s="2" t="str">
        <f ca="1">IFERROR(__xludf.DUMMYFUNCTION("""COMPUTED_VALUE"""),"Learning Tree Nursery")</f>
        <v>Learning Tree Nursery</v>
      </c>
      <c r="C9233" s="2" t="str">
        <f ca="1">IFERROR(__xludf.DUMMYFUNCTION("""COMPUTED_VALUE"""),"Nursery")</f>
        <v>Nursery</v>
      </c>
      <c r="D9233" s="2" t="str">
        <f ca="1">IFERROR(__xludf.DUMMYFUNCTION("""COMPUTED_VALUE"""),"Dubai&gt;Business Bay&gt;Bay Avenue Mall&gt;Learning Tree Nursery")</f>
        <v>Dubai&gt;Business Bay&gt;Bay Avenue Mall&gt;Learning Tree Nursery</v>
      </c>
      <c r="E9233" s="2"/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  <c r="W9233" s="2"/>
      <c r="X9233" s="2"/>
      <c r="Y9233" s="2"/>
      <c r="Z9233" s="2"/>
    </row>
    <row r="9234" spans="1:26" ht="16.5" x14ac:dyDescent="0.35">
      <c r="A9234" s="2" t="str">
        <f ca="1">IFERROR(__xludf.DUMMYFUNCTION("""COMPUTED_VALUE"""),"Dubai")</f>
        <v>Dubai</v>
      </c>
      <c r="B9234" s="2" t="str">
        <f ca="1">IFERROR(__xludf.DUMMYFUNCTION("""COMPUTED_VALUE"""),"DAMAC Paramount Tower (Midtown) Hotel And Residences")</f>
        <v>DAMAC Paramount Tower (Midtown) Hotel And Residences</v>
      </c>
      <c r="C9234" s="2" t="str">
        <f ca="1">IFERROR(__xludf.DUMMYFUNCTION("""COMPUTED_VALUE"""),"Building")</f>
        <v>Building</v>
      </c>
      <c r="D9234" s="2" t="str">
        <f ca="1">IFERROR(__xludf.DUMMYFUNCTION("""COMPUTED_VALUE"""),"Dubai&gt;Business Bay&gt;DAMAC Paramount Tower (Midtown) Hotel And Residences")</f>
        <v>Dubai&gt;Business Bay&gt;DAMAC Paramount Tower (Midtown) Hotel And Residences</v>
      </c>
      <c r="E9234" s="2"/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  <c r="W9234" s="2"/>
      <c r="X9234" s="2"/>
      <c r="Y9234" s="2"/>
      <c r="Z9234" s="2"/>
    </row>
    <row r="9235" spans="1:26" ht="16.5" x14ac:dyDescent="0.35">
      <c r="A9235" s="2" t="str">
        <f ca="1">IFERROR(__xludf.DUMMYFUNCTION("""COMPUTED_VALUE"""),"Dubai")</f>
        <v>Dubai</v>
      </c>
      <c r="B9235" s="2" t="str">
        <f ca="1">IFERROR(__xludf.DUMMYFUNCTION("""COMPUTED_VALUE"""),"Bugatti Residences by Binghatti")</f>
        <v>Bugatti Residences by Binghatti</v>
      </c>
      <c r="C9235" s="2" t="str">
        <f ca="1">IFERROR(__xludf.DUMMYFUNCTION("""COMPUTED_VALUE"""),"Building")</f>
        <v>Building</v>
      </c>
      <c r="D9235" s="2" t="str">
        <f ca="1">IFERROR(__xludf.DUMMYFUNCTION("""COMPUTED_VALUE"""),"Dubai&gt;Business Bay&gt;Bugatti Residences by Binghatti")</f>
        <v>Dubai&gt;Business Bay&gt;Bugatti Residences by Binghatti</v>
      </c>
      <c r="E9235" s="2"/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  <c r="W9235" s="2"/>
      <c r="X9235" s="2"/>
      <c r="Y9235" s="2"/>
      <c r="Z9235" s="2"/>
    </row>
    <row r="9236" spans="1:26" ht="16.5" x14ac:dyDescent="0.35">
      <c r="A9236" s="2" t="str">
        <f ca="1">IFERROR(__xludf.DUMMYFUNCTION("""COMPUTED_VALUE"""),"Dubai")</f>
        <v>Dubai</v>
      </c>
      <c r="B9236" s="2" t="str">
        <f ca="1">IFERROR(__xludf.DUMMYFUNCTION("""COMPUTED_VALUE"""),"Peninsula Four The Plaza")</f>
        <v>Peninsula Four The Plaza</v>
      </c>
      <c r="C9236" s="2" t="str">
        <f ca="1">IFERROR(__xludf.DUMMYFUNCTION("""COMPUTED_VALUE"""),"Building")</f>
        <v>Building</v>
      </c>
      <c r="D9236" s="2" t="str">
        <f ca="1">IFERROR(__xludf.DUMMYFUNCTION("""COMPUTED_VALUE"""),"Dubai&gt;Business Bay&gt;Peninsula&gt;Peninsula Four The Plaza")</f>
        <v>Dubai&gt;Business Bay&gt;Peninsula&gt;Peninsula Four The Plaza</v>
      </c>
      <c r="E9236" s="2"/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  <c r="W9236" s="2"/>
      <c r="X9236" s="2"/>
      <c r="Y9236" s="2"/>
      <c r="Z9236" s="2"/>
    </row>
    <row r="9237" spans="1:26" ht="16.5" x14ac:dyDescent="0.35">
      <c r="A9237" s="2" t="str">
        <f ca="1">IFERROR(__xludf.DUMMYFUNCTION("""COMPUTED_VALUE"""),"Dubai")</f>
        <v>Dubai</v>
      </c>
      <c r="B9237" s="2" t="str">
        <f ca="1">IFERROR(__xludf.DUMMYFUNCTION("""COMPUTED_VALUE"""),"Binghatti Aquarise")</f>
        <v>Binghatti Aquarise</v>
      </c>
      <c r="C9237" s="2" t="str">
        <f ca="1">IFERROR(__xludf.DUMMYFUNCTION("""COMPUTED_VALUE"""),"Building")</f>
        <v>Building</v>
      </c>
      <c r="D9237" s="2" t="str">
        <f ca="1">IFERROR(__xludf.DUMMYFUNCTION("""COMPUTED_VALUE"""),"Dubai&gt;Business Bay&gt;Binghatti Aquarise")</f>
        <v>Dubai&gt;Business Bay&gt;Binghatti Aquarise</v>
      </c>
      <c r="E9237" s="2"/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  <c r="W9237" s="2"/>
      <c r="X9237" s="2"/>
      <c r="Y9237" s="2"/>
      <c r="Z9237" s="2"/>
    </row>
    <row r="9238" spans="1:26" ht="16.5" x14ac:dyDescent="0.35">
      <c r="A9238" s="2" t="str">
        <f ca="1">IFERROR(__xludf.DUMMYFUNCTION("""COMPUTED_VALUE"""),"Dubai")</f>
        <v>Dubai</v>
      </c>
      <c r="B9238" s="2" t="str">
        <f ca="1">IFERROR(__xludf.DUMMYFUNCTION("""COMPUTED_VALUE"""),"District 5C")</f>
        <v>District 5C</v>
      </c>
      <c r="C9238" s="2" t="str">
        <f ca="1">IFERROR(__xludf.DUMMYFUNCTION("""COMPUTED_VALUE"""),"Neighbourhood")</f>
        <v>Neighbourhood</v>
      </c>
      <c r="D9238" s="2" t="str">
        <f ca="1">IFERROR(__xludf.DUMMYFUNCTION("""COMPUTED_VALUE"""),"Dubai&gt;Jumeirah Village Triangle (JVT)&gt;JVT District 5&gt;District 5C")</f>
        <v>Dubai&gt;Jumeirah Village Triangle (JVT)&gt;JVT District 5&gt;District 5C</v>
      </c>
      <c r="E9238" s="2"/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  <c r="W9238" s="2"/>
      <c r="X9238" s="2"/>
      <c r="Y9238" s="2"/>
      <c r="Z9238" s="2"/>
    </row>
    <row r="9239" spans="1:26" ht="16.5" x14ac:dyDescent="0.35">
      <c r="A9239" s="2" t="str">
        <f ca="1">IFERROR(__xludf.DUMMYFUNCTION("""COMPUTED_VALUE"""),"Dubai")</f>
        <v>Dubai</v>
      </c>
      <c r="B9239" s="2" t="str">
        <f ca="1">IFERROR(__xludf.DUMMYFUNCTION("""COMPUTED_VALUE"""),"JVT District 9")</f>
        <v>JVT District 9</v>
      </c>
      <c r="C9239" s="2" t="str">
        <f ca="1">IFERROR(__xludf.DUMMYFUNCTION("""COMPUTED_VALUE"""),"Neighbourhood")</f>
        <v>Neighbourhood</v>
      </c>
      <c r="D9239" s="2" t="str">
        <f ca="1">IFERROR(__xludf.DUMMYFUNCTION("""COMPUTED_VALUE"""),"Dubai&gt;Jumeirah Village Triangle (JVT)&gt;JVT District 9")</f>
        <v>Dubai&gt;Jumeirah Village Triangle (JVT)&gt;JVT District 9</v>
      </c>
      <c r="E9239" s="2"/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  <c r="W9239" s="2"/>
      <c r="X9239" s="2"/>
      <c r="Y9239" s="2"/>
      <c r="Z9239" s="2"/>
    </row>
    <row r="9240" spans="1:26" ht="16.5" x14ac:dyDescent="0.35">
      <c r="A9240" s="2" t="str">
        <f ca="1">IFERROR(__xludf.DUMMYFUNCTION("""COMPUTED_VALUE"""),"Dubai")</f>
        <v>Dubai</v>
      </c>
      <c r="B9240" s="2" t="str">
        <f ca="1">IFERROR(__xludf.DUMMYFUNCTION("""COMPUTED_VALUE"""),"Rosemont Residences")</f>
        <v>Rosemont Residences</v>
      </c>
      <c r="C9240" s="2" t="str">
        <f ca="1">IFERROR(__xludf.DUMMYFUNCTION("""COMPUTED_VALUE"""),"Building")</f>
        <v>Building</v>
      </c>
      <c r="D9240" s="2" t="str">
        <f ca="1">IFERROR(__xludf.DUMMYFUNCTION("""COMPUTED_VALUE"""),"Dubai&gt;Jumeirah Village Triangle (JVT)&gt;JVT District 2&gt;Rosemont Residences")</f>
        <v>Dubai&gt;Jumeirah Village Triangle (JVT)&gt;JVT District 2&gt;Rosemont Residences</v>
      </c>
      <c r="E9240" s="2"/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  <c r="W9240" s="2"/>
      <c r="X9240" s="2"/>
      <c r="Y9240" s="2"/>
      <c r="Z9240" s="2"/>
    </row>
    <row r="9241" spans="1:26" ht="16.5" x14ac:dyDescent="0.35">
      <c r="A9241" s="2" t="str">
        <f ca="1">IFERROR(__xludf.DUMMYFUNCTION("""COMPUTED_VALUE"""),"Dubai")</f>
        <v>Dubai</v>
      </c>
      <c r="B9241" s="2" t="str">
        <f ca="1">IFERROR(__xludf.DUMMYFUNCTION("""COMPUTED_VALUE"""),"JVT District 1")</f>
        <v>JVT District 1</v>
      </c>
      <c r="C9241" s="2" t="str">
        <f ca="1">IFERROR(__xludf.DUMMYFUNCTION("""COMPUTED_VALUE"""),"Neighbourhood")</f>
        <v>Neighbourhood</v>
      </c>
      <c r="D9241" s="2" t="str">
        <f ca="1">IFERROR(__xludf.DUMMYFUNCTION("""COMPUTED_VALUE"""),"Dubai&gt;Jumeirah Village Triangle (JVT)&gt;JVT District 1")</f>
        <v>Dubai&gt;Jumeirah Village Triangle (JVT)&gt;JVT District 1</v>
      </c>
      <c r="E9241" s="2"/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  <c r="W9241" s="2"/>
      <c r="X9241" s="2"/>
      <c r="Y9241" s="2"/>
      <c r="Z9241" s="2"/>
    </row>
    <row r="9242" spans="1:26" ht="16.5" x14ac:dyDescent="0.35">
      <c r="A9242" s="2" t="str">
        <f ca="1">IFERROR(__xludf.DUMMYFUNCTION("""COMPUTED_VALUE"""),"Dubai")</f>
        <v>Dubai</v>
      </c>
      <c r="B9242" s="2" t="str">
        <f ca="1">IFERROR(__xludf.DUMMYFUNCTION("""COMPUTED_VALUE"""),"Point Residencia")</f>
        <v>Point Residencia</v>
      </c>
      <c r="C9242" s="2" t="str">
        <f ca="1">IFERROR(__xludf.DUMMYFUNCTION("""COMPUTED_VALUE"""),"Building")</f>
        <v>Building</v>
      </c>
      <c r="D9242" s="2" t="str">
        <f ca="1">IFERROR(__xludf.DUMMYFUNCTION("""COMPUTED_VALUE"""),"Dubai&gt;Jumeirah Village Triangle (JVT)&gt;JVT District 4&gt;Point Residencia")</f>
        <v>Dubai&gt;Jumeirah Village Triangle (JVT)&gt;JVT District 4&gt;Point Residencia</v>
      </c>
      <c r="E9242" s="2"/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</row>
    <row r="9243" spans="1:26" ht="16.5" x14ac:dyDescent="0.35">
      <c r="A9243" s="2" t="str">
        <f ca="1">IFERROR(__xludf.DUMMYFUNCTION("""COMPUTED_VALUE"""),"Dubai")</f>
        <v>Dubai</v>
      </c>
      <c r="B9243" s="2" t="str">
        <f ca="1">IFERROR(__xludf.DUMMYFUNCTION("""COMPUTED_VALUE"""),"Red Square Tower 1")</f>
        <v>Red Square Tower 1</v>
      </c>
      <c r="C9243" s="2" t="str">
        <f ca="1">IFERROR(__xludf.DUMMYFUNCTION("""COMPUTED_VALUE"""),"Building")</f>
        <v>Building</v>
      </c>
      <c r="D9243" s="2" t="str">
        <f ca="1">IFERROR(__xludf.DUMMYFUNCTION("""COMPUTED_VALUE"""),"Dubai&gt;Jumeirah Village Triangle (JVT)&gt;JVT District 3&gt;Red Square&gt;Red Square Tower 1")</f>
        <v>Dubai&gt;Jumeirah Village Triangle (JVT)&gt;JVT District 3&gt;Red Square&gt;Red Square Tower 1</v>
      </c>
      <c r="E9243" s="2"/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</row>
    <row r="9244" spans="1:26" ht="16.5" x14ac:dyDescent="0.35">
      <c r="A9244" s="2" t="str">
        <f ca="1">IFERROR(__xludf.DUMMYFUNCTION("""COMPUTED_VALUE"""),"Dubai")</f>
        <v>Dubai</v>
      </c>
      <c r="B9244" s="2" t="str">
        <f ca="1">IFERROR(__xludf.DUMMYFUNCTION("""COMPUTED_VALUE"""),"Al Ramth 47")</f>
        <v>Al Ramth 47</v>
      </c>
      <c r="C9244" s="2" t="str">
        <f ca="1">IFERROR(__xludf.DUMMYFUNCTION("""COMPUTED_VALUE"""),"Building")</f>
        <v>Building</v>
      </c>
      <c r="D9244" s="2" t="str">
        <f ca="1">IFERROR(__xludf.DUMMYFUNCTION("""COMPUTED_VALUE"""),"Dubai&gt;Remraam&gt;Al Ramth&gt;Al Ramth 47")</f>
        <v>Dubai&gt;Remraam&gt;Al Ramth&gt;Al Ramth 47</v>
      </c>
      <c r="E9244" s="2"/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</row>
    <row r="9245" spans="1:26" ht="16.5" x14ac:dyDescent="0.35">
      <c r="A9245" s="2" t="str">
        <f ca="1">IFERROR(__xludf.DUMMYFUNCTION("""COMPUTED_VALUE"""),"Dubai")</f>
        <v>Dubai</v>
      </c>
      <c r="B9245" s="2" t="str">
        <f ca="1">IFERROR(__xludf.DUMMYFUNCTION("""COMPUTED_VALUE"""),"Al Thamam 28")</f>
        <v>Al Thamam 28</v>
      </c>
      <c r="C9245" s="2" t="str">
        <f ca="1">IFERROR(__xludf.DUMMYFUNCTION("""COMPUTED_VALUE"""),"Building")</f>
        <v>Building</v>
      </c>
      <c r="D9245" s="2" t="str">
        <f ca="1">IFERROR(__xludf.DUMMYFUNCTION("""COMPUTED_VALUE"""),"Dubai&gt;Remraam&gt;Al Thamam&gt;Al Thamam 28")</f>
        <v>Dubai&gt;Remraam&gt;Al Thamam&gt;Al Thamam 28</v>
      </c>
      <c r="E9245" s="2"/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</row>
    <row r="9246" spans="1:26" ht="16.5" x14ac:dyDescent="0.35">
      <c r="A9246" s="2" t="str">
        <f ca="1">IFERROR(__xludf.DUMMYFUNCTION("""COMPUTED_VALUE"""),"Dubai")</f>
        <v>Dubai</v>
      </c>
      <c r="B9246" s="2" t="str">
        <f ca="1">IFERROR(__xludf.DUMMYFUNCTION("""COMPUTED_VALUE"""),"Al Thamam 02")</f>
        <v>Al Thamam 02</v>
      </c>
      <c r="C9246" s="2" t="str">
        <f ca="1">IFERROR(__xludf.DUMMYFUNCTION("""COMPUTED_VALUE"""),"Building")</f>
        <v>Building</v>
      </c>
      <c r="D9246" s="2" t="str">
        <f ca="1">IFERROR(__xludf.DUMMYFUNCTION("""COMPUTED_VALUE"""),"Dubai&gt;Remraam&gt;Al Thamam&gt;Al Thamam 02")</f>
        <v>Dubai&gt;Remraam&gt;Al Thamam&gt;Al Thamam 02</v>
      </c>
      <c r="E9246" s="2"/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  <c r="W9246" s="2"/>
      <c r="X9246" s="2"/>
      <c r="Y9246" s="2"/>
      <c r="Z9246" s="2"/>
    </row>
    <row r="9247" spans="1:26" ht="16.5" x14ac:dyDescent="0.35">
      <c r="A9247" s="2" t="str">
        <f ca="1">IFERROR(__xludf.DUMMYFUNCTION("""COMPUTED_VALUE"""),"Dubai")</f>
        <v>Dubai</v>
      </c>
      <c r="B9247" s="2" t="str">
        <f ca="1">IFERROR(__xludf.DUMMYFUNCTION("""COMPUTED_VALUE"""),"Imperial Tower 2")</f>
        <v>Imperial Tower 2</v>
      </c>
      <c r="C9247" s="2" t="str">
        <f ca="1">IFERROR(__xludf.DUMMYFUNCTION("""COMPUTED_VALUE"""),"Building")</f>
        <v>Building</v>
      </c>
      <c r="D9247" s="2" t="str">
        <f ca="1">IFERROR(__xludf.DUMMYFUNCTION("""COMPUTED_VALUE"""),"Dubai&gt;Jumeirah Village Circle (JVC)&gt;JVC District 17&gt;Imperial Tower 2")</f>
        <v>Dubai&gt;Jumeirah Village Circle (JVC)&gt;JVC District 17&gt;Imperial Tower 2</v>
      </c>
      <c r="E9247" s="2"/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  <c r="W9247" s="2"/>
      <c r="X9247" s="2"/>
      <c r="Y9247" s="2"/>
      <c r="Z9247" s="2"/>
    </row>
    <row r="9248" spans="1:26" ht="16.5" x14ac:dyDescent="0.35">
      <c r="A9248" s="2" t="str">
        <f ca="1">IFERROR(__xludf.DUMMYFUNCTION("""COMPUTED_VALUE"""),"Dubai")</f>
        <v>Dubai</v>
      </c>
      <c r="B9248" s="2" t="str">
        <f ca="1">IFERROR(__xludf.DUMMYFUNCTION("""COMPUTED_VALUE"""),"Park View Residence")</f>
        <v>Park View Residence</v>
      </c>
      <c r="C9248" s="2" t="str">
        <f ca="1">IFERROR(__xludf.DUMMYFUNCTION("""COMPUTED_VALUE"""),"Building")</f>
        <v>Building</v>
      </c>
      <c r="D9248" s="2" t="str">
        <f ca="1">IFERROR(__xludf.DUMMYFUNCTION("""COMPUTED_VALUE"""),"Dubai&gt;Jumeirah Village Circle (JVC)&gt;JVC District 12&gt;Park View Residence")</f>
        <v>Dubai&gt;Jumeirah Village Circle (JVC)&gt;JVC District 12&gt;Park View Residence</v>
      </c>
      <c r="E9248" s="2"/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  <c r="W9248" s="2"/>
      <c r="X9248" s="2"/>
      <c r="Y9248" s="2"/>
      <c r="Z9248" s="2"/>
    </row>
    <row r="9249" spans="1:26" ht="16.5" x14ac:dyDescent="0.35">
      <c r="A9249" s="2" t="str">
        <f ca="1">IFERROR(__xludf.DUMMYFUNCTION("""COMPUTED_VALUE"""),"Dubai")</f>
        <v>Dubai</v>
      </c>
      <c r="B9249" s="2" t="str">
        <f ca="1">IFERROR(__xludf.DUMMYFUNCTION("""COMPUTED_VALUE"""),"The Orchard Place Tower B")</f>
        <v>The Orchard Place Tower B</v>
      </c>
      <c r="C9249" s="2" t="str">
        <f ca="1">IFERROR(__xludf.DUMMYFUNCTION("""COMPUTED_VALUE"""),"Building")</f>
        <v>Building</v>
      </c>
      <c r="D9249" s="2" t="str">
        <f ca="1">IFERROR(__xludf.DUMMYFUNCTION("""COMPUTED_VALUE"""),"Dubai&gt;Jumeirah Village Circle (JVC)&gt;JVC District 12&gt;The Orchard Place&gt;The Orchard Place Tower B")</f>
        <v>Dubai&gt;Jumeirah Village Circle (JVC)&gt;JVC District 12&gt;The Orchard Place&gt;The Orchard Place Tower B</v>
      </c>
      <c r="E9249" s="2"/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</row>
    <row r="9250" spans="1:26" ht="16.5" x14ac:dyDescent="0.35">
      <c r="A9250" s="2" t="str">
        <f ca="1">IFERROR(__xludf.DUMMYFUNCTION("""COMPUTED_VALUE"""),"Dubai")</f>
        <v>Dubai</v>
      </c>
      <c r="B9250" s="2" t="str">
        <f ca="1">IFERROR(__xludf.DUMMYFUNCTION("""COMPUTED_VALUE"""),"Q Gardens Aliya")</f>
        <v>Q Gardens Aliya</v>
      </c>
      <c r="C9250" s="2" t="str">
        <f ca="1">IFERROR(__xludf.DUMMYFUNCTION("""COMPUTED_VALUE"""),"Building")</f>
        <v>Building</v>
      </c>
      <c r="D9250" s="2" t="str">
        <f ca="1">IFERROR(__xludf.DUMMYFUNCTION("""COMPUTED_VALUE"""),"Dubai&gt;Jumeirah Village Circle (JVC)&gt;JVC District 12&gt;Q Gardens Aliya")</f>
        <v>Dubai&gt;Jumeirah Village Circle (JVC)&gt;JVC District 12&gt;Q Gardens Aliya</v>
      </c>
      <c r="E9250" s="2"/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  <c r="W9250" s="2"/>
      <c r="X9250" s="2"/>
      <c r="Y9250" s="2"/>
      <c r="Z9250" s="2"/>
    </row>
    <row r="9251" spans="1:26" ht="16.5" x14ac:dyDescent="0.35">
      <c r="A9251" s="2" t="str">
        <f ca="1">IFERROR(__xludf.DUMMYFUNCTION("""COMPUTED_VALUE"""),"Dubai")</f>
        <v>Dubai</v>
      </c>
      <c r="B9251" s="2" t="str">
        <f ca="1">IFERROR(__xludf.DUMMYFUNCTION("""COMPUTED_VALUE"""),"Damisco 2")</f>
        <v>Damisco 2</v>
      </c>
      <c r="C9251" s="2" t="str">
        <f ca="1">IFERROR(__xludf.DUMMYFUNCTION("""COMPUTED_VALUE"""),"Building")</f>
        <v>Building</v>
      </c>
      <c r="D9251" s="2" t="str">
        <f ca="1">IFERROR(__xludf.DUMMYFUNCTION("""COMPUTED_VALUE"""),"Dubai&gt;Jumeirah Village Circle (JVC)&gt;JVC District 13&gt;Damisco 2")</f>
        <v>Dubai&gt;Jumeirah Village Circle (JVC)&gt;JVC District 13&gt;Damisco 2</v>
      </c>
      <c r="E9251" s="2"/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  <c r="W9251" s="2"/>
      <c r="X9251" s="2"/>
      <c r="Y9251" s="2"/>
      <c r="Z9251" s="2"/>
    </row>
    <row r="9252" spans="1:26" ht="16.5" x14ac:dyDescent="0.35">
      <c r="A9252" s="2" t="str">
        <f ca="1">IFERROR(__xludf.DUMMYFUNCTION("""COMPUTED_VALUE"""),"Dubai")</f>
        <v>Dubai</v>
      </c>
      <c r="B9252" s="2" t="str">
        <f ca="1">IFERROR(__xludf.DUMMYFUNCTION("""COMPUTED_VALUE"""),"Q Gardens Lofts")</f>
        <v>Q Gardens Lofts</v>
      </c>
      <c r="C9252" s="2" t="str">
        <f ca="1">IFERROR(__xludf.DUMMYFUNCTION("""COMPUTED_VALUE"""),"Building")</f>
        <v>Building</v>
      </c>
      <c r="D9252" s="2" t="str">
        <f ca="1">IFERROR(__xludf.DUMMYFUNCTION("""COMPUTED_VALUE"""),"Dubai&gt;Jumeirah Village Circle (JVC)&gt;JVC District 13&gt;Q Gardens Lofts")</f>
        <v>Dubai&gt;Jumeirah Village Circle (JVC)&gt;JVC District 13&gt;Q Gardens Lofts</v>
      </c>
      <c r="E9252" s="2"/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  <c r="W9252" s="2"/>
      <c r="X9252" s="2"/>
      <c r="Y9252" s="2"/>
      <c r="Z9252" s="2"/>
    </row>
    <row r="9253" spans="1:26" ht="16.5" x14ac:dyDescent="0.35">
      <c r="A9253" s="2" t="str">
        <f ca="1">IFERROR(__xludf.DUMMYFUNCTION("""COMPUTED_VALUE"""),"Dubai")</f>
        <v>Dubai</v>
      </c>
      <c r="B9253" s="2" t="str">
        <f ca="1">IFERROR(__xludf.DUMMYFUNCTION("""COMPUTED_VALUE"""),"Sobha Daffodil")</f>
        <v>Sobha Daffodil</v>
      </c>
      <c r="C9253" s="2" t="str">
        <f ca="1">IFERROR(__xludf.DUMMYFUNCTION("""COMPUTED_VALUE"""),"Cluster")</f>
        <v>Cluster</v>
      </c>
      <c r="D9253" s="2" t="str">
        <f ca="1">IFERROR(__xludf.DUMMYFUNCTION("""COMPUTED_VALUE"""),"Dubai&gt;Jumeirah Village Circle (JVC)&gt;JVC District 13&gt;Sobha Daffodil")</f>
        <v>Dubai&gt;Jumeirah Village Circle (JVC)&gt;JVC District 13&gt;Sobha Daffodil</v>
      </c>
      <c r="E9253" s="2"/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  <c r="W9253" s="2"/>
      <c r="X9253" s="2"/>
      <c r="Y9253" s="2"/>
      <c r="Z9253" s="2"/>
    </row>
    <row r="9254" spans="1:26" ht="16.5" x14ac:dyDescent="0.35">
      <c r="A9254" s="2" t="str">
        <f ca="1">IFERROR(__xludf.DUMMYFUNCTION("""COMPUTED_VALUE"""),"Dubai")</f>
        <v>Dubai</v>
      </c>
      <c r="B9254" s="2" t="str">
        <f ca="1">IFERROR(__xludf.DUMMYFUNCTION("""COMPUTED_VALUE"""),"Bloom Tower B")</f>
        <v>Bloom Tower B</v>
      </c>
      <c r="C9254" s="2" t="str">
        <f ca="1">IFERROR(__xludf.DUMMYFUNCTION("""COMPUTED_VALUE"""),"Building")</f>
        <v>Building</v>
      </c>
      <c r="D9254" s="2" t="str">
        <f ca="1">IFERROR(__xludf.DUMMYFUNCTION("""COMPUTED_VALUE"""),"Dubai&gt;Jumeirah Village Circle (JVC)&gt;JVC District 10&gt;Bloom Towers&gt;Bloom Tower B")</f>
        <v>Dubai&gt;Jumeirah Village Circle (JVC)&gt;JVC District 10&gt;Bloom Towers&gt;Bloom Tower B</v>
      </c>
      <c r="E9254" s="2"/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  <c r="W9254" s="2"/>
      <c r="X9254" s="2"/>
      <c r="Y9254" s="2"/>
      <c r="Z9254" s="2"/>
    </row>
    <row r="9255" spans="1:26" ht="16.5" x14ac:dyDescent="0.35">
      <c r="A9255" s="2" t="str">
        <f ca="1">IFERROR(__xludf.DUMMYFUNCTION("""COMPUTED_VALUE"""),"Dubai")</f>
        <v>Dubai</v>
      </c>
      <c r="B9255" s="2" t="str">
        <f ca="1">IFERROR(__xludf.DUMMYFUNCTION("""COMPUTED_VALUE"""),"Mar Residences")</f>
        <v>Mar Residences</v>
      </c>
      <c r="C9255" s="2" t="str">
        <f ca="1">IFERROR(__xludf.DUMMYFUNCTION("""COMPUTED_VALUE"""),"Building")</f>
        <v>Building</v>
      </c>
      <c r="D9255" s="2" t="str">
        <f ca="1">IFERROR(__xludf.DUMMYFUNCTION("""COMPUTED_VALUE"""),"Dubai&gt;Jumeirah Village Circle (JVC)&gt;JVC District 10&gt;Mar Residences")</f>
        <v>Dubai&gt;Jumeirah Village Circle (JVC)&gt;JVC District 10&gt;Mar Residences</v>
      </c>
      <c r="E9255" s="2"/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  <c r="W9255" s="2"/>
      <c r="X9255" s="2"/>
      <c r="Y9255" s="2"/>
      <c r="Z9255" s="2"/>
    </row>
    <row r="9256" spans="1:26" ht="16.5" x14ac:dyDescent="0.35">
      <c r="A9256" s="2" t="str">
        <f ca="1">IFERROR(__xludf.DUMMYFUNCTION("""COMPUTED_VALUE"""),"Dubai")</f>
        <v>Dubai</v>
      </c>
      <c r="B9256" s="2" t="str">
        <f ca="1">IFERROR(__xludf.DUMMYFUNCTION("""COMPUTED_VALUE"""),"The Haven Residences")</f>
        <v>The Haven Residences</v>
      </c>
      <c r="C9256" s="2" t="str">
        <f ca="1">IFERROR(__xludf.DUMMYFUNCTION("""COMPUTED_VALUE"""),"Building")</f>
        <v>Building</v>
      </c>
      <c r="D9256" s="2" t="str">
        <f ca="1">IFERROR(__xludf.DUMMYFUNCTION("""COMPUTED_VALUE"""),"Dubai&gt;Jumeirah Village Circle (JVC)&gt;JVC District 10&gt;The Haven Residences")</f>
        <v>Dubai&gt;Jumeirah Village Circle (JVC)&gt;JVC District 10&gt;The Haven Residences</v>
      </c>
      <c r="E9256" s="2"/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  <c r="W9256" s="2"/>
      <c r="X9256" s="2"/>
      <c r="Y9256" s="2"/>
      <c r="Z9256" s="2"/>
    </row>
    <row r="9257" spans="1:26" ht="16.5" x14ac:dyDescent="0.35">
      <c r="A9257" s="2" t="str">
        <f ca="1">IFERROR(__xludf.DUMMYFUNCTION("""COMPUTED_VALUE"""),"Dubai")</f>
        <v>Dubai</v>
      </c>
      <c r="B9257" s="2" t="str">
        <f ca="1">IFERROR(__xludf.DUMMYFUNCTION("""COMPUTED_VALUE"""),"Vitality Residence")</f>
        <v>Vitality Residence</v>
      </c>
      <c r="C9257" s="2" t="str">
        <f ca="1">IFERROR(__xludf.DUMMYFUNCTION("""COMPUTED_VALUE"""),"Building")</f>
        <v>Building</v>
      </c>
      <c r="D9257" s="2" t="str">
        <f ca="1">IFERROR(__xludf.DUMMYFUNCTION("""COMPUTED_VALUE"""),"Dubai&gt;Jumeirah Village Circle (JVC)&gt;JVC District 10&gt;Vitality Residence")</f>
        <v>Dubai&gt;Jumeirah Village Circle (JVC)&gt;JVC District 10&gt;Vitality Residence</v>
      </c>
      <c r="E9257" s="2"/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  <c r="W9257" s="2"/>
      <c r="X9257" s="2"/>
      <c r="Y9257" s="2"/>
      <c r="Z9257" s="2"/>
    </row>
    <row r="9258" spans="1:26" ht="16.5" x14ac:dyDescent="0.35">
      <c r="A9258" s="2" t="str">
        <f ca="1">IFERROR(__xludf.DUMMYFUNCTION("""COMPUTED_VALUE"""),"Dubai")</f>
        <v>Dubai</v>
      </c>
      <c r="B9258" s="2" t="str">
        <f ca="1">IFERROR(__xludf.DUMMYFUNCTION("""COMPUTED_VALUE"""),"Jehaan")</f>
        <v>Jehaan</v>
      </c>
      <c r="C9258" s="2" t="str">
        <f ca="1">IFERROR(__xludf.DUMMYFUNCTION("""COMPUTED_VALUE"""),"Cluster")</f>
        <v>Cluster</v>
      </c>
      <c r="D9258" s="2" t="str">
        <f ca="1">IFERROR(__xludf.DUMMYFUNCTION("""COMPUTED_VALUE"""),"Dubai&gt;Jumeirah Village Circle (JVC)&gt;JVC District 16&gt;Jehaan")</f>
        <v>Dubai&gt;Jumeirah Village Circle (JVC)&gt;JVC District 16&gt;Jehaan</v>
      </c>
      <c r="E9258" s="2"/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  <c r="W9258" s="2"/>
      <c r="X9258" s="2"/>
      <c r="Y9258" s="2"/>
      <c r="Z9258" s="2"/>
    </row>
    <row r="9259" spans="1:26" ht="16.5" x14ac:dyDescent="0.35">
      <c r="A9259" s="2" t="str">
        <f ca="1">IFERROR(__xludf.DUMMYFUNCTION("""COMPUTED_VALUE"""),"Dubai")</f>
        <v>Dubai</v>
      </c>
      <c r="B9259" s="2" t="str">
        <f ca="1">IFERROR(__xludf.DUMMYFUNCTION("""COMPUTED_VALUE"""),"Autumn 2 Block A")</f>
        <v>Autumn 2 Block A</v>
      </c>
      <c r="C9259" s="2" t="str">
        <f ca="1">IFERROR(__xludf.DUMMYFUNCTION("""COMPUTED_VALUE"""),"Building")</f>
        <v>Building</v>
      </c>
      <c r="D9259" s="2" t="str">
        <f ca="1">IFERROR(__xludf.DUMMYFUNCTION("""COMPUTED_VALUE"""),"Dubai&gt;Jumeirah Village Circle (JVC)&gt;JVC District 15&gt;Seasons Community&gt;Autumn&gt;Autumn 2 Block A")</f>
        <v>Dubai&gt;Jumeirah Village Circle (JVC)&gt;JVC District 15&gt;Seasons Community&gt;Autumn&gt;Autumn 2 Block A</v>
      </c>
      <c r="E9259" s="2"/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</row>
    <row r="9260" spans="1:26" ht="16.5" x14ac:dyDescent="0.35">
      <c r="A9260" s="2" t="str">
        <f ca="1">IFERROR(__xludf.DUMMYFUNCTION("""COMPUTED_VALUE"""),"Dubai")</f>
        <v>Dubai</v>
      </c>
      <c r="B9260" s="2" t="str">
        <f ca="1">IFERROR(__xludf.DUMMYFUNCTION("""COMPUTED_VALUE"""),"Hameni Residence")</f>
        <v>Hameni Residence</v>
      </c>
      <c r="C9260" s="2" t="str">
        <f ca="1">IFERROR(__xludf.DUMMYFUNCTION("""COMPUTED_VALUE"""),"Building")</f>
        <v>Building</v>
      </c>
      <c r="D9260" s="2" t="str">
        <f ca="1">IFERROR(__xludf.DUMMYFUNCTION("""COMPUTED_VALUE"""),"Dubai&gt;Jumeirah Village Circle (JVC)&gt;JVC District 15&gt;Hameni Residence")</f>
        <v>Dubai&gt;Jumeirah Village Circle (JVC)&gt;JVC District 15&gt;Hameni Residence</v>
      </c>
      <c r="E9260" s="2"/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  <c r="W9260" s="2"/>
      <c r="X9260" s="2"/>
      <c r="Y9260" s="2"/>
      <c r="Z9260" s="2"/>
    </row>
    <row r="9261" spans="1:26" ht="16.5" x14ac:dyDescent="0.35">
      <c r="A9261" s="2" t="str">
        <f ca="1">IFERROR(__xludf.DUMMYFUNCTION("""COMPUTED_VALUE"""),"Dubai")</f>
        <v>Dubai</v>
      </c>
      <c r="B9261" s="2" t="str">
        <f ca="1">IFERROR(__xludf.DUMMYFUNCTION("""COMPUTED_VALUE"""),"Evershine One")</f>
        <v>Evershine One</v>
      </c>
      <c r="C9261" s="2" t="str">
        <f ca="1">IFERROR(__xludf.DUMMYFUNCTION("""COMPUTED_VALUE"""),"Building")</f>
        <v>Building</v>
      </c>
      <c r="D9261" s="2" t="str">
        <f ca="1">IFERROR(__xludf.DUMMYFUNCTION("""COMPUTED_VALUE"""),"Dubai&gt;Jumeirah Village Circle (JVC)&gt;JVC District 15&gt;Evershine One")</f>
        <v>Dubai&gt;Jumeirah Village Circle (JVC)&gt;JVC District 15&gt;Evershine One</v>
      </c>
      <c r="E9261" s="2"/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</row>
    <row r="9262" spans="1:26" ht="16.5" x14ac:dyDescent="0.35">
      <c r="A9262" s="2" t="str">
        <f ca="1">IFERROR(__xludf.DUMMYFUNCTION("""COMPUTED_VALUE"""),"Dubai")</f>
        <v>Dubai</v>
      </c>
      <c r="B9262" s="2" t="str">
        <f ca="1">IFERROR(__xludf.DUMMYFUNCTION("""COMPUTED_VALUE"""),"Diamond Views III")</f>
        <v>Diamond Views III</v>
      </c>
      <c r="C9262" s="2" t="str">
        <f ca="1">IFERROR(__xludf.DUMMYFUNCTION("""COMPUTED_VALUE"""),"Building")</f>
        <v>Building</v>
      </c>
      <c r="D9262" s="2" t="str">
        <f ca="1">IFERROR(__xludf.DUMMYFUNCTION("""COMPUTED_VALUE"""),"Dubai&gt;Jumeirah Village Circle (JVC)&gt;JVC District 11&gt;Diamond Views III")</f>
        <v>Dubai&gt;Jumeirah Village Circle (JVC)&gt;JVC District 11&gt;Diamond Views III</v>
      </c>
      <c r="E9262" s="2"/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</row>
    <row r="9263" spans="1:26" ht="16.5" x14ac:dyDescent="0.35">
      <c r="A9263" s="2" t="str">
        <f ca="1">IFERROR(__xludf.DUMMYFUNCTION("""COMPUTED_VALUE"""),"Dubai")</f>
        <v>Dubai</v>
      </c>
      <c r="B9263" s="2" t="str">
        <f ca="1">IFERROR(__xludf.DUMMYFUNCTION("""COMPUTED_VALUE"""),"Concept 7 Residences")</f>
        <v>Concept 7 Residences</v>
      </c>
      <c r="C9263" s="2" t="str">
        <f ca="1">IFERROR(__xludf.DUMMYFUNCTION("""COMPUTED_VALUE"""),"Building")</f>
        <v>Building</v>
      </c>
      <c r="D9263" s="2" t="str">
        <f ca="1">IFERROR(__xludf.DUMMYFUNCTION("""COMPUTED_VALUE"""),"Dubai&gt;Jumeirah Village Circle (JVC)&gt;JVC District 11&gt;Concept 7 Residences")</f>
        <v>Dubai&gt;Jumeirah Village Circle (JVC)&gt;JVC District 11&gt;Concept 7 Residences</v>
      </c>
      <c r="E9263" s="2"/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  <c r="W9263" s="2"/>
      <c r="X9263" s="2"/>
      <c r="Y9263" s="2"/>
      <c r="Z9263" s="2"/>
    </row>
    <row r="9264" spans="1:26" ht="16.5" x14ac:dyDescent="0.35">
      <c r="A9264" s="2" t="str">
        <f ca="1">IFERROR(__xludf.DUMMYFUNCTION("""COMPUTED_VALUE"""),"Dubai")</f>
        <v>Dubai</v>
      </c>
      <c r="B9264" s="2" t="str">
        <f ca="1">IFERROR(__xludf.DUMMYFUNCTION("""COMPUTED_VALUE"""),"Al Saeedi Villas")</f>
        <v>Al Saeedi Villas</v>
      </c>
      <c r="C9264" s="2" t="str">
        <f ca="1">IFERROR(__xludf.DUMMYFUNCTION("""COMPUTED_VALUE"""),"Neighbourhood")</f>
        <v>Neighbourhood</v>
      </c>
      <c r="D9264" s="2" t="str">
        <f ca="1">IFERROR(__xludf.DUMMYFUNCTION("""COMPUTED_VALUE"""),"Dubai&gt;Jumeirah Village Circle (JVC)&gt;JVC District 11&gt;Al Saeedi Villas")</f>
        <v>Dubai&gt;Jumeirah Village Circle (JVC)&gt;JVC District 11&gt;Al Saeedi Villas</v>
      </c>
      <c r="E9264" s="2"/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  <c r="W9264" s="2"/>
      <c r="X9264" s="2"/>
      <c r="Y9264" s="2"/>
      <c r="Z9264" s="2"/>
    </row>
    <row r="9265" spans="1:26" ht="16.5" x14ac:dyDescent="0.35">
      <c r="A9265" s="2" t="str">
        <f ca="1">IFERROR(__xludf.DUMMYFUNCTION("""COMPUTED_VALUE"""),"Dubai")</f>
        <v>Dubai</v>
      </c>
      <c r="B9265" s="2" t="str">
        <f ca="1">IFERROR(__xludf.DUMMYFUNCTION("""COMPUTED_VALUE"""),"Valencia Residence")</f>
        <v>Valencia Residence</v>
      </c>
      <c r="C9265" s="2" t="str">
        <f ca="1">IFERROR(__xludf.DUMMYFUNCTION("""COMPUTED_VALUE"""),"Building")</f>
        <v>Building</v>
      </c>
      <c r="D9265" s="2" t="str">
        <f ca="1">IFERROR(__xludf.DUMMYFUNCTION("""COMPUTED_VALUE"""),"Dubai&gt;Jumeirah Village Circle (JVC)&gt;JVC District 14&gt;Valencia Residence")</f>
        <v>Dubai&gt;Jumeirah Village Circle (JVC)&gt;JVC District 14&gt;Valencia Residence</v>
      </c>
      <c r="E9265" s="2"/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  <c r="W9265" s="2"/>
      <c r="X9265" s="2"/>
      <c r="Y9265" s="2"/>
      <c r="Z9265" s="2"/>
    </row>
    <row r="9266" spans="1:26" ht="16.5" x14ac:dyDescent="0.35">
      <c r="A9266" s="2" t="str">
        <f ca="1">IFERROR(__xludf.DUMMYFUNCTION("""COMPUTED_VALUE"""),"Dubai")</f>
        <v>Dubai</v>
      </c>
      <c r="B9266" s="2" t="str">
        <f ca="1">IFERROR(__xludf.DUMMYFUNCTION("""COMPUTED_VALUE"""),"The First Collection Hotel")</f>
        <v>The First Collection Hotel</v>
      </c>
      <c r="C9266" s="2" t="str">
        <f ca="1">IFERROR(__xludf.DUMMYFUNCTION("""COMPUTED_VALUE"""),"Building")</f>
        <v>Building</v>
      </c>
      <c r="D9266" s="2" t="str">
        <f ca="1">IFERROR(__xludf.DUMMYFUNCTION("""COMPUTED_VALUE"""),"Dubai&gt;Jumeirah Village Circle (JVC)&gt;JVC District 14&gt;The First Collection Hotel")</f>
        <v>Dubai&gt;Jumeirah Village Circle (JVC)&gt;JVC District 14&gt;The First Collection Hotel</v>
      </c>
      <c r="E9266" s="2"/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  <c r="W9266" s="2"/>
      <c r="X9266" s="2"/>
      <c r="Y9266" s="2"/>
      <c r="Z9266" s="2"/>
    </row>
    <row r="9267" spans="1:26" ht="16.5" x14ac:dyDescent="0.35">
      <c r="A9267" s="2" t="str">
        <f ca="1">IFERROR(__xludf.DUMMYFUNCTION("""COMPUTED_VALUE"""),"Dubai")</f>
        <v>Dubai</v>
      </c>
      <c r="B9267" s="2" t="str">
        <f ca="1">IFERROR(__xludf.DUMMYFUNCTION("""COMPUTED_VALUE"""),"Ashton Park Residences The Second")</f>
        <v>Ashton Park Residences The Second</v>
      </c>
      <c r="C9267" s="2" t="str">
        <f ca="1">IFERROR(__xludf.DUMMYFUNCTION("""COMPUTED_VALUE"""),"Building")</f>
        <v>Building</v>
      </c>
      <c r="D9267" s="2" t="str">
        <f ca="1">IFERROR(__xludf.DUMMYFUNCTION("""COMPUTED_VALUE"""),"Dubai&gt;Jumeirah Village Circle (JVC)&gt;JVC District 14&gt;Ashton Park Residences The Second")</f>
        <v>Dubai&gt;Jumeirah Village Circle (JVC)&gt;JVC District 14&gt;Ashton Park Residences The Second</v>
      </c>
      <c r="E9267" s="2"/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</row>
    <row r="9268" spans="1:26" ht="16.5" x14ac:dyDescent="0.35">
      <c r="A9268" s="2" t="str">
        <f ca="1">IFERROR(__xludf.DUMMYFUNCTION("""COMPUTED_VALUE"""),"Dubai")</f>
        <v>Dubai</v>
      </c>
      <c r="B9268" s="2" t="str">
        <f ca="1">IFERROR(__xludf.DUMMYFUNCTION("""COMPUTED_VALUE"""),"The Blue")</f>
        <v>The Blue</v>
      </c>
      <c r="C9268" s="2" t="str">
        <f ca="1">IFERROR(__xludf.DUMMYFUNCTION("""COMPUTED_VALUE"""),"Building")</f>
        <v>Building</v>
      </c>
      <c r="D9268" s="2" t="str">
        <f ca="1">IFERROR(__xludf.DUMMYFUNCTION("""COMPUTED_VALUE"""),"Dubai&gt;Dubai Land Residence Complex&gt;The Blue")</f>
        <v>Dubai&gt;Dubai Land Residence Complex&gt;The Blue</v>
      </c>
      <c r="E9268" s="2"/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  <c r="W9268" s="2"/>
      <c r="X9268" s="2"/>
      <c r="Y9268" s="2"/>
      <c r="Z9268" s="2"/>
    </row>
    <row r="9269" spans="1:26" ht="16.5" x14ac:dyDescent="0.35">
      <c r="A9269" s="2" t="str">
        <f ca="1">IFERROR(__xludf.DUMMYFUNCTION("""COMPUTED_VALUE"""),"Dubai")</f>
        <v>Dubai</v>
      </c>
      <c r="B9269" s="2" t="str">
        <f ca="1">IFERROR(__xludf.DUMMYFUNCTION("""COMPUTED_VALUE"""),"AG Central")</f>
        <v>AG Central</v>
      </c>
      <c r="C9269" s="2" t="str">
        <f ca="1">IFERROR(__xludf.DUMMYFUNCTION("""COMPUTED_VALUE"""),"Building")</f>
        <v>Building</v>
      </c>
      <c r="D9269" s="2" t="str">
        <f ca="1">IFERROR(__xludf.DUMMYFUNCTION("""COMPUTED_VALUE"""),"Dubai&gt;Dubai Land Residence Complex&gt;AG Central")</f>
        <v>Dubai&gt;Dubai Land Residence Complex&gt;AG Central</v>
      </c>
      <c r="E9269" s="2"/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  <c r="W9269" s="2"/>
      <c r="X9269" s="2"/>
      <c r="Y9269" s="2"/>
      <c r="Z9269" s="2"/>
    </row>
    <row r="9270" spans="1:26" ht="16.5" x14ac:dyDescent="0.35">
      <c r="A9270" s="2" t="str">
        <f ca="1">IFERROR(__xludf.DUMMYFUNCTION("""COMPUTED_VALUE"""),"Dubai")</f>
        <v>Dubai</v>
      </c>
      <c r="B9270" s="2" t="str">
        <f ca="1">IFERROR(__xludf.DUMMYFUNCTION("""COMPUTED_VALUE"""),"Skycourts Tower F")</f>
        <v>Skycourts Tower F</v>
      </c>
      <c r="C9270" s="2" t="str">
        <f ca="1">IFERROR(__xludf.DUMMYFUNCTION("""COMPUTED_VALUE"""),"Building")</f>
        <v>Building</v>
      </c>
      <c r="D9270" s="2" t="str">
        <f ca="1">IFERROR(__xludf.DUMMYFUNCTION("""COMPUTED_VALUE"""),"Dubai&gt;Dubai Land Residence Complex&gt;Skycourts Towers&gt;Skycourts Tower F")</f>
        <v>Dubai&gt;Dubai Land Residence Complex&gt;Skycourts Towers&gt;Skycourts Tower F</v>
      </c>
      <c r="E9270" s="2"/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  <c r="W9270" s="2"/>
      <c r="X9270" s="2"/>
      <c r="Y9270" s="2"/>
      <c r="Z9270" s="2"/>
    </row>
    <row r="9271" spans="1:26" ht="16.5" x14ac:dyDescent="0.35">
      <c r="A9271" s="2" t="str">
        <f ca="1">IFERROR(__xludf.DUMMYFUNCTION("""COMPUTED_VALUE"""),"Dubai")</f>
        <v>Dubai</v>
      </c>
      <c r="B9271" s="2" t="str">
        <f ca="1">IFERROR(__xludf.DUMMYFUNCTION("""COMPUTED_VALUE"""),"Aark Terraces")</f>
        <v>Aark Terraces</v>
      </c>
      <c r="C9271" s="2" t="str">
        <f ca="1">IFERROR(__xludf.DUMMYFUNCTION("""COMPUTED_VALUE"""),"Building")</f>
        <v>Building</v>
      </c>
      <c r="D9271" s="2" t="str">
        <f ca="1">IFERROR(__xludf.DUMMYFUNCTION("""COMPUTED_VALUE"""),"Dubai&gt;Dubai Land Residence Complex&gt;Aark Terraces")</f>
        <v>Dubai&gt;Dubai Land Residence Complex&gt;Aark Terraces</v>
      </c>
      <c r="E9271" s="2"/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  <c r="W9271" s="2"/>
      <c r="X9271" s="2"/>
      <c r="Y9271" s="2"/>
      <c r="Z9271" s="2"/>
    </row>
    <row r="9272" spans="1:26" ht="16.5" x14ac:dyDescent="0.35">
      <c r="A9272" s="2" t="str">
        <f ca="1">IFERROR(__xludf.DUMMYFUNCTION("""COMPUTED_VALUE"""),"Dubai")</f>
        <v>Dubai</v>
      </c>
      <c r="B9272" s="2" t="str">
        <f ca="1">IFERROR(__xludf.DUMMYFUNCTION("""COMPUTED_VALUE"""),"Mirdif")</f>
        <v>Mirdif</v>
      </c>
      <c r="C9272" s="2" t="str">
        <f ca="1">IFERROR(__xludf.DUMMYFUNCTION("""COMPUTED_VALUE"""),"Neighbourhood")</f>
        <v>Neighbourhood</v>
      </c>
      <c r="D9272" s="2" t="str">
        <f ca="1">IFERROR(__xludf.DUMMYFUNCTION("""COMPUTED_VALUE"""),"Dubai&gt;Mirdif")</f>
        <v>Dubai&gt;Mirdif</v>
      </c>
      <c r="E9272" s="2"/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  <c r="W9272" s="2"/>
      <c r="X9272" s="2"/>
      <c r="Y9272" s="2"/>
      <c r="Z9272" s="2"/>
    </row>
    <row r="9273" spans="1:26" ht="16.5" x14ac:dyDescent="0.35">
      <c r="A9273" s="2" t="str">
        <f ca="1">IFERROR(__xludf.DUMMYFUNCTION("""COMPUTED_VALUE"""),"Dubai")</f>
        <v>Dubai</v>
      </c>
      <c r="B9273" s="2" t="str">
        <f ca="1">IFERROR(__xludf.DUMMYFUNCTION("""COMPUTED_VALUE"""),"Nasayem Avenue")</f>
        <v>Nasayem Avenue</v>
      </c>
      <c r="C9273" s="2" t="str">
        <f ca="1">IFERROR(__xludf.DUMMYFUNCTION("""COMPUTED_VALUE"""),"Cluster")</f>
        <v>Cluster</v>
      </c>
      <c r="D9273" s="2" t="str">
        <f ca="1">IFERROR(__xludf.DUMMYFUNCTION("""COMPUTED_VALUE"""),"Dubai&gt;Mirdif&gt;Mirdif Hills&gt;Nasayem Avenue")</f>
        <v>Dubai&gt;Mirdif&gt;Mirdif Hills&gt;Nasayem Avenue</v>
      </c>
      <c r="E9273" s="2"/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  <c r="W9273" s="2"/>
      <c r="X9273" s="2"/>
      <c r="Y9273" s="2"/>
      <c r="Z9273" s="2"/>
    </row>
    <row r="9274" spans="1:26" ht="16.5" x14ac:dyDescent="0.35">
      <c r="A9274" s="2" t="str">
        <f ca="1">IFERROR(__xludf.DUMMYFUNCTION("""COMPUTED_VALUE"""),"Dubai")</f>
        <v>Dubai</v>
      </c>
      <c r="B9274" s="2" t="str">
        <f ca="1">IFERROR(__xludf.DUMMYFUNCTION("""COMPUTED_VALUE"""),"Al Barajeel Oasis Complex")</f>
        <v>Al Barajeel Oasis Complex</v>
      </c>
      <c r="C9274" s="2" t="str">
        <f ca="1">IFERROR(__xludf.DUMMYFUNCTION("""COMPUTED_VALUE"""),"Building")</f>
        <v>Building</v>
      </c>
      <c r="D9274" s="2" t="str">
        <f ca="1">IFERROR(__xludf.DUMMYFUNCTION("""COMPUTED_VALUE"""),"Dubai&gt;Mirdif&gt;Al Barajeel Oasis Complex")</f>
        <v>Dubai&gt;Mirdif&gt;Al Barajeel Oasis Complex</v>
      </c>
      <c r="E9274" s="2"/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  <c r="W9274" s="2"/>
      <c r="X9274" s="2"/>
      <c r="Y9274" s="2"/>
      <c r="Z9274" s="2"/>
    </row>
    <row r="9275" spans="1:26" ht="16.5" x14ac:dyDescent="0.35">
      <c r="A9275" s="2" t="str">
        <f ca="1">IFERROR(__xludf.DUMMYFUNCTION("""COMPUTED_VALUE"""),"Dubai")</f>
        <v>Dubai</v>
      </c>
      <c r="B9275" s="2" t="str">
        <f ca="1">IFERROR(__xludf.DUMMYFUNCTION("""COMPUTED_VALUE"""),"Dubai International School Garhoud")</f>
        <v>Dubai International School Garhoud</v>
      </c>
      <c r="C9275" s="2" t="str">
        <f ca="1">IFERROR(__xludf.DUMMYFUNCTION("""COMPUTED_VALUE"""),"School")</f>
        <v>School</v>
      </c>
      <c r="D9275" s="2" t="str">
        <f ca="1">IFERROR(__xludf.DUMMYFUNCTION("""COMPUTED_VALUE"""),"Dubai&gt;Al Garhoud&gt;Dubai International School Garhoud")</f>
        <v>Dubai&gt;Al Garhoud&gt;Dubai International School Garhoud</v>
      </c>
      <c r="E9275" s="2"/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  <c r="W9275" s="2"/>
      <c r="X9275" s="2"/>
      <c r="Y9275" s="2"/>
      <c r="Z9275" s="2"/>
    </row>
    <row r="9276" spans="1:26" ht="16.5" x14ac:dyDescent="0.35">
      <c r="A9276" s="2" t="str">
        <f ca="1">IFERROR(__xludf.DUMMYFUNCTION("""COMPUTED_VALUE"""),"Dubai")</f>
        <v>Dubai</v>
      </c>
      <c r="B9276" s="2" t="str">
        <f ca="1">IFERROR(__xludf.DUMMYFUNCTION("""COMPUTED_VALUE"""),"Wasl Bay")</f>
        <v>Wasl Bay</v>
      </c>
      <c r="C9276" s="2" t="str">
        <f ca="1">IFERROR(__xludf.DUMMYFUNCTION("""COMPUTED_VALUE"""),"Building")</f>
        <v>Building</v>
      </c>
      <c r="D9276" s="2" t="str">
        <f ca="1">IFERROR(__xludf.DUMMYFUNCTION("""COMPUTED_VALUE"""),"Dubai&gt;Al Garhoud&gt;Wasl Bay")</f>
        <v>Dubai&gt;Al Garhoud&gt;Wasl Bay</v>
      </c>
      <c r="E9276" s="2"/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  <c r="W9276" s="2"/>
      <c r="X9276" s="2"/>
      <c r="Y9276" s="2"/>
      <c r="Z9276" s="2"/>
    </row>
    <row r="9277" spans="1:26" ht="16.5" x14ac:dyDescent="0.35">
      <c r="A9277" s="2" t="str">
        <f ca="1">IFERROR(__xludf.DUMMYFUNCTION("""COMPUTED_VALUE"""),"Dubai")</f>
        <v>Dubai</v>
      </c>
      <c r="B9277" s="2" t="str">
        <f ca="1">IFERROR(__xludf.DUMMYFUNCTION("""COMPUTED_VALUE"""),"Saleh Bin Lahej Building 295")</f>
        <v>Saleh Bin Lahej Building 295</v>
      </c>
      <c r="C9277" s="2" t="str">
        <f ca="1">IFERROR(__xludf.DUMMYFUNCTION("""COMPUTED_VALUE"""),"Building")</f>
        <v>Building</v>
      </c>
      <c r="D9277" s="2" t="str">
        <f ca="1">IFERROR(__xludf.DUMMYFUNCTION("""COMPUTED_VALUE"""),"Dubai&gt;Al Garhoud&gt;Saleh Bin Lahej Building 295")</f>
        <v>Dubai&gt;Al Garhoud&gt;Saleh Bin Lahej Building 295</v>
      </c>
      <c r="E9277" s="2"/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  <c r="W9277" s="2"/>
      <c r="X9277" s="2"/>
      <c r="Y9277" s="2"/>
      <c r="Z9277" s="2"/>
    </row>
    <row r="9278" spans="1:26" ht="16.5" x14ac:dyDescent="0.35">
      <c r="A9278" s="2" t="str">
        <f ca="1">IFERROR(__xludf.DUMMYFUNCTION("""COMPUTED_VALUE"""),"Dubai")</f>
        <v>Dubai</v>
      </c>
      <c r="B9278" s="2" t="str">
        <f ca="1">IFERROR(__xludf.DUMMYFUNCTION("""COMPUTED_VALUE"""),"Cluster 13")</f>
        <v>Cluster 13</v>
      </c>
      <c r="C9278" s="2" t="str">
        <f ca="1">IFERROR(__xludf.DUMMYFUNCTION("""COMPUTED_VALUE"""),"Neighbourhood")</f>
        <v>Neighbourhood</v>
      </c>
      <c r="D9278" s="2" t="str">
        <f ca="1">IFERROR(__xludf.DUMMYFUNCTION("""COMPUTED_VALUE"""),"Dubai&gt;Jumeirah Islands&gt;Cluster 13")</f>
        <v>Dubai&gt;Jumeirah Islands&gt;Cluster 13</v>
      </c>
      <c r="E9278" s="2"/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</row>
    <row r="9279" spans="1:26" ht="16.5" x14ac:dyDescent="0.35">
      <c r="A9279" s="2" t="str">
        <f ca="1">IFERROR(__xludf.DUMMYFUNCTION("""COMPUTED_VALUE"""),"Dubai")</f>
        <v>Dubai</v>
      </c>
      <c r="B9279" s="2" t="str">
        <f ca="1">IFERROR(__xludf.DUMMYFUNCTION("""COMPUTED_VALUE"""),"Cluster 45")</f>
        <v>Cluster 45</v>
      </c>
      <c r="C9279" s="2" t="str">
        <f ca="1">IFERROR(__xludf.DUMMYFUNCTION("""COMPUTED_VALUE"""),"Neighbourhood")</f>
        <v>Neighbourhood</v>
      </c>
      <c r="D9279" s="2" t="str">
        <f ca="1">IFERROR(__xludf.DUMMYFUNCTION("""COMPUTED_VALUE"""),"Dubai&gt;Jumeirah Islands&gt;Cluster 45")</f>
        <v>Dubai&gt;Jumeirah Islands&gt;Cluster 45</v>
      </c>
      <c r="E9279" s="2"/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</row>
    <row r="9280" spans="1:26" ht="16.5" x14ac:dyDescent="0.35">
      <c r="A9280" s="2" t="str">
        <f ca="1">IFERROR(__xludf.DUMMYFUNCTION("""COMPUTED_VALUE"""),"Dubai")</f>
        <v>Dubai</v>
      </c>
      <c r="B9280" s="2" t="str">
        <f ca="1">IFERROR(__xludf.DUMMYFUNCTION("""COMPUTED_VALUE"""),"Garden Apartments East E")</f>
        <v>Garden Apartments East E</v>
      </c>
      <c r="C9280" s="2" t="str">
        <f ca="1">IFERROR(__xludf.DUMMYFUNCTION("""COMPUTED_VALUE"""),"Building")</f>
        <v>Building</v>
      </c>
      <c r="D9280" s="2" t="str">
        <f ca="1">IFERROR(__xludf.DUMMYFUNCTION("""COMPUTED_VALUE"""),"Dubai&gt;Green Community&gt;Garden East Apartments&gt;Garden Apartments East E")</f>
        <v>Dubai&gt;Green Community&gt;Garden East Apartments&gt;Garden Apartments East E</v>
      </c>
      <c r="E9280" s="2"/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</row>
    <row r="9281" spans="1:26" ht="16.5" x14ac:dyDescent="0.35">
      <c r="A9281" s="2" t="str">
        <f ca="1">IFERROR(__xludf.DUMMYFUNCTION("""COMPUTED_VALUE"""),"Dubai")</f>
        <v>Dubai</v>
      </c>
      <c r="B9281" s="2" t="str">
        <f ca="1">IFERROR(__xludf.DUMMYFUNCTION("""COMPUTED_VALUE"""),"Southwest Apartments 3")</f>
        <v>Southwest Apartments 3</v>
      </c>
      <c r="C9281" s="2" t="str">
        <f ca="1">IFERROR(__xludf.DUMMYFUNCTION("""COMPUTED_VALUE"""),"Building")</f>
        <v>Building</v>
      </c>
      <c r="D9281" s="2" t="str">
        <f ca="1">IFERROR(__xludf.DUMMYFUNCTION("""COMPUTED_VALUE"""),"Dubai&gt;Green Community&gt;Green Community West&gt;Southwest Apartments&gt;Southwest Apartments 3")</f>
        <v>Dubai&gt;Green Community&gt;Green Community West&gt;Southwest Apartments&gt;Southwest Apartments 3</v>
      </c>
      <c r="E9281" s="2"/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  <c r="W9281" s="2"/>
      <c r="X9281" s="2"/>
      <c r="Y9281" s="2"/>
      <c r="Z9281" s="2"/>
    </row>
    <row r="9282" spans="1:26" ht="16.5" x14ac:dyDescent="0.35">
      <c r="A9282" s="2" t="str">
        <f ca="1">IFERROR(__xludf.DUMMYFUNCTION("""COMPUTED_VALUE"""),"Dubai")</f>
        <v>Dubai</v>
      </c>
      <c r="B9282" s="2" t="str">
        <f ca="1">IFERROR(__xludf.DUMMYFUNCTION("""COMPUTED_VALUE"""),"Elite Sports Residence 1")</f>
        <v>Elite Sports Residence 1</v>
      </c>
      <c r="C9282" s="2" t="str">
        <f ca="1">IFERROR(__xludf.DUMMYFUNCTION("""COMPUTED_VALUE"""),"Building")</f>
        <v>Building</v>
      </c>
      <c r="D9282" s="2" t="str">
        <f ca="1">IFERROR(__xludf.DUMMYFUNCTION("""COMPUTED_VALUE"""),"Dubai&gt;Dubai Sports City&gt;Elite Sports Residence&gt;Elite Sports Residence 1")</f>
        <v>Dubai&gt;Dubai Sports City&gt;Elite Sports Residence&gt;Elite Sports Residence 1</v>
      </c>
      <c r="E9282" s="2"/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  <c r="W9282" s="2"/>
      <c r="X9282" s="2"/>
      <c r="Y9282" s="2"/>
      <c r="Z9282" s="2"/>
    </row>
    <row r="9283" spans="1:26" ht="16.5" x14ac:dyDescent="0.35">
      <c r="A9283" s="2" t="str">
        <f ca="1">IFERROR(__xludf.DUMMYFUNCTION("""COMPUTED_VALUE"""),"Dubai")</f>
        <v>Dubai</v>
      </c>
      <c r="B9283" s="2" t="str">
        <f ca="1">IFERROR(__xludf.DUMMYFUNCTION("""COMPUTED_VALUE"""),"Olympic Park 1")</f>
        <v>Olympic Park 1</v>
      </c>
      <c r="C9283" s="2" t="str">
        <f ca="1">IFERROR(__xludf.DUMMYFUNCTION("""COMPUTED_VALUE"""),"Building")</f>
        <v>Building</v>
      </c>
      <c r="D9283" s="2" t="str">
        <f ca="1">IFERROR(__xludf.DUMMYFUNCTION("""COMPUTED_VALUE"""),"Dubai&gt;Dubai Sports City&gt;Olympic Park&gt;Olympic Park 1")</f>
        <v>Dubai&gt;Dubai Sports City&gt;Olympic Park&gt;Olympic Park 1</v>
      </c>
      <c r="E9283" s="2"/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  <c r="W9283" s="2"/>
      <c r="X9283" s="2"/>
      <c r="Y9283" s="2"/>
      <c r="Z9283" s="2"/>
    </row>
    <row r="9284" spans="1:26" ht="16.5" x14ac:dyDescent="0.35">
      <c r="A9284" s="2" t="str">
        <f ca="1">IFERROR(__xludf.DUMMYFUNCTION("""COMPUTED_VALUE"""),"Dubai")</f>
        <v>Dubai</v>
      </c>
      <c r="B9284" s="2" t="str">
        <f ca="1">IFERROR(__xludf.DUMMYFUNCTION("""COMPUTED_VALUE"""),"Marbella Village")</f>
        <v>Marbella Village</v>
      </c>
      <c r="C9284" s="2" t="str">
        <f ca="1">IFERROR(__xludf.DUMMYFUNCTION("""COMPUTED_VALUE"""),"Neighbourhood")</f>
        <v>Neighbourhood</v>
      </c>
      <c r="D9284" s="2" t="str">
        <f ca="1">IFERROR(__xludf.DUMMYFUNCTION("""COMPUTED_VALUE"""),"Dubai&gt;Dubai Sports City&gt;Victory Heights&gt;Marbella Village")</f>
        <v>Dubai&gt;Dubai Sports City&gt;Victory Heights&gt;Marbella Village</v>
      </c>
      <c r="E9284" s="2"/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  <c r="W9284" s="2"/>
      <c r="X9284" s="2"/>
      <c r="Y9284" s="2"/>
      <c r="Z9284" s="2"/>
    </row>
    <row r="9285" spans="1:26" ht="16.5" x14ac:dyDescent="0.35">
      <c r="A9285" s="2" t="str">
        <f ca="1">IFERROR(__xludf.DUMMYFUNCTION("""COMPUTED_VALUE"""),"Dubai")</f>
        <v>Dubai</v>
      </c>
      <c r="B9285" s="2" t="str">
        <f ca="1">IFERROR(__xludf.DUMMYFUNCTION("""COMPUTED_VALUE"""),"Alicante Villas")</f>
        <v>Alicante Villas</v>
      </c>
      <c r="C9285" s="2" t="str">
        <f ca="1">IFERROR(__xludf.DUMMYFUNCTION("""COMPUTED_VALUE"""),"Neighbourhood")</f>
        <v>Neighbourhood</v>
      </c>
      <c r="D9285" s="2" t="str">
        <f ca="1">IFERROR(__xludf.DUMMYFUNCTION("""COMPUTED_VALUE"""),"Dubai&gt;Dubai Sports City&gt;Alicante Villas")</f>
        <v>Dubai&gt;Dubai Sports City&gt;Alicante Villas</v>
      </c>
      <c r="E9285" s="2"/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  <c r="W9285" s="2"/>
      <c r="X9285" s="2"/>
      <c r="Y9285" s="2"/>
      <c r="Z9285" s="2"/>
    </row>
    <row r="9286" spans="1:26" ht="16.5" x14ac:dyDescent="0.35">
      <c r="A9286" s="2" t="str">
        <f ca="1">IFERROR(__xludf.DUMMYFUNCTION("""COMPUTED_VALUE"""),"Dubai")</f>
        <v>Dubai</v>
      </c>
      <c r="B9286" s="2" t="str">
        <f ca="1">IFERROR(__xludf.DUMMYFUNCTION("""COMPUTED_VALUE"""),"Al Nawras Building")</f>
        <v>Al Nawras Building</v>
      </c>
      <c r="C9286" s="2" t="str">
        <f ca="1">IFERROR(__xludf.DUMMYFUNCTION("""COMPUTED_VALUE"""),"Building")</f>
        <v>Building</v>
      </c>
      <c r="D9286" s="2" t="str">
        <f ca="1">IFERROR(__xludf.DUMMYFUNCTION("""COMPUTED_VALUE"""),"Dubai&gt;Al Nahda (Dubai)&gt;Al Nahda 1&gt;Al Nawras Building")</f>
        <v>Dubai&gt;Al Nahda (Dubai)&gt;Al Nahda 1&gt;Al Nawras Building</v>
      </c>
      <c r="E9286" s="2"/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</row>
    <row r="9287" spans="1:26" ht="16.5" x14ac:dyDescent="0.35">
      <c r="A9287" s="2" t="str">
        <f ca="1">IFERROR(__xludf.DUMMYFUNCTION("""COMPUTED_VALUE"""),"Dubai")</f>
        <v>Dubai</v>
      </c>
      <c r="B9287" s="2" t="str">
        <f ca="1">IFERROR(__xludf.DUMMYFUNCTION("""COMPUTED_VALUE"""),"Al Mezaina Building")</f>
        <v>Al Mezaina Building</v>
      </c>
      <c r="C9287" s="2" t="str">
        <f ca="1">IFERROR(__xludf.DUMMYFUNCTION("""COMPUTED_VALUE"""),"Building")</f>
        <v>Building</v>
      </c>
      <c r="D9287" s="2" t="str">
        <f ca="1">IFERROR(__xludf.DUMMYFUNCTION("""COMPUTED_VALUE"""),"Dubai&gt;Al Nahda (Dubai)&gt;Al Nahda 1&gt;Al Mezaina Building")</f>
        <v>Dubai&gt;Al Nahda (Dubai)&gt;Al Nahda 1&gt;Al Mezaina Building</v>
      </c>
      <c r="E9287" s="2"/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  <c r="W9287" s="2"/>
      <c r="X9287" s="2"/>
      <c r="Y9287" s="2"/>
      <c r="Z9287" s="2"/>
    </row>
    <row r="9288" spans="1:26" ht="16.5" x14ac:dyDescent="0.35">
      <c r="A9288" s="2" t="str">
        <f ca="1">IFERROR(__xludf.DUMMYFUNCTION("""COMPUTED_VALUE"""),"Dubai")</f>
        <v>Dubai</v>
      </c>
      <c r="B9288" s="2" t="str">
        <f ca="1">IFERROR(__xludf.DUMMYFUNCTION("""COMPUTED_VALUE"""),"Al Abbar Building")</f>
        <v>Al Abbar Building</v>
      </c>
      <c r="C9288" s="2" t="str">
        <f ca="1">IFERROR(__xludf.DUMMYFUNCTION("""COMPUTED_VALUE"""),"Building")</f>
        <v>Building</v>
      </c>
      <c r="D9288" s="2" t="str">
        <f ca="1">IFERROR(__xludf.DUMMYFUNCTION("""COMPUTED_VALUE"""),"Dubai&gt;Al Nahda (Dubai)&gt;Al Nahda 2&gt;Al Abbar Building")</f>
        <v>Dubai&gt;Al Nahda (Dubai)&gt;Al Nahda 2&gt;Al Abbar Building</v>
      </c>
      <c r="E9288" s="2"/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</row>
    <row r="9289" spans="1:26" ht="16.5" x14ac:dyDescent="0.35">
      <c r="A9289" s="2" t="str">
        <f ca="1">IFERROR(__xludf.DUMMYFUNCTION("""COMPUTED_VALUE"""),"Dubai")</f>
        <v>Dubai</v>
      </c>
      <c r="B9289" s="2" t="str">
        <f ca="1">IFERROR(__xludf.DUMMYFUNCTION("""COMPUTED_VALUE"""),"Al Sabah Tower")</f>
        <v>Al Sabah Tower</v>
      </c>
      <c r="C9289" s="2" t="str">
        <f ca="1">IFERROR(__xludf.DUMMYFUNCTION("""COMPUTED_VALUE"""),"Building")</f>
        <v>Building</v>
      </c>
      <c r="D9289" s="2" t="str">
        <f ca="1">IFERROR(__xludf.DUMMYFUNCTION("""COMPUTED_VALUE"""),"Dubai&gt;Al Nahda (Dubai)&gt;Al Nahda 2&gt;Al Sabah Tower")</f>
        <v>Dubai&gt;Al Nahda (Dubai)&gt;Al Nahda 2&gt;Al Sabah Tower</v>
      </c>
      <c r="E9289" s="2"/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</row>
    <row r="9290" spans="1:26" ht="16.5" x14ac:dyDescent="0.35">
      <c r="A9290" s="2" t="str">
        <f ca="1">IFERROR(__xludf.DUMMYFUNCTION("""COMPUTED_VALUE"""),"Dubai")</f>
        <v>Dubai</v>
      </c>
      <c r="B9290" s="2" t="str">
        <f ca="1">IFERROR(__xludf.DUMMYFUNCTION("""COMPUTED_VALUE"""),"Al Shaibani Building")</f>
        <v>Al Shaibani Building</v>
      </c>
      <c r="C9290" s="2" t="str">
        <f ca="1">IFERROR(__xludf.DUMMYFUNCTION("""COMPUTED_VALUE"""),"Building")</f>
        <v>Building</v>
      </c>
      <c r="D9290" s="2" t="str">
        <f ca="1">IFERROR(__xludf.DUMMYFUNCTION("""COMPUTED_VALUE"""),"Dubai&gt;Al Nahda (Dubai)&gt;Al Nahda 2&gt;Al Shaibani Building")</f>
        <v>Dubai&gt;Al Nahda (Dubai)&gt;Al Nahda 2&gt;Al Shaibani Building</v>
      </c>
      <c r="E9290" s="2"/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</row>
    <row r="9291" spans="1:26" ht="16.5" x14ac:dyDescent="0.35">
      <c r="A9291" s="2" t="str">
        <f ca="1">IFERROR(__xludf.DUMMYFUNCTION("""COMPUTED_VALUE"""),"Dubai")</f>
        <v>Dubai</v>
      </c>
      <c r="B9291" s="2" t="str">
        <f ca="1">IFERROR(__xludf.DUMMYFUNCTION("""COMPUTED_VALUE"""),"BMTC Building")</f>
        <v>BMTC Building</v>
      </c>
      <c r="C9291" s="2" t="str">
        <f ca="1">IFERROR(__xludf.DUMMYFUNCTION("""COMPUTED_VALUE"""),"Building")</f>
        <v>Building</v>
      </c>
      <c r="D9291" s="2" t="str">
        <f ca="1">IFERROR(__xludf.DUMMYFUNCTION("""COMPUTED_VALUE"""),"Dubai&gt;Al Nahda (Dubai)&gt;Al Nahda 2&gt;BMTC Building")</f>
        <v>Dubai&gt;Al Nahda (Dubai)&gt;Al Nahda 2&gt;BMTC Building</v>
      </c>
      <c r="E9291" s="2"/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</row>
    <row r="9292" spans="1:26" ht="16.5" x14ac:dyDescent="0.35">
      <c r="A9292" s="2" t="str">
        <f ca="1">IFERROR(__xludf.DUMMYFUNCTION("""COMPUTED_VALUE"""),"Dubai")</f>
        <v>Dubai</v>
      </c>
      <c r="B9292" s="2" t="str">
        <f ca="1">IFERROR(__xludf.DUMMYFUNCTION("""COMPUTED_VALUE"""),"District 9")</f>
        <v>District 9</v>
      </c>
      <c r="C9292" s="2" t="str">
        <f ca="1">IFERROR(__xludf.DUMMYFUNCTION("""COMPUTED_VALUE"""),"Neighbourhood")</f>
        <v>Neighbourhood</v>
      </c>
      <c r="D9292" s="2" t="str">
        <f ca="1">IFERROR(__xludf.DUMMYFUNCTION("""COMPUTED_VALUE"""),"Dubai&gt;Jumeirah Park&gt;District 9")</f>
        <v>Dubai&gt;Jumeirah Park&gt;District 9</v>
      </c>
      <c r="E9292" s="2"/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</row>
    <row r="9293" spans="1:26" ht="16.5" x14ac:dyDescent="0.35">
      <c r="A9293" s="2" t="str">
        <f ca="1">IFERROR(__xludf.DUMMYFUNCTION("""COMPUTED_VALUE"""),"Dubai")</f>
        <v>Dubai</v>
      </c>
      <c r="B9293" s="2" t="str">
        <f ca="1">IFERROR(__xludf.DUMMYFUNCTION("""COMPUTED_VALUE"""),"Lagoon Views 3")</f>
        <v>Lagoon Views 3</v>
      </c>
      <c r="C9293" s="2" t="str">
        <f ca="1">IFERROR(__xludf.DUMMYFUNCTION("""COMPUTED_VALUE"""),"Cluster")</f>
        <v>Cluster</v>
      </c>
      <c r="D9293" s="2" t="str">
        <f ca="1">IFERROR(__xludf.DUMMYFUNCTION("""COMPUTED_VALUE"""),"Dubai&gt;DAMAC Lagoons&gt;Lagoon Views&gt;Lagoon Views 3")</f>
        <v>Dubai&gt;DAMAC Lagoons&gt;Lagoon Views&gt;Lagoon Views 3</v>
      </c>
      <c r="E9293" s="2"/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</row>
    <row r="9294" spans="1:26" ht="16.5" x14ac:dyDescent="0.35">
      <c r="A9294" s="2" t="str">
        <f ca="1">IFERROR(__xludf.DUMMYFUNCTION("""COMPUTED_VALUE"""),"Dubai")</f>
        <v>Dubai</v>
      </c>
      <c r="B9294" s="2" t="str">
        <f ca="1">IFERROR(__xludf.DUMMYFUNCTION("""COMPUTED_VALUE"""),"Al Kharbash Building 2")</f>
        <v>Al Kharbash Building 2</v>
      </c>
      <c r="C9294" s="2" t="str">
        <f ca="1">IFERROR(__xludf.DUMMYFUNCTION("""COMPUTED_VALUE"""),"Building")</f>
        <v>Building</v>
      </c>
      <c r="D9294" s="2" t="str">
        <f ca="1">IFERROR(__xludf.DUMMYFUNCTION("""COMPUTED_VALUE"""),"Dubai&gt;Liwan 2&gt;Al Kharbash Building 2")</f>
        <v>Dubai&gt;Liwan 2&gt;Al Kharbash Building 2</v>
      </c>
      <c r="E9294" s="2"/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  <c r="W9294" s="2"/>
      <c r="X9294" s="2"/>
      <c r="Y9294" s="2"/>
      <c r="Z9294" s="2"/>
    </row>
    <row r="9295" spans="1:26" ht="16.5" x14ac:dyDescent="0.35">
      <c r="A9295" s="2" t="str">
        <f ca="1">IFERROR(__xludf.DUMMYFUNCTION("""COMPUTED_VALUE"""),"Dubai")</f>
        <v>Dubai</v>
      </c>
      <c r="B9295" s="2" t="str">
        <f ca="1">IFERROR(__xludf.DUMMYFUNCTION("""COMPUTED_VALUE"""),"Ibrahim Al Rais 2 Building")</f>
        <v>Ibrahim Al Rais 2 Building</v>
      </c>
      <c r="C9295" s="2" t="str">
        <f ca="1">IFERROR(__xludf.DUMMYFUNCTION("""COMPUTED_VALUE"""),"Building")</f>
        <v>Building</v>
      </c>
      <c r="D9295" s="2" t="str">
        <f ca="1">IFERROR(__xludf.DUMMYFUNCTION("""COMPUTED_VALUE"""),"Dubai&gt;Liwan 2&gt;Ibrahim Al Rais 2 Building")</f>
        <v>Dubai&gt;Liwan 2&gt;Ibrahim Al Rais 2 Building</v>
      </c>
      <c r="E9295" s="2"/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  <c r="W9295" s="2"/>
      <c r="X9295" s="2"/>
      <c r="Y9295" s="2"/>
      <c r="Z9295" s="2"/>
    </row>
    <row r="9296" spans="1:26" ht="16.5" x14ac:dyDescent="0.35">
      <c r="A9296" s="2" t="str">
        <f ca="1">IFERROR(__xludf.DUMMYFUNCTION("""COMPUTED_VALUE"""),"Dubai")</f>
        <v>Dubai</v>
      </c>
      <c r="B9296" s="2" t="str">
        <f ca="1">IFERROR(__xludf.DUMMYFUNCTION("""COMPUTED_VALUE"""),"RDK Block D")</f>
        <v>RDK Block D</v>
      </c>
      <c r="C9296" s="2" t="str">
        <f ca="1">IFERROR(__xludf.DUMMYFUNCTION("""COMPUTED_VALUE"""),"Building")</f>
        <v>Building</v>
      </c>
      <c r="D9296" s="2" t="str">
        <f ca="1">IFERROR(__xludf.DUMMYFUNCTION("""COMPUTED_VALUE"""),"Dubai&gt;Dubai Investment Park (DIP)&gt;Dubai Investment Park 1&gt;RDK Block D")</f>
        <v>Dubai&gt;Dubai Investment Park (DIP)&gt;Dubai Investment Park 1&gt;RDK Block D</v>
      </c>
      <c r="E9296" s="2"/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  <c r="W9296" s="2"/>
      <c r="X9296" s="2"/>
      <c r="Y9296" s="2"/>
      <c r="Z9296" s="2"/>
    </row>
    <row r="9297" spans="1:26" ht="16.5" x14ac:dyDescent="0.35">
      <c r="A9297" s="2" t="str">
        <f ca="1">IFERROR(__xludf.DUMMYFUNCTION("""COMPUTED_VALUE"""),"Dubai")</f>
        <v>Dubai</v>
      </c>
      <c r="B9297" s="2" t="str">
        <f ca="1">IFERROR(__xludf.DUMMYFUNCTION("""COMPUTED_VALUE"""),"City Experts Group Block D")</f>
        <v>City Experts Group Block D</v>
      </c>
      <c r="C9297" s="2" t="str">
        <f ca="1">IFERROR(__xludf.DUMMYFUNCTION("""COMPUTED_VALUE"""),"Building")</f>
        <v>Building</v>
      </c>
      <c r="D9297" s="2" t="str">
        <f ca="1">IFERROR(__xludf.DUMMYFUNCTION("""COMPUTED_VALUE"""),"Dubai&gt;Dubai Investment Park (DIP)&gt;Dubai Investment Park 1&gt;City Experts Group Labour Accommodation&gt;City Experts Group Block D")</f>
        <v>Dubai&gt;Dubai Investment Park (DIP)&gt;Dubai Investment Park 1&gt;City Experts Group Labour Accommodation&gt;City Experts Group Block D</v>
      </c>
      <c r="E9297" s="2"/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</row>
    <row r="9298" spans="1:26" ht="16.5" x14ac:dyDescent="0.35">
      <c r="A9298" s="2" t="str">
        <f ca="1">IFERROR(__xludf.DUMMYFUNCTION("""COMPUTED_VALUE"""),"Dubai")</f>
        <v>Dubai</v>
      </c>
      <c r="B9298" s="2" t="str">
        <f ca="1">IFERROR(__xludf.DUMMYFUNCTION("""COMPUTED_VALUE"""),"Cedar Park View Accommodation")</f>
        <v>Cedar Park View Accommodation</v>
      </c>
      <c r="C9298" s="2" t="str">
        <f ca="1">IFERROR(__xludf.DUMMYFUNCTION("""COMPUTED_VALUE"""),"Building")</f>
        <v>Building</v>
      </c>
      <c r="D9298" s="2" t="str">
        <f ca="1">IFERROR(__xludf.DUMMYFUNCTION("""COMPUTED_VALUE"""),"Dubai&gt;Dubai Investment Park (DIP)&gt;Dubai Investment Park 1&gt;Cedar Park View Accommodation")</f>
        <v>Dubai&gt;Dubai Investment Park (DIP)&gt;Dubai Investment Park 1&gt;Cedar Park View Accommodation</v>
      </c>
      <c r="E9298" s="2"/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  <c r="W9298" s="2"/>
      <c r="X9298" s="2"/>
      <c r="Y9298" s="2"/>
      <c r="Z9298" s="2"/>
    </row>
    <row r="9299" spans="1:26" ht="16.5" x14ac:dyDescent="0.35">
      <c r="A9299" s="2" t="str">
        <f ca="1">IFERROR(__xludf.DUMMYFUNCTION("""COMPUTED_VALUE"""),"Dubai")</f>
        <v>Dubai</v>
      </c>
      <c r="B9299" s="2" t="str">
        <f ca="1">IFERROR(__xludf.DUMMYFUNCTION("""COMPUTED_VALUE"""),"Dubai Investment Park 2")</f>
        <v>Dubai Investment Park 2</v>
      </c>
      <c r="C9299" s="2" t="str">
        <f ca="1">IFERROR(__xludf.DUMMYFUNCTION("""COMPUTED_VALUE"""),"Neighbourhood")</f>
        <v>Neighbourhood</v>
      </c>
      <c r="D9299" s="2" t="str">
        <f ca="1">IFERROR(__xludf.DUMMYFUNCTION("""COMPUTED_VALUE"""),"Dubai&gt;Dubai Investment Park (DIP)&gt;Dubai Investment Park 2")</f>
        <v>Dubai&gt;Dubai Investment Park (DIP)&gt;Dubai Investment Park 2</v>
      </c>
      <c r="E9299" s="2"/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  <c r="W9299" s="2"/>
      <c r="X9299" s="2"/>
      <c r="Y9299" s="2"/>
      <c r="Z9299" s="2"/>
    </row>
    <row r="9300" spans="1:26" ht="16.5" x14ac:dyDescent="0.35">
      <c r="A9300" s="2" t="str">
        <f ca="1">IFERROR(__xludf.DUMMYFUNCTION("""COMPUTED_VALUE"""),"Dubai")</f>
        <v>Dubai</v>
      </c>
      <c r="B9300" s="2" t="str">
        <f ca="1">IFERROR(__xludf.DUMMYFUNCTION("""COMPUTED_VALUE"""),"B18")</f>
        <v>B18</v>
      </c>
      <c r="C9300" s="2" t="str">
        <f ca="1">IFERROR(__xludf.DUMMYFUNCTION("""COMPUTED_VALUE"""),"Building")</f>
        <v>Building</v>
      </c>
      <c r="D9300" s="2" t="str">
        <f ca="1">IFERROR(__xludf.DUMMYFUNCTION("""COMPUTED_VALUE"""),"Dubai&gt;Dubai Investment Park (DIP)&gt;Dubai Investment Park 2&gt;Dunes Village&gt;B18")</f>
        <v>Dubai&gt;Dubai Investment Park (DIP)&gt;Dubai Investment Park 2&gt;Dunes Village&gt;B18</v>
      </c>
      <c r="E9300" s="2"/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  <c r="W9300" s="2"/>
      <c r="X9300" s="2"/>
      <c r="Y9300" s="2"/>
      <c r="Z9300" s="2"/>
    </row>
    <row r="9301" spans="1:26" ht="16.5" x14ac:dyDescent="0.35">
      <c r="A9301" s="2" t="str">
        <f ca="1">IFERROR(__xludf.DUMMYFUNCTION("""COMPUTED_VALUE"""),"Dubai")</f>
        <v>Dubai</v>
      </c>
      <c r="B9301" s="2" t="str">
        <f ca="1">IFERROR(__xludf.DUMMYFUNCTION("""COMPUTED_VALUE"""),"Imperial Residence E")</f>
        <v>Imperial Residence E</v>
      </c>
      <c r="C9301" s="2" t="str">
        <f ca="1">IFERROR(__xludf.DUMMYFUNCTION("""COMPUTED_VALUE"""),"Building")</f>
        <v>Building</v>
      </c>
      <c r="D9301" s="2" t="str">
        <f ca="1">IFERROR(__xludf.DUMMYFUNCTION("""COMPUTED_VALUE"""),"Dubai&gt;Dubai Investment Park (DIP)&gt;Imperial Residences (DIP)&gt;Imperial Residence E")</f>
        <v>Dubai&gt;Dubai Investment Park (DIP)&gt;Imperial Residences (DIP)&gt;Imperial Residence E</v>
      </c>
      <c r="E9301" s="2"/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  <c r="W9301" s="2"/>
      <c r="X9301" s="2"/>
      <c r="Y9301" s="2"/>
      <c r="Z9301" s="2"/>
    </row>
    <row r="9302" spans="1:26" ht="16.5" x14ac:dyDescent="0.35">
      <c r="A9302" s="2" t="str">
        <f ca="1">IFERROR(__xludf.DUMMYFUNCTION("""COMPUTED_VALUE"""),"Dubai")</f>
        <v>Dubai</v>
      </c>
      <c r="B9302" s="2" t="str">
        <f ca="1">IFERROR(__xludf.DUMMYFUNCTION("""COMPUTED_VALUE"""),"Selvara 4")</f>
        <v>Selvara 4</v>
      </c>
      <c r="C9302" s="2" t="str">
        <f ca="1">IFERROR(__xludf.DUMMYFUNCTION("""COMPUTED_VALUE"""),"Neighbourhood")</f>
        <v>Neighbourhood</v>
      </c>
      <c r="D9302" s="2" t="str">
        <f ca="1">IFERROR(__xludf.DUMMYFUNCTION("""COMPUTED_VALUE"""),"Dubai&gt;Dubai Investment Park (DIP)&gt;Grand Polo Club &amp; Resort&gt;Selvara 4")</f>
        <v>Dubai&gt;Dubai Investment Park (DIP)&gt;Grand Polo Club &amp; Resort&gt;Selvara 4</v>
      </c>
      <c r="E9302" s="2"/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</row>
    <row r="9303" spans="1:26" ht="16.5" x14ac:dyDescent="0.35">
      <c r="A9303" s="2" t="str">
        <f ca="1">IFERROR(__xludf.DUMMYFUNCTION("""COMPUTED_VALUE"""),"Dubai")</f>
        <v>Dubai</v>
      </c>
      <c r="B9303" s="2" t="str">
        <f ca="1">IFERROR(__xludf.DUMMYFUNCTION("""COMPUTED_VALUE"""),"Palm Tree Residence")</f>
        <v>Palm Tree Residence</v>
      </c>
      <c r="C9303" s="2" t="str">
        <f ca="1">IFERROR(__xludf.DUMMYFUNCTION("""COMPUTED_VALUE"""),"Building")</f>
        <v>Building</v>
      </c>
      <c r="D9303" s="2" t="str">
        <f ca="1">IFERROR(__xludf.DUMMYFUNCTION("""COMPUTED_VALUE"""),"Dubai&gt;Majan&gt;Palm Tree Residence")</f>
        <v>Dubai&gt;Majan&gt;Palm Tree Residence</v>
      </c>
      <c r="E9303" s="2"/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</row>
    <row r="9304" spans="1:26" ht="16.5" x14ac:dyDescent="0.35">
      <c r="A9304" s="2" t="str">
        <f ca="1">IFERROR(__xludf.DUMMYFUNCTION("""COMPUTED_VALUE"""),"Dubai")</f>
        <v>Dubai</v>
      </c>
      <c r="B9304" s="2" t="str">
        <f ca="1">IFERROR(__xludf.DUMMYFUNCTION("""COMPUTED_VALUE"""),"Wadi 645")</f>
        <v>Wadi 645</v>
      </c>
      <c r="C9304" s="2" t="str">
        <f ca="1">IFERROR(__xludf.DUMMYFUNCTION("""COMPUTED_VALUE"""),"Building")</f>
        <v>Building</v>
      </c>
      <c r="D9304" s="2" t="str">
        <f ca="1">IFERROR(__xludf.DUMMYFUNCTION("""COMPUTED_VALUE"""),"Dubai&gt;Majan&gt;Wadi 645")</f>
        <v>Dubai&gt;Majan&gt;Wadi 645</v>
      </c>
      <c r="E9304" s="2"/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</row>
    <row r="9305" spans="1:26" ht="16.5" x14ac:dyDescent="0.35">
      <c r="A9305" s="2" t="str">
        <f ca="1">IFERROR(__xludf.DUMMYFUNCTION("""COMPUTED_VALUE"""),"Dubai")</f>
        <v>Dubai</v>
      </c>
      <c r="B9305" s="2" t="str">
        <f ca="1">IFERROR(__xludf.DUMMYFUNCTION("""COMPUTED_VALUE"""),"Me'aisem 1")</f>
        <v>Me'aisem 1</v>
      </c>
      <c r="C9305" s="2" t="str">
        <f ca="1">IFERROR(__xludf.DUMMYFUNCTION("""COMPUTED_VALUE"""),"Neighbourhood")</f>
        <v>Neighbourhood</v>
      </c>
      <c r="D9305" s="2" t="str">
        <f ca="1">IFERROR(__xludf.DUMMYFUNCTION("""COMPUTED_VALUE"""),"Dubai&gt;Me'aisem 1")</f>
        <v>Dubai&gt;Me'aisem 1</v>
      </c>
      <c r="E9305" s="2"/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</row>
    <row r="9306" spans="1:26" ht="16.5" x14ac:dyDescent="0.35">
      <c r="A9306" s="2" t="str">
        <f ca="1">IFERROR(__xludf.DUMMYFUNCTION("""COMPUTED_VALUE"""),"Dubai")</f>
        <v>Dubai</v>
      </c>
      <c r="B9306" s="2" t="str">
        <f ca="1">IFERROR(__xludf.DUMMYFUNCTION("""COMPUTED_VALUE"""),"Skyvue")</f>
        <v>Skyvue</v>
      </c>
      <c r="C9306" s="2" t="str">
        <f ca="1">IFERROR(__xludf.DUMMYFUNCTION("""COMPUTED_VALUE"""),"Cluster")</f>
        <v>Cluster</v>
      </c>
      <c r="D9306" s="2" t="str">
        <f ca="1">IFERROR(__xludf.DUMMYFUNCTION("""COMPUTED_VALUE"""),"Dubai&gt;Sobha Hartland 2&gt;Skyvue")</f>
        <v>Dubai&gt;Sobha Hartland 2&gt;Skyvue</v>
      </c>
      <c r="E9306" s="2"/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</row>
    <row r="9307" spans="1:26" ht="16.5" x14ac:dyDescent="0.35">
      <c r="A9307" s="2" t="str">
        <f ca="1">IFERROR(__xludf.DUMMYFUNCTION("""COMPUTED_VALUE"""),"Dubai")</f>
        <v>Dubai</v>
      </c>
      <c r="B9307" s="2" t="str">
        <f ca="1">IFERROR(__xludf.DUMMYFUNCTION("""COMPUTED_VALUE"""),"Boutique Studios")</f>
        <v>Boutique Studios</v>
      </c>
      <c r="C9307" s="2" t="str">
        <f ca="1">IFERROR(__xludf.DUMMYFUNCTION("""COMPUTED_VALUE"""),"Cluster")</f>
        <v>Cluster</v>
      </c>
      <c r="D9307" s="2" t="str">
        <f ca="1">IFERROR(__xludf.DUMMYFUNCTION("""COMPUTED_VALUE"""),"Dubai&gt;Dubai Studio City&gt;Boutique Studios")</f>
        <v>Dubai&gt;Dubai Studio City&gt;Boutique Studios</v>
      </c>
      <c r="E9307" s="2"/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  <c r="W9307" s="2"/>
      <c r="X9307" s="2"/>
      <c r="Y9307" s="2"/>
      <c r="Z9307" s="2"/>
    </row>
    <row r="9308" spans="1:26" ht="16.5" x14ac:dyDescent="0.35">
      <c r="A9308" s="2" t="str">
        <f ca="1">IFERROR(__xludf.DUMMYFUNCTION("""COMPUTED_VALUE"""),"Dubai")</f>
        <v>Dubai</v>
      </c>
      <c r="B9308" s="2" t="str">
        <f ca="1">IFERROR(__xludf.DUMMYFUNCTION("""COMPUTED_VALUE"""),"Qanawat Office Building")</f>
        <v>Qanawat Office Building</v>
      </c>
      <c r="C9308" s="2" t="str">
        <f ca="1">IFERROR(__xludf.DUMMYFUNCTION("""COMPUTED_VALUE"""),"Building")</f>
        <v>Building</v>
      </c>
      <c r="D9308" s="2" t="str">
        <f ca="1">IFERROR(__xludf.DUMMYFUNCTION("""COMPUTED_VALUE"""),"Dubai&gt;Dubai Studio City&gt;Qanawat Office Building")</f>
        <v>Dubai&gt;Dubai Studio City&gt;Qanawat Office Building</v>
      </c>
      <c r="E9308" s="2"/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</row>
    <row r="9309" spans="1:26" ht="16.5" x14ac:dyDescent="0.35">
      <c r="A9309" s="2" t="str">
        <f ca="1">IFERROR(__xludf.DUMMYFUNCTION("""COMPUTED_VALUE"""),"Dubai")</f>
        <v>Dubai</v>
      </c>
      <c r="B9309" s="2" t="str">
        <f ca="1">IFERROR(__xludf.DUMMYFUNCTION("""COMPUTED_VALUE"""),"Sobha Creek Vistas")</f>
        <v>Sobha Creek Vistas</v>
      </c>
      <c r="C9309" s="2" t="str">
        <f ca="1">IFERROR(__xludf.DUMMYFUNCTION("""COMPUTED_VALUE"""),"Cluster")</f>
        <v>Cluster</v>
      </c>
      <c r="D9309" s="2" t="str">
        <f ca="1">IFERROR(__xludf.DUMMYFUNCTION("""COMPUTED_VALUE"""),"Dubai&gt;Sobha Hartland&gt;Sobha Creek Vistas")</f>
        <v>Dubai&gt;Sobha Hartland&gt;Sobha Creek Vistas</v>
      </c>
      <c r="E9309" s="2"/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</row>
    <row r="9310" spans="1:26" ht="16.5" x14ac:dyDescent="0.35">
      <c r="A9310" s="2" t="str">
        <f ca="1">IFERROR(__xludf.DUMMYFUNCTION("""COMPUTED_VALUE"""),"Dubai")</f>
        <v>Dubai</v>
      </c>
      <c r="B9310" s="2" t="str">
        <f ca="1">IFERROR(__xludf.DUMMYFUNCTION("""COMPUTED_VALUE"""),"Dubai International Airport")</f>
        <v>Dubai International Airport</v>
      </c>
      <c r="C9310" s="2" t="str">
        <f ca="1">IFERROR(__xludf.DUMMYFUNCTION("""COMPUTED_VALUE"""),"Neighbourhood")</f>
        <v>Neighbourhood</v>
      </c>
      <c r="D9310" s="2" t="str">
        <f ca="1">IFERROR(__xludf.DUMMYFUNCTION("""COMPUTED_VALUE"""),"Dubai&gt;Dubai International Airport")</f>
        <v>Dubai&gt;Dubai International Airport</v>
      </c>
      <c r="E9310" s="2"/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</row>
    <row r="9311" spans="1:26" ht="16.5" x14ac:dyDescent="0.35">
      <c r="A9311" s="2" t="str">
        <f ca="1">IFERROR(__xludf.DUMMYFUNCTION("""COMPUTED_VALUE"""),"Dubai")</f>
        <v>Dubai</v>
      </c>
      <c r="B9311" s="2" t="str">
        <f ca="1">IFERROR(__xludf.DUMMYFUNCTION("""COMPUTED_VALUE"""),"Building 4C")</f>
        <v>Building 4C</v>
      </c>
      <c r="C9311" s="2" t="str">
        <f ca="1">IFERROR(__xludf.DUMMYFUNCTION("""COMPUTED_VALUE"""),"Building")</f>
        <v>Building</v>
      </c>
      <c r="D9311" s="2" t="str">
        <f ca="1">IFERROR(__xludf.DUMMYFUNCTION("""COMPUTED_VALUE"""),"Dubai&gt;Expo City&gt;Expo Village&gt;Residences 4&gt;Building 4C")</f>
        <v>Dubai&gt;Expo City&gt;Expo Village&gt;Residences 4&gt;Building 4C</v>
      </c>
      <c r="E9311" s="2"/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</row>
    <row r="9312" spans="1:26" ht="16.5" x14ac:dyDescent="0.35">
      <c r="A9312" s="2" t="str">
        <f ca="1">IFERROR(__xludf.DUMMYFUNCTION("""COMPUTED_VALUE"""),"Dubai")</f>
        <v>Dubai</v>
      </c>
      <c r="B9312" s="2" t="str">
        <f ca="1">IFERROR(__xludf.DUMMYFUNCTION("""COMPUTED_VALUE"""),"The Heart of Europe")</f>
        <v>The Heart of Europe</v>
      </c>
      <c r="C9312" s="2" t="str">
        <f ca="1">IFERROR(__xludf.DUMMYFUNCTION("""COMPUTED_VALUE"""),"Neighbourhood")</f>
        <v>Neighbourhood</v>
      </c>
      <c r="D9312" s="2" t="str">
        <f ca="1">IFERROR(__xludf.DUMMYFUNCTION("""COMPUTED_VALUE"""),"Dubai&gt;The World Islands&gt;The Heart of Europe")</f>
        <v>Dubai&gt;The World Islands&gt;The Heart of Europe</v>
      </c>
      <c r="E9312" s="2"/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  <c r="W9312" s="2"/>
      <c r="X9312" s="2"/>
      <c r="Y9312" s="2"/>
      <c r="Z9312" s="2"/>
    </row>
    <row r="9313" spans="1:26" ht="16.5" x14ac:dyDescent="0.35">
      <c r="A9313" s="2" t="str">
        <f ca="1">IFERROR(__xludf.DUMMYFUNCTION("""COMPUTED_VALUE"""),"Dubai")</f>
        <v>Dubai</v>
      </c>
      <c r="B9313" s="2" t="str">
        <f ca="1">IFERROR(__xludf.DUMMYFUNCTION("""COMPUTED_VALUE"""),"Sanctuary")</f>
        <v>Sanctuary</v>
      </c>
      <c r="C9313" s="2" t="str">
        <f ca="1">IFERROR(__xludf.DUMMYFUNCTION("""COMPUTED_VALUE"""),"Neighbourhood")</f>
        <v>Neighbourhood</v>
      </c>
      <c r="D9313" s="2" t="str">
        <f ca="1">IFERROR(__xludf.DUMMYFUNCTION("""COMPUTED_VALUE"""),"Dubai&gt;Haven by Aldar&gt;Sanctuary")</f>
        <v>Dubai&gt;Haven by Aldar&gt;Sanctuary</v>
      </c>
      <c r="E9313" s="2"/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  <c r="W9313" s="2"/>
      <c r="X9313" s="2"/>
      <c r="Y9313" s="2"/>
      <c r="Z9313" s="2"/>
    </row>
    <row r="9314" spans="1:26" ht="16.5" x14ac:dyDescent="0.35">
      <c r="A9314" s="2" t="str">
        <f ca="1">IFERROR(__xludf.DUMMYFUNCTION("""COMPUTED_VALUE"""),"Dubai")</f>
        <v>Dubai</v>
      </c>
      <c r="B9314" s="2" t="str">
        <f ca="1">IFERROR(__xludf.DUMMYFUNCTION("""COMPUTED_VALUE"""),"Theon")</f>
        <v>Theon</v>
      </c>
      <c r="C9314" s="2" t="str">
        <f ca="1">IFERROR(__xludf.DUMMYFUNCTION("""COMPUTED_VALUE"""),"Neighbourhood")</f>
        <v>Neighbourhood</v>
      </c>
      <c r="D9314" s="2" t="str">
        <f ca="1">IFERROR(__xludf.DUMMYFUNCTION("""COMPUTED_VALUE"""),"Dubai&gt;Athlon by Aldar&gt;Theon")</f>
        <v>Dubai&gt;Athlon by Aldar&gt;Theon</v>
      </c>
      <c r="E9314" s="2"/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  <c r="W9314" s="2"/>
      <c r="X9314" s="2"/>
      <c r="Y9314" s="2"/>
      <c r="Z9314" s="2"/>
    </row>
    <row r="9315" spans="1:26" ht="16.5" x14ac:dyDescent="0.35">
      <c r="A9315" s="2" t="str">
        <f ca="1">IFERROR(__xludf.DUMMYFUNCTION("""COMPUTED_VALUE"""),"Dubai")</f>
        <v>Dubai</v>
      </c>
      <c r="B9315" s="2" t="str">
        <f ca="1">IFERROR(__xludf.DUMMYFUNCTION("""COMPUTED_VALUE"""),"Cilia Building 4")</f>
        <v>Cilia Building 4</v>
      </c>
      <c r="C9315" s="2" t="str">
        <f ca="1">IFERROR(__xludf.DUMMYFUNCTION("""COMPUTED_VALUE"""),"Building")</f>
        <v>Building</v>
      </c>
      <c r="D9315" s="2" t="str">
        <f ca="1">IFERROR(__xludf.DUMMYFUNCTION("""COMPUTED_VALUE"""),"Dubai&gt;Ghaf Woods&gt;Cilia&gt;Cilia Building 4")</f>
        <v>Dubai&gt;Ghaf Woods&gt;Cilia&gt;Cilia Building 4</v>
      </c>
      <c r="E9315" s="2"/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  <c r="W9315" s="2"/>
      <c r="X9315" s="2"/>
      <c r="Y9315" s="2"/>
      <c r="Z9315" s="2"/>
    </row>
    <row r="9316" spans="1:26" ht="16.5" x14ac:dyDescent="0.35">
      <c r="A9316" s="2" t="str">
        <f ca="1">IFERROR(__xludf.DUMMYFUNCTION("""COMPUTED_VALUE"""),"Dubai")</f>
        <v>Dubai</v>
      </c>
      <c r="B9316" s="2" t="str">
        <f ca="1">IFERROR(__xludf.DUMMYFUNCTION("""COMPUTED_VALUE"""),"Seychelles")</f>
        <v>Seychelles</v>
      </c>
      <c r="C9316" s="2" t="str">
        <f ca="1">IFERROR(__xludf.DUMMYFUNCTION("""COMPUTED_VALUE"""),"Neighbourhood")</f>
        <v>Neighbourhood</v>
      </c>
      <c r="D9316" s="2" t="str">
        <f ca="1">IFERROR(__xludf.DUMMYFUNCTION("""COMPUTED_VALUE"""),"Dubai&gt;DAMAC Islands&gt;Seychelles")</f>
        <v>Dubai&gt;DAMAC Islands&gt;Seychelles</v>
      </c>
      <c r="E9316" s="2"/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  <c r="W9316" s="2"/>
      <c r="X9316" s="2"/>
      <c r="Y9316" s="2"/>
      <c r="Z9316" s="2"/>
    </row>
    <row r="9317" spans="1:26" ht="16.5" x14ac:dyDescent="0.35">
      <c r="A9317" s="2" t="str">
        <f ca="1">IFERROR(__xludf.DUMMYFUNCTION("""COMPUTED_VALUE"""),"Dubai")</f>
        <v>Dubai</v>
      </c>
      <c r="B9317" s="2" t="str">
        <f ca="1">IFERROR(__xludf.DUMMYFUNCTION("""COMPUTED_VALUE"""),"Al Bateen Towers")</f>
        <v>Al Bateen Towers</v>
      </c>
      <c r="C9317" s="2" t="str">
        <f ca="1">IFERROR(__xludf.DUMMYFUNCTION("""COMPUTED_VALUE"""),"Building")</f>
        <v>Building</v>
      </c>
      <c r="D9317" s="2" t="str">
        <f ca="1">IFERROR(__xludf.DUMMYFUNCTION("""COMPUTED_VALUE"""),"Dubai&gt;Jumeirah Beach Residence (JBR)&gt;The Walk&gt;Al Bateen Towers")</f>
        <v>Dubai&gt;Jumeirah Beach Residence (JBR)&gt;The Walk&gt;Al Bateen Towers</v>
      </c>
      <c r="E9317" s="2"/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  <c r="W9317" s="2"/>
      <c r="X9317" s="2"/>
      <c r="Y9317" s="2"/>
      <c r="Z9317" s="2"/>
    </row>
    <row r="9318" spans="1:26" ht="16.5" x14ac:dyDescent="0.35">
      <c r="A9318" s="2" t="str">
        <f ca="1">IFERROR(__xludf.DUMMYFUNCTION("""COMPUTED_VALUE"""),"Dubai")</f>
        <v>Dubai</v>
      </c>
      <c r="B9318" s="2" t="str">
        <f ca="1">IFERROR(__xludf.DUMMYFUNCTION("""COMPUTED_VALUE"""),"Bahar 2")</f>
        <v>Bahar 2</v>
      </c>
      <c r="C9318" s="2" t="str">
        <f ca="1">IFERROR(__xludf.DUMMYFUNCTION("""COMPUTED_VALUE"""),"Building")</f>
        <v>Building</v>
      </c>
      <c r="D9318" s="2" t="str">
        <f ca="1">IFERROR(__xludf.DUMMYFUNCTION("""COMPUTED_VALUE"""),"Dubai&gt;Jumeirah Beach Residence (JBR)&gt;Bahar&gt;Bahar 2")</f>
        <v>Dubai&gt;Jumeirah Beach Residence (JBR)&gt;Bahar&gt;Bahar 2</v>
      </c>
      <c r="E9318" s="2"/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  <c r="W9318" s="2"/>
      <c r="X9318" s="2"/>
      <c r="Y9318" s="2"/>
      <c r="Z9318" s="2"/>
    </row>
    <row r="9319" spans="1:26" ht="16.5" x14ac:dyDescent="0.35">
      <c r="A9319" s="2" t="str">
        <f ca="1">IFERROR(__xludf.DUMMYFUNCTION("""COMPUTED_VALUE"""),"Dubai")</f>
        <v>Dubai</v>
      </c>
      <c r="B9319" s="2" t="str">
        <f ca="1">IFERROR(__xludf.DUMMYFUNCTION("""COMPUTED_VALUE"""),"The Symphony by Imtiaz")</f>
        <v>The Symphony by Imtiaz</v>
      </c>
      <c r="C9319" s="2" t="str">
        <f ca="1">IFERROR(__xludf.DUMMYFUNCTION("""COMPUTED_VALUE"""),"Building")</f>
        <v>Building</v>
      </c>
      <c r="D9319" s="2" t="str">
        <f ca="1">IFERROR(__xludf.DUMMYFUNCTION("""COMPUTED_VALUE"""),"Dubai&gt;Meydan Horizon&gt;The Symphony by Imtiaz")</f>
        <v>Dubai&gt;Meydan Horizon&gt;The Symphony by Imtiaz</v>
      </c>
      <c r="E9319" s="2"/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  <c r="W9319" s="2"/>
      <c r="X9319" s="2"/>
      <c r="Y9319" s="2"/>
      <c r="Z9319" s="2"/>
    </row>
    <row r="9320" spans="1:26" ht="16.5" x14ac:dyDescent="0.35">
      <c r="A9320" s="2" t="str">
        <f ca="1">IFERROR(__xludf.DUMMYFUNCTION("""COMPUTED_VALUE"""),"Dubai")</f>
        <v>Dubai</v>
      </c>
      <c r="B9320" s="2" t="str">
        <f ca="1">IFERROR(__xludf.DUMMYFUNCTION("""COMPUTED_VALUE"""),"Block F")</f>
        <v>Block F</v>
      </c>
      <c r="C9320" s="2" t="str">
        <f ca="1">IFERROR(__xludf.DUMMYFUNCTION("""COMPUTED_VALUE"""),"Neighbourhood")</f>
        <v>Neighbourhood</v>
      </c>
      <c r="D9320" s="2" t="str">
        <f ca="1">IFERROR(__xludf.DUMMYFUNCTION("""COMPUTED_VALUE"""),"Dubai&gt;Al Wasl&gt;Dar Wasl&gt;Block F")</f>
        <v>Dubai&gt;Al Wasl&gt;Dar Wasl&gt;Block F</v>
      </c>
      <c r="E9320" s="2"/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  <c r="W9320" s="2"/>
      <c r="X9320" s="2"/>
      <c r="Y9320" s="2"/>
      <c r="Z9320" s="2"/>
    </row>
    <row r="9321" spans="1:26" ht="16.5" x14ac:dyDescent="0.35">
      <c r="A9321" s="2" t="str">
        <f ca="1">IFERROR(__xludf.DUMMYFUNCTION("""COMPUTED_VALUE"""),"Dubai")</f>
        <v>Dubai</v>
      </c>
      <c r="B9321" s="2" t="str">
        <f ca="1">IFERROR(__xludf.DUMMYFUNCTION("""COMPUTED_VALUE"""),"Celadon 2")</f>
        <v>Celadon 2</v>
      </c>
      <c r="C9321" s="2" t="str">
        <f ca="1">IFERROR(__xludf.DUMMYFUNCTION("""COMPUTED_VALUE"""),"Building")</f>
        <v>Building</v>
      </c>
      <c r="D9321" s="2" t="str">
        <f ca="1">IFERROR(__xludf.DUMMYFUNCTION("""COMPUTED_VALUE"""),"Dubai&gt;Al Wasl&gt;City Walk&gt;Central Park&gt;Celadon&gt;Celadon 2")</f>
        <v>Dubai&gt;Al Wasl&gt;City Walk&gt;Central Park&gt;Celadon&gt;Celadon 2</v>
      </c>
      <c r="E9321" s="2"/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  <c r="W9321" s="2"/>
      <c r="X9321" s="2"/>
      <c r="Y9321" s="2"/>
      <c r="Z9321" s="2"/>
    </row>
    <row r="9322" spans="1:26" ht="16.5" x14ac:dyDescent="0.35">
      <c r="A9322" s="2" t="str">
        <f ca="1">IFERROR(__xludf.DUMMYFUNCTION("""COMPUTED_VALUE"""),"Dubai")</f>
        <v>Dubai</v>
      </c>
      <c r="B9322" s="2" t="str">
        <f ca="1">IFERROR(__xludf.DUMMYFUNCTION("""COMPUTED_VALUE"""),"City Walk Crestlane 1")</f>
        <v>City Walk Crestlane 1</v>
      </c>
      <c r="C9322" s="2" t="str">
        <f ca="1">IFERROR(__xludf.DUMMYFUNCTION("""COMPUTED_VALUE"""),"Cluster")</f>
        <v>Cluster</v>
      </c>
      <c r="D9322" s="2" t="str">
        <f ca="1">IFERROR(__xludf.DUMMYFUNCTION("""COMPUTED_VALUE"""),"Dubai&gt;Al Wasl&gt;City Walk&gt;City Walk Crestlane 1")</f>
        <v>Dubai&gt;Al Wasl&gt;City Walk&gt;City Walk Crestlane 1</v>
      </c>
      <c r="E9322" s="2"/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  <c r="W9322" s="2"/>
      <c r="X9322" s="2"/>
      <c r="Y9322" s="2"/>
      <c r="Z9322" s="2"/>
    </row>
    <row r="9323" spans="1:26" ht="16.5" x14ac:dyDescent="0.35">
      <c r="A9323" s="2" t="str">
        <f ca="1">IFERROR(__xludf.DUMMYFUNCTION("""COMPUTED_VALUE"""),"Dubai")</f>
        <v>Dubai</v>
      </c>
      <c r="B9323" s="2" t="str">
        <f ca="1">IFERROR(__xludf.DUMMYFUNCTION("""COMPUTED_VALUE"""),"One Canal")</f>
        <v>One Canal</v>
      </c>
      <c r="C9323" s="2" t="str">
        <f ca="1">IFERROR(__xludf.DUMMYFUNCTION("""COMPUTED_VALUE"""),"Building")</f>
        <v>Building</v>
      </c>
      <c r="D9323" s="2" t="str">
        <f ca="1">IFERROR(__xludf.DUMMYFUNCTION("""COMPUTED_VALUE"""),"Dubai&gt;Al Wasl&gt;One Canal")</f>
        <v>Dubai&gt;Al Wasl&gt;One Canal</v>
      </c>
      <c r="E9323" s="2"/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  <c r="W9323" s="2"/>
      <c r="X9323" s="2"/>
      <c r="Y9323" s="2"/>
      <c r="Z9323" s="2"/>
    </row>
    <row r="9324" spans="1:26" ht="16.5" x14ac:dyDescent="0.35">
      <c r="A9324" s="2" t="str">
        <f ca="1">IFERROR(__xludf.DUMMYFUNCTION("""COMPUTED_VALUE"""),"Dubai")</f>
        <v>Dubai</v>
      </c>
      <c r="B9324" s="2" t="str">
        <f ca="1">IFERROR(__xludf.DUMMYFUNCTION("""COMPUTED_VALUE"""),"Vincitore Boulevard")</f>
        <v>Vincitore Boulevard</v>
      </c>
      <c r="C9324" s="2" t="str">
        <f ca="1">IFERROR(__xludf.DUMMYFUNCTION("""COMPUTED_VALUE"""),"Cluster")</f>
        <v>Cluster</v>
      </c>
      <c r="D9324" s="2" t="str">
        <f ca="1">IFERROR(__xludf.DUMMYFUNCTION("""COMPUTED_VALUE"""),"Dubai&gt;Arjan&gt;Vincitore Boulevard")</f>
        <v>Dubai&gt;Arjan&gt;Vincitore Boulevard</v>
      </c>
      <c r="E9324" s="2"/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  <c r="W9324" s="2"/>
      <c r="X9324" s="2"/>
      <c r="Y9324" s="2"/>
      <c r="Z9324" s="2"/>
    </row>
    <row r="9325" spans="1:26" ht="16.5" x14ac:dyDescent="0.35">
      <c r="A9325" s="2" t="str">
        <f ca="1">IFERROR(__xludf.DUMMYFUNCTION("""COMPUTED_VALUE"""),"Dubai")</f>
        <v>Dubai</v>
      </c>
      <c r="B9325" s="2" t="str">
        <f ca="1">IFERROR(__xludf.DUMMYFUNCTION("""COMPUTED_VALUE"""),"Central Towers Block A")</f>
        <v>Central Towers Block A</v>
      </c>
      <c r="C9325" s="2" t="str">
        <f ca="1">IFERROR(__xludf.DUMMYFUNCTION("""COMPUTED_VALUE"""),"Building")</f>
        <v>Building</v>
      </c>
      <c r="D9325" s="2" t="str">
        <f ca="1">IFERROR(__xludf.DUMMYFUNCTION("""COMPUTED_VALUE"""),"Dubai&gt;Arjan&gt;Central Towers&gt;Central Towers Block A")</f>
        <v>Dubai&gt;Arjan&gt;Central Towers&gt;Central Towers Block A</v>
      </c>
      <c r="E9325" s="2"/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  <c r="W9325" s="2"/>
      <c r="X9325" s="2"/>
      <c r="Y9325" s="2"/>
      <c r="Z9325" s="2"/>
    </row>
    <row r="9326" spans="1:26" ht="16.5" x14ac:dyDescent="0.35">
      <c r="A9326" s="2" t="str">
        <f ca="1">IFERROR(__xludf.DUMMYFUNCTION("""COMPUTED_VALUE"""),"Dubai")</f>
        <v>Dubai</v>
      </c>
      <c r="B9326" s="2" t="str">
        <f ca="1">IFERROR(__xludf.DUMMYFUNCTION("""COMPUTED_VALUE"""),"Lincoln Park Northside")</f>
        <v>Lincoln Park Northside</v>
      </c>
      <c r="C9326" s="2" t="str">
        <f ca="1">IFERROR(__xludf.DUMMYFUNCTION("""COMPUTED_VALUE"""),"Building")</f>
        <v>Building</v>
      </c>
      <c r="D9326" s="2" t="str">
        <f ca="1">IFERROR(__xludf.DUMMYFUNCTION("""COMPUTED_VALUE"""),"Dubai&gt;Arjan&gt;Lincoln Park&gt;Lincoln Park Northside")</f>
        <v>Dubai&gt;Arjan&gt;Lincoln Park&gt;Lincoln Park Northside</v>
      </c>
      <c r="E9326" s="2"/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  <c r="W9326" s="2"/>
      <c r="X9326" s="2"/>
      <c r="Y9326" s="2"/>
      <c r="Z9326" s="2"/>
    </row>
    <row r="9327" spans="1:26" ht="16.5" x14ac:dyDescent="0.35">
      <c r="A9327" s="2" t="str">
        <f ca="1">IFERROR(__xludf.DUMMYFUNCTION("""COMPUTED_VALUE"""),"Dubai")</f>
        <v>Dubai</v>
      </c>
      <c r="B9327" s="2" t="str">
        <f ca="1">IFERROR(__xludf.DUMMYFUNCTION("""COMPUTED_VALUE"""),"Torino by ORO24 Building 3")</f>
        <v>Torino by ORO24 Building 3</v>
      </c>
      <c r="C9327" s="2" t="str">
        <f ca="1">IFERROR(__xludf.DUMMYFUNCTION("""COMPUTED_VALUE"""),"Building")</f>
        <v>Building</v>
      </c>
      <c r="D9327" s="2" t="str">
        <f ca="1">IFERROR(__xludf.DUMMYFUNCTION("""COMPUTED_VALUE"""),"Dubai&gt;Arjan&gt;Torino by ORO24&gt;Torino by ORO24 Building 3")</f>
        <v>Dubai&gt;Arjan&gt;Torino by ORO24&gt;Torino by ORO24 Building 3</v>
      </c>
      <c r="E9327" s="2"/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  <c r="W9327" s="2"/>
      <c r="X9327" s="2"/>
      <c r="Y9327" s="2"/>
      <c r="Z9327" s="2"/>
    </row>
    <row r="9328" spans="1:26" ht="16.5" x14ac:dyDescent="0.35">
      <c r="A9328" s="2" t="str">
        <f ca="1">IFERROR(__xludf.DUMMYFUNCTION("""COMPUTED_VALUE"""),"Dubai")</f>
        <v>Dubai</v>
      </c>
      <c r="B9328" s="2" t="str">
        <f ca="1">IFERROR(__xludf.DUMMYFUNCTION("""COMPUTED_VALUE"""),"Kyoto by ORO24")</f>
        <v>Kyoto by ORO24</v>
      </c>
      <c r="C9328" s="2" t="str">
        <f ca="1">IFERROR(__xludf.DUMMYFUNCTION("""COMPUTED_VALUE"""),"Building")</f>
        <v>Building</v>
      </c>
      <c r="D9328" s="2" t="str">
        <f ca="1">IFERROR(__xludf.DUMMYFUNCTION("""COMPUTED_VALUE"""),"Dubai&gt;Arjan&gt;Kyoto by ORO24")</f>
        <v>Dubai&gt;Arjan&gt;Kyoto by ORO24</v>
      </c>
      <c r="E9328" s="2"/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  <c r="W9328" s="2"/>
      <c r="X9328" s="2"/>
      <c r="Y9328" s="2"/>
      <c r="Z9328" s="2"/>
    </row>
    <row r="9329" spans="1:26" ht="16.5" x14ac:dyDescent="0.35">
      <c r="A9329" s="2" t="str">
        <f ca="1">IFERROR(__xludf.DUMMYFUNCTION("""COMPUTED_VALUE"""),"Dubai")</f>
        <v>Dubai</v>
      </c>
      <c r="B9329" s="2" t="str">
        <f ca="1">IFERROR(__xludf.DUMMYFUNCTION("""COMPUTED_VALUE"""),"Gharbi I Residences")</f>
        <v>Gharbi I Residences</v>
      </c>
      <c r="C9329" s="2" t="str">
        <f ca="1">IFERROR(__xludf.DUMMYFUNCTION("""COMPUTED_VALUE"""),"Building")</f>
        <v>Building</v>
      </c>
      <c r="D9329" s="2" t="str">
        <f ca="1">IFERROR(__xludf.DUMMYFUNCTION("""COMPUTED_VALUE"""),"Dubai&gt;Arjan&gt;Gharbi I Residences")</f>
        <v>Dubai&gt;Arjan&gt;Gharbi I Residences</v>
      </c>
      <c r="E9329" s="2"/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  <c r="W9329" s="2"/>
      <c r="X9329" s="2"/>
      <c r="Y9329" s="2"/>
      <c r="Z9329" s="2"/>
    </row>
    <row r="9330" spans="1:26" ht="16.5" x14ac:dyDescent="0.35">
      <c r="A9330" s="2" t="str">
        <f ca="1">IFERROR(__xludf.DUMMYFUNCTION("""COMPUTED_VALUE"""),"Dubai")</f>
        <v>Dubai</v>
      </c>
      <c r="B9330" s="2" t="str">
        <f ca="1">IFERROR(__xludf.DUMMYFUNCTION("""COMPUTED_VALUE"""),"Urban Horizon")</f>
        <v>Urban Horizon</v>
      </c>
      <c r="C9330" s="2" t="str">
        <f ca="1">IFERROR(__xludf.DUMMYFUNCTION("""COMPUTED_VALUE"""),"Building")</f>
        <v>Building</v>
      </c>
      <c r="D9330" s="2" t="str">
        <f ca="1">IFERROR(__xludf.DUMMYFUNCTION("""COMPUTED_VALUE"""),"Dubai&gt;Arjan&gt;Urban Horizon")</f>
        <v>Dubai&gt;Arjan&gt;Urban Horizon</v>
      </c>
      <c r="E9330" s="2"/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  <c r="W9330" s="2"/>
      <c r="X9330" s="2"/>
      <c r="Y9330" s="2"/>
      <c r="Z9330" s="2"/>
    </row>
    <row r="9331" spans="1:26" ht="16.5" x14ac:dyDescent="0.35">
      <c r="A9331" s="2" t="str">
        <f ca="1">IFERROR(__xludf.DUMMYFUNCTION("""COMPUTED_VALUE"""),"Dubai")</f>
        <v>Dubai</v>
      </c>
      <c r="B9331" s="2" t="str">
        <f ca="1">IFERROR(__xludf.DUMMYFUNCTION("""COMPUTED_VALUE"""),"Dubai Media City")</f>
        <v>Dubai Media City</v>
      </c>
      <c r="C9331" s="2" t="str">
        <f ca="1">IFERROR(__xludf.DUMMYFUNCTION("""COMPUTED_VALUE"""),"Neighbourhood")</f>
        <v>Neighbourhood</v>
      </c>
      <c r="D9331" s="2" t="str">
        <f ca="1">IFERROR(__xludf.DUMMYFUNCTION("""COMPUTED_VALUE"""),"Dubai&gt;Dubai Media City")</f>
        <v>Dubai&gt;Dubai Media City</v>
      </c>
      <c r="E9331" s="2"/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  <c r="W9331" s="2"/>
      <c r="X9331" s="2"/>
      <c r="Y9331" s="2"/>
      <c r="Z9331" s="2"/>
    </row>
    <row r="9332" spans="1:26" ht="16.5" x14ac:dyDescent="0.35">
      <c r="A9332" s="2" t="str">
        <f ca="1">IFERROR(__xludf.DUMMYFUNCTION("""COMPUTED_VALUE"""),"Abu Dhabi")</f>
        <v>Abu Dhabi</v>
      </c>
      <c r="B9332" s="2" t="str">
        <f ca="1">IFERROR(__xludf.DUMMYFUNCTION("""COMPUTED_VALUE"""),"Leens Nursery")</f>
        <v>Leens Nursery</v>
      </c>
      <c r="C9332" s="2" t="str">
        <f ca="1">IFERROR(__xludf.DUMMYFUNCTION("""COMPUTED_VALUE"""),"Nursery")</f>
        <v>Nursery</v>
      </c>
      <c r="D9332" s="2" t="str">
        <f ca="1">IFERROR(__xludf.DUMMYFUNCTION("""COMPUTED_VALUE"""),"Abu Dhabi&gt;Al Dhafrah&gt;Leens Nursery")</f>
        <v>Abu Dhabi&gt;Al Dhafrah&gt;Leens Nursery</v>
      </c>
      <c r="E9332" s="2"/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  <c r="W9332" s="2"/>
      <c r="X9332" s="2"/>
      <c r="Y9332" s="2"/>
      <c r="Z9332" s="2"/>
    </row>
    <row r="9333" spans="1:26" ht="16.5" x14ac:dyDescent="0.35">
      <c r="A9333" s="2" t="str">
        <f ca="1">IFERROR(__xludf.DUMMYFUNCTION("""COMPUTED_VALUE"""),"Abu Dhabi")</f>
        <v>Abu Dhabi</v>
      </c>
      <c r="B9333" s="2" t="str">
        <f ca="1">IFERROR(__xludf.DUMMYFUNCTION("""COMPUTED_VALUE"""),"Japanese School Abu Dhabi")</f>
        <v>Japanese School Abu Dhabi</v>
      </c>
      <c r="C9333" s="2" t="str">
        <f ca="1">IFERROR(__xludf.DUMMYFUNCTION("""COMPUTED_VALUE"""),"School")</f>
        <v>School</v>
      </c>
      <c r="D9333" s="2" t="str">
        <f ca="1">IFERROR(__xludf.DUMMYFUNCTION("""COMPUTED_VALUE"""),"Abu Dhabi&gt;Al Bateen&gt;Japanese School Abu Dhabi")</f>
        <v>Abu Dhabi&gt;Al Bateen&gt;Japanese School Abu Dhabi</v>
      </c>
      <c r="E9333" s="2"/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  <c r="W9333" s="2"/>
      <c r="X9333" s="2"/>
      <c r="Y9333" s="2"/>
      <c r="Z9333" s="2"/>
    </row>
    <row r="9334" spans="1:26" ht="16.5" x14ac:dyDescent="0.35">
      <c r="A9334" s="2" t="str">
        <f ca="1">IFERROR(__xludf.DUMMYFUNCTION("""COMPUTED_VALUE"""),"Abu Dhabi")</f>
        <v>Abu Dhabi</v>
      </c>
      <c r="B9334" s="2" t="str">
        <f ca="1">IFERROR(__xludf.DUMMYFUNCTION("""COMPUTED_VALUE"""),"Airport Street")</f>
        <v>Airport Street</v>
      </c>
      <c r="C9334" s="2" t="str">
        <f ca="1">IFERROR(__xludf.DUMMYFUNCTION("""COMPUTED_VALUE"""),"Neighbourhood")</f>
        <v>Neighbourhood</v>
      </c>
      <c r="D9334" s="2" t="str">
        <f ca="1">IFERROR(__xludf.DUMMYFUNCTION("""COMPUTED_VALUE"""),"Abu Dhabi&gt;Airport Street")</f>
        <v>Abu Dhabi&gt;Airport Street</v>
      </c>
      <c r="E9334" s="2"/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  <c r="W9334" s="2"/>
      <c r="X9334" s="2"/>
      <c r="Y9334" s="2"/>
      <c r="Z9334" s="2"/>
    </row>
    <row r="9335" spans="1:26" ht="16.5" x14ac:dyDescent="0.35">
      <c r="A9335" s="2" t="str">
        <f ca="1">IFERROR(__xludf.DUMMYFUNCTION("""COMPUTED_VALUE"""),"Abu Dhabi")</f>
        <v>Abu Dhabi</v>
      </c>
      <c r="B9335" s="2" t="str">
        <f ca="1">IFERROR(__xludf.DUMMYFUNCTION("""COMPUTED_VALUE"""),"Al Ryami Tower")</f>
        <v>Al Ryami Tower</v>
      </c>
      <c r="C9335" s="2" t="str">
        <f ca="1">IFERROR(__xludf.DUMMYFUNCTION("""COMPUTED_VALUE"""),"Building")</f>
        <v>Building</v>
      </c>
      <c r="D9335" s="2" t="str">
        <f ca="1">IFERROR(__xludf.DUMMYFUNCTION("""COMPUTED_VALUE"""),"Abu Dhabi&gt;Tourist Club Area (TCA)&gt;Al Ryami Tower")</f>
        <v>Abu Dhabi&gt;Tourist Club Area (TCA)&gt;Al Ryami Tower</v>
      </c>
      <c r="E9335" s="2"/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  <c r="W9335" s="2"/>
      <c r="X9335" s="2"/>
      <c r="Y9335" s="2"/>
      <c r="Z9335" s="2"/>
    </row>
    <row r="9336" spans="1:26" ht="16.5" x14ac:dyDescent="0.35">
      <c r="A9336" s="2" t="str">
        <f ca="1">IFERROR(__xludf.DUMMYFUNCTION("""COMPUTED_VALUE"""),"Abu Dhabi")</f>
        <v>Abu Dhabi</v>
      </c>
      <c r="B9336" s="2" t="str">
        <f ca="1">IFERROR(__xludf.DUMMYFUNCTION("""COMPUTED_VALUE"""),"Rahbah J")</f>
        <v>Rahbah J</v>
      </c>
      <c r="C9336" s="2" t="str">
        <f ca="1">IFERROR(__xludf.DUMMYFUNCTION("""COMPUTED_VALUE"""),"Neighbourhood")</f>
        <v>Neighbourhood</v>
      </c>
      <c r="D9336" s="2" t="str">
        <f ca="1">IFERROR(__xludf.DUMMYFUNCTION("""COMPUTED_VALUE"""),"Abu Dhabi&gt;Al Rahbah&gt;Rahbah J")</f>
        <v>Abu Dhabi&gt;Al Rahbah&gt;Rahbah J</v>
      </c>
      <c r="E9336" s="2"/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  <c r="W9336" s="2"/>
      <c r="X9336" s="2"/>
      <c r="Y9336" s="2"/>
      <c r="Z9336" s="2"/>
    </row>
    <row r="9337" spans="1:26" ht="16.5" x14ac:dyDescent="0.35">
      <c r="A9337" s="2" t="str">
        <f ca="1">IFERROR(__xludf.DUMMYFUNCTION("""COMPUTED_VALUE"""),"Abu Dhabi")</f>
        <v>Abu Dhabi</v>
      </c>
      <c r="B9337" s="2" t="str">
        <f ca="1">IFERROR(__xludf.DUMMYFUNCTION("""COMPUTED_VALUE"""),"Joud")</f>
        <v>Joud</v>
      </c>
      <c r="C9337" s="2" t="str">
        <f ca="1">IFERROR(__xludf.DUMMYFUNCTION("""COMPUTED_VALUE"""),"Neighbourhood")</f>
        <v>Neighbourhood</v>
      </c>
      <c r="D9337" s="2" t="str">
        <f ca="1">IFERROR(__xludf.DUMMYFUNCTION("""COMPUTED_VALUE"""),"Abu Dhabi&gt;Al Jurf&gt;Al Jurf Gardens&gt;Joud")</f>
        <v>Abu Dhabi&gt;Al Jurf&gt;Al Jurf Gardens&gt;Joud</v>
      </c>
      <c r="E9337" s="2"/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  <c r="W9337" s="2"/>
      <c r="X9337" s="2"/>
      <c r="Y9337" s="2"/>
      <c r="Z9337" s="2"/>
    </row>
    <row r="9338" spans="1:26" ht="16.5" x14ac:dyDescent="0.35">
      <c r="A9338" s="2" t="str">
        <f ca="1">IFERROR(__xludf.DUMMYFUNCTION("""COMPUTED_VALUE"""),"Abu Dhabi")</f>
        <v>Abu Dhabi</v>
      </c>
      <c r="B9338" s="2" t="str">
        <f ca="1">IFERROR(__xludf.DUMMYFUNCTION("""COMPUTED_VALUE"""),"Al Jowhara Tower")</f>
        <v>Al Jowhara Tower</v>
      </c>
      <c r="C9338" s="2" t="str">
        <f ca="1">IFERROR(__xludf.DUMMYFUNCTION("""COMPUTED_VALUE"""),"Building")</f>
        <v>Building</v>
      </c>
      <c r="D9338" s="2" t="str">
        <f ca="1">IFERROR(__xludf.DUMMYFUNCTION("""COMPUTED_VALUE"""),"Abu Dhabi&gt;Corniche Area&gt;Al Jowhara Tower")</f>
        <v>Abu Dhabi&gt;Corniche Area&gt;Al Jowhara Tower</v>
      </c>
      <c r="E9338" s="2"/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  <c r="W9338" s="2"/>
      <c r="X9338" s="2"/>
      <c r="Y9338" s="2"/>
      <c r="Z9338" s="2"/>
    </row>
    <row r="9339" spans="1:26" ht="16.5" x14ac:dyDescent="0.35">
      <c r="A9339" s="2" t="str">
        <f ca="1">IFERROR(__xludf.DUMMYFUNCTION("""COMPUTED_VALUE"""),"Abu Dhabi")</f>
        <v>Abu Dhabi</v>
      </c>
      <c r="B9339" s="2" t="str">
        <f ca="1">IFERROR(__xludf.DUMMYFUNCTION("""COMPUTED_VALUE"""),"Blossom Nursery Masdar")</f>
        <v>Blossom Nursery Masdar</v>
      </c>
      <c r="C9339" s="2" t="str">
        <f ca="1">IFERROR(__xludf.DUMMYFUNCTION("""COMPUTED_VALUE"""),"Nursery")</f>
        <v>Nursery</v>
      </c>
      <c r="D9339" s="2" t="str">
        <f ca="1">IFERROR(__xludf.DUMMYFUNCTION("""COMPUTED_VALUE"""),"Abu Dhabi&gt;Masdar City&gt;Blossom Nursery Masdar")</f>
        <v>Abu Dhabi&gt;Masdar City&gt;Blossom Nursery Masdar</v>
      </c>
      <c r="E9339" s="2"/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  <c r="W9339" s="2"/>
      <c r="X9339" s="2"/>
      <c r="Y9339" s="2"/>
      <c r="Z9339" s="2"/>
    </row>
    <row r="9340" spans="1:26" ht="16.5" x14ac:dyDescent="0.35">
      <c r="A9340" s="2" t="str">
        <f ca="1">IFERROR(__xludf.DUMMYFUNCTION("""COMPUTED_VALUE"""),"Abu Dhabi")</f>
        <v>Abu Dhabi</v>
      </c>
      <c r="B9340" s="2" t="str">
        <f ca="1">IFERROR(__xludf.DUMMYFUNCTION("""COMPUTED_VALUE"""),"Park Arjaan")</f>
        <v>Park Arjaan</v>
      </c>
      <c r="C9340" s="2" t="str">
        <f ca="1">IFERROR(__xludf.DUMMYFUNCTION("""COMPUTED_VALUE"""),"Building")</f>
        <v>Building</v>
      </c>
      <c r="D9340" s="2" t="str">
        <f ca="1">IFERROR(__xludf.DUMMYFUNCTION("""COMPUTED_VALUE"""),"Abu Dhabi&gt;Eastern Road&gt;Khalifa Park&gt;Park Arjaan")</f>
        <v>Abu Dhabi&gt;Eastern Road&gt;Khalifa Park&gt;Park Arjaan</v>
      </c>
      <c r="E9340" s="2"/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  <c r="W9340" s="2"/>
      <c r="X9340" s="2"/>
      <c r="Y9340" s="2"/>
      <c r="Z9340" s="2"/>
    </row>
    <row r="9341" spans="1:26" ht="16.5" x14ac:dyDescent="0.35">
      <c r="A9341" s="2" t="str">
        <f ca="1">IFERROR(__xludf.DUMMYFUNCTION("""COMPUTED_VALUE"""),"Abu Dhabi")</f>
        <v>Abu Dhabi</v>
      </c>
      <c r="B9341" s="2" t="str">
        <f ca="1">IFERROR(__xludf.DUMMYFUNCTION("""COMPUTED_VALUE"""),"First Gulf Bank Tower")</f>
        <v>First Gulf Bank Tower</v>
      </c>
      <c r="C9341" s="2" t="str">
        <f ca="1">IFERROR(__xludf.DUMMYFUNCTION("""COMPUTED_VALUE"""),"Building")</f>
        <v>Building</v>
      </c>
      <c r="D9341" s="2" t="str">
        <f ca="1">IFERROR(__xludf.DUMMYFUNCTION("""COMPUTED_VALUE"""),"Abu Dhabi&gt;Madinat Zayed&gt;First Gulf Bank Tower")</f>
        <v>Abu Dhabi&gt;Madinat Zayed&gt;First Gulf Bank Tower</v>
      </c>
      <c r="E9341" s="2"/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  <c r="W9341" s="2"/>
      <c r="X9341" s="2"/>
      <c r="Y9341" s="2"/>
      <c r="Z9341" s="2"/>
    </row>
    <row r="9342" spans="1:26" ht="16.5" x14ac:dyDescent="0.35">
      <c r="A9342" s="2" t="str">
        <f ca="1">IFERROR(__xludf.DUMMYFUNCTION("""COMPUTED_VALUE"""),"Abu Dhabi")</f>
        <v>Abu Dhabi</v>
      </c>
      <c r="B9342" s="2" t="str">
        <f ca="1">IFERROR(__xludf.DUMMYFUNCTION("""COMPUTED_VALUE"""),"Blossom Nursery Al Manaseer")</f>
        <v>Blossom Nursery Al Manaseer</v>
      </c>
      <c r="C9342" s="2" t="str">
        <f ca="1">IFERROR(__xludf.DUMMYFUNCTION("""COMPUTED_VALUE"""),"Nursery")</f>
        <v>Nursery</v>
      </c>
      <c r="D9342" s="2" t="str">
        <f ca="1">IFERROR(__xludf.DUMMYFUNCTION("""COMPUTED_VALUE"""),"Abu Dhabi&gt;Al Manaseer&gt;Blossom Nursery Al Manaseer")</f>
        <v>Abu Dhabi&gt;Al Manaseer&gt;Blossom Nursery Al Manaseer</v>
      </c>
      <c r="E9342" s="2"/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  <c r="W9342" s="2"/>
      <c r="X9342" s="2"/>
      <c r="Y9342" s="2"/>
      <c r="Z9342" s="2"/>
    </row>
    <row r="9343" spans="1:26" ht="16.5" x14ac:dyDescent="0.35">
      <c r="A9343" s="2" t="str">
        <f ca="1">IFERROR(__xludf.DUMMYFUNCTION("""COMPUTED_VALUE"""),"Abu Dhabi")</f>
        <v>Abu Dhabi</v>
      </c>
      <c r="B9343" s="2" t="str">
        <f ca="1">IFERROR(__xludf.DUMMYFUNCTION("""COMPUTED_VALUE"""),"MSH10")</f>
        <v>MSH10</v>
      </c>
      <c r="C9343" s="2" t="str">
        <f ca="1">IFERROR(__xludf.DUMMYFUNCTION("""COMPUTED_VALUE"""),"Neighbourhood")</f>
        <v>Neighbourhood</v>
      </c>
      <c r="D9343" s="2" t="str">
        <f ca="1">IFERROR(__xludf.DUMMYFUNCTION("""COMPUTED_VALUE"""),"Abu Dhabi&gt;Shakhbout City&gt;MSH10")</f>
        <v>Abu Dhabi&gt;Shakhbout City&gt;MSH10</v>
      </c>
      <c r="E9343" s="2"/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  <c r="W9343" s="2"/>
      <c r="X9343" s="2"/>
      <c r="Y9343" s="2"/>
      <c r="Z9343" s="2"/>
    </row>
    <row r="9344" spans="1:26" ht="16.5" x14ac:dyDescent="0.35">
      <c r="A9344" s="2" t="str">
        <f ca="1">IFERROR(__xludf.DUMMYFUNCTION("""COMPUTED_VALUE"""),"Abu Dhabi")</f>
        <v>Abu Dhabi</v>
      </c>
      <c r="B9344" s="2" t="str">
        <f ca="1">IFERROR(__xludf.DUMMYFUNCTION("""COMPUTED_VALUE"""),"MSH42")</f>
        <v>MSH42</v>
      </c>
      <c r="C9344" s="2" t="str">
        <f ca="1">IFERROR(__xludf.DUMMYFUNCTION("""COMPUTED_VALUE"""),"Neighbourhood")</f>
        <v>Neighbourhood</v>
      </c>
      <c r="D9344" s="2" t="str">
        <f ca="1">IFERROR(__xludf.DUMMYFUNCTION("""COMPUTED_VALUE"""),"Abu Dhabi&gt;Shakhbout City&gt;MSH42")</f>
        <v>Abu Dhabi&gt;Shakhbout City&gt;MSH42</v>
      </c>
      <c r="E9344" s="2"/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  <c r="W9344" s="2"/>
      <c r="X9344" s="2"/>
      <c r="Y9344" s="2"/>
      <c r="Z9344" s="2"/>
    </row>
    <row r="9345" spans="1:26" ht="16.5" x14ac:dyDescent="0.35">
      <c r="A9345" s="2" t="str">
        <f ca="1">IFERROR(__xludf.DUMMYFUNCTION("""COMPUTED_VALUE"""),"Abu Dhabi")</f>
        <v>Abu Dhabi</v>
      </c>
      <c r="B9345" s="2" t="str">
        <f ca="1">IFERROR(__xludf.DUMMYFUNCTION("""COMPUTED_VALUE"""),"Al Dhabianiya Private School")</f>
        <v>Al Dhabianiya Private School</v>
      </c>
      <c r="C9345" s="2" t="str">
        <f ca="1">IFERROR(__xludf.DUMMYFUNCTION("""COMPUTED_VALUE"""),"School")</f>
        <v>School</v>
      </c>
      <c r="D9345" s="2" t="str">
        <f ca="1">IFERROR(__xludf.DUMMYFUNCTION("""COMPUTED_VALUE"""),"Abu Dhabi&gt;Al Zaab&gt;Al Dhabianiya Private School")</f>
        <v>Abu Dhabi&gt;Al Zaab&gt;Al Dhabianiya Private School</v>
      </c>
      <c r="E9345" s="2"/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  <c r="W9345" s="2"/>
      <c r="X9345" s="2"/>
      <c r="Y9345" s="2"/>
      <c r="Z9345" s="2"/>
    </row>
    <row r="9346" spans="1:26" ht="16.5" x14ac:dyDescent="0.35">
      <c r="A9346" s="2" t="str">
        <f ca="1">IFERROR(__xludf.DUMMYFUNCTION("""COMPUTED_VALUE"""),"Abu Dhabi")</f>
        <v>Abu Dhabi</v>
      </c>
      <c r="B9346" s="2" t="str">
        <f ca="1">IFERROR(__xludf.DUMMYFUNCTION("""COMPUTED_VALUE"""),"Al Hisn")</f>
        <v>Al Hisn</v>
      </c>
      <c r="C9346" s="2" t="str">
        <f ca="1">IFERROR(__xludf.DUMMYFUNCTION("""COMPUTED_VALUE"""),"Neighbourhood")</f>
        <v>Neighbourhood</v>
      </c>
      <c r="D9346" s="2" t="str">
        <f ca="1">IFERROR(__xludf.DUMMYFUNCTION("""COMPUTED_VALUE"""),"Abu Dhabi&gt;Al Hisn")</f>
        <v>Abu Dhabi&gt;Al Hisn</v>
      </c>
      <c r="E9346" s="2"/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</row>
    <row r="9347" spans="1:26" ht="16.5" x14ac:dyDescent="0.35">
      <c r="A9347" s="2" t="str">
        <f ca="1">IFERROR(__xludf.DUMMYFUNCTION("""COMPUTED_VALUE"""),"Abu Dhabi")</f>
        <v>Abu Dhabi</v>
      </c>
      <c r="B9347" s="2" t="str">
        <f ca="1">IFERROR(__xludf.DUMMYFUNCTION("""COMPUTED_VALUE"""),"Manazel Al Reef 2")</f>
        <v>Manazel Al Reef 2</v>
      </c>
      <c r="C9347" s="2" t="str">
        <f ca="1">IFERROR(__xludf.DUMMYFUNCTION("""COMPUTED_VALUE"""),"Neighbourhood")</f>
        <v>Neighbourhood</v>
      </c>
      <c r="D9347" s="2" t="str">
        <f ca="1">IFERROR(__xludf.DUMMYFUNCTION("""COMPUTED_VALUE"""),"Abu Dhabi&gt;Al Samha&gt;Manazel Al Reef 2")</f>
        <v>Abu Dhabi&gt;Al Samha&gt;Manazel Al Reef 2</v>
      </c>
      <c r="E9347" s="2"/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  <c r="W9347" s="2"/>
      <c r="X9347" s="2"/>
      <c r="Y9347" s="2"/>
      <c r="Z9347" s="2"/>
    </row>
    <row r="9348" spans="1:26" ht="16.5" x14ac:dyDescent="0.35">
      <c r="A9348" s="2" t="str">
        <f ca="1">IFERROR(__xludf.DUMMYFUNCTION("""COMPUTED_VALUE"""),"Abu Dhabi")</f>
        <v>Abu Dhabi</v>
      </c>
      <c r="B9348" s="2" t="str">
        <f ca="1">IFERROR(__xludf.DUMMYFUNCTION("""COMPUTED_VALUE"""),"Fahid Beach Residences Tower B2")</f>
        <v>Fahid Beach Residences Tower B2</v>
      </c>
      <c r="C9348" s="2" t="str">
        <f ca="1">IFERROR(__xludf.DUMMYFUNCTION("""COMPUTED_VALUE"""),"Building")</f>
        <v>Building</v>
      </c>
      <c r="D9348" s="2" t="str">
        <f ca="1">IFERROR(__xludf.DUMMYFUNCTION("""COMPUTED_VALUE"""),"Abu Dhabi&gt;Fahid Island&gt;Fahid Beach Residences&gt;Fahid Beach Residences Tower B2")</f>
        <v>Abu Dhabi&gt;Fahid Island&gt;Fahid Beach Residences&gt;Fahid Beach Residences Tower B2</v>
      </c>
      <c r="E9348" s="2"/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  <c r="W9348" s="2"/>
      <c r="X9348" s="2"/>
      <c r="Y9348" s="2"/>
      <c r="Z9348" s="2"/>
    </row>
    <row r="9349" spans="1:26" ht="16.5" x14ac:dyDescent="0.35">
      <c r="A9349" s="2" t="str">
        <f ca="1">IFERROR(__xludf.DUMMYFUNCTION("""COMPUTED_VALUE"""),"Abu Dhabi")</f>
        <v>Abu Dhabi</v>
      </c>
      <c r="B9349" s="2" t="str">
        <f ca="1">IFERROR(__xludf.DUMMYFUNCTION("""COMPUTED_VALUE"""),"Reem Down Town")</f>
        <v>Reem Down Town</v>
      </c>
      <c r="C9349" s="2" t="str">
        <f ca="1">IFERROR(__xludf.DUMMYFUNCTION("""COMPUTED_VALUE"""),"Neighbourhood")</f>
        <v>Neighbourhood</v>
      </c>
      <c r="D9349" s="2" t="str">
        <f ca="1">IFERROR(__xludf.DUMMYFUNCTION("""COMPUTED_VALUE"""),"Abu Dhabi&gt;Al Reem Island&gt;Tamouh&gt;Reem Down Town")</f>
        <v>Abu Dhabi&gt;Al Reem Island&gt;Tamouh&gt;Reem Down Town</v>
      </c>
      <c r="E9349" s="2"/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  <c r="W9349" s="2"/>
      <c r="X9349" s="2"/>
      <c r="Y9349" s="2"/>
      <c r="Z9349" s="2"/>
    </row>
    <row r="9350" spans="1:26" ht="16.5" x14ac:dyDescent="0.35">
      <c r="A9350" s="2" t="str">
        <f ca="1">IFERROR(__xludf.DUMMYFUNCTION("""COMPUTED_VALUE"""),"Abu Dhabi")</f>
        <v>Abu Dhabi</v>
      </c>
      <c r="B9350" s="2" t="str">
        <f ca="1">IFERROR(__xludf.DUMMYFUNCTION("""COMPUTED_VALUE"""),"Hydra Executive Towers")</f>
        <v>Hydra Executive Towers</v>
      </c>
      <c r="C9350" s="2" t="str">
        <f ca="1">IFERROR(__xludf.DUMMYFUNCTION("""COMPUTED_VALUE"""),"Building")</f>
        <v>Building</v>
      </c>
      <c r="D9350" s="2" t="str">
        <f ca="1">IFERROR(__xludf.DUMMYFUNCTION("""COMPUTED_VALUE"""),"Abu Dhabi&gt;Al Reem Island&gt;Hydra Executive Towers")</f>
        <v>Abu Dhabi&gt;Al Reem Island&gt;Hydra Executive Towers</v>
      </c>
      <c r="E9350" s="2"/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  <c r="W9350" s="2"/>
      <c r="X9350" s="2"/>
      <c r="Y9350" s="2"/>
      <c r="Z9350" s="2"/>
    </row>
    <row r="9351" spans="1:26" ht="16.5" x14ac:dyDescent="0.35">
      <c r="A9351" s="2" t="str">
        <f ca="1">IFERROR(__xludf.DUMMYFUNCTION("""COMPUTED_VALUE"""),"Abu Dhabi")</f>
        <v>Abu Dhabi</v>
      </c>
      <c r="B9351" s="2" t="str">
        <f ca="1">IFERROR(__xludf.DUMMYFUNCTION("""COMPUTED_VALUE"""),"Parkside Residence A")</f>
        <v>Parkside Residence A</v>
      </c>
      <c r="C9351" s="2" t="str">
        <f ca="1">IFERROR(__xludf.DUMMYFUNCTION("""COMPUTED_VALUE"""),"Building")</f>
        <v>Building</v>
      </c>
      <c r="D9351" s="2" t="str">
        <f ca="1">IFERROR(__xludf.DUMMYFUNCTION("""COMPUTED_VALUE"""),"Abu Dhabi&gt;Al Reem Island&gt;Shams Abu Dhabi&gt;Parkside Residence&gt;Parkside Residence A")</f>
        <v>Abu Dhabi&gt;Al Reem Island&gt;Shams Abu Dhabi&gt;Parkside Residence&gt;Parkside Residence A</v>
      </c>
      <c r="E9351" s="2"/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  <c r="W9351" s="2"/>
      <c r="X9351" s="2"/>
      <c r="Y9351" s="2"/>
      <c r="Z9351" s="2"/>
    </row>
    <row r="9352" spans="1:26" ht="16.5" x14ac:dyDescent="0.35">
      <c r="A9352" s="2" t="str">
        <f ca="1">IFERROR(__xludf.DUMMYFUNCTION("""COMPUTED_VALUE"""),"Abu Dhabi")</f>
        <v>Abu Dhabi</v>
      </c>
      <c r="B9352" s="2" t="str">
        <f ca="1">IFERROR(__xludf.DUMMYFUNCTION("""COMPUTED_VALUE"""),"Beach Tower B")</f>
        <v>Beach Tower B</v>
      </c>
      <c r="C9352" s="2" t="str">
        <f ca="1">IFERROR(__xludf.DUMMYFUNCTION("""COMPUTED_VALUE"""),"Building")</f>
        <v>Building</v>
      </c>
      <c r="D9352" s="2" t="str">
        <f ca="1">IFERROR(__xludf.DUMMYFUNCTION("""COMPUTED_VALUE"""),"Abu Dhabi&gt;Al Reem Island&gt;Shams Abu Dhabi&gt;Beach Towers&gt;Beach Tower B")</f>
        <v>Abu Dhabi&gt;Al Reem Island&gt;Shams Abu Dhabi&gt;Beach Towers&gt;Beach Tower B</v>
      </c>
      <c r="E9352" s="2"/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  <c r="W9352" s="2"/>
      <c r="X9352" s="2"/>
      <c r="Y9352" s="2"/>
      <c r="Z9352" s="2"/>
    </row>
    <row r="9353" spans="1:26" ht="16.5" x14ac:dyDescent="0.35">
      <c r="A9353" s="2" t="str">
        <f ca="1">IFERROR(__xludf.DUMMYFUNCTION("""COMPUTED_VALUE"""),"Abu Dhabi")</f>
        <v>Abu Dhabi</v>
      </c>
      <c r="B9353" s="2" t="str">
        <f ca="1">IFERROR(__xludf.DUMMYFUNCTION("""COMPUTED_VALUE"""),"Marina Bay")</f>
        <v>Marina Bay</v>
      </c>
      <c r="C9353" s="2" t="str">
        <f ca="1">IFERROR(__xludf.DUMMYFUNCTION("""COMPUTED_VALUE"""),"Building")</f>
        <v>Building</v>
      </c>
      <c r="D9353" s="2" t="str">
        <f ca="1">IFERROR(__xludf.DUMMYFUNCTION("""COMPUTED_VALUE"""),"Abu Dhabi&gt;Al Reem Island&gt;City of Lights&gt;Marina Bay")</f>
        <v>Abu Dhabi&gt;Al Reem Island&gt;City of Lights&gt;Marina Bay</v>
      </c>
      <c r="E9353" s="2"/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  <c r="W9353" s="2"/>
      <c r="X9353" s="2"/>
      <c r="Y9353" s="2"/>
      <c r="Z9353" s="2"/>
    </row>
    <row r="9354" spans="1:26" ht="16.5" x14ac:dyDescent="0.35">
      <c r="A9354" s="2" t="str">
        <f ca="1">IFERROR(__xludf.DUMMYFUNCTION("""COMPUTED_VALUE"""),"Abu Dhabi")</f>
        <v>Abu Dhabi</v>
      </c>
      <c r="B9354" s="2" t="str">
        <f ca="1">IFERROR(__xludf.DUMMYFUNCTION("""COMPUTED_VALUE"""),"Dynasty Tower")</f>
        <v>Dynasty Tower</v>
      </c>
      <c r="C9354" s="2" t="str">
        <f ca="1">IFERROR(__xludf.DUMMYFUNCTION("""COMPUTED_VALUE"""),"Building")</f>
        <v>Building</v>
      </c>
      <c r="D9354" s="2" t="str">
        <f ca="1">IFERROR(__xludf.DUMMYFUNCTION("""COMPUTED_VALUE"""),"Abu Dhabi&gt;Al Reem Island&gt;Dynasty Tower")</f>
        <v>Abu Dhabi&gt;Al Reem Island&gt;Dynasty Tower</v>
      </c>
      <c r="E9354" s="2"/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  <c r="W9354" s="2"/>
      <c r="X9354" s="2"/>
      <c r="Y9354" s="2"/>
      <c r="Z9354" s="2"/>
    </row>
    <row r="9355" spans="1:26" ht="16.5" x14ac:dyDescent="0.35">
      <c r="A9355" s="2" t="str">
        <f ca="1">IFERROR(__xludf.DUMMYFUNCTION("""COMPUTED_VALUE"""),"Abu Dhabi")</f>
        <v>Abu Dhabi</v>
      </c>
      <c r="B9355" s="2" t="str">
        <f ca="1">IFERROR(__xludf.DUMMYFUNCTION("""COMPUTED_VALUE"""),"The Marina")</f>
        <v>The Marina</v>
      </c>
      <c r="C9355" s="2" t="str">
        <f ca="1">IFERROR(__xludf.DUMMYFUNCTION("""COMPUTED_VALUE"""),"Neighbourhood")</f>
        <v>Neighbourhood</v>
      </c>
      <c r="D9355" s="2" t="str">
        <f ca="1">IFERROR(__xludf.DUMMYFUNCTION("""COMPUTED_VALUE"""),"Abu Dhabi&gt;The Marina")</f>
        <v>Abu Dhabi&gt;The Marina</v>
      </c>
      <c r="E9355" s="2"/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  <c r="W9355" s="2"/>
      <c r="X9355" s="2"/>
      <c r="Y9355" s="2"/>
      <c r="Z9355" s="2"/>
    </row>
    <row r="9356" spans="1:26" ht="16.5" x14ac:dyDescent="0.35">
      <c r="A9356" s="2" t="str">
        <f ca="1">IFERROR(__xludf.DUMMYFUNCTION("""COMPUTED_VALUE"""),"Abu Dhabi")</f>
        <v>Abu Dhabi</v>
      </c>
      <c r="B9356" s="2" t="str">
        <f ca="1">IFERROR(__xludf.DUMMYFUNCTION("""COMPUTED_VALUE"""),"Liwa Centre Tower 2")</f>
        <v>Liwa Centre Tower 2</v>
      </c>
      <c r="C9356" s="2" t="str">
        <f ca="1">IFERROR(__xludf.DUMMYFUNCTION("""COMPUTED_VALUE"""),"Building")</f>
        <v>Building</v>
      </c>
      <c r="D9356" s="2" t="str">
        <f ca="1">IFERROR(__xludf.DUMMYFUNCTION("""COMPUTED_VALUE"""),"Abu Dhabi&gt;Hamdan Street&gt;Liwa Centre&gt;Liwa Centre Tower 2")</f>
        <v>Abu Dhabi&gt;Hamdan Street&gt;Liwa Centre&gt;Liwa Centre Tower 2</v>
      </c>
      <c r="E9356" s="2"/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  <c r="W9356" s="2"/>
      <c r="X9356" s="2"/>
      <c r="Y9356" s="2"/>
      <c r="Z9356" s="2"/>
    </row>
    <row r="9357" spans="1:26" ht="16.5" x14ac:dyDescent="0.35">
      <c r="A9357" s="2" t="str">
        <f ca="1">IFERROR(__xludf.DUMMYFUNCTION("""COMPUTED_VALUE"""),"Abu Dhabi")</f>
        <v>Abu Dhabi</v>
      </c>
      <c r="B9357" s="2" t="str">
        <f ca="1">IFERROR(__xludf.DUMMYFUNCTION("""COMPUTED_VALUE"""),"Corniche Tower")</f>
        <v>Corniche Tower</v>
      </c>
      <c r="C9357" s="2" t="str">
        <f ca="1">IFERROR(__xludf.DUMMYFUNCTION("""COMPUTED_VALUE"""),"Building")</f>
        <v>Building</v>
      </c>
      <c r="D9357" s="2" t="str">
        <f ca="1">IFERROR(__xludf.DUMMYFUNCTION("""COMPUTED_VALUE"""),"Abu Dhabi&gt;Al Khalidiyah&gt;Corniche Tower")</f>
        <v>Abu Dhabi&gt;Al Khalidiyah&gt;Corniche Tower</v>
      </c>
      <c r="E9357" s="2"/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  <c r="W9357" s="2"/>
      <c r="X9357" s="2"/>
      <c r="Y9357" s="2"/>
      <c r="Z9357" s="2"/>
    </row>
    <row r="9358" spans="1:26" ht="16.5" x14ac:dyDescent="0.35">
      <c r="A9358" s="2" t="str">
        <f ca="1">IFERROR(__xludf.DUMMYFUNCTION("""COMPUTED_VALUE"""),"Abu Dhabi")</f>
        <v>Abu Dhabi</v>
      </c>
      <c r="B9358" s="2" t="str">
        <f ca="1">IFERROR(__xludf.DUMMYFUNCTION("""COMPUTED_VALUE"""),"Philippine Emirates Private School")</f>
        <v>Philippine Emirates Private School</v>
      </c>
      <c r="C9358" s="2" t="str">
        <f ca="1">IFERROR(__xludf.DUMMYFUNCTION("""COMPUTED_VALUE"""),"School")</f>
        <v>School</v>
      </c>
      <c r="D9358" s="2" t="str">
        <f ca="1">IFERROR(__xludf.DUMMYFUNCTION("""COMPUTED_VALUE"""),"Abu Dhabi&gt;Khalifa City&gt;Philippine Emirates Private School")</f>
        <v>Abu Dhabi&gt;Khalifa City&gt;Philippine Emirates Private School</v>
      </c>
      <c r="E9358" s="2"/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</row>
    <row r="9359" spans="1:26" ht="16.5" x14ac:dyDescent="0.35">
      <c r="A9359" s="2" t="str">
        <f ca="1">IFERROR(__xludf.DUMMYFUNCTION("""COMPUTED_VALUE"""),"Abu Dhabi")</f>
        <v>Abu Dhabi</v>
      </c>
      <c r="B9359" s="2" t="str">
        <f ca="1">IFERROR(__xludf.DUMMYFUNCTION("""COMPUTED_VALUE"""),"SE41")</f>
        <v>SE41</v>
      </c>
      <c r="C9359" s="2" t="str">
        <f ca="1">IFERROR(__xludf.DUMMYFUNCTION("""COMPUTED_VALUE"""),"Neighbourhood")</f>
        <v>Neighbourhood</v>
      </c>
      <c r="D9359" s="2" t="str">
        <f ca="1">IFERROR(__xludf.DUMMYFUNCTION("""COMPUTED_VALUE"""),"Abu Dhabi&gt;Khalifa City&gt;SE41")</f>
        <v>Abu Dhabi&gt;Khalifa City&gt;SE41</v>
      </c>
      <c r="E9359" s="2"/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  <c r="W9359" s="2"/>
      <c r="X9359" s="2"/>
      <c r="Y9359" s="2"/>
      <c r="Z9359" s="2"/>
    </row>
    <row r="9360" spans="1:26" ht="16.5" x14ac:dyDescent="0.35">
      <c r="A9360" s="2" t="str">
        <f ca="1">IFERROR(__xludf.DUMMYFUNCTION("""COMPUTED_VALUE"""),"Abu Dhabi")</f>
        <v>Abu Dhabi</v>
      </c>
      <c r="B9360" s="2" t="str">
        <f ca="1">IFERROR(__xludf.DUMMYFUNCTION("""COMPUTED_VALUE"""),"Al Mazroui Tower")</f>
        <v>Al Mazroui Tower</v>
      </c>
      <c r="C9360" s="2"/>
      <c r="D9360" s="2" t="str">
        <f ca="1">IFERROR(__xludf.DUMMYFUNCTION("""COMPUTED_VALUE"""),"Abu Dhabi&gt;Al Markaziya&gt;Al Mazroui Tower")</f>
        <v>Abu Dhabi&gt;Al Markaziya&gt;Al Mazroui Tower</v>
      </c>
      <c r="E9360" s="2"/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  <c r="W9360" s="2"/>
      <c r="X9360" s="2"/>
      <c r="Y9360" s="2"/>
      <c r="Z9360" s="2"/>
    </row>
    <row r="9361" spans="1:26" ht="16.5" x14ac:dyDescent="0.35">
      <c r="A9361" s="2" t="str">
        <f ca="1">IFERROR(__xludf.DUMMYFUNCTION("""COMPUTED_VALUE"""),"Abu Dhabi")</f>
        <v>Abu Dhabi</v>
      </c>
      <c r="B9361" s="2" t="str">
        <f ca="1">IFERROR(__xludf.DUMMYFUNCTION("""COMPUTED_VALUE"""),"Al Baraha Village")</f>
        <v>Al Baraha Village</v>
      </c>
      <c r="C9361" s="2"/>
      <c r="D9361" s="2" t="str">
        <f ca="1">IFERROR(__xludf.DUMMYFUNCTION("""COMPUTED_VALUE"""),"Abu Dhabi&gt;Al Ghadeer&gt;Al Baraha Village")</f>
        <v>Abu Dhabi&gt;Al Ghadeer&gt;Al Baraha Village</v>
      </c>
      <c r="E9361" s="2"/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  <c r="W9361" s="2"/>
      <c r="X9361" s="2"/>
      <c r="Y9361" s="2"/>
      <c r="Z9361" s="2"/>
    </row>
    <row r="9362" spans="1:26" ht="16.5" x14ac:dyDescent="0.35">
      <c r="A9362" s="2" t="str">
        <f ca="1">IFERROR(__xludf.DUMMYFUNCTION("""COMPUTED_VALUE"""),"Abu Dhabi")</f>
        <v>Abu Dhabi</v>
      </c>
      <c r="B9362" s="2" t="str">
        <f ca="1">IFERROR(__xludf.DUMMYFUNCTION("""COMPUTED_VALUE"""),"Grove Uptown Views")</f>
        <v>Grove Uptown Views</v>
      </c>
      <c r="C9362" s="2" t="str">
        <f ca="1">IFERROR(__xludf.DUMMYFUNCTION("""COMPUTED_VALUE"""),"Building")</f>
        <v>Building</v>
      </c>
      <c r="D9362" s="2" t="str">
        <f ca="1">IFERROR(__xludf.DUMMYFUNCTION("""COMPUTED_VALUE"""),"Abu Dhabi&gt;Saadiyat Island&gt;Saadiyat Cultural District&gt;Saadiyat Grove&gt;Grove Uptown Views")</f>
        <v>Abu Dhabi&gt;Saadiyat Island&gt;Saadiyat Cultural District&gt;Saadiyat Grove&gt;Grove Uptown Views</v>
      </c>
      <c r="E9362" s="2"/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  <c r="W9362" s="2"/>
      <c r="X9362" s="2"/>
      <c r="Y9362" s="2"/>
      <c r="Z9362" s="2"/>
    </row>
    <row r="9363" spans="1:26" ht="16.5" x14ac:dyDescent="0.35">
      <c r="A9363" s="2" t="str">
        <f ca="1">IFERROR(__xludf.DUMMYFUNCTION("""COMPUTED_VALUE"""),"Abu Dhabi")</f>
        <v>Abu Dhabi</v>
      </c>
      <c r="B9363" s="2" t="str">
        <f ca="1">IFERROR(__xludf.DUMMYFUNCTION("""COMPUTED_VALUE"""),"Al Ghaf")</f>
        <v>Al Ghaf</v>
      </c>
      <c r="C9363" s="2" t="str">
        <f ca="1">IFERROR(__xludf.DUMMYFUNCTION("""COMPUTED_VALUE"""),"Neighbourhood")</f>
        <v>Neighbourhood</v>
      </c>
      <c r="D9363" s="2" t="str">
        <f ca="1">IFERROR(__xludf.DUMMYFUNCTION("""COMPUTED_VALUE"""),"Abu Dhabi&gt;Saadiyat Island&gt;Saadiyat Lagoons&gt;Al Ghaf")</f>
        <v>Abu Dhabi&gt;Saadiyat Island&gt;Saadiyat Lagoons&gt;Al Ghaf</v>
      </c>
      <c r="E9363" s="2"/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  <c r="W9363" s="2"/>
      <c r="X9363" s="2"/>
      <c r="Y9363" s="2"/>
      <c r="Z9363" s="2"/>
    </row>
    <row r="9364" spans="1:26" ht="16.5" x14ac:dyDescent="0.35">
      <c r="A9364" s="2" t="str">
        <f ca="1">IFERROR(__xludf.DUMMYFUNCTION("""COMPUTED_VALUE"""),"Abu Dhabi")</f>
        <v>Abu Dhabi</v>
      </c>
      <c r="B9364" s="2" t="str">
        <f ca="1">IFERROR(__xludf.DUMMYFUNCTION("""COMPUTED_VALUE"""),"Saadiyat Promenade")</f>
        <v>Saadiyat Promenade</v>
      </c>
      <c r="C9364" s="2" t="str">
        <f ca="1">IFERROR(__xludf.DUMMYFUNCTION("""COMPUTED_VALUE"""),"Building")</f>
        <v>Building</v>
      </c>
      <c r="D9364" s="2" t="str">
        <f ca="1">IFERROR(__xludf.DUMMYFUNCTION("""COMPUTED_VALUE"""),"Abu Dhabi&gt;Saadiyat Island&gt;Saadiyat Promenade")</f>
        <v>Abu Dhabi&gt;Saadiyat Island&gt;Saadiyat Promenade</v>
      </c>
      <c r="E9364" s="2"/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  <c r="W9364" s="2"/>
      <c r="X9364" s="2"/>
      <c r="Y9364" s="2"/>
      <c r="Z9364" s="2"/>
    </row>
    <row r="9365" spans="1:26" ht="16.5" x14ac:dyDescent="0.35">
      <c r="A9365" s="2" t="str">
        <f ca="1">IFERROR(__xludf.DUMMYFUNCTION("""COMPUTED_VALUE"""),"Abu Dhabi")</f>
        <v>Abu Dhabi</v>
      </c>
      <c r="B9365" s="2" t="str">
        <f ca="1">IFERROR(__xludf.DUMMYFUNCTION("""COMPUTED_VALUE"""),"Al Hadeel")</f>
        <v>Al Hadeel</v>
      </c>
      <c r="C9365" s="2" t="str">
        <f ca="1">IFERROR(__xludf.DUMMYFUNCTION("""COMPUTED_VALUE"""),"Building")</f>
        <v>Building</v>
      </c>
      <c r="D9365" s="2" t="str">
        <f ca="1">IFERROR(__xludf.DUMMYFUNCTION("""COMPUTED_VALUE"""),"Abu Dhabi&gt;Al Raha Beach&gt;Al Hadeel")</f>
        <v>Abu Dhabi&gt;Al Raha Beach&gt;Al Hadeel</v>
      </c>
      <c r="E9365" s="2"/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  <c r="W9365" s="2"/>
      <c r="X9365" s="2"/>
      <c r="Y9365" s="2"/>
      <c r="Z9365" s="2"/>
    </row>
    <row r="9366" spans="1:26" ht="16.5" x14ac:dyDescent="0.35">
      <c r="A9366" s="2" t="str">
        <f ca="1">IFERROR(__xludf.DUMMYFUNCTION("""COMPUTED_VALUE"""),"Abu Dhabi")</f>
        <v>Abu Dhabi</v>
      </c>
      <c r="B9366" s="2" t="str">
        <f ca="1">IFERROR(__xludf.DUMMYFUNCTION("""COMPUTED_VALUE"""),"Al Naseem Residence C")</f>
        <v>Al Naseem Residence C</v>
      </c>
      <c r="C9366" s="2" t="str">
        <f ca="1">IFERROR(__xludf.DUMMYFUNCTION("""COMPUTED_VALUE"""),"Building")</f>
        <v>Building</v>
      </c>
      <c r="D9366" s="2" t="str">
        <f ca="1">IFERROR(__xludf.DUMMYFUNCTION("""COMPUTED_VALUE"""),"Abu Dhabi&gt;Al Raha Beach&gt;Al Bandar&gt;Al Naseem&gt;Al Naseem Residence C")</f>
        <v>Abu Dhabi&gt;Al Raha Beach&gt;Al Bandar&gt;Al Naseem&gt;Al Naseem Residence C</v>
      </c>
      <c r="E9366" s="2"/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  <c r="W9366" s="2"/>
      <c r="X9366" s="2"/>
      <c r="Y9366" s="2"/>
      <c r="Z9366" s="2"/>
    </row>
    <row r="9367" spans="1:26" ht="16.5" x14ac:dyDescent="0.35">
      <c r="A9367" s="2" t="str">
        <f ca="1">IFERROR(__xludf.DUMMYFUNCTION("""COMPUTED_VALUE"""),"Abu Dhabi")</f>
        <v>Abu Dhabi</v>
      </c>
      <c r="B9367" s="2" t="str">
        <f ca="1">IFERROR(__xludf.DUMMYFUNCTION("""COMPUTED_VALUE"""),"Al Razeen")</f>
        <v>Al Razeen</v>
      </c>
      <c r="C9367" s="2" t="str">
        <f ca="1">IFERROR(__xludf.DUMMYFUNCTION("""COMPUTED_VALUE"""),"Neighbourhood")</f>
        <v>Neighbourhood</v>
      </c>
      <c r="D9367" s="2" t="str">
        <f ca="1">IFERROR(__xludf.DUMMYFUNCTION("""COMPUTED_VALUE"""),"Abu Dhabi&gt;Al Raha Beach&gt;Al Razeen")</f>
        <v>Abu Dhabi&gt;Al Raha Beach&gt;Al Razeen</v>
      </c>
      <c r="E9367" s="2"/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  <c r="W9367" s="2"/>
      <c r="X9367" s="2"/>
      <c r="Y9367" s="2"/>
      <c r="Z9367" s="2"/>
    </row>
    <row r="9368" spans="1:26" ht="16.5" x14ac:dyDescent="0.35">
      <c r="A9368" s="2" t="str">
        <f ca="1">IFERROR(__xludf.DUMMYFUNCTION("""COMPUTED_VALUE"""),"Abu Dhabi")</f>
        <v>Abu Dhabi</v>
      </c>
      <c r="B9368" s="2" t="str">
        <f ca="1">IFERROR(__xludf.DUMMYFUNCTION("""COMPUTED_VALUE"""),"Shatie Al Raha Building")</f>
        <v>Shatie Al Raha Building</v>
      </c>
      <c r="C9368" s="2" t="str">
        <f ca="1">IFERROR(__xludf.DUMMYFUNCTION("""COMPUTED_VALUE"""),"Building")</f>
        <v>Building</v>
      </c>
      <c r="D9368" s="2" t="str">
        <f ca="1">IFERROR(__xludf.DUMMYFUNCTION("""COMPUTED_VALUE"""),"Abu Dhabi&gt;Al Raha Beach&gt;Shatie Al Raha Building")</f>
        <v>Abu Dhabi&gt;Al Raha Beach&gt;Shatie Al Raha Building</v>
      </c>
      <c r="E9368" s="2"/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  <c r="W9368" s="2"/>
      <c r="X9368" s="2"/>
      <c r="Y9368" s="2"/>
      <c r="Z9368" s="2"/>
    </row>
    <row r="9369" spans="1:26" ht="16.5" x14ac:dyDescent="0.35">
      <c r="A9369" s="2" t="str">
        <f ca="1">IFERROR(__xludf.DUMMYFUNCTION("""COMPUTED_VALUE"""),"Abu Dhabi")</f>
        <v>Abu Dhabi</v>
      </c>
      <c r="B9369" s="2" t="str">
        <f ca="1">IFERROR(__xludf.DUMMYFUNCTION("""COMPUTED_VALUE"""),"Al Maqtaa Building 1")</f>
        <v>Al Maqtaa Building 1</v>
      </c>
      <c r="C9369" s="2" t="str">
        <f ca="1">IFERROR(__xludf.DUMMYFUNCTION("""COMPUTED_VALUE"""),"Building")</f>
        <v>Building</v>
      </c>
      <c r="D9369" s="2" t="str">
        <f ca="1">IFERROR(__xludf.DUMMYFUNCTION("""COMPUTED_VALUE"""),"Abu Dhabi&gt;Al Muroor&gt;Al Maqtaa Building 1")</f>
        <v>Abu Dhabi&gt;Al Muroor&gt;Al Maqtaa Building 1</v>
      </c>
      <c r="E9369" s="2"/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  <c r="W9369" s="2"/>
      <c r="X9369" s="2"/>
      <c r="Y9369" s="2"/>
      <c r="Z9369" s="2"/>
    </row>
    <row r="9370" spans="1:26" ht="16.5" x14ac:dyDescent="0.35">
      <c r="A9370" s="2" t="str">
        <f ca="1">IFERROR(__xludf.DUMMYFUNCTION("""COMPUTED_VALUE"""),"Abu Dhabi")</f>
        <v>Abu Dhabi</v>
      </c>
      <c r="B9370" s="2" t="str">
        <f ca="1">IFERROR(__xludf.DUMMYFUNCTION("""COMPUTED_VALUE"""),"Royal American School")</f>
        <v>Royal American School</v>
      </c>
      <c r="C9370" s="2" t="str">
        <f ca="1">IFERROR(__xludf.DUMMYFUNCTION("""COMPUTED_VALUE"""),"School")</f>
        <v>School</v>
      </c>
      <c r="D9370" s="2" t="str">
        <f ca="1">IFERROR(__xludf.DUMMYFUNCTION("""COMPUTED_VALUE"""),"Abu Dhabi&gt;Mohamed Bin Zayed City&gt;Royal American School")</f>
        <v>Abu Dhabi&gt;Mohamed Bin Zayed City&gt;Royal American School</v>
      </c>
      <c r="E9370" s="2"/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  <c r="W9370" s="2"/>
      <c r="X9370" s="2"/>
      <c r="Y9370" s="2"/>
      <c r="Z9370" s="2"/>
    </row>
    <row r="9371" spans="1:26" ht="16.5" x14ac:dyDescent="0.35">
      <c r="A9371" s="2" t="str">
        <f ca="1">IFERROR(__xludf.DUMMYFUNCTION("""COMPUTED_VALUE"""),"Abu Dhabi")</f>
        <v>Abu Dhabi</v>
      </c>
      <c r="B9371" s="2" t="str">
        <f ca="1">IFERROR(__xludf.DUMMYFUNCTION("""COMPUTED_VALUE"""),"Zone 30")</f>
        <v>Zone 30</v>
      </c>
      <c r="C9371" s="2" t="str">
        <f ca="1">IFERROR(__xludf.DUMMYFUNCTION("""COMPUTED_VALUE"""),"Neighbourhood")</f>
        <v>Neighbourhood</v>
      </c>
      <c r="D9371" s="2" t="str">
        <f ca="1">IFERROR(__xludf.DUMMYFUNCTION("""COMPUTED_VALUE"""),"Abu Dhabi&gt;Mohamed Bin Zayed City&gt;Zone 30")</f>
        <v>Abu Dhabi&gt;Mohamed Bin Zayed City&gt;Zone 30</v>
      </c>
      <c r="E9371" s="2"/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  <c r="W9371" s="2"/>
      <c r="X9371" s="2"/>
      <c r="Y9371" s="2"/>
      <c r="Z9371" s="2"/>
    </row>
    <row r="9372" spans="1:26" ht="16.5" x14ac:dyDescent="0.35">
      <c r="A9372" s="2" t="str">
        <f ca="1">IFERROR(__xludf.DUMMYFUNCTION("""COMPUTED_VALUE"""),"Abu Dhabi")</f>
        <v>Abu Dhabi</v>
      </c>
      <c r="B9372" s="2" t="str">
        <f ca="1">IFERROR(__xludf.DUMMYFUNCTION("""COMPUTED_VALUE"""),"Building 3")</f>
        <v>Building 3</v>
      </c>
      <c r="C9372" s="2" t="str">
        <f ca="1">IFERROR(__xludf.DUMMYFUNCTION("""COMPUTED_VALUE"""),"Building")</f>
        <v>Building</v>
      </c>
      <c r="D9372" s="2" t="str">
        <f ca="1">IFERROR(__xludf.DUMMYFUNCTION("""COMPUTED_VALUE"""),"Abu Dhabi&gt;Al Reef&gt;Al Reef Downtown&gt;Building 3")</f>
        <v>Abu Dhabi&gt;Al Reef&gt;Al Reef Downtown&gt;Building 3</v>
      </c>
      <c r="E9372" s="2"/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  <c r="W9372" s="2"/>
      <c r="X9372" s="2"/>
      <c r="Y9372" s="2"/>
      <c r="Z9372" s="2"/>
    </row>
    <row r="9373" spans="1:26" ht="16.5" x14ac:dyDescent="0.35">
      <c r="A9373" s="2" t="str">
        <f ca="1">IFERROR(__xludf.DUMMYFUNCTION("""COMPUTED_VALUE"""),"Abu Dhabi")</f>
        <v>Abu Dhabi</v>
      </c>
      <c r="B9373" s="2" t="str">
        <f ca="1">IFERROR(__xludf.DUMMYFUNCTION("""COMPUTED_VALUE"""),"Building 22")</f>
        <v>Building 22</v>
      </c>
      <c r="C9373" s="2" t="str">
        <f ca="1">IFERROR(__xludf.DUMMYFUNCTION("""COMPUTED_VALUE"""),"Building")</f>
        <v>Building</v>
      </c>
      <c r="D9373" s="2" t="str">
        <f ca="1">IFERROR(__xludf.DUMMYFUNCTION("""COMPUTED_VALUE"""),"Abu Dhabi&gt;Al Reef&gt;Al Reef Downtown&gt;Building 22")</f>
        <v>Abu Dhabi&gt;Al Reef&gt;Al Reef Downtown&gt;Building 22</v>
      </c>
      <c r="E9373" s="2"/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  <c r="W9373" s="2"/>
      <c r="X9373" s="2"/>
      <c r="Y9373" s="2"/>
      <c r="Z9373" s="2"/>
    </row>
    <row r="9374" spans="1:26" ht="16.5" x14ac:dyDescent="0.35">
      <c r="A9374" s="2" t="str">
        <f ca="1">IFERROR(__xludf.DUMMYFUNCTION("""COMPUTED_VALUE"""),"Abu Dhabi")</f>
        <v>Abu Dhabi</v>
      </c>
      <c r="B9374" s="2" t="str">
        <f ca="1">IFERROR(__xludf.DUMMYFUNCTION("""COMPUTED_VALUE"""),"Al Masaood Tower")</f>
        <v>Al Masaood Tower</v>
      </c>
      <c r="C9374" s="2" t="str">
        <f ca="1">IFERROR(__xludf.DUMMYFUNCTION("""COMPUTED_VALUE"""),"Building")</f>
        <v>Building</v>
      </c>
      <c r="D9374" s="2" t="str">
        <f ca="1">IFERROR(__xludf.DUMMYFUNCTION("""COMPUTED_VALUE"""),"Abu Dhabi&gt;Al Najda Street&gt;Al Masaood Tower")</f>
        <v>Abu Dhabi&gt;Al Najda Street&gt;Al Masaood Tower</v>
      </c>
      <c r="E9374" s="2"/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  <c r="W9374" s="2"/>
      <c r="X9374" s="2"/>
      <c r="Y9374" s="2"/>
      <c r="Z9374" s="2"/>
    </row>
    <row r="9375" spans="1:26" ht="16.5" x14ac:dyDescent="0.35">
      <c r="A9375" s="2" t="str">
        <f ca="1">IFERROR(__xludf.DUMMYFUNCTION("""COMPUTED_VALUE"""),"Abu Dhabi")</f>
        <v>Abu Dhabi</v>
      </c>
      <c r="B9375" s="2" t="str">
        <f ca="1">IFERROR(__xludf.DUMMYFUNCTION("""COMPUTED_VALUE"""),"Bin Hamoodah Tower")</f>
        <v>Bin Hamoodah Tower</v>
      </c>
      <c r="C9375" s="2" t="str">
        <f ca="1">IFERROR(__xludf.DUMMYFUNCTION("""COMPUTED_VALUE"""),"Building")</f>
        <v>Building</v>
      </c>
      <c r="D9375" s="2" t="str">
        <f ca="1">IFERROR(__xludf.DUMMYFUNCTION("""COMPUTED_VALUE"""),"Abu Dhabi&gt;Capital Centre&gt;Bin Hamoodah Tower")</f>
        <v>Abu Dhabi&gt;Capital Centre&gt;Bin Hamoodah Tower</v>
      </c>
      <c r="E9375" s="2"/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  <c r="W9375" s="2"/>
      <c r="X9375" s="2"/>
      <c r="Y9375" s="2"/>
      <c r="Z9375" s="2"/>
    </row>
    <row r="9376" spans="1:26" ht="16.5" x14ac:dyDescent="0.35">
      <c r="A9376" s="2" t="str">
        <f ca="1">IFERROR(__xludf.DUMMYFUNCTION("""COMPUTED_VALUE"""),"Abu Dhabi")</f>
        <v>Abu Dhabi</v>
      </c>
      <c r="B9376" s="2" t="str">
        <f ca="1">IFERROR(__xludf.DUMMYFUNCTION("""COMPUTED_VALUE"""),"Yas Island")</f>
        <v>Yas Island</v>
      </c>
      <c r="C9376" s="2" t="str">
        <f ca="1">IFERROR(__xludf.DUMMYFUNCTION("""COMPUTED_VALUE"""),"Neighbourhood")</f>
        <v>Neighbourhood</v>
      </c>
      <c r="D9376" s="2" t="str">
        <f ca="1">IFERROR(__xludf.DUMMYFUNCTION("""COMPUTED_VALUE"""),"Abu Dhabi&gt;Yas Island")</f>
        <v>Abu Dhabi&gt;Yas Island</v>
      </c>
      <c r="E9376" s="2"/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  <c r="W9376" s="2"/>
      <c r="X9376" s="2"/>
      <c r="Y9376" s="2"/>
      <c r="Z9376" s="2"/>
    </row>
    <row r="9377" spans="1:26" ht="16.5" x14ac:dyDescent="0.35">
      <c r="A9377" s="2" t="str">
        <f ca="1">IFERROR(__xludf.DUMMYFUNCTION("""COMPUTED_VALUE"""),"Abu Dhabi")</f>
        <v>Abu Dhabi</v>
      </c>
      <c r="B9377" s="2" t="str">
        <f ca="1">IFERROR(__xludf.DUMMYFUNCTION("""COMPUTED_VALUE"""),"Lea")</f>
        <v>Lea</v>
      </c>
      <c r="C9377" s="2" t="str">
        <f ca="1">IFERROR(__xludf.DUMMYFUNCTION("""COMPUTED_VALUE"""),"Neighbourhood")</f>
        <v>Neighbourhood</v>
      </c>
      <c r="D9377" s="2" t="str">
        <f ca="1">IFERROR(__xludf.DUMMYFUNCTION("""COMPUTED_VALUE"""),"Abu Dhabi&gt;Yas Island&gt;Yas Acres&gt;Lea")</f>
        <v>Abu Dhabi&gt;Yas Island&gt;Yas Acres&gt;Lea</v>
      </c>
      <c r="E9377" s="2"/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  <c r="W9377" s="2"/>
      <c r="X9377" s="2"/>
      <c r="Y9377" s="2"/>
      <c r="Z9377" s="2"/>
    </row>
    <row r="9378" spans="1:26" ht="16.5" x14ac:dyDescent="0.35">
      <c r="A9378" s="2" t="str">
        <f ca="1">IFERROR(__xludf.DUMMYFUNCTION("""COMPUTED_VALUE"""),"Abu Dhabi")</f>
        <v>Abu Dhabi</v>
      </c>
      <c r="B9378" s="2" t="str">
        <f ca="1">IFERROR(__xludf.DUMMYFUNCTION("""COMPUTED_VALUE"""),"Yas Village")</f>
        <v>Yas Village</v>
      </c>
      <c r="C9378" s="2" t="str">
        <f ca="1">IFERROR(__xludf.DUMMYFUNCTION("""COMPUTED_VALUE"""),"Neighbourhood")</f>
        <v>Neighbourhood</v>
      </c>
      <c r="D9378" s="2" t="str">
        <f ca="1">IFERROR(__xludf.DUMMYFUNCTION("""COMPUTED_VALUE"""),"Abu Dhabi&gt;Yas Island&gt;Yas Village")</f>
        <v>Abu Dhabi&gt;Yas Island&gt;Yas Village</v>
      </c>
      <c r="E9378" s="2"/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  <c r="W9378" s="2"/>
      <c r="X9378" s="2"/>
      <c r="Y9378" s="2"/>
      <c r="Z9378" s="2"/>
    </row>
    <row r="9379" spans="1:26" ht="16.5" x14ac:dyDescent="0.35">
      <c r="A9379" s="2" t="str">
        <f ca="1">IFERROR(__xludf.DUMMYFUNCTION("""COMPUTED_VALUE"""),"Abu Dhabi")</f>
        <v>Abu Dhabi</v>
      </c>
      <c r="B9379" s="2" t="str">
        <f ca="1">IFERROR(__xludf.DUMMYFUNCTION("""COMPUTED_VALUE"""),"Grand Mosque District")</f>
        <v>Grand Mosque District</v>
      </c>
      <c r="C9379" s="2" t="str">
        <f ca="1">IFERROR(__xludf.DUMMYFUNCTION("""COMPUTED_VALUE"""),"Neighbourhood")</f>
        <v>Neighbourhood</v>
      </c>
      <c r="D9379" s="2" t="str">
        <f ca="1">IFERROR(__xludf.DUMMYFUNCTION("""COMPUTED_VALUE"""),"Abu Dhabi&gt;Grand Mosque District")</f>
        <v>Abu Dhabi&gt;Grand Mosque District</v>
      </c>
      <c r="E9379" s="2"/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  <c r="W9379" s="2"/>
      <c r="X9379" s="2"/>
      <c r="Y9379" s="2"/>
      <c r="Z9379" s="2"/>
    </row>
    <row r="9380" spans="1:26" ht="16.5" x14ac:dyDescent="0.35">
      <c r="A9380" s="2" t="str">
        <f ca="1">IFERROR(__xludf.DUMMYFUNCTION("""COMPUTED_VALUE"""),"Ajman")</f>
        <v>Ajman</v>
      </c>
      <c r="B9380" s="2" t="str">
        <f ca="1">IFERROR(__xludf.DUMMYFUNCTION("""COMPUTED_VALUE"""),"Al Mazraa Tower")</f>
        <v>Al Mazraa Tower</v>
      </c>
      <c r="C9380" s="2"/>
      <c r="D9380" s="2" t="str">
        <f ca="1">IFERROR(__xludf.DUMMYFUNCTION("""COMPUTED_VALUE"""),"Ajman&gt;Al Amerah&gt;Al Mazraa Tower")</f>
        <v>Ajman&gt;Al Amerah&gt;Al Mazraa Tower</v>
      </c>
      <c r="E9380" s="2"/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  <c r="W9380" s="2"/>
      <c r="X9380" s="2"/>
      <c r="Y9380" s="2"/>
      <c r="Z9380" s="2"/>
    </row>
    <row r="9381" spans="1:26" ht="16.5" x14ac:dyDescent="0.35">
      <c r="A9381" s="2" t="str">
        <f ca="1">IFERROR(__xludf.DUMMYFUNCTION("""COMPUTED_VALUE"""),"Ajman")</f>
        <v>Ajman</v>
      </c>
      <c r="B9381" s="2" t="str">
        <f ca="1">IFERROR(__xludf.DUMMYFUNCTION("""COMPUTED_VALUE"""),"Paradise Lakes B2")</f>
        <v>Paradise Lakes B2</v>
      </c>
      <c r="C9381" s="2"/>
      <c r="D9381" s="2" t="str">
        <f ca="1">IFERROR(__xludf.DUMMYFUNCTION("""COMPUTED_VALUE"""),"Ajman&gt;Emirates City&gt;Paradise Lakes&gt;Paradise Lakes B2")</f>
        <v>Ajman&gt;Emirates City&gt;Paradise Lakes&gt;Paradise Lakes B2</v>
      </c>
      <c r="E9381" s="2"/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  <c r="W9381" s="2"/>
      <c r="X9381" s="2"/>
      <c r="Y9381" s="2"/>
      <c r="Z9381" s="2"/>
    </row>
    <row r="9382" spans="1:26" ht="16.5" x14ac:dyDescent="0.35">
      <c r="A9382" s="2" t="str">
        <f ca="1">IFERROR(__xludf.DUMMYFUNCTION("""COMPUTED_VALUE"""),"Ajman")</f>
        <v>Ajman</v>
      </c>
      <c r="B9382" s="2" t="str">
        <f ca="1">IFERROR(__xludf.DUMMYFUNCTION("""COMPUTED_VALUE"""),"Crown Residencia")</f>
        <v>Crown Residencia</v>
      </c>
      <c r="C9382" s="2" t="str">
        <f ca="1">IFERROR(__xludf.DUMMYFUNCTION("""COMPUTED_VALUE"""),"Building")</f>
        <v>Building</v>
      </c>
      <c r="D9382" s="2" t="str">
        <f ca="1">IFERROR(__xludf.DUMMYFUNCTION("""COMPUTED_VALUE"""),"Ajman&gt;Emirates City&gt;Crown Residencia")</f>
        <v>Ajman&gt;Emirates City&gt;Crown Residencia</v>
      </c>
      <c r="E9382" s="2"/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  <c r="W9382" s="2"/>
      <c r="X9382" s="2"/>
      <c r="Y9382" s="2"/>
      <c r="Z9382" s="2"/>
    </row>
    <row r="9383" spans="1:26" ht="16.5" x14ac:dyDescent="0.35">
      <c r="A9383" s="2" t="str">
        <f ca="1">IFERROR(__xludf.DUMMYFUNCTION("""COMPUTED_VALUE"""),"Ajman")</f>
        <v>Ajman</v>
      </c>
      <c r="B9383" s="2" t="str">
        <f ca="1">IFERROR(__xludf.DUMMYFUNCTION("""COMPUTED_VALUE"""),"Habitat School Al Jurf")</f>
        <v>Habitat School Al Jurf</v>
      </c>
      <c r="C9383" s="2" t="str">
        <f ca="1">IFERROR(__xludf.DUMMYFUNCTION("""COMPUTED_VALUE"""),"School")</f>
        <v>School</v>
      </c>
      <c r="D9383" s="2" t="str">
        <f ca="1">IFERROR(__xludf.DUMMYFUNCTION("""COMPUTED_VALUE"""),"Ajman&gt;Al Jurf&gt;Al Jurf 2&gt;Habitat School Al Jurf")</f>
        <v>Ajman&gt;Al Jurf&gt;Al Jurf 2&gt;Habitat School Al Jurf</v>
      </c>
      <c r="E9383" s="2"/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  <c r="W9383" s="2"/>
      <c r="X9383" s="2"/>
      <c r="Y9383" s="2"/>
      <c r="Z9383" s="2"/>
    </row>
    <row r="9384" spans="1:26" ht="16.5" x14ac:dyDescent="0.35">
      <c r="A9384" s="2" t="str">
        <f ca="1">IFERROR(__xludf.DUMMYFUNCTION("""COMPUTED_VALUE"""),"Ajman")</f>
        <v>Ajman</v>
      </c>
      <c r="B9384" s="2" t="str">
        <f ca="1">IFERROR(__xludf.DUMMYFUNCTION("""COMPUTED_VALUE"""),"Atrium 360")</f>
        <v>Atrium 360</v>
      </c>
      <c r="C9384" s="2" t="str">
        <f ca="1">IFERROR(__xludf.DUMMYFUNCTION("""COMPUTED_VALUE"""),"Building")</f>
        <v>Building</v>
      </c>
      <c r="D9384" s="2" t="str">
        <f ca="1">IFERROR(__xludf.DUMMYFUNCTION("""COMPUTED_VALUE"""),"Ajman&gt;Ajman Downtown&gt;Atrium 360")</f>
        <v>Ajman&gt;Ajman Downtown&gt;Atrium 360</v>
      </c>
      <c r="E9384" s="2"/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  <c r="W9384" s="2"/>
      <c r="X9384" s="2"/>
      <c r="Y9384" s="2"/>
      <c r="Z9384" s="2"/>
    </row>
    <row r="9385" spans="1:26" ht="16.5" x14ac:dyDescent="0.35">
      <c r="A9385" s="2" t="str">
        <f ca="1">IFERROR(__xludf.DUMMYFUNCTION("""COMPUTED_VALUE"""),"Ajman")</f>
        <v>Ajman</v>
      </c>
      <c r="B9385" s="2" t="str">
        <f ca="1">IFERROR(__xludf.DUMMYFUNCTION("""COMPUTED_VALUE"""),"Ajman Tower")</f>
        <v>Ajman Tower</v>
      </c>
      <c r="C9385" s="2"/>
      <c r="D9385" s="2" t="str">
        <f ca="1">IFERROR(__xludf.DUMMYFUNCTION("""COMPUTED_VALUE"""),"Ajman&gt;Al Rashidiya&gt;Al Rashidiya 1&gt;Ajman Tower")</f>
        <v>Ajman&gt;Al Rashidiya&gt;Al Rashidiya 1&gt;Ajman Tower</v>
      </c>
      <c r="E9385" s="2"/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  <c r="W9385" s="2"/>
      <c r="X9385" s="2"/>
      <c r="Y9385" s="2"/>
      <c r="Z9385" s="2"/>
    </row>
    <row r="9386" spans="1:26" ht="16.5" x14ac:dyDescent="0.35">
      <c r="A9386" s="2" t="str">
        <f ca="1">IFERROR(__xludf.DUMMYFUNCTION("""COMPUTED_VALUE"""),"Ajman")</f>
        <v>Ajman</v>
      </c>
      <c r="B9386" s="2" t="str">
        <f ca="1">IFERROR(__xludf.DUMMYFUNCTION("""COMPUTED_VALUE"""),"Ajman One Tower 9")</f>
        <v>Ajman One Tower 9</v>
      </c>
      <c r="C9386" s="2"/>
      <c r="D9386" s="2" t="str">
        <f ca="1">IFERROR(__xludf.DUMMYFUNCTION("""COMPUTED_VALUE"""),"Ajman&gt;Al Rashidiya&gt;Al Rashidiya 3&gt;Ajman One Towers&gt;Ajman One Tower 9")</f>
        <v>Ajman&gt;Al Rashidiya&gt;Al Rashidiya 3&gt;Ajman One Towers&gt;Ajman One Tower 9</v>
      </c>
      <c r="E9386" s="2"/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  <c r="W9386" s="2"/>
      <c r="X9386" s="2"/>
      <c r="Y9386" s="2"/>
      <c r="Z9386" s="2"/>
    </row>
    <row r="9387" spans="1:26" ht="16.5" x14ac:dyDescent="0.35">
      <c r="A9387" s="2" t="str">
        <f ca="1">IFERROR(__xludf.DUMMYFUNCTION("""COMPUTED_VALUE"""),"Ajman")</f>
        <v>Ajman</v>
      </c>
      <c r="B9387" s="2" t="str">
        <f ca="1">IFERROR(__xludf.DUMMYFUNCTION("""COMPUTED_VALUE"""),"JR Residence 4")</f>
        <v>JR Residence 4</v>
      </c>
      <c r="C9387" s="2" t="str">
        <f ca="1">IFERROR(__xludf.DUMMYFUNCTION("""COMPUTED_VALUE"""),"Building")</f>
        <v>Building</v>
      </c>
      <c r="D9387" s="2" t="str">
        <f ca="1">IFERROR(__xludf.DUMMYFUNCTION("""COMPUTED_VALUE"""),"Ajman&gt;Al Mowaihat&gt;Al Mowaihat 3&gt;JR Residence 4")</f>
        <v>Ajman&gt;Al Mowaihat&gt;Al Mowaihat 3&gt;JR Residence 4</v>
      </c>
      <c r="E9387" s="2"/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  <c r="W9387" s="2"/>
      <c r="X9387" s="2"/>
      <c r="Y9387" s="2"/>
      <c r="Z9387" s="2"/>
    </row>
    <row r="9388" spans="1:26" ht="16.5" x14ac:dyDescent="0.35">
      <c r="A9388" s="2" t="str">
        <f ca="1">IFERROR(__xludf.DUMMYFUNCTION("""COMPUTED_VALUE"""),"Ajman")</f>
        <v>Ajman</v>
      </c>
      <c r="B9388" s="2" t="str">
        <f ca="1">IFERROR(__xludf.DUMMYFUNCTION("""COMPUTED_VALUE"""),"Pure Gold Building")</f>
        <v>Pure Gold Building</v>
      </c>
      <c r="C9388" s="2" t="str">
        <f ca="1">IFERROR(__xludf.DUMMYFUNCTION("""COMPUTED_VALUE"""),"Building")</f>
        <v>Building</v>
      </c>
      <c r="D9388" s="2" t="str">
        <f ca="1">IFERROR(__xludf.DUMMYFUNCTION("""COMPUTED_VALUE"""),"Ajman&gt;Al Hamidiyah&gt;Al Hamidiya 1&gt;Pure Gold Building")</f>
        <v>Ajman&gt;Al Hamidiyah&gt;Al Hamidiya 1&gt;Pure Gold Building</v>
      </c>
      <c r="E9388" s="2"/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  <c r="W9388" s="2"/>
      <c r="X9388" s="2"/>
      <c r="Y9388" s="2"/>
      <c r="Z9388" s="2"/>
    </row>
    <row r="9389" spans="1:26" ht="16.5" x14ac:dyDescent="0.35">
      <c r="A9389" s="2" t="str">
        <f ca="1">IFERROR(__xludf.DUMMYFUNCTION("""COMPUTED_VALUE"""),"Ajman")</f>
        <v>Ajman</v>
      </c>
      <c r="B9389" s="2" t="str">
        <f ca="1">IFERROR(__xludf.DUMMYFUNCTION("""COMPUTED_VALUE"""),"Tiger Downtown Ajman Tower B")</f>
        <v>Tiger Downtown Ajman Tower B</v>
      </c>
      <c r="C9389" s="2" t="str">
        <f ca="1">IFERROR(__xludf.DUMMYFUNCTION("""COMPUTED_VALUE"""),"Building")</f>
        <v>Building</v>
      </c>
      <c r="D9389" s="2" t="str">
        <f ca="1">IFERROR(__xludf.DUMMYFUNCTION("""COMPUTED_VALUE"""),"Ajman&gt;Al Alia&gt;Tiger Downtown Ajman&gt;Tiger Downtown Ajman Tower B")</f>
        <v>Ajman&gt;Al Alia&gt;Tiger Downtown Ajman&gt;Tiger Downtown Ajman Tower B</v>
      </c>
      <c r="E9389" s="2"/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  <c r="W9389" s="2"/>
      <c r="X9389" s="2"/>
      <c r="Y9389" s="2"/>
      <c r="Z9389" s="2"/>
    </row>
    <row r="9390" spans="1:26" ht="16.5" x14ac:dyDescent="0.35">
      <c r="A9390" s="2" t="str">
        <f ca="1">IFERROR(__xludf.DUMMYFUNCTION("""COMPUTED_VALUE"""),"Ajman")</f>
        <v>Ajman</v>
      </c>
      <c r="B9390" s="2" t="str">
        <f ca="1">IFERROR(__xludf.DUMMYFUNCTION("""COMPUTED_VALUE"""),"Al Hadeel Tower")</f>
        <v>Al Hadeel Tower</v>
      </c>
      <c r="C9390" s="2" t="str">
        <f ca="1">IFERROR(__xludf.DUMMYFUNCTION("""COMPUTED_VALUE"""),"Building")</f>
        <v>Building</v>
      </c>
      <c r="D9390" s="2" t="str">
        <f ca="1">IFERROR(__xludf.DUMMYFUNCTION("""COMPUTED_VALUE"""),"Ajman&gt;Al Humaid City&gt;Al Hadeel Tower")</f>
        <v>Ajman&gt;Al Humaid City&gt;Al Hadeel Tower</v>
      </c>
      <c r="E9390" s="2"/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  <c r="W9390" s="2"/>
      <c r="X9390" s="2"/>
      <c r="Y9390" s="2"/>
      <c r="Z9390" s="2"/>
    </row>
    <row r="9391" spans="1:26" ht="16.5" x14ac:dyDescent="0.35">
      <c r="A9391" s="2" t="str">
        <f ca="1">IFERROR(__xludf.DUMMYFUNCTION("""COMPUTED_VALUE"""),"Ajman")</f>
        <v>Ajman</v>
      </c>
      <c r="B9391" s="2" t="str">
        <f ca="1">IFERROR(__xludf.DUMMYFUNCTION("""COMPUTED_VALUE"""),"Alamra tower")</f>
        <v>Alamra tower</v>
      </c>
      <c r="C9391" s="2"/>
      <c r="D9391" s="2" t="str">
        <f ca="1">IFERROR(__xludf.DUMMYFUNCTION("""COMPUTED_VALUE"""),"Ajman&gt;Alamra tower")</f>
        <v>Ajman&gt;Alamra tower</v>
      </c>
      <c r="E9391" s="2"/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  <c r="W9391" s="2"/>
      <c r="X9391" s="2"/>
      <c r="Y9391" s="2"/>
      <c r="Z9391" s="2"/>
    </row>
    <row r="9392" spans="1:26" ht="16.5" x14ac:dyDescent="0.35">
      <c r="A9392" s="2" t="str">
        <f ca="1">IFERROR(__xludf.DUMMYFUNCTION("""COMPUTED_VALUE"""),"Ajman")</f>
        <v>Ajman</v>
      </c>
      <c r="B9392" s="2" t="str">
        <f ca="1">IFERROR(__xludf.DUMMYFUNCTION("""COMPUTED_VALUE"""),"Nuaimia Two Tower")</f>
        <v>Nuaimia Two Tower</v>
      </c>
      <c r="C9392" s="2" t="str">
        <f ca="1">IFERROR(__xludf.DUMMYFUNCTION("""COMPUTED_VALUE"""),"Building")</f>
        <v>Building</v>
      </c>
      <c r="D9392" s="2" t="str">
        <f ca="1">IFERROR(__xludf.DUMMYFUNCTION("""COMPUTED_VALUE"""),"Ajman&gt;Al Nuaimiya&gt;Al Nuaimiya 1&gt;Nuaimia Two Tower")</f>
        <v>Ajman&gt;Al Nuaimiya&gt;Al Nuaimiya 1&gt;Nuaimia Two Tower</v>
      </c>
      <c r="E9392" s="2"/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  <c r="W9392" s="2"/>
      <c r="X9392" s="2"/>
      <c r="Y9392" s="2"/>
      <c r="Z9392" s="2"/>
    </row>
    <row r="9393" spans="1:26" ht="16.5" x14ac:dyDescent="0.35">
      <c r="A9393" s="2" t="str">
        <f ca="1">IFERROR(__xludf.DUMMYFUNCTION("""COMPUTED_VALUE"""),"Ajman")</f>
        <v>Ajman</v>
      </c>
      <c r="B9393" s="2" t="str">
        <f ca="1">IFERROR(__xludf.DUMMYFUNCTION("""COMPUTED_VALUE"""),"Park View City")</f>
        <v>Park View City</v>
      </c>
      <c r="C9393" s="2" t="str">
        <f ca="1">IFERROR(__xludf.DUMMYFUNCTION("""COMPUTED_VALUE"""),"Neighbourhood")</f>
        <v>Neighbourhood</v>
      </c>
      <c r="D9393" s="2" t="str">
        <f ca="1">IFERROR(__xludf.DUMMYFUNCTION("""COMPUTED_VALUE"""),"Ajman&gt;Park View City")</f>
        <v>Ajman&gt;Park View City</v>
      </c>
      <c r="E9393" s="2"/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  <c r="W9393" s="2"/>
      <c r="X9393" s="2"/>
      <c r="Y9393" s="2"/>
      <c r="Z9393" s="2"/>
    </row>
    <row r="9394" spans="1:26" ht="16.5" x14ac:dyDescent="0.35">
      <c r="A9394" s="2" t="str">
        <f ca="1">IFERROR(__xludf.DUMMYFUNCTION("""COMPUTED_VALUE"""),"Sharjah")</f>
        <v>Sharjah</v>
      </c>
      <c r="B9394" s="2" t="str">
        <f ca="1">IFERROR(__xludf.DUMMYFUNCTION("""COMPUTED_VALUE"""),"Al Nada Tower")</f>
        <v>Al Nada Tower</v>
      </c>
      <c r="C9394" s="2" t="str">
        <f ca="1">IFERROR(__xludf.DUMMYFUNCTION("""COMPUTED_VALUE"""),"Building")</f>
        <v>Building</v>
      </c>
      <c r="D9394" s="2" t="str">
        <f ca="1">IFERROR(__xludf.DUMMYFUNCTION("""COMPUTED_VALUE"""),"Sharjah&gt;Al Nahda (Sharjah)&gt;Al Nada Tower")</f>
        <v>Sharjah&gt;Al Nahda (Sharjah)&gt;Al Nada Tower</v>
      </c>
      <c r="E9394" s="2"/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  <c r="W9394" s="2"/>
      <c r="X9394" s="2"/>
      <c r="Y9394" s="2"/>
      <c r="Z9394" s="2"/>
    </row>
    <row r="9395" spans="1:26" ht="16.5" x14ac:dyDescent="0.35">
      <c r="A9395" s="2" t="str">
        <f ca="1">IFERROR(__xludf.DUMMYFUNCTION("""COMPUTED_VALUE"""),"Sharjah")</f>
        <v>Sharjah</v>
      </c>
      <c r="B9395" s="2" t="str">
        <f ca="1">IFERROR(__xludf.DUMMYFUNCTION("""COMPUTED_VALUE"""),"Al Mansoor Tower")</f>
        <v>Al Mansoor Tower</v>
      </c>
      <c r="C9395" s="2"/>
      <c r="D9395" s="2" t="str">
        <f ca="1">IFERROR(__xludf.DUMMYFUNCTION("""COMPUTED_VALUE"""),"Sharjah&gt;Al Nahda (Sharjah)&gt;Al Mansoor Tower")</f>
        <v>Sharjah&gt;Al Nahda (Sharjah)&gt;Al Mansoor Tower</v>
      </c>
      <c r="E9395" s="2"/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  <c r="W9395" s="2"/>
      <c r="X9395" s="2"/>
      <c r="Y9395" s="2"/>
      <c r="Z9395" s="2"/>
    </row>
    <row r="9396" spans="1:26" ht="16.5" x14ac:dyDescent="0.35">
      <c r="A9396" s="2" t="str">
        <f ca="1">IFERROR(__xludf.DUMMYFUNCTION("""COMPUTED_VALUE"""),"Sharjah")</f>
        <v>Sharjah</v>
      </c>
      <c r="B9396" s="2" t="str">
        <f ca="1">IFERROR(__xludf.DUMMYFUNCTION("""COMPUTED_VALUE"""),"Al Shoibi Tower")</f>
        <v>Al Shoibi Tower</v>
      </c>
      <c r="C9396" s="2"/>
      <c r="D9396" s="2" t="str">
        <f ca="1">IFERROR(__xludf.DUMMYFUNCTION("""COMPUTED_VALUE"""),"Sharjah&gt;Al Nahda (Sharjah)&gt;Al Shoibi Tower")</f>
        <v>Sharjah&gt;Al Nahda (Sharjah)&gt;Al Shoibi Tower</v>
      </c>
      <c r="E9396" s="2"/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  <c r="W9396" s="2"/>
      <c r="X9396" s="2"/>
      <c r="Y9396" s="2"/>
      <c r="Z9396" s="2"/>
    </row>
    <row r="9397" spans="1:26" ht="16.5" x14ac:dyDescent="0.35">
      <c r="A9397" s="2" t="str">
        <f ca="1">IFERROR(__xludf.DUMMYFUNCTION("""COMPUTED_VALUE"""),"Sharjah")</f>
        <v>Sharjah</v>
      </c>
      <c r="B9397" s="2" t="str">
        <f ca="1">IFERROR(__xludf.DUMMYFUNCTION("""COMPUTED_VALUE"""),"Sahara Tiger 1")</f>
        <v>Sahara Tiger 1</v>
      </c>
      <c r="C9397" s="2"/>
      <c r="D9397" s="2" t="str">
        <f ca="1">IFERROR(__xludf.DUMMYFUNCTION("""COMPUTED_VALUE"""),"Sharjah&gt;Al Nahda (Sharjah)&gt;Sahara Tiger 1")</f>
        <v>Sharjah&gt;Al Nahda (Sharjah)&gt;Sahara Tiger 1</v>
      </c>
      <c r="E9397" s="2"/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  <c r="W9397" s="2"/>
      <c r="X9397" s="2"/>
      <c r="Y9397" s="2"/>
      <c r="Z9397" s="2"/>
    </row>
    <row r="9398" spans="1:26" ht="16.5" x14ac:dyDescent="0.35">
      <c r="A9398" s="2" t="str">
        <f ca="1">IFERROR(__xludf.DUMMYFUNCTION("""COMPUTED_VALUE"""),"Sharjah")</f>
        <v>Sharjah</v>
      </c>
      <c r="B9398" s="2" t="str">
        <f ca="1">IFERROR(__xludf.DUMMYFUNCTION("""COMPUTED_VALUE"""),"Rolla Square")</f>
        <v>Rolla Square</v>
      </c>
      <c r="C9398" s="2"/>
      <c r="D9398" s="2" t="str">
        <f ca="1">IFERROR(__xludf.DUMMYFUNCTION("""COMPUTED_VALUE"""),"Sharjah&gt;Rolla Area&gt;Rolla Square")</f>
        <v>Sharjah&gt;Rolla Area&gt;Rolla Square</v>
      </c>
      <c r="E9398" s="2"/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  <c r="W9398" s="2"/>
      <c r="X9398" s="2"/>
      <c r="Y9398" s="2"/>
      <c r="Z9398" s="2"/>
    </row>
    <row r="9399" spans="1:26" ht="16.5" x14ac:dyDescent="0.35">
      <c r="A9399" s="2" t="str">
        <f ca="1">IFERROR(__xludf.DUMMYFUNCTION("""COMPUTED_VALUE"""),"Sharjah")</f>
        <v>Sharjah</v>
      </c>
      <c r="B9399" s="2" t="str">
        <f ca="1">IFERROR(__xludf.DUMMYFUNCTION("""COMPUTED_VALUE"""),"East Village")</f>
        <v>East Village</v>
      </c>
      <c r="C9399" s="2" t="str">
        <f ca="1">IFERROR(__xludf.DUMMYFUNCTION("""COMPUTED_VALUE"""),"Neighbourhood")</f>
        <v>Neighbourhood</v>
      </c>
      <c r="D9399" s="2" t="str">
        <f ca="1">IFERROR(__xludf.DUMMYFUNCTION("""COMPUTED_VALUE"""),"Sharjah&gt;Aljada&gt;East Village")</f>
        <v>Sharjah&gt;Aljada&gt;East Village</v>
      </c>
      <c r="E9399" s="2"/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  <c r="W9399" s="2"/>
      <c r="X9399" s="2"/>
      <c r="Y9399" s="2"/>
      <c r="Z9399" s="2"/>
    </row>
    <row r="9400" spans="1:26" ht="16.5" x14ac:dyDescent="0.35">
      <c r="A9400" s="2" t="str">
        <f ca="1">IFERROR(__xludf.DUMMYFUNCTION("""COMPUTED_VALUE"""),"Sharjah")</f>
        <v>Sharjah</v>
      </c>
      <c r="B9400" s="2" t="str">
        <f ca="1">IFERROR(__xludf.DUMMYFUNCTION("""COMPUTED_VALUE"""),"The Boulevard 3")</f>
        <v>The Boulevard 3</v>
      </c>
      <c r="C9400" s="2" t="str">
        <f ca="1">IFERROR(__xludf.DUMMYFUNCTION("""COMPUTED_VALUE"""),"Building")</f>
        <v>Building</v>
      </c>
      <c r="D9400" s="2" t="str">
        <f ca="1">IFERROR(__xludf.DUMMYFUNCTION("""COMPUTED_VALUE"""),"Sharjah&gt;Aljada&gt;Naseej District&gt;The Boulevard&gt;The Boulevard 3")</f>
        <v>Sharjah&gt;Aljada&gt;Naseej District&gt;The Boulevard&gt;The Boulevard 3</v>
      </c>
      <c r="E9400" s="2"/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  <c r="W9400" s="2"/>
      <c r="X9400" s="2"/>
      <c r="Y9400" s="2"/>
      <c r="Z9400" s="2"/>
    </row>
    <row r="9401" spans="1:26" ht="16.5" x14ac:dyDescent="0.35">
      <c r="A9401" s="2" t="str">
        <f ca="1">IFERROR(__xludf.DUMMYFUNCTION("""COMPUTED_VALUE"""),"Sharjah")</f>
        <v>Sharjah</v>
      </c>
      <c r="B9401" s="2" t="str">
        <f ca="1">IFERROR(__xludf.DUMMYFUNCTION("""COMPUTED_VALUE"""),"Nesba 1")</f>
        <v>Nesba 1</v>
      </c>
      <c r="C9401" s="2" t="str">
        <f ca="1">IFERROR(__xludf.DUMMYFUNCTION("""COMPUTED_VALUE"""),"Building")</f>
        <v>Building</v>
      </c>
      <c r="D9401" s="2" t="str">
        <f ca="1">IFERROR(__xludf.DUMMYFUNCTION("""COMPUTED_VALUE"""),"Sharjah&gt;Aljada&gt;Nesba&gt;Nesba 1")</f>
        <v>Sharjah&gt;Aljada&gt;Nesba&gt;Nesba 1</v>
      </c>
      <c r="E9401" s="2"/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  <c r="W9401" s="2"/>
      <c r="X9401" s="2"/>
      <c r="Y9401" s="2"/>
      <c r="Z9401" s="2"/>
    </row>
    <row r="9402" spans="1:26" ht="16.5" x14ac:dyDescent="0.35">
      <c r="A9402" s="2" t="str">
        <f ca="1">IFERROR(__xludf.DUMMYFUNCTION("""COMPUTED_VALUE"""),"Sharjah")</f>
        <v>Sharjah</v>
      </c>
      <c r="B9402" s="2" t="str">
        <f ca="1">IFERROR(__xludf.DUMMYFUNCTION("""COMPUTED_VALUE"""),"Anantara Sharjah Residences")</f>
        <v>Anantara Sharjah Residences</v>
      </c>
      <c r="C9402" s="2" t="str">
        <f ca="1">IFERROR(__xludf.DUMMYFUNCTION("""COMPUTED_VALUE"""),"Building")</f>
        <v>Building</v>
      </c>
      <c r="D9402" s="2" t="str">
        <f ca="1">IFERROR(__xludf.DUMMYFUNCTION("""COMPUTED_VALUE"""),"Sharjah&gt;Al Rifah&gt;Anantara Sharjah Residences")</f>
        <v>Sharjah&gt;Al Rifah&gt;Anantara Sharjah Residences</v>
      </c>
      <c r="E9402" s="2"/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</row>
    <row r="9403" spans="1:26" ht="16.5" x14ac:dyDescent="0.35">
      <c r="A9403" s="2" t="str">
        <f ca="1">IFERROR(__xludf.DUMMYFUNCTION("""COMPUTED_VALUE"""),"Sharjah")</f>
        <v>Sharjah</v>
      </c>
      <c r="B9403" s="2" t="str">
        <f ca="1">IFERROR(__xludf.DUMMYFUNCTION("""COMPUTED_VALUE"""),"Al Raqma 2")</f>
        <v>Al Raqma 2</v>
      </c>
      <c r="C9403" s="2"/>
      <c r="D9403" s="2" t="str">
        <f ca="1">IFERROR(__xludf.DUMMYFUNCTION("""COMPUTED_VALUE"""),"Sharjah&gt;Abu Shagara&gt;Al Raqma 2")</f>
        <v>Sharjah&gt;Abu Shagara&gt;Al Raqma 2</v>
      </c>
      <c r="E9403" s="2"/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  <c r="W9403" s="2"/>
      <c r="X9403" s="2"/>
      <c r="Y9403" s="2"/>
      <c r="Z9403" s="2"/>
    </row>
    <row r="9404" spans="1:26" ht="16.5" x14ac:dyDescent="0.35">
      <c r="A9404" s="2" t="str">
        <f ca="1">IFERROR(__xludf.DUMMYFUNCTION("""COMPUTED_VALUE"""),"Sharjah")</f>
        <v>Sharjah</v>
      </c>
      <c r="B9404" s="2" t="str">
        <f ca="1">IFERROR(__xludf.DUMMYFUNCTION("""COMPUTED_VALUE"""),"Al Mamzar 1")</f>
        <v>Al Mamzar 1</v>
      </c>
      <c r="C9404" s="2"/>
      <c r="D9404" s="2" t="str">
        <f ca="1">IFERROR(__xludf.DUMMYFUNCTION("""COMPUTED_VALUE"""),"Sharjah&gt;Al Mamzar&gt;Al Mamzar 1")</f>
        <v>Sharjah&gt;Al Mamzar&gt;Al Mamzar 1</v>
      </c>
      <c r="E9404" s="2"/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  <c r="W9404" s="2"/>
      <c r="X9404" s="2"/>
      <c r="Y9404" s="2"/>
      <c r="Z9404" s="2"/>
    </row>
    <row r="9405" spans="1:26" ht="16.5" x14ac:dyDescent="0.35">
      <c r="A9405" s="2" t="str">
        <f ca="1">IFERROR(__xludf.DUMMYFUNCTION("""COMPUTED_VALUE"""),"Sharjah")</f>
        <v>Sharjah</v>
      </c>
      <c r="B9405" s="2" t="str">
        <f ca="1">IFERROR(__xludf.DUMMYFUNCTION("""COMPUTED_VALUE"""),"Al Saud Tower")</f>
        <v>Al Saud Tower</v>
      </c>
      <c r="C9405" s="2"/>
      <c r="D9405" s="2" t="str">
        <f ca="1">IFERROR(__xludf.DUMMYFUNCTION("""COMPUTED_VALUE"""),"Sharjah&gt;Al Jubail&gt;Al Saud Tower")</f>
        <v>Sharjah&gt;Al Jubail&gt;Al Saud Tower</v>
      </c>
      <c r="E9405" s="2"/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  <c r="W9405" s="2"/>
      <c r="X9405" s="2"/>
      <c r="Y9405" s="2"/>
      <c r="Z9405" s="2"/>
    </row>
    <row r="9406" spans="1:26" ht="16.5" x14ac:dyDescent="0.35">
      <c r="A9406" s="2" t="str">
        <f ca="1">IFERROR(__xludf.DUMMYFUNCTION("""COMPUTED_VALUE"""),"Sharjah")</f>
        <v>Sharjah</v>
      </c>
      <c r="B9406" s="2" t="str">
        <f ca="1">IFERROR(__xludf.DUMMYFUNCTION("""COMPUTED_VALUE"""),"Almass Residence")</f>
        <v>Almass Residence</v>
      </c>
      <c r="C9406" s="2"/>
      <c r="D9406" s="2" t="str">
        <f ca="1">IFERROR(__xludf.DUMMYFUNCTION("""COMPUTED_VALUE"""),"Sharjah&gt;Tilal City&gt;Almass Residence")</f>
        <v>Sharjah&gt;Tilal City&gt;Almass Residence</v>
      </c>
      <c r="E9406" s="2"/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  <c r="W9406" s="2"/>
      <c r="X9406" s="2"/>
      <c r="Y9406" s="2"/>
      <c r="Z9406" s="2"/>
    </row>
    <row r="9407" spans="1:26" ht="16.5" x14ac:dyDescent="0.35">
      <c r="A9407" s="2" t="str">
        <f ca="1">IFERROR(__xludf.DUMMYFUNCTION("""COMPUTED_VALUE"""),"Sharjah")</f>
        <v>Sharjah</v>
      </c>
      <c r="B9407" s="2" t="str">
        <f ca="1">IFERROR(__xludf.DUMMYFUNCTION("""COMPUTED_VALUE"""),"Al Noaf")</f>
        <v>Al Noaf</v>
      </c>
      <c r="C9407" s="2" t="str">
        <f ca="1">IFERROR(__xludf.DUMMYFUNCTION("""COMPUTED_VALUE"""),"Neighbourhood")</f>
        <v>Neighbourhood</v>
      </c>
      <c r="D9407" s="2" t="str">
        <f ca="1">IFERROR(__xludf.DUMMYFUNCTION("""COMPUTED_VALUE"""),"Sharjah&gt;Al Noaf")</f>
        <v>Sharjah&gt;Al Noaf</v>
      </c>
      <c r="E9407" s="2"/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  <c r="W9407" s="2"/>
      <c r="X9407" s="2"/>
      <c r="Y9407" s="2"/>
      <c r="Z9407" s="2"/>
    </row>
    <row r="9408" spans="1:26" ht="16.5" x14ac:dyDescent="0.35">
      <c r="A9408" s="2" t="str">
        <f ca="1">IFERROR(__xludf.DUMMYFUNCTION("""COMPUTED_VALUE"""),"Sharjah")</f>
        <v>Sharjah</v>
      </c>
      <c r="B9408" s="2" t="str">
        <f ca="1">IFERROR(__xludf.DUMMYFUNCTION("""COMPUTED_VALUE"""),"Sajvan Building")</f>
        <v>Sajvan Building</v>
      </c>
      <c r="C9408" s="2"/>
      <c r="D9408" s="2" t="str">
        <f ca="1">IFERROR(__xludf.DUMMYFUNCTION("""COMPUTED_VALUE"""),"Sharjah&gt;Al Musalla&gt;Sajvan Building")</f>
        <v>Sharjah&gt;Al Musalla&gt;Sajvan Building</v>
      </c>
      <c r="E9408" s="2"/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  <c r="W9408" s="2"/>
      <c r="X9408" s="2"/>
      <c r="Y9408" s="2"/>
      <c r="Z9408" s="2"/>
    </row>
    <row r="9409" spans="1:26" ht="16.5" x14ac:dyDescent="0.35">
      <c r="A9409" s="2" t="str">
        <f ca="1">IFERROR(__xludf.DUMMYFUNCTION("""COMPUTED_VALUE"""),"Sharjah")</f>
        <v>Sharjah</v>
      </c>
      <c r="B9409" s="2" t="str">
        <f ca="1">IFERROR(__xludf.DUMMYFUNCTION("""COMPUTED_VALUE"""),"Al Goaz")</f>
        <v>Al Goaz</v>
      </c>
      <c r="C9409" s="2" t="str">
        <f ca="1">IFERROR(__xludf.DUMMYFUNCTION("""COMPUTED_VALUE"""),"Neighbourhood")</f>
        <v>Neighbourhood</v>
      </c>
      <c r="D9409" s="2" t="str">
        <f ca="1">IFERROR(__xludf.DUMMYFUNCTION("""COMPUTED_VALUE"""),"Sharjah&gt;Al Goaz")</f>
        <v>Sharjah&gt;Al Goaz</v>
      </c>
      <c r="E9409" s="2"/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</row>
    <row r="9410" spans="1:26" ht="16.5" x14ac:dyDescent="0.35">
      <c r="A9410" s="2" t="str">
        <f ca="1">IFERROR(__xludf.DUMMYFUNCTION("""COMPUTED_VALUE"""),"Sharjah")</f>
        <v>Sharjah</v>
      </c>
      <c r="B9410" s="2" t="str">
        <f ca="1">IFERROR(__xludf.DUMMYFUNCTION("""COMPUTED_VALUE"""),"Sharjah Tower")</f>
        <v>Sharjah Tower</v>
      </c>
      <c r="C9410" s="2"/>
      <c r="D9410" s="2" t="str">
        <f ca="1">IFERROR(__xludf.DUMMYFUNCTION("""COMPUTED_VALUE"""),"Sharjah&gt;Al Mareija&gt;Sharjah Tower")</f>
        <v>Sharjah&gt;Al Mareija&gt;Sharjah Tower</v>
      </c>
      <c r="E9410" s="2"/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  <c r="W9410" s="2"/>
      <c r="X9410" s="2"/>
      <c r="Y9410" s="2"/>
      <c r="Z9410" s="2"/>
    </row>
    <row r="9411" spans="1:26" ht="16.5" x14ac:dyDescent="0.35">
      <c r="A9411" s="2" t="str">
        <f ca="1">IFERROR(__xludf.DUMMYFUNCTION("""COMPUTED_VALUE"""),"Sharjah")</f>
        <v>Sharjah</v>
      </c>
      <c r="B9411" s="2" t="str">
        <f ca="1">IFERROR(__xludf.DUMMYFUNCTION("""COMPUTED_VALUE"""),"Al Khaledia Suburb")</f>
        <v>Al Khaledia Suburb</v>
      </c>
      <c r="C9411" s="2" t="str">
        <f ca="1">IFERROR(__xludf.DUMMYFUNCTION("""COMPUTED_VALUE"""),"Neighbourhood")</f>
        <v>Neighbourhood</v>
      </c>
      <c r="D9411" s="2" t="str">
        <f ca="1">IFERROR(__xludf.DUMMYFUNCTION("""COMPUTED_VALUE"""),"Sharjah&gt;Al Khaledia Suburb")</f>
        <v>Sharjah&gt;Al Khaledia Suburb</v>
      </c>
      <c r="E9411" s="2"/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</row>
    <row r="9412" spans="1:26" ht="16.5" x14ac:dyDescent="0.35">
      <c r="A9412" s="2" t="str">
        <f ca="1">IFERROR(__xludf.DUMMYFUNCTION("""COMPUTED_VALUE"""),"Sharjah")</f>
        <v>Sharjah</v>
      </c>
      <c r="B9412" s="2" t="str">
        <f ca="1">IFERROR(__xludf.DUMMYFUNCTION("""COMPUTED_VALUE"""),"Al Diwan Tower")</f>
        <v>Al Diwan Tower</v>
      </c>
      <c r="C9412" s="2" t="str">
        <f ca="1">IFERROR(__xludf.DUMMYFUNCTION("""COMPUTED_VALUE"""),"Building")</f>
        <v>Building</v>
      </c>
      <c r="D9412" s="2" t="str">
        <f ca="1">IFERROR(__xludf.DUMMYFUNCTION("""COMPUTED_VALUE"""),"Sharjah&gt;Al Mahatah&gt;Al Diwan Tower")</f>
        <v>Sharjah&gt;Al Mahatah&gt;Al Diwan Tower</v>
      </c>
      <c r="E9412" s="2"/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  <c r="W9412" s="2"/>
      <c r="X9412" s="2"/>
      <c r="Y9412" s="2"/>
      <c r="Z9412" s="2"/>
    </row>
    <row r="9413" spans="1:26" ht="16.5" x14ac:dyDescent="0.35">
      <c r="A9413" s="2" t="str">
        <f ca="1">IFERROR(__xludf.DUMMYFUNCTION("""COMPUTED_VALUE"""),"Sharjah")</f>
        <v>Sharjah</v>
      </c>
      <c r="B9413" s="2" t="str">
        <f ca="1">IFERROR(__xludf.DUMMYFUNCTION("""COMPUTED_VALUE"""),"Al Bandary Twin Towers")</f>
        <v>Al Bandary Twin Towers</v>
      </c>
      <c r="C9413" s="2" t="str">
        <f ca="1">IFERROR(__xludf.DUMMYFUNCTION("""COMPUTED_VALUE"""),"Cluster")</f>
        <v>Cluster</v>
      </c>
      <c r="D9413" s="2" t="str">
        <f ca="1">IFERROR(__xludf.DUMMYFUNCTION("""COMPUTED_VALUE"""),"Sharjah&gt;Al Khan&gt;Al Bandary Twin Towers")</f>
        <v>Sharjah&gt;Al Khan&gt;Al Bandary Twin Towers</v>
      </c>
      <c r="E9413" s="2"/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  <c r="W9413" s="2"/>
      <c r="X9413" s="2"/>
      <c r="Y9413" s="2"/>
      <c r="Z9413" s="2"/>
    </row>
    <row r="9414" spans="1:26" ht="16.5" x14ac:dyDescent="0.35">
      <c r="A9414" s="2" t="str">
        <f ca="1">IFERROR(__xludf.DUMMYFUNCTION("""COMPUTED_VALUE"""),"Sharjah")</f>
        <v>Sharjah</v>
      </c>
      <c r="B9414" s="2" t="str">
        <f ca="1">IFERROR(__xludf.DUMMYFUNCTION("""COMPUTED_VALUE"""),"Future Tower 1")</f>
        <v>Future Tower 1</v>
      </c>
      <c r="C9414" s="2" t="str">
        <f ca="1">IFERROR(__xludf.DUMMYFUNCTION("""COMPUTED_VALUE"""),"Building")</f>
        <v>Building</v>
      </c>
      <c r="D9414" s="2" t="str">
        <f ca="1">IFERROR(__xludf.DUMMYFUNCTION("""COMPUTED_VALUE"""),"Sharjah&gt;Al Khan&gt;Future Tower&gt;Future Tower 1")</f>
        <v>Sharjah&gt;Al Khan&gt;Future Tower&gt;Future Tower 1</v>
      </c>
      <c r="E9414" s="2"/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  <c r="W9414" s="2"/>
      <c r="X9414" s="2"/>
      <c r="Y9414" s="2"/>
      <c r="Z9414" s="2"/>
    </row>
    <row r="9415" spans="1:26" ht="16.5" x14ac:dyDescent="0.35">
      <c r="A9415" s="2" t="str">
        <f ca="1">IFERROR(__xludf.DUMMYFUNCTION("""COMPUTED_VALUE"""),"Sharjah")</f>
        <v>Sharjah</v>
      </c>
      <c r="B9415" s="2" t="str">
        <f ca="1">IFERROR(__xludf.DUMMYFUNCTION("""COMPUTED_VALUE"""),"Jawaher Residences 2")</f>
        <v>Jawaher Residences 2</v>
      </c>
      <c r="C9415" s="2" t="str">
        <f ca="1">IFERROR(__xludf.DUMMYFUNCTION("""COMPUTED_VALUE"""),"Building")</f>
        <v>Building</v>
      </c>
      <c r="D9415" s="2" t="str">
        <f ca="1">IFERROR(__xludf.DUMMYFUNCTION("""COMPUTED_VALUE"""),"Sharjah&gt;Al Khan&gt;Maryam Island&gt;Jawaher Residences&gt;Jawaher Residences 2")</f>
        <v>Sharjah&gt;Al Khan&gt;Maryam Island&gt;Jawaher Residences&gt;Jawaher Residences 2</v>
      </c>
      <c r="E9415" s="2"/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  <c r="W9415" s="2"/>
      <c r="X9415" s="2"/>
      <c r="Y9415" s="2"/>
      <c r="Z9415" s="2"/>
    </row>
    <row r="9416" spans="1:26" ht="16.5" x14ac:dyDescent="0.35">
      <c r="A9416" s="2" t="str">
        <f ca="1">IFERROR(__xludf.DUMMYFUNCTION("""COMPUTED_VALUE"""),"Sharjah")</f>
        <v>Sharjah</v>
      </c>
      <c r="B9416" s="2" t="str">
        <f ca="1">IFERROR(__xludf.DUMMYFUNCTION("""COMPUTED_VALUE"""),"Emirates Palace Hotel Suites")</f>
        <v>Emirates Palace Hotel Suites</v>
      </c>
      <c r="C9416" s="2"/>
      <c r="D9416" s="2" t="str">
        <f ca="1">IFERROR(__xludf.DUMMYFUNCTION("""COMPUTED_VALUE"""),"Sharjah&gt;Al Khan&gt;Emirates Palace Hotel Suites")</f>
        <v>Sharjah&gt;Al Khan&gt;Emirates Palace Hotel Suites</v>
      </c>
      <c r="E9416" s="2"/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  <c r="W9416" s="2"/>
      <c r="X9416" s="2"/>
      <c r="Y9416" s="2"/>
      <c r="Z9416" s="2"/>
    </row>
    <row r="9417" spans="1:26" ht="16.5" x14ac:dyDescent="0.35">
      <c r="A9417" s="2" t="str">
        <f ca="1">IFERROR(__xludf.DUMMYFUNCTION("""COMPUTED_VALUE"""),"Sharjah")</f>
        <v>Sharjah</v>
      </c>
      <c r="B9417" s="2" t="str">
        <f ca="1">IFERROR(__xludf.DUMMYFUNCTION("""COMPUTED_VALUE"""),"Al Jazairi Fawar Building")</f>
        <v>Al Jazairi Fawar Building</v>
      </c>
      <c r="C9417" s="2"/>
      <c r="D9417" s="2" t="str">
        <f ca="1">IFERROR(__xludf.DUMMYFUNCTION("""COMPUTED_VALUE"""),"Sharjah&gt;Al Majaz&gt;Al Majaz 2&gt;Al Jazairi Fawar Building")</f>
        <v>Sharjah&gt;Al Majaz&gt;Al Majaz 2&gt;Al Jazairi Fawar Building</v>
      </c>
      <c r="E9417" s="2"/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  <c r="W9417" s="2"/>
      <c r="X9417" s="2"/>
      <c r="Y9417" s="2"/>
      <c r="Z9417" s="2"/>
    </row>
    <row r="9418" spans="1:26" ht="16.5" x14ac:dyDescent="0.35">
      <c r="A9418" s="2" t="str">
        <f ca="1">IFERROR(__xludf.DUMMYFUNCTION("""COMPUTED_VALUE"""),"Sharjah")</f>
        <v>Sharjah</v>
      </c>
      <c r="B9418" s="2" t="str">
        <f ca="1">IFERROR(__xludf.DUMMYFUNCTION("""COMPUTED_VALUE"""),"Arwani Tower")</f>
        <v>Arwani Tower</v>
      </c>
      <c r="C9418" s="2"/>
      <c r="D9418" s="2" t="str">
        <f ca="1">IFERROR(__xludf.DUMMYFUNCTION("""COMPUTED_VALUE"""),"Sharjah&gt;Al Majaz&gt;Al Majaz 2&gt;Arwani Tower")</f>
        <v>Sharjah&gt;Al Majaz&gt;Al Majaz 2&gt;Arwani Tower</v>
      </c>
      <c r="E9418" s="2"/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  <c r="W9418" s="2"/>
      <c r="X9418" s="2"/>
      <c r="Y9418" s="2"/>
      <c r="Z9418" s="2"/>
    </row>
    <row r="9419" spans="1:26" ht="16.5" x14ac:dyDescent="0.35">
      <c r="A9419" s="2" t="str">
        <f ca="1">IFERROR(__xludf.DUMMYFUNCTION("""COMPUTED_VALUE"""),"Sharjah")</f>
        <v>Sharjah</v>
      </c>
      <c r="B9419" s="2" t="str">
        <f ca="1">IFERROR(__xludf.DUMMYFUNCTION("""COMPUTED_VALUE"""),"Al Bachat Building")</f>
        <v>Al Bachat Building</v>
      </c>
      <c r="C9419" s="2"/>
      <c r="D9419" s="2" t="str">
        <f ca="1">IFERROR(__xludf.DUMMYFUNCTION("""COMPUTED_VALUE"""),"Sharjah&gt;Al Majaz&gt;Al Majaz 2&gt;Al Bachat Building")</f>
        <v>Sharjah&gt;Al Majaz&gt;Al Majaz 2&gt;Al Bachat Building</v>
      </c>
      <c r="E9419" s="2"/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  <c r="W9419" s="2"/>
      <c r="X9419" s="2"/>
      <c r="Y9419" s="2"/>
      <c r="Z9419" s="2"/>
    </row>
    <row r="9420" spans="1:26" ht="16.5" x14ac:dyDescent="0.35">
      <c r="A9420" s="2" t="str">
        <f ca="1">IFERROR(__xludf.DUMMYFUNCTION("""COMPUTED_VALUE"""),"Sharjah")</f>
        <v>Sharjah</v>
      </c>
      <c r="B9420" s="2" t="str">
        <f ca="1">IFERROR(__xludf.DUMMYFUNCTION("""COMPUTED_VALUE"""),"Sarab Tower")</f>
        <v>Sarab Tower</v>
      </c>
      <c r="C9420" s="2" t="str">
        <f ca="1">IFERROR(__xludf.DUMMYFUNCTION("""COMPUTED_VALUE"""),"Building")</f>
        <v>Building</v>
      </c>
      <c r="D9420" s="2" t="str">
        <f ca="1">IFERROR(__xludf.DUMMYFUNCTION("""COMPUTED_VALUE"""),"Sharjah&gt;Al Majaz&gt;Al Majaz 3&gt;Sarab Tower")</f>
        <v>Sharjah&gt;Al Majaz&gt;Al Majaz 3&gt;Sarab Tower</v>
      </c>
      <c r="E9420" s="2"/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  <c r="W9420" s="2"/>
      <c r="X9420" s="2"/>
      <c r="Y9420" s="2"/>
      <c r="Z9420" s="2"/>
    </row>
    <row r="9421" spans="1:26" ht="16.5" x14ac:dyDescent="0.35">
      <c r="A9421" s="2" t="str">
        <f ca="1">IFERROR(__xludf.DUMMYFUNCTION("""COMPUTED_VALUE"""),"Sharjah")</f>
        <v>Sharjah</v>
      </c>
      <c r="B9421" s="2" t="str">
        <f ca="1">IFERROR(__xludf.DUMMYFUNCTION("""COMPUTED_VALUE"""),"Dar Al Khaleej")</f>
        <v>Dar Al Khaleej</v>
      </c>
      <c r="C9421" s="2"/>
      <c r="D9421" s="2" t="str">
        <f ca="1">IFERROR(__xludf.DUMMYFUNCTION("""COMPUTED_VALUE"""),"Sharjah&gt;Al Majaz&gt;Al Majaz 3&gt;Dar Al Khaleej")</f>
        <v>Sharjah&gt;Al Majaz&gt;Al Majaz 3&gt;Dar Al Khaleej</v>
      </c>
      <c r="E9421" s="2"/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  <c r="W9421" s="2"/>
      <c r="X9421" s="2"/>
      <c r="Y9421" s="2"/>
      <c r="Z9421" s="2"/>
    </row>
    <row r="9422" spans="1:26" ht="16.5" x14ac:dyDescent="0.35">
      <c r="A9422" s="2" t="str">
        <f ca="1">IFERROR(__xludf.DUMMYFUNCTION("""COMPUTED_VALUE"""),"Sharjah")</f>
        <v>Sharjah</v>
      </c>
      <c r="B9422" s="2" t="str">
        <f ca="1">IFERROR(__xludf.DUMMYFUNCTION("""COMPUTED_VALUE"""),"Lake Tower")</f>
        <v>Lake Tower</v>
      </c>
      <c r="C9422" s="2" t="str">
        <f ca="1">IFERROR(__xludf.DUMMYFUNCTION("""COMPUTED_VALUE"""),"Building")</f>
        <v>Building</v>
      </c>
      <c r="D9422" s="2" t="str">
        <f ca="1">IFERROR(__xludf.DUMMYFUNCTION("""COMPUTED_VALUE"""),"Sharjah&gt;Al Majaz&gt;Al Majaz 1&gt;Lake Tower")</f>
        <v>Sharjah&gt;Al Majaz&gt;Al Majaz 1&gt;Lake Tower</v>
      </c>
      <c r="E9422" s="2"/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  <c r="W9422" s="2"/>
      <c r="X9422" s="2"/>
      <c r="Y9422" s="2"/>
      <c r="Z9422" s="2"/>
    </row>
    <row r="9423" spans="1:26" ht="16.5" x14ac:dyDescent="0.35">
      <c r="A9423" s="2" t="str">
        <f ca="1">IFERROR(__xludf.DUMMYFUNCTION("""COMPUTED_VALUE"""),"Sharjah")</f>
        <v>Sharjah</v>
      </c>
      <c r="B9423" s="2" t="str">
        <f ca="1">IFERROR(__xludf.DUMMYFUNCTION("""COMPUTED_VALUE"""),"Salem Tower")</f>
        <v>Salem Tower</v>
      </c>
      <c r="C9423" s="2"/>
      <c r="D9423" s="2" t="str">
        <f ca="1">IFERROR(__xludf.DUMMYFUNCTION("""COMPUTED_VALUE"""),"Sharjah&gt;Al Majaz&gt;Al Majaz 1&gt;Salem Tower")</f>
        <v>Sharjah&gt;Al Majaz&gt;Al Majaz 1&gt;Salem Tower</v>
      </c>
      <c r="E9423" s="2"/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  <c r="W9423" s="2"/>
      <c r="X9423" s="2"/>
      <c r="Y9423" s="2"/>
      <c r="Z9423" s="2"/>
    </row>
    <row r="9424" spans="1:26" ht="16.5" x14ac:dyDescent="0.35">
      <c r="A9424" s="2" t="str">
        <f ca="1">IFERROR(__xludf.DUMMYFUNCTION("""COMPUTED_VALUE"""),"Sharjah")</f>
        <v>Sharjah</v>
      </c>
      <c r="B9424" s="2" t="str">
        <f ca="1">IFERROR(__xludf.DUMMYFUNCTION("""COMPUTED_VALUE"""),"Chubby Cheeks Sharjah")</f>
        <v>Chubby Cheeks Sharjah</v>
      </c>
      <c r="C9424" s="2" t="str">
        <f ca="1">IFERROR(__xludf.DUMMYFUNCTION("""COMPUTED_VALUE"""),"School")</f>
        <v>School</v>
      </c>
      <c r="D9424" s="2" t="str">
        <f ca="1">IFERROR(__xludf.DUMMYFUNCTION("""COMPUTED_VALUE"""),"Sharjah&gt;Al Taawun&gt;Chubby Cheeks Sharjah")</f>
        <v>Sharjah&gt;Al Taawun&gt;Chubby Cheeks Sharjah</v>
      </c>
      <c r="E9424" s="2"/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  <c r="W9424" s="2"/>
      <c r="X9424" s="2"/>
      <c r="Y9424" s="2"/>
      <c r="Z9424" s="2"/>
    </row>
    <row r="9425" spans="1:26" ht="16.5" x14ac:dyDescent="0.35">
      <c r="A9425" s="2" t="str">
        <f ca="1">IFERROR(__xludf.DUMMYFUNCTION("""COMPUTED_VALUE"""),"Sharjah")</f>
        <v>Sharjah</v>
      </c>
      <c r="B9425" s="2" t="str">
        <f ca="1">IFERROR(__xludf.DUMMYFUNCTION("""COMPUTED_VALUE"""),"Majestic Tower")</f>
        <v>Majestic Tower</v>
      </c>
      <c r="C9425" s="2" t="str">
        <f ca="1">IFERROR(__xludf.DUMMYFUNCTION("""COMPUTED_VALUE"""),"Building")</f>
        <v>Building</v>
      </c>
      <c r="D9425" s="2" t="str">
        <f ca="1">IFERROR(__xludf.DUMMYFUNCTION("""COMPUTED_VALUE"""),"Sharjah&gt;Al Taawun&gt;Majestic Tower")</f>
        <v>Sharjah&gt;Al Taawun&gt;Majestic Tower</v>
      </c>
      <c r="E9425" s="2"/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</row>
    <row r="9426" spans="1:26" ht="16.5" x14ac:dyDescent="0.35">
      <c r="A9426" s="2" t="str">
        <f ca="1">IFERROR(__xludf.DUMMYFUNCTION("""COMPUTED_VALUE"""),"Sharjah")</f>
        <v>Sharjah</v>
      </c>
      <c r="B9426" s="2" t="str">
        <f ca="1">IFERROR(__xludf.DUMMYFUNCTION("""COMPUTED_VALUE"""),"Al Otaiba Building")</f>
        <v>Al Otaiba Building</v>
      </c>
      <c r="C9426" s="2" t="str">
        <f ca="1">IFERROR(__xludf.DUMMYFUNCTION("""COMPUTED_VALUE"""),"Building")</f>
        <v>Building</v>
      </c>
      <c r="D9426" s="2" t="str">
        <f ca="1">IFERROR(__xludf.DUMMYFUNCTION("""COMPUTED_VALUE"""),"Sharjah&gt;Al Qasimia&gt;Al Nad&gt;Al Otaiba Building")</f>
        <v>Sharjah&gt;Al Qasimia&gt;Al Nad&gt;Al Otaiba Building</v>
      </c>
      <c r="E9426" s="2"/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  <c r="W9426" s="2"/>
      <c r="X9426" s="2"/>
      <c r="Y9426" s="2"/>
      <c r="Z9426" s="2"/>
    </row>
    <row r="9427" spans="1:26" ht="16.5" x14ac:dyDescent="0.35">
      <c r="A9427" s="2" t="str">
        <f ca="1">IFERROR(__xludf.DUMMYFUNCTION("""COMPUTED_VALUE"""),"Sharjah")</f>
        <v>Sharjah</v>
      </c>
      <c r="B9427" s="2" t="str">
        <f ca="1">IFERROR(__xludf.DUMMYFUNCTION("""COMPUTED_VALUE"""),"Al Noor Building Al Nud")</f>
        <v>Al Noor Building Al Nud</v>
      </c>
      <c r="C9427" s="2"/>
      <c r="D9427" s="2" t="str">
        <f ca="1">IFERROR(__xludf.DUMMYFUNCTION("""COMPUTED_VALUE"""),"Sharjah&gt;Al Qasimia&gt;Al Nad&gt;Al Noor Building Al Nud")</f>
        <v>Sharjah&gt;Al Qasimia&gt;Al Nad&gt;Al Noor Building Al Nud</v>
      </c>
      <c r="E9427" s="2"/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  <c r="W9427" s="2"/>
      <c r="X9427" s="2"/>
      <c r="Y9427" s="2"/>
      <c r="Z9427" s="2"/>
    </row>
    <row r="9428" spans="1:26" ht="16.5" x14ac:dyDescent="0.35">
      <c r="A9428" s="2" t="str">
        <f ca="1">IFERROR(__xludf.DUMMYFUNCTION("""COMPUTED_VALUE"""),"Sharjah")</f>
        <v>Sharjah</v>
      </c>
      <c r="B9428" s="2" t="str">
        <f ca="1">IFERROR(__xludf.DUMMYFUNCTION("""COMPUTED_VALUE"""),"Naibah Building")</f>
        <v>Naibah Building</v>
      </c>
      <c r="C9428" s="2"/>
      <c r="D9428" s="2" t="str">
        <f ca="1">IFERROR(__xludf.DUMMYFUNCTION("""COMPUTED_VALUE"""),"Sharjah&gt;Al Qasimia&gt;Al Nad&gt;Naibah Building")</f>
        <v>Sharjah&gt;Al Qasimia&gt;Al Nad&gt;Naibah Building</v>
      </c>
      <c r="E9428" s="2"/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  <c r="W9428" s="2"/>
      <c r="X9428" s="2"/>
      <c r="Y9428" s="2"/>
      <c r="Z9428" s="2"/>
    </row>
    <row r="9429" spans="1:26" ht="16.5" x14ac:dyDescent="0.35">
      <c r="A9429" s="2" t="str">
        <f ca="1">IFERROR(__xludf.DUMMYFUNCTION("""COMPUTED_VALUE"""),"Sharjah")</f>
        <v>Sharjah</v>
      </c>
      <c r="B9429" s="2" t="str">
        <f ca="1">IFERROR(__xludf.DUMMYFUNCTION("""COMPUTED_VALUE"""),"Al Mahatta Building")</f>
        <v>Al Mahatta Building</v>
      </c>
      <c r="C9429" s="2" t="str">
        <f ca="1">IFERROR(__xludf.DUMMYFUNCTION("""COMPUTED_VALUE"""),"Building")</f>
        <v>Building</v>
      </c>
      <c r="D9429" s="2" t="str">
        <f ca="1">IFERROR(__xludf.DUMMYFUNCTION("""COMPUTED_VALUE"""),"Sharjah&gt;Al Qasimia&gt;Al Mahatta Building")</f>
        <v>Sharjah&gt;Al Qasimia&gt;Al Mahatta Building</v>
      </c>
      <c r="E9429" s="2"/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  <c r="W9429" s="2"/>
      <c r="X9429" s="2"/>
      <c r="Y9429" s="2"/>
      <c r="Z9429" s="2"/>
    </row>
    <row r="9430" spans="1:26" ht="16.5" x14ac:dyDescent="0.35">
      <c r="A9430" s="2" t="str">
        <f ca="1">IFERROR(__xludf.DUMMYFUNCTION("""COMPUTED_VALUE"""),"Sharjah")</f>
        <v>Sharjah</v>
      </c>
      <c r="B9430" s="2" t="str">
        <f ca="1">IFERROR(__xludf.DUMMYFUNCTION("""COMPUTED_VALUE"""),"Dana Hotel")</f>
        <v>Dana Hotel</v>
      </c>
      <c r="C9430" s="2"/>
      <c r="D9430" s="2" t="str">
        <f ca="1">IFERROR(__xludf.DUMMYFUNCTION("""COMPUTED_VALUE"""),"Sharjah&gt;Al Nabba&gt;Dana Hotel")</f>
        <v>Sharjah&gt;Al Nabba&gt;Dana Hotel</v>
      </c>
      <c r="E9430" s="2"/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  <c r="W9430" s="2"/>
      <c r="X9430" s="2"/>
      <c r="Y9430" s="2"/>
      <c r="Z9430" s="2"/>
    </row>
    <row r="9431" spans="1:26" ht="16.5" x14ac:dyDescent="0.35">
      <c r="A9431" s="2" t="str">
        <f ca="1">IFERROR(__xludf.DUMMYFUNCTION("""COMPUTED_VALUE"""),"Sharjah")</f>
        <v>Sharjah</v>
      </c>
      <c r="B9431" s="2" t="str">
        <f ca="1">IFERROR(__xludf.DUMMYFUNCTION("""COMPUTED_VALUE"""),"Australian International School Sharjah")</f>
        <v>Australian International School Sharjah</v>
      </c>
      <c r="C9431" s="2" t="str">
        <f ca="1">IFERROR(__xludf.DUMMYFUNCTION("""COMPUTED_VALUE"""),"School")</f>
        <v>School</v>
      </c>
      <c r="D9431" s="2" t="str">
        <f ca="1">IFERROR(__xludf.DUMMYFUNCTION("""COMPUTED_VALUE"""),"Sharjah&gt;Industrial Area&gt;Industrial Area 18&gt;Australian International School Sharjah")</f>
        <v>Sharjah&gt;Industrial Area&gt;Industrial Area 18&gt;Australian International School Sharjah</v>
      </c>
      <c r="E9431" s="2"/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  <c r="W9431" s="2"/>
      <c r="X9431" s="2"/>
      <c r="Y9431" s="2"/>
      <c r="Z9431" s="2"/>
    </row>
    <row r="9432" spans="1:26" ht="16.5" x14ac:dyDescent="0.35">
      <c r="A9432" s="2" t="str">
        <f ca="1">IFERROR(__xludf.DUMMYFUNCTION("""COMPUTED_VALUE"""),"Sharjah")</f>
        <v>Sharjah</v>
      </c>
      <c r="B9432" s="2" t="str">
        <f ca="1">IFERROR(__xludf.DUMMYFUNCTION("""COMPUTED_VALUE"""),"SS 4")</f>
        <v>SS 4</v>
      </c>
      <c r="C9432" s="2" t="str">
        <f ca="1">IFERROR(__xludf.DUMMYFUNCTION("""COMPUTED_VALUE"""),"Building")</f>
        <v>Building</v>
      </c>
      <c r="D9432" s="2" t="str">
        <f ca="1">IFERROR(__xludf.DUMMYFUNCTION("""COMPUTED_VALUE"""),"Sharjah&gt;Muwaileh&gt;Al Mamsha&gt;Souks Residential&gt;SS 4")</f>
        <v>Sharjah&gt;Muwaileh&gt;Al Mamsha&gt;Souks Residential&gt;SS 4</v>
      </c>
      <c r="E9432" s="2"/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  <c r="W9432" s="2"/>
      <c r="X9432" s="2"/>
      <c r="Y9432" s="2"/>
      <c r="Z9432" s="2"/>
    </row>
    <row r="9433" spans="1:26" ht="16.5" x14ac:dyDescent="0.35">
      <c r="A9433" s="2" t="str">
        <f ca="1">IFERROR(__xludf.DUMMYFUNCTION("""COMPUTED_VALUE"""),"Sharjah")</f>
        <v>Sharjah</v>
      </c>
      <c r="B9433" s="2" t="str">
        <f ca="1">IFERROR(__xludf.DUMMYFUNCTION("""COMPUTED_VALUE"""),"Darb 3")</f>
        <v>Darb 3</v>
      </c>
      <c r="C9433" s="2" t="str">
        <f ca="1">IFERROR(__xludf.DUMMYFUNCTION("""COMPUTED_VALUE"""),"Building")</f>
        <v>Building</v>
      </c>
      <c r="D9433" s="2" t="str">
        <f ca="1">IFERROR(__xludf.DUMMYFUNCTION("""COMPUTED_VALUE"""),"Sharjah&gt;Muwaileh&gt;Al Mamsha&gt;Raseel&gt;Darb 3")</f>
        <v>Sharjah&gt;Muwaileh&gt;Al Mamsha&gt;Raseel&gt;Darb 3</v>
      </c>
      <c r="E9433" s="2"/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  <c r="W9433" s="2"/>
      <c r="X9433" s="2"/>
      <c r="Y9433" s="2"/>
      <c r="Z9433" s="2"/>
    </row>
    <row r="9434" spans="1:26" ht="16.5" x14ac:dyDescent="0.35">
      <c r="A9434" s="2" t="str">
        <f ca="1">IFERROR(__xludf.DUMMYFUNCTION("""COMPUTED_VALUE"""),"Sharjah")</f>
        <v>Sharjah</v>
      </c>
      <c r="B9434" s="2" t="str">
        <f ca="1">IFERROR(__xludf.DUMMYFUNCTION("""COMPUTED_VALUE"""),"Garden Apartment Block B")</f>
        <v>Garden Apartment Block B</v>
      </c>
      <c r="C9434" s="2" t="str">
        <f ca="1">IFERROR(__xludf.DUMMYFUNCTION("""COMPUTED_VALUE"""),"Building")</f>
        <v>Building</v>
      </c>
      <c r="D9434" s="2" t="str">
        <f ca="1">IFERROR(__xludf.DUMMYFUNCTION("""COMPUTED_VALUE"""),"Sharjah&gt;Muwaileh&gt;Al Zahia&gt;Al Zahia Garden Apartments&gt;Garden Apartment Block B")</f>
        <v>Sharjah&gt;Muwaileh&gt;Al Zahia&gt;Al Zahia Garden Apartments&gt;Garden Apartment Block B</v>
      </c>
      <c r="E9434" s="2"/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  <c r="W9434" s="2"/>
      <c r="X9434" s="2"/>
      <c r="Y9434" s="2"/>
      <c r="Z9434" s="2"/>
    </row>
    <row r="9435" spans="1:26" ht="16.5" x14ac:dyDescent="0.35">
      <c r="A9435" s="2" t="str">
        <f ca="1">IFERROR(__xludf.DUMMYFUNCTION("""COMPUTED_VALUE"""),"Sharjah")</f>
        <v>Sharjah</v>
      </c>
      <c r="B9435" s="2" t="str">
        <f ca="1">IFERROR(__xludf.DUMMYFUNCTION("""COMPUTED_VALUE"""),"Al Hoor Building")</f>
        <v>Al Hoor Building</v>
      </c>
      <c r="C9435" s="2"/>
      <c r="D9435" s="2" t="str">
        <f ca="1">IFERROR(__xludf.DUMMYFUNCTION("""COMPUTED_VALUE"""),"Sharjah&gt;Muwaileh Commercial&gt;Al Hoor Building")</f>
        <v>Sharjah&gt;Muwaileh Commercial&gt;Al Hoor Building</v>
      </c>
      <c r="E9435" s="2"/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  <c r="W9435" s="2"/>
      <c r="X9435" s="2"/>
      <c r="Y9435" s="2"/>
      <c r="Z9435" s="2"/>
    </row>
    <row r="9436" spans="1:26" ht="16.5" x14ac:dyDescent="0.35">
      <c r="A9436" s="2" t="str">
        <f ca="1">IFERROR(__xludf.DUMMYFUNCTION("""COMPUTED_VALUE"""),"Sharjah")</f>
        <v>Sharjah</v>
      </c>
      <c r="B9436" s="2" t="str">
        <f ca="1">IFERROR(__xludf.DUMMYFUNCTION("""COMPUTED_VALUE"""),"Al Shamsi Building")</f>
        <v>Al Shamsi Building</v>
      </c>
      <c r="C9436" s="2" t="str">
        <f ca="1">IFERROR(__xludf.DUMMYFUNCTION("""COMPUTED_VALUE"""),"Building")</f>
        <v>Building</v>
      </c>
      <c r="D9436" s="2" t="str">
        <f ca="1">IFERROR(__xludf.DUMMYFUNCTION("""COMPUTED_VALUE"""),"Sharjah&gt;Muwaileh Commercial&gt;Al Shamsi Building")</f>
        <v>Sharjah&gt;Muwaileh Commercial&gt;Al Shamsi Building</v>
      </c>
      <c r="E9436" s="2"/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  <c r="W9436" s="2"/>
      <c r="X9436" s="2"/>
      <c r="Y9436" s="2"/>
      <c r="Z9436" s="2"/>
    </row>
    <row r="9437" spans="1:26" ht="16.5" x14ac:dyDescent="0.35">
      <c r="A9437" s="2" t="str">
        <f ca="1">IFERROR(__xludf.DUMMYFUNCTION("""COMPUTED_VALUE"""),"Sharjah")</f>
        <v>Sharjah</v>
      </c>
      <c r="B9437" s="2" t="str">
        <f ca="1">IFERROR(__xludf.DUMMYFUNCTION("""COMPUTED_VALUE"""),"Building 1224")</f>
        <v>Building 1224</v>
      </c>
      <c r="C9437" s="2" t="str">
        <f ca="1">IFERROR(__xludf.DUMMYFUNCTION("""COMPUTED_VALUE"""),"Building")</f>
        <v>Building</v>
      </c>
      <c r="D9437" s="2" t="str">
        <f ca="1">IFERROR(__xludf.DUMMYFUNCTION("""COMPUTED_VALUE"""),"Sharjah&gt;Muwaileh Commercial&gt;Building 1224")</f>
        <v>Sharjah&gt;Muwaileh Commercial&gt;Building 1224</v>
      </c>
      <c r="E9437" s="2"/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  <c r="W9437" s="2"/>
      <c r="X9437" s="2"/>
      <c r="Y9437" s="2"/>
      <c r="Z9437" s="2"/>
    </row>
    <row r="9438" spans="1:26" ht="16.5" x14ac:dyDescent="0.35">
      <c r="A9438" s="2" t="str">
        <f ca="1">IFERROR(__xludf.DUMMYFUNCTION("""COMPUTED_VALUE"""),"Al Ain")</f>
        <v>Al Ain</v>
      </c>
      <c r="B9438" s="2" t="str">
        <f ca="1">IFERROR(__xludf.DUMMYFUNCTION("""COMPUTED_VALUE"""),"Al Nahil")</f>
        <v>Al Nahil</v>
      </c>
      <c r="C9438" s="2" t="str">
        <f ca="1">IFERROR(__xludf.DUMMYFUNCTION("""COMPUTED_VALUE"""),"Neighbourhood")</f>
        <v>Neighbourhood</v>
      </c>
      <c r="D9438" s="2" t="str">
        <f ca="1">IFERROR(__xludf.DUMMYFUNCTION("""COMPUTED_VALUE"""),"Al Ain&gt;Al Nahil")</f>
        <v>Al Ain&gt;Al Nahil</v>
      </c>
      <c r="E9438" s="2"/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</row>
    <row r="9439" spans="1:26" ht="16.5" x14ac:dyDescent="0.35">
      <c r="A9439" s="2" t="str">
        <f ca="1">IFERROR(__xludf.DUMMYFUNCTION("""COMPUTED_VALUE"""),"Al Ain")</f>
        <v>Al Ain</v>
      </c>
      <c r="B9439" s="2" t="str">
        <f ca="1">IFERROR(__xludf.DUMMYFUNCTION("""COMPUTED_VALUE"""),"Nad Al Rusas")</f>
        <v>Nad Al Rusas</v>
      </c>
      <c r="C9439" s="2" t="str">
        <f ca="1">IFERROR(__xludf.DUMMYFUNCTION("""COMPUTED_VALUE"""),"Neighbourhood")</f>
        <v>Neighbourhood</v>
      </c>
      <c r="D9439" s="2" t="str">
        <f ca="1">IFERROR(__xludf.DUMMYFUNCTION("""COMPUTED_VALUE"""),"Al Ain&gt;Central District&gt;Nad Al Rusas")</f>
        <v>Al Ain&gt;Central District&gt;Nad Al Rusas</v>
      </c>
      <c r="E9439" s="2"/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  <c r="W9439" s="2"/>
      <c r="X9439" s="2"/>
      <c r="Y9439" s="2"/>
      <c r="Z9439" s="2"/>
    </row>
    <row r="9440" spans="1:26" ht="16.5" x14ac:dyDescent="0.35">
      <c r="A9440" s="2" t="str">
        <f ca="1">IFERROR(__xludf.DUMMYFUNCTION("""COMPUTED_VALUE"""),"Al Ain")</f>
        <v>Al Ain</v>
      </c>
      <c r="B9440" s="2" t="str">
        <f ca="1">IFERROR(__xludf.DUMMYFUNCTION("""COMPUTED_VALUE"""),"Brighton College Al Ain")</f>
        <v>Brighton College Al Ain</v>
      </c>
      <c r="C9440" s="2" t="str">
        <f ca="1">IFERROR(__xludf.DUMMYFUNCTION("""COMPUTED_VALUE"""),"School")</f>
        <v>School</v>
      </c>
      <c r="D9440" s="2" t="str">
        <f ca="1">IFERROR(__xludf.DUMMYFUNCTION("""COMPUTED_VALUE"""),"Al Ain&gt;Zakhir&gt;Brighton College Al Ain")</f>
        <v>Al Ain&gt;Zakhir&gt;Brighton College Al Ain</v>
      </c>
      <c r="E9440" s="2"/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  <c r="W9440" s="2"/>
      <c r="X9440" s="2"/>
      <c r="Y9440" s="2"/>
      <c r="Z9440" s="2"/>
    </row>
    <row r="9441" spans="1:26" ht="16.5" x14ac:dyDescent="0.35">
      <c r="A9441" s="2" t="str">
        <f ca="1">IFERROR(__xludf.DUMMYFUNCTION("""COMPUTED_VALUE"""),"Al Ain")</f>
        <v>Al Ain</v>
      </c>
      <c r="B9441" s="2" t="str">
        <f ca="1">IFERROR(__xludf.DUMMYFUNCTION("""COMPUTED_VALUE"""),"Al Tiwayya")</f>
        <v>Al Tiwayya</v>
      </c>
      <c r="C9441" s="2" t="str">
        <f ca="1">IFERROR(__xludf.DUMMYFUNCTION("""COMPUTED_VALUE"""),"Neighbourhood")</f>
        <v>Neighbourhood</v>
      </c>
      <c r="D9441" s="2" t="str">
        <f ca="1">IFERROR(__xludf.DUMMYFUNCTION("""COMPUTED_VALUE"""),"Al Ain&gt;Al Tiwayya")</f>
        <v>Al Ain&gt;Al Tiwayya</v>
      </c>
      <c r="E9441" s="2"/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  <c r="W9441" s="2"/>
      <c r="X9441" s="2"/>
      <c r="Y9441" s="2"/>
      <c r="Z9441" s="2"/>
    </row>
    <row r="9442" spans="1:26" ht="16.5" x14ac:dyDescent="0.35">
      <c r="A9442" s="2" t="str">
        <f ca="1">IFERROR(__xludf.DUMMYFUNCTION("""COMPUTED_VALUE"""),"Al Ain")</f>
        <v>Al Ain</v>
      </c>
      <c r="B9442" s="2" t="str">
        <f ca="1">IFERROR(__xludf.DUMMYFUNCTION("""COMPUTED_VALUE"""),"House of Colours Nursery")</f>
        <v>House of Colours Nursery</v>
      </c>
      <c r="C9442" s="2" t="str">
        <f ca="1">IFERROR(__xludf.DUMMYFUNCTION("""COMPUTED_VALUE"""),"Nursery")</f>
        <v>Nursery</v>
      </c>
      <c r="D9442" s="2" t="str">
        <f ca="1">IFERROR(__xludf.DUMMYFUNCTION("""COMPUTED_VALUE"""),"Al Ain&gt;Falaj Hazzaa&gt;House of Colours Nursery")</f>
        <v>Al Ain&gt;Falaj Hazzaa&gt;House of Colours Nursery</v>
      </c>
      <c r="E9442" s="2"/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  <c r="W9442" s="2"/>
      <c r="X9442" s="2"/>
      <c r="Y9442" s="2"/>
      <c r="Z9442" s="2"/>
    </row>
    <row r="9443" spans="1:26" ht="16.5" x14ac:dyDescent="0.35">
      <c r="A9443" s="2" t="str">
        <f ca="1">IFERROR(__xludf.DUMMYFUNCTION("""COMPUTED_VALUE"""),"Al Ain")</f>
        <v>Al Ain</v>
      </c>
      <c r="B9443" s="2" t="str">
        <f ca="1">IFERROR(__xludf.DUMMYFUNCTION("""COMPUTED_VALUE"""),"Arabian Hills Estate")</f>
        <v>Arabian Hills Estate</v>
      </c>
      <c r="C9443" s="2" t="str">
        <f ca="1">IFERROR(__xludf.DUMMYFUNCTION("""COMPUTED_VALUE"""),"Neighbourhood")</f>
        <v>Neighbourhood</v>
      </c>
      <c r="D9443" s="2" t="str">
        <f ca="1">IFERROR(__xludf.DUMMYFUNCTION("""COMPUTED_VALUE"""),"Al Ain&gt;Al Faqa&gt;Arabian Hills Estate")</f>
        <v>Al Ain&gt;Al Faqa&gt;Arabian Hills Estate</v>
      </c>
      <c r="E9443" s="2"/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  <c r="W9443" s="2"/>
      <c r="X9443" s="2"/>
      <c r="Y9443" s="2"/>
      <c r="Z9443" s="2"/>
    </row>
    <row r="9444" spans="1:26" ht="16.5" x14ac:dyDescent="0.35">
      <c r="A9444" s="2" t="str">
        <f ca="1">IFERROR(__xludf.DUMMYFUNCTION("""COMPUTED_VALUE"""),"Ras Al Khaimah")</f>
        <v>Ras Al Khaimah</v>
      </c>
      <c r="B9444" s="2" t="str">
        <f ca="1">IFERROR(__xludf.DUMMYFUNCTION("""COMPUTED_VALUE"""),"Chubby Cheeks Mina Al Arab")</f>
        <v>Chubby Cheeks Mina Al Arab</v>
      </c>
      <c r="C9444" s="2" t="str">
        <f ca="1">IFERROR(__xludf.DUMMYFUNCTION("""COMPUTED_VALUE"""),"Nursery")</f>
        <v>Nursery</v>
      </c>
      <c r="D9444" s="2" t="str">
        <f ca="1">IFERROR(__xludf.DUMMYFUNCTION("""COMPUTED_VALUE"""),"Ras Al Khaimah&gt;Mina Al Arab&gt;Chubby Cheeks Mina Al Arab")</f>
        <v>Ras Al Khaimah&gt;Mina Al Arab&gt;Chubby Cheeks Mina Al Arab</v>
      </c>
      <c r="E9444" s="2"/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  <c r="W9444" s="2"/>
      <c r="X9444" s="2"/>
      <c r="Y9444" s="2"/>
      <c r="Z9444" s="2"/>
    </row>
    <row r="9445" spans="1:26" ht="16.5" x14ac:dyDescent="0.35">
      <c r="A9445" s="2" t="str">
        <f ca="1">IFERROR(__xludf.DUMMYFUNCTION("""COMPUTED_VALUE"""),"Ras Al Khaimah")</f>
        <v>Ras Al Khaimah</v>
      </c>
      <c r="B9445" s="2" t="str">
        <f ca="1">IFERROR(__xludf.DUMMYFUNCTION("""COMPUTED_VALUE"""),"Anantara Mina Ras Al Khaimah Residences")</f>
        <v>Anantara Mina Ras Al Khaimah Residences</v>
      </c>
      <c r="C9445" s="2" t="str">
        <f ca="1">IFERROR(__xludf.DUMMYFUNCTION("""COMPUTED_VALUE"""),"Building")</f>
        <v>Building</v>
      </c>
      <c r="D9445" s="2" t="str">
        <f ca="1">IFERROR(__xludf.DUMMYFUNCTION("""COMPUTED_VALUE"""),"Ras Al Khaimah&gt;Mina Al Arab&gt;Anantara Mina Ras Al Khaimah Residences")</f>
        <v>Ras Al Khaimah&gt;Mina Al Arab&gt;Anantara Mina Ras Al Khaimah Residences</v>
      </c>
      <c r="E9445" s="2"/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  <c r="W9445" s="2"/>
      <c r="X9445" s="2"/>
      <c r="Y9445" s="2"/>
      <c r="Z9445" s="2"/>
    </row>
    <row r="9446" spans="1:26" ht="16.5" x14ac:dyDescent="0.35">
      <c r="A9446" s="2" t="str">
        <f ca="1">IFERROR(__xludf.DUMMYFUNCTION("""COMPUTED_VALUE"""),"Ras Al Khaimah")</f>
        <v>Ras Al Khaimah</v>
      </c>
      <c r="B9446" s="2" t="str">
        <f ca="1">IFERROR(__xludf.DUMMYFUNCTION("""COMPUTED_VALUE"""),"JW Marriott Residences")</f>
        <v>JW Marriott Residences</v>
      </c>
      <c r="C9446" s="2" t="str">
        <f ca="1">IFERROR(__xludf.DUMMYFUNCTION("""COMPUTED_VALUE"""),"Building")</f>
        <v>Building</v>
      </c>
      <c r="D9446" s="2" t="str">
        <f ca="1">IFERROR(__xludf.DUMMYFUNCTION("""COMPUTED_VALUE"""),"Ras Al Khaimah&gt;Al Marjan Island&gt;JW Marriott Residences")</f>
        <v>Ras Al Khaimah&gt;Al Marjan Island&gt;JW Marriott Residences</v>
      </c>
      <c r="E9446" s="2"/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  <c r="W9446" s="2"/>
      <c r="X9446" s="2"/>
      <c r="Y9446" s="2"/>
      <c r="Z9446" s="2"/>
    </row>
    <row r="9447" spans="1:26" ht="16.5" x14ac:dyDescent="0.35">
      <c r="A9447" s="2" t="str">
        <f ca="1">IFERROR(__xludf.DUMMYFUNCTION("""COMPUTED_VALUE"""),"Ras Al Khaimah")</f>
        <v>Ras Al Khaimah</v>
      </c>
      <c r="B9447" s="2" t="str">
        <f ca="1">IFERROR(__xludf.DUMMYFUNCTION("""COMPUTED_VALUE"""),"Trio Isle")</f>
        <v>Trio Isle</v>
      </c>
      <c r="C9447" s="2" t="str">
        <f ca="1">IFERROR(__xludf.DUMMYFUNCTION("""COMPUTED_VALUE"""),"Building")</f>
        <v>Building</v>
      </c>
      <c r="D9447" s="2" t="str">
        <f ca="1">IFERROR(__xludf.DUMMYFUNCTION("""COMPUTED_VALUE"""),"Ras Al Khaimah&gt;Al Marjan Island&gt;Trio Isle")</f>
        <v>Ras Al Khaimah&gt;Al Marjan Island&gt;Trio Isle</v>
      </c>
      <c r="E9447" s="2"/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  <c r="W9447" s="2"/>
      <c r="X9447" s="2"/>
      <c r="Y9447" s="2"/>
      <c r="Z9447" s="2"/>
    </row>
    <row r="9448" spans="1:26" ht="16.5" x14ac:dyDescent="0.35">
      <c r="A9448" s="2" t="str">
        <f ca="1">IFERROR(__xludf.DUMMYFUNCTION("""COMPUTED_VALUE"""),"Ras Al Khaimah")</f>
        <v>Ras Al Khaimah</v>
      </c>
      <c r="B9448" s="2" t="str">
        <f ca="1">IFERROR(__xludf.DUMMYFUNCTION("""COMPUTED_VALUE"""),"Royal Breeze Apartment")</f>
        <v>Royal Breeze Apartment</v>
      </c>
      <c r="C9448" s="2" t="str">
        <f ca="1">IFERROR(__xludf.DUMMYFUNCTION("""COMPUTED_VALUE"""),"Cluster")</f>
        <v>Cluster</v>
      </c>
      <c r="D9448" s="2" t="str">
        <f ca="1">IFERROR(__xludf.DUMMYFUNCTION("""COMPUTED_VALUE"""),"Ras Al Khaimah&gt;Al Hamra Village&gt;Royal Breeze Apartment")</f>
        <v>Ras Al Khaimah&gt;Al Hamra Village&gt;Royal Breeze Apartment</v>
      </c>
      <c r="E9448" s="2"/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  <c r="W9448" s="2"/>
      <c r="X9448" s="2"/>
      <c r="Y9448" s="2"/>
      <c r="Z9448" s="2"/>
    </row>
    <row r="9449" spans="1:26" ht="16.5" x14ac:dyDescent="0.35">
      <c r="A9449" s="2" t="str">
        <f ca="1">IFERROR(__xludf.DUMMYFUNCTION("""COMPUTED_VALUE"""),"Ras Al Khaimah")</f>
        <v>Ras Al Khaimah</v>
      </c>
      <c r="B9449" s="2" t="str">
        <f ca="1">IFERROR(__xludf.DUMMYFUNCTION("""COMPUTED_VALUE"""),"Yasmin Village Building 3")</f>
        <v>Yasmin Village Building 3</v>
      </c>
      <c r="C9449" s="2" t="str">
        <f ca="1">IFERROR(__xludf.DUMMYFUNCTION("""COMPUTED_VALUE"""),"Building")</f>
        <v>Building</v>
      </c>
      <c r="D9449" s="2" t="str">
        <f ca="1">IFERROR(__xludf.DUMMYFUNCTION("""COMPUTED_VALUE"""),"Ras Al Khaimah&gt;Yasmin Village&gt;Yasmin Village Building 3")</f>
        <v>Ras Al Khaimah&gt;Yasmin Village&gt;Yasmin Village Building 3</v>
      </c>
      <c r="E9449" s="2"/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  <c r="W9449" s="2"/>
      <c r="X9449" s="2"/>
      <c r="Y9449" s="2"/>
      <c r="Z9449" s="2"/>
    </row>
    <row r="9450" spans="1:26" ht="16.5" x14ac:dyDescent="0.35">
      <c r="A9450" s="2" t="str">
        <f ca="1">IFERROR(__xludf.DUMMYFUNCTION("""COMPUTED_VALUE"""),"Ras Al Khaimah")</f>
        <v>Ras Al Khaimah</v>
      </c>
      <c r="B9450" s="2" t="str">
        <f ca="1">IFERROR(__xludf.DUMMYFUNCTION("""COMPUTED_VALUE"""),"Ras Al Selaab")</f>
        <v>Ras Al Selaab</v>
      </c>
      <c r="C9450" s="2" t="str">
        <f ca="1">IFERROR(__xludf.DUMMYFUNCTION("""COMPUTED_VALUE"""),"Neighbourhood")</f>
        <v>Neighbourhood</v>
      </c>
      <c r="D9450" s="2" t="str">
        <f ca="1">IFERROR(__xludf.DUMMYFUNCTION("""COMPUTED_VALUE"""),"Ras Al Khaimah&gt;Ras Al Selaab")</f>
        <v>Ras Al Khaimah&gt;Ras Al Selaab</v>
      </c>
      <c r="E9450" s="2"/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  <c r="W9450" s="2"/>
      <c r="X9450" s="2"/>
      <c r="Y9450" s="2"/>
      <c r="Z9450" s="2"/>
    </row>
    <row r="9451" spans="1:26" ht="16.5" x14ac:dyDescent="0.35">
      <c r="A9451" s="2" t="str">
        <f ca="1">IFERROR(__xludf.DUMMYFUNCTION("""COMPUTED_VALUE"""),"Ras Al Khaimah")</f>
        <v>Ras Al Khaimah</v>
      </c>
      <c r="B9451" s="2" t="str">
        <f ca="1">IFERROR(__xludf.DUMMYFUNCTION("""COMPUTED_VALUE"""),"Khaldia Building")</f>
        <v>Khaldia Building</v>
      </c>
      <c r="C9451" s="2" t="str">
        <f ca="1">IFERROR(__xludf.DUMMYFUNCTION("""COMPUTED_VALUE"""),"Building")</f>
        <v>Building</v>
      </c>
      <c r="D9451" s="2" t="str">
        <f ca="1">IFERROR(__xludf.DUMMYFUNCTION("""COMPUTED_VALUE"""),"Ras Al Khaimah&gt;Al Seer&gt;Khaldia Building")</f>
        <v>Ras Al Khaimah&gt;Al Seer&gt;Khaldia Building</v>
      </c>
      <c r="E9451" s="2"/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</row>
    <row r="9452" spans="1:26" ht="16.5" x14ac:dyDescent="0.35">
      <c r="A9452" s="2" t="str">
        <f ca="1">IFERROR(__xludf.DUMMYFUNCTION("""COMPUTED_VALUE"""),"Ras Al Khaimah")</f>
        <v>Ras Al Khaimah</v>
      </c>
      <c r="B9452" s="2" t="str">
        <f ca="1">IFERROR(__xludf.DUMMYFUNCTION("""COMPUTED_VALUE"""),"Seih Al Burairat")</f>
        <v>Seih Al Burairat</v>
      </c>
      <c r="C9452" s="2" t="str">
        <f ca="1">IFERROR(__xludf.DUMMYFUNCTION("""COMPUTED_VALUE"""),"Neighbourhood")</f>
        <v>Neighbourhood</v>
      </c>
      <c r="D9452" s="2" t="str">
        <f ca="1">IFERROR(__xludf.DUMMYFUNCTION("""COMPUTED_VALUE"""),"Ras Al Khaimah&gt;Seih Al Burairat")</f>
        <v>Ras Al Khaimah&gt;Seih Al Burairat</v>
      </c>
      <c r="E9452" s="2"/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  <c r="W9452" s="2"/>
      <c r="X9452" s="2"/>
      <c r="Y9452" s="2"/>
      <c r="Z9452" s="2"/>
    </row>
    <row r="9453" spans="1:26" ht="16.5" x14ac:dyDescent="0.35">
      <c r="A9453" s="2" t="str">
        <f ca="1">IFERROR(__xludf.DUMMYFUNCTION("""COMPUTED_VALUE"""),"Umm Al Quwain")</f>
        <v>Umm Al Quwain</v>
      </c>
      <c r="B9453" s="2" t="str">
        <f ca="1">IFERROR(__xludf.DUMMYFUNCTION("""COMPUTED_VALUE"""),"The English Private School, Umm Al Quwain")</f>
        <v>The English Private School, Umm Al Quwain</v>
      </c>
      <c r="C9453" s="2" t="str">
        <f ca="1">IFERROR(__xludf.DUMMYFUNCTION("""COMPUTED_VALUE"""),"School")</f>
        <v>School</v>
      </c>
      <c r="D9453" s="2" t="str">
        <f ca="1">IFERROR(__xludf.DUMMYFUNCTION("""COMPUTED_VALUE"""),"Umm Al Quwain&gt;The English Private School, Umm Al Quwain")</f>
        <v>Umm Al Quwain&gt;The English Private School, Umm Al Quwain</v>
      </c>
      <c r="E9453" s="2"/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  <c r="W9453" s="2"/>
      <c r="X9453" s="2"/>
      <c r="Y9453" s="2"/>
      <c r="Z9453" s="2"/>
    </row>
    <row r="9454" spans="1:26" ht="16.5" x14ac:dyDescent="0.35">
      <c r="A9454" s="2" t="str">
        <f ca="1">IFERROR(__xludf.DUMMYFUNCTION("""COMPUTED_VALUE"""),"Umm Al Quwain")</f>
        <v>Umm Al Quwain</v>
      </c>
      <c r="B9454" s="2" t="str">
        <f ca="1">IFERROR(__xludf.DUMMYFUNCTION("""COMPUTED_VALUE"""),"Al Ramlah C")</f>
        <v>Al Ramlah C</v>
      </c>
      <c r="C9454" s="2"/>
      <c r="D9454" s="2" t="str">
        <f ca="1">IFERROR(__xludf.DUMMYFUNCTION("""COMPUTED_VALUE"""),"Umm Al Quwain&gt;Al Ramlah&gt;Al Ramlah C")</f>
        <v>Umm Al Quwain&gt;Al Ramlah&gt;Al Ramlah C</v>
      </c>
      <c r="E9454" s="2"/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  <c r="W9454" s="2"/>
      <c r="X9454" s="2"/>
      <c r="Y9454" s="2"/>
      <c r="Z9454" s="2"/>
    </row>
    <row r="9455" spans="1:26" ht="16.5" x14ac:dyDescent="0.35">
      <c r="A9455" s="2" t="str">
        <f ca="1">IFERROR(__xludf.DUMMYFUNCTION("""COMPUTED_VALUE"""),"Umm Al Quwain")</f>
        <v>Umm Al Quwain</v>
      </c>
      <c r="B9455" s="2" t="str">
        <f ca="1">IFERROR(__xludf.DUMMYFUNCTION("""COMPUTED_VALUE"""),"Selene Beach Residences Tower B")</f>
        <v>Selene Beach Residences Tower B</v>
      </c>
      <c r="C9455" s="2" t="str">
        <f ca="1">IFERROR(__xludf.DUMMYFUNCTION("""COMPUTED_VALUE"""),"Building")</f>
        <v>Building</v>
      </c>
      <c r="D9455" s="2" t="str">
        <f ca="1">IFERROR(__xludf.DUMMYFUNCTION("""COMPUTED_VALUE"""),"Umm Al Quwain&gt;Al Seanneeah&gt;Sobha Siniya Island&gt;Selene Beach Residences&gt;Selene Beach Residences Tower B")</f>
        <v>Umm Al Quwain&gt;Al Seanneeah&gt;Sobha Siniya Island&gt;Selene Beach Residences&gt;Selene Beach Residences Tower B</v>
      </c>
      <c r="E9455" s="2"/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  <c r="W9455" s="2"/>
      <c r="X9455" s="2"/>
      <c r="Y9455" s="2"/>
      <c r="Z9455" s="2"/>
    </row>
    <row r="9456" spans="1:26" ht="16.5" x14ac:dyDescent="0.35">
      <c r="A9456" s="2" t="str">
        <f ca="1">IFERROR(__xludf.DUMMYFUNCTION("""COMPUTED_VALUE"""),"Umm Al Quwain")</f>
        <v>Umm Al Quwain</v>
      </c>
      <c r="B9456" s="2" t="str">
        <f ca="1">IFERROR(__xludf.DUMMYFUNCTION("""COMPUTED_VALUE"""),"Starline Beach Residences Building 1")</f>
        <v>Starline Beach Residences Building 1</v>
      </c>
      <c r="C9456" s="2" t="str">
        <f ca="1">IFERROR(__xludf.DUMMYFUNCTION("""COMPUTED_VALUE"""),"Building")</f>
        <v>Building</v>
      </c>
      <c r="D9456" s="2" t="str">
        <f ca="1">IFERROR(__xludf.DUMMYFUNCTION("""COMPUTED_VALUE"""),"Umm Al Quwain&gt;Al Seanneeah&gt;Sobha Siniya Island&gt;Starline Beach Residences&gt;Starline Beach Residences Building 1")</f>
        <v>Umm Al Quwain&gt;Al Seanneeah&gt;Sobha Siniya Island&gt;Starline Beach Residences&gt;Starline Beach Residences Building 1</v>
      </c>
      <c r="E9456" s="2"/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  <c r="W9456" s="2"/>
      <c r="X9456" s="2"/>
      <c r="Y9456" s="2"/>
      <c r="Z9456" s="2"/>
    </row>
    <row r="9457" spans="1:26" ht="16.5" x14ac:dyDescent="0.35">
      <c r="A9457" s="2" t="str">
        <f ca="1">IFERROR(__xludf.DUMMYFUNCTION("""COMPUTED_VALUE"""),"Fujairah")</f>
        <v>Fujairah</v>
      </c>
      <c r="B9457" s="2" t="str">
        <f ca="1">IFERROR(__xludf.DUMMYFUNCTION("""COMPUTED_VALUE"""),"Mina Al Fajer (Marina Apartments)")</f>
        <v>Mina Al Fajer (Marina Apartments)</v>
      </c>
      <c r="C9457" s="2"/>
      <c r="D9457" s="2" t="str">
        <f ca="1">IFERROR(__xludf.DUMMYFUNCTION("""COMPUTED_VALUE"""),"Fujairah&gt;Mina Al Fajer&gt;Mina Al Fajer (Marina Apartments)")</f>
        <v>Fujairah&gt;Mina Al Fajer&gt;Mina Al Fajer (Marina Apartments)</v>
      </c>
      <c r="E9457" s="2"/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  <c r="W9457" s="2"/>
      <c r="X9457" s="2"/>
      <c r="Y9457" s="2"/>
      <c r="Z9457" s="2"/>
    </row>
    <row r="9458" spans="1:26" ht="16.5" x14ac:dyDescent="0.35">
      <c r="A9458" s="2" t="str">
        <f ca="1">IFERROR(__xludf.DUMMYFUNCTION("""COMPUTED_VALUE"""),"Fujairah")</f>
        <v>Fujairah</v>
      </c>
      <c r="B9458" s="2" t="str">
        <f ca="1">IFERROR(__xludf.DUMMYFUNCTION("""COMPUTED_VALUE"""),"Mattar Residence")</f>
        <v>Mattar Residence</v>
      </c>
      <c r="C9458" s="2" t="str">
        <f ca="1">IFERROR(__xludf.DUMMYFUNCTION("""COMPUTED_VALUE"""),"Building")</f>
        <v>Building</v>
      </c>
      <c r="D9458" s="2" t="str">
        <f ca="1">IFERROR(__xludf.DUMMYFUNCTION("""COMPUTED_VALUE"""),"Fujairah&gt;Al Faseel Area&gt;Mattar Residence")</f>
        <v>Fujairah&gt;Al Faseel Area&gt;Mattar Residence</v>
      </c>
      <c r="E9458" s="2"/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  <c r="W9458" s="2"/>
      <c r="X9458" s="2"/>
      <c r="Y9458" s="2"/>
      <c r="Z9458" s="2"/>
    </row>
    <row r="9459" spans="1:26" ht="16.5" x14ac:dyDescent="0.35">
      <c r="A9459" s="2" t="str">
        <f ca="1">IFERROR(__xludf.DUMMYFUNCTION("""COMPUTED_VALUE"""),"Fujairah")</f>
        <v>Fujairah</v>
      </c>
      <c r="B9459" s="2" t="str">
        <f ca="1">IFERROR(__xludf.DUMMYFUNCTION("""COMPUTED_VALUE"""),"Al Hilal City")</f>
        <v>Al Hilal City</v>
      </c>
      <c r="C9459" s="2" t="str">
        <f ca="1">IFERROR(__xludf.DUMMYFUNCTION("""COMPUTED_VALUE"""),"Neighbourhood")</f>
        <v>Neighbourhood</v>
      </c>
      <c r="D9459" s="2" t="str">
        <f ca="1">IFERROR(__xludf.DUMMYFUNCTION("""COMPUTED_VALUE"""),"Fujairah&gt;Al Hilal City")</f>
        <v>Fujairah&gt;Al Hilal City</v>
      </c>
      <c r="E9459" s="2"/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  <c r="W9459" s="2"/>
      <c r="X9459" s="2"/>
      <c r="Y9459" s="2"/>
      <c r="Z9459" s="2"/>
    </row>
    <row r="9460" spans="1:26" ht="16.5" x14ac:dyDescent="0.35">
      <c r="A9460" s="2" t="str">
        <f ca="1">IFERROR(__xludf.DUMMYFUNCTION("""COMPUTED_VALUE"""),"Dubai")</f>
        <v>Dubai</v>
      </c>
      <c r="B9460" s="2" t="str">
        <f ca="1">IFERROR(__xludf.DUMMYFUNCTION("""COMPUTED_VALUE"""),"Hado by Beyond Tower B")</f>
        <v>Hado by Beyond Tower B</v>
      </c>
      <c r="C9460" s="2" t="str">
        <f ca="1">IFERROR(__xludf.DUMMYFUNCTION("""COMPUTED_VALUE"""),"Building")</f>
        <v>Building</v>
      </c>
      <c r="D9460" s="2" t="str">
        <f ca="1">IFERROR(__xludf.DUMMYFUNCTION("""COMPUTED_VALUE"""),"Dubai&gt;Dubai Islands&gt;Hado by Beyond&gt;Hado by Beyond Tower B")</f>
        <v>Dubai&gt;Dubai Islands&gt;Hado by Beyond&gt;Hado by Beyond Tower B</v>
      </c>
      <c r="E9460" s="2"/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  <c r="W9460" s="2"/>
      <c r="X9460" s="2"/>
      <c r="Y9460" s="2"/>
      <c r="Z9460" s="2"/>
    </row>
    <row r="9461" spans="1:26" ht="16.5" x14ac:dyDescent="0.35">
      <c r="A9461" s="2" t="str">
        <f ca="1">IFERROR(__xludf.DUMMYFUNCTION("""COMPUTED_VALUE"""),"Dubai")</f>
        <v>Dubai</v>
      </c>
      <c r="B9461" s="2" t="str">
        <f ca="1">IFERROR(__xludf.DUMMYFUNCTION("""COMPUTED_VALUE"""),"Jumeirah International Nursery Villanova")</f>
        <v>Jumeirah International Nursery Villanova</v>
      </c>
      <c r="C9461" s="2" t="str">
        <f ca="1">IFERROR(__xludf.DUMMYFUNCTION("""COMPUTED_VALUE"""),"Nursery")</f>
        <v>Nursery</v>
      </c>
      <c r="D9461" s="2" t="str">
        <f ca="1">IFERROR(__xludf.DUMMYFUNCTION("""COMPUTED_VALUE"""),"Dubai&gt;Dubailand&gt;Villanova&gt;Jumeirah International Nursery Villanova")</f>
        <v>Dubai&gt;Dubailand&gt;Villanova&gt;Jumeirah International Nursery Villanova</v>
      </c>
      <c r="E9461" s="2"/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  <c r="W9461" s="2"/>
      <c r="X9461" s="2"/>
      <c r="Y9461" s="2"/>
      <c r="Z9461" s="2"/>
    </row>
    <row r="9462" spans="1:26" ht="16.5" x14ac:dyDescent="0.35">
      <c r="A9462" s="2" t="str">
        <f ca="1">IFERROR(__xludf.DUMMYFUNCTION("""COMPUTED_VALUE"""),"Dubai")</f>
        <v>Dubai</v>
      </c>
      <c r="B9462" s="2" t="str">
        <f ca="1">IFERROR(__xludf.DUMMYFUNCTION("""COMPUTED_VALUE"""),"Aviara")</f>
        <v>Aviara</v>
      </c>
      <c r="C9462" s="2" t="str">
        <f ca="1">IFERROR(__xludf.DUMMYFUNCTION("""COMPUTED_VALUE"""),"Neighbourhood")</f>
        <v>Neighbourhood</v>
      </c>
      <c r="D9462" s="2" t="str">
        <f ca="1">IFERROR(__xludf.DUMMYFUNCTION("""COMPUTED_VALUE"""),"Dubai&gt;Dubailand&gt;The Heights Country Club&gt;Aviara")</f>
        <v>Dubai&gt;Dubailand&gt;The Heights Country Club&gt;Aviara</v>
      </c>
      <c r="E9462" s="2"/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  <c r="W9462" s="2"/>
      <c r="X9462" s="2"/>
      <c r="Y9462" s="2"/>
      <c r="Z9462" s="2"/>
    </row>
    <row r="9463" spans="1:26" ht="16.5" x14ac:dyDescent="0.35">
      <c r="A9463" s="2" t="str">
        <f ca="1">IFERROR(__xludf.DUMMYFUNCTION("""COMPUTED_VALUE"""),"Dubai")</f>
        <v>Dubai</v>
      </c>
      <c r="B9463" s="2" t="str">
        <f ca="1">IFERROR(__xludf.DUMMYFUNCTION("""COMPUTED_VALUE"""),"Jumeirah Living World Trade Centre Residence")</f>
        <v>Jumeirah Living World Trade Centre Residence</v>
      </c>
      <c r="C9463" s="2" t="str">
        <f ca="1">IFERROR(__xludf.DUMMYFUNCTION("""COMPUTED_VALUE"""),"Building")</f>
        <v>Building</v>
      </c>
      <c r="D9463" s="2" t="str">
        <f ca="1">IFERROR(__xludf.DUMMYFUNCTION("""COMPUTED_VALUE"""),"Dubai&gt;World Trade Centre&gt;Jumeirah Living World Trade Centre Residence")</f>
        <v>Dubai&gt;World Trade Centre&gt;Jumeirah Living World Trade Centre Residence</v>
      </c>
      <c r="E9463" s="2"/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  <c r="W9463" s="2"/>
      <c r="X9463" s="2"/>
      <c r="Y9463" s="2"/>
      <c r="Z9463" s="2"/>
    </row>
    <row r="9464" spans="1:26" ht="16.5" x14ac:dyDescent="0.35">
      <c r="A9464" s="2" t="str">
        <f ca="1">IFERROR(__xludf.DUMMYFUNCTION("""COMPUTED_VALUE"""),"Dubai")</f>
        <v>Dubai</v>
      </c>
      <c r="B9464" s="2" t="str">
        <f ca="1">IFERROR(__xludf.DUMMYFUNCTION("""COMPUTED_VALUE"""),"Al Madan Building 6")</f>
        <v>Al Madan Building 6</v>
      </c>
      <c r="C9464" s="2" t="str">
        <f ca="1">IFERROR(__xludf.DUMMYFUNCTION("""COMPUTED_VALUE"""),"Building")</f>
        <v>Building</v>
      </c>
      <c r="D9464" s="2" t="str">
        <f ca="1">IFERROR(__xludf.DUMMYFUNCTION("""COMPUTED_VALUE"""),"Dubai&gt;Al Qusais&gt;Al Qusais Residential Area&gt;Al Qusais 2&gt;Al Madan Building 6")</f>
        <v>Dubai&gt;Al Qusais&gt;Al Qusais Residential Area&gt;Al Qusais 2&gt;Al Madan Building 6</v>
      </c>
      <c r="E9464" s="2"/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  <c r="W9464" s="2"/>
      <c r="X9464" s="2"/>
      <c r="Y9464" s="2"/>
      <c r="Z9464" s="2"/>
    </row>
    <row r="9465" spans="1:26" ht="16.5" x14ac:dyDescent="0.35">
      <c r="A9465" s="2" t="str">
        <f ca="1">IFERROR(__xludf.DUMMYFUNCTION("""COMPUTED_VALUE"""),"Dubai")</f>
        <v>Dubai</v>
      </c>
      <c r="B9465" s="2" t="str">
        <f ca="1">IFERROR(__xludf.DUMMYFUNCTION("""COMPUTED_VALUE"""),"Blue Building")</f>
        <v>Blue Building</v>
      </c>
      <c r="C9465" s="2" t="str">
        <f ca="1">IFERROR(__xludf.DUMMYFUNCTION("""COMPUTED_VALUE"""),"Building")</f>
        <v>Building</v>
      </c>
      <c r="D9465" s="2" t="str">
        <f ca="1">IFERROR(__xludf.DUMMYFUNCTION("""COMPUTED_VALUE"""),"Dubai&gt;Al Qusais&gt;Al Qusais Residential Area&gt;Al Qusais 1&gt;Blue Building")</f>
        <v>Dubai&gt;Al Qusais&gt;Al Qusais Residential Area&gt;Al Qusais 1&gt;Blue Building</v>
      </c>
      <c r="E9465" s="2"/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2"/>
      <c r="Y9465" s="2"/>
      <c r="Z9465" s="2"/>
    </row>
    <row r="9466" spans="1:26" ht="16.5" x14ac:dyDescent="0.35">
      <c r="A9466" s="2" t="str">
        <f ca="1">IFERROR(__xludf.DUMMYFUNCTION("""COMPUTED_VALUE"""),"Dubai")</f>
        <v>Dubai</v>
      </c>
      <c r="B9466" s="2" t="str">
        <f ca="1">IFERROR(__xludf.DUMMYFUNCTION("""COMPUTED_VALUE"""),"Al Nabooda Building")</f>
        <v>Al Nabooda Building</v>
      </c>
      <c r="C9466" s="2" t="str">
        <f ca="1">IFERROR(__xludf.DUMMYFUNCTION("""COMPUTED_VALUE"""),"Building")</f>
        <v>Building</v>
      </c>
      <c r="D9466" s="2" t="str">
        <f ca="1">IFERROR(__xludf.DUMMYFUNCTION("""COMPUTED_VALUE"""),"Dubai&gt;Al Qusais&gt;Al Qusais Residential Area&gt;Al Qusais 1&gt;Al Nabooda Building")</f>
        <v>Dubai&gt;Al Qusais&gt;Al Qusais Residential Area&gt;Al Qusais 1&gt;Al Nabooda Building</v>
      </c>
      <c r="E9466" s="2"/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</row>
    <row r="9467" spans="1:26" ht="16.5" x14ac:dyDescent="0.35">
      <c r="A9467" s="2" t="str">
        <f ca="1">IFERROR(__xludf.DUMMYFUNCTION("""COMPUTED_VALUE"""),"Dubai")</f>
        <v>Dubai</v>
      </c>
      <c r="B9467" s="2" t="str">
        <f ca="1">IFERROR(__xludf.DUMMYFUNCTION("""COMPUTED_VALUE"""),"Al Qusais Industrial 1")</f>
        <v>Al Qusais Industrial 1</v>
      </c>
      <c r="C9467" s="2" t="str">
        <f ca="1">IFERROR(__xludf.DUMMYFUNCTION("""COMPUTED_VALUE"""),"Neighbourhood")</f>
        <v>Neighbourhood</v>
      </c>
      <c r="D9467" s="2" t="str">
        <f ca="1">IFERROR(__xludf.DUMMYFUNCTION("""COMPUTED_VALUE"""),"Dubai&gt;Al Qusais&gt;Al Qusais Industrial Area&gt;Al Qusais Industrial 1")</f>
        <v>Dubai&gt;Al Qusais&gt;Al Qusais Industrial Area&gt;Al Qusais Industrial 1</v>
      </c>
      <c r="E9467" s="2"/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  <c r="W9467" s="2"/>
      <c r="X9467" s="2"/>
      <c r="Y9467" s="2"/>
      <c r="Z9467" s="2"/>
    </row>
    <row r="9468" spans="1:26" ht="16.5" x14ac:dyDescent="0.35">
      <c r="A9468" s="2" t="str">
        <f ca="1">IFERROR(__xludf.DUMMYFUNCTION("""COMPUTED_VALUE"""),"Dubai")</f>
        <v>Dubai</v>
      </c>
      <c r="B9468" s="2" t="str">
        <f ca="1">IFERROR(__xludf.DUMMYFUNCTION("""COMPUTED_VALUE"""),"Acacia C")</f>
        <v>Acacia C</v>
      </c>
      <c r="C9468" s="2" t="str">
        <f ca="1">IFERROR(__xludf.DUMMYFUNCTION("""COMPUTED_VALUE"""),"Building")</f>
        <v>Building</v>
      </c>
      <c r="D9468" s="2" t="str">
        <f ca="1">IFERROR(__xludf.DUMMYFUNCTION("""COMPUTED_VALUE"""),"Dubai&gt;Dubai Hills Estate&gt;Park Heights&gt;Acacia&gt;Acacia C")</f>
        <v>Dubai&gt;Dubai Hills Estate&gt;Park Heights&gt;Acacia&gt;Acacia C</v>
      </c>
      <c r="E9468" s="2"/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  <c r="W9468" s="2"/>
      <c r="X9468" s="2"/>
      <c r="Y9468" s="2"/>
      <c r="Z9468" s="2"/>
    </row>
    <row r="9469" spans="1:26" ht="16.5" x14ac:dyDescent="0.35">
      <c r="A9469" s="2" t="str">
        <f ca="1">IFERROR(__xludf.DUMMYFUNCTION("""COMPUTED_VALUE"""),"Dubai")</f>
        <v>Dubai</v>
      </c>
      <c r="B9469" s="2" t="str">
        <f ca="1">IFERROR(__xludf.DUMMYFUNCTION("""COMPUTED_VALUE"""),"Golf Suites")</f>
        <v>Golf Suites</v>
      </c>
      <c r="C9469" s="2" t="str">
        <f ca="1">IFERROR(__xludf.DUMMYFUNCTION("""COMPUTED_VALUE"""),"Building")</f>
        <v>Building</v>
      </c>
      <c r="D9469" s="2" t="str">
        <f ca="1">IFERROR(__xludf.DUMMYFUNCTION("""COMPUTED_VALUE"""),"Dubai&gt;Dubai Hills Estate&gt;Golf Suites")</f>
        <v>Dubai&gt;Dubai Hills Estate&gt;Golf Suites</v>
      </c>
      <c r="E9469" s="2"/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  <c r="W9469" s="2"/>
      <c r="X9469" s="2"/>
      <c r="Y9469" s="2"/>
      <c r="Z9469" s="2"/>
    </row>
    <row r="9470" spans="1:26" ht="16.5" x14ac:dyDescent="0.35">
      <c r="A9470" s="2" t="str">
        <f ca="1">IFERROR(__xludf.DUMMYFUNCTION("""COMPUTED_VALUE"""),"Dubai")</f>
        <v>Dubai</v>
      </c>
      <c r="B9470" s="2" t="str">
        <f ca="1">IFERROR(__xludf.DUMMYFUNCTION("""COMPUTED_VALUE"""),"Ellington House 1")</f>
        <v>Ellington House 1</v>
      </c>
      <c r="C9470" s="2" t="str">
        <f ca="1">IFERROR(__xludf.DUMMYFUNCTION("""COMPUTED_VALUE"""),"Building")</f>
        <v>Building</v>
      </c>
      <c r="D9470" s="2" t="str">
        <f ca="1">IFERROR(__xludf.DUMMYFUNCTION("""COMPUTED_VALUE"""),"Dubai&gt;Dubai Hills Estate&gt;Ellington House&gt;Ellington House 1")</f>
        <v>Dubai&gt;Dubai Hills Estate&gt;Ellington House&gt;Ellington House 1</v>
      </c>
      <c r="E9470" s="2"/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  <c r="W9470" s="2"/>
      <c r="X9470" s="2"/>
      <c r="Y9470" s="2"/>
      <c r="Z9470" s="2"/>
    </row>
    <row r="9471" spans="1:26" ht="16.5" x14ac:dyDescent="0.35">
      <c r="A9471" s="2" t="str">
        <f ca="1">IFERROR(__xludf.DUMMYFUNCTION("""COMPUTED_VALUE"""),"Dubai")</f>
        <v>Dubai</v>
      </c>
      <c r="B9471" s="2" t="str">
        <f ca="1">IFERROR(__xludf.DUMMYFUNCTION("""COMPUTED_VALUE"""),"Dubai Hills Mall")</f>
        <v>Dubai Hills Mall</v>
      </c>
      <c r="C9471" s="2" t="str">
        <f ca="1">IFERROR(__xludf.DUMMYFUNCTION("""COMPUTED_VALUE"""),"Building")</f>
        <v>Building</v>
      </c>
      <c r="D9471" s="2" t="str">
        <f ca="1">IFERROR(__xludf.DUMMYFUNCTION("""COMPUTED_VALUE"""),"Dubai&gt;Dubai Hills Estate&gt;Dubai Hills Mall")</f>
        <v>Dubai&gt;Dubai Hills Estate&gt;Dubai Hills Mall</v>
      </c>
      <c r="E9471" s="2"/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  <c r="W9471" s="2"/>
      <c r="X9471" s="2"/>
      <c r="Y9471" s="2"/>
      <c r="Z9471" s="2"/>
    </row>
    <row r="9472" spans="1:26" ht="16.5" x14ac:dyDescent="0.35">
      <c r="A9472" s="2" t="str">
        <f ca="1">IFERROR(__xludf.DUMMYFUNCTION("""COMPUTED_VALUE"""),"Dubai")</f>
        <v>Dubai</v>
      </c>
      <c r="B9472" s="2" t="str">
        <f ca="1">IFERROR(__xludf.DUMMYFUNCTION("""COMPUTED_VALUE"""),"Parkwood Tower B")</f>
        <v>Parkwood Tower B</v>
      </c>
      <c r="C9472" s="2" t="str">
        <f ca="1">IFERROR(__xludf.DUMMYFUNCTION("""COMPUTED_VALUE"""),"Building")</f>
        <v>Building</v>
      </c>
      <c r="D9472" s="2" t="str">
        <f ca="1">IFERROR(__xludf.DUMMYFUNCTION("""COMPUTED_VALUE"""),"Dubai&gt;Dubai Hills Estate&gt;Parkwood&gt;Parkwood Tower B")</f>
        <v>Dubai&gt;Dubai Hills Estate&gt;Parkwood&gt;Parkwood Tower B</v>
      </c>
      <c r="E9472" s="2"/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  <c r="W9472" s="2"/>
      <c r="X9472" s="2"/>
      <c r="Y9472" s="2"/>
      <c r="Z9472" s="2"/>
    </row>
    <row r="9473" spans="1:26" ht="16.5" x14ac:dyDescent="0.35">
      <c r="A9473" s="2" t="str">
        <f ca="1">IFERROR(__xludf.DUMMYFUNCTION("""COMPUTED_VALUE"""),"Dubai")</f>
        <v>Dubai</v>
      </c>
      <c r="B9473" s="2" t="str">
        <f ca="1">IFERROR(__xludf.DUMMYFUNCTION("""COMPUTED_VALUE"""),"Masaken Al Muraqqabat 06")</f>
        <v>Masaken Al Muraqqabat 06</v>
      </c>
      <c r="C9473" s="2" t="str">
        <f ca="1">IFERROR(__xludf.DUMMYFUNCTION("""COMPUTED_VALUE"""),"Building")</f>
        <v>Building</v>
      </c>
      <c r="D9473" s="2" t="str">
        <f ca="1">IFERROR(__xludf.DUMMYFUNCTION("""COMPUTED_VALUE"""),"Dubai&gt;Deira&gt;Al Muraqqabat&gt;Masaken Al Muraqqabat 06")</f>
        <v>Dubai&gt;Deira&gt;Al Muraqqabat&gt;Masaken Al Muraqqabat 06</v>
      </c>
      <c r="E9473" s="2"/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  <c r="W9473" s="2"/>
      <c r="X9473" s="2"/>
      <c r="Y9473" s="2"/>
      <c r="Z9473" s="2"/>
    </row>
    <row r="9474" spans="1:26" ht="16.5" x14ac:dyDescent="0.35">
      <c r="A9474" s="2" t="str">
        <f ca="1">IFERROR(__xludf.DUMMYFUNCTION("""COMPUTED_VALUE"""),"Dubai")</f>
        <v>Dubai</v>
      </c>
      <c r="B9474" s="2" t="str">
        <f ca="1">IFERROR(__xludf.DUMMYFUNCTION("""COMPUTED_VALUE"""),"Sultan Residences")</f>
        <v>Sultan Residences</v>
      </c>
      <c r="C9474" s="2" t="str">
        <f ca="1">IFERROR(__xludf.DUMMYFUNCTION("""COMPUTED_VALUE"""),"Building")</f>
        <v>Building</v>
      </c>
      <c r="D9474" s="2" t="str">
        <f ca="1">IFERROR(__xludf.DUMMYFUNCTION("""COMPUTED_VALUE"""),"Dubai&gt;Deira&gt;Al Muraqqabat&gt;Sultan Residences")</f>
        <v>Dubai&gt;Deira&gt;Al Muraqqabat&gt;Sultan Residences</v>
      </c>
      <c r="E9474" s="2"/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  <c r="W9474" s="2"/>
      <c r="X9474" s="2"/>
      <c r="Y9474" s="2"/>
      <c r="Z9474" s="2"/>
    </row>
    <row r="9475" spans="1:26" ht="16.5" x14ac:dyDescent="0.35">
      <c r="A9475" s="2" t="str">
        <f ca="1">IFERROR(__xludf.DUMMYFUNCTION("""COMPUTED_VALUE"""),"Dubai")</f>
        <v>Dubai</v>
      </c>
      <c r="B9475" s="2" t="str">
        <f ca="1">IFERROR(__xludf.DUMMYFUNCTION("""COMPUTED_VALUE"""),"Al Maktoum Tower")</f>
        <v>Al Maktoum Tower</v>
      </c>
      <c r="C9475" s="2" t="str">
        <f ca="1">IFERROR(__xludf.DUMMYFUNCTION("""COMPUTED_VALUE"""),"Building")</f>
        <v>Building</v>
      </c>
      <c r="D9475" s="2" t="str">
        <f ca="1">IFERROR(__xludf.DUMMYFUNCTION("""COMPUTED_VALUE"""),"Dubai&gt;Deira&gt;Riggat Al Buteen&gt;Al Maktoum Tower")</f>
        <v>Dubai&gt;Deira&gt;Riggat Al Buteen&gt;Al Maktoum Tower</v>
      </c>
      <c r="E9475" s="2"/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  <c r="W9475" s="2"/>
      <c r="X9475" s="2"/>
      <c r="Y9475" s="2"/>
      <c r="Z9475" s="2"/>
    </row>
    <row r="9476" spans="1:26" ht="16.5" x14ac:dyDescent="0.35">
      <c r="A9476" s="2" t="str">
        <f ca="1">IFERROR(__xludf.DUMMYFUNCTION("""COMPUTED_VALUE"""),"Dubai")</f>
        <v>Dubai</v>
      </c>
      <c r="B9476" s="2" t="str">
        <f ca="1">IFERROR(__xludf.DUMMYFUNCTION("""COMPUTED_VALUE"""),"Dar Al Zahia Building")</f>
        <v>Dar Al Zahia Building</v>
      </c>
      <c r="C9476" s="2" t="str">
        <f ca="1">IFERROR(__xludf.DUMMYFUNCTION("""COMPUTED_VALUE"""),"Building")</f>
        <v>Building</v>
      </c>
      <c r="D9476" s="2" t="str">
        <f ca="1">IFERROR(__xludf.DUMMYFUNCTION("""COMPUTED_VALUE"""),"Dubai&gt;Deira&gt;Hor Al Anz&gt;Dar Al Zahia Building")</f>
        <v>Dubai&gt;Deira&gt;Hor Al Anz&gt;Dar Al Zahia Building</v>
      </c>
      <c r="E9476" s="2"/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  <c r="W9476" s="2"/>
      <c r="X9476" s="2"/>
      <c r="Y9476" s="2"/>
      <c r="Z9476" s="2"/>
    </row>
    <row r="9477" spans="1:26" ht="16.5" x14ac:dyDescent="0.35">
      <c r="A9477" s="2" t="str">
        <f ca="1">IFERROR(__xludf.DUMMYFUNCTION("""COMPUTED_VALUE"""),"Dubai")</f>
        <v>Dubai</v>
      </c>
      <c r="B9477" s="2" t="str">
        <f ca="1">IFERROR(__xludf.DUMMYFUNCTION("""COMPUTED_VALUE"""),"Ananas Al Safiya Building")</f>
        <v>Ananas Al Safiya Building</v>
      </c>
      <c r="C9477" s="2" t="str">
        <f ca="1">IFERROR(__xludf.DUMMYFUNCTION("""COMPUTED_VALUE"""),"Building")</f>
        <v>Building</v>
      </c>
      <c r="D9477" s="2" t="str">
        <f ca="1">IFERROR(__xludf.DUMMYFUNCTION("""COMPUTED_VALUE"""),"Dubai&gt;Deira&gt;Hor Al Anz&gt;Ananas Al Safiya Building")</f>
        <v>Dubai&gt;Deira&gt;Hor Al Anz&gt;Ananas Al Safiya Building</v>
      </c>
      <c r="E9477" s="2"/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  <c r="W9477" s="2"/>
      <c r="X9477" s="2"/>
      <c r="Y9477" s="2"/>
      <c r="Z9477" s="2"/>
    </row>
    <row r="9478" spans="1:26" ht="16.5" x14ac:dyDescent="0.35">
      <c r="A9478" s="2" t="str">
        <f ca="1">IFERROR(__xludf.DUMMYFUNCTION("""COMPUTED_VALUE"""),"Dubai")</f>
        <v>Dubai</v>
      </c>
      <c r="B9478" s="2" t="str">
        <f ca="1">IFERROR(__xludf.DUMMYFUNCTION("""COMPUTED_VALUE"""),"Block C Building")</f>
        <v>Block C Building</v>
      </c>
      <c r="C9478" s="2" t="str">
        <f ca="1">IFERROR(__xludf.DUMMYFUNCTION("""COMPUTED_VALUE"""),"Building")</f>
        <v>Building</v>
      </c>
      <c r="D9478" s="2" t="str">
        <f ca="1">IFERROR(__xludf.DUMMYFUNCTION("""COMPUTED_VALUE"""),"Dubai&gt;Deira&gt;Al Muteena&gt;Block C Building")</f>
        <v>Dubai&gt;Deira&gt;Al Muteena&gt;Block C Building</v>
      </c>
      <c r="E9478" s="2"/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  <c r="W9478" s="2"/>
      <c r="X9478" s="2"/>
      <c r="Y9478" s="2"/>
      <c r="Z9478" s="2"/>
    </row>
    <row r="9479" spans="1:26" ht="16.5" x14ac:dyDescent="0.35">
      <c r="A9479" s="2" t="str">
        <f ca="1">IFERROR(__xludf.DUMMYFUNCTION("""COMPUTED_VALUE"""),"Dubai")</f>
        <v>Dubai</v>
      </c>
      <c r="B9479" s="2" t="str">
        <f ca="1">IFERROR(__xludf.DUMMYFUNCTION("""COMPUTED_VALUE"""),"Bayt Al Rigga 01")</f>
        <v>Bayt Al Rigga 01</v>
      </c>
      <c r="C9479" s="2" t="str">
        <f ca="1">IFERROR(__xludf.DUMMYFUNCTION("""COMPUTED_VALUE"""),"Building")</f>
        <v>Building</v>
      </c>
      <c r="D9479" s="2" t="str">
        <f ca="1">IFERROR(__xludf.DUMMYFUNCTION("""COMPUTED_VALUE"""),"Dubai&gt;Deira&gt;Al Rigga&gt;Bayt Al Rigga 01")</f>
        <v>Dubai&gt;Deira&gt;Al Rigga&gt;Bayt Al Rigga 01</v>
      </c>
      <c r="E9479" s="2"/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  <c r="W9479" s="2"/>
      <c r="X9479" s="2"/>
      <c r="Y9479" s="2"/>
      <c r="Z9479" s="2"/>
    </row>
    <row r="9480" spans="1:26" ht="16.5" x14ac:dyDescent="0.35">
      <c r="A9480" s="2" t="str">
        <f ca="1">IFERROR(__xludf.DUMMYFUNCTION("""COMPUTED_VALUE"""),"Dubai")</f>
        <v>Dubai</v>
      </c>
      <c r="B9480" s="2" t="str">
        <f ca="1">IFERROR(__xludf.DUMMYFUNCTION("""COMPUTED_VALUE"""),"Hind Plaza 3")</f>
        <v>Hind Plaza 3</v>
      </c>
      <c r="C9480" s="2" t="str">
        <f ca="1">IFERROR(__xludf.DUMMYFUNCTION("""COMPUTED_VALUE"""),"Building")</f>
        <v>Building</v>
      </c>
      <c r="D9480" s="2" t="str">
        <f ca="1">IFERROR(__xludf.DUMMYFUNCTION("""COMPUTED_VALUE"""),"Dubai&gt;Deira&gt;Deira Enrichment Project&gt;Hind Plaza&gt;Hind Plaza 3")</f>
        <v>Dubai&gt;Deira&gt;Deira Enrichment Project&gt;Hind Plaza&gt;Hind Plaza 3</v>
      </c>
      <c r="E9480" s="2"/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  <c r="W9480" s="2"/>
      <c r="X9480" s="2"/>
      <c r="Y9480" s="2"/>
      <c r="Z9480" s="2"/>
    </row>
    <row r="9481" spans="1:26" ht="16.5" x14ac:dyDescent="0.35">
      <c r="A9481" s="2" t="str">
        <f ca="1">IFERROR(__xludf.DUMMYFUNCTION("""COMPUTED_VALUE"""),"Dubai")</f>
        <v>Dubai</v>
      </c>
      <c r="B9481" s="2" t="str">
        <f ca="1">IFERROR(__xludf.DUMMYFUNCTION("""COMPUTED_VALUE"""),"Naif Bazar Building")</f>
        <v>Naif Bazar Building</v>
      </c>
      <c r="C9481" s="2" t="str">
        <f ca="1">IFERROR(__xludf.DUMMYFUNCTION("""COMPUTED_VALUE"""),"Building")</f>
        <v>Building</v>
      </c>
      <c r="D9481" s="2" t="str">
        <f ca="1">IFERROR(__xludf.DUMMYFUNCTION("""COMPUTED_VALUE"""),"Dubai&gt;Deira&gt;Naif&gt;Naif Bazar Building")</f>
        <v>Dubai&gt;Deira&gt;Naif&gt;Naif Bazar Building</v>
      </c>
      <c r="E9481" s="2"/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</row>
    <row r="9482" spans="1:26" ht="16.5" x14ac:dyDescent="0.35">
      <c r="A9482" s="2" t="str">
        <f ca="1">IFERROR(__xludf.DUMMYFUNCTION("""COMPUTED_VALUE"""),"Dubai")</f>
        <v>Dubai</v>
      </c>
      <c r="B9482" s="2" t="str">
        <f ca="1">IFERROR(__xludf.DUMMYFUNCTION("""COMPUTED_VALUE"""),"Abdulla Building 10")</f>
        <v>Abdulla Building 10</v>
      </c>
      <c r="C9482" s="2" t="str">
        <f ca="1">IFERROR(__xludf.DUMMYFUNCTION("""COMPUTED_VALUE"""),"Building")</f>
        <v>Building</v>
      </c>
      <c r="D9482" s="2" t="str">
        <f ca="1">IFERROR(__xludf.DUMMYFUNCTION("""COMPUTED_VALUE"""),"Dubai&gt;Deira&gt;Naif&gt;Abdulla Building 10")</f>
        <v>Dubai&gt;Deira&gt;Naif&gt;Abdulla Building 10</v>
      </c>
      <c r="E9482" s="2"/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  <c r="W9482" s="2"/>
      <c r="X9482" s="2"/>
      <c r="Y9482" s="2"/>
      <c r="Z9482" s="2"/>
    </row>
    <row r="9483" spans="1:26" ht="16.5" x14ac:dyDescent="0.35">
      <c r="A9483" s="2" t="str">
        <f ca="1">IFERROR(__xludf.DUMMYFUNCTION("""COMPUTED_VALUE"""),"Dubai")</f>
        <v>Dubai</v>
      </c>
      <c r="B9483" s="2" t="str">
        <f ca="1">IFERROR(__xludf.DUMMYFUNCTION("""COMPUTED_VALUE"""),"Sultan Lootah 1 Building")</f>
        <v>Sultan Lootah 1 Building</v>
      </c>
      <c r="C9483" s="2" t="str">
        <f ca="1">IFERROR(__xludf.DUMMYFUNCTION("""COMPUTED_VALUE"""),"Building")</f>
        <v>Building</v>
      </c>
      <c r="D9483" s="2" t="str">
        <f ca="1">IFERROR(__xludf.DUMMYFUNCTION("""COMPUTED_VALUE"""),"Dubai&gt;Deira&gt;Al Murar&gt;Sultan Lootah 1 Building")</f>
        <v>Dubai&gt;Deira&gt;Al Murar&gt;Sultan Lootah 1 Building</v>
      </c>
      <c r="E9483" s="2"/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  <c r="W9483" s="2"/>
      <c r="X9483" s="2"/>
      <c r="Y9483" s="2"/>
      <c r="Z9483" s="2"/>
    </row>
    <row r="9484" spans="1:26" ht="16.5" x14ac:dyDescent="0.35">
      <c r="A9484" s="2" t="str">
        <f ca="1">IFERROR(__xludf.DUMMYFUNCTION("""COMPUTED_VALUE"""),"Dubai")</f>
        <v>Dubai</v>
      </c>
      <c r="B9484" s="2" t="str">
        <f ca="1">IFERROR(__xludf.DUMMYFUNCTION("""COMPUTED_VALUE"""),"Al Ras")</f>
        <v>Al Ras</v>
      </c>
      <c r="C9484" s="2" t="str">
        <f ca="1">IFERROR(__xludf.DUMMYFUNCTION("""COMPUTED_VALUE"""),"Neighbourhood")</f>
        <v>Neighbourhood</v>
      </c>
      <c r="D9484" s="2" t="str">
        <f ca="1">IFERROR(__xludf.DUMMYFUNCTION("""COMPUTED_VALUE"""),"Dubai&gt;Deira&gt;Al Ras")</f>
        <v>Dubai&gt;Deira&gt;Al Ras</v>
      </c>
      <c r="E9484" s="2"/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  <c r="W9484" s="2"/>
      <c r="X9484" s="2"/>
      <c r="Y9484" s="2"/>
      <c r="Z9484" s="2"/>
    </row>
    <row r="9485" spans="1:26" ht="16.5" x14ac:dyDescent="0.35">
      <c r="A9485" s="2" t="str">
        <f ca="1">IFERROR(__xludf.DUMMYFUNCTION("""COMPUTED_VALUE"""),"Dubai")</f>
        <v>Dubai</v>
      </c>
      <c r="B9485" s="2" t="str">
        <f ca="1">IFERROR(__xludf.DUMMYFUNCTION("""COMPUTED_VALUE"""),"Manazil Port Saeed 01")</f>
        <v>Manazil Port Saeed 01</v>
      </c>
      <c r="C9485" s="2" t="str">
        <f ca="1">IFERROR(__xludf.DUMMYFUNCTION("""COMPUTED_VALUE"""),"Building")</f>
        <v>Building</v>
      </c>
      <c r="D9485" s="2" t="str">
        <f ca="1">IFERROR(__xludf.DUMMYFUNCTION("""COMPUTED_VALUE"""),"Dubai&gt;Deira&gt;Port Saeed&gt;Manazil Port Saeed 01")</f>
        <v>Dubai&gt;Deira&gt;Port Saeed&gt;Manazil Port Saeed 01</v>
      </c>
      <c r="E9485" s="2"/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  <c r="W9485" s="2"/>
      <c r="X9485" s="2"/>
      <c r="Y9485" s="2"/>
      <c r="Z9485" s="2"/>
    </row>
    <row r="9486" spans="1:26" ht="16.5" x14ac:dyDescent="0.35">
      <c r="A9486" s="2" t="str">
        <f ca="1">IFERROR(__xludf.DUMMYFUNCTION("""COMPUTED_VALUE"""),"Dubai")</f>
        <v>Dubai</v>
      </c>
      <c r="B9486" s="2" t="str">
        <f ca="1">IFERROR(__xludf.DUMMYFUNCTION("""COMPUTED_VALUE"""),"Makateb Building")</f>
        <v>Makateb Building</v>
      </c>
      <c r="C9486" s="2" t="str">
        <f ca="1">IFERROR(__xludf.DUMMYFUNCTION("""COMPUTED_VALUE"""),"Building")</f>
        <v>Building</v>
      </c>
      <c r="D9486" s="2" t="str">
        <f ca="1">IFERROR(__xludf.DUMMYFUNCTION("""COMPUTED_VALUE"""),"Dubai&gt;Deira&gt;Port Saeed&gt;Makateb Building")</f>
        <v>Dubai&gt;Deira&gt;Port Saeed&gt;Makateb Building</v>
      </c>
      <c r="E9486" s="2"/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  <c r="W9486" s="2"/>
      <c r="X9486" s="2"/>
      <c r="Y9486" s="2"/>
      <c r="Z9486" s="2"/>
    </row>
    <row r="9487" spans="1:26" ht="16.5" x14ac:dyDescent="0.35">
      <c r="A9487" s="2" t="str">
        <f ca="1">IFERROR(__xludf.DUMMYFUNCTION("""COMPUTED_VALUE"""),"Dubai")</f>
        <v>Dubai</v>
      </c>
      <c r="B9487" s="2" t="str">
        <f ca="1">IFERROR(__xludf.DUMMYFUNCTION("""COMPUTED_VALUE"""),"Meera Tower")</f>
        <v>Meera Tower</v>
      </c>
      <c r="C9487" s="2" t="str">
        <f ca="1">IFERROR(__xludf.DUMMYFUNCTION("""COMPUTED_VALUE"""),"Building")</f>
        <v>Building</v>
      </c>
      <c r="D9487" s="2" t="str">
        <f ca="1">IFERROR(__xludf.DUMMYFUNCTION("""COMPUTED_VALUE"""),"Dubai&gt;Business Bay&gt;Al Habtoor City&gt;Meera Tower")</f>
        <v>Dubai&gt;Business Bay&gt;Al Habtoor City&gt;Meera Tower</v>
      </c>
      <c r="E9487" s="2"/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  <c r="W9487" s="2"/>
      <c r="X9487" s="2"/>
      <c r="Y9487" s="2"/>
      <c r="Z9487" s="2"/>
    </row>
    <row r="9488" spans="1:26" ht="16.5" x14ac:dyDescent="0.35">
      <c r="A9488" s="2" t="str">
        <f ca="1">IFERROR(__xludf.DUMMYFUNCTION("""COMPUTED_VALUE"""),"Dubai")</f>
        <v>Dubai</v>
      </c>
      <c r="B9488" s="2" t="str">
        <f ca="1">IFERROR(__xludf.DUMMYFUNCTION("""COMPUTED_VALUE"""),"Capital Bay Podium")</f>
        <v>Capital Bay Podium</v>
      </c>
      <c r="C9488" s="2" t="str">
        <f ca="1">IFERROR(__xludf.DUMMYFUNCTION("""COMPUTED_VALUE"""),"Building")</f>
        <v>Building</v>
      </c>
      <c r="D9488" s="2" t="str">
        <f ca="1">IFERROR(__xludf.DUMMYFUNCTION("""COMPUTED_VALUE"""),"Dubai&gt;Business Bay&gt;Capital Bay Towers&gt;Capital Bay Podium")</f>
        <v>Dubai&gt;Business Bay&gt;Capital Bay Towers&gt;Capital Bay Podium</v>
      </c>
      <c r="E9488" s="2"/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  <c r="W9488" s="2"/>
      <c r="X9488" s="2"/>
      <c r="Y9488" s="2"/>
      <c r="Z9488" s="2"/>
    </row>
    <row r="9489" spans="1:26" ht="16.5" x14ac:dyDescent="0.35">
      <c r="A9489" s="2" t="str">
        <f ca="1">IFERROR(__xludf.DUMMYFUNCTION("""COMPUTED_VALUE"""),"Dubai")</f>
        <v>Dubai</v>
      </c>
      <c r="B9489" s="2" t="str">
        <f ca="1">IFERROR(__xludf.DUMMYFUNCTION("""COMPUTED_VALUE"""),"Al Batha Tower")</f>
        <v>Al Batha Tower</v>
      </c>
      <c r="C9489" s="2" t="str">
        <f ca="1">IFERROR(__xludf.DUMMYFUNCTION("""COMPUTED_VALUE"""),"Building")</f>
        <v>Building</v>
      </c>
      <c r="D9489" s="2" t="str">
        <f ca="1">IFERROR(__xludf.DUMMYFUNCTION("""COMPUTED_VALUE"""),"Dubai&gt;Business Bay&gt;Al Batha Tower")</f>
        <v>Dubai&gt;Business Bay&gt;Al Batha Tower</v>
      </c>
      <c r="E9489" s="2"/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  <c r="W9489" s="2"/>
      <c r="X9489" s="2"/>
      <c r="Y9489" s="2"/>
      <c r="Z9489" s="2"/>
    </row>
    <row r="9490" spans="1:26" ht="16.5" x14ac:dyDescent="0.35">
      <c r="A9490" s="2" t="str">
        <f ca="1">IFERROR(__xludf.DUMMYFUNCTION("""COMPUTED_VALUE"""),"Dubai")</f>
        <v>Dubai</v>
      </c>
      <c r="B9490" s="2" t="str">
        <f ca="1">IFERROR(__xludf.DUMMYFUNCTION("""COMPUTED_VALUE"""),"Damac Maison Prive Tower A")</f>
        <v>Damac Maison Prive Tower A</v>
      </c>
      <c r="C9490" s="2" t="str">
        <f ca="1">IFERROR(__xludf.DUMMYFUNCTION("""COMPUTED_VALUE"""),"Building")</f>
        <v>Building</v>
      </c>
      <c r="D9490" s="2" t="str">
        <f ca="1">IFERROR(__xludf.DUMMYFUNCTION("""COMPUTED_VALUE"""),"Dubai&gt;Business Bay&gt;DAMAC Maison Prive&gt;Damac Maison Prive Tower A")</f>
        <v>Dubai&gt;Business Bay&gt;DAMAC Maison Prive&gt;Damac Maison Prive Tower A</v>
      </c>
      <c r="E9490" s="2"/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  <c r="W9490" s="2"/>
      <c r="X9490" s="2"/>
      <c r="Y9490" s="2"/>
      <c r="Z9490" s="2"/>
    </row>
    <row r="9491" spans="1:26" ht="16.5" x14ac:dyDescent="0.35">
      <c r="A9491" s="2" t="str">
        <f ca="1">IFERROR(__xludf.DUMMYFUNCTION("""COMPUTED_VALUE"""),"Dubai")</f>
        <v>Dubai</v>
      </c>
      <c r="B9491" s="2" t="str">
        <f ca="1">IFERROR(__xludf.DUMMYFUNCTION("""COMPUTED_VALUE"""),"Burj Pacific")</f>
        <v>Burj Pacific</v>
      </c>
      <c r="C9491" s="2" t="str">
        <f ca="1">IFERROR(__xludf.DUMMYFUNCTION("""COMPUTED_VALUE"""),"Building")</f>
        <v>Building</v>
      </c>
      <c r="D9491" s="2" t="str">
        <f ca="1">IFERROR(__xludf.DUMMYFUNCTION("""COMPUTED_VALUE"""),"Dubai&gt;Business Bay&gt;Burj Pacific")</f>
        <v>Dubai&gt;Business Bay&gt;Burj Pacific</v>
      </c>
      <c r="E9491" s="2"/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  <c r="W9491" s="2"/>
      <c r="X9491" s="2"/>
      <c r="Y9491" s="2"/>
      <c r="Z9491" s="2"/>
    </row>
    <row r="9492" spans="1:26" ht="16.5" x14ac:dyDescent="0.35">
      <c r="A9492" s="2" t="str">
        <f ca="1">IFERROR(__xludf.DUMMYFUNCTION("""COMPUTED_VALUE"""),"Dubai")</f>
        <v>Dubai</v>
      </c>
      <c r="B9492" s="2" t="str">
        <f ca="1">IFERROR(__xludf.DUMMYFUNCTION("""COMPUTED_VALUE"""),"Westburry Tower 1")</f>
        <v>Westburry Tower 1</v>
      </c>
      <c r="C9492" s="2" t="str">
        <f ca="1">IFERROR(__xludf.DUMMYFUNCTION("""COMPUTED_VALUE"""),"Building")</f>
        <v>Building</v>
      </c>
      <c r="D9492" s="2" t="str">
        <f ca="1">IFERROR(__xludf.DUMMYFUNCTION("""COMPUTED_VALUE"""),"Dubai&gt;Business Bay&gt;Westburry Square&gt;Westburry Tower 1")</f>
        <v>Dubai&gt;Business Bay&gt;Westburry Square&gt;Westburry Tower 1</v>
      </c>
      <c r="E9492" s="2"/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  <c r="W9492" s="2"/>
      <c r="X9492" s="2"/>
      <c r="Y9492" s="2"/>
      <c r="Z9492" s="2"/>
    </row>
    <row r="9493" spans="1:26" ht="16.5" x14ac:dyDescent="0.35">
      <c r="A9493" s="2" t="str">
        <f ca="1">IFERROR(__xludf.DUMMYFUNCTION("""COMPUTED_VALUE"""),"Dubai")</f>
        <v>Dubai</v>
      </c>
      <c r="B9493" s="2" t="str">
        <f ca="1">IFERROR(__xludf.DUMMYFUNCTION("""COMPUTED_VALUE"""),"Canal Crown Tower 1")</f>
        <v>Canal Crown Tower 1</v>
      </c>
      <c r="C9493" s="2" t="str">
        <f ca="1">IFERROR(__xludf.DUMMYFUNCTION("""COMPUTED_VALUE"""),"Building")</f>
        <v>Building</v>
      </c>
      <c r="D9493" s="2" t="str">
        <f ca="1">IFERROR(__xludf.DUMMYFUNCTION("""COMPUTED_VALUE"""),"Dubai&gt;Business Bay&gt;Canal Crown&gt;Canal Crown Tower 1")</f>
        <v>Dubai&gt;Business Bay&gt;Canal Crown&gt;Canal Crown Tower 1</v>
      </c>
      <c r="E9493" s="2"/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</row>
    <row r="9494" spans="1:26" ht="16.5" x14ac:dyDescent="0.35">
      <c r="A9494" s="2" t="str">
        <f ca="1">IFERROR(__xludf.DUMMYFUNCTION("""COMPUTED_VALUE"""),"Dubai")</f>
        <v>Dubai</v>
      </c>
      <c r="B9494" s="2" t="str">
        <f ca="1">IFERROR(__xludf.DUMMYFUNCTION("""COMPUTED_VALUE"""),"Peninsula Five")</f>
        <v>Peninsula Five</v>
      </c>
      <c r="C9494" s="2" t="str">
        <f ca="1">IFERROR(__xludf.DUMMYFUNCTION("""COMPUTED_VALUE"""),"Building")</f>
        <v>Building</v>
      </c>
      <c r="D9494" s="2" t="str">
        <f ca="1">IFERROR(__xludf.DUMMYFUNCTION("""COMPUTED_VALUE"""),"Dubai&gt;Business Bay&gt;Peninsula&gt;Peninsula Five")</f>
        <v>Dubai&gt;Business Bay&gt;Peninsula&gt;Peninsula Five</v>
      </c>
      <c r="E9494" s="2"/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</row>
    <row r="9495" spans="1:26" ht="16.5" x14ac:dyDescent="0.35">
      <c r="A9495" s="2" t="str">
        <f ca="1">IFERROR(__xludf.DUMMYFUNCTION("""COMPUTED_VALUE"""),"Dubai")</f>
        <v>Dubai</v>
      </c>
      <c r="B9495" s="2" t="str">
        <f ca="1">IFERROR(__xludf.DUMMYFUNCTION("""COMPUTED_VALUE"""),"Binghatti Skyhall")</f>
        <v>Binghatti Skyhall</v>
      </c>
      <c r="C9495" s="2" t="str">
        <f ca="1">IFERROR(__xludf.DUMMYFUNCTION("""COMPUTED_VALUE"""),"Building")</f>
        <v>Building</v>
      </c>
      <c r="D9495" s="2" t="str">
        <f ca="1">IFERROR(__xludf.DUMMYFUNCTION("""COMPUTED_VALUE"""),"Dubai&gt;Business Bay&gt;Binghatti Skyhall")</f>
        <v>Dubai&gt;Business Bay&gt;Binghatti Skyhall</v>
      </c>
      <c r="E9495" s="2"/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</row>
    <row r="9496" spans="1:26" ht="16.5" x14ac:dyDescent="0.35">
      <c r="A9496" s="2" t="str">
        <f ca="1">IFERROR(__xludf.DUMMYFUNCTION("""COMPUTED_VALUE"""),"Dubai")</f>
        <v>Dubai</v>
      </c>
      <c r="B9496" s="2" t="str">
        <f ca="1">IFERROR(__xludf.DUMMYFUNCTION("""COMPUTED_VALUE"""),"District 5B")</f>
        <v>District 5B</v>
      </c>
      <c r="C9496" s="2" t="str">
        <f ca="1">IFERROR(__xludf.DUMMYFUNCTION("""COMPUTED_VALUE"""),"Neighbourhood")</f>
        <v>Neighbourhood</v>
      </c>
      <c r="D9496" s="2" t="str">
        <f ca="1">IFERROR(__xludf.DUMMYFUNCTION("""COMPUTED_VALUE"""),"Dubai&gt;Jumeirah Village Triangle (JVT)&gt;JVT District 5&gt;District 5B")</f>
        <v>Dubai&gt;Jumeirah Village Triangle (JVT)&gt;JVT District 5&gt;District 5B</v>
      </c>
      <c r="E9496" s="2"/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</row>
    <row r="9497" spans="1:26" ht="16.5" x14ac:dyDescent="0.35">
      <c r="A9497" s="2" t="str">
        <f ca="1">IFERROR(__xludf.DUMMYFUNCTION("""COMPUTED_VALUE"""),"Dubai")</f>
        <v>Dubai</v>
      </c>
      <c r="B9497" s="2" t="str">
        <f ca="1">IFERROR(__xludf.DUMMYFUNCTION("""COMPUTED_VALUE"""),"District 8R")</f>
        <v>District 8R</v>
      </c>
      <c r="C9497" s="2" t="str">
        <f ca="1">IFERROR(__xludf.DUMMYFUNCTION("""COMPUTED_VALUE"""),"Neighbourhood")</f>
        <v>Neighbourhood</v>
      </c>
      <c r="D9497" s="2" t="str">
        <f ca="1">IFERROR(__xludf.DUMMYFUNCTION("""COMPUTED_VALUE"""),"Dubai&gt;Jumeirah Village Triangle (JVT)&gt;JVT District 8&gt;District 8R")</f>
        <v>Dubai&gt;Jumeirah Village Triangle (JVT)&gt;JVT District 8&gt;District 8R</v>
      </c>
      <c r="E9497" s="2"/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</row>
    <row r="9498" spans="1:26" ht="16.5" x14ac:dyDescent="0.35">
      <c r="A9498" s="2" t="str">
        <f ca="1">IFERROR(__xludf.DUMMYFUNCTION("""COMPUTED_VALUE"""),"Dubai")</f>
        <v>Dubai</v>
      </c>
      <c r="B9498" s="2" t="str">
        <f ca="1">IFERROR(__xludf.DUMMYFUNCTION("""COMPUTED_VALUE"""),"District 2C")</f>
        <v>District 2C</v>
      </c>
      <c r="C9498" s="2" t="str">
        <f ca="1">IFERROR(__xludf.DUMMYFUNCTION("""COMPUTED_VALUE"""),"Neighbourhood")</f>
        <v>Neighbourhood</v>
      </c>
      <c r="D9498" s="2" t="str">
        <f ca="1">IFERROR(__xludf.DUMMYFUNCTION("""COMPUTED_VALUE"""),"Dubai&gt;Jumeirah Village Triangle (JVT)&gt;JVT District 2&gt;District 2C")</f>
        <v>Dubai&gt;Jumeirah Village Triangle (JVT)&gt;JVT District 2&gt;District 2C</v>
      </c>
      <c r="E9498" s="2"/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</row>
    <row r="9499" spans="1:26" ht="16.5" x14ac:dyDescent="0.35">
      <c r="A9499" s="2" t="str">
        <f ca="1">IFERROR(__xludf.DUMMYFUNCTION("""COMPUTED_VALUE"""),"Dubai")</f>
        <v>Dubai</v>
      </c>
      <c r="B9499" s="2" t="str">
        <f ca="1">IFERROR(__xludf.DUMMYFUNCTION("""COMPUTED_VALUE"""),"Volga Tower")</f>
        <v>Volga Tower</v>
      </c>
      <c r="C9499" s="2" t="str">
        <f ca="1">IFERROR(__xludf.DUMMYFUNCTION("""COMPUTED_VALUE"""),"Building")</f>
        <v>Building</v>
      </c>
      <c r="D9499" s="2" t="str">
        <f ca="1">IFERROR(__xludf.DUMMYFUNCTION("""COMPUTED_VALUE"""),"Dubai&gt;Jumeirah Village Triangle (JVT)&gt;JVT District 7&gt;Volga Tower")</f>
        <v>Dubai&gt;Jumeirah Village Triangle (JVT)&gt;JVT District 7&gt;Volga Tower</v>
      </c>
      <c r="E9499" s="2"/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  <c r="W9499" s="2"/>
      <c r="X9499" s="2"/>
      <c r="Y9499" s="2"/>
      <c r="Z9499" s="2"/>
    </row>
    <row r="9500" spans="1:26" ht="16.5" x14ac:dyDescent="0.35">
      <c r="A9500" s="2" t="str">
        <f ca="1">IFERROR(__xludf.DUMMYFUNCTION("""COMPUTED_VALUE"""),"Dubai")</f>
        <v>Dubai</v>
      </c>
      <c r="B9500" s="2" t="str">
        <f ca="1">IFERROR(__xludf.DUMMYFUNCTION("""COMPUTED_VALUE"""),"District 4E")</f>
        <v>District 4E</v>
      </c>
      <c r="C9500" s="2" t="str">
        <f ca="1">IFERROR(__xludf.DUMMYFUNCTION("""COMPUTED_VALUE"""),"Neighbourhood")</f>
        <v>Neighbourhood</v>
      </c>
      <c r="D9500" s="2" t="str">
        <f ca="1">IFERROR(__xludf.DUMMYFUNCTION("""COMPUTED_VALUE"""),"Dubai&gt;Jumeirah Village Triangle (JVT)&gt;JVT District 4&gt;District 4E")</f>
        <v>Dubai&gt;Jumeirah Village Triangle (JVT)&gt;JVT District 4&gt;District 4E</v>
      </c>
      <c r="E9500" s="2"/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</row>
    <row r="9501" spans="1:26" ht="16.5" x14ac:dyDescent="0.35">
      <c r="A9501" s="2" t="str">
        <f ca="1">IFERROR(__xludf.DUMMYFUNCTION("""COMPUTED_VALUE"""),"Dubai")</f>
        <v>Dubai</v>
      </c>
      <c r="B9501" s="2" t="str">
        <f ca="1">IFERROR(__xludf.DUMMYFUNCTION("""COMPUTED_VALUE"""),"Novotel Residences")</f>
        <v>Novotel Residences</v>
      </c>
      <c r="C9501" s="2" t="str">
        <f ca="1">IFERROR(__xludf.DUMMYFUNCTION("""COMPUTED_VALUE"""),"Building")</f>
        <v>Building</v>
      </c>
      <c r="D9501" s="2" t="str">
        <f ca="1">IFERROR(__xludf.DUMMYFUNCTION("""COMPUTED_VALUE"""),"Dubai&gt;Jumeirah Village Triangle (JVT)&gt;JVT District 3&gt;Novotel Residences")</f>
        <v>Dubai&gt;Jumeirah Village Triangle (JVT)&gt;JVT District 3&gt;Novotel Residences</v>
      </c>
      <c r="E9501" s="2"/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</row>
    <row r="9502" spans="1:26" ht="16.5" x14ac:dyDescent="0.35">
      <c r="A9502" s="2" t="str">
        <f ca="1">IFERROR(__xludf.DUMMYFUNCTION("""COMPUTED_VALUE"""),"Dubai")</f>
        <v>Dubai</v>
      </c>
      <c r="B9502" s="2" t="str">
        <f ca="1">IFERROR(__xludf.DUMMYFUNCTION("""COMPUTED_VALUE"""),"Al Ramth 21")</f>
        <v>Al Ramth 21</v>
      </c>
      <c r="C9502" s="2" t="str">
        <f ca="1">IFERROR(__xludf.DUMMYFUNCTION("""COMPUTED_VALUE"""),"Building")</f>
        <v>Building</v>
      </c>
      <c r="D9502" s="2" t="str">
        <f ca="1">IFERROR(__xludf.DUMMYFUNCTION("""COMPUTED_VALUE"""),"Dubai&gt;Remraam&gt;Al Ramth&gt;Al Ramth 21")</f>
        <v>Dubai&gt;Remraam&gt;Al Ramth&gt;Al Ramth 21</v>
      </c>
      <c r="E9502" s="2"/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  <c r="W9502" s="2"/>
      <c r="X9502" s="2"/>
      <c r="Y9502" s="2"/>
      <c r="Z9502" s="2"/>
    </row>
    <row r="9503" spans="1:26" ht="16.5" x14ac:dyDescent="0.35">
      <c r="A9503" s="2" t="str">
        <f ca="1">IFERROR(__xludf.DUMMYFUNCTION("""COMPUTED_VALUE"""),"Dubai")</f>
        <v>Dubai</v>
      </c>
      <c r="B9503" s="2" t="str">
        <f ca="1">IFERROR(__xludf.DUMMYFUNCTION("""COMPUTED_VALUE"""),"The Wonder Years Nursery Remraam")</f>
        <v>The Wonder Years Nursery Remraam</v>
      </c>
      <c r="C9503" s="2" t="str">
        <f ca="1">IFERROR(__xludf.DUMMYFUNCTION("""COMPUTED_VALUE"""),"Nursery")</f>
        <v>Nursery</v>
      </c>
      <c r="D9503" s="2" t="str">
        <f ca="1">IFERROR(__xludf.DUMMYFUNCTION("""COMPUTED_VALUE"""),"Dubai&gt;Remraam&gt;Al Thamam&gt;The Wonder Years Nursery Remraam")</f>
        <v>Dubai&gt;Remraam&gt;Al Thamam&gt;The Wonder Years Nursery Remraam</v>
      </c>
      <c r="E9503" s="2"/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  <c r="W9503" s="2"/>
      <c r="X9503" s="2"/>
      <c r="Y9503" s="2"/>
      <c r="Z9503" s="2"/>
    </row>
    <row r="9504" spans="1:26" ht="16.5" x14ac:dyDescent="0.35">
      <c r="A9504" s="2" t="str">
        <f ca="1">IFERROR(__xludf.DUMMYFUNCTION("""COMPUTED_VALUE"""),"Dubai")</f>
        <v>Dubai</v>
      </c>
      <c r="B9504" s="2" t="str">
        <f ca="1">IFERROR(__xludf.DUMMYFUNCTION("""COMPUTED_VALUE"""),"Al Thamam 51")</f>
        <v>Al Thamam 51</v>
      </c>
      <c r="C9504" s="2" t="str">
        <f ca="1">IFERROR(__xludf.DUMMYFUNCTION("""COMPUTED_VALUE"""),"Building")</f>
        <v>Building</v>
      </c>
      <c r="D9504" s="2" t="str">
        <f ca="1">IFERROR(__xludf.DUMMYFUNCTION("""COMPUTED_VALUE"""),"Dubai&gt;Remraam&gt;Al Thamam&gt;Al Thamam 51")</f>
        <v>Dubai&gt;Remraam&gt;Al Thamam&gt;Al Thamam 51</v>
      </c>
      <c r="E9504" s="2"/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  <c r="W9504" s="2"/>
      <c r="X9504" s="2"/>
      <c r="Y9504" s="2"/>
      <c r="Z9504" s="2"/>
    </row>
    <row r="9505" spans="1:26" ht="16.5" x14ac:dyDescent="0.35">
      <c r="A9505" s="2" t="str">
        <f ca="1">IFERROR(__xludf.DUMMYFUNCTION("""COMPUTED_VALUE"""),"Dubai")</f>
        <v>Dubai</v>
      </c>
      <c r="B9505" s="2" t="str">
        <f ca="1">IFERROR(__xludf.DUMMYFUNCTION("""COMPUTED_VALUE"""),"Blossom 76 by Tranquil")</f>
        <v>Blossom 76 by Tranquil</v>
      </c>
      <c r="C9505" s="2" t="str">
        <f ca="1">IFERROR(__xludf.DUMMYFUNCTION("""COMPUTED_VALUE"""),"Building")</f>
        <v>Building</v>
      </c>
      <c r="D9505" s="2" t="str">
        <f ca="1">IFERROR(__xludf.DUMMYFUNCTION("""COMPUTED_VALUE"""),"Dubai&gt;Jumeirah Village Circle (JVC)&gt;JVC District 17&gt;Blossom 76 by Tranquil")</f>
        <v>Dubai&gt;Jumeirah Village Circle (JVC)&gt;JVC District 17&gt;Blossom 76 by Tranquil</v>
      </c>
      <c r="E9505" s="2"/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  <c r="W9505" s="2"/>
      <c r="X9505" s="2"/>
      <c r="Y9505" s="2"/>
      <c r="Z9505" s="2"/>
    </row>
    <row r="9506" spans="1:26" ht="16.5" x14ac:dyDescent="0.35">
      <c r="A9506" s="2" t="str">
        <f ca="1">IFERROR(__xludf.DUMMYFUNCTION("""COMPUTED_VALUE"""),"Dubai")</f>
        <v>Dubai</v>
      </c>
      <c r="B9506" s="2" t="str">
        <f ca="1">IFERROR(__xludf.DUMMYFUNCTION("""COMPUTED_VALUE"""),"Mirabella 3")</f>
        <v>Mirabella 3</v>
      </c>
      <c r="C9506" s="2" t="str">
        <f ca="1">IFERROR(__xludf.DUMMYFUNCTION("""COMPUTED_VALUE"""),"Neighbourhood")</f>
        <v>Neighbourhood</v>
      </c>
      <c r="D9506" s="2" t="str">
        <f ca="1">IFERROR(__xludf.DUMMYFUNCTION("""COMPUTED_VALUE"""),"Dubai&gt;Jumeirah Village Circle (JVC)&gt;JVC District 12&gt;Mirabella 3")</f>
        <v>Dubai&gt;Jumeirah Village Circle (JVC)&gt;JVC District 12&gt;Mirabella 3</v>
      </c>
      <c r="E9506" s="2"/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  <c r="W9506" s="2"/>
      <c r="X9506" s="2"/>
      <c r="Y9506" s="2"/>
      <c r="Z9506" s="2"/>
    </row>
    <row r="9507" spans="1:26" ht="16.5" x14ac:dyDescent="0.35">
      <c r="A9507" s="2" t="str">
        <f ca="1">IFERROR(__xludf.DUMMYFUNCTION("""COMPUTED_VALUE"""),"Dubai")</f>
        <v>Dubai</v>
      </c>
      <c r="B9507" s="2" t="str">
        <f ca="1">IFERROR(__xludf.DUMMYFUNCTION("""COMPUTED_VALUE"""),"The Orchard Place")</f>
        <v>The Orchard Place</v>
      </c>
      <c r="C9507" s="2" t="str">
        <f ca="1">IFERROR(__xludf.DUMMYFUNCTION("""COMPUTED_VALUE"""),"Cluster")</f>
        <v>Cluster</v>
      </c>
      <c r="D9507" s="2" t="str">
        <f ca="1">IFERROR(__xludf.DUMMYFUNCTION("""COMPUTED_VALUE"""),"Dubai&gt;Jumeirah Village Circle (JVC)&gt;JVC District 12&gt;The Orchard Place")</f>
        <v>Dubai&gt;Jumeirah Village Circle (JVC)&gt;JVC District 12&gt;The Orchard Place</v>
      </c>
      <c r="E9507" s="2"/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</row>
    <row r="9508" spans="1:26" ht="16.5" x14ac:dyDescent="0.35">
      <c r="A9508" s="2" t="str">
        <f ca="1">IFERROR(__xludf.DUMMYFUNCTION("""COMPUTED_VALUE"""),"Dubai")</f>
        <v>Dubai</v>
      </c>
      <c r="B9508" s="2" t="str">
        <f ca="1">IFERROR(__xludf.DUMMYFUNCTION("""COMPUTED_VALUE"""),"Ashton Park Residences")</f>
        <v>Ashton Park Residences</v>
      </c>
      <c r="C9508" s="2" t="str">
        <f ca="1">IFERROR(__xludf.DUMMYFUNCTION("""COMPUTED_VALUE"""),"Building")</f>
        <v>Building</v>
      </c>
      <c r="D9508" s="2" t="str">
        <f ca="1">IFERROR(__xludf.DUMMYFUNCTION("""COMPUTED_VALUE"""),"Dubai&gt;Jumeirah Village Circle (JVC)&gt;JVC District 12&gt;Ashton Park&gt;Ashton Park Residences")</f>
        <v>Dubai&gt;Jumeirah Village Circle (JVC)&gt;JVC District 12&gt;Ashton Park&gt;Ashton Park Residences</v>
      </c>
      <c r="E9508" s="2"/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  <c r="W9508" s="2"/>
      <c r="X9508" s="2"/>
      <c r="Y9508" s="2"/>
      <c r="Z9508" s="2"/>
    </row>
    <row r="9509" spans="1:26" ht="16.5" x14ac:dyDescent="0.35">
      <c r="A9509" s="2" t="str">
        <f ca="1">IFERROR(__xludf.DUMMYFUNCTION("""COMPUTED_VALUE"""),"Dubai")</f>
        <v>Dubai</v>
      </c>
      <c r="B9509" s="2" t="str">
        <f ca="1">IFERROR(__xludf.DUMMYFUNCTION("""COMPUTED_VALUE"""),"Oasis Villas")</f>
        <v>Oasis Villas</v>
      </c>
      <c r="C9509" s="2" t="str">
        <f ca="1">IFERROR(__xludf.DUMMYFUNCTION("""COMPUTED_VALUE"""),"Neighbourhood")</f>
        <v>Neighbourhood</v>
      </c>
      <c r="D9509" s="2" t="str">
        <f ca="1">IFERROR(__xludf.DUMMYFUNCTION("""COMPUTED_VALUE"""),"Dubai&gt;Jumeirah Village Circle (JVC)&gt;JVC District 13&gt;Oasis Villas")</f>
        <v>Dubai&gt;Jumeirah Village Circle (JVC)&gt;JVC District 13&gt;Oasis Villas</v>
      </c>
      <c r="E9509" s="2"/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  <c r="W9509" s="2"/>
      <c r="X9509" s="2"/>
      <c r="Y9509" s="2"/>
      <c r="Z9509" s="2"/>
    </row>
    <row r="9510" spans="1:26" ht="16.5" x14ac:dyDescent="0.35">
      <c r="A9510" s="2" t="str">
        <f ca="1">IFERROR(__xludf.DUMMYFUNCTION("""COMPUTED_VALUE"""),"Dubai")</f>
        <v>Dubai</v>
      </c>
      <c r="B9510" s="2" t="str">
        <f ca="1">IFERROR(__xludf.DUMMYFUNCTION("""COMPUTED_VALUE"""),"Binghatti Crest")</f>
        <v>Binghatti Crest</v>
      </c>
      <c r="C9510" s="2" t="str">
        <f ca="1">IFERROR(__xludf.DUMMYFUNCTION("""COMPUTED_VALUE"""),"Building")</f>
        <v>Building</v>
      </c>
      <c r="D9510" s="2" t="str">
        <f ca="1">IFERROR(__xludf.DUMMYFUNCTION("""COMPUTED_VALUE"""),"Dubai&gt;Jumeirah Village Circle (JVC)&gt;JVC District 13&gt;Binghatti Crest")</f>
        <v>Dubai&gt;Jumeirah Village Circle (JVC)&gt;JVC District 13&gt;Binghatti Crest</v>
      </c>
      <c r="E9510" s="2"/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</row>
    <row r="9511" spans="1:26" ht="16.5" x14ac:dyDescent="0.35">
      <c r="A9511" s="2" t="str">
        <f ca="1">IFERROR(__xludf.DUMMYFUNCTION("""COMPUTED_VALUE"""),"Dubai")</f>
        <v>Dubai</v>
      </c>
      <c r="B9511" s="2" t="str">
        <f ca="1">IFERROR(__xludf.DUMMYFUNCTION("""COMPUTED_VALUE"""),"Xenia Residence")</f>
        <v>Xenia Residence</v>
      </c>
      <c r="C9511" s="2" t="str">
        <f ca="1">IFERROR(__xludf.DUMMYFUNCTION("""COMPUTED_VALUE"""),"Building")</f>
        <v>Building</v>
      </c>
      <c r="D9511" s="2" t="str">
        <f ca="1">IFERROR(__xludf.DUMMYFUNCTION("""COMPUTED_VALUE"""),"Dubai&gt;Jumeirah Village Circle (JVC)&gt;JVC District 13&gt;Xenia Residence")</f>
        <v>Dubai&gt;Jumeirah Village Circle (JVC)&gt;JVC District 13&gt;Xenia Residence</v>
      </c>
      <c r="E9511" s="2"/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</row>
    <row r="9512" spans="1:26" ht="16.5" x14ac:dyDescent="0.35">
      <c r="A9512" s="2" t="str">
        <f ca="1">IFERROR(__xludf.DUMMYFUNCTION("""COMPUTED_VALUE"""),"Dubai")</f>
        <v>Dubai</v>
      </c>
      <c r="B9512" s="2" t="str">
        <f ca="1">IFERROR(__xludf.DUMMYFUNCTION("""COMPUTED_VALUE"""),"Noora Residence 2")</f>
        <v>Noora Residence 2</v>
      </c>
      <c r="C9512" s="2" t="str">
        <f ca="1">IFERROR(__xludf.DUMMYFUNCTION("""COMPUTED_VALUE"""),"Building")</f>
        <v>Building</v>
      </c>
      <c r="D9512" s="2" t="str">
        <f ca="1">IFERROR(__xludf.DUMMYFUNCTION("""COMPUTED_VALUE"""),"Dubai&gt;Jumeirah Village Circle (JVC)&gt;JVC District 10&gt;Noora Residence&gt;Noora Residence 2")</f>
        <v>Dubai&gt;Jumeirah Village Circle (JVC)&gt;JVC District 10&gt;Noora Residence&gt;Noora Residence 2</v>
      </c>
      <c r="E9512" s="2"/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</row>
    <row r="9513" spans="1:26" ht="16.5" x14ac:dyDescent="0.35">
      <c r="A9513" s="2" t="str">
        <f ca="1">IFERROR(__xludf.DUMMYFUNCTION("""COMPUTED_VALUE"""),"Dubai")</f>
        <v>Dubai</v>
      </c>
      <c r="B9513" s="2" t="str">
        <f ca="1">IFERROR(__xludf.DUMMYFUNCTION("""COMPUTED_VALUE"""),"Haven Villas")</f>
        <v>Haven Villas</v>
      </c>
      <c r="C9513" s="2" t="str">
        <f ca="1">IFERROR(__xludf.DUMMYFUNCTION("""COMPUTED_VALUE"""),"Neighbourhood")</f>
        <v>Neighbourhood</v>
      </c>
      <c r="D9513" s="2" t="str">
        <f ca="1">IFERROR(__xludf.DUMMYFUNCTION("""COMPUTED_VALUE"""),"Dubai&gt;Jumeirah Village Circle (JVC)&gt;JVC District 10&gt;Haven Villas")</f>
        <v>Dubai&gt;Jumeirah Village Circle (JVC)&gt;JVC District 10&gt;Haven Villas</v>
      </c>
      <c r="E9513" s="2"/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</row>
    <row r="9514" spans="1:26" ht="16.5" x14ac:dyDescent="0.35">
      <c r="A9514" s="2" t="str">
        <f ca="1">IFERROR(__xludf.DUMMYFUNCTION("""COMPUTED_VALUE"""),"Dubai")</f>
        <v>Dubai</v>
      </c>
      <c r="B9514" s="2" t="str">
        <f ca="1">IFERROR(__xludf.DUMMYFUNCTION("""COMPUTED_VALUE"""),"Oxford 212")</f>
        <v>Oxford 212</v>
      </c>
      <c r="C9514" s="2" t="str">
        <f ca="1">IFERROR(__xludf.DUMMYFUNCTION("""COMPUTED_VALUE"""),"Building")</f>
        <v>Building</v>
      </c>
      <c r="D9514" s="2" t="str">
        <f ca="1">IFERROR(__xludf.DUMMYFUNCTION("""COMPUTED_VALUE"""),"Dubai&gt;Jumeirah Village Circle (JVC)&gt;JVC District 10&gt;Oxford 212")</f>
        <v>Dubai&gt;Jumeirah Village Circle (JVC)&gt;JVC District 10&gt;Oxford 212</v>
      </c>
      <c r="E9514" s="2"/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</row>
    <row r="9515" spans="1:26" ht="16.5" x14ac:dyDescent="0.35">
      <c r="A9515" s="2" t="str">
        <f ca="1">IFERROR(__xludf.DUMMYFUNCTION("""COMPUTED_VALUE"""),"Dubai")</f>
        <v>Dubai</v>
      </c>
      <c r="B9515" s="2" t="str">
        <f ca="1">IFERROR(__xludf.DUMMYFUNCTION("""COMPUTED_VALUE"""),"SquareX Residence")</f>
        <v>SquareX Residence</v>
      </c>
      <c r="C9515" s="2" t="str">
        <f ca="1">IFERROR(__xludf.DUMMYFUNCTION("""COMPUTED_VALUE"""),"Building")</f>
        <v>Building</v>
      </c>
      <c r="D9515" s="2" t="str">
        <f ca="1">IFERROR(__xludf.DUMMYFUNCTION("""COMPUTED_VALUE"""),"Dubai&gt;Jumeirah Village Circle (JVC)&gt;JVC District 10&gt;SquareX Residence")</f>
        <v>Dubai&gt;Jumeirah Village Circle (JVC)&gt;JVC District 10&gt;SquareX Residence</v>
      </c>
      <c r="E9515" s="2"/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</row>
    <row r="9516" spans="1:26" ht="16.5" x14ac:dyDescent="0.35">
      <c r="A9516" s="2" t="str">
        <f ca="1">IFERROR(__xludf.DUMMYFUNCTION("""COMPUTED_VALUE"""),"Dubai")</f>
        <v>Dubai</v>
      </c>
      <c r="B9516" s="2" t="str">
        <f ca="1">IFERROR(__xludf.DUMMYFUNCTION("""COMPUTED_VALUE"""),"May Residence Tower 5")</f>
        <v>May Residence Tower 5</v>
      </c>
      <c r="C9516" s="2" t="str">
        <f ca="1">IFERROR(__xludf.DUMMYFUNCTION("""COMPUTED_VALUE"""),"Building")</f>
        <v>Building</v>
      </c>
      <c r="D9516" s="2" t="str">
        <f ca="1">IFERROR(__xludf.DUMMYFUNCTION("""COMPUTED_VALUE"""),"Dubai&gt;Jumeirah Village Circle (JVC)&gt;JVC District 10&gt;May Residence&gt;May Residence Tower 5")</f>
        <v>Dubai&gt;Jumeirah Village Circle (JVC)&gt;JVC District 10&gt;May Residence&gt;May Residence Tower 5</v>
      </c>
      <c r="E9516" s="2"/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</row>
    <row r="9517" spans="1:26" ht="16.5" x14ac:dyDescent="0.35">
      <c r="A9517" s="2" t="str">
        <f ca="1">IFERROR(__xludf.DUMMYFUNCTION("""COMPUTED_VALUE"""),"Dubai")</f>
        <v>Dubai</v>
      </c>
      <c r="B9517" s="2" t="str">
        <f ca="1">IFERROR(__xludf.DUMMYFUNCTION("""COMPUTED_VALUE"""),"Summer 2 Block B")</f>
        <v>Summer 2 Block B</v>
      </c>
      <c r="C9517" s="2" t="str">
        <f ca="1">IFERROR(__xludf.DUMMYFUNCTION("""COMPUTED_VALUE"""),"Building")</f>
        <v>Building</v>
      </c>
      <c r="D9517" s="2" t="str">
        <f ca="1">IFERROR(__xludf.DUMMYFUNCTION("""COMPUTED_VALUE"""),"Dubai&gt;Jumeirah Village Circle (JVC)&gt;JVC District 15&gt;Seasons Community&gt;Summer&gt;Summer 2 Block B")</f>
        <v>Dubai&gt;Jumeirah Village Circle (JVC)&gt;JVC District 15&gt;Seasons Community&gt;Summer&gt;Summer 2 Block B</v>
      </c>
      <c r="E9517" s="2"/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</row>
    <row r="9518" spans="1:26" ht="16.5" x14ac:dyDescent="0.35">
      <c r="A9518" s="2" t="str">
        <f ca="1">IFERROR(__xludf.DUMMYFUNCTION("""COMPUTED_VALUE"""),"Dubai")</f>
        <v>Dubai</v>
      </c>
      <c r="B9518" s="2" t="str">
        <f ca="1">IFERROR(__xludf.DUMMYFUNCTION("""COMPUTED_VALUE"""),"Golden Homes Building")</f>
        <v>Golden Homes Building</v>
      </c>
      <c r="C9518" s="2" t="str">
        <f ca="1">IFERROR(__xludf.DUMMYFUNCTION("""COMPUTED_VALUE"""),"Building")</f>
        <v>Building</v>
      </c>
      <c r="D9518" s="2" t="str">
        <f ca="1">IFERROR(__xludf.DUMMYFUNCTION("""COMPUTED_VALUE"""),"Dubai&gt;Jumeirah Village Circle (JVC)&gt;JVC District 15&gt;Golden Homes Building")</f>
        <v>Dubai&gt;Jumeirah Village Circle (JVC)&gt;JVC District 15&gt;Golden Homes Building</v>
      </c>
      <c r="E9518" s="2"/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</row>
    <row r="9519" spans="1:26" ht="16.5" x14ac:dyDescent="0.35">
      <c r="A9519" s="2" t="str">
        <f ca="1">IFERROR(__xludf.DUMMYFUNCTION("""COMPUTED_VALUE"""),"Dubai")</f>
        <v>Dubai</v>
      </c>
      <c r="B9519" s="2" t="str">
        <f ca="1">IFERROR(__xludf.DUMMYFUNCTION("""COMPUTED_VALUE"""),"Stax Tower A")</f>
        <v>Stax Tower A</v>
      </c>
      <c r="C9519" s="2" t="str">
        <f ca="1">IFERROR(__xludf.DUMMYFUNCTION("""COMPUTED_VALUE"""),"Building")</f>
        <v>Building</v>
      </c>
      <c r="D9519" s="2" t="str">
        <f ca="1">IFERROR(__xludf.DUMMYFUNCTION("""COMPUTED_VALUE"""),"Dubai&gt;Jumeirah Village Circle (JVC)&gt;JVC District 15&gt;Stax&gt;Stax Tower A")</f>
        <v>Dubai&gt;Jumeirah Village Circle (JVC)&gt;JVC District 15&gt;Stax&gt;Stax Tower A</v>
      </c>
      <c r="E9519" s="2"/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</row>
    <row r="9520" spans="1:26" ht="16.5" x14ac:dyDescent="0.35">
      <c r="A9520" s="2" t="str">
        <f ca="1">IFERROR(__xludf.DUMMYFUNCTION("""COMPUTED_VALUE"""),"Dubai")</f>
        <v>Dubai</v>
      </c>
      <c r="B9520" s="2" t="str">
        <f ca="1">IFERROR(__xludf.DUMMYFUNCTION("""COMPUTED_VALUE"""),"Mirabella 2")</f>
        <v>Mirabella 2</v>
      </c>
      <c r="C9520" s="2" t="str">
        <f ca="1">IFERROR(__xludf.DUMMYFUNCTION("""COMPUTED_VALUE"""),"Neighbourhood")</f>
        <v>Neighbourhood</v>
      </c>
      <c r="D9520" s="2" t="str">
        <f ca="1">IFERROR(__xludf.DUMMYFUNCTION("""COMPUTED_VALUE"""),"Dubai&gt;Jumeirah Village Circle (JVC)&gt;JVC District 11&gt;Mirabella 2")</f>
        <v>Dubai&gt;Jumeirah Village Circle (JVC)&gt;JVC District 11&gt;Mirabella 2</v>
      </c>
      <c r="E9520" s="2"/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  <c r="W9520" s="2"/>
      <c r="X9520" s="2"/>
      <c r="Y9520" s="2"/>
      <c r="Z9520" s="2"/>
    </row>
    <row r="9521" spans="1:26" ht="16.5" x14ac:dyDescent="0.35">
      <c r="A9521" s="2" t="str">
        <f ca="1">IFERROR(__xludf.DUMMYFUNCTION("""COMPUTED_VALUE"""),"Dubai")</f>
        <v>Dubai</v>
      </c>
      <c r="B9521" s="2" t="str">
        <f ca="1">IFERROR(__xludf.DUMMYFUNCTION("""COMPUTED_VALUE"""),"AG Residence")</f>
        <v>AG Residence</v>
      </c>
      <c r="C9521" s="2" t="str">
        <f ca="1">IFERROR(__xludf.DUMMYFUNCTION("""COMPUTED_VALUE"""),"Neighbourhood")</f>
        <v>Neighbourhood</v>
      </c>
      <c r="D9521" s="2" t="str">
        <f ca="1">IFERROR(__xludf.DUMMYFUNCTION("""COMPUTED_VALUE"""),"Dubai&gt;Jumeirah Village Circle (JVC)&gt;JVC District 11&gt;AG Residence")</f>
        <v>Dubai&gt;Jumeirah Village Circle (JVC)&gt;JVC District 11&gt;AG Residence</v>
      </c>
      <c r="E9521" s="2"/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  <c r="W9521" s="2"/>
      <c r="X9521" s="2"/>
      <c r="Y9521" s="2"/>
      <c r="Z9521" s="2"/>
    </row>
    <row r="9522" spans="1:26" ht="16.5" x14ac:dyDescent="0.35">
      <c r="A9522" s="2" t="str">
        <f ca="1">IFERROR(__xludf.DUMMYFUNCTION("""COMPUTED_VALUE"""),"Dubai")</f>
        <v>Dubai</v>
      </c>
      <c r="B9522" s="2" t="str">
        <f ca="1">IFERROR(__xludf.DUMMYFUNCTION("""COMPUTED_VALUE"""),"Eco Harmony Tower")</f>
        <v>Eco Harmony Tower</v>
      </c>
      <c r="C9522" s="2" t="str">
        <f ca="1">IFERROR(__xludf.DUMMYFUNCTION("""COMPUTED_VALUE"""),"Building")</f>
        <v>Building</v>
      </c>
      <c r="D9522" s="2" t="str">
        <f ca="1">IFERROR(__xludf.DUMMYFUNCTION("""COMPUTED_VALUE"""),"Dubai&gt;Jumeirah Village Circle (JVC)&gt;JVC District 11&gt;Eco Harmony Tower")</f>
        <v>Dubai&gt;Jumeirah Village Circle (JVC)&gt;JVC District 11&gt;Eco Harmony Tower</v>
      </c>
      <c r="E9522" s="2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  <c r="W9522" s="2"/>
      <c r="X9522" s="2"/>
      <c r="Y9522" s="2"/>
      <c r="Z9522" s="2"/>
    </row>
    <row r="9523" spans="1:26" ht="16.5" x14ac:dyDescent="0.35">
      <c r="A9523" s="2" t="str">
        <f ca="1">IFERROR(__xludf.DUMMYFUNCTION("""COMPUTED_VALUE"""),"Dubai")</f>
        <v>Dubai</v>
      </c>
      <c r="B9523" s="2" t="str">
        <f ca="1">IFERROR(__xludf.DUMMYFUNCTION("""COMPUTED_VALUE"""),"Hyati Avenue")</f>
        <v>Hyati Avenue</v>
      </c>
      <c r="C9523" s="2" t="str">
        <f ca="1">IFERROR(__xludf.DUMMYFUNCTION("""COMPUTED_VALUE"""),"Building")</f>
        <v>Building</v>
      </c>
      <c r="D9523" s="2" t="str">
        <f ca="1">IFERROR(__xludf.DUMMYFUNCTION("""COMPUTED_VALUE"""),"Dubai&gt;Jumeirah Village Circle (JVC)&gt;JVC District 14&gt;Hyati Avenue")</f>
        <v>Dubai&gt;Jumeirah Village Circle (JVC)&gt;JVC District 14&gt;Hyati Avenue</v>
      </c>
      <c r="E9523" s="2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  <c r="W9523" s="2"/>
      <c r="X9523" s="2"/>
      <c r="Y9523" s="2"/>
      <c r="Z9523" s="2"/>
    </row>
    <row r="9524" spans="1:26" ht="16.5" x14ac:dyDescent="0.35">
      <c r="A9524" s="2" t="str">
        <f ca="1">IFERROR(__xludf.DUMMYFUNCTION("""COMPUTED_VALUE"""),"Dubai")</f>
        <v>Dubai</v>
      </c>
      <c r="B9524" s="2" t="str">
        <f ca="1">IFERROR(__xludf.DUMMYFUNCTION("""COMPUTED_VALUE"""),"Luma21")</f>
        <v>Luma21</v>
      </c>
      <c r="C9524" s="2" t="str">
        <f ca="1">IFERROR(__xludf.DUMMYFUNCTION("""COMPUTED_VALUE"""),"Building")</f>
        <v>Building</v>
      </c>
      <c r="D9524" s="2" t="str">
        <f ca="1">IFERROR(__xludf.DUMMYFUNCTION("""COMPUTED_VALUE"""),"Dubai&gt;Jumeirah Village Circle (JVC)&gt;JVC District 14&gt;Luma21")</f>
        <v>Dubai&gt;Jumeirah Village Circle (JVC)&gt;JVC District 14&gt;Luma21</v>
      </c>
      <c r="E9524" s="2"/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  <c r="W9524" s="2"/>
      <c r="X9524" s="2"/>
      <c r="Y9524" s="2"/>
      <c r="Z9524" s="2"/>
    </row>
    <row r="9525" spans="1:26" ht="16.5" x14ac:dyDescent="0.35">
      <c r="A9525" s="2" t="str">
        <f ca="1">IFERROR(__xludf.DUMMYFUNCTION("""COMPUTED_VALUE"""),"Dubai")</f>
        <v>Dubai</v>
      </c>
      <c r="B9525" s="2" t="str">
        <f ca="1">IFERROR(__xludf.DUMMYFUNCTION("""COMPUTED_VALUE"""),"Diamond Views 1 Villas B")</f>
        <v>Diamond Views 1 Villas B</v>
      </c>
      <c r="C9525" s="2" t="str">
        <f ca="1">IFERROR(__xludf.DUMMYFUNCTION("""COMPUTED_VALUE"""),"Neighbourhood")</f>
        <v>Neighbourhood</v>
      </c>
      <c r="D9525" s="2" t="str">
        <f ca="1">IFERROR(__xludf.DUMMYFUNCTION("""COMPUTED_VALUE"""),"Dubai&gt;Jumeirah Village Circle (JVC)&gt;JVC District 14&gt;Diamond Views 1 Villas B")</f>
        <v>Dubai&gt;Jumeirah Village Circle (JVC)&gt;JVC District 14&gt;Diamond Views 1 Villas B</v>
      </c>
      <c r="E9525" s="2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  <c r="W9525" s="2"/>
      <c r="X9525" s="2"/>
      <c r="Y9525" s="2"/>
      <c r="Z9525" s="2"/>
    </row>
    <row r="9526" spans="1:26" ht="16.5" x14ac:dyDescent="0.35">
      <c r="A9526" s="2" t="str">
        <f ca="1">IFERROR(__xludf.DUMMYFUNCTION("""COMPUTED_VALUE"""),"Dubai")</f>
        <v>Dubai</v>
      </c>
      <c r="B9526" s="2" t="str">
        <f ca="1">IFERROR(__xludf.DUMMYFUNCTION("""COMPUTED_VALUE"""),"The Gate Residence 1")</f>
        <v>The Gate Residence 1</v>
      </c>
      <c r="C9526" s="2" t="str">
        <f ca="1">IFERROR(__xludf.DUMMYFUNCTION("""COMPUTED_VALUE"""),"Building")</f>
        <v>Building</v>
      </c>
      <c r="D9526" s="2" t="str">
        <f ca="1">IFERROR(__xludf.DUMMYFUNCTION("""COMPUTED_VALUE"""),"Dubai&gt;Dubai Land Residence Complex&gt;The Gate Residence 1")</f>
        <v>Dubai&gt;Dubai Land Residence Complex&gt;The Gate Residence 1</v>
      </c>
      <c r="E9526" s="2"/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  <c r="W9526" s="2"/>
      <c r="X9526" s="2"/>
      <c r="Y9526" s="2"/>
      <c r="Z9526" s="2"/>
    </row>
    <row r="9527" spans="1:26" ht="16.5" x14ac:dyDescent="0.35">
      <c r="A9527" s="2" t="str">
        <f ca="1">IFERROR(__xludf.DUMMYFUNCTION("""COMPUTED_VALUE"""),"Dubai")</f>
        <v>Dubai</v>
      </c>
      <c r="B9527" s="2" t="str">
        <f ca="1">IFERROR(__xludf.DUMMYFUNCTION("""COMPUTED_VALUE"""),"Time 2")</f>
        <v>Time 2</v>
      </c>
      <c r="C9527" s="2" t="str">
        <f ca="1">IFERROR(__xludf.DUMMYFUNCTION("""COMPUTED_VALUE"""),"Building")</f>
        <v>Building</v>
      </c>
      <c r="D9527" s="2" t="str">
        <f ca="1">IFERROR(__xludf.DUMMYFUNCTION("""COMPUTED_VALUE"""),"Dubai&gt;Dubai Land Residence Complex&gt;Time 2")</f>
        <v>Dubai&gt;Dubai Land Residence Complex&gt;Time 2</v>
      </c>
      <c r="E9527" s="2"/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  <c r="W9527" s="2"/>
      <c r="X9527" s="2"/>
      <c r="Y9527" s="2"/>
      <c r="Z9527" s="2"/>
    </row>
    <row r="9528" spans="1:26" ht="16.5" x14ac:dyDescent="0.35">
      <c r="A9528" s="2" t="str">
        <f ca="1">IFERROR(__xludf.DUMMYFUNCTION("""COMPUTED_VALUE"""),"Dubai")</f>
        <v>Dubai</v>
      </c>
      <c r="B9528" s="2" t="str">
        <f ca="1">IFERROR(__xludf.DUMMYFUNCTION("""COMPUTED_VALUE"""),"Skycourts Towers")</f>
        <v>Skycourts Towers</v>
      </c>
      <c r="C9528" s="2" t="str">
        <f ca="1">IFERROR(__xludf.DUMMYFUNCTION("""COMPUTED_VALUE"""),"Cluster")</f>
        <v>Cluster</v>
      </c>
      <c r="D9528" s="2" t="str">
        <f ca="1">IFERROR(__xludf.DUMMYFUNCTION("""COMPUTED_VALUE"""),"Dubai&gt;Dubai Land Residence Complex&gt;Skycourts Towers")</f>
        <v>Dubai&gt;Dubai Land Residence Complex&gt;Skycourts Towers</v>
      </c>
      <c r="E9528" s="2"/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  <c r="W9528" s="2"/>
      <c r="X9528" s="2"/>
      <c r="Y9528" s="2"/>
      <c r="Z9528" s="2"/>
    </row>
    <row r="9529" spans="1:26" ht="16.5" x14ac:dyDescent="0.35">
      <c r="A9529" s="2" t="str">
        <f ca="1">IFERROR(__xludf.DUMMYFUNCTION("""COMPUTED_VALUE"""),"Dubai")</f>
        <v>Dubai</v>
      </c>
      <c r="B9529" s="2" t="str">
        <f ca="1">IFERROR(__xludf.DUMMYFUNCTION("""COMPUTED_VALUE"""),"Arlington Park by Majid")</f>
        <v>Arlington Park by Majid</v>
      </c>
      <c r="C9529" s="2" t="str">
        <f ca="1">IFERROR(__xludf.DUMMYFUNCTION("""COMPUTED_VALUE"""),"Building")</f>
        <v>Building</v>
      </c>
      <c r="D9529" s="2" t="str">
        <f ca="1">IFERROR(__xludf.DUMMYFUNCTION("""COMPUTED_VALUE"""),"Dubai&gt;Dubai Land Residence Complex&gt;Arlington Park by Majid")</f>
        <v>Dubai&gt;Dubai Land Residence Complex&gt;Arlington Park by Majid</v>
      </c>
      <c r="E9529" s="2"/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  <c r="W9529" s="2"/>
      <c r="X9529" s="2"/>
      <c r="Y9529" s="2"/>
      <c r="Z9529" s="2"/>
    </row>
    <row r="9530" spans="1:26" ht="16.5" x14ac:dyDescent="0.35">
      <c r="A9530" s="2" t="str">
        <f ca="1">IFERROR(__xludf.DUMMYFUNCTION("""COMPUTED_VALUE"""),"Dubai")</f>
        <v>Dubai</v>
      </c>
      <c r="B9530" s="2" t="str">
        <f ca="1">IFERROR(__xludf.DUMMYFUNCTION("""COMPUTED_VALUE"""),"Lateral One")</f>
        <v>Lateral One</v>
      </c>
      <c r="C9530" s="2" t="str">
        <f ca="1">IFERROR(__xludf.DUMMYFUNCTION("""COMPUTED_VALUE"""),"Building")</f>
        <v>Building</v>
      </c>
      <c r="D9530" s="2" t="str">
        <f ca="1">IFERROR(__xludf.DUMMYFUNCTION("""COMPUTED_VALUE"""),"Dubai&gt;Dubai Land Residence Complex&gt;Lateral One")</f>
        <v>Dubai&gt;Dubai Land Residence Complex&gt;Lateral One</v>
      </c>
      <c r="E9530" s="2"/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  <c r="W9530" s="2"/>
      <c r="X9530" s="2"/>
      <c r="Y9530" s="2"/>
      <c r="Z9530" s="2"/>
    </row>
    <row r="9531" spans="1:26" ht="16.5" x14ac:dyDescent="0.35">
      <c r="A9531" s="2" t="str">
        <f ca="1">IFERROR(__xludf.DUMMYFUNCTION("""COMPUTED_VALUE"""),"Dubai")</f>
        <v>Dubai</v>
      </c>
      <c r="B9531" s="2" t="str">
        <f ca="1">IFERROR(__xludf.DUMMYFUNCTION("""COMPUTED_VALUE"""),"Janayen Avenue D")</f>
        <v>Janayen Avenue D</v>
      </c>
      <c r="C9531" s="2" t="str">
        <f ca="1">IFERROR(__xludf.DUMMYFUNCTION("""COMPUTED_VALUE"""),"Building")</f>
        <v>Building</v>
      </c>
      <c r="D9531" s="2" t="str">
        <f ca="1">IFERROR(__xludf.DUMMYFUNCTION("""COMPUTED_VALUE"""),"Dubai&gt;Mirdif&gt;Mirdif Hills&gt;Janayen Avenue&gt;Janayen Avenue D")</f>
        <v>Dubai&gt;Mirdif&gt;Mirdif Hills&gt;Janayen Avenue&gt;Janayen Avenue D</v>
      </c>
      <c r="E9531" s="2"/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  <c r="W9531" s="2"/>
      <c r="X9531" s="2"/>
      <c r="Y9531" s="2"/>
      <c r="Z9531" s="2"/>
    </row>
    <row r="9532" spans="1:26" ht="16.5" x14ac:dyDescent="0.35">
      <c r="A9532" s="2" t="str">
        <f ca="1">IFERROR(__xludf.DUMMYFUNCTION("""COMPUTED_VALUE"""),"Dubai")</f>
        <v>Dubai</v>
      </c>
      <c r="B9532" s="2" t="str">
        <f ca="1">IFERROR(__xludf.DUMMYFUNCTION("""COMPUTED_VALUE"""),"Al Shibani Villa")</f>
        <v>Al Shibani Villa</v>
      </c>
      <c r="C9532" s="2" t="str">
        <f ca="1">IFERROR(__xludf.DUMMYFUNCTION("""COMPUTED_VALUE"""),"Neighbourhood")</f>
        <v>Neighbourhood</v>
      </c>
      <c r="D9532" s="2" t="str">
        <f ca="1">IFERROR(__xludf.DUMMYFUNCTION("""COMPUTED_VALUE"""),"Dubai&gt;Mirdif&gt;Al Shibani Villa")</f>
        <v>Dubai&gt;Mirdif&gt;Al Shibani Villa</v>
      </c>
      <c r="E9532" s="2"/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  <c r="W9532" s="2"/>
      <c r="X9532" s="2"/>
      <c r="Y9532" s="2"/>
      <c r="Z9532" s="2"/>
    </row>
    <row r="9533" spans="1:26" ht="16.5" x14ac:dyDescent="0.35">
      <c r="A9533" s="2" t="str">
        <f ca="1">IFERROR(__xludf.DUMMYFUNCTION("""COMPUTED_VALUE"""),"Dubai")</f>
        <v>Dubai</v>
      </c>
      <c r="B9533" s="2" t="str">
        <f ca="1">IFERROR(__xludf.DUMMYFUNCTION("""COMPUTED_VALUE"""),"Al Khaleej National School")</f>
        <v>Al Khaleej National School</v>
      </c>
      <c r="C9533" s="2" t="str">
        <f ca="1">IFERROR(__xludf.DUMMYFUNCTION("""COMPUTED_VALUE"""),"School")</f>
        <v>School</v>
      </c>
      <c r="D9533" s="2" t="str">
        <f ca="1">IFERROR(__xludf.DUMMYFUNCTION("""COMPUTED_VALUE"""),"Dubai&gt;Al Garhoud&gt;Al Khaleej National School")</f>
        <v>Dubai&gt;Al Garhoud&gt;Al Khaleej National School</v>
      </c>
      <c r="E9533" s="2"/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  <c r="W9533" s="2"/>
      <c r="X9533" s="2"/>
      <c r="Y9533" s="2"/>
      <c r="Z9533" s="2"/>
    </row>
    <row r="9534" spans="1:26" ht="16.5" x14ac:dyDescent="0.35">
      <c r="A9534" s="2" t="str">
        <f ca="1">IFERROR(__xludf.DUMMYFUNCTION("""COMPUTED_VALUE"""),"Dubai")</f>
        <v>Dubai</v>
      </c>
      <c r="B9534" s="2" t="str">
        <f ca="1">IFERROR(__xludf.DUMMYFUNCTION("""COMPUTED_VALUE"""),"Emitac Building")</f>
        <v>Emitac Building</v>
      </c>
      <c r="C9534" s="2" t="str">
        <f ca="1">IFERROR(__xludf.DUMMYFUNCTION("""COMPUTED_VALUE"""),"Building")</f>
        <v>Building</v>
      </c>
      <c r="D9534" s="2" t="str">
        <f ca="1">IFERROR(__xludf.DUMMYFUNCTION("""COMPUTED_VALUE"""),"Dubai&gt;Al Garhoud&gt;Emitac Building")</f>
        <v>Dubai&gt;Al Garhoud&gt;Emitac Building</v>
      </c>
      <c r="E9534" s="2"/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  <c r="W9534" s="2"/>
      <c r="X9534" s="2"/>
      <c r="Y9534" s="2"/>
      <c r="Z9534" s="2"/>
    </row>
    <row r="9535" spans="1:26" ht="16.5" x14ac:dyDescent="0.35">
      <c r="A9535" s="2" t="str">
        <f ca="1">IFERROR(__xludf.DUMMYFUNCTION("""COMPUTED_VALUE"""),"Dubai")</f>
        <v>Dubai</v>
      </c>
      <c r="B9535" s="2" t="str">
        <f ca="1">IFERROR(__xludf.DUMMYFUNCTION("""COMPUTED_VALUE"""),"Sun Shine Building")</f>
        <v>Sun Shine Building</v>
      </c>
      <c r="C9535" s="2" t="str">
        <f ca="1">IFERROR(__xludf.DUMMYFUNCTION("""COMPUTED_VALUE"""),"Building")</f>
        <v>Building</v>
      </c>
      <c r="D9535" s="2" t="str">
        <f ca="1">IFERROR(__xludf.DUMMYFUNCTION("""COMPUTED_VALUE"""),"Dubai&gt;Al Garhoud&gt;Sun Shine Building")</f>
        <v>Dubai&gt;Al Garhoud&gt;Sun Shine Building</v>
      </c>
      <c r="E9535" s="2"/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  <c r="W9535" s="2"/>
      <c r="X9535" s="2"/>
      <c r="Y9535" s="2"/>
      <c r="Z9535" s="2"/>
    </row>
    <row r="9536" spans="1:26" ht="16.5" x14ac:dyDescent="0.35">
      <c r="A9536" s="2" t="str">
        <f ca="1">IFERROR(__xludf.DUMMYFUNCTION("""COMPUTED_VALUE"""),"Dubai")</f>
        <v>Dubai</v>
      </c>
      <c r="B9536" s="2" t="str">
        <f ca="1">IFERROR(__xludf.DUMMYFUNCTION("""COMPUTED_VALUE"""),"Cluster 11")</f>
        <v>Cluster 11</v>
      </c>
      <c r="C9536" s="2" t="str">
        <f ca="1">IFERROR(__xludf.DUMMYFUNCTION("""COMPUTED_VALUE"""),"Neighbourhood")</f>
        <v>Neighbourhood</v>
      </c>
      <c r="D9536" s="2" t="str">
        <f ca="1">IFERROR(__xludf.DUMMYFUNCTION("""COMPUTED_VALUE"""),"Dubai&gt;Jumeirah Islands&gt;Cluster 11")</f>
        <v>Dubai&gt;Jumeirah Islands&gt;Cluster 11</v>
      </c>
      <c r="E9536" s="2"/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  <c r="W9536" s="2"/>
      <c r="X9536" s="2"/>
      <c r="Y9536" s="2"/>
      <c r="Z9536" s="2"/>
    </row>
    <row r="9537" spans="1:26" ht="16.5" x14ac:dyDescent="0.35">
      <c r="A9537" s="2" t="str">
        <f ca="1">IFERROR(__xludf.DUMMYFUNCTION("""COMPUTED_VALUE"""),"Dubai")</f>
        <v>Dubai</v>
      </c>
      <c r="B9537" s="2" t="str">
        <f ca="1">IFERROR(__xludf.DUMMYFUNCTION("""COMPUTED_VALUE"""),"Cluster 43")</f>
        <v>Cluster 43</v>
      </c>
      <c r="C9537" s="2" t="str">
        <f ca="1">IFERROR(__xludf.DUMMYFUNCTION("""COMPUTED_VALUE"""),"Neighbourhood")</f>
        <v>Neighbourhood</v>
      </c>
      <c r="D9537" s="2" t="str">
        <f ca="1">IFERROR(__xludf.DUMMYFUNCTION("""COMPUTED_VALUE"""),"Dubai&gt;Jumeirah Islands&gt;Cluster 43")</f>
        <v>Dubai&gt;Jumeirah Islands&gt;Cluster 43</v>
      </c>
      <c r="E9537" s="2"/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  <c r="W9537" s="2"/>
      <c r="X9537" s="2"/>
      <c r="Y9537" s="2"/>
      <c r="Z9537" s="2"/>
    </row>
    <row r="9538" spans="1:26" ht="16.5" x14ac:dyDescent="0.35">
      <c r="A9538" s="2" t="str">
        <f ca="1">IFERROR(__xludf.DUMMYFUNCTION("""COMPUTED_VALUE"""),"Dubai")</f>
        <v>Dubai</v>
      </c>
      <c r="B9538" s="2" t="str">
        <f ca="1">IFERROR(__xludf.DUMMYFUNCTION("""COMPUTED_VALUE"""),"Garden Apartments East C")</f>
        <v>Garden Apartments East C</v>
      </c>
      <c r="C9538" s="2" t="str">
        <f ca="1">IFERROR(__xludf.DUMMYFUNCTION("""COMPUTED_VALUE"""),"Building")</f>
        <v>Building</v>
      </c>
      <c r="D9538" s="2" t="str">
        <f ca="1">IFERROR(__xludf.DUMMYFUNCTION("""COMPUTED_VALUE"""),"Dubai&gt;Green Community&gt;Garden East Apartments&gt;Garden Apartments East C")</f>
        <v>Dubai&gt;Green Community&gt;Garden East Apartments&gt;Garden Apartments East C</v>
      </c>
      <c r="E9538" s="2"/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  <c r="W9538" s="2"/>
      <c r="X9538" s="2"/>
      <c r="Y9538" s="2"/>
      <c r="Z9538" s="2"/>
    </row>
    <row r="9539" spans="1:26" ht="16.5" x14ac:dyDescent="0.35">
      <c r="A9539" s="2" t="str">
        <f ca="1">IFERROR(__xludf.DUMMYFUNCTION("""COMPUTED_VALUE"""),"Dubai")</f>
        <v>Dubai</v>
      </c>
      <c r="B9539" s="2" t="str">
        <f ca="1">IFERROR(__xludf.DUMMYFUNCTION("""COMPUTED_VALUE"""),"Southwest Apartments 1")</f>
        <v>Southwest Apartments 1</v>
      </c>
      <c r="C9539" s="2" t="str">
        <f ca="1">IFERROR(__xludf.DUMMYFUNCTION("""COMPUTED_VALUE"""),"Building")</f>
        <v>Building</v>
      </c>
      <c r="D9539" s="2" t="str">
        <f ca="1">IFERROR(__xludf.DUMMYFUNCTION("""COMPUTED_VALUE"""),"Dubai&gt;Green Community&gt;Green Community West&gt;Southwest Apartments&gt;Southwest Apartments 1")</f>
        <v>Dubai&gt;Green Community&gt;Green Community West&gt;Southwest Apartments&gt;Southwest Apartments 1</v>
      </c>
      <c r="E9539" s="2"/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  <c r="W9539" s="2"/>
      <c r="X9539" s="2"/>
      <c r="Y9539" s="2"/>
      <c r="Z9539" s="2"/>
    </row>
    <row r="9540" spans="1:26" ht="16.5" x14ac:dyDescent="0.35">
      <c r="A9540" s="2" t="str">
        <f ca="1">IFERROR(__xludf.DUMMYFUNCTION("""COMPUTED_VALUE"""),"Dubai")</f>
        <v>Dubai</v>
      </c>
      <c r="B9540" s="2" t="str">
        <f ca="1">IFERROR(__xludf.DUMMYFUNCTION("""COMPUTED_VALUE"""),"Elite Sports Residence 10 Block B")</f>
        <v>Elite Sports Residence 10 Block B</v>
      </c>
      <c r="C9540" s="2" t="str">
        <f ca="1">IFERROR(__xludf.DUMMYFUNCTION("""COMPUTED_VALUE"""),"Building")</f>
        <v>Building</v>
      </c>
      <c r="D9540" s="2" t="str">
        <f ca="1">IFERROR(__xludf.DUMMYFUNCTION("""COMPUTED_VALUE"""),"Dubai&gt;Dubai Sports City&gt;Elite Sports Residence&gt;Elite Sports Residence 10&gt;Elite Sports Residence 10 Block B")</f>
        <v>Dubai&gt;Dubai Sports City&gt;Elite Sports Residence&gt;Elite Sports Residence 10&gt;Elite Sports Residence 10 Block B</v>
      </c>
      <c r="E9540" s="2"/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</row>
    <row r="9541" spans="1:26" ht="16.5" x14ac:dyDescent="0.35">
      <c r="A9541" s="2" t="str">
        <f ca="1">IFERROR(__xludf.DUMMYFUNCTION("""COMPUTED_VALUE"""),"Dubai")</f>
        <v>Dubai</v>
      </c>
      <c r="B9541" s="2" t="str">
        <f ca="1">IFERROR(__xludf.DUMMYFUNCTION("""COMPUTED_VALUE"""),"Olympic Park 2")</f>
        <v>Olympic Park 2</v>
      </c>
      <c r="C9541" s="2" t="str">
        <f ca="1">IFERROR(__xludf.DUMMYFUNCTION("""COMPUTED_VALUE"""),"Building")</f>
        <v>Building</v>
      </c>
      <c r="D9541" s="2" t="str">
        <f ca="1">IFERROR(__xludf.DUMMYFUNCTION("""COMPUTED_VALUE"""),"Dubai&gt;Dubai Sports City&gt;Olympic Park&gt;Olympic Park 2")</f>
        <v>Dubai&gt;Dubai Sports City&gt;Olympic Park&gt;Olympic Park 2</v>
      </c>
      <c r="E9541" s="2"/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</row>
    <row r="9542" spans="1:26" ht="16.5" x14ac:dyDescent="0.35">
      <c r="A9542" s="2" t="str">
        <f ca="1">IFERROR(__xludf.DUMMYFUNCTION("""COMPUTED_VALUE"""),"Dubai")</f>
        <v>Dubai</v>
      </c>
      <c r="B9542" s="2" t="str">
        <f ca="1">IFERROR(__xludf.DUMMYFUNCTION("""COMPUTED_VALUE"""),"Carmen")</f>
        <v>Carmen</v>
      </c>
      <c r="C9542" s="2" t="str">
        <f ca="1">IFERROR(__xludf.DUMMYFUNCTION("""COMPUTED_VALUE"""),"Neighbourhood")</f>
        <v>Neighbourhood</v>
      </c>
      <c r="D9542" s="2" t="str">
        <f ca="1">IFERROR(__xludf.DUMMYFUNCTION("""COMPUTED_VALUE"""),"Dubai&gt;Dubai Sports City&gt;Victory Heights&gt;Carmen")</f>
        <v>Dubai&gt;Dubai Sports City&gt;Victory Heights&gt;Carmen</v>
      </c>
      <c r="E9542" s="2"/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  <c r="W9542" s="2"/>
      <c r="X9542" s="2"/>
      <c r="Y9542" s="2"/>
      <c r="Z9542" s="2"/>
    </row>
    <row r="9543" spans="1:26" ht="16.5" x14ac:dyDescent="0.35">
      <c r="A9543" s="2" t="str">
        <f ca="1">IFERROR(__xludf.DUMMYFUNCTION("""COMPUTED_VALUE"""),"Dubai")</f>
        <v>Dubai</v>
      </c>
      <c r="B9543" s="2" t="str">
        <f ca="1">IFERROR(__xludf.DUMMYFUNCTION("""COMPUTED_VALUE"""),"Golf Vista Heights")</f>
        <v>Golf Vista Heights</v>
      </c>
      <c r="C9543" s="2" t="str">
        <f ca="1">IFERROR(__xludf.DUMMYFUNCTION("""COMPUTED_VALUE"""),"Building")</f>
        <v>Building</v>
      </c>
      <c r="D9543" s="2" t="str">
        <f ca="1">IFERROR(__xludf.DUMMYFUNCTION("""COMPUTED_VALUE"""),"Dubai&gt;Dubai Sports City&gt;Golf Vista Heights")</f>
        <v>Dubai&gt;Dubai Sports City&gt;Golf Vista Heights</v>
      </c>
      <c r="E9543" s="2"/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  <c r="W9543" s="2"/>
      <c r="X9543" s="2"/>
      <c r="Y9543" s="2"/>
      <c r="Z9543" s="2"/>
    </row>
    <row r="9544" spans="1:26" ht="16.5" x14ac:dyDescent="0.35">
      <c r="A9544" s="2" t="str">
        <f ca="1">IFERROR(__xludf.DUMMYFUNCTION("""COMPUTED_VALUE"""),"Dubai")</f>
        <v>Dubai</v>
      </c>
      <c r="B9544" s="2" t="str">
        <f ca="1">IFERROR(__xludf.DUMMYFUNCTION("""COMPUTED_VALUE"""),"Dubai Star Building")</f>
        <v>Dubai Star Building</v>
      </c>
      <c r="C9544" s="2" t="str">
        <f ca="1">IFERROR(__xludf.DUMMYFUNCTION("""COMPUTED_VALUE"""),"Building")</f>
        <v>Building</v>
      </c>
      <c r="D9544" s="2" t="str">
        <f ca="1">IFERROR(__xludf.DUMMYFUNCTION("""COMPUTED_VALUE"""),"Dubai&gt;Al Nahda (Dubai)&gt;Al Nahda 1&gt;Dubai Star Building")</f>
        <v>Dubai&gt;Al Nahda (Dubai)&gt;Al Nahda 1&gt;Dubai Star Building</v>
      </c>
      <c r="E9544" s="2"/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  <c r="W9544" s="2"/>
      <c r="X9544" s="2"/>
      <c r="Y9544" s="2"/>
      <c r="Z9544" s="2"/>
    </row>
    <row r="9545" spans="1:26" ht="16.5" x14ac:dyDescent="0.35">
      <c r="A9545" s="2" t="str">
        <f ca="1">IFERROR(__xludf.DUMMYFUNCTION("""COMPUTED_VALUE"""),"Dubai")</f>
        <v>Dubai</v>
      </c>
      <c r="B9545" s="2" t="str">
        <f ca="1">IFERROR(__xludf.DUMMYFUNCTION("""COMPUTED_VALUE"""),"Sheikha Alya Building")</f>
        <v>Sheikha Alya Building</v>
      </c>
      <c r="C9545" s="2" t="str">
        <f ca="1">IFERROR(__xludf.DUMMYFUNCTION("""COMPUTED_VALUE"""),"Building")</f>
        <v>Building</v>
      </c>
      <c r="D9545" s="2" t="str">
        <f ca="1">IFERROR(__xludf.DUMMYFUNCTION("""COMPUTED_VALUE"""),"Dubai&gt;Al Nahda (Dubai)&gt;Al Nahda 1&gt;Sheikha Alya Building")</f>
        <v>Dubai&gt;Al Nahda (Dubai)&gt;Al Nahda 1&gt;Sheikha Alya Building</v>
      </c>
      <c r="E9545" s="2"/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  <c r="W9545" s="2"/>
      <c r="X9545" s="2"/>
      <c r="Y9545" s="2"/>
      <c r="Z9545" s="2"/>
    </row>
    <row r="9546" spans="1:26" ht="16.5" x14ac:dyDescent="0.35">
      <c r="A9546" s="2" t="str">
        <f ca="1">IFERROR(__xludf.DUMMYFUNCTION("""COMPUTED_VALUE"""),"Dubai")</f>
        <v>Dubai</v>
      </c>
      <c r="B9546" s="2" t="str">
        <f ca="1">IFERROR(__xludf.DUMMYFUNCTION("""COMPUTED_VALUE"""),"Al Awar Building")</f>
        <v>Al Awar Building</v>
      </c>
      <c r="C9546" s="2" t="str">
        <f ca="1">IFERROR(__xludf.DUMMYFUNCTION("""COMPUTED_VALUE"""),"Building")</f>
        <v>Building</v>
      </c>
      <c r="D9546" s="2" t="str">
        <f ca="1">IFERROR(__xludf.DUMMYFUNCTION("""COMPUTED_VALUE"""),"Dubai&gt;Al Nahda (Dubai)&gt;Al Nahda 2&gt;Al Awar Building")</f>
        <v>Dubai&gt;Al Nahda (Dubai)&gt;Al Nahda 2&gt;Al Awar Building</v>
      </c>
      <c r="E9546" s="2"/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</row>
    <row r="9547" spans="1:26" ht="16.5" x14ac:dyDescent="0.35">
      <c r="A9547" s="2" t="str">
        <f ca="1">IFERROR(__xludf.DUMMYFUNCTION("""COMPUTED_VALUE"""),"Dubai")</f>
        <v>Dubai</v>
      </c>
      <c r="B9547" s="2" t="str">
        <f ca="1">IFERROR(__xludf.DUMMYFUNCTION("""COMPUTED_VALUE"""),"Hilly Tower")</f>
        <v>Hilly Tower</v>
      </c>
      <c r="C9547" s="2" t="str">
        <f ca="1">IFERROR(__xludf.DUMMYFUNCTION("""COMPUTED_VALUE"""),"Building")</f>
        <v>Building</v>
      </c>
      <c r="D9547" s="2" t="str">
        <f ca="1">IFERROR(__xludf.DUMMYFUNCTION("""COMPUTED_VALUE"""),"Dubai&gt;Al Nahda (Dubai)&gt;Al Nahda 2&gt;Hilly Tower")</f>
        <v>Dubai&gt;Al Nahda (Dubai)&gt;Al Nahda 2&gt;Hilly Tower</v>
      </c>
      <c r="E9547" s="2"/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  <c r="W9547" s="2"/>
      <c r="X9547" s="2"/>
      <c r="Y9547" s="2"/>
      <c r="Z9547" s="2"/>
    </row>
    <row r="9548" spans="1:26" ht="16.5" x14ac:dyDescent="0.35">
      <c r="A9548" s="2" t="str">
        <f ca="1">IFERROR(__xludf.DUMMYFUNCTION("""COMPUTED_VALUE"""),"Dubai")</f>
        <v>Dubai</v>
      </c>
      <c r="B9548" s="2" t="str">
        <f ca="1">IFERROR(__xludf.DUMMYFUNCTION("""COMPUTED_VALUE"""),"Blue 3 Building")</f>
        <v>Blue 3 Building</v>
      </c>
      <c r="C9548" s="2" t="str">
        <f ca="1">IFERROR(__xludf.DUMMYFUNCTION("""COMPUTED_VALUE"""),"Building")</f>
        <v>Building</v>
      </c>
      <c r="D9548" s="2" t="str">
        <f ca="1">IFERROR(__xludf.DUMMYFUNCTION("""COMPUTED_VALUE"""),"Dubai&gt;Al Nahda (Dubai)&gt;Al Nahda 2&gt;Blue 3 Building")</f>
        <v>Dubai&gt;Al Nahda (Dubai)&gt;Al Nahda 2&gt;Blue 3 Building</v>
      </c>
      <c r="E9548" s="2"/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  <c r="W9548" s="2"/>
      <c r="X9548" s="2"/>
      <c r="Y9548" s="2"/>
      <c r="Z9548" s="2"/>
    </row>
    <row r="9549" spans="1:26" ht="16.5" x14ac:dyDescent="0.35">
      <c r="A9549" s="2" t="str">
        <f ca="1">IFERROR(__xludf.DUMMYFUNCTION("""COMPUTED_VALUE"""),"Dubai")</f>
        <v>Dubai</v>
      </c>
      <c r="B9549" s="2" t="str">
        <f ca="1">IFERROR(__xludf.DUMMYFUNCTION("""COMPUTED_VALUE"""),"Yassir Mir Abdulla Mir Ali Amiri Building")</f>
        <v>Yassir Mir Abdulla Mir Ali Amiri Building</v>
      </c>
      <c r="C9549" s="2" t="str">
        <f ca="1">IFERROR(__xludf.DUMMYFUNCTION("""COMPUTED_VALUE"""),"Building")</f>
        <v>Building</v>
      </c>
      <c r="D9549" s="2" t="str">
        <f ca="1">IFERROR(__xludf.DUMMYFUNCTION("""COMPUTED_VALUE"""),"Dubai&gt;Al Nahda (Dubai)&gt;Al Nahda 2&gt;Yassir Mir Abdulla Mir Ali Amiri Building")</f>
        <v>Dubai&gt;Al Nahda (Dubai)&gt;Al Nahda 2&gt;Yassir Mir Abdulla Mir Ali Amiri Building</v>
      </c>
      <c r="E9549" s="2"/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</row>
    <row r="9550" spans="1:26" ht="16.5" x14ac:dyDescent="0.35">
      <c r="A9550" s="2" t="str">
        <f ca="1">IFERROR(__xludf.DUMMYFUNCTION("""COMPUTED_VALUE"""),"Dubai")</f>
        <v>Dubai</v>
      </c>
      <c r="B9550" s="2" t="str">
        <f ca="1">IFERROR(__xludf.DUMMYFUNCTION("""COMPUTED_VALUE"""),"Redwood Montessori Nursery Jumeirah")</f>
        <v>Redwood Montessori Nursery Jumeirah</v>
      </c>
      <c r="C9550" s="2" t="str">
        <f ca="1">IFERROR(__xludf.DUMMYFUNCTION("""COMPUTED_VALUE"""),"Nursery")</f>
        <v>Nursery</v>
      </c>
      <c r="D9550" s="2" t="str">
        <f ca="1">IFERROR(__xludf.DUMMYFUNCTION("""COMPUTED_VALUE"""),"Dubai&gt;Jumeirah Park&gt;District 7&gt;Redwood Montessori Nursery Jumeirah")</f>
        <v>Dubai&gt;Jumeirah Park&gt;District 7&gt;Redwood Montessori Nursery Jumeirah</v>
      </c>
      <c r="E9550" s="2"/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</row>
    <row r="9551" spans="1:26" ht="16.5" x14ac:dyDescent="0.35">
      <c r="A9551" s="2" t="str">
        <f ca="1">IFERROR(__xludf.DUMMYFUNCTION("""COMPUTED_VALUE"""),"Dubai")</f>
        <v>Dubai</v>
      </c>
      <c r="B9551" s="2" t="str">
        <f ca="1">IFERROR(__xludf.DUMMYFUNCTION("""COMPUTED_VALUE"""),"Lagoon Views 2 Tower B")</f>
        <v>Lagoon Views 2 Tower B</v>
      </c>
      <c r="C9551" s="2" t="str">
        <f ca="1">IFERROR(__xludf.DUMMYFUNCTION("""COMPUTED_VALUE"""),"Building")</f>
        <v>Building</v>
      </c>
      <c r="D9551" s="2" t="str">
        <f ca="1">IFERROR(__xludf.DUMMYFUNCTION("""COMPUTED_VALUE"""),"Dubai&gt;DAMAC Lagoons&gt;Lagoon Views&gt;Lagoon Views 2 Tower B")</f>
        <v>Dubai&gt;DAMAC Lagoons&gt;Lagoon Views&gt;Lagoon Views 2 Tower B</v>
      </c>
      <c r="E9551" s="2"/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  <c r="W9551" s="2"/>
      <c r="X9551" s="2"/>
      <c r="Y9551" s="2"/>
      <c r="Z9551" s="2"/>
    </row>
    <row r="9552" spans="1:26" ht="16.5" x14ac:dyDescent="0.35">
      <c r="A9552" s="2" t="str">
        <f ca="1">IFERROR(__xludf.DUMMYFUNCTION("""COMPUTED_VALUE"""),"Dubai")</f>
        <v>Dubai</v>
      </c>
      <c r="B9552" s="2" t="str">
        <f ca="1">IFERROR(__xludf.DUMMYFUNCTION("""COMPUTED_VALUE"""),"44 Residence")</f>
        <v>44 Residence</v>
      </c>
      <c r="C9552" s="2" t="str">
        <f ca="1">IFERROR(__xludf.DUMMYFUNCTION("""COMPUTED_VALUE"""),"Building")</f>
        <v>Building</v>
      </c>
      <c r="D9552" s="2" t="str">
        <f ca="1">IFERROR(__xludf.DUMMYFUNCTION("""COMPUTED_VALUE"""),"Dubai&gt;Liwan 2&gt;44 Residence")</f>
        <v>Dubai&gt;Liwan 2&gt;44 Residence</v>
      </c>
      <c r="E9552" s="2"/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  <c r="W9552" s="2"/>
      <c r="X9552" s="2"/>
      <c r="Y9552" s="2"/>
      <c r="Z9552" s="2"/>
    </row>
    <row r="9553" spans="1:26" ht="16.5" x14ac:dyDescent="0.35">
      <c r="A9553" s="2" t="str">
        <f ca="1">IFERROR(__xludf.DUMMYFUNCTION("""COMPUTED_VALUE"""),"Dubai")</f>
        <v>Dubai</v>
      </c>
      <c r="B9553" s="2" t="str">
        <f ca="1">IFERROR(__xludf.DUMMYFUNCTION("""COMPUTED_VALUE"""),"MAHG 02 Building")</f>
        <v>MAHG 02 Building</v>
      </c>
      <c r="C9553" s="2" t="str">
        <f ca="1">IFERROR(__xludf.DUMMYFUNCTION("""COMPUTED_VALUE"""),"Building")</f>
        <v>Building</v>
      </c>
      <c r="D9553" s="2" t="str">
        <f ca="1">IFERROR(__xludf.DUMMYFUNCTION("""COMPUTED_VALUE"""),"Dubai&gt;Liwan 2&gt;MAHG 02 Building")</f>
        <v>Dubai&gt;Liwan 2&gt;MAHG 02 Building</v>
      </c>
      <c r="E9553" s="2"/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  <c r="W9553" s="2"/>
      <c r="X9553" s="2"/>
      <c r="Y9553" s="2"/>
      <c r="Z9553" s="2"/>
    </row>
    <row r="9554" spans="1:26" ht="16.5" x14ac:dyDescent="0.35">
      <c r="A9554" s="2" t="str">
        <f ca="1">IFERROR(__xludf.DUMMYFUNCTION("""COMPUTED_VALUE"""),"Dubai")</f>
        <v>Dubai</v>
      </c>
      <c r="B9554" s="2" t="str">
        <f ca="1">IFERROR(__xludf.DUMMYFUNCTION("""COMPUTED_VALUE"""),"Dubai Lagoon")</f>
        <v>Dubai Lagoon</v>
      </c>
      <c r="C9554" s="2" t="str">
        <f ca="1">IFERROR(__xludf.DUMMYFUNCTION("""COMPUTED_VALUE"""),"Neighbourhood")</f>
        <v>Neighbourhood</v>
      </c>
      <c r="D9554" s="2" t="str">
        <f ca="1">IFERROR(__xludf.DUMMYFUNCTION("""COMPUTED_VALUE"""),"Dubai&gt;Dubai Investment Park (DIP)&gt;Dubai Investment Park 1&gt;Dubai Lagoon")</f>
        <v>Dubai&gt;Dubai Investment Park (DIP)&gt;Dubai Investment Park 1&gt;Dubai Lagoon</v>
      </c>
      <c r="E9554" s="2"/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  <c r="W9554" s="2"/>
      <c r="X9554" s="2"/>
      <c r="Y9554" s="2"/>
      <c r="Z9554" s="2"/>
    </row>
    <row r="9555" spans="1:26" ht="16.5" x14ac:dyDescent="0.35">
      <c r="A9555" s="2" t="str">
        <f ca="1">IFERROR(__xludf.DUMMYFUNCTION("""COMPUTED_VALUE"""),"Dubai")</f>
        <v>Dubai</v>
      </c>
      <c r="B9555" s="2" t="str">
        <f ca="1">IFERROR(__xludf.DUMMYFUNCTION("""COMPUTED_VALUE"""),"City Experts Group Block B")</f>
        <v>City Experts Group Block B</v>
      </c>
      <c r="C9555" s="2" t="str">
        <f ca="1">IFERROR(__xludf.DUMMYFUNCTION("""COMPUTED_VALUE"""),"Building")</f>
        <v>Building</v>
      </c>
      <c r="D9555" s="2" t="str">
        <f ca="1">IFERROR(__xludf.DUMMYFUNCTION("""COMPUTED_VALUE"""),"Dubai&gt;Dubai Investment Park (DIP)&gt;Dubai Investment Park 1&gt;City Experts Group Labour Accommodation&gt;City Experts Group Block B")</f>
        <v>Dubai&gt;Dubai Investment Park (DIP)&gt;Dubai Investment Park 1&gt;City Experts Group Labour Accommodation&gt;City Experts Group Block B</v>
      </c>
      <c r="E9555" s="2"/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</row>
    <row r="9556" spans="1:26" ht="16.5" x14ac:dyDescent="0.35">
      <c r="A9556" s="2" t="str">
        <f ca="1">IFERROR(__xludf.DUMMYFUNCTION("""COMPUTED_VALUE"""),"Dubai")</f>
        <v>Dubai</v>
      </c>
      <c r="B9556" s="2" t="str">
        <f ca="1">IFERROR(__xludf.DUMMYFUNCTION("""COMPUTED_VALUE"""),"City Stay Residences")</f>
        <v>City Stay Residences</v>
      </c>
      <c r="C9556" s="2" t="str">
        <f ca="1">IFERROR(__xludf.DUMMYFUNCTION("""COMPUTED_VALUE"""),"Building")</f>
        <v>Building</v>
      </c>
      <c r="D9556" s="2" t="str">
        <f ca="1">IFERROR(__xludf.DUMMYFUNCTION("""COMPUTED_VALUE"""),"Dubai&gt;Dubai Investment Park (DIP)&gt;Dubai Investment Park 1&gt;City Stay Residences")</f>
        <v>Dubai&gt;Dubai Investment Park (DIP)&gt;Dubai Investment Park 1&gt;City Stay Residences</v>
      </c>
      <c r="E9556" s="2"/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</row>
    <row r="9557" spans="1:26" ht="16.5" x14ac:dyDescent="0.35">
      <c r="A9557" s="2" t="str">
        <f ca="1">IFERROR(__xludf.DUMMYFUNCTION("""COMPUTED_VALUE"""),"Dubai")</f>
        <v>Dubai</v>
      </c>
      <c r="B9557" s="2" t="str">
        <f ca="1">IFERROR(__xludf.DUMMYFUNCTION("""COMPUTED_VALUE"""),"Abar Hotel Apartments")</f>
        <v>Abar Hotel Apartments</v>
      </c>
      <c r="C9557" s="2" t="str">
        <f ca="1">IFERROR(__xludf.DUMMYFUNCTION("""COMPUTED_VALUE"""),"Building")</f>
        <v>Building</v>
      </c>
      <c r="D9557" s="2" t="str">
        <f ca="1">IFERROR(__xludf.DUMMYFUNCTION("""COMPUTED_VALUE"""),"Dubai&gt;Dubai Investment Park (DIP)&gt;Abar Hotel Apartments")</f>
        <v>Dubai&gt;Dubai Investment Park (DIP)&gt;Abar Hotel Apartments</v>
      </c>
      <c r="E9557" s="2"/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</row>
    <row r="9558" spans="1:26" ht="16.5" x14ac:dyDescent="0.35">
      <c r="A9558" s="2" t="str">
        <f ca="1">IFERROR(__xludf.DUMMYFUNCTION("""COMPUTED_VALUE"""),"Dubai")</f>
        <v>Dubai</v>
      </c>
      <c r="B9558" s="2" t="str">
        <f ca="1">IFERROR(__xludf.DUMMYFUNCTION("""COMPUTED_VALUE"""),"B16")</f>
        <v>B16</v>
      </c>
      <c r="C9558" s="2" t="str">
        <f ca="1">IFERROR(__xludf.DUMMYFUNCTION("""COMPUTED_VALUE"""),"Building")</f>
        <v>Building</v>
      </c>
      <c r="D9558" s="2" t="str">
        <f ca="1">IFERROR(__xludf.DUMMYFUNCTION("""COMPUTED_VALUE"""),"Dubai&gt;Dubai Investment Park (DIP)&gt;Dubai Investment Park 2&gt;Dunes Village&gt;B16")</f>
        <v>Dubai&gt;Dubai Investment Park (DIP)&gt;Dubai Investment Park 2&gt;Dunes Village&gt;B16</v>
      </c>
      <c r="E9558" s="2"/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</row>
    <row r="9559" spans="1:26" ht="16.5" x14ac:dyDescent="0.35">
      <c r="A9559" s="2" t="str">
        <f ca="1">IFERROR(__xludf.DUMMYFUNCTION("""COMPUTED_VALUE"""),"Dubai")</f>
        <v>Dubai</v>
      </c>
      <c r="B9559" s="2" t="str">
        <f ca="1">IFERROR(__xludf.DUMMYFUNCTION("""COMPUTED_VALUE"""),"Imperial Residence C")</f>
        <v>Imperial Residence C</v>
      </c>
      <c r="C9559" s="2" t="str">
        <f ca="1">IFERROR(__xludf.DUMMYFUNCTION("""COMPUTED_VALUE"""),"Building")</f>
        <v>Building</v>
      </c>
      <c r="D9559" s="2" t="str">
        <f ca="1">IFERROR(__xludf.DUMMYFUNCTION("""COMPUTED_VALUE"""),"Dubai&gt;Dubai Investment Park (DIP)&gt;Imperial Residences (DIP)&gt;Imperial Residence C")</f>
        <v>Dubai&gt;Dubai Investment Park (DIP)&gt;Imperial Residences (DIP)&gt;Imperial Residence C</v>
      </c>
      <c r="E9559" s="2"/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</row>
    <row r="9560" spans="1:26" ht="16.5" x14ac:dyDescent="0.35">
      <c r="A9560" s="2" t="str">
        <f ca="1">IFERROR(__xludf.DUMMYFUNCTION("""COMPUTED_VALUE"""),"Dubai")</f>
        <v>Dubai</v>
      </c>
      <c r="B9560" s="2" t="str">
        <f ca="1">IFERROR(__xludf.DUMMYFUNCTION("""COMPUTED_VALUE"""),"Selvara 2")</f>
        <v>Selvara 2</v>
      </c>
      <c r="C9560" s="2" t="str">
        <f ca="1">IFERROR(__xludf.DUMMYFUNCTION("""COMPUTED_VALUE"""),"Neighbourhood")</f>
        <v>Neighbourhood</v>
      </c>
      <c r="D9560" s="2" t="str">
        <f ca="1">IFERROR(__xludf.DUMMYFUNCTION("""COMPUTED_VALUE"""),"Dubai&gt;Dubai Investment Park (DIP)&gt;Grand Polo Club &amp; Resort&gt;Selvara 2")</f>
        <v>Dubai&gt;Dubai Investment Park (DIP)&gt;Grand Polo Club &amp; Resort&gt;Selvara 2</v>
      </c>
      <c r="E9560" s="2"/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</row>
    <row r="9561" spans="1:26" ht="16.5" x14ac:dyDescent="0.35">
      <c r="A9561" s="2" t="str">
        <f ca="1">IFERROR(__xludf.DUMMYFUNCTION("""COMPUTED_VALUE"""),"Dubai")</f>
        <v>Dubai</v>
      </c>
      <c r="B9561" s="2" t="str">
        <f ca="1">IFERROR(__xludf.DUMMYFUNCTION("""COMPUTED_VALUE"""),"Paradise View 2")</f>
        <v>Paradise View 2</v>
      </c>
      <c r="C9561" s="2" t="str">
        <f ca="1">IFERROR(__xludf.DUMMYFUNCTION("""COMPUTED_VALUE"""),"Building")</f>
        <v>Building</v>
      </c>
      <c r="D9561" s="2" t="str">
        <f ca="1">IFERROR(__xludf.DUMMYFUNCTION("""COMPUTED_VALUE"""),"Dubai&gt;Majan&gt;Paradise View 2")</f>
        <v>Dubai&gt;Majan&gt;Paradise View 2</v>
      </c>
      <c r="E9561" s="2"/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  <c r="W9561" s="2"/>
      <c r="X9561" s="2"/>
      <c r="Y9561" s="2"/>
      <c r="Z9561" s="2"/>
    </row>
    <row r="9562" spans="1:26" ht="16.5" x14ac:dyDescent="0.35">
      <c r="A9562" s="2" t="str">
        <f ca="1">IFERROR(__xludf.DUMMYFUNCTION("""COMPUTED_VALUE"""),"Dubai")</f>
        <v>Dubai</v>
      </c>
      <c r="B9562" s="2" t="str">
        <f ca="1">IFERROR(__xludf.DUMMYFUNCTION("""COMPUTED_VALUE"""),"Barari Parkview by Al Mawared")</f>
        <v>Barari Parkview by Al Mawared</v>
      </c>
      <c r="C9562" s="2" t="str">
        <f ca="1">IFERROR(__xludf.DUMMYFUNCTION("""COMPUTED_VALUE"""),"Building")</f>
        <v>Building</v>
      </c>
      <c r="D9562" s="2" t="str">
        <f ca="1">IFERROR(__xludf.DUMMYFUNCTION("""COMPUTED_VALUE"""),"Dubai&gt;Majan&gt;Barari Parkview by Al Mawared")</f>
        <v>Dubai&gt;Majan&gt;Barari Parkview by Al Mawared</v>
      </c>
      <c r="E9562" s="2"/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  <c r="W9562" s="2"/>
      <c r="X9562" s="2"/>
      <c r="Y9562" s="2"/>
      <c r="Z9562" s="2"/>
    </row>
    <row r="9563" spans="1:26" ht="16.5" x14ac:dyDescent="0.35">
      <c r="A9563" s="2" t="str">
        <f ca="1">IFERROR(__xludf.DUMMYFUNCTION("""COMPUTED_VALUE"""),"Dubai")</f>
        <v>Dubai</v>
      </c>
      <c r="B9563" s="2" t="str">
        <f ca="1">IFERROR(__xludf.DUMMYFUNCTION("""COMPUTED_VALUE"""),"Blossom 40")</f>
        <v>Blossom 40</v>
      </c>
      <c r="C9563" s="2" t="str">
        <f ca="1">IFERROR(__xludf.DUMMYFUNCTION("""COMPUTED_VALUE"""),"Building")</f>
        <v>Building</v>
      </c>
      <c r="D9563" s="2" t="str">
        <f ca="1">IFERROR(__xludf.DUMMYFUNCTION("""COMPUTED_VALUE"""),"Dubai&gt;Majan&gt;Blossom 40")</f>
        <v>Dubai&gt;Majan&gt;Blossom 40</v>
      </c>
      <c r="E9563" s="2"/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  <c r="W9563" s="2"/>
      <c r="X9563" s="2"/>
      <c r="Y9563" s="2"/>
      <c r="Z9563" s="2"/>
    </row>
    <row r="9564" spans="1:26" ht="16.5" x14ac:dyDescent="0.35">
      <c r="A9564" s="2" t="str">
        <f ca="1">IFERROR(__xludf.DUMMYFUNCTION("""COMPUTED_VALUE"""),"Dubai")</f>
        <v>Dubai</v>
      </c>
      <c r="B9564" s="2" t="str">
        <f ca="1">IFERROR(__xludf.DUMMYFUNCTION("""COMPUTED_VALUE"""),"Skyscape Aura")</f>
        <v>Skyscape Aura</v>
      </c>
      <c r="C9564" s="2" t="str">
        <f ca="1">IFERROR(__xludf.DUMMYFUNCTION("""COMPUTED_VALUE"""),"Building")</f>
        <v>Building</v>
      </c>
      <c r="D9564" s="2" t="str">
        <f ca="1">IFERROR(__xludf.DUMMYFUNCTION("""COMPUTED_VALUE"""),"Dubai&gt;Sobha Hartland 2&gt;Skyscape&gt;Skyscape Aura")</f>
        <v>Dubai&gt;Sobha Hartland 2&gt;Skyscape&gt;Skyscape Aura</v>
      </c>
      <c r="E9564" s="2"/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  <c r="W9564" s="2"/>
      <c r="X9564" s="2"/>
      <c r="Y9564" s="2"/>
      <c r="Z9564" s="2"/>
    </row>
    <row r="9565" spans="1:26" ht="16.5" x14ac:dyDescent="0.35">
      <c r="A9565" s="2" t="str">
        <f ca="1">IFERROR(__xludf.DUMMYFUNCTION("""COMPUTED_VALUE"""),"Dubai")</f>
        <v>Dubai</v>
      </c>
      <c r="B9565" s="2" t="str">
        <f ca="1">IFERROR(__xludf.DUMMYFUNCTION("""COMPUTED_VALUE"""),"Azizi Vista")</f>
        <v>Azizi Vista</v>
      </c>
      <c r="C9565" s="2" t="str">
        <f ca="1">IFERROR(__xludf.DUMMYFUNCTION("""COMPUTED_VALUE"""),"Building")</f>
        <v>Building</v>
      </c>
      <c r="D9565" s="2" t="str">
        <f ca="1">IFERROR(__xludf.DUMMYFUNCTION("""COMPUTED_VALUE"""),"Dubai&gt;Dubai Studio City&gt;Azizi Vista")</f>
        <v>Dubai&gt;Dubai Studio City&gt;Azizi Vista</v>
      </c>
      <c r="E9565" s="2"/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</row>
    <row r="9566" spans="1:26" ht="16.5" x14ac:dyDescent="0.35">
      <c r="A9566" s="2" t="str">
        <f ca="1">IFERROR(__xludf.DUMMYFUNCTION("""COMPUTED_VALUE"""),"Dubai")</f>
        <v>Dubai</v>
      </c>
      <c r="B9566" s="2" t="str">
        <f ca="1">IFERROR(__xludf.DUMMYFUNCTION("""COMPUTED_VALUE"""),"The First Collection at Dubai Studio City")</f>
        <v>The First Collection at Dubai Studio City</v>
      </c>
      <c r="C9566" s="2" t="str">
        <f ca="1">IFERROR(__xludf.DUMMYFUNCTION("""COMPUTED_VALUE"""),"Building")</f>
        <v>Building</v>
      </c>
      <c r="D9566" s="2" t="str">
        <f ca="1">IFERROR(__xludf.DUMMYFUNCTION("""COMPUTED_VALUE"""),"Dubai&gt;Dubai Studio City&gt;The First Collection at Dubai Studio City")</f>
        <v>Dubai&gt;Dubai Studio City&gt;The First Collection at Dubai Studio City</v>
      </c>
      <c r="E9566" s="2"/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</row>
    <row r="9567" spans="1:26" ht="16.5" x14ac:dyDescent="0.35">
      <c r="A9567" s="2" t="str">
        <f ca="1">IFERROR(__xludf.DUMMYFUNCTION("""COMPUTED_VALUE"""),"Dubai")</f>
        <v>Dubai</v>
      </c>
      <c r="B9567" s="2" t="str">
        <f ca="1">IFERROR(__xludf.DUMMYFUNCTION("""COMPUTED_VALUE"""),"Kensington Waters Tower B")</f>
        <v>Kensington Waters Tower B</v>
      </c>
      <c r="C9567" s="2" t="str">
        <f ca="1">IFERROR(__xludf.DUMMYFUNCTION("""COMPUTED_VALUE"""),"Building")</f>
        <v>Building</v>
      </c>
      <c r="D9567" s="2" t="str">
        <f ca="1">IFERROR(__xludf.DUMMYFUNCTION("""COMPUTED_VALUE"""),"Dubai&gt;Sobha Hartland&gt;Kensington Waters&gt;Kensington Waters Tower B")</f>
        <v>Dubai&gt;Sobha Hartland&gt;Kensington Waters&gt;Kensington Waters Tower B</v>
      </c>
      <c r="E9567" s="2"/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</row>
    <row r="9568" spans="1:26" ht="16.5" x14ac:dyDescent="0.35">
      <c r="A9568" s="2" t="str">
        <f ca="1">IFERROR(__xludf.DUMMYFUNCTION("""COMPUTED_VALUE"""),"Dubai")</f>
        <v>Dubai</v>
      </c>
      <c r="B9568" s="2" t="str">
        <f ca="1">IFERROR(__xludf.DUMMYFUNCTION("""COMPUTED_VALUE"""),"Casa Serene")</f>
        <v>Casa Serene</v>
      </c>
      <c r="C9568" s="2" t="str">
        <f ca="1">IFERROR(__xludf.DUMMYFUNCTION("""COMPUTED_VALUE"""),"Neighbourhood")</f>
        <v>Neighbourhood</v>
      </c>
      <c r="D9568" s="2" t="str">
        <f ca="1">IFERROR(__xludf.DUMMYFUNCTION("""COMPUTED_VALUE"""),"Dubai&gt;Sobha Hartland&gt;Casa Serene")</f>
        <v>Dubai&gt;Sobha Hartland&gt;Casa Serene</v>
      </c>
      <c r="E9568" s="2"/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</row>
    <row r="9569" spans="1:26" ht="16.5" x14ac:dyDescent="0.35">
      <c r="A9569" s="2" t="str">
        <f ca="1">IFERROR(__xludf.DUMMYFUNCTION("""COMPUTED_VALUE"""),"Dubai")</f>
        <v>Dubai</v>
      </c>
      <c r="B9569" s="2" t="str">
        <f ca="1">IFERROR(__xludf.DUMMYFUNCTION("""COMPUTED_VALUE"""),"Building 4A")</f>
        <v>Building 4A</v>
      </c>
      <c r="C9569" s="2" t="str">
        <f ca="1">IFERROR(__xludf.DUMMYFUNCTION("""COMPUTED_VALUE"""),"Building")</f>
        <v>Building</v>
      </c>
      <c r="D9569" s="2" t="str">
        <f ca="1">IFERROR(__xludf.DUMMYFUNCTION("""COMPUTED_VALUE"""),"Dubai&gt;Expo City&gt;Expo Village&gt;Residences 4&gt;Building 4A")</f>
        <v>Dubai&gt;Expo City&gt;Expo Village&gt;Residences 4&gt;Building 4A</v>
      </c>
      <c r="E9569" s="2"/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</row>
    <row r="9570" spans="1:26" ht="16.5" x14ac:dyDescent="0.35">
      <c r="A9570" s="2" t="str">
        <f ca="1">IFERROR(__xludf.DUMMYFUNCTION("""COMPUTED_VALUE"""),"Dubai")</f>
        <v>Dubai</v>
      </c>
      <c r="B9570" s="2" t="str">
        <f ca="1">IFERROR(__xludf.DUMMYFUNCTION("""COMPUTED_VALUE"""),"Terra Gardens Building 2")</f>
        <v>Terra Gardens Building 2</v>
      </c>
      <c r="C9570" s="2" t="str">
        <f ca="1">IFERROR(__xludf.DUMMYFUNCTION("""COMPUTED_VALUE"""),"Building")</f>
        <v>Building</v>
      </c>
      <c r="D9570" s="2" t="str">
        <f ca="1">IFERROR(__xludf.DUMMYFUNCTION("""COMPUTED_VALUE"""),"Dubai&gt;Expo City&gt;Terra Gardens&gt;Terra Gardens Building 2")</f>
        <v>Dubai&gt;Expo City&gt;Terra Gardens&gt;Terra Gardens Building 2</v>
      </c>
      <c r="E9570" s="2"/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</row>
    <row r="9571" spans="1:26" ht="16.5" x14ac:dyDescent="0.35">
      <c r="A9571" s="2" t="str">
        <f ca="1">IFERROR(__xludf.DUMMYFUNCTION("""COMPUTED_VALUE"""),"Dubai")</f>
        <v>Dubai</v>
      </c>
      <c r="B9571" s="2" t="str">
        <f ca="1">IFERROR(__xludf.DUMMYFUNCTION("""COMPUTED_VALUE"""),"Glade")</f>
        <v>Glade</v>
      </c>
      <c r="C9571" s="2" t="str">
        <f ca="1">IFERROR(__xludf.DUMMYFUNCTION("""COMPUTED_VALUE"""),"Neighbourhood")</f>
        <v>Neighbourhood</v>
      </c>
      <c r="D9571" s="2" t="str">
        <f ca="1">IFERROR(__xludf.DUMMYFUNCTION("""COMPUTED_VALUE"""),"Dubai&gt;Haven by Aldar&gt;Glade")</f>
        <v>Dubai&gt;Haven by Aldar&gt;Glade</v>
      </c>
      <c r="E9571" s="2"/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</row>
    <row r="9572" spans="1:26" ht="16.5" x14ac:dyDescent="0.35">
      <c r="A9572" s="2" t="str">
        <f ca="1">IFERROR(__xludf.DUMMYFUNCTION("""COMPUTED_VALUE"""),"Dubai")</f>
        <v>Dubai</v>
      </c>
      <c r="B9572" s="2" t="str">
        <f ca="1">IFERROR(__xludf.DUMMYFUNCTION("""COMPUTED_VALUE"""),"Olympia")</f>
        <v>Olympia</v>
      </c>
      <c r="C9572" s="2" t="str">
        <f ca="1">IFERROR(__xludf.DUMMYFUNCTION("""COMPUTED_VALUE"""),"Neighbourhood")</f>
        <v>Neighbourhood</v>
      </c>
      <c r="D9572" s="2" t="str">
        <f ca="1">IFERROR(__xludf.DUMMYFUNCTION("""COMPUTED_VALUE"""),"Dubai&gt;Athlon by Aldar&gt;Olympia")</f>
        <v>Dubai&gt;Athlon by Aldar&gt;Olympia</v>
      </c>
      <c r="E9572" s="2"/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  <c r="W9572" s="2"/>
      <c r="X9572" s="2"/>
      <c r="Y9572" s="2"/>
      <c r="Z9572" s="2"/>
    </row>
    <row r="9573" spans="1:26" ht="16.5" x14ac:dyDescent="0.35">
      <c r="A9573" s="2" t="str">
        <f ca="1">IFERROR(__xludf.DUMMYFUNCTION("""COMPUTED_VALUE"""),"Dubai")</f>
        <v>Dubai</v>
      </c>
      <c r="B9573" s="2" t="str">
        <f ca="1">IFERROR(__xludf.DUMMYFUNCTION("""COMPUTED_VALUE"""),"Cilia Building 2")</f>
        <v>Cilia Building 2</v>
      </c>
      <c r="C9573" s="2" t="str">
        <f ca="1">IFERROR(__xludf.DUMMYFUNCTION("""COMPUTED_VALUE"""),"Building")</f>
        <v>Building</v>
      </c>
      <c r="D9573" s="2" t="str">
        <f ca="1">IFERROR(__xludf.DUMMYFUNCTION("""COMPUTED_VALUE"""),"Dubai&gt;Ghaf Woods&gt;Cilia&gt;Cilia Building 2")</f>
        <v>Dubai&gt;Ghaf Woods&gt;Cilia&gt;Cilia Building 2</v>
      </c>
      <c r="E9573" s="2"/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  <c r="W9573" s="2"/>
      <c r="X9573" s="2"/>
      <c r="Y9573" s="2"/>
      <c r="Z9573" s="2"/>
    </row>
    <row r="9574" spans="1:26" ht="16.5" x14ac:dyDescent="0.35">
      <c r="A9574" s="2" t="str">
        <f ca="1">IFERROR(__xludf.DUMMYFUNCTION("""COMPUTED_VALUE"""),"Dubai")</f>
        <v>Dubai</v>
      </c>
      <c r="B9574" s="2" t="str">
        <f ca="1">IFERROR(__xludf.DUMMYFUNCTION("""COMPUTED_VALUE"""),"Bora Bora 3")</f>
        <v>Bora Bora 3</v>
      </c>
      <c r="C9574" s="2" t="str">
        <f ca="1">IFERROR(__xludf.DUMMYFUNCTION("""COMPUTED_VALUE"""),"Neighbourhood")</f>
        <v>Neighbourhood</v>
      </c>
      <c r="D9574" s="2" t="str">
        <f ca="1">IFERROR(__xludf.DUMMYFUNCTION("""COMPUTED_VALUE"""),"Dubai&gt;DAMAC Islands&gt;Bora Bora 3")</f>
        <v>Dubai&gt;DAMAC Islands&gt;Bora Bora 3</v>
      </c>
      <c r="E9574" s="2"/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  <c r="W9574" s="2"/>
      <c r="X9574" s="2"/>
      <c r="Y9574" s="2"/>
      <c r="Z9574" s="2"/>
    </row>
    <row r="9575" spans="1:26" ht="16.5" x14ac:dyDescent="0.35">
      <c r="A9575" s="2" t="str">
        <f ca="1">IFERROR(__xludf.DUMMYFUNCTION("""COMPUTED_VALUE"""),"Dubai")</f>
        <v>Dubai</v>
      </c>
      <c r="B9575" s="2" t="str">
        <f ca="1">IFERROR(__xludf.DUMMYFUNCTION("""COMPUTED_VALUE"""),"Rimal 4")</f>
        <v>Rimal 4</v>
      </c>
      <c r="C9575" s="2" t="str">
        <f ca="1">IFERROR(__xludf.DUMMYFUNCTION("""COMPUTED_VALUE"""),"Building")</f>
        <v>Building</v>
      </c>
      <c r="D9575" s="2" t="str">
        <f ca="1">IFERROR(__xludf.DUMMYFUNCTION("""COMPUTED_VALUE"""),"Dubai&gt;Jumeirah Beach Residence (JBR)&gt;Rimal&gt;Rimal 4")</f>
        <v>Dubai&gt;Jumeirah Beach Residence (JBR)&gt;Rimal&gt;Rimal 4</v>
      </c>
      <c r="E9575" s="2"/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  <c r="W9575" s="2"/>
      <c r="X9575" s="2"/>
      <c r="Y9575" s="2"/>
      <c r="Z9575" s="2"/>
    </row>
    <row r="9576" spans="1:26" ht="16.5" x14ac:dyDescent="0.35">
      <c r="A9576" s="2" t="str">
        <f ca="1">IFERROR(__xludf.DUMMYFUNCTION("""COMPUTED_VALUE"""),"Dubai")</f>
        <v>Dubai</v>
      </c>
      <c r="B9576" s="2" t="str">
        <f ca="1">IFERROR(__xludf.DUMMYFUNCTION("""COMPUTED_VALUE"""),"Bahar")</f>
        <v>Bahar</v>
      </c>
      <c r="C9576" s="2" t="str">
        <f ca="1">IFERROR(__xludf.DUMMYFUNCTION("""COMPUTED_VALUE"""),"Cluster")</f>
        <v>Cluster</v>
      </c>
      <c r="D9576" s="2" t="str">
        <f ca="1">IFERROR(__xludf.DUMMYFUNCTION("""COMPUTED_VALUE"""),"Dubai&gt;Jumeirah Beach Residence (JBR)&gt;Bahar")</f>
        <v>Dubai&gt;Jumeirah Beach Residence (JBR)&gt;Bahar</v>
      </c>
      <c r="E9576" s="2"/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</row>
    <row r="9577" spans="1:26" ht="16.5" x14ac:dyDescent="0.35">
      <c r="A9577" s="2" t="str">
        <f ca="1">IFERROR(__xludf.DUMMYFUNCTION("""COMPUTED_VALUE"""),"Dubai")</f>
        <v>Dubai</v>
      </c>
      <c r="B9577" s="2" t="str">
        <f ca="1">IFERROR(__xludf.DUMMYFUNCTION("""COMPUTED_VALUE"""),"Wynwood Horizon by Imtiaz")</f>
        <v>Wynwood Horizon by Imtiaz</v>
      </c>
      <c r="C9577" s="2" t="str">
        <f ca="1">IFERROR(__xludf.DUMMYFUNCTION("""COMPUTED_VALUE"""),"Building")</f>
        <v>Building</v>
      </c>
      <c r="D9577" s="2" t="str">
        <f ca="1">IFERROR(__xludf.DUMMYFUNCTION("""COMPUTED_VALUE"""),"Dubai&gt;Meydan Horizon&gt;Wynwood Horizon by Imtiaz")</f>
        <v>Dubai&gt;Meydan Horizon&gt;Wynwood Horizon by Imtiaz</v>
      </c>
      <c r="E9577" s="2"/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</row>
    <row r="9578" spans="1:26" ht="16.5" x14ac:dyDescent="0.35">
      <c r="A9578" s="2" t="str">
        <f ca="1">IFERROR(__xludf.DUMMYFUNCTION("""COMPUTED_VALUE"""),"Dubai")</f>
        <v>Dubai</v>
      </c>
      <c r="B9578" s="2" t="str">
        <f ca="1">IFERROR(__xludf.DUMMYFUNCTION("""COMPUTED_VALUE"""),"Block D")</f>
        <v>Block D</v>
      </c>
      <c r="C9578" s="2" t="str">
        <f ca="1">IFERROR(__xludf.DUMMYFUNCTION("""COMPUTED_VALUE"""),"Neighbourhood")</f>
        <v>Neighbourhood</v>
      </c>
      <c r="D9578" s="2" t="str">
        <f ca="1">IFERROR(__xludf.DUMMYFUNCTION("""COMPUTED_VALUE"""),"Dubai&gt;Al Wasl&gt;Dar Wasl&gt;Block D")</f>
        <v>Dubai&gt;Al Wasl&gt;Dar Wasl&gt;Block D</v>
      </c>
      <c r="E9578" s="2"/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</row>
    <row r="9579" spans="1:26" ht="16.5" x14ac:dyDescent="0.35">
      <c r="A9579" s="2" t="str">
        <f ca="1">IFERROR(__xludf.DUMMYFUNCTION("""COMPUTED_VALUE"""),"Dubai")</f>
        <v>Dubai</v>
      </c>
      <c r="B9579" s="2" t="str">
        <f ca="1">IFERROR(__xludf.DUMMYFUNCTION("""COMPUTED_VALUE"""),"Celadon")</f>
        <v>Celadon</v>
      </c>
      <c r="C9579" s="2" t="str">
        <f ca="1">IFERROR(__xludf.DUMMYFUNCTION("""COMPUTED_VALUE"""),"Cluster")</f>
        <v>Cluster</v>
      </c>
      <c r="D9579" s="2" t="str">
        <f ca="1">IFERROR(__xludf.DUMMYFUNCTION("""COMPUTED_VALUE"""),"Dubai&gt;Al Wasl&gt;City Walk&gt;Central Park&gt;Celadon")</f>
        <v>Dubai&gt;Al Wasl&gt;City Walk&gt;Central Park&gt;Celadon</v>
      </c>
      <c r="E9579" s="2"/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</row>
    <row r="9580" spans="1:26" ht="16.5" x14ac:dyDescent="0.35">
      <c r="A9580" s="2" t="str">
        <f ca="1">IFERROR(__xludf.DUMMYFUNCTION("""COMPUTED_VALUE"""),"Dubai")</f>
        <v>Dubai</v>
      </c>
      <c r="B9580" s="2" t="str">
        <f ca="1">IFERROR(__xludf.DUMMYFUNCTION("""COMPUTED_VALUE"""),"Verve Tower A")</f>
        <v>Verve Tower A</v>
      </c>
      <c r="C9580" s="2" t="str">
        <f ca="1">IFERROR(__xludf.DUMMYFUNCTION("""COMPUTED_VALUE"""),"Building")</f>
        <v>Building</v>
      </c>
      <c r="D9580" s="2" t="str">
        <f ca="1">IFERROR(__xludf.DUMMYFUNCTION("""COMPUTED_VALUE"""),"Dubai&gt;Al Wasl&gt;City Walk&gt;Verve&gt;Verve Tower A")</f>
        <v>Dubai&gt;Al Wasl&gt;City Walk&gt;Verve&gt;Verve Tower A</v>
      </c>
      <c r="E9580" s="2"/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</row>
    <row r="9581" spans="1:26" ht="16.5" x14ac:dyDescent="0.35">
      <c r="A9581" s="2" t="str">
        <f ca="1">IFERROR(__xludf.DUMMYFUNCTION("""COMPUTED_VALUE"""),"Dubai")</f>
        <v>Dubai</v>
      </c>
      <c r="B9581" s="2" t="str">
        <f ca="1">IFERROR(__xludf.DUMMYFUNCTION("""COMPUTED_VALUE"""),"Safa One Podium")</f>
        <v>Safa One Podium</v>
      </c>
      <c r="C9581" s="2" t="str">
        <f ca="1">IFERROR(__xludf.DUMMYFUNCTION("""COMPUTED_VALUE"""),"Building")</f>
        <v>Building</v>
      </c>
      <c r="D9581" s="2" t="str">
        <f ca="1">IFERROR(__xludf.DUMMYFUNCTION("""COMPUTED_VALUE"""),"Dubai&gt;Al Wasl&gt;Safa One by De Grisogono&gt;Safa One Podium")</f>
        <v>Dubai&gt;Al Wasl&gt;Safa One by De Grisogono&gt;Safa One Podium</v>
      </c>
      <c r="E9581" s="2"/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</row>
    <row r="9582" spans="1:26" ht="16.5" x14ac:dyDescent="0.35">
      <c r="A9582" s="2" t="str">
        <f ca="1">IFERROR(__xludf.DUMMYFUNCTION("""COMPUTED_VALUE"""),"Dubai")</f>
        <v>Dubai</v>
      </c>
      <c r="B9582" s="2" t="str">
        <f ca="1">IFERROR(__xludf.DUMMYFUNCTION("""COMPUTED_VALUE"""),"Resortz Residence Block 2")</f>
        <v>Resortz Residence Block 2</v>
      </c>
      <c r="C9582" s="2" t="str">
        <f ca="1">IFERROR(__xludf.DUMMYFUNCTION("""COMPUTED_VALUE"""),"Building")</f>
        <v>Building</v>
      </c>
      <c r="D9582" s="2" t="str">
        <f ca="1">IFERROR(__xludf.DUMMYFUNCTION("""COMPUTED_VALUE"""),"Dubai&gt;Arjan&gt;Resortz by Danube&gt;Resortz Residence Block 2")</f>
        <v>Dubai&gt;Arjan&gt;Resortz by Danube&gt;Resortz Residence Block 2</v>
      </c>
      <c r="E9582" s="2"/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</row>
    <row r="9583" spans="1:26" ht="16.5" x14ac:dyDescent="0.35">
      <c r="A9583" s="2" t="str">
        <f ca="1">IFERROR(__xludf.DUMMYFUNCTION("""COMPUTED_VALUE"""),"Dubai")</f>
        <v>Dubai</v>
      </c>
      <c r="B9583" s="2" t="str">
        <f ca="1">IFERROR(__xludf.DUMMYFUNCTION("""COMPUTED_VALUE"""),"Evershine Gardens")</f>
        <v>Evershine Gardens</v>
      </c>
      <c r="C9583" s="2" t="str">
        <f ca="1">IFERROR(__xludf.DUMMYFUNCTION("""COMPUTED_VALUE"""),"Building")</f>
        <v>Building</v>
      </c>
      <c r="D9583" s="2" t="str">
        <f ca="1">IFERROR(__xludf.DUMMYFUNCTION("""COMPUTED_VALUE"""),"Dubai&gt;Arjan&gt;Evershine Gardens")</f>
        <v>Dubai&gt;Arjan&gt;Evershine Gardens</v>
      </c>
      <c r="E9583" s="2"/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  <c r="W9583" s="2"/>
      <c r="X9583" s="2"/>
      <c r="Y9583" s="2"/>
      <c r="Z9583" s="2"/>
    </row>
    <row r="9584" spans="1:26" ht="16.5" x14ac:dyDescent="0.35">
      <c r="A9584" s="2" t="str">
        <f ca="1">IFERROR(__xludf.DUMMYFUNCTION("""COMPUTED_VALUE"""),"Dubai")</f>
        <v>Dubai</v>
      </c>
      <c r="B9584" s="2" t="str">
        <f ca="1">IFERROR(__xludf.DUMMYFUNCTION("""COMPUTED_VALUE"""),"Lincoln Park Westside")</f>
        <v>Lincoln Park Westside</v>
      </c>
      <c r="C9584" s="2" t="str">
        <f ca="1">IFERROR(__xludf.DUMMYFUNCTION("""COMPUTED_VALUE"""),"Building")</f>
        <v>Building</v>
      </c>
      <c r="D9584" s="2" t="str">
        <f ca="1">IFERROR(__xludf.DUMMYFUNCTION("""COMPUTED_VALUE"""),"Dubai&gt;Arjan&gt;Lincoln Park&gt;Lincoln Park Westside")</f>
        <v>Dubai&gt;Arjan&gt;Lincoln Park&gt;Lincoln Park Westside</v>
      </c>
      <c r="E9584" s="2"/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  <c r="W9584" s="2"/>
      <c r="X9584" s="2"/>
      <c r="Y9584" s="2"/>
      <c r="Z9584" s="2"/>
    </row>
    <row r="9585" spans="1:26" ht="16.5" x14ac:dyDescent="0.35">
      <c r="A9585" s="2" t="str">
        <f ca="1">IFERROR(__xludf.DUMMYFUNCTION("""COMPUTED_VALUE"""),"Dubai")</f>
        <v>Dubai</v>
      </c>
      <c r="B9585" s="2" t="str">
        <f ca="1">IFERROR(__xludf.DUMMYFUNCTION("""COMPUTED_VALUE"""),"Torino by ORO24 Building 1")</f>
        <v>Torino by ORO24 Building 1</v>
      </c>
      <c r="C9585" s="2" t="str">
        <f ca="1">IFERROR(__xludf.DUMMYFUNCTION("""COMPUTED_VALUE"""),"Building")</f>
        <v>Building</v>
      </c>
      <c r="D9585" s="2" t="str">
        <f ca="1">IFERROR(__xludf.DUMMYFUNCTION("""COMPUTED_VALUE"""),"Dubai&gt;Arjan&gt;Torino by ORO24&gt;Torino by ORO24 Building 1")</f>
        <v>Dubai&gt;Arjan&gt;Torino by ORO24&gt;Torino by ORO24 Building 1</v>
      </c>
      <c r="E9585" s="2"/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</row>
    <row r="9586" spans="1:26" ht="16.5" x14ac:dyDescent="0.35">
      <c r="A9586" s="2" t="str">
        <f ca="1">IFERROR(__xludf.DUMMYFUNCTION("""COMPUTED_VALUE"""),"Dubai")</f>
        <v>Dubai</v>
      </c>
      <c r="B9586" s="2" t="str">
        <f ca="1">IFERROR(__xludf.DUMMYFUNCTION("""COMPUTED_VALUE"""),"Arbor View")</f>
        <v>Arbor View</v>
      </c>
      <c r="C9586" s="2" t="str">
        <f ca="1">IFERROR(__xludf.DUMMYFUNCTION("""COMPUTED_VALUE"""),"Building")</f>
        <v>Building</v>
      </c>
      <c r="D9586" s="2" t="str">
        <f ca="1">IFERROR(__xludf.DUMMYFUNCTION("""COMPUTED_VALUE"""),"Dubai&gt;Arjan&gt;Arbor View")</f>
        <v>Dubai&gt;Arjan&gt;Arbor View</v>
      </c>
      <c r="E9586" s="2"/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</row>
    <row r="9587" spans="1:26" ht="16.5" x14ac:dyDescent="0.35">
      <c r="A9587" s="2" t="str">
        <f ca="1">IFERROR(__xludf.DUMMYFUNCTION("""COMPUTED_VALUE"""),"Dubai")</f>
        <v>Dubai</v>
      </c>
      <c r="B9587" s="2" t="str">
        <f ca="1">IFERROR(__xludf.DUMMYFUNCTION("""COMPUTED_VALUE"""),"Avelon Boulevard")</f>
        <v>Avelon Boulevard</v>
      </c>
      <c r="C9587" s="2" t="str">
        <f ca="1">IFERROR(__xludf.DUMMYFUNCTION("""COMPUTED_VALUE"""),"Building")</f>
        <v>Building</v>
      </c>
      <c r="D9587" s="2" t="str">
        <f ca="1">IFERROR(__xludf.DUMMYFUNCTION("""COMPUTED_VALUE"""),"Dubai&gt;Arjan&gt;Avelon Boulevard")</f>
        <v>Dubai&gt;Arjan&gt;Avelon Boulevard</v>
      </c>
      <c r="E9587" s="2"/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</row>
    <row r="9588" spans="1:26" ht="16.5" x14ac:dyDescent="0.35">
      <c r="A9588" s="2" t="str">
        <f ca="1">IFERROR(__xludf.DUMMYFUNCTION("""COMPUTED_VALUE"""),"Dubai")</f>
        <v>Dubai</v>
      </c>
      <c r="B9588" s="2" t="str">
        <f ca="1">IFERROR(__xludf.DUMMYFUNCTION("""COMPUTED_VALUE"""),"Mimoza Building")</f>
        <v>Mimoza Building</v>
      </c>
      <c r="C9588" s="2" t="str">
        <f ca="1">IFERROR(__xludf.DUMMYFUNCTION("""COMPUTED_VALUE"""),"Building")</f>
        <v>Building</v>
      </c>
      <c r="D9588" s="2" t="str">
        <f ca="1">IFERROR(__xludf.DUMMYFUNCTION("""COMPUTED_VALUE"""),"Dubai&gt;Arjan&gt;Mimoza Building")</f>
        <v>Dubai&gt;Arjan&gt;Mimoza Building</v>
      </c>
      <c r="E9588" s="2"/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</row>
    <row r="9589" spans="1:26" ht="16.5" x14ac:dyDescent="0.35">
      <c r="A9589" s="2" t="str">
        <f ca="1">IFERROR(__xludf.DUMMYFUNCTION("""COMPUTED_VALUE"""),"Dubai")</f>
        <v>Dubai</v>
      </c>
      <c r="B9589" s="2" t="str">
        <f ca="1">IFERROR(__xludf.DUMMYFUNCTION("""COMPUTED_VALUE"""),"Al Hala Complex")</f>
        <v>Al Hala Complex</v>
      </c>
      <c r="C9589" s="2" t="str">
        <f ca="1">IFERROR(__xludf.DUMMYFUNCTION("""COMPUTED_VALUE"""),"Neighbourhood")</f>
        <v>Neighbourhood</v>
      </c>
      <c r="D9589" s="2" t="str">
        <f ca="1">IFERROR(__xludf.DUMMYFUNCTION("""COMPUTED_VALUE"""),"Dubai&gt;Al Safa&gt;Al Safa 1&gt;Al Hala Complex")</f>
        <v>Dubai&gt;Al Safa&gt;Al Safa 1&gt;Al Hala Complex</v>
      </c>
      <c r="E9589" s="2"/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</row>
    <row r="9590" spans="1:26" ht="16.5" x14ac:dyDescent="0.35">
      <c r="A9590" s="2" t="str">
        <f ca="1">IFERROR(__xludf.DUMMYFUNCTION("""COMPUTED_VALUE"""),"Abu Dhabi")</f>
        <v>Abu Dhabi</v>
      </c>
      <c r="B9590" s="2" t="str">
        <f ca="1">IFERROR(__xludf.DUMMYFUNCTION("""COMPUTED_VALUE"""),"The Pearl Academy, Abu Dhabi")</f>
        <v>The Pearl Academy, Abu Dhabi</v>
      </c>
      <c r="C9590" s="2" t="str">
        <f ca="1">IFERROR(__xludf.DUMMYFUNCTION("""COMPUTED_VALUE"""),"School")</f>
        <v>School</v>
      </c>
      <c r="D9590" s="2" t="str">
        <f ca="1">IFERROR(__xludf.DUMMYFUNCTION("""COMPUTED_VALUE"""),"Abu Dhabi&gt;Al Dhafrah&gt;The Pearl Academy, Abu Dhabi")</f>
        <v>Abu Dhabi&gt;Al Dhafrah&gt;The Pearl Academy, Abu Dhabi</v>
      </c>
      <c r="E9590" s="2"/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</row>
    <row r="9591" spans="1:26" ht="16.5" x14ac:dyDescent="0.35">
      <c r="A9591" s="2" t="str">
        <f ca="1">IFERROR(__xludf.DUMMYFUNCTION("""COMPUTED_VALUE"""),"Abu Dhabi")</f>
        <v>Abu Dhabi</v>
      </c>
      <c r="B9591" s="2" t="str">
        <f ca="1">IFERROR(__xludf.DUMMYFUNCTION("""COMPUTED_VALUE"""),"Al Bateen")</f>
        <v>Al Bateen</v>
      </c>
      <c r="C9591" s="2" t="str">
        <f ca="1">IFERROR(__xludf.DUMMYFUNCTION("""COMPUTED_VALUE"""),"Neighbourhood")</f>
        <v>Neighbourhood</v>
      </c>
      <c r="D9591" s="2" t="str">
        <f ca="1">IFERROR(__xludf.DUMMYFUNCTION("""COMPUTED_VALUE"""),"Abu Dhabi&gt;Al Bateen")</f>
        <v>Abu Dhabi&gt;Al Bateen</v>
      </c>
      <c r="E9591" s="2"/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  <c r="W9591" s="2"/>
      <c r="X9591" s="2"/>
      <c r="Y9591" s="2"/>
      <c r="Z9591" s="2"/>
    </row>
    <row r="9592" spans="1:26" ht="16.5" x14ac:dyDescent="0.35">
      <c r="A9592" s="2" t="str">
        <f ca="1">IFERROR(__xludf.DUMMYFUNCTION("""COMPUTED_VALUE"""),"Abu Dhabi")</f>
        <v>Abu Dhabi</v>
      </c>
      <c r="B9592" s="2" t="str">
        <f ca="1">IFERROR(__xludf.DUMMYFUNCTION("""COMPUTED_VALUE"""),"Al Wahda Residential Tower")</f>
        <v>Al Wahda Residential Tower</v>
      </c>
      <c r="C9592" s="2" t="str">
        <f ca="1">IFERROR(__xludf.DUMMYFUNCTION("""COMPUTED_VALUE"""),"Building")</f>
        <v>Building</v>
      </c>
      <c r="D9592" s="2" t="str">
        <f ca="1">IFERROR(__xludf.DUMMYFUNCTION("""COMPUTED_VALUE"""),"Abu Dhabi&gt;Al Wahdah&gt;Al Wahda Residential Tower")</f>
        <v>Abu Dhabi&gt;Al Wahdah&gt;Al Wahda Residential Tower</v>
      </c>
      <c r="E9592" s="2"/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</row>
    <row r="9593" spans="1:26" ht="16.5" x14ac:dyDescent="0.35">
      <c r="A9593" s="2" t="str">
        <f ca="1">IFERROR(__xludf.DUMMYFUNCTION("""COMPUTED_VALUE"""),"Abu Dhabi")</f>
        <v>Abu Dhabi</v>
      </c>
      <c r="B9593" s="2" t="str">
        <f ca="1">IFERROR(__xludf.DUMMYFUNCTION("""COMPUTED_VALUE"""),"ADCP Building")</f>
        <v>ADCP Building</v>
      </c>
      <c r="C9593" s="2" t="str">
        <f ca="1">IFERROR(__xludf.DUMMYFUNCTION("""COMPUTED_VALUE"""),"Building")</f>
        <v>Building</v>
      </c>
      <c r="D9593" s="2" t="str">
        <f ca="1">IFERROR(__xludf.DUMMYFUNCTION("""COMPUTED_VALUE"""),"Abu Dhabi&gt;Tourist Club Area (TCA)&gt;ADCP Building")</f>
        <v>Abu Dhabi&gt;Tourist Club Area (TCA)&gt;ADCP Building</v>
      </c>
      <c r="E9593" s="2"/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  <c r="W9593" s="2"/>
      <c r="X9593" s="2"/>
      <c r="Y9593" s="2"/>
      <c r="Z9593" s="2"/>
    </row>
    <row r="9594" spans="1:26" ht="16.5" x14ac:dyDescent="0.35">
      <c r="A9594" s="2" t="str">
        <f ca="1">IFERROR(__xludf.DUMMYFUNCTION("""COMPUTED_VALUE"""),"Abu Dhabi")</f>
        <v>Abu Dhabi</v>
      </c>
      <c r="B9594" s="2" t="str">
        <f ca="1">IFERROR(__xludf.DUMMYFUNCTION("""COMPUTED_VALUE"""),"Asian International Private School, Madinat Zayed")</f>
        <v>Asian International Private School, Madinat Zayed</v>
      </c>
      <c r="C9594" s="2" t="str">
        <f ca="1">IFERROR(__xludf.DUMMYFUNCTION("""COMPUTED_VALUE"""),"School")</f>
        <v>School</v>
      </c>
      <c r="D9594" s="2" t="str">
        <f ca="1">IFERROR(__xludf.DUMMYFUNCTION("""COMPUTED_VALUE"""),"Abu Dhabi&gt;Madinat Zayed Western Region&gt;Asian International Private School, Madinat Zayed")</f>
        <v>Abu Dhabi&gt;Madinat Zayed Western Region&gt;Asian International Private School, Madinat Zayed</v>
      </c>
      <c r="E9594" s="2"/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</row>
    <row r="9595" spans="1:26" ht="16.5" x14ac:dyDescent="0.35">
      <c r="A9595" s="2" t="str">
        <f ca="1">IFERROR(__xludf.DUMMYFUNCTION("""COMPUTED_VALUE"""),"Abu Dhabi")</f>
        <v>Abu Dhabi</v>
      </c>
      <c r="B9595" s="2" t="str">
        <f ca="1">IFERROR(__xludf.DUMMYFUNCTION("""COMPUTED_VALUE"""),"Badya")</f>
        <v>Badya</v>
      </c>
      <c r="C9595" s="2" t="str">
        <f ca="1">IFERROR(__xludf.DUMMYFUNCTION("""COMPUTED_VALUE"""),"Neighbourhood")</f>
        <v>Neighbourhood</v>
      </c>
      <c r="D9595" s="2" t="str">
        <f ca="1">IFERROR(__xludf.DUMMYFUNCTION("""COMPUTED_VALUE"""),"Abu Dhabi&gt;Al Jurf&gt;Al Jurf Gardens&gt;Badya")</f>
        <v>Abu Dhabi&gt;Al Jurf&gt;Al Jurf Gardens&gt;Badya</v>
      </c>
      <c r="E9595" s="2"/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</row>
    <row r="9596" spans="1:26" ht="16.5" x14ac:dyDescent="0.35">
      <c r="A9596" s="2" t="str">
        <f ca="1">IFERROR(__xludf.DUMMYFUNCTION("""COMPUTED_VALUE"""),"Abu Dhabi")</f>
        <v>Abu Dhabi</v>
      </c>
      <c r="B9596" s="2" t="str">
        <f ca="1">IFERROR(__xludf.DUMMYFUNCTION("""COMPUTED_VALUE"""),"Meera MAAM Residence")</f>
        <v>Meera MAAM Residence</v>
      </c>
      <c r="C9596" s="2" t="str">
        <f ca="1">IFERROR(__xludf.DUMMYFUNCTION("""COMPUTED_VALUE"""),"Building")</f>
        <v>Building</v>
      </c>
      <c r="D9596" s="2" t="str">
        <f ca="1">IFERROR(__xludf.DUMMYFUNCTION("""COMPUTED_VALUE"""),"Abu Dhabi&gt;Corniche Area&gt;Meera MAAM Residence")</f>
        <v>Abu Dhabi&gt;Corniche Area&gt;Meera MAAM Residence</v>
      </c>
      <c r="E9596" s="2"/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</row>
    <row r="9597" spans="1:26" ht="16.5" x14ac:dyDescent="0.35">
      <c r="A9597" s="2" t="str">
        <f ca="1">IFERROR(__xludf.DUMMYFUNCTION("""COMPUTED_VALUE"""),"Abu Dhabi")</f>
        <v>Abu Dhabi</v>
      </c>
      <c r="B9597" s="2" t="str">
        <f ca="1">IFERROR(__xludf.DUMMYFUNCTION("""COMPUTED_VALUE"""),"Al Hilal Building")</f>
        <v>Al Hilal Building</v>
      </c>
      <c r="C9597" s="2"/>
      <c r="D9597" s="2" t="str">
        <f ca="1">IFERROR(__xludf.DUMMYFUNCTION("""COMPUTED_VALUE"""),"Abu Dhabi&gt;Al Falah Street&gt;Al Hilal Building")</f>
        <v>Abu Dhabi&gt;Al Falah Street&gt;Al Hilal Building</v>
      </c>
      <c r="E9597" s="2"/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</row>
    <row r="9598" spans="1:26" ht="16.5" x14ac:dyDescent="0.35">
      <c r="A9598" s="2" t="str">
        <f ca="1">IFERROR(__xludf.DUMMYFUNCTION("""COMPUTED_VALUE"""),"Abu Dhabi")</f>
        <v>Abu Dhabi</v>
      </c>
      <c r="B9598" s="2" t="str">
        <f ca="1">IFERROR(__xludf.DUMMYFUNCTION("""COMPUTED_VALUE"""),"Park Rotana")</f>
        <v>Park Rotana</v>
      </c>
      <c r="C9598" s="2" t="str">
        <f ca="1">IFERROR(__xludf.DUMMYFUNCTION("""COMPUTED_VALUE"""),"Building")</f>
        <v>Building</v>
      </c>
      <c r="D9598" s="2" t="str">
        <f ca="1">IFERROR(__xludf.DUMMYFUNCTION("""COMPUTED_VALUE"""),"Abu Dhabi&gt;Eastern Road&gt;Khalifa Park&gt;Park Rotana")</f>
        <v>Abu Dhabi&gt;Eastern Road&gt;Khalifa Park&gt;Park Rotana</v>
      </c>
      <c r="E9598" s="2"/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</row>
    <row r="9599" spans="1:26" ht="16.5" x14ac:dyDescent="0.35">
      <c r="A9599" s="2" t="str">
        <f ca="1">IFERROR(__xludf.DUMMYFUNCTION("""COMPUTED_VALUE"""),"Abu Dhabi")</f>
        <v>Abu Dhabi</v>
      </c>
      <c r="B9599" s="2" t="str">
        <f ca="1">IFERROR(__xludf.DUMMYFUNCTION("""COMPUTED_VALUE"""),"The Diamond Tower")</f>
        <v>The Diamond Tower</v>
      </c>
      <c r="C9599" s="2"/>
      <c r="D9599" s="2" t="str">
        <f ca="1">IFERROR(__xludf.DUMMYFUNCTION("""COMPUTED_VALUE"""),"Abu Dhabi&gt;Madinat Zayed&gt;The Diamond Tower")</f>
        <v>Abu Dhabi&gt;Madinat Zayed&gt;The Diamond Tower</v>
      </c>
      <c r="E9599" s="2"/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</row>
    <row r="9600" spans="1:26" ht="16.5" x14ac:dyDescent="0.35">
      <c r="A9600" s="2" t="str">
        <f ca="1">IFERROR(__xludf.DUMMYFUNCTION("""COMPUTED_VALUE"""),"Abu Dhabi")</f>
        <v>Abu Dhabi</v>
      </c>
      <c r="B9600" s="2" t="str">
        <f ca="1">IFERROR(__xludf.DUMMYFUNCTION("""COMPUTED_VALUE"""),"Al Manaseer")</f>
        <v>Al Manaseer</v>
      </c>
      <c r="C9600" s="2" t="str">
        <f ca="1">IFERROR(__xludf.DUMMYFUNCTION("""COMPUTED_VALUE"""),"Neighbourhood")</f>
        <v>Neighbourhood</v>
      </c>
      <c r="D9600" s="2" t="str">
        <f ca="1">IFERROR(__xludf.DUMMYFUNCTION("""COMPUTED_VALUE"""),"Abu Dhabi&gt;Al Manaseer")</f>
        <v>Abu Dhabi&gt;Al Manaseer</v>
      </c>
      <c r="E9600" s="2"/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</row>
    <row r="9601" spans="1:26" ht="16.5" x14ac:dyDescent="0.35">
      <c r="A9601" s="2" t="str">
        <f ca="1">IFERROR(__xludf.DUMMYFUNCTION("""COMPUTED_VALUE"""),"Abu Dhabi")</f>
        <v>Abu Dhabi</v>
      </c>
      <c r="B9601" s="2" t="str">
        <f ca="1">IFERROR(__xludf.DUMMYFUNCTION("""COMPUTED_VALUE"""),"MSH8")</f>
        <v>MSH8</v>
      </c>
      <c r="C9601" s="2" t="str">
        <f ca="1">IFERROR(__xludf.DUMMYFUNCTION("""COMPUTED_VALUE"""),"Neighbourhood")</f>
        <v>Neighbourhood</v>
      </c>
      <c r="D9601" s="2" t="str">
        <f ca="1">IFERROR(__xludf.DUMMYFUNCTION("""COMPUTED_VALUE"""),"Abu Dhabi&gt;Shakhbout City&gt;MSH8")</f>
        <v>Abu Dhabi&gt;Shakhbout City&gt;MSH8</v>
      </c>
      <c r="E9601" s="2"/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</row>
    <row r="9602" spans="1:26" ht="16.5" x14ac:dyDescent="0.35">
      <c r="A9602" s="2" t="str">
        <f ca="1">IFERROR(__xludf.DUMMYFUNCTION("""COMPUTED_VALUE"""),"Abu Dhabi")</f>
        <v>Abu Dhabi</v>
      </c>
      <c r="B9602" s="2" t="str">
        <f ca="1">IFERROR(__xludf.DUMMYFUNCTION("""COMPUTED_VALUE"""),"MSH40")</f>
        <v>MSH40</v>
      </c>
      <c r="C9602" s="2" t="str">
        <f ca="1">IFERROR(__xludf.DUMMYFUNCTION("""COMPUTED_VALUE"""),"Neighbourhood")</f>
        <v>Neighbourhood</v>
      </c>
      <c r="D9602" s="2" t="str">
        <f ca="1">IFERROR(__xludf.DUMMYFUNCTION("""COMPUTED_VALUE"""),"Abu Dhabi&gt;Shakhbout City&gt;MSH40")</f>
        <v>Abu Dhabi&gt;Shakhbout City&gt;MSH40</v>
      </c>
      <c r="E9602" s="2"/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  <c r="W9602" s="2"/>
      <c r="X9602" s="2"/>
      <c r="Y9602" s="2"/>
      <c r="Z9602" s="2"/>
    </row>
    <row r="9603" spans="1:26" ht="16.5" x14ac:dyDescent="0.35">
      <c r="A9603" s="2" t="str">
        <f ca="1">IFERROR(__xludf.DUMMYFUNCTION("""COMPUTED_VALUE"""),"Abu Dhabi")</f>
        <v>Abu Dhabi</v>
      </c>
      <c r="B9603" s="2" t="str">
        <f ca="1">IFERROR(__xludf.DUMMYFUNCTION("""COMPUTED_VALUE"""),"Jawazat Street")</f>
        <v>Jawazat Street</v>
      </c>
      <c r="C9603" s="2"/>
      <c r="D9603" s="2" t="str">
        <f ca="1">IFERROR(__xludf.DUMMYFUNCTION("""COMPUTED_VALUE"""),"Abu Dhabi&gt;Jawazat Street")</f>
        <v>Abu Dhabi&gt;Jawazat Street</v>
      </c>
      <c r="E9603" s="2"/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  <c r="W9603" s="2"/>
      <c r="X9603" s="2"/>
      <c r="Y9603" s="2"/>
      <c r="Z9603" s="2"/>
    </row>
    <row r="9604" spans="1:26" ht="16.5" x14ac:dyDescent="0.35">
      <c r="A9604" s="2" t="str">
        <f ca="1">IFERROR(__xludf.DUMMYFUNCTION("""COMPUTED_VALUE"""),"Abu Dhabi")</f>
        <v>Abu Dhabi</v>
      </c>
      <c r="B9604" s="2" t="str">
        <f ca="1">IFERROR(__xludf.DUMMYFUNCTION("""COMPUTED_VALUE"""),"Eastern Mangrove Promenade 2")</f>
        <v>Eastern Mangrove Promenade 2</v>
      </c>
      <c r="C9604" s="2" t="str">
        <f ca="1">IFERROR(__xludf.DUMMYFUNCTION("""COMPUTED_VALUE"""),"Building")</f>
        <v>Building</v>
      </c>
      <c r="D9604" s="2" t="str">
        <f ca="1">IFERROR(__xludf.DUMMYFUNCTION("""COMPUTED_VALUE"""),"Abu Dhabi&gt;Al Zahraa&gt;Eastern Mangroves Complex&gt;Eastern Mangrove Promenade 2")</f>
        <v>Abu Dhabi&gt;Al Zahraa&gt;Eastern Mangroves Complex&gt;Eastern Mangrove Promenade 2</v>
      </c>
      <c r="E9604" s="2"/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</row>
    <row r="9605" spans="1:26" ht="16.5" x14ac:dyDescent="0.35">
      <c r="A9605" s="2" t="str">
        <f ca="1">IFERROR(__xludf.DUMMYFUNCTION("""COMPUTED_VALUE"""),"Abu Dhabi")</f>
        <v>Abu Dhabi</v>
      </c>
      <c r="B9605" s="2" t="str">
        <f ca="1">IFERROR(__xludf.DUMMYFUNCTION("""COMPUTED_VALUE"""),"Al Taweelah")</f>
        <v>Al Taweelah</v>
      </c>
      <c r="C9605" s="2" t="str">
        <f ca="1">IFERROR(__xludf.DUMMYFUNCTION("""COMPUTED_VALUE"""),"Neighbourhood")</f>
        <v>Neighbourhood</v>
      </c>
      <c r="D9605" s="2" t="str">
        <f ca="1">IFERROR(__xludf.DUMMYFUNCTION("""COMPUTED_VALUE"""),"Abu Dhabi&gt;Al Taweelah")</f>
        <v>Abu Dhabi&gt;Al Taweelah</v>
      </c>
      <c r="E9605" s="2"/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</row>
    <row r="9606" spans="1:26" ht="16.5" x14ac:dyDescent="0.35">
      <c r="A9606" s="2" t="str">
        <f ca="1">IFERROR(__xludf.DUMMYFUNCTION("""COMPUTED_VALUE"""),"Abu Dhabi")</f>
        <v>Abu Dhabi</v>
      </c>
      <c r="B9606" s="2" t="str">
        <f ca="1">IFERROR(__xludf.DUMMYFUNCTION("""COMPUTED_VALUE"""),"Fahid Beach Residences")</f>
        <v>Fahid Beach Residences</v>
      </c>
      <c r="C9606" s="2" t="str">
        <f ca="1">IFERROR(__xludf.DUMMYFUNCTION("""COMPUTED_VALUE"""),"Cluster")</f>
        <v>Cluster</v>
      </c>
      <c r="D9606" s="2" t="str">
        <f ca="1">IFERROR(__xludf.DUMMYFUNCTION("""COMPUTED_VALUE"""),"Abu Dhabi&gt;Fahid Island&gt;Fahid Beach Residences")</f>
        <v>Abu Dhabi&gt;Fahid Island&gt;Fahid Beach Residences</v>
      </c>
      <c r="E9606" s="2"/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</row>
    <row r="9607" spans="1:26" ht="16.5" x14ac:dyDescent="0.35">
      <c r="A9607" s="2" t="str">
        <f ca="1">IFERROR(__xludf.DUMMYFUNCTION("""COMPUTED_VALUE"""),"Abu Dhabi")</f>
        <v>Abu Dhabi</v>
      </c>
      <c r="B9607" s="2" t="str">
        <f ca="1">IFERROR(__xludf.DUMMYFUNCTION("""COMPUTED_VALUE"""),"Radiant Garden Towers")</f>
        <v>Radiant Garden Towers</v>
      </c>
      <c r="C9607" s="2" t="str">
        <f ca="1">IFERROR(__xludf.DUMMYFUNCTION("""COMPUTED_VALUE"""),"Building")</f>
        <v>Building</v>
      </c>
      <c r="D9607" s="2" t="str">
        <f ca="1">IFERROR(__xludf.DUMMYFUNCTION("""COMPUTED_VALUE"""),"Abu Dhabi&gt;Al Reem Island&gt;Tamouh&gt;Radiant Garden Towers")</f>
        <v>Abu Dhabi&gt;Al Reem Island&gt;Tamouh&gt;Radiant Garden Towers</v>
      </c>
      <c r="E9607" s="2"/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</row>
    <row r="9608" spans="1:26" ht="16.5" x14ac:dyDescent="0.35">
      <c r="A9608" s="2" t="str">
        <f ca="1">IFERROR(__xludf.DUMMYFUNCTION("""COMPUTED_VALUE"""),"Abu Dhabi")</f>
        <v>Abu Dhabi</v>
      </c>
      <c r="B9608" s="2" t="str">
        <f ca="1">IFERROR(__xludf.DUMMYFUNCTION("""COMPUTED_VALUE"""),"Mayar")</f>
        <v>Mayar</v>
      </c>
      <c r="C9608" s="2" t="str">
        <f ca="1">IFERROR(__xludf.DUMMYFUNCTION("""COMPUTED_VALUE"""),"Neighbourhood")</f>
        <v>Neighbourhood</v>
      </c>
      <c r="D9608" s="2" t="str">
        <f ca="1">IFERROR(__xludf.DUMMYFUNCTION("""COMPUTED_VALUE"""),"Abu Dhabi&gt;Al Reem Island&gt;Najmat Abu Dhabi&gt;Mayar")</f>
        <v>Abu Dhabi&gt;Al Reem Island&gt;Najmat Abu Dhabi&gt;Mayar</v>
      </c>
      <c r="E9608" s="2"/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</row>
    <row r="9609" spans="1:26" ht="16.5" x14ac:dyDescent="0.35">
      <c r="A9609" s="2" t="str">
        <f ca="1">IFERROR(__xludf.DUMMYFUNCTION("""COMPUTED_VALUE"""),"Abu Dhabi")</f>
        <v>Abu Dhabi</v>
      </c>
      <c r="B9609" s="2" t="str">
        <f ca="1">IFERROR(__xludf.DUMMYFUNCTION("""COMPUTED_VALUE"""),"Sea Side Tower")</f>
        <v>Sea Side Tower</v>
      </c>
      <c r="C9609" s="2" t="str">
        <f ca="1">IFERROR(__xludf.DUMMYFUNCTION("""COMPUTED_VALUE"""),"Building")</f>
        <v>Building</v>
      </c>
      <c r="D9609" s="2" t="str">
        <f ca="1">IFERROR(__xludf.DUMMYFUNCTION("""COMPUTED_VALUE"""),"Abu Dhabi&gt;Al Reem Island&gt;Shams Abu Dhabi&gt;Sea Side Tower")</f>
        <v>Abu Dhabi&gt;Al Reem Island&gt;Shams Abu Dhabi&gt;Sea Side Tower</v>
      </c>
      <c r="E9609" s="2"/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</row>
    <row r="9610" spans="1:26" ht="16.5" x14ac:dyDescent="0.35">
      <c r="A9610" s="2" t="str">
        <f ca="1">IFERROR(__xludf.DUMMYFUNCTION("""COMPUTED_VALUE"""),"Abu Dhabi")</f>
        <v>Abu Dhabi</v>
      </c>
      <c r="B9610" s="2" t="str">
        <f ca="1">IFERROR(__xludf.DUMMYFUNCTION("""COMPUTED_VALUE"""),"Beach Towers")</f>
        <v>Beach Towers</v>
      </c>
      <c r="C9610" s="2" t="str">
        <f ca="1">IFERROR(__xludf.DUMMYFUNCTION("""COMPUTED_VALUE"""),"Cluster")</f>
        <v>Cluster</v>
      </c>
      <c r="D9610" s="2" t="str">
        <f ca="1">IFERROR(__xludf.DUMMYFUNCTION("""COMPUTED_VALUE"""),"Abu Dhabi&gt;Al Reem Island&gt;Shams Abu Dhabi&gt;Beach Towers")</f>
        <v>Abu Dhabi&gt;Al Reem Island&gt;Shams Abu Dhabi&gt;Beach Towers</v>
      </c>
      <c r="E9610" s="2"/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  <c r="W9610" s="2"/>
      <c r="X9610" s="2"/>
      <c r="Y9610" s="2"/>
      <c r="Z9610" s="2"/>
    </row>
    <row r="9611" spans="1:26" ht="16.5" x14ac:dyDescent="0.35">
      <c r="A9611" s="2" t="str">
        <f ca="1">IFERROR(__xludf.DUMMYFUNCTION("""COMPUTED_VALUE"""),"Abu Dhabi")</f>
        <v>Abu Dhabi</v>
      </c>
      <c r="B9611" s="2" t="str">
        <f ca="1">IFERROR(__xludf.DUMMYFUNCTION("""COMPUTED_VALUE"""),"Horizon Tower B")</f>
        <v>Horizon Tower B</v>
      </c>
      <c r="C9611" s="2" t="str">
        <f ca="1">IFERROR(__xludf.DUMMYFUNCTION("""COMPUTED_VALUE"""),"Building")</f>
        <v>Building</v>
      </c>
      <c r="D9611" s="2" t="str">
        <f ca="1">IFERROR(__xludf.DUMMYFUNCTION("""COMPUTED_VALUE"""),"Abu Dhabi&gt;Al Reem Island&gt;City of Lights&gt;Horizon Towers&gt;Horizon Tower B")</f>
        <v>Abu Dhabi&gt;Al Reem Island&gt;City of Lights&gt;Horizon Towers&gt;Horizon Tower B</v>
      </c>
      <c r="E9611" s="2"/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  <c r="W9611" s="2"/>
      <c r="X9611" s="2"/>
      <c r="Y9611" s="2"/>
      <c r="Z9611" s="2"/>
    </row>
    <row r="9612" spans="1:26" ht="16.5" x14ac:dyDescent="0.35">
      <c r="A9612" s="2" t="str">
        <f ca="1">IFERROR(__xludf.DUMMYFUNCTION("""COMPUTED_VALUE"""),"Abu Dhabi")</f>
        <v>Abu Dhabi</v>
      </c>
      <c r="B9612" s="2" t="str">
        <f ca="1">IFERROR(__xludf.DUMMYFUNCTION("""COMPUTED_VALUE"""),"Juman Tower")</f>
        <v>Juman Tower</v>
      </c>
      <c r="C9612" s="2" t="str">
        <f ca="1">IFERROR(__xludf.DUMMYFUNCTION("""COMPUTED_VALUE"""),"Building")</f>
        <v>Building</v>
      </c>
      <c r="D9612" s="2" t="str">
        <f ca="1">IFERROR(__xludf.DUMMYFUNCTION("""COMPUTED_VALUE"""),"Abu Dhabi&gt;Al Reem Island&gt;Juman Tower")</f>
        <v>Abu Dhabi&gt;Al Reem Island&gt;Juman Tower</v>
      </c>
      <c r="E9612" s="2"/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  <c r="W9612" s="2"/>
      <c r="X9612" s="2"/>
      <c r="Y9612" s="2"/>
      <c r="Z9612" s="2"/>
    </row>
    <row r="9613" spans="1:26" ht="16.5" x14ac:dyDescent="0.35">
      <c r="A9613" s="2" t="str">
        <f ca="1">IFERROR(__xludf.DUMMYFUNCTION("""COMPUTED_VALUE"""),"Abu Dhabi")</f>
        <v>Abu Dhabi</v>
      </c>
      <c r="B9613" s="2" t="str">
        <f ca="1">IFERROR(__xludf.DUMMYFUNCTION("""COMPUTED_VALUE"""),"Tower B")</f>
        <v>Tower B</v>
      </c>
      <c r="C9613" s="2" t="str">
        <f ca="1">IFERROR(__xludf.DUMMYFUNCTION("""COMPUTED_VALUE"""),"Building")</f>
        <v>Building</v>
      </c>
      <c r="D9613" s="2" t="str">
        <f ca="1">IFERROR(__xludf.DUMMYFUNCTION("""COMPUTED_VALUE"""),"Abu Dhabi&gt;Al Reem Island&gt;Marlin&gt;Tower B")</f>
        <v>Abu Dhabi&gt;Al Reem Island&gt;Marlin&gt;Tower B</v>
      </c>
      <c r="E9613" s="2"/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  <c r="W9613" s="2"/>
      <c r="X9613" s="2"/>
      <c r="Y9613" s="2"/>
      <c r="Z9613" s="2"/>
    </row>
    <row r="9614" spans="1:26" ht="16.5" x14ac:dyDescent="0.35">
      <c r="A9614" s="2" t="str">
        <f ca="1">IFERROR(__xludf.DUMMYFUNCTION("""COMPUTED_VALUE"""),"Abu Dhabi")</f>
        <v>Abu Dhabi</v>
      </c>
      <c r="B9614" s="2" t="str">
        <f ca="1">IFERROR(__xludf.DUMMYFUNCTION("""COMPUTED_VALUE"""),"Liwa Centre Tower 3")</f>
        <v>Liwa Centre Tower 3</v>
      </c>
      <c r="C9614" s="2" t="str">
        <f ca="1">IFERROR(__xludf.DUMMYFUNCTION("""COMPUTED_VALUE"""),"Building")</f>
        <v>Building</v>
      </c>
      <c r="D9614" s="2" t="str">
        <f ca="1">IFERROR(__xludf.DUMMYFUNCTION("""COMPUTED_VALUE"""),"Abu Dhabi&gt;Hamdan Street&gt;Liwa Centre&gt;Liwa Centre Tower 3")</f>
        <v>Abu Dhabi&gt;Hamdan Street&gt;Liwa Centre&gt;Liwa Centre Tower 3</v>
      </c>
      <c r="E9614" s="2"/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  <c r="W9614" s="2"/>
      <c r="X9614" s="2"/>
      <c r="Y9614" s="2"/>
      <c r="Z9614" s="2"/>
    </row>
    <row r="9615" spans="1:26" ht="16.5" x14ac:dyDescent="0.35">
      <c r="A9615" s="2" t="str">
        <f ca="1">IFERROR(__xludf.DUMMYFUNCTION("""COMPUTED_VALUE"""),"Abu Dhabi")</f>
        <v>Abu Dhabi</v>
      </c>
      <c r="B9615" s="2" t="str">
        <f ca="1">IFERROR(__xludf.DUMMYFUNCTION("""COMPUTED_VALUE"""),"Al Waha Tower")</f>
        <v>Al Waha Tower</v>
      </c>
      <c r="C9615" s="2" t="str">
        <f ca="1">IFERROR(__xludf.DUMMYFUNCTION("""COMPUTED_VALUE"""),"Building")</f>
        <v>Building</v>
      </c>
      <c r="D9615" s="2" t="str">
        <f ca="1">IFERROR(__xludf.DUMMYFUNCTION("""COMPUTED_VALUE"""),"Abu Dhabi&gt;Al Khalidiyah&gt;Al Waha Tower")</f>
        <v>Abu Dhabi&gt;Al Khalidiyah&gt;Al Waha Tower</v>
      </c>
      <c r="E9615" s="2"/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</row>
    <row r="9616" spans="1:26" ht="16.5" x14ac:dyDescent="0.35">
      <c r="A9616" s="2" t="str">
        <f ca="1">IFERROR(__xludf.DUMMYFUNCTION("""COMPUTED_VALUE"""),"Abu Dhabi")</f>
        <v>Abu Dhabi</v>
      </c>
      <c r="B9616" s="2" t="str">
        <f ca="1">IFERROR(__xludf.DUMMYFUNCTION("""COMPUTED_VALUE"""),"Rawafed Private School")</f>
        <v>Rawafed Private School</v>
      </c>
      <c r="C9616" s="2" t="str">
        <f ca="1">IFERROR(__xludf.DUMMYFUNCTION("""COMPUTED_VALUE"""),"School")</f>
        <v>School</v>
      </c>
      <c r="D9616" s="2" t="str">
        <f ca="1">IFERROR(__xludf.DUMMYFUNCTION("""COMPUTED_VALUE"""),"Abu Dhabi&gt;Khalifa City&gt;Rawafed Private School")</f>
        <v>Abu Dhabi&gt;Khalifa City&gt;Rawafed Private School</v>
      </c>
      <c r="E9616" s="2"/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</row>
    <row r="9617" spans="1:26" ht="16.5" x14ac:dyDescent="0.35">
      <c r="A9617" s="2" t="str">
        <f ca="1">IFERROR(__xludf.DUMMYFUNCTION("""COMPUTED_VALUE"""),"Abu Dhabi")</f>
        <v>Abu Dhabi</v>
      </c>
      <c r="B9617" s="2" t="str">
        <f ca="1">IFERROR(__xludf.DUMMYFUNCTION("""COMPUTED_VALUE"""),"SW5")</f>
        <v>SW5</v>
      </c>
      <c r="C9617" s="2" t="str">
        <f ca="1">IFERROR(__xludf.DUMMYFUNCTION("""COMPUTED_VALUE"""),"Neighbourhood")</f>
        <v>Neighbourhood</v>
      </c>
      <c r="D9617" s="2" t="str">
        <f ca="1">IFERROR(__xludf.DUMMYFUNCTION("""COMPUTED_VALUE"""),"Abu Dhabi&gt;Khalifa City&gt;SW5")</f>
        <v>Abu Dhabi&gt;Khalifa City&gt;SW5</v>
      </c>
      <c r="E9617" s="2"/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</row>
    <row r="9618" spans="1:26" ht="16.5" x14ac:dyDescent="0.35">
      <c r="A9618" s="2" t="str">
        <f ca="1">IFERROR(__xludf.DUMMYFUNCTION("""COMPUTED_VALUE"""),"Abu Dhabi")</f>
        <v>Abu Dhabi</v>
      </c>
      <c r="B9618" s="2" t="str">
        <f ca="1">IFERROR(__xludf.DUMMYFUNCTION("""COMPUTED_VALUE"""),"Dar Al Salam Building")</f>
        <v>Dar Al Salam Building</v>
      </c>
      <c r="C9618" s="2" t="str">
        <f ca="1">IFERROR(__xludf.DUMMYFUNCTION("""COMPUTED_VALUE"""),"Building")</f>
        <v>Building</v>
      </c>
      <c r="D9618" s="2" t="str">
        <f ca="1">IFERROR(__xludf.DUMMYFUNCTION("""COMPUTED_VALUE"""),"Abu Dhabi&gt;Al Markaziya&gt;Dar Al Salam Building")</f>
        <v>Abu Dhabi&gt;Al Markaziya&gt;Dar Al Salam Building</v>
      </c>
      <c r="E9618" s="2"/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</row>
    <row r="9619" spans="1:26" ht="16.5" x14ac:dyDescent="0.35">
      <c r="A9619" s="2" t="str">
        <f ca="1">IFERROR(__xludf.DUMMYFUNCTION("""COMPUTED_VALUE"""),"Abu Dhabi")</f>
        <v>Abu Dhabi</v>
      </c>
      <c r="B9619" s="2" t="str">
        <f ca="1">IFERROR(__xludf.DUMMYFUNCTION("""COMPUTED_VALUE"""),"Al Waha")</f>
        <v>Al Waha</v>
      </c>
      <c r="C9619" s="2" t="str">
        <f ca="1">IFERROR(__xludf.DUMMYFUNCTION("""COMPUTED_VALUE"""),"Building")</f>
        <v>Building</v>
      </c>
      <c r="D9619" s="2" t="str">
        <f ca="1">IFERROR(__xludf.DUMMYFUNCTION("""COMPUTED_VALUE"""),"Abu Dhabi&gt;Al Ghadeer&gt;Al Waha")</f>
        <v>Abu Dhabi&gt;Al Ghadeer&gt;Al Waha</v>
      </c>
      <c r="E9619" s="2"/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</row>
    <row r="9620" spans="1:26" ht="16.5" x14ac:dyDescent="0.35">
      <c r="A9620" s="2" t="str">
        <f ca="1">IFERROR(__xludf.DUMMYFUNCTION("""COMPUTED_VALUE"""),"Abu Dhabi")</f>
        <v>Abu Dhabi</v>
      </c>
      <c r="B9620" s="2" t="str">
        <f ca="1">IFERROR(__xludf.DUMMYFUNCTION("""COMPUTED_VALUE"""),"Nudra")</f>
        <v>Nudra</v>
      </c>
      <c r="C9620" s="2" t="str">
        <f ca="1">IFERROR(__xludf.DUMMYFUNCTION("""COMPUTED_VALUE"""),"Neighbourhood")</f>
        <v>Neighbourhood</v>
      </c>
      <c r="D9620" s="2" t="str">
        <f ca="1">IFERROR(__xludf.DUMMYFUNCTION("""COMPUTED_VALUE"""),"Abu Dhabi&gt;Saadiyat Island&gt;Saadiyat Cultural District&gt;Nudra")</f>
        <v>Abu Dhabi&gt;Saadiyat Island&gt;Saadiyat Cultural District&gt;Nudra</v>
      </c>
      <c r="E9620" s="2"/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</row>
    <row r="9621" spans="1:26" ht="16.5" x14ac:dyDescent="0.35">
      <c r="A9621" s="2" t="str">
        <f ca="1">IFERROR(__xludf.DUMMYFUNCTION("""COMPUTED_VALUE"""),"Abu Dhabi")</f>
        <v>Abu Dhabi</v>
      </c>
      <c r="B9621" s="2" t="str">
        <f ca="1">IFERROR(__xludf.DUMMYFUNCTION("""COMPUTED_VALUE"""),"Ethir")</f>
        <v>Ethir</v>
      </c>
      <c r="C9621" s="2" t="str">
        <f ca="1">IFERROR(__xludf.DUMMYFUNCTION("""COMPUTED_VALUE"""),"Neighbourhood")</f>
        <v>Neighbourhood</v>
      </c>
      <c r="D9621" s="2" t="str">
        <f ca="1">IFERROR(__xludf.DUMMYFUNCTION("""COMPUTED_VALUE"""),"Abu Dhabi&gt;Saadiyat Island&gt;Saadiyat Lagoons&gt;Ethir")</f>
        <v>Abu Dhabi&gt;Saadiyat Island&gt;Saadiyat Lagoons&gt;Ethir</v>
      </c>
      <c r="E9621" s="2"/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</row>
    <row r="9622" spans="1:26" ht="16.5" x14ac:dyDescent="0.35">
      <c r="A9622" s="2" t="str">
        <f ca="1">IFERROR(__xludf.DUMMYFUNCTION("""COMPUTED_VALUE"""),"Abu Dhabi")</f>
        <v>Abu Dhabi</v>
      </c>
      <c r="B9622" s="2" t="str">
        <f ca="1">IFERROR(__xludf.DUMMYFUNCTION("""COMPUTED_VALUE"""),"St Regis Residences Block 7")</f>
        <v>St Regis Residences Block 7</v>
      </c>
      <c r="C9622" s="2" t="str">
        <f ca="1">IFERROR(__xludf.DUMMYFUNCTION("""COMPUTED_VALUE"""),"Building")</f>
        <v>Building</v>
      </c>
      <c r="D9622" s="2" t="str">
        <f ca="1">IFERROR(__xludf.DUMMYFUNCTION("""COMPUTED_VALUE"""),"Abu Dhabi&gt;Saadiyat Island&gt;Saadiyat Beach&gt;Saadiyat St Regis Residences&gt;St Regis Residences Block 7")</f>
        <v>Abu Dhabi&gt;Saadiyat Island&gt;Saadiyat Beach&gt;Saadiyat St Regis Residences&gt;St Regis Residences Block 7</v>
      </c>
      <c r="E9622" s="2"/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</row>
    <row r="9623" spans="1:26" ht="16.5" x14ac:dyDescent="0.35">
      <c r="A9623" s="2" t="str">
        <f ca="1">IFERROR(__xludf.DUMMYFUNCTION("""COMPUTED_VALUE"""),"Abu Dhabi")</f>
        <v>Abu Dhabi</v>
      </c>
      <c r="B9623" s="2" t="str">
        <f ca="1">IFERROR(__xludf.DUMMYFUNCTION("""COMPUTED_VALUE"""),"Cubic Building")</f>
        <v>Cubic Building</v>
      </c>
      <c r="C9623" s="2" t="str">
        <f ca="1">IFERROR(__xludf.DUMMYFUNCTION("""COMPUTED_VALUE"""),"Building")</f>
        <v>Building</v>
      </c>
      <c r="D9623" s="2" t="str">
        <f ca="1">IFERROR(__xludf.DUMMYFUNCTION("""COMPUTED_VALUE"""),"Abu Dhabi&gt;Al Raha Beach&gt;Cubic Building")</f>
        <v>Abu Dhabi&gt;Al Raha Beach&gt;Cubic Building</v>
      </c>
      <c r="E9623" s="2"/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  <c r="W9623" s="2"/>
      <c r="X9623" s="2"/>
      <c r="Y9623" s="2"/>
      <c r="Z9623" s="2"/>
    </row>
    <row r="9624" spans="1:26" ht="16.5" x14ac:dyDescent="0.35">
      <c r="A9624" s="2" t="str">
        <f ca="1">IFERROR(__xludf.DUMMYFUNCTION("""COMPUTED_VALUE"""),"Abu Dhabi")</f>
        <v>Abu Dhabi</v>
      </c>
      <c r="B9624" s="2" t="str">
        <f ca="1">IFERROR(__xludf.DUMMYFUNCTION("""COMPUTED_VALUE"""),"Al Naseem Residence A")</f>
        <v>Al Naseem Residence A</v>
      </c>
      <c r="C9624" s="2" t="str">
        <f ca="1">IFERROR(__xludf.DUMMYFUNCTION("""COMPUTED_VALUE"""),"Building")</f>
        <v>Building</v>
      </c>
      <c r="D9624" s="2" t="str">
        <f ca="1">IFERROR(__xludf.DUMMYFUNCTION("""COMPUTED_VALUE"""),"Abu Dhabi&gt;Al Raha Beach&gt;Al Bandar&gt;Al Naseem&gt;Al Naseem Residence A")</f>
        <v>Abu Dhabi&gt;Al Raha Beach&gt;Al Bandar&gt;Al Naseem&gt;Al Naseem Residence A</v>
      </c>
      <c r="E9624" s="2"/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  <c r="W9624" s="2"/>
      <c r="X9624" s="2"/>
      <c r="Y9624" s="2"/>
      <c r="Z9624" s="2"/>
    </row>
    <row r="9625" spans="1:26" ht="16.5" x14ac:dyDescent="0.35">
      <c r="A9625" s="2" t="str">
        <f ca="1">IFERROR(__xludf.DUMMYFUNCTION("""COMPUTED_VALUE"""),"Abu Dhabi")</f>
        <v>Abu Dhabi</v>
      </c>
      <c r="B9625" s="2" t="str">
        <f ca="1">IFERROR(__xludf.DUMMYFUNCTION("""COMPUTED_VALUE"""),"Al Rumaila")</f>
        <v>Al Rumaila</v>
      </c>
      <c r="C9625" s="2" t="str">
        <f ca="1">IFERROR(__xludf.DUMMYFUNCTION("""COMPUTED_VALUE"""),"Neighbourhood")</f>
        <v>Neighbourhood</v>
      </c>
      <c r="D9625" s="2" t="str">
        <f ca="1">IFERROR(__xludf.DUMMYFUNCTION("""COMPUTED_VALUE"""),"Abu Dhabi&gt;Al Raha Beach&gt;Al Rumaila")</f>
        <v>Abu Dhabi&gt;Al Raha Beach&gt;Al Rumaila</v>
      </c>
      <c r="E9625" s="2"/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  <c r="W9625" s="2"/>
      <c r="X9625" s="2"/>
      <c r="Y9625" s="2"/>
      <c r="Z9625" s="2"/>
    </row>
    <row r="9626" spans="1:26" ht="16.5" x14ac:dyDescent="0.35">
      <c r="A9626" s="2" t="str">
        <f ca="1">IFERROR(__xludf.DUMMYFUNCTION("""COMPUTED_VALUE"""),"Abu Dhabi")</f>
        <v>Abu Dhabi</v>
      </c>
      <c r="B9626" s="2" t="str">
        <f ca="1">IFERROR(__xludf.DUMMYFUNCTION("""COMPUTED_VALUE"""),"P-583")</f>
        <v>P-583</v>
      </c>
      <c r="C9626" s="2" t="str">
        <f ca="1">IFERROR(__xludf.DUMMYFUNCTION("""COMPUTED_VALUE"""),"Building")</f>
        <v>Building</v>
      </c>
      <c r="D9626" s="2" t="str">
        <f ca="1">IFERROR(__xludf.DUMMYFUNCTION("""COMPUTED_VALUE"""),"Abu Dhabi&gt;Al Raha Beach&gt;P-583")</f>
        <v>Abu Dhabi&gt;Al Raha Beach&gt;P-583</v>
      </c>
      <c r="E9626" s="2"/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  <c r="W9626" s="2"/>
      <c r="X9626" s="2"/>
      <c r="Y9626" s="2"/>
      <c r="Z9626" s="2"/>
    </row>
    <row r="9627" spans="1:26" ht="16.5" x14ac:dyDescent="0.35">
      <c r="A9627" s="2" t="str">
        <f ca="1">IFERROR(__xludf.DUMMYFUNCTION("""COMPUTED_VALUE"""),"Abu Dhabi")</f>
        <v>Abu Dhabi</v>
      </c>
      <c r="B9627" s="2" t="str">
        <f ca="1">IFERROR(__xludf.DUMMYFUNCTION("""COMPUTED_VALUE"""),"Twin Tower")</f>
        <v>Twin Tower</v>
      </c>
      <c r="C9627" s="2"/>
      <c r="D9627" s="2" t="str">
        <f ca="1">IFERROR(__xludf.DUMMYFUNCTION("""COMPUTED_VALUE"""),"Abu Dhabi&gt;Al Muroor&gt;Twin Tower")</f>
        <v>Abu Dhabi&gt;Al Muroor&gt;Twin Tower</v>
      </c>
      <c r="E9627" s="2"/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  <c r="W9627" s="2"/>
      <c r="X9627" s="2"/>
      <c r="Y9627" s="2"/>
      <c r="Z9627" s="2"/>
    </row>
    <row r="9628" spans="1:26" ht="16.5" x14ac:dyDescent="0.35">
      <c r="A9628" s="2" t="str">
        <f ca="1">IFERROR(__xludf.DUMMYFUNCTION("""COMPUTED_VALUE"""),"Abu Dhabi")</f>
        <v>Abu Dhabi</v>
      </c>
      <c r="B9628" s="2" t="str">
        <f ca="1">IFERROR(__xludf.DUMMYFUNCTION("""COMPUTED_VALUE"""),"Merryland International School")</f>
        <v>Merryland International School</v>
      </c>
      <c r="C9628" s="2" t="str">
        <f ca="1">IFERROR(__xludf.DUMMYFUNCTION("""COMPUTED_VALUE"""),"School")</f>
        <v>School</v>
      </c>
      <c r="D9628" s="2" t="str">
        <f ca="1">IFERROR(__xludf.DUMMYFUNCTION("""COMPUTED_VALUE"""),"Abu Dhabi&gt;Mohamed Bin Zayed City&gt;Merryland International School")</f>
        <v>Abu Dhabi&gt;Mohamed Bin Zayed City&gt;Merryland International School</v>
      </c>
      <c r="E9628" s="2"/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  <c r="W9628" s="2"/>
      <c r="X9628" s="2"/>
      <c r="Y9628" s="2"/>
      <c r="Z9628" s="2"/>
    </row>
    <row r="9629" spans="1:26" ht="16.5" x14ac:dyDescent="0.35">
      <c r="A9629" s="2" t="str">
        <f ca="1">IFERROR(__xludf.DUMMYFUNCTION("""COMPUTED_VALUE"""),"Abu Dhabi")</f>
        <v>Abu Dhabi</v>
      </c>
      <c r="B9629" s="2" t="str">
        <f ca="1">IFERROR(__xludf.DUMMYFUNCTION("""COMPUTED_VALUE"""),"Zone 2")</f>
        <v>Zone 2</v>
      </c>
      <c r="C9629" s="2" t="str">
        <f ca="1">IFERROR(__xludf.DUMMYFUNCTION("""COMPUTED_VALUE"""),"Neighbourhood")</f>
        <v>Neighbourhood</v>
      </c>
      <c r="D9629" s="2" t="str">
        <f ca="1">IFERROR(__xludf.DUMMYFUNCTION("""COMPUTED_VALUE"""),"Abu Dhabi&gt;Mohamed Bin Zayed City&gt;Zone 2")</f>
        <v>Abu Dhabi&gt;Mohamed Bin Zayed City&gt;Zone 2</v>
      </c>
      <c r="E9629" s="2"/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  <c r="W9629" s="2"/>
      <c r="X9629" s="2"/>
      <c r="Y9629" s="2"/>
      <c r="Z9629" s="2"/>
    </row>
    <row r="9630" spans="1:26" ht="16.5" x14ac:dyDescent="0.35">
      <c r="A9630" s="2" t="str">
        <f ca="1">IFERROR(__xludf.DUMMYFUNCTION("""COMPUTED_VALUE"""),"Abu Dhabi")</f>
        <v>Abu Dhabi</v>
      </c>
      <c r="B9630" s="2" t="str">
        <f ca="1">IFERROR(__xludf.DUMMYFUNCTION("""COMPUTED_VALUE"""),"Al Reef Downtown")</f>
        <v>Al Reef Downtown</v>
      </c>
      <c r="C9630" s="2" t="str">
        <f ca="1">IFERROR(__xludf.DUMMYFUNCTION("""COMPUTED_VALUE"""),"Neighbourhood")</f>
        <v>Neighbourhood</v>
      </c>
      <c r="D9630" s="2" t="str">
        <f ca="1">IFERROR(__xludf.DUMMYFUNCTION("""COMPUTED_VALUE"""),"Abu Dhabi&gt;Al Reef&gt;Al Reef Downtown")</f>
        <v>Abu Dhabi&gt;Al Reef&gt;Al Reef Downtown</v>
      </c>
      <c r="E9630" s="2"/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  <c r="W9630" s="2"/>
      <c r="X9630" s="2"/>
      <c r="Y9630" s="2"/>
      <c r="Z9630" s="2"/>
    </row>
    <row r="9631" spans="1:26" ht="16.5" x14ac:dyDescent="0.35">
      <c r="A9631" s="2" t="str">
        <f ca="1">IFERROR(__xludf.DUMMYFUNCTION("""COMPUTED_VALUE"""),"Abu Dhabi")</f>
        <v>Abu Dhabi</v>
      </c>
      <c r="B9631" s="2" t="str">
        <f ca="1">IFERROR(__xludf.DUMMYFUNCTION("""COMPUTED_VALUE"""),"Building 35")</f>
        <v>Building 35</v>
      </c>
      <c r="C9631" s="2" t="str">
        <f ca="1">IFERROR(__xludf.DUMMYFUNCTION("""COMPUTED_VALUE"""),"Building")</f>
        <v>Building</v>
      </c>
      <c r="D9631" s="2" t="str">
        <f ca="1">IFERROR(__xludf.DUMMYFUNCTION("""COMPUTED_VALUE"""),"Abu Dhabi&gt;Al Reef&gt;Al Reef Downtown&gt;Building 35")</f>
        <v>Abu Dhabi&gt;Al Reef&gt;Al Reef Downtown&gt;Building 35</v>
      </c>
      <c r="E9631" s="2"/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</row>
    <row r="9632" spans="1:26" ht="16.5" x14ac:dyDescent="0.35">
      <c r="A9632" s="2" t="str">
        <f ca="1">IFERROR(__xludf.DUMMYFUNCTION("""COMPUTED_VALUE"""),"Abu Dhabi")</f>
        <v>Abu Dhabi</v>
      </c>
      <c r="B9632" s="2" t="str">
        <f ca="1">IFERROR(__xludf.DUMMYFUNCTION("""COMPUTED_VALUE"""),"Al Najda Street")</f>
        <v>Al Najda Street</v>
      </c>
      <c r="C9632" s="2" t="str">
        <f ca="1">IFERROR(__xludf.DUMMYFUNCTION("""COMPUTED_VALUE"""),"Neighbourhood")</f>
        <v>Neighbourhood</v>
      </c>
      <c r="D9632" s="2" t="str">
        <f ca="1">IFERROR(__xludf.DUMMYFUNCTION("""COMPUTED_VALUE"""),"Abu Dhabi&gt;Al Najda Street")</f>
        <v>Abu Dhabi&gt;Al Najda Street</v>
      </c>
      <c r="E9632" s="2"/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  <c r="W9632" s="2"/>
      <c r="X9632" s="2"/>
      <c r="Y9632" s="2"/>
      <c r="Z9632" s="2"/>
    </row>
    <row r="9633" spans="1:26" ht="16.5" x14ac:dyDescent="0.35">
      <c r="A9633" s="2" t="str">
        <f ca="1">IFERROR(__xludf.DUMMYFUNCTION("""COMPUTED_VALUE"""),"Abu Dhabi")</f>
        <v>Abu Dhabi</v>
      </c>
      <c r="B9633" s="2" t="str">
        <f ca="1">IFERROR(__xludf.DUMMYFUNCTION("""COMPUTED_VALUE"""),"Abu Dhabi National Exhibition Centre ADNEC")</f>
        <v>Abu Dhabi National Exhibition Centre ADNEC</v>
      </c>
      <c r="C9633" s="2" t="str">
        <f ca="1">IFERROR(__xludf.DUMMYFUNCTION("""COMPUTED_VALUE"""),"Building")</f>
        <v>Building</v>
      </c>
      <c r="D9633" s="2" t="str">
        <f ca="1">IFERROR(__xludf.DUMMYFUNCTION("""COMPUTED_VALUE"""),"Abu Dhabi&gt;Capital Centre&gt;Abu Dhabi National Exhibition Centre ADNEC")</f>
        <v>Abu Dhabi&gt;Capital Centre&gt;Abu Dhabi National Exhibition Centre ADNEC</v>
      </c>
      <c r="E9633" s="2"/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  <c r="W9633" s="2"/>
      <c r="X9633" s="2"/>
      <c r="Y9633" s="2"/>
      <c r="Z9633" s="2"/>
    </row>
    <row r="9634" spans="1:26" ht="16.5" x14ac:dyDescent="0.35">
      <c r="A9634" s="2" t="str">
        <f ca="1">IFERROR(__xludf.DUMMYFUNCTION("""COMPUTED_VALUE"""),"Abu Dhabi")</f>
        <v>Abu Dhabi</v>
      </c>
      <c r="B9634" s="2" t="str">
        <f ca="1">IFERROR(__xludf.DUMMYFUNCTION("""COMPUTED_VALUE"""),"KIZAD")</f>
        <v>KIZAD</v>
      </c>
      <c r="C9634" s="2" t="str">
        <f ca="1">IFERROR(__xludf.DUMMYFUNCTION("""COMPUTED_VALUE"""),"Neighbourhood")</f>
        <v>Neighbourhood</v>
      </c>
      <c r="D9634" s="2" t="str">
        <f ca="1">IFERROR(__xludf.DUMMYFUNCTION("""COMPUTED_VALUE"""),"Abu Dhabi&gt;KIZAD")</f>
        <v>Abu Dhabi&gt;KIZAD</v>
      </c>
      <c r="E9634" s="2"/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  <c r="W9634" s="2"/>
      <c r="X9634" s="2"/>
      <c r="Y9634" s="2"/>
      <c r="Z9634" s="2"/>
    </row>
    <row r="9635" spans="1:26" ht="16.5" x14ac:dyDescent="0.35">
      <c r="A9635" s="2" t="str">
        <f ca="1">IFERROR(__xludf.DUMMYFUNCTION("""COMPUTED_VALUE"""),"Abu Dhabi")</f>
        <v>Abu Dhabi</v>
      </c>
      <c r="B9635" s="2" t="str">
        <f ca="1">IFERROR(__xludf.DUMMYFUNCTION("""COMPUTED_VALUE"""),"Mayan 5")</f>
        <v>Mayan 5</v>
      </c>
      <c r="C9635" s="2" t="str">
        <f ca="1">IFERROR(__xludf.DUMMYFUNCTION("""COMPUTED_VALUE"""),"Building")</f>
        <v>Building</v>
      </c>
      <c r="D9635" s="2" t="str">
        <f ca="1">IFERROR(__xludf.DUMMYFUNCTION("""COMPUTED_VALUE"""),"Abu Dhabi&gt;Yas Island&gt;Mayan&gt;Mayan 5")</f>
        <v>Abu Dhabi&gt;Yas Island&gt;Mayan&gt;Mayan 5</v>
      </c>
      <c r="E9635" s="2"/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  <c r="W9635" s="2"/>
      <c r="X9635" s="2"/>
      <c r="Y9635" s="2"/>
      <c r="Z9635" s="2"/>
    </row>
    <row r="9636" spans="1:26" ht="16.5" x14ac:dyDescent="0.35">
      <c r="A9636" s="2" t="str">
        <f ca="1">IFERROR(__xludf.DUMMYFUNCTION("""COMPUTED_VALUE"""),"Abu Dhabi")</f>
        <v>Abu Dhabi</v>
      </c>
      <c r="B9636" s="2" t="str">
        <f ca="1">IFERROR(__xludf.DUMMYFUNCTION("""COMPUTED_VALUE"""),"Sea La Vie Tower 4")</f>
        <v>Sea La Vie Tower 4</v>
      </c>
      <c r="C9636" s="2" t="str">
        <f ca="1">IFERROR(__xludf.DUMMYFUNCTION("""COMPUTED_VALUE"""),"Building")</f>
        <v>Building</v>
      </c>
      <c r="D9636" s="2" t="str">
        <f ca="1">IFERROR(__xludf.DUMMYFUNCTION("""COMPUTED_VALUE"""),"Abu Dhabi&gt;Yas Island&gt;Sea La Vie&gt;Sea La Vie Tower 4")</f>
        <v>Abu Dhabi&gt;Yas Island&gt;Sea La Vie&gt;Sea La Vie Tower 4</v>
      </c>
      <c r="E9636" s="2"/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  <c r="W9636" s="2"/>
      <c r="X9636" s="2"/>
      <c r="Y9636" s="2"/>
      <c r="Z9636" s="2"/>
    </row>
    <row r="9637" spans="1:26" ht="16.5" x14ac:dyDescent="0.35">
      <c r="A9637" s="2" t="str">
        <f ca="1">IFERROR(__xludf.DUMMYFUNCTION("""COMPUTED_VALUE"""),"Abu Dhabi")</f>
        <v>Abu Dhabi</v>
      </c>
      <c r="B9637" s="2" t="str">
        <f ca="1">IFERROR(__xludf.DUMMYFUNCTION("""COMPUTED_VALUE"""),"Ghayathi")</f>
        <v>Ghayathi</v>
      </c>
      <c r="C9637" s="2" t="str">
        <f ca="1">IFERROR(__xludf.DUMMYFUNCTION("""COMPUTED_VALUE"""),"Neighbourhood")</f>
        <v>Neighbourhood</v>
      </c>
      <c r="D9637" s="2" t="str">
        <f ca="1">IFERROR(__xludf.DUMMYFUNCTION("""COMPUTED_VALUE"""),"Abu Dhabi&gt;Ghayathi")</f>
        <v>Abu Dhabi&gt;Ghayathi</v>
      </c>
      <c r="E9637" s="2"/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</row>
    <row r="9638" spans="1:26" ht="16.5" x14ac:dyDescent="0.35">
      <c r="A9638" s="2" t="str">
        <f ca="1">IFERROR(__xludf.DUMMYFUNCTION("""COMPUTED_VALUE"""),"Ajman")</f>
        <v>Ajman</v>
      </c>
      <c r="B9638" s="2" t="str">
        <f ca="1">IFERROR(__xludf.DUMMYFUNCTION("""COMPUTED_VALUE"""),"Smart Tower 1")</f>
        <v>Smart Tower 1</v>
      </c>
      <c r="C9638" s="2"/>
      <c r="D9638" s="2" t="str">
        <f ca="1">IFERROR(__xludf.DUMMYFUNCTION("""COMPUTED_VALUE"""),"Ajman&gt;Al Amerah&gt;Smart Tower 1")</f>
        <v>Ajman&gt;Al Amerah&gt;Smart Tower 1</v>
      </c>
      <c r="E9638" s="2"/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</row>
    <row r="9639" spans="1:26" ht="16.5" x14ac:dyDescent="0.35">
      <c r="A9639" s="2" t="str">
        <f ca="1">IFERROR(__xludf.DUMMYFUNCTION("""COMPUTED_VALUE"""),"Ajman")</f>
        <v>Ajman</v>
      </c>
      <c r="B9639" s="2" t="str">
        <f ca="1">IFERROR(__xludf.DUMMYFUNCTION("""COMPUTED_VALUE"""),"Paradise Lakes B6")</f>
        <v>Paradise Lakes B6</v>
      </c>
      <c r="C9639" s="2" t="str">
        <f ca="1">IFERROR(__xludf.DUMMYFUNCTION("""COMPUTED_VALUE"""),"Building")</f>
        <v>Building</v>
      </c>
      <c r="D9639" s="2" t="str">
        <f ca="1">IFERROR(__xludf.DUMMYFUNCTION("""COMPUTED_VALUE"""),"Ajman&gt;Emirates City&gt;Paradise Lakes&gt;Paradise Lakes B6")</f>
        <v>Ajman&gt;Emirates City&gt;Paradise Lakes&gt;Paradise Lakes B6</v>
      </c>
      <c r="E9639" s="2"/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</row>
    <row r="9640" spans="1:26" ht="16.5" x14ac:dyDescent="0.35">
      <c r="A9640" s="2" t="str">
        <f ca="1">IFERROR(__xludf.DUMMYFUNCTION("""COMPUTED_VALUE"""),"Ajman")</f>
        <v>Ajman</v>
      </c>
      <c r="B9640" s="2" t="str">
        <f ca="1">IFERROR(__xludf.DUMMYFUNCTION("""COMPUTED_VALUE"""),"Chapal The Presidency")</f>
        <v>Chapal The Presidency</v>
      </c>
      <c r="C9640" s="2" t="str">
        <f ca="1">IFERROR(__xludf.DUMMYFUNCTION("""COMPUTED_VALUE"""),"Building")</f>
        <v>Building</v>
      </c>
      <c r="D9640" s="2" t="str">
        <f ca="1">IFERROR(__xludf.DUMMYFUNCTION("""COMPUTED_VALUE"""),"Ajman&gt;Emirates City&gt;Chapal The Presidency")</f>
        <v>Ajman&gt;Emirates City&gt;Chapal The Presidency</v>
      </c>
      <c r="E9640" s="2"/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</row>
    <row r="9641" spans="1:26" ht="16.5" x14ac:dyDescent="0.35">
      <c r="A9641" s="2" t="str">
        <f ca="1">IFERROR(__xludf.DUMMYFUNCTION("""COMPUTED_VALUE"""),"Ajman")</f>
        <v>Ajman</v>
      </c>
      <c r="B9641" s="2" t="str">
        <f ca="1">IFERROR(__xludf.DUMMYFUNCTION("""COMPUTED_VALUE"""),"Al Ameer English School")</f>
        <v>Al Ameer English School</v>
      </c>
      <c r="C9641" s="2" t="str">
        <f ca="1">IFERROR(__xludf.DUMMYFUNCTION("""COMPUTED_VALUE"""),"School")</f>
        <v>School</v>
      </c>
      <c r="D9641" s="2" t="str">
        <f ca="1">IFERROR(__xludf.DUMMYFUNCTION("""COMPUTED_VALUE"""),"Ajman&gt;Al Jurf&gt;Al Jurf 2&gt;Al Ameer English School")</f>
        <v>Ajman&gt;Al Jurf&gt;Al Jurf 2&gt;Al Ameer English School</v>
      </c>
      <c r="E9641" s="2"/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</row>
    <row r="9642" spans="1:26" ht="16.5" x14ac:dyDescent="0.35">
      <c r="A9642" s="2" t="str">
        <f ca="1">IFERROR(__xludf.DUMMYFUNCTION("""COMPUTED_VALUE"""),"Ajman")</f>
        <v>Ajman</v>
      </c>
      <c r="B9642" s="2" t="str">
        <f ca="1">IFERROR(__xludf.DUMMYFUNCTION("""COMPUTED_VALUE"""),"Al Khor Towers")</f>
        <v>Al Khor Towers</v>
      </c>
      <c r="C9642" s="2" t="str">
        <f ca="1">IFERROR(__xludf.DUMMYFUNCTION("""COMPUTED_VALUE"""),"Building")</f>
        <v>Building</v>
      </c>
      <c r="D9642" s="2" t="str">
        <f ca="1">IFERROR(__xludf.DUMMYFUNCTION("""COMPUTED_VALUE"""),"Ajman&gt;Ajman Downtown&gt;Al Khor Towers")</f>
        <v>Ajman&gt;Ajman Downtown&gt;Al Khor Towers</v>
      </c>
      <c r="E9642" s="2"/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</row>
    <row r="9643" spans="1:26" ht="16.5" x14ac:dyDescent="0.35">
      <c r="A9643" s="2" t="str">
        <f ca="1">IFERROR(__xludf.DUMMYFUNCTION("""COMPUTED_VALUE"""),"Ajman")</f>
        <v>Ajman</v>
      </c>
      <c r="B9643" s="2" t="str">
        <f ca="1">IFERROR(__xludf.DUMMYFUNCTION("""COMPUTED_VALUE"""),"Crown Palace Hotel and Suites")</f>
        <v>Crown Palace Hotel and Suites</v>
      </c>
      <c r="C9643" s="2"/>
      <c r="D9643" s="2" t="str">
        <f ca="1">IFERROR(__xludf.DUMMYFUNCTION("""COMPUTED_VALUE"""),"Ajman&gt;Al Rashidiya&gt;Al Rashidiya 1&gt;Crown Palace Hotel and Suites")</f>
        <v>Ajman&gt;Al Rashidiya&gt;Al Rashidiya 1&gt;Crown Palace Hotel and Suites</v>
      </c>
      <c r="E9643" s="2"/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</row>
    <row r="9644" spans="1:26" ht="16.5" x14ac:dyDescent="0.35">
      <c r="A9644" s="2" t="str">
        <f ca="1">IFERROR(__xludf.DUMMYFUNCTION("""COMPUTED_VALUE"""),"Ajman")</f>
        <v>Ajman</v>
      </c>
      <c r="B9644" s="2" t="str">
        <f ca="1">IFERROR(__xludf.DUMMYFUNCTION("""COMPUTED_VALUE"""),"Ajman One Tower 7")</f>
        <v>Ajman One Tower 7</v>
      </c>
      <c r="C9644" s="2"/>
      <c r="D9644" s="2" t="str">
        <f ca="1">IFERROR(__xludf.DUMMYFUNCTION("""COMPUTED_VALUE"""),"Ajman&gt;Al Rashidiya&gt;Al Rashidiya 3&gt;Ajman One Towers&gt;Ajman One Tower 7")</f>
        <v>Ajman&gt;Al Rashidiya&gt;Al Rashidiya 3&gt;Ajman One Towers&gt;Ajman One Tower 7</v>
      </c>
      <c r="E9644" s="2"/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</row>
    <row r="9645" spans="1:26" ht="16.5" x14ac:dyDescent="0.35">
      <c r="A9645" s="2" t="str">
        <f ca="1">IFERROR(__xludf.DUMMYFUNCTION("""COMPUTED_VALUE"""),"Ajman")</f>
        <v>Ajman</v>
      </c>
      <c r="B9645" s="2" t="str">
        <f ca="1">IFERROR(__xludf.DUMMYFUNCTION("""COMPUTED_VALUE"""),"JR Residence 1")</f>
        <v>JR Residence 1</v>
      </c>
      <c r="C9645" s="2" t="str">
        <f ca="1">IFERROR(__xludf.DUMMYFUNCTION("""COMPUTED_VALUE"""),"Building")</f>
        <v>Building</v>
      </c>
      <c r="D9645" s="2" t="str">
        <f ca="1">IFERROR(__xludf.DUMMYFUNCTION("""COMPUTED_VALUE"""),"Ajman&gt;Al Mowaihat&gt;Al Mowaihat 3&gt;JR Residence 1")</f>
        <v>Ajman&gt;Al Mowaihat&gt;Al Mowaihat 3&gt;JR Residence 1</v>
      </c>
      <c r="E9645" s="2"/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</row>
    <row r="9646" spans="1:26" ht="16.5" x14ac:dyDescent="0.35">
      <c r="A9646" s="2" t="str">
        <f ca="1">IFERROR(__xludf.DUMMYFUNCTION("""COMPUTED_VALUE"""),"Ajman")</f>
        <v>Ajman</v>
      </c>
      <c r="B9646" s="2" t="str">
        <f ca="1">IFERROR(__xludf.DUMMYFUNCTION("""COMPUTED_VALUE"""),"The First Academy, Ajman")</f>
        <v>The First Academy, Ajman</v>
      </c>
      <c r="C9646" s="2" t="str">
        <f ca="1">IFERROR(__xludf.DUMMYFUNCTION("""COMPUTED_VALUE"""),"School")</f>
        <v>School</v>
      </c>
      <c r="D9646" s="2" t="str">
        <f ca="1">IFERROR(__xludf.DUMMYFUNCTION("""COMPUTED_VALUE"""),"Ajman&gt;Al Hamidiyah&gt;Al Hamidiya 1&gt;The First Academy, Ajman")</f>
        <v>Ajman&gt;Al Hamidiyah&gt;Al Hamidiya 1&gt;The First Academy, Ajman</v>
      </c>
      <c r="E9646" s="2"/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</row>
    <row r="9647" spans="1:26" ht="16.5" x14ac:dyDescent="0.35">
      <c r="A9647" s="2" t="str">
        <f ca="1">IFERROR(__xludf.DUMMYFUNCTION("""COMPUTED_VALUE"""),"Ajman")</f>
        <v>Ajman</v>
      </c>
      <c r="B9647" s="2" t="str">
        <f ca="1">IFERROR(__xludf.DUMMYFUNCTION("""COMPUTED_VALUE"""),"Tiger Downtown Ajman")</f>
        <v>Tiger Downtown Ajman</v>
      </c>
      <c r="C9647" s="2" t="str">
        <f ca="1">IFERROR(__xludf.DUMMYFUNCTION("""COMPUTED_VALUE"""),"Cluster")</f>
        <v>Cluster</v>
      </c>
      <c r="D9647" s="2" t="str">
        <f ca="1">IFERROR(__xludf.DUMMYFUNCTION("""COMPUTED_VALUE"""),"Ajman&gt;Al Alia&gt;Tiger Downtown Ajman")</f>
        <v>Ajman&gt;Al Alia&gt;Tiger Downtown Ajman</v>
      </c>
      <c r="E9647" s="2"/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</row>
    <row r="9648" spans="1:26" ht="16.5" x14ac:dyDescent="0.35">
      <c r="A9648" s="2" t="str">
        <f ca="1">IFERROR(__xludf.DUMMYFUNCTION("""COMPUTED_VALUE"""),"Ajman")</f>
        <v>Ajman</v>
      </c>
      <c r="B9648" s="2" t="str">
        <f ca="1">IFERROR(__xludf.DUMMYFUNCTION("""COMPUTED_VALUE"""),"Al Humaid City")</f>
        <v>Al Humaid City</v>
      </c>
      <c r="C9648" s="2" t="str">
        <f ca="1">IFERROR(__xludf.DUMMYFUNCTION("""COMPUTED_VALUE"""),"Neighbourhood")</f>
        <v>Neighbourhood</v>
      </c>
      <c r="D9648" s="2" t="str">
        <f ca="1">IFERROR(__xludf.DUMMYFUNCTION("""COMPUTED_VALUE"""),"Ajman&gt;Al Humaid City")</f>
        <v>Ajman&gt;Al Humaid City</v>
      </c>
      <c r="E9648" s="2"/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</row>
    <row r="9649" spans="1:26" ht="16.5" x14ac:dyDescent="0.35">
      <c r="A9649" s="2" t="str">
        <f ca="1">IFERROR(__xludf.DUMMYFUNCTION("""COMPUTED_VALUE"""),"Ajman")</f>
        <v>Ajman</v>
      </c>
      <c r="B9649" s="2" t="str">
        <f ca="1">IFERROR(__xludf.DUMMYFUNCTION("""COMPUTED_VALUE"""),"Amoy Building")</f>
        <v>Amoy Building</v>
      </c>
      <c r="C9649" s="2" t="str">
        <f ca="1">IFERROR(__xludf.DUMMYFUNCTION("""COMPUTED_VALUE"""),"Building")</f>
        <v>Building</v>
      </c>
      <c r="D9649" s="2" t="str">
        <f ca="1">IFERROR(__xludf.DUMMYFUNCTION("""COMPUTED_VALUE"""),"Ajman&gt;Al Owan&gt;Amoy Building")</f>
        <v>Ajman&gt;Al Owan&gt;Amoy Building</v>
      </c>
      <c r="E9649" s="2"/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</row>
    <row r="9650" spans="1:26" ht="16.5" x14ac:dyDescent="0.35">
      <c r="A9650" s="2" t="str">
        <f ca="1">IFERROR(__xludf.DUMMYFUNCTION("""COMPUTED_VALUE"""),"Ajman")</f>
        <v>Ajman</v>
      </c>
      <c r="B9650" s="2" t="str">
        <f ca="1">IFERROR(__xludf.DUMMYFUNCTION("""COMPUTED_VALUE"""),"Latifa Tower")</f>
        <v>Latifa Tower</v>
      </c>
      <c r="C9650" s="2"/>
      <c r="D9650" s="2" t="str">
        <f ca="1">IFERROR(__xludf.DUMMYFUNCTION("""COMPUTED_VALUE"""),"Ajman&gt;Al Nuaimiya&gt;Al Nuaimiya 1&gt;Latifa Tower")</f>
        <v>Ajman&gt;Al Nuaimiya&gt;Al Nuaimiya 1&gt;Latifa Tower</v>
      </c>
      <c r="E9650" s="2"/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</row>
    <row r="9651" spans="1:26" ht="16.5" x14ac:dyDescent="0.35">
      <c r="A9651" s="2" t="str">
        <f ca="1">IFERROR(__xludf.DUMMYFUNCTION("""COMPUTED_VALUE"""),"Ajman")</f>
        <v>Ajman</v>
      </c>
      <c r="B9651" s="2" t="str">
        <f ca="1">IFERROR(__xludf.DUMMYFUNCTION("""COMPUTED_VALUE"""),"Goldcrest Business Avenue")</f>
        <v>Goldcrest Business Avenue</v>
      </c>
      <c r="C9651" s="2"/>
      <c r="D9651" s="2" t="str">
        <f ca="1">IFERROR(__xludf.DUMMYFUNCTION("""COMPUTED_VALUE"""),"Ajman&gt;Awali City&gt;Goldcrest Business Avenue")</f>
        <v>Ajman&gt;Awali City&gt;Goldcrest Business Avenue</v>
      </c>
      <c r="E9651" s="2"/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  <c r="W9651" s="2"/>
      <c r="X9651" s="2"/>
      <c r="Y9651" s="2"/>
      <c r="Z9651" s="2"/>
    </row>
    <row r="9652" spans="1:26" ht="16.5" x14ac:dyDescent="0.35">
      <c r="A9652" s="2" t="str">
        <f ca="1">IFERROR(__xludf.DUMMYFUNCTION("""COMPUTED_VALUE"""),"Sharjah")</f>
        <v>Sharjah</v>
      </c>
      <c r="B9652" s="2" t="str">
        <f ca="1">IFERROR(__xludf.DUMMYFUNCTION("""COMPUTED_VALUE"""),"Mohammed Al Mulla Tower")</f>
        <v>Mohammed Al Mulla Tower</v>
      </c>
      <c r="C9652" s="2"/>
      <c r="D9652" s="2" t="str">
        <f ca="1">IFERROR(__xludf.DUMMYFUNCTION("""COMPUTED_VALUE"""),"Sharjah&gt;Al Nahda (Sharjah)&gt;Mohammed Al Mulla Tower")</f>
        <v>Sharjah&gt;Al Nahda (Sharjah)&gt;Mohammed Al Mulla Tower</v>
      </c>
      <c r="E9652" s="2"/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  <c r="W9652" s="2"/>
      <c r="X9652" s="2"/>
      <c r="Y9652" s="2"/>
      <c r="Z9652" s="2"/>
    </row>
    <row r="9653" spans="1:26" ht="16.5" x14ac:dyDescent="0.35">
      <c r="A9653" s="2" t="str">
        <f ca="1">IFERROR(__xludf.DUMMYFUNCTION("""COMPUTED_VALUE"""),"Sharjah")</f>
        <v>Sharjah</v>
      </c>
      <c r="B9653" s="2" t="str">
        <f ca="1">IFERROR(__xludf.DUMMYFUNCTION("""COMPUTED_VALUE"""),"Al Naeem Tower")</f>
        <v>Al Naeem Tower</v>
      </c>
      <c r="C9653" s="2"/>
      <c r="D9653" s="2" t="str">
        <f ca="1">IFERROR(__xludf.DUMMYFUNCTION("""COMPUTED_VALUE"""),"Sharjah&gt;Al Nahda (Sharjah)&gt;Al Naeem Tower")</f>
        <v>Sharjah&gt;Al Nahda (Sharjah)&gt;Al Naeem Tower</v>
      </c>
      <c r="E9653" s="2"/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  <c r="W9653" s="2"/>
      <c r="X9653" s="2"/>
      <c r="Y9653" s="2"/>
      <c r="Z9653" s="2"/>
    </row>
    <row r="9654" spans="1:26" ht="16.5" x14ac:dyDescent="0.35">
      <c r="A9654" s="2" t="str">
        <f ca="1">IFERROR(__xludf.DUMMYFUNCTION("""COMPUTED_VALUE"""),"Sharjah")</f>
        <v>Sharjah</v>
      </c>
      <c r="B9654" s="2" t="str">
        <f ca="1">IFERROR(__xludf.DUMMYFUNCTION("""COMPUTED_VALUE"""),"Al Sadeqha Tower")</f>
        <v>Al Sadeqha Tower</v>
      </c>
      <c r="C9654" s="2"/>
      <c r="D9654" s="2" t="str">
        <f ca="1">IFERROR(__xludf.DUMMYFUNCTION("""COMPUTED_VALUE"""),"Sharjah&gt;Al Nahda (Sharjah)&gt;Al Sadeqha Tower")</f>
        <v>Sharjah&gt;Al Nahda (Sharjah)&gt;Al Sadeqha Tower</v>
      </c>
      <c r="E9654" s="2"/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  <c r="W9654" s="2"/>
      <c r="X9654" s="2"/>
      <c r="Y9654" s="2"/>
      <c r="Z9654" s="2"/>
    </row>
    <row r="9655" spans="1:26" ht="16.5" x14ac:dyDescent="0.35">
      <c r="A9655" s="2" t="str">
        <f ca="1">IFERROR(__xludf.DUMMYFUNCTION("""COMPUTED_VALUE"""),"Sharjah")</f>
        <v>Sharjah</v>
      </c>
      <c r="B9655" s="2" t="str">
        <f ca="1">IFERROR(__xludf.DUMMYFUNCTION("""COMPUTED_VALUE"""),"R&amp;S Building")</f>
        <v>R&amp;S Building</v>
      </c>
      <c r="C9655" s="2" t="str">
        <f ca="1">IFERROR(__xludf.DUMMYFUNCTION("""COMPUTED_VALUE"""),"Building")</f>
        <v>Building</v>
      </c>
      <c r="D9655" s="2" t="str">
        <f ca="1">IFERROR(__xludf.DUMMYFUNCTION("""COMPUTED_VALUE"""),"Sharjah&gt;Al Nahda (Sharjah)&gt;R&amp;S Building")</f>
        <v>Sharjah&gt;Al Nahda (Sharjah)&gt;R&amp;S Building</v>
      </c>
      <c r="E9655" s="2"/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  <c r="W9655" s="2"/>
      <c r="X9655" s="2"/>
      <c r="Y9655" s="2"/>
      <c r="Z9655" s="2"/>
    </row>
    <row r="9656" spans="1:26" ht="16.5" x14ac:dyDescent="0.35">
      <c r="A9656" s="2" t="str">
        <f ca="1">IFERROR(__xludf.DUMMYFUNCTION("""COMPUTED_VALUE"""),"Sharjah")</f>
        <v>Sharjah</v>
      </c>
      <c r="B9656" s="2" t="str">
        <f ca="1">IFERROR(__xludf.DUMMYFUNCTION("""COMPUTED_VALUE"""),"Al Mubarakiya Tower")</f>
        <v>Al Mubarakiya Tower</v>
      </c>
      <c r="C9656" s="2" t="str">
        <f ca="1">IFERROR(__xludf.DUMMYFUNCTION("""COMPUTED_VALUE"""),"Building")</f>
        <v>Building</v>
      </c>
      <c r="D9656" s="2" t="str">
        <f ca="1">IFERROR(__xludf.DUMMYFUNCTION("""COMPUTED_VALUE"""),"Sharjah&gt;Al Nahda (Sharjah)&gt;Al Mubarakiya Tower")</f>
        <v>Sharjah&gt;Al Nahda (Sharjah)&gt;Al Mubarakiya Tower</v>
      </c>
      <c r="E9656" s="2"/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  <c r="W9656" s="2"/>
      <c r="X9656" s="2"/>
      <c r="Y9656" s="2"/>
      <c r="Z9656" s="2"/>
    </row>
    <row r="9657" spans="1:26" ht="16.5" x14ac:dyDescent="0.35">
      <c r="A9657" s="2" t="str">
        <f ca="1">IFERROR(__xludf.DUMMYFUNCTION("""COMPUTED_VALUE"""),"Sharjah")</f>
        <v>Sharjah</v>
      </c>
      <c r="B9657" s="2" t="str">
        <f ca="1">IFERROR(__xludf.DUMMYFUNCTION("""COMPUTED_VALUE"""),"Misk 4")</f>
        <v>Misk 4</v>
      </c>
      <c r="C9657" s="2" t="str">
        <f ca="1">IFERROR(__xludf.DUMMYFUNCTION("""COMPUTED_VALUE"""),"Building")</f>
        <v>Building</v>
      </c>
      <c r="D9657" s="2" t="str">
        <f ca="1">IFERROR(__xludf.DUMMYFUNCTION("""COMPUTED_VALUE"""),"Sharjah&gt;Aljada&gt;Misk Apartments&gt;Misk 4")</f>
        <v>Sharjah&gt;Aljada&gt;Misk Apartments&gt;Misk 4</v>
      </c>
      <c r="E9657" s="2"/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  <c r="W9657" s="2"/>
      <c r="X9657" s="2"/>
      <c r="Y9657" s="2"/>
      <c r="Z9657" s="2"/>
    </row>
    <row r="9658" spans="1:26" ht="16.5" x14ac:dyDescent="0.35">
      <c r="A9658" s="2" t="str">
        <f ca="1">IFERROR(__xludf.DUMMYFUNCTION("""COMPUTED_VALUE"""),"Sharjah")</f>
        <v>Sharjah</v>
      </c>
      <c r="B9658" s="2" t="str">
        <f ca="1">IFERROR(__xludf.DUMMYFUNCTION("""COMPUTED_VALUE"""),"The Boulevard 1")</f>
        <v>The Boulevard 1</v>
      </c>
      <c r="C9658" s="2" t="str">
        <f ca="1">IFERROR(__xludf.DUMMYFUNCTION("""COMPUTED_VALUE"""),"Building")</f>
        <v>Building</v>
      </c>
      <c r="D9658" s="2" t="str">
        <f ca="1">IFERROR(__xludf.DUMMYFUNCTION("""COMPUTED_VALUE"""),"Sharjah&gt;Aljada&gt;Naseej District&gt;The Boulevard&gt;The Boulevard 1")</f>
        <v>Sharjah&gt;Aljada&gt;Naseej District&gt;The Boulevard&gt;The Boulevard 1</v>
      </c>
      <c r="E9658" s="2"/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  <c r="W9658" s="2"/>
      <c r="X9658" s="2"/>
      <c r="Y9658" s="2"/>
      <c r="Z9658" s="2"/>
    </row>
    <row r="9659" spans="1:26" ht="16.5" x14ac:dyDescent="0.35">
      <c r="A9659" s="2" t="str">
        <f ca="1">IFERROR(__xludf.DUMMYFUNCTION("""COMPUTED_VALUE"""),"Sharjah")</f>
        <v>Sharjah</v>
      </c>
      <c r="B9659" s="2" t="str">
        <f ca="1">IFERROR(__xludf.DUMMYFUNCTION("""COMPUTED_VALUE"""),"Rove Home Aljada")</f>
        <v>Rove Home Aljada</v>
      </c>
      <c r="C9659" s="2" t="str">
        <f ca="1">IFERROR(__xludf.DUMMYFUNCTION("""COMPUTED_VALUE"""),"Building")</f>
        <v>Building</v>
      </c>
      <c r="D9659" s="2" t="str">
        <f ca="1">IFERROR(__xludf.DUMMYFUNCTION("""COMPUTED_VALUE"""),"Sharjah&gt;Aljada&gt;Rove Home Aljada")</f>
        <v>Sharjah&gt;Aljada&gt;Rove Home Aljada</v>
      </c>
      <c r="E9659" s="2"/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  <c r="W9659" s="2"/>
      <c r="X9659" s="2"/>
      <c r="Y9659" s="2"/>
      <c r="Z9659" s="2"/>
    </row>
    <row r="9660" spans="1:26" ht="16.5" x14ac:dyDescent="0.35">
      <c r="A9660" s="2" t="str">
        <f ca="1">IFERROR(__xludf.DUMMYFUNCTION("""COMPUTED_VALUE"""),"Sharjah")</f>
        <v>Sharjah</v>
      </c>
      <c r="B9660" s="2" t="str">
        <f ca="1">IFERROR(__xludf.DUMMYFUNCTION("""COMPUTED_VALUE"""),"Al Rifah")</f>
        <v>Al Rifah</v>
      </c>
      <c r="C9660" s="2" t="str">
        <f ca="1">IFERROR(__xludf.DUMMYFUNCTION("""COMPUTED_VALUE"""),"Neighbourhood")</f>
        <v>Neighbourhood</v>
      </c>
      <c r="D9660" s="2" t="str">
        <f ca="1">IFERROR(__xludf.DUMMYFUNCTION("""COMPUTED_VALUE"""),"Sharjah&gt;Al Rifah")</f>
        <v>Sharjah&gt;Al Rifah</v>
      </c>
      <c r="E9660" s="2"/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  <c r="W9660" s="2"/>
      <c r="X9660" s="2"/>
      <c r="Y9660" s="2"/>
      <c r="Z9660" s="2"/>
    </row>
    <row r="9661" spans="1:26" ht="16.5" x14ac:dyDescent="0.35">
      <c r="A9661" s="2" t="str">
        <f ca="1">IFERROR(__xludf.DUMMYFUNCTION("""COMPUTED_VALUE"""),"Sharjah")</f>
        <v>Sharjah</v>
      </c>
      <c r="B9661" s="2" t="str">
        <f ca="1">IFERROR(__xludf.DUMMYFUNCTION("""COMPUTED_VALUE"""),"Al Dar Building")</f>
        <v>Al Dar Building</v>
      </c>
      <c r="C9661" s="2"/>
      <c r="D9661" s="2" t="str">
        <f ca="1">IFERROR(__xludf.DUMMYFUNCTION("""COMPUTED_VALUE"""),"Sharjah&gt;Abu Shagara&gt;Al Dar Building")</f>
        <v>Sharjah&gt;Abu Shagara&gt;Al Dar Building</v>
      </c>
      <c r="E9661" s="2"/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</row>
    <row r="9662" spans="1:26" ht="16.5" x14ac:dyDescent="0.35">
      <c r="A9662" s="2" t="str">
        <f ca="1">IFERROR(__xludf.DUMMYFUNCTION("""COMPUTED_VALUE"""),"Sharjah")</f>
        <v>Sharjah</v>
      </c>
      <c r="B9662" s="2" t="str">
        <f ca="1">IFERROR(__xludf.DUMMYFUNCTION("""COMPUTED_VALUE"""),"Al Mamzar Lagoon Building")</f>
        <v>Al Mamzar Lagoon Building</v>
      </c>
      <c r="C9662" s="2" t="str">
        <f ca="1">IFERROR(__xludf.DUMMYFUNCTION("""COMPUTED_VALUE"""),"Building")</f>
        <v>Building</v>
      </c>
      <c r="D9662" s="2" t="str">
        <f ca="1">IFERROR(__xludf.DUMMYFUNCTION("""COMPUTED_VALUE"""),"Sharjah&gt;Al Mamzar&gt;Al Mamzar Lagoon Building")</f>
        <v>Sharjah&gt;Al Mamzar&gt;Al Mamzar Lagoon Building</v>
      </c>
      <c r="E9662" s="2"/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  <c r="W9662" s="2"/>
      <c r="X9662" s="2"/>
      <c r="Y9662" s="2"/>
      <c r="Z9662" s="2"/>
    </row>
    <row r="9663" spans="1:26" ht="16.5" x14ac:dyDescent="0.35">
      <c r="A9663" s="2" t="str">
        <f ca="1">IFERROR(__xludf.DUMMYFUNCTION("""COMPUTED_VALUE"""),"Sharjah")</f>
        <v>Sharjah</v>
      </c>
      <c r="B9663" s="2" t="str">
        <f ca="1">IFERROR(__xludf.DUMMYFUNCTION("""COMPUTED_VALUE"""),"Al Jubail")</f>
        <v>Al Jubail</v>
      </c>
      <c r="C9663" s="2" t="str">
        <f ca="1">IFERROR(__xludf.DUMMYFUNCTION("""COMPUTED_VALUE"""),"Neighbourhood")</f>
        <v>Neighbourhood</v>
      </c>
      <c r="D9663" s="2" t="str">
        <f ca="1">IFERROR(__xludf.DUMMYFUNCTION("""COMPUTED_VALUE"""),"Sharjah&gt;Al Jubail")</f>
        <v>Sharjah&gt;Al Jubail</v>
      </c>
      <c r="E9663" s="2"/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</row>
    <row r="9664" spans="1:26" ht="16.5" x14ac:dyDescent="0.35">
      <c r="A9664" s="2" t="str">
        <f ca="1">IFERROR(__xludf.DUMMYFUNCTION("""COMPUTED_VALUE"""),"Sharjah")</f>
        <v>Sharjah</v>
      </c>
      <c r="B9664" s="2" t="str">
        <f ca="1">IFERROR(__xludf.DUMMYFUNCTION("""COMPUTED_VALUE"""),"Naseem Villas")</f>
        <v>Naseem Villas</v>
      </c>
      <c r="C9664" s="2"/>
      <c r="D9664" s="2" t="str">
        <f ca="1">IFERROR(__xludf.DUMMYFUNCTION("""COMPUTED_VALUE"""),"Sharjah&gt;Tilal City&gt;Naseem Villas")</f>
        <v>Sharjah&gt;Tilal City&gt;Naseem Villas</v>
      </c>
      <c r="E9664" s="2"/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</row>
    <row r="9665" spans="1:26" ht="16.5" x14ac:dyDescent="0.35">
      <c r="A9665" s="2" t="str">
        <f ca="1">IFERROR(__xludf.DUMMYFUNCTION("""COMPUTED_VALUE"""),"Sharjah")</f>
        <v>Sharjah</v>
      </c>
      <c r="B9665" s="2" t="str">
        <f ca="1">IFERROR(__xludf.DUMMYFUNCTION("""COMPUTED_VALUE"""),"Al Nasserya")</f>
        <v>Al Nasserya</v>
      </c>
      <c r="C9665" s="2" t="str">
        <f ca="1">IFERROR(__xludf.DUMMYFUNCTION("""COMPUTED_VALUE"""),"Neighbourhood")</f>
        <v>Neighbourhood</v>
      </c>
      <c r="D9665" s="2" t="str">
        <f ca="1">IFERROR(__xludf.DUMMYFUNCTION("""COMPUTED_VALUE"""),"Sharjah&gt;Al Nasserya")</f>
        <v>Sharjah&gt;Al Nasserya</v>
      </c>
      <c r="E9665" s="2"/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</row>
    <row r="9666" spans="1:26" ht="16.5" x14ac:dyDescent="0.35">
      <c r="A9666" s="2" t="str">
        <f ca="1">IFERROR(__xludf.DUMMYFUNCTION("""COMPUTED_VALUE"""),"Sharjah")</f>
        <v>Sharjah</v>
      </c>
      <c r="B9666" s="2" t="str">
        <f ca="1">IFERROR(__xludf.DUMMYFUNCTION("""COMPUTED_VALUE"""),"Lootha Building")</f>
        <v>Lootha Building</v>
      </c>
      <c r="C9666" s="2" t="str">
        <f ca="1">IFERROR(__xludf.DUMMYFUNCTION("""COMPUTED_VALUE"""),"Building")</f>
        <v>Building</v>
      </c>
      <c r="D9666" s="2" t="str">
        <f ca="1">IFERROR(__xludf.DUMMYFUNCTION("""COMPUTED_VALUE"""),"Sharjah&gt;Al Musalla&gt;Lootha Building")</f>
        <v>Sharjah&gt;Al Musalla&gt;Lootha Building</v>
      </c>
      <c r="E9666" s="2"/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</row>
    <row r="9667" spans="1:26" ht="16.5" x14ac:dyDescent="0.35">
      <c r="A9667" s="2" t="str">
        <f ca="1">IFERROR(__xludf.DUMMYFUNCTION("""COMPUTED_VALUE"""),"Sharjah")</f>
        <v>Sharjah</v>
      </c>
      <c r="B9667" s="2" t="str">
        <f ca="1">IFERROR(__xludf.DUMMYFUNCTION("""COMPUTED_VALUE"""),"Al Nekhailat")</f>
        <v>Al Nekhailat</v>
      </c>
      <c r="C9667" s="2" t="str">
        <f ca="1">IFERROR(__xludf.DUMMYFUNCTION("""COMPUTED_VALUE"""),"Neighbourhood")</f>
        <v>Neighbourhood</v>
      </c>
      <c r="D9667" s="2" t="str">
        <f ca="1">IFERROR(__xludf.DUMMYFUNCTION("""COMPUTED_VALUE"""),"Sharjah&gt;Al Nekhailat")</f>
        <v>Sharjah&gt;Al Nekhailat</v>
      </c>
      <c r="E9667" s="2"/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</row>
    <row r="9668" spans="1:26" ht="16.5" x14ac:dyDescent="0.35">
      <c r="A9668" s="2" t="str">
        <f ca="1">IFERROR(__xludf.DUMMYFUNCTION("""COMPUTED_VALUE"""),"Sharjah")</f>
        <v>Sharjah</v>
      </c>
      <c r="B9668" s="2" t="str">
        <f ca="1">IFERROR(__xludf.DUMMYFUNCTION("""COMPUTED_VALUE"""),"SCIDC Building")</f>
        <v>SCIDC Building</v>
      </c>
      <c r="C9668" s="2"/>
      <c r="D9668" s="2" t="str">
        <f ca="1">IFERROR(__xludf.DUMMYFUNCTION("""COMPUTED_VALUE"""),"Sharjah&gt;Al Mareija&gt;SCIDC Building")</f>
        <v>Sharjah&gt;Al Mareija&gt;SCIDC Building</v>
      </c>
      <c r="E9668" s="2"/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  <c r="W9668" s="2"/>
      <c r="X9668" s="2"/>
      <c r="Y9668" s="2"/>
      <c r="Z9668" s="2"/>
    </row>
    <row r="9669" spans="1:26" ht="16.5" x14ac:dyDescent="0.35">
      <c r="A9669" s="2" t="str">
        <f ca="1">IFERROR(__xludf.DUMMYFUNCTION("""COMPUTED_VALUE"""),"Sharjah")</f>
        <v>Sharjah</v>
      </c>
      <c r="B9669" s="2" t="str">
        <f ca="1">IFERROR(__xludf.DUMMYFUNCTION("""COMPUTED_VALUE"""),"The View Island")</f>
        <v>The View Island</v>
      </c>
      <c r="C9669" s="2" t="str">
        <f ca="1">IFERROR(__xludf.DUMMYFUNCTION("""COMPUTED_VALUE"""),"Neighbourhood")</f>
        <v>Neighbourhood</v>
      </c>
      <c r="D9669" s="2" t="str">
        <f ca="1">IFERROR(__xludf.DUMMYFUNCTION("""COMPUTED_VALUE"""),"Sharjah&gt;Ajmal Makan City - Sharjah Waterfront&gt;The View Island")</f>
        <v>Sharjah&gt;Ajmal Makan City - Sharjah Waterfront&gt;The View Island</v>
      </c>
      <c r="E9669" s="2"/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  <c r="W9669" s="2"/>
      <c r="X9669" s="2"/>
      <c r="Y9669" s="2"/>
      <c r="Z9669" s="2"/>
    </row>
    <row r="9670" spans="1:26" ht="16.5" x14ac:dyDescent="0.35">
      <c r="A9670" s="2" t="str">
        <f ca="1">IFERROR(__xludf.DUMMYFUNCTION("""COMPUTED_VALUE"""),"Sharjah")</f>
        <v>Sharjah</v>
      </c>
      <c r="B9670" s="2" t="str">
        <f ca="1">IFERROR(__xludf.DUMMYFUNCTION("""COMPUTED_VALUE"""),"GGICO Qasimia 10")</f>
        <v>GGICO Qasimia 10</v>
      </c>
      <c r="C9670" s="2"/>
      <c r="D9670" s="2" t="str">
        <f ca="1">IFERROR(__xludf.DUMMYFUNCTION("""COMPUTED_VALUE"""),"Sharjah&gt;Al Mahatah&gt;GGICO Qasimia 10")</f>
        <v>Sharjah&gt;Al Mahatah&gt;GGICO Qasimia 10</v>
      </c>
      <c r="E9670" s="2"/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  <c r="W9670" s="2"/>
      <c r="X9670" s="2"/>
      <c r="Y9670" s="2"/>
      <c r="Z9670" s="2"/>
    </row>
    <row r="9671" spans="1:26" ht="16.5" x14ac:dyDescent="0.35">
      <c r="A9671" s="2" t="str">
        <f ca="1">IFERROR(__xludf.DUMMYFUNCTION("""COMPUTED_VALUE"""),"Sharjah")</f>
        <v>Sharjah</v>
      </c>
      <c r="B9671" s="2" t="str">
        <f ca="1">IFERROR(__xludf.DUMMYFUNCTION("""COMPUTED_VALUE"""),"Qasimia University Building")</f>
        <v>Qasimia University Building</v>
      </c>
      <c r="C9671" s="2"/>
      <c r="D9671" s="2" t="str">
        <f ca="1">IFERROR(__xludf.DUMMYFUNCTION("""COMPUTED_VALUE"""),"Sharjah&gt;Al Khan&gt;Qasimia University Building")</f>
        <v>Sharjah&gt;Al Khan&gt;Qasimia University Building</v>
      </c>
      <c r="E9671" s="2"/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  <c r="W9671" s="2"/>
      <c r="X9671" s="2"/>
      <c r="Y9671" s="2"/>
      <c r="Z9671" s="2"/>
    </row>
    <row r="9672" spans="1:26" ht="16.5" x14ac:dyDescent="0.35">
      <c r="A9672" s="2" t="str">
        <f ca="1">IFERROR(__xludf.DUMMYFUNCTION("""COMPUTED_VALUE"""),"Sharjah")</f>
        <v>Sharjah</v>
      </c>
      <c r="B9672" s="2" t="str">
        <f ca="1">IFERROR(__xludf.DUMMYFUNCTION("""COMPUTED_VALUE"""),"Al Khan Palace")</f>
        <v>Al Khan Palace</v>
      </c>
      <c r="C9672" s="2"/>
      <c r="D9672" s="2" t="str">
        <f ca="1">IFERROR(__xludf.DUMMYFUNCTION("""COMPUTED_VALUE"""),"Sharjah&gt;Al Khan&gt;Al Khan Palace")</f>
        <v>Sharjah&gt;Al Khan&gt;Al Khan Palace</v>
      </c>
      <c r="E9672" s="2"/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  <c r="W9672" s="2"/>
      <c r="X9672" s="2"/>
      <c r="Y9672" s="2"/>
      <c r="Z9672" s="2"/>
    </row>
    <row r="9673" spans="1:26" ht="16.5" x14ac:dyDescent="0.35">
      <c r="A9673" s="2" t="str">
        <f ca="1">IFERROR(__xludf.DUMMYFUNCTION("""COMPUTED_VALUE"""),"Sharjah")</f>
        <v>Sharjah</v>
      </c>
      <c r="B9673" s="2" t="str">
        <f ca="1">IFERROR(__xludf.DUMMYFUNCTION("""COMPUTED_VALUE"""),"Jawaher Residences")</f>
        <v>Jawaher Residences</v>
      </c>
      <c r="C9673" s="2" t="str">
        <f ca="1">IFERROR(__xludf.DUMMYFUNCTION("""COMPUTED_VALUE"""),"Cluster")</f>
        <v>Cluster</v>
      </c>
      <c r="D9673" s="2" t="str">
        <f ca="1">IFERROR(__xludf.DUMMYFUNCTION("""COMPUTED_VALUE"""),"Sharjah&gt;Al Khan&gt;Maryam Island&gt;Jawaher Residences")</f>
        <v>Sharjah&gt;Al Khan&gt;Maryam Island&gt;Jawaher Residences</v>
      </c>
      <c r="E9673" s="2"/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  <c r="W9673" s="2"/>
      <c r="X9673" s="2"/>
      <c r="Y9673" s="2"/>
      <c r="Z9673" s="2"/>
    </row>
    <row r="9674" spans="1:26" ht="16.5" x14ac:dyDescent="0.35">
      <c r="A9674" s="2" t="str">
        <f ca="1">IFERROR(__xludf.DUMMYFUNCTION("""COMPUTED_VALUE"""),"Sharjah")</f>
        <v>Sharjah</v>
      </c>
      <c r="B9674" s="2" t="str">
        <f ca="1">IFERROR(__xludf.DUMMYFUNCTION("""COMPUTED_VALUE"""),"Bin Kamil Tower")</f>
        <v>Bin Kamil Tower</v>
      </c>
      <c r="C9674" s="2"/>
      <c r="D9674" s="2" t="str">
        <f ca="1">IFERROR(__xludf.DUMMYFUNCTION("""COMPUTED_VALUE"""),"Sharjah&gt;Al Khan&gt;Bin Kamil Tower")</f>
        <v>Sharjah&gt;Al Khan&gt;Bin Kamil Tower</v>
      </c>
      <c r="E9674" s="2"/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  <c r="W9674" s="2"/>
      <c r="X9674" s="2"/>
      <c r="Y9674" s="2"/>
      <c r="Z9674" s="2"/>
    </row>
    <row r="9675" spans="1:26" ht="16.5" x14ac:dyDescent="0.35">
      <c r="A9675" s="2" t="str">
        <f ca="1">IFERROR(__xludf.DUMMYFUNCTION("""COMPUTED_VALUE"""),"Sharjah")</f>
        <v>Sharjah</v>
      </c>
      <c r="B9675" s="2" t="str">
        <f ca="1">IFERROR(__xludf.DUMMYFUNCTION("""COMPUTED_VALUE"""),"Ameer Bu Khamseen Tower 3")</f>
        <v>Ameer Bu Khamseen Tower 3</v>
      </c>
      <c r="C9675" s="2"/>
      <c r="D9675" s="2" t="str">
        <f ca="1">IFERROR(__xludf.DUMMYFUNCTION("""COMPUTED_VALUE"""),"Sharjah&gt;Al Majaz&gt;Al Majaz 2&gt;Ameer Bu Khamseen Tower 3")</f>
        <v>Sharjah&gt;Al Majaz&gt;Al Majaz 2&gt;Ameer Bu Khamseen Tower 3</v>
      </c>
      <c r="E9675" s="2"/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  <c r="W9675" s="2"/>
      <c r="X9675" s="2"/>
      <c r="Y9675" s="2"/>
      <c r="Z9675" s="2"/>
    </row>
    <row r="9676" spans="1:26" ht="16.5" x14ac:dyDescent="0.35">
      <c r="A9676" s="2" t="str">
        <f ca="1">IFERROR(__xludf.DUMMYFUNCTION("""COMPUTED_VALUE"""),"Sharjah")</f>
        <v>Sharjah</v>
      </c>
      <c r="B9676" s="2" t="str">
        <f ca="1">IFERROR(__xludf.DUMMYFUNCTION("""COMPUTED_VALUE"""),"Al Yasmeen Tower")</f>
        <v>Al Yasmeen Tower</v>
      </c>
      <c r="C9676" s="2"/>
      <c r="D9676" s="2" t="str">
        <f ca="1">IFERROR(__xludf.DUMMYFUNCTION("""COMPUTED_VALUE"""),"Sharjah&gt;Al Majaz&gt;Al Majaz 2&gt;Al Yasmeen Tower")</f>
        <v>Sharjah&gt;Al Majaz&gt;Al Majaz 2&gt;Al Yasmeen Tower</v>
      </c>
      <c r="E9676" s="2"/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  <c r="W9676" s="2"/>
      <c r="X9676" s="2"/>
      <c r="Y9676" s="2"/>
      <c r="Z9676" s="2"/>
    </row>
    <row r="9677" spans="1:26" ht="16.5" x14ac:dyDescent="0.35">
      <c r="A9677" s="2" t="str">
        <f ca="1">IFERROR(__xludf.DUMMYFUNCTION("""COMPUTED_VALUE"""),"Sharjah")</f>
        <v>Sharjah</v>
      </c>
      <c r="B9677" s="2" t="str">
        <f ca="1">IFERROR(__xludf.DUMMYFUNCTION("""COMPUTED_VALUE"""),"Double Tree By Hilton")</f>
        <v>Double Tree By Hilton</v>
      </c>
      <c r="C9677" s="2"/>
      <c r="D9677" s="2" t="str">
        <f ca="1">IFERROR(__xludf.DUMMYFUNCTION("""COMPUTED_VALUE"""),"Sharjah&gt;Al Majaz&gt;Al Majaz 2&gt;Double Tree By Hilton")</f>
        <v>Sharjah&gt;Al Majaz&gt;Al Majaz 2&gt;Double Tree By Hilton</v>
      </c>
      <c r="E9677" s="2"/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  <c r="W9677" s="2"/>
      <c r="X9677" s="2"/>
      <c r="Y9677" s="2"/>
      <c r="Z9677" s="2"/>
    </row>
    <row r="9678" spans="1:26" ht="16.5" x14ac:dyDescent="0.35">
      <c r="A9678" s="2" t="str">
        <f ca="1">IFERROR(__xludf.DUMMYFUNCTION("""COMPUTED_VALUE"""),"Sharjah")</f>
        <v>Sharjah</v>
      </c>
      <c r="B9678" s="2" t="str">
        <f ca="1">IFERROR(__xludf.DUMMYFUNCTION("""COMPUTED_VALUE"""),"Mubarak Building")</f>
        <v>Mubarak Building</v>
      </c>
      <c r="C9678" s="2"/>
      <c r="D9678" s="2" t="str">
        <f ca="1">IFERROR(__xludf.DUMMYFUNCTION("""COMPUTED_VALUE"""),"Sharjah&gt;Al Majaz&gt;Al Majaz 3&gt;Mubarak Building")</f>
        <v>Sharjah&gt;Al Majaz&gt;Al Majaz 3&gt;Mubarak Building</v>
      </c>
      <c r="E9678" s="2"/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</row>
    <row r="9679" spans="1:26" ht="16.5" x14ac:dyDescent="0.35">
      <c r="A9679" s="2" t="str">
        <f ca="1">IFERROR(__xludf.DUMMYFUNCTION("""COMPUTED_VALUE"""),"Sharjah")</f>
        <v>Sharjah</v>
      </c>
      <c r="B9679" s="2" t="str">
        <f ca="1">IFERROR(__xludf.DUMMYFUNCTION("""COMPUTED_VALUE"""),"Crescent Tower")</f>
        <v>Crescent Tower</v>
      </c>
      <c r="C9679" s="2"/>
      <c r="D9679" s="2" t="str">
        <f ca="1">IFERROR(__xludf.DUMMYFUNCTION("""COMPUTED_VALUE"""),"Sharjah&gt;Al Majaz&gt;Al Majaz 3&gt;Crescent Tower")</f>
        <v>Sharjah&gt;Al Majaz&gt;Al Majaz 3&gt;Crescent Tower</v>
      </c>
      <c r="E9679" s="2"/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</row>
    <row r="9680" spans="1:26" ht="16.5" x14ac:dyDescent="0.35">
      <c r="A9680" s="2" t="str">
        <f ca="1">IFERROR(__xludf.DUMMYFUNCTION("""COMPUTED_VALUE"""),"Sharjah")</f>
        <v>Sharjah</v>
      </c>
      <c r="B9680" s="2" t="str">
        <f ca="1">IFERROR(__xludf.DUMMYFUNCTION("""COMPUTED_VALUE"""),"Jawaher Tower")</f>
        <v>Jawaher Tower</v>
      </c>
      <c r="C9680" s="2" t="str">
        <f ca="1">IFERROR(__xludf.DUMMYFUNCTION("""COMPUTED_VALUE"""),"Building")</f>
        <v>Building</v>
      </c>
      <c r="D9680" s="2" t="str">
        <f ca="1">IFERROR(__xludf.DUMMYFUNCTION("""COMPUTED_VALUE"""),"Sharjah&gt;Al Majaz&gt;Al Majaz 3&gt;Jawaher Tower")</f>
        <v>Sharjah&gt;Al Majaz&gt;Al Majaz 3&gt;Jawaher Tower</v>
      </c>
      <c r="E9680" s="2"/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</row>
    <row r="9681" spans="1:26" ht="16.5" x14ac:dyDescent="0.35">
      <c r="A9681" s="2" t="str">
        <f ca="1">IFERROR(__xludf.DUMMYFUNCTION("""COMPUTED_VALUE"""),"Sharjah")</f>
        <v>Sharjah</v>
      </c>
      <c r="B9681" s="2" t="str">
        <f ca="1">IFERROR(__xludf.DUMMYFUNCTION("""COMPUTED_VALUE"""),"Nasir Plaza")</f>
        <v>Nasir Plaza</v>
      </c>
      <c r="C9681" s="2" t="str">
        <f ca="1">IFERROR(__xludf.DUMMYFUNCTION("""COMPUTED_VALUE"""),"Building")</f>
        <v>Building</v>
      </c>
      <c r="D9681" s="2" t="str">
        <f ca="1">IFERROR(__xludf.DUMMYFUNCTION("""COMPUTED_VALUE"""),"Sharjah&gt;Al Majaz&gt;Al Majaz 1&gt;Nasir Plaza")</f>
        <v>Sharjah&gt;Al Majaz&gt;Al Majaz 1&gt;Nasir Plaza</v>
      </c>
      <c r="E9681" s="2"/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</row>
    <row r="9682" spans="1:26" ht="16.5" x14ac:dyDescent="0.35">
      <c r="A9682" s="2" t="str">
        <f ca="1">IFERROR(__xludf.DUMMYFUNCTION("""COMPUTED_VALUE"""),"Sharjah")</f>
        <v>Sharjah</v>
      </c>
      <c r="B9682" s="2" t="str">
        <f ca="1">IFERROR(__xludf.DUMMYFUNCTION("""COMPUTED_VALUE"""),"Hay Al Dibdibah South")</f>
        <v>Hay Al Dibdibah South</v>
      </c>
      <c r="C9682" s="2" t="str">
        <f ca="1">IFERROR(__xludf.DUMMYFUNCTION("""COMPUTED_VALUE"""),"Neighbourhood")</f>
        <v>Neighbourhood</v>
      </c>
      <c r="D9682" s="2" t="str">
        <f ca="1">IFERROR(__xludf.DUMMYFUNCTION("""COMPUTED_VALUE"""),"Sharjah&gt;Hay Al Dibdibah South")</f>
        <v>Sharjah&gt;Hay Al Dibdibah South</v>
      </c>
      <c r="E9682" s="2"/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</row>
    <row r="9683" spans="1:26" ht="16.5" x14ac:dyDescent="0.35">
      <c r="A9683" s="2" t="str">
        <f ca="1">IFERROR(__xludf.DUMMYFUNCTION("""COMPUTED_VALUE"""),"Sharjah")</f>
        <v>Sharjah</v>
      </c>
      <c r="B9683" s="2" t="str">
        <f ca="1">IFERROR(__xludf.DUMMYFUNCTION("""COMPUTED_VALUE"""),"Al Rasheed Tower")</f>
        <v>Al Rasheed Tower</v>
      </c>
      <c r="C9683" s="2" t="str">
        <f ca="1">IFERROR(__xludf.DUMMYFUNCTION("""COMPUTED_VALUE"""),"Building")</f>
        <v>Building</v>
      </c>
      <c r="D9683" s="2" t="str">
        <f ca="1">IFERROR(__xludf.DUMMYFUNCTION("""COMPUTED_VALUE"""),"Sharjah&gt;Al Taawun&gt;Al Rasheed Tower")</f>
        <v>Sharjah&gt;Al Taawun&gt;Al Rasheed Tower</v>
      </c>
      <c r="E9683" s="2"/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</row>
    <row r="9684" spans="1:26" ht="16.5" x14ac:dyDescent="0.35">
      <c r="A9684" s="2" t="str">
        <f ca="1">IFERROR(__xludf.DUMMYFUNCTION("""COMPUTED_VALUE"""),"Sharjah")</f>
        <v>Sharjah</v>
      </c>
      <c r="B9684" s="2" t="str">
        <f ca="1">IFERROR(__xludf.DUMMYFUNCTION("""COMPUTED_VALUE"""),"Cluttons B")</f>
        <v>Cluttons B</v>
      </c>
      <c r="C9684" s="2"/>
      <c r="D9684" s="2" t="str">
        <f ca="1">IFERROR(__xludf.DUMMYFUNCTION("""COMPUTED_VALUE"""),"Sharjah&gt;Al Qasimia&gt;Al Nad&gt;Cluttons B")</f>
        <v>Sharjah&gt;Al Qasimia&gt;Al Nad&gt;Cluttons B</v>
      </c>
      <c r="E9684" s="2"/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</row>
    <row r="9685" spans="1:26" ht="16.5" x14ac:dyDescent="0.35">
      <c r="A9685" s="2" t="str">
        <f ca="1">IFERROR(__xludf.DUMMYFUNCTION("""COMPUTED_VALUE"""),"Sharjah")</f>
        <v>Sharjah</v>
      </c>
      <c r="B9685" s="2" t="str">
        <f ca="1">IFERROR(__xludf.DUMMYFUNCTION("""COMPUTED_VALUE"""),"Al Masraf")</f>
        <v>Al Masraf</v>
      </c>
      <c r="C9685" s="2"/>
      <c r="D9685" s="2" t="str">
        <f ca="1">IFERROR(__xludf.DUMMYFUNCTION("""COMPUTED_VALUE"""),"Sharjah&gt;Al Qasimia&gt;Al Nad&gt;Al Masraf")</f>
        <v>Sharjah&gt;Al Qasimia&gt;Al Nad&gt;Al Masraf</v>
      </c>
      <c r="E9685" s="2"/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</row>
    <row r="9686" spans="1:26" ht="16.5" x14ac:dyDescent="0.35">
      <c r="A9686" s="2" t="str">
        <f ca="1">IFERROR(__xludf.DUMMYFUNCTION("""COMPUTED_VALUE"""),"Sharjah")</f>
        <v>Sharjah</v>
      </c>
      <c r="B9686" s="2" t="str">
        <f ca="1">IFERROR(__xludf.DUMMYFUNCTION("""COMPUTED_VALUE"""),"Manazil Tower 1 Al Nud")</f>
        <v>Manazil Tower 1 Al Nud</v>
      </c>
      <c r="C9686" s="2"/>
      <c r="D9686" s="2" t="str">
        <f ca="1">IFERROR(__xludf.DUMMYFUNCTION("""COMPUTED_VALUE"""),"Sharjah&gt;Al Qasimia&gt;Al Nad&gt;Manazil Tower 1 Al Nud")</f>
        <v>Sharjah&gt;Al Qasimia&gt;Al Nad&gt;Manazil Tower 1 Al Nud</v>
      </c>
      <c r="E9686" s="2"/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</row>
    <row r="9687" spans="1:26" ht="16.5" x14ac:dyDescent="0.35">
      <c r="A9687" s="2" t="str">
        <f ca="1">IFERROR(__xludf.DUMMYFUNCTION("""COMPUTED_VALUE"""),"Sharjah")</f>
        <v>Sharjah</v>
      </c>
      <c r="B9687" s="2" t="str">
        <f ca="1">IFERROR(__xludf.DUMMYFUNCTION("""COMPUTED_VALUE"""),"Al Maitha Tower 2")</f>
        <v>Al Maitha Tower 2</v>
      </c>
      <c r="C9687" s="2" t="str">
        <f ca="1">IFERROR(__xludf.DUMMYFUNCTION("""COMPUTED_VALUE"""),"Building")</f>
        <v>Building</v>
      </c>
      <c r="D9687" s="2" t="str">
        <f ca="1">IFERROR(__xludf.DUMMYFUNCTION("""COMPUTED_VALUE"""),"Sharjah&gt;Al Qasimia&gt;Al Maitha Tower 2")</f>
        <v>Sharjah&gt;Al Qasimia&gt;Al Maitha Tower 2</v>
      </c>
      <c r="E9687" s="2"/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</row>
    <row r="9688" spans="1:26" ht="16.5" x14ac:dyDescent="0.35">
      <c r="A9688" s="2" t="str">
        <f ca="1">IFERROR(__xludf.DUMMYFUNCTION("""COMPUTED_VALUE"""),"Sharjah")</f>
        <v>Sharjah</v>
      </c>
      <c r="B9688" s="2" t="str">
        <f ca="1">IFERROR(__xludf.DUMMYFUNCTION("""COMPUTED_VALUE"""),"Baiti Hotel Apartments")</f>
        <v>Baiti Hotel Apartments</v>
      </c>
      <c r="C9688" s="2"/>
      <c r="D9688" s="2" t="str">
        <f ca="1">IFERROR(__xludf.DUMMYFUNCTION("""COMPUTED_VALUE"""),"Sharjah&gt;Al Nabba&gt;Baiti Hotel Apartments")</f>
        <v>Sharjah&gt;Al Nabba&gt;Baiti Hotel Apartments</v>
      </c>
      <c r="E9688" s="2"/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</row>
    <row r="9689" spans="1:26" ht="16.5" x14ac:dyDescent="0.35">
      <c r="A9689" s="2" t="str">
        <f ca="1">IFERROR(__xludf.DUMMYFUNCTION("""COMPUTED_VALUE"""),"Sharjah")</f>
        <v>Sharjah</v>
      </c>
      <c r="B9689" s="2" t="str">
        <f ca="1">IFERROR(__xludf.DUMMYFUNCTION("""COMPUTED_VALUE"""),"Industrial Area 18")</f>
        <v>Industrial Area 18</v>
      </c>
      <c r="C9689" s="2" t="str">
        <f ca="1">IFERROR(__xludf.DUMMYFUNCTION("""COMPUTED_VALUE"""),"Neighbourhood")</f>
        <v>Neighbourhood</v>
      </c>
      <c r="D9689" s="2" t="str">
        <f ca="1">IFERROR(__xludf.DUMMYFUNCTION("""COMPUTED_VALUE"""),"Sharjah&gt;Industrial Area&gt;Industrial Area 18")</f>
        <v>Sharjah&gt;Industrial Area&gt;Industrial Area 18</v>
      </c>
      <c r="E9689" s="2"/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  <c r="W9689" s="2"/>
      <c r="X9689" s="2"/>
      <c r="Y9689" s="2"/>
      <c r="Z9689" s="2"/>
    </row>
    <row r="9690" spans="1:26" ht="16.5" x14ac:dyDescent="0.35">
      <c r="A9690" s="2" t="str">
        <f ca="1">IFERROR(__xludf.DUMMYFUNCTION("""COMPUTED_VALUE"""),"Sharjah")</f>
        <v>Sharjah</v>
      </c>
      <c r="B9690" s="2" t="str">
        <f ca="1">IFERROR(__xludf.DUMMYFUNCTION("""COMPUTED_VALUE"""),"SS 3")</f>
        <v>SS 3</v>
      </c>
      <c r="C9690" s="2" t="str">
        <f ca="1">IFERROR(__xludf.DUMMYFUNCTION("""COMPUTED_VALUE"""),"Building")</f>
        <v>Building</v>
      </c>
      <c r="D9690" s="2" t="str">
        <f ca="1">IFERROR(__xludf.DUMMYFUNCTION("""COMPUTED_VALUE"""),"Sharjah&gt;Muwaileh&gt;Al Mamsha&gt;Souks Residential&gt;SS 3")</f>
        <v>Sharjah&gt;Muwaileh&gt;Al Mamsha&gt;Souks Residential&gt;SS 3</v>
      </c>
      <c r="E9690" s="2"/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  <c r="W9690" s="2"/>
      <c r="X9690" s="2"/>
      <c r="Y9690" s="2"/>
      <c r="Z9690" s="2"/>
    </row>
    <row r="9691" spans="1:26" ht="16.5" x14ac:dyDescent="0.35">
      <c r="A9691" s="2" t="str">
        <f ca="1">IFERROR(__xludf.DUMMYFUNCTION("""COMPUTED_VALUE"""),"Sharjah")</f>
        <v>Sharjah</v>
      </c>
      <c r="B9691" s="2" t="str">
        <f ca="1">IFERROR(__xludf.DUMMYFUNCTION("""COMPUTED_VALUE"""),"Darb 1")</f>
        <v>Darb 1</v>
      </c>
      <c r="C9691" s="2" t="str">
        <f ca="1">IFERROR(__xludf.DUMMYFUNCTION("""COMPUTED_VALUE"""),"Building")</f>
        <v>Building</v>
      </c>
      <c r="D9691" s="2" t="str">
        <f ca="1">IFERROR(__xludf.DUMMYFUNCTION("""COMPUTED_VALUE"""),"Sharjah&gt;Muwaileh&gt;Al Mamsha&gt;Raseel&gt;Darb 1")</f>
        <v>Sharjah&gt;Muwaileh&gt;Al Mamsha&gt;Raseel&gt;Darb 1</v>
      </c>
      <c r="E9691" s="2"/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  <c r="W9691" s="2"/>
      <c r="X9691" s="2"/>
      <c r="Y9691" s="2"/>
      <c r="Z9691" s="2"/>
    </row>
    <row r="9692" spans="1:26" ht="16.5" x14ac:dyDescent="0.35">
      <c r="A9692" s="2" t="str">
        <f ca="1">IFERROR(__xludf.DUMMYFUNCTION("""COMPUTED_VALUE"""),"Sharjah")</f>
        <v>Sharjah</v>
      </c>
      <c r="B9692" s="2" t="str">
        <f ca="1">IFERROR(__xludf.DUMMYFUNCTION("""COMPUTED_VALUE"""),"Al Zahia Garden Apartments")</f>
        <v>Al Zahia Garden Apartments</v>
      </c>
      <c r="C9692" s="2" t="str">
        <f ca="1">IFERROR(__xludf.DUMMYFUNCTION("""COMPUTED_VALUE"""),"Cluster")</f>
        <v>Cluster</v>
      </c>
      <c r="D9692" s="2" t="str">
        <f ca="1">IFERROR(__xludf.DUMMYFUNCTION("""COMPUTED_VALUE"""),"Sharjah&gt;Muwaileh&gt;Al Zahia&gt;Al Zahia Garden Apartments")</f>
        <v>Sharjah&gt;Muwaileh&gt;Al Zahia&gt;Al Zahia Garden Apartments</v>
      </c>
      <c r="E9692" s="2"/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  <c r="W9692" s="2"/>
      <c r="X9692" s="2"/>
      <c r="Y9692" s="2"/>
      <c r="Z9692" s="2"/>
    </row>
    <row r="9693" spans="1:26" ht="16.5" x14ac:dyDescent="0.35">
      <c r="A9693" s="2" t="str">
        <f ca="1">IFERROR(__xludf.DUMMYFUNCTION("""COMPUTED_VALUE"""),"Sharjah")</f>
        <v>Sharjah</v>
      </c>
      <c r="B9693" s="2" t="str">
        <f ca="1">IFERROR(__xludf.DUMMYFUNCTION("""COMPUTED_VALUE"""),"SIB Building")</f>
        <v>SIB Building</v>
      </c>
      <c r="C9693" s="2"/>
      <c r="D9693" s="2" t="str">
        <f ca="1">IFERROR(__xludf.DUMMYFUNCTION("""COMPUTED_VALUE"""),"Sharjah&gt;Muwaileh Commercial&gt;SIB Building")</f>
        <v>Sharjah&gt;Muwaileh Commercial&gt;SIB Building</v>
      </c>
      <c r="E9693" s="2"/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</row>
    <row r="9694" spans="1:26" ht="16.5" x14ac:dyDescent="0.35">
      <c r="A9694" s="2" t="str">
        <f ca="1">IFERROR(__xludf.DUMMYFUNCTION("""COMPUTED_VALUE"""),"Sharjah")</f>
        <v>Sharjah</v>
      </c>
      <c r="B9694" s="2" t="str">
        <f ca="1">IFERROR(__xludf.DUMMYFUNCTION("""COMPUTED_VALUE"""),"5102 Muwaileh Building")</f>
        <v>5102 Muwaileh Building</v>
      </c>
      <c r="C9694" s="2" t="str">
        <f ca="1">IFERROR(__xludf.DUMMYFUNCTION("""COMPUTED_VALUE"""),"Building")</f>
        <v>Building</v>
      </c>
      <c r="D9694" s="2" t="str">
        <f ca="1">IFERROR(__xludf.DUMMYFUNCTION("""COMPUTED_VALUE"""),"Sharjah&gt;Muwaileh Commercial&gt;5102 Muwaileh Building")</f>
        <v>Sharjah&gt;Muwaileh Commercial&gt;5102 Muwaileh Building</v>
      </c>
      <c r="E9694" s="2"/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</row>
    <row r="9695" spans="1:26" ht="16.5" x14ac:dyDescent="0.35">
      <c r="A9695" s="2" t="str">
        <f ca="1">IFERROR(__xludf.DUMMYFUNCTION("""COMPUTED_VALUE"""),"Sharjah")</f>
        <v>Sharjah</v>
      </c>
      <c r="B9695" s="2" t="str">
        <f ca="1">IFERROR(__xludf.DUMMYFUNCTION("""COMPUTED_VALUE"""),"District 11")</f>
        <v>District 11</v>
      </c>
      <c r="C9695" s="2" t="str">
        <f ca="1">IFERROR(__xludf.DUMMYFUNCTION("""COMPUTED_VALUE"""),"Neighbourhood")</f>
        <v>Neighbourhood</v>
      </c>
      <c r="D9695" s="2" t="str">
        <f ca="1">IFERROR(__xludf.DUMMYFUNCTION("""COMPUTED_VALUE"""),"Sharjah&gt;Muwaileh Commercial&gt;District 11")</f>
        <v>Sharjah&gt;Muwaileh Commercial&gt;District 11</v>
      </c>
      <c r="E9695" s="2"/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</row>
    <row r="9696" spans="1:26" ht="16.5" x14ac:dyDescent="0.35">
      <c r="A9696" s="2" t="str">
        <f ca="1">IFERROR(__xludf.DUMMYFUNCTION("""COMPUTED_VALUE"""),"Al Ain")</f>
        <v>Al Ain</v>
      </c>
      <c r="B9696" s="2" t="str">
        <f ca="1">IFERROR(__xludf.DUMMYFUNCTION("""COMPUTED_VALUE"""),"Al Dafeinah")</f>
        <v>Al Dafeinah</v>
      </c>
      <c r="C9696" s="2" t="str">
        <f ca="1">IFERROR(__xludf.DUMMYFUNCTION("""COMPUTED_VALUE"""),"Neighbourhood")</f>
        <v>Neighbourhood</v>
      </c>
      <c r="D9696" s="2" t="str">
        <f ca="1">IFERROR(__xludf.DUMMYFUNCTION("""COMPUTED_VALUE"""),"Al Ain&gt;Asharij&gt;Al Dafeinah")</f>
        <v>Al Ain&gt;Asharij&gt;Al Dafeinah</v>
      </c>
      <c r="E9696" s="2"/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</row>
    <row r="9697" spans="1:26" ht="16.5" x14ac:dyDescent="0.35">
      <c r="A9697" s="2" t="str">
        <f ca="1">IFERROR(__xludf.DUMMYFUNCTION("""COMPUTED_VALUE"""),"Al Ain")</f>
        <v>Al Ain</v>
      </c>
      <c r="B9697" s="2" t="str">
        <f ca="1">IFERROR(__xludf.DUMMYFUNCTION("""COMPUTED_VALUE"""),"Al Reem Complex Block D")</f>
        <v>Al Reem Complex Block D</v>
      </c>
      <c r="C9697" s="2" t="str">
        <f ca="1">IFERROR(__xludf.DUMMYFUNCTION("""COMPUTED_VALUE"""),"Building")</f>
        <v>Building</v>
      </c>
      <c r="D9697" s="2" t="str">
        <f ca="1">IFERROR(__xludf.DUMMYFUNCTION("""COMPUTED_VALUE"""),"Al Ain&gt;Central District&gt;Al Rubainah&gt;Al Reem Complex&gt;Al Reem Complex Block D")</f>
        <v>Al Ain&gt;Central District&gt;Al Rubainah&gt;Al Reem Complex&gt;Al Reem Complex Block D</v>
      </c>
      <c r="E9697" s="2"/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</row>
    <row r="9698" spans="1:26" ht="16.5" x14ac:dyDescent="0.35">
      <c r="A9698" s="2" t="str">
        <f ca="1">IFERROR(__xludf.DUMMYFUNCTION("""COMPUTED_VALUE"""),"Al Ain")</f>
        <v>Al Ain</v>
      </c>
      <c r="B9698" s="2" t="str">
        <f ca="1">IFERROR(__xludf.DUMMYFUNCTION("""COMPUTED_VALUE"""),"Shabhanat Al Khabisi")</f>
        <v>Shabhanat Al Khabisi</v>
      </c>
      <c r="C9698" s="2" t="str">
        <f ca="1">IFERROR(__xludf.DUMMYFUNCTION("""COMPUTED_VALUE"""),"Neighbourhood")</f>
        <v>Neighbourhood</v>
      </c>
      <c r="D9698" s="2" t="str">
        <f ca="1">IFERROR(__xludf.DUMMYFUNCTION("""COMPUTED_VALUE"""),"Al Ain&gt;Al Khibeesi&gt;Shabhanat Al Khabisi")</f>
        <v>Al Ain&gt;Al Khibeesi&gt;Shabhanat Al Khabisi</v>
      </c>
      <c r="E9698" s="2"/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</row>
    <row r="9699" spans="1:26" ht="16.5" x14ac:dyDescent="0.35">
      <c r="A9699" s="2" t="str">
        <f ca="1">IFERROR(__xludf.DUMMYFUNCTION("""COMPUTED_VALUE"""),"Al Ain")</f>
        <v>Al Ain</v>
      </c>
      <c r="B9699" s="2" t="str">
        <f ca="1">IFERROR(__xludf.DUMMYFUNCTION("""COMPUTED_VALUE"""),"Al Ghadeer")</f>
        <v>Al Ghadeer</v>
      </c>
      <c r="C9699" s="2" t="str">
        <f ca="1">IFERROR(__xludf.DUMMYFUNCTION("""COMPUTED_VALUE"""),"Neighbourhood")</f>
        <v>Neighbourhood</v>
      </c>
      <c r="D9699" s="2" t="str">
        <f ca="1">IFERROR(__xludf.DUMMYFUNCTION("""COMPUTED_VALUE"""),"Al Ain&gt;Al Bateen&gt;Al Ghadeer")</f>
        <v>Al Ain&gt;Al Bateen&gt;Al Ghadeer</v>
      </c>
      <c r="E9699" s="2"/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</row>
    <row r="9700" spans="1:26" ht="16.5" x14ac:dyDescent="0.35">
      <c r="A9700" s="2" t="str">
        <f ca="1">IFERROR(__xludf.DUMMYFUNCTION("""COMPUTED_VALUE"""),"Al Ain")</f>
        <v>Al Ain</v>
      </c>
      <c r="B9700" s="2" t="str">
        <f ca="1">IFERROR(__xludf.DUMMYFUNCTION("""COMPUTED_VALUE"""),"Indian School Al Ain")</f>
        <v>Indian School Al Ain</v>
      </c>
      <c r="C9700" s="2" t="str">
        <f ca="1">IFERROR(__xludf.DUMMYFUNCTION("""COMPUTED_VALUE"""),"School")</f>
        <v>School</v>
      </c>
      <c r="D9700" s="2" t="str">
        <f ca="1">IFERROR(__xludf.DUMMYFUNCTION("""COMPUTED_VALUE"""),"Al Ain&gt;Falaj Hazzaa&gt;Indian School Al Ain")</f>
        <v>Al Ain&gt;Falaj Hazzaa&gt;Indian School Al Ain</v>
      </c>
      <c r="E9700" s="2"/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</row>
    <row r="9701" spans="1:26" ht="16.5" x14ac:dyDescent="0.35">
      <c r="A9701" s="2" t="str">
        <f ca="1">IFERROR(__xludf.DUMMYFUNCTION("""COMPUTED_VALUE"""),"Al Ain")</f>
        <v>Al Ain</v>
      </c>
      <c r="B9701" s="2" t="str">
        <f ca="1">IFERROR(__xludf.DUMMYFUNCTION("""COMPUTED_VALUE"""),"Al Faqa")</f>
        <v>Al Faqa</v>
      </c>
      <c r="C9701" s="2" t="str">
        <f ca="1">IFERROR(__xludf.DUMMYFUNCTION("""COMPUTED_VALUE"""),"Neighbourhood")</f>
        <v>Neighbourhood</v>
      </c>
      <c r="D9701" s="2" t="str">
        <f ca="1">IFERROR(__xludf.DUMMYFUNCTION("""COMPUTED_VALUE"""),"Al Ain&gt;Al Faqa")</f>
        <v>Al Ain&gt;Al Faqa</v>
      </c>
      <c r="E9701" s="2"/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  <c r="W9701" s="2"/>
      <c r="X9701" s="2"/>
      <c r="Y9701" s="2"/>
      <c r="Z9701" s="2"/>
    </row>
    <row r="9702" spans="1:26" ht="16.5" x14ac:dyDescent="0.35">
      <c r="A9702" s="2" t="str">
        <f ca="1">IFERROR(__xludf.DUMMYFUNCTION("""COMPUTED_VALUE"""),"Ras Al Khaimah")</f>
        <v>Ras Al Khaimah</v>
      </c>
      <c r="B9702" s="2" t="str">
        <f ca="1">IFERROR(__xludf.DUMMYFUNCTION("""COMPUTED_VALUE"""),"Al Hamra Industrial Zone")</f>
        <v>Al Hamra Industrial Zone</v>
      </c>
      <c r="C9702" s="2"/>
      <c r="D9702" s="2" t="str">
        <f ca="1">IFERROR(__xludf.DUMMYFUNCTION("""COMPUTED_VALUE"""),"Ras Al Khaimah&gt;Al Hamra Industrial Zone")</f>
        <v>Ras Al Khaimah&gt;Al Hamra Industrial Zone</v>
      </c>
      <c r="E9702" s="2"/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  <c r="W9702" s="2"/>
      <c r="X9702" s="2"/>
      <c r="Y9702" s="2"/>
      <c r="Z9702" s="2"/>
    </row>
    <row r="9703" spans="1:26" ht="16.5" x14ac:dyDescent="0.35">
      <c r="A9703" s="2" t="str">
        <f ca="1">IFERROR(__xludf.DUMMYFUNCTION("""COMPUTED_VALUE"""),"Ras Al Khaimah")</f>
        <v>Ras Al Khaimah</v>
      </c>
      <c r="B9703" s="2" t="str">
        <f ca="1">IFERROR(__xludf.DUMMYFUNCTION("""COMPUTED_VALUE"""),"Mirasol")</f>
        <v>Mirasol</v>
      </c>
      <c r="C9703" s="2" t="str">
        <f ca="1">IFERROR(__xludf.DUMMYFUNCTION("""COMPUTED_VALUE"""),"Building")</f>
        <v>Building</v>
      </c>
      <c r="D9703" s="2" t="str">
        <f ca="1">IFERROR(__xludf.DUMMYFUNCTION("""COMPUTED_VALUE"""),"Ras Al Khaimah&gt;Mina Al Arab&gt;Mirasol")</f>
        <v>Ras Al Khaimah&gt;Mina Al Arab&gt;Mirasol</v>
      </c>
      <c r="E9703" s="2"/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  <c r="W9703" s="2"/>
      <c r="X9703" s="2"/>
      <c r="Y9703" s="2"/>
      <c r="Z9703" s="2"/>
    </row>
    <row r="9704" spans="1:26" ht="16.5" x14ac:dyDescent="0.35">
      <c r="A9704" s="2" t="str">
        <f ca="1">IFERROR(__xludf.DUMMYFUNCTION("""COMPUTED_VALUE"""),"Ras Al Khaimah")</f>
        <v>Ras Al Khaimah</v>
      </c>
      <c r="B9704" s="2" t="str">
        <f ca="1">IFERROR(__xludf.DUMMYFUNCTION("""COMPUTED_VALUE"""),"Moonstone Residence")</f>
        <v>Moonstone Residence</v>
      </c>
      <c r="C9704" s="2" t="str">
        <f ca="1">IFERROR(__xludf.DUMMYFUNCTION("""COMPUTED_VALUE"""),"Building")</f>
        <v>Building</v>
      </c>
      <c r="D9704" s="2" t="str">
        <f ca="1">IFERROR(__xludf.DUMMYFUNCTION("""COMPUTED_VALUE"""),"Ras Al Khaimah&gt;Al Marjan Island&gt;Moonstone Residence")</f>
        <v>Ras Al Khaimah&gt;Al Marjan Island&gt;Moonstone Residence</v>
      </c>
      <c r="E9704" s="2"/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</row>
    <row r="9705" spans="1:26" ht="16.5" x14ac:dyDescent="0.35">
      <c r="A9705" s="2" t="str">
        <f ca="1">IFERROR(__xludf.DUMMYFUNCTION("""COMPUTED_VALUE"""),"Ras Al Khaimah")</f>
        <v>Ras Al Khaimah</v>
      </c>
      <c r="B9705" s="2" t="str">
        <f ca="1">IFERROR(__xludf.DUMMYFUNCTION("""COMPUTED_VALUE"""),"Costa Mare Tower 4")</f>
        <v>Costa Mare Tower 4</v>
      </c>
      <c r="C9705" s="2" t="str">
        <f ca="1">IFERROR(__xludf.DUMMYFUNCTION("""COMPUTED_VALUE"""),"Building")</f>
        <v>Building</v>
      </c>
      <c r="D9705" s="2" t="str">
        <f ca="1">IFERROR(__xludf.DUMMYFUNCTION("""COMPUTED_VALUE"""),"Ras Al Khaimah&gt;Al Marjan Island&gt;Costa Mare&gt;Costa Mare Tower 4")</f>
        <v>Ras Al Khaimah&gt;Al Marjan Island&gt;Costa Mare&gt;Costa Mare Tower 4</v>
      </c>
      <c r="E9705" s="2"/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</row>
    <row r="9706" spans="1:26" ht="16.5" x14ac:dyDescent="0.35">
      <c r="A9706" s="2" t="str">
        <f ca="1">IFERROR(__xludf.DUMMYFUNCTION("""COMPUTED_VALUE"""),"Ras Al Khaimah")</f>
        <v>Ras Al Khaimah</v>
      </c>
      <c r="B9706" s="2" t="str">
        <f ca="1">IFERROR(__xludf.DUMMYFUNCTION("""COMPUTED_VALUE"""),"Al Hamra Village Town Houses")</f>
        <v>Al Hamra Village Town Houses</v>
      </c>
      <c r="C9706" s="2"/>
      <c r="D9706" s="2" t="str">
        <f ca="1">IFERROR(__xludf.DUMMYFUNCTION("""COMPUTED_VALUE"""),"Ras Al Khaimah&gt;Al Hamra Village&gt;Al Hamra Village Town Houses")</f>
        <v>Ras Al Khaimah&gt;Al Hamra Village&gt;Al Hamra Village Town Houses</v>
      </c>
      <c r="E9706" s="2"/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  <c r="W9706" s="2"/>
      <c r="X9706" s="2"/>
      <c r="Y9706" s="2"/>
      <c r="Z9706" s="2"/>
    </row>
    <row r="9707" spans="1:26" ht="16.5" x14ac:dyDescent="0.35">
      <c r="A9707" s="2" t="str">
        <f ca="1">IFERROR(__xludf.DUMMYFUNCTION("""COMPUTED_VALUE"""),"Ras Al Khaimah")</f>
        <v>Ras Al Khaimah</v>
      </c>
      <c r="B9707" s="2" t="str">
        <f ca="1">IFERROR(__xludf.DUMMYFUNCTION("""COMPUTED_VALUE"""),"Yasmin Village")</f>
        <v>Yasmin Village</v>
      </c>
      <c r="C9707" s="2" t="str">
        <f ca="1">IFERROR(__xludf.DUMMYFUNCTION("""COMPUTED_VALUE"""),"Neighbourhood")</f>
        <v>Neighbourhood</v>
      </c>
      <c r="D9707" s="2" t="str">
        <f ca="1">IFERROR(__xludf.DUMMYFUNCTION("""COMPUTED_VALUE"""),"Ras Al Khaimah&gt;Yasmin Village")</f>
        <v>Ras Al Khaimah&gt;Yasmin Village</v>
      </c>
      <c r="E9707" s="2"/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  <c r="W9707" s="2"/>
      <c r="X9707" s="2"/>
      <c r="Y9707" s="2"/>
      <c r="Z9707" s="2"/>
    </row>
    <row r="9708" spans="1:26" ht="16.5" x14ac:dyDescent="0.35">
      <c r="A9708" s="2" t="str">
        <f ca="1">IFERROR(__xludf.DUMMYFUNCTION("""COMPUTED_VALUE"""),"Ras Al Khaimah")</f>
        <v>Ras Al Khaimah</v>
      </c>
      <c r="B9708" s="2" t="str">
        <f ca="1">IFERROR(__xludf.DUMMYFUNCTION("""COMPUTED_VALUE"""),"Al Jazeera - Nad Al Salla")</f>
        <v>Al Jazeera - Nad Al Salla</v>
      </c>
      <c r="C9708" s="2"/>
      <c r="D9708" s="2" t="str">
        <f ca="1">IFERROR(__xludf.DUMMYFUNCTION("""COMPUTED_VALUE"""),"Ras Al Khaimah&gt;Al Jazeera - Nad Al Salla")</f>
        <v>Ras Al Khaimah&gt;Al Jazeera - Nad Al Salla</v>
      </c>
      <c r="E9708" s="2"/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</row>
    <row r="9709" spans="1:26" ht="16.5" x14ac:dyDescent="0.35">
      <c r="A9709" s="2" t="str">
        <f ca="1">IFERROR(__xludf.DUMMYFUNCTION("""COMPUTED_VALUE"""),"Ras Al Khaimah")</f>
        <v>Ras Al Khaimah</v>
      </c>
      <c r="B9709" s="2" t="str">
        <f ca="1">IFERROR(__xludf.DUMMYFUNCTION("""COMPUTED_VALUE"""),"Union Tower")</f>
        <v>Union Tower</v>
      </c>
      <c r="C9709" s="2" t="str">
        <f ca="1">IFERROR(__xludf.DUMMYFUNCTION("""COMPUTED_VALUE"""),"Building")</f>
        <v>Building</v>
      </c>
      <c r="D9709" s="2" t="str">
        <f ca="1">IFERROR(__xludf.DUMMYFUNCTION("""COMPUTED_VALUE"""),"Ras Al Khaimah&gt;Al Seer&gt;Union Tower")</f>
        <v>Ras Al Khaimah&gt;Al Seer&gt;Union Tower</v>
      </c>
      <c r="E9709" s="2"/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</row>
    <row r="9710" spans="1:26" ht="16.5" x14ac:dyDescent="0.35">
      <c r="A9710" s="2" t="str">
        <f ca="1">IFERROR(__xludf.DUMMYFUNCTION("""COMPUTED_VALUE"""),"Ras Al Khaimah")</f>
        <v>Ras Al Khaimah</v>
      </c>
      <c r="B9710" s="2" t="str">
        <f ca="1">IFERROR(__xludf.DUMMYFUNCTION("""COMPUTED_VALUE"""),"GEMS Westminster School, Ras Al Khaimah")</f>
        <v>GEMS Westminster School, Ras Al Khaimah</v>
      </c>
      <c r="C9710" s="2" t="str">
        <f ca="1">IFERROR(__xludf.DUMMYFUNCTION("""COMPUTED_VALUE"""),"School")</f>
        <v>School</v>
      </c>
      <c r="D9710" s="2" t="str">
        <f ca="1">IFERROR(__xludf.DUMMYFUNCTION("""COMPUTED_VALUE"""),"Ras Al Khaimah&gt;Seih Al Uraibi&gt;GEMS Westminster School, Ras Al Khaimah")</f>
        <v>Ras Al Khaimah&gt;Seih Al Uraibi&gt;GEMS Westminster School, Ras Al Khaimah</v>
      </c>
      <c r="E9710" s="2"/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</row>
    <row r="9711" spans="1:26" ht="16.5" x14ac:dyDescent="0.35">
      <c r="A9711" s="2" t="str">
        <f ca="1">IFERROR(__xludf.DUMMYFUNCTION("""COMPUTED_VALUE"""),"Ras Al Khaimah")</f>
        <v>Ras Al Khaimah</v>
      </c>
      <c r="B9711" s="2" t="str">
        <f ca="1">IFERROR(__xludf.DUMMYFUNCTION("""COMPUTED_VALUE"""),"Sheikh Saqr City")</f>
        <v>Sheikh Saqr City</v>
      </c>
      <c r="C9711" s="2" t="str">
        <f ca="1">IFERROR(__xludf.DUMMYFUNCTION("""COMPUTED_VALUE"""),"Neighbourhood")</f>
        <v>Neighbourhood</v>
      </c>
      <c r="D9711" s="2" t="str">
        <f ca="1">IFERROR(__xludf.DUMMYFUNCTION("""COMPUTED_VALUE"""),"Ras Al Khaimah&gt;Sheikh Saqr City")</f>
        <v>Ras Al Khaimah&gt;Sheikh Saqr City</v>
      </c>
      <c r="E9711" s="2"/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</row>
    <row r="9712" spans="1:26" ht="16.5" x14ac:dyDescent="0.35">
      <c r="A9712" s="2" t="str">
        <f ca="1">IFERROR(__xludf.DUMMYFUNCTION("""COMPUTED_VALUE"""),"Umm Al Quwain")</f>
        <v>Umm Al Quwain</v>
      </c>
      <c r="B9712" s="2" t="str">
        <f ca="1">IFERROR(__xludf.DUMMYFUNCTION("""COMPUTED_VALUE"""),"Al Humrah D")</f>
        <v>Al Humrah D</v>
      </c>
      <c r="C9712" s="2"/>
      <c r="D9712" s="2" t="str">
        <f ca="1">IFERROR(__xludf.DUMMYFUNCTION("""COMPUTED_VALUE"""),"Umm Al Quwain&gt;Al Humrah&gt;Al Humrah D")</f>
        <v>Umm Al Quwain&gt;Al Humrah&gt;Al Humrah D</v>
      </c>
      <c r="E9712" s="2"/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  <c r="W9712" s="2"/>
      <c r="X9712" s="2"/>
      <c r="Y9712" s="2"/>
      <c r="Z9712" s="2"/>
    </row>
    <row r="9713" spans="1:26" ht="16.5" x14ac:dyDescent="0.35">
      <c r="A9713" s="2" t="str">
        <f ca="1">IFERROR(__xludf.DUMMYFUNCTION("""COMPUTED_VALUE"""),"Umm Al Quwain")</f>
        <v>Umm Al Quwain</v>
      </c>
      <c r="B9713" s="2" t="str">
        <f ca="1">IFERROR(__xludf.DUMMYFUNCTION("""COMPUTED_VALUE"""),"Selene Beach Residences")</f>
        <v>Selene Beach Residences</v>
      </c>
      <c r="C9713" s="2" t="str">
        <f ca="1">IFERROR(__xludf.DUMMYFUNCTION("""COMPUTED_VALUE"""),"Cluster")</f>
        <v>Cluster</v>
      </c>
      <c r="D9713" s="2" t="str">
        <f ca="1">IFERROR(__xludf.DUMMYFUNCTION("""COMPUTED_VALUE"""),"Umm Al Quwain&gt;Al Seanneeah&gt;Sobha Siniya Island&gt;Selene Beach Residences")</f>
        <v>Umm Al Quwain&gt;Al Seanneeah&gt;Sobha Siniya Island&gt;Selene Beach Residences</v>
      </c>
      <c r="E9713" s="2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  <c r="W9713" s="2"/>
      <c r="X9713" s="2"/>
      <c r="Y9713" s="2"/>
      <c r="Z9713" s="2"/>
    </row>
    <row r="9714" spans="1:26" ht="16.5" x14ac:dyDescent="0.35">
      <c r="A9714" s="2" t="str">
        <f ca="1">IFERROR(__xludf.DUMMYFUNCTION("""COMPUTED_VALUE"""),"Umm Al Quwain")</f>
        <v>Umm Al Quwain</v>
      </c>
      <c r="B9714" s="2" t="str">
        <f ca="1">IFERROR(__xludf.DUMMYFUNCTION("""COMPUTED_VALUE"""),"Pierside Marina Residence Tower C")</f>
        <v>Pierside Marina Residence Tower C</v>
      </c>
      <c r="C9714" s="2" t="str">
        <f ca="1">IFERROR(__xludf.DUMMYFUNCTION("""COMPUTED_VALUE"""),"Building")</f>
        <v>Building</v>
      </c>
      <c r="D9714" s="2" t="str">
        <f ca="1">IFERROR(__xludf.DUMMYFUNCTION("""COMPUTED_VALUE"""),"Umm Al Quwain&gt;Al Seanneeah&gt;Sobha Siniya Island&gt;Pierside Marina Residence&gt;Pierside Marina Residence Tower C")</f>
        <v>Umm Al Quwain&gt;Al Seanneeah&gt;Sobha Siniya Island&gt;Pierside Marina Residence&gt;Pierside Marina Residence Tower C</v>
      </c>
      <c r="E9714" s="2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  <c r="W9714" s="2"/>
      <c r="X9714" s="2"/>
      <c r="Y9714" s="2"/>
      <c r="Z9714" s="2"/>
    </row>
    <row r="9715" spans="1:26" ht="16.5" x14ac:dyDescent="0.35">
      <c r="A9715" s="2" t="str">
        <f ca="1">IFERROR(__xludf.DUMMYFUNCTION("""COMPUTED_VALUE"""),"Fujairah")</f>
        <v>Fujairah</v>
      </c>
      <c r="B9715" s="2" t="str">
        <f ca="1">IFERROR(__xludf.DUMMYFUNCTION("""COMPUTED_VALUE"""),"St. Mary’s Catholic High School, Fujairah")</f>
        <v>St. Mary’s Catholic High School, Fujairah</v>
      </c>
      <c r="C9715" s="2" t="str">
        <f ca="1">IFERROR(__xludf.DUMMYFUNCTION("""COMPUTED_VALUE"""),"School")</f>
        <v>School</v>
      </c>
      <c r="D9715" s="2" t="str">
        <f ca="1">IFERROR(__xludf.DUMMYFUNCTION("""COMPUTED_VALUE"""),"Fujairah&gt;St. Mary’s Catholic High School, Fujairah")</f>
        <v>Fujairah&gt;St. Mary’s Catholic High School, Fujairah</v>
      </c>
      <c r="E9715" s="2"/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</row>
    <row r="9716" spans="1:26" ht="16.5" x14ac:dyDescent="0.35">
      <c r="A9716" s="2" t="str">
        <f ca="1">IFERROR(__xludf.DUMMYFUNCTION("""COMPUTED_VALUE"""),"Fujairah")</f>
        <v>Fujairah</v>
      </c>
      <c r="B9716" s="2" t="str">
        <f ca="1">IFERROR(__xludf.DUMMYFUNCTION("""COMPUTED_VALUE"""),"Platinum Time Residence")</f>
        <v>Platinum Time Residence</v>
      </c>
      <c r="C9716" s="2" t="str">
        <f ca="1">IFERROR(__xludf.DUMMYFUNCTION("""COMPUTED_VALUE"""),"Building")</f>
        <v>Building</v>
      </c>
      <c r="D9716" s="2" t="str">
        <f ca="1">IFERROR(__xludf.DUMMYFUNCTION("""COMPUTED_VALUE"""),"Fujairah&gt;Al Faseel Area&gt;Platinum Time Residence")</f>
        <v>Fujairah&gt;Al Faseel Area&gt;Platinum Time Residence</v>
      </c>
      <c r="E9716" s="2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</row>
    <row r="9717" spans="1:26" ht="16.5" x14ac:dyDescent="0.35">
      <c r="A9717" s="2" t="str">
        <f ca="1">IFERROR(__xludf.DUMMYFUNCTION("""COMPUTED_VALUE"""),"Fujairah")</f>
        <v>Fujairah</v>
      </c>
      <c r="B9717" s="2" t="str">
        <f ca="1">IFERROR(__xludf.DUMMYFUNCTION("""COMPUTED_VALUE"""),"Al Bidya")</f>
        <v>Al Bidya</v>
      </c>
      <c r="C9717" s="2" t="str">
        <f ca="1">IFERROR(__xludf.DUMMYFUNCTION("""COMPUTED_VALUE"""),"Neighbourhood")</f>
        <v>Neighbourhood</v>
      </c>
      <c r="D9717" s="2" t="str">
        <f ca="1">IFERROR(__xludf.DUMMYFUNCTION("""COMPUTED_VALUE"""),"Fujairah&gt;Al Bidya")</f>
        <v>Fujairah&gt;Al Bidya</v>
      </c>
      <c r="E9717" s="2"/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</row>
    <row r="9718" spans="1:26" ht="16.5" x14ac:dyDescent="0.35">
      <c r="A9718" s="2" t="str">
        <f ca="1">IFERROR(__xludf.DUMMYFUNCTION("""COMPUTED_VALUE"""),"Dubai")</f>
        <v>Dubai</v>
      </c>
      <c r="B9718" s="2" t="str">
        <f ca="1">IFERROR(__xludf.DUMMYFUNCTION("""COMPUTED_VALUE"""),"Za'abeel")</f>
        <v>Za'abeel</v>
      </c>
      <c r="C9718" s="2" t="str">
        <f ca="1">IFERROR(__xludf.DUMMYFUNCTION("""COMPUTED_VALUE"""),"Neighbourhood")</f>
        <v>Neighbourhood</v>
      </c>
      <c r="D9718" s="2" t="str">
        <f ca="1">IFERROR(__xludf.DUMMYFUNCTION("""COMPUTED_VALUE"""),"Dubai&gt;Za'abeel")</f>
        <v>Dubai&gt;Za'abeel</v>
      </c>
      <c r="E9718" s="2"/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</row>
    <row r="9719" spans="1:26" ht="16.5" x14ac:dyDescent="0.35">
      <c r="A9719" s="2" t="str">
        <f ca="1">IFERROR(__xludf.DUMMYFUNCTION("""COMPUTED_VALUE"""),"Dubai")</f>
        <v>Dubai</v>
      </c>
      <c r="B9719" s="2" t="str">
        <f ca="1">IFERROR(__xludf.DUMMYFUNCTION("""COMPUTED_VALUE"""),"Toufiq Y")</f>
        <v>Toufiq Y</v>
      </c>
      <c r="C9719" s="2" t="str">
        <f ca="1">IFERROR(__xludf.DUMMYFUNCTION("""COMPUTED_VALUE"""),"Building")</f>
        <v>Building</v>
      </c>
      <c r="D9719" s="2" t="str">
        <f ca="1">IFERROR(__xludf.DUMMYFUNCTION("""COMPUTED_VALUE"""),"Dubai&gt;Ras Al Khor&gt;Ras Al Khor Industrial&gt;Ras Al Khor Industrial 2&gt;Toufiq Y")</f>
        <v>Dubai&gt;Ras Al Khor&gt;Ras Al Khor Industrial&gt;Ras Al Khor Industrial 2&gt;Toufiq Y</v>
      </c>
      <c r="E9719" s="2"/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  <c r="W9719" s="2"/>
      <c r="X9719" s="2"/>
      <c r="Y9719" s="2"/>
      <c r="Z9719" s="2"/>
    </row>
    <row r="9720" spans="1:26" ht="16.5" x14ac:dyDescent="0.35">
      <c r="A9720" s="2" t="str">
        <f ca="1">IFERROR(__xludf.DUMMYFUNCTION("""COMPUTED_VALUE"""),"Dubai")</f>
        <v>Dubai</v>
      </c>
      <c r="B9720" s="2" t="str">
        <f ca="1">IFERROR(__xludf.DUMMYFUNCTION("""COMPUTED_VALUE"""),"Ghaf Primary School, Dubai")</f>
        <v>Ghaf Primary School, Dubai</v>
      </c>
      <c r="C9720" s="2" t="str">
        <f ca="1">IFERROR(__xludf.DUMMYFUNCTION("""COMPUTED_VALUE"""),"School")</f>
        <v>School</v>
      </c>
      <c r="D9720" s="2" t="str">
        <f ca="1">IFERROR(__xludf.DUMMYFUNCTION("""COMPUTED_VALUE"""),"Dubai&gt;Jebel Ali&gt;Ghaf Primary School, Dubai")</f>
        <v>Dubai&gt;Jebel Ali&gt;Ghaf Primary School, Dubai</v>
      </c>
      <c r="E9720" s="2"/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  <c r="W9720" s="2"/>
      <c r="X9720" s="2"/>
      <c r="Y9720" s="2"/>
      <c r="Z9720" s="2"/>
    </row>
    <row r="9721" spans="1:26" ht="16.5" x14ac:dyDescent="0.35">
      <c r="A9721" s="2" t="str">
        <f ca="1">IFERROR(__xludf.DUMMYFUNCTION("""COMPUTED_VALUE"""),"Dubai")</f>
        <v>Dubai</v>
      </c>
      <c r="B9721" s="2" t="str">
        <f ca="1">IFERROR(__xludf.DUMMYFUNCTION("""COMPUTED_VALUE"""),"Sabah Square")</f>
        <v>Sabah Square</v>
      </c>
      <c r="C9721" s="2" t="str">
        <f ca="1">IFERROR(__xludf.DUMMYFUNCTION("""COMPUTED_VALUE"""),"Building")</f>
        <v>Building</v>
      </c>
      <c r="D9721" s="2" t="str">
        <f ca="1">IFERROR(__xludf.DUMMYFUNCTION("""COMPUTED_VALUE"""),"Dubai&gt;Jebel Ali&gt;Downtown Jebel Ali&gt;Sabah Square")</f>
        <v>Dubai&gt;Jebel Ali&gt;Downtown Jebel Ali&gt;Sabah Square</v>
      </c>
      <c r="E9721" s="2"/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  <c r="W9721" s="2"/>
      <c r="X9721" s="2"/>
      <c r="Y9721" s="2"/>
      <c r="Z9721" s="2"/>
    </row>
    <row r="9722" spans="1:26" ht="16.5" x14ac:dyDescent="0.35">
      <c r="A9722" s="2" t="str">
        <f ca="1">IFERROR(__xludf.DUMMYFUNCTION("""COMPUTED_VALUE"""),"Dubai")</f>
        <v>Dubai</v>
      </c>
      <c r="B9722" s="2" t="str">
        <f ca="1">IFERROR(__xludf.DUMMYFUNCTION("""COMPUTED_VALUE"""),"Saih Shuaib 1")</f>
        <v>Saih Shuaib 1</v>
      </c>
      <c r="C9722" s="2" t="str">
        <f ca="1">IFERROR(__xludf.DUMMYFUNCTION("""COMPUTED_VALUE"""),"Neighbourhood")</f>
        <v>Neighbourhood</v>
      </c>
      <c r="D9722" s="2" t="str">
        <f ca="1">IFERROR(__xludf.DUMMYFUNCTION("""COMPUTED_VALUE"""),"Dubai&gt;Jebel Ali&gt;Saih Shuaib 1")</f>
        <v>Dubai&gt;Jebel Ali&gt;Saih Shuaib 1</v>
      </c>
      <c r="E9722" s="2"/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</row>
    <row r="9723" spans="1:26" ht="16.5" x14ac:dyDescent="0.35">
      <c r="A9723" s="2" t="str">
        <f ca="1">IFERROR(__xludf.DUMMYFUNCTION("""COMPUTED_VALUE"""),"Dubai")</f>
        <v>Dubai</v>
      </c>
      <c r="B9723" s="2" t="str">
        <f ca="1">IFERROR(__xludf.DUMMYFUNCTION("""COMPUTED_VALUE"""),"Al Zarooni 4")</f>
        <v>Al Zarooni 4</v>
      </c>
      <c r="C9723" s="2" t="str">
        <f ca="1">IFERROR(__xludf.DUMMYFUNCTION("""COMPUTED_VALUE"""),"Building")</f>
        <v>Building</v>
      </c>
      <c r="D9723" s="2" t="str">
        <f ca="1">IFERROR(__xludf.DUMMYFUNCTION("""COMPUTED_VALUE"""),"Dubai&gt;Nad Al Hamar&gt;Al Zarooni 4")</f>
        <v>Dubai&gt;Nad Al Hamar&gt;Al Zarooni 4</v>
      </c>
      <c r="E9723" s="2"/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</row>
    <row r="9724" spans="1:26" ht="16.5" x14ac:dyDescent="0.35">
      <c r="A9724" s="2" t="str">
        <f ca="1">IFERROR(__xludf.DUMMYFUNCTION("""COMPUTED_VALUE"""),"Dubai")</f>
        <v>Dubai</v>
      </c>
      <c r="B9724" s="2" t="str">
        <f ca="1">IFERROR(__xludf.DUMMYFUNCTION("""COMPUTED_VALUE"""),"Circle Time Nursery Al Barsha")</f>
        <v>Circle Time Nursery Al Barsha</v>
      </c>
      <c r="C9724" s="2" t="str">
        <f ca="1">IFERROR(__xludf.DUMMYFUNCTION("""COMPUTED_VALUE"""),"Nursery")</f>
        <v>Nursery</v>
      </c>
      <c r="D9724" s="2" t="str">
        <f ca="1">IFERROR(__xludf.DUMMYFUNCTION("""COMPUTED_VALUE"""),"Dubai&gt;Al Barsha&gt;Al Barsha 1&gt;Circle Time Nursery Al Barsha")</f>
        <v>Dubai&gt;Al Barsha&gt;Al Barsha 1&gt;Circle Time Nursery Al Barsha</v>
      </c>
      <c r="E9724" s="2"/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  <c r="W9724" s="2"/>
      <c r="X9724" s="2"/>
      <c r="Y9724" s="2"/>
      <c r="Z9724" s="2"/>
    </row>
    <row r="9725" spans="1:26" ht="16.5" x14ac:dyDescent="0.35">
      <c r="A9725" s="2" t="str">
        <f ca="1">IFERROR(__xludf.DUMMYFUNCTION("""COMPUTED_VALUE"""),"Dubai")</f>
        <v>Dubai</v>
      </c>
      <c r="B9725" s="2" t="str">
        <f ca="1">IFERROR(__xludf.DUMMYFUNCTION("""COMPUTED_VALUE"""),"Azayez Building")</f>
        <v>Azayez Building</v>
      </c>
      <c r="C9725" s="2" t="str">
        <f ca="1">IFERROR(__xludf.DUMMYFUNCTION("""COMPUTED_VALUE"""),"Building")</f>
        <v>Building</v>
      </c>
      <c r="D9725" s="2" t="str">
        <f ca="1">IFERROR(__xludf.DUMMYFUNCTION("""COMPUTED_VALUE"""),"Dubai&gt;Al Barsha&gt;Al Barsha 1&gt;Azayez Building")</f>
        <v>Dubai&gt;Al Barsha&gt;Al Barsha 1&gt;Azayez Building</v>
      </c>
      <c r="E9725" s="2"/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</row>
    <row r="9726" spans="1:26" ht="16.5" x14ac:dyDescent="0.35">
      <c r="A9726" s="2" t="str">
        <f ca="1">IFERROR(__xludf.DUMMYFUNCTION("""COMPUTED_VALUE"""),"Dubai")</f>
        <v>Dubai</v>
      </c>
      <c r="B9726" s="2" t="str">
        <f ca="1">IFERROR(__xludf.DUMMYFUNCTION("""COMPUTED_VALUE"""),"API Business Suites")</f>
        <v>API Business Suites</v>
      </c>
      <c r="C9726" s="2" t="str">
        <f ca="1">IFERROR(__xludf.DUMMYFUNCTION("""COMPUTED_VALUE"""),"Building")</f>
        <v>Building</v>
      </c>
      <c r="D9726" s="2" t="str">
        <f ca="1">IFERROR(__xludf.DUMMYFUNCTION("""COMPUTED_VALUE"""),"Dubai&gt;Al Barsha&gt;Al Barsha 1&gt;API Business Suites")</f>
        <v>Dubai&gt;Al Barsha&gt;Al Barsha 1&gt;API Business Suites</v>
      </c>
      <c r="E9726" s="2"/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</row>
    <row r="9727" spans="1:26" ht="16.5" x14ac:dyDescent="0.35">
      <c r="A9727" s="2" t="str">
        <f ca="1">IFERROR(__xludf.DUMMYFUNCTION("""COMPUTED_VALUE"""),"Dubai")</f>
        <v>Dubai</v>
      </c>
      <c r="B9727" s="2" t="str">
        <f ca="1">IFERROR(__xludf.DUMMYFUNCTION("""COMPUTED_VALUE"""),"The View Al Barsha Hotel Apartments")</f>
        <v>The View Al Barsha Hotel Apartments</v>
      </c>
      <c r="C9727" s="2" t="str">
        <f ca="1">IFERROR(__xludf.DUMMYFUNCTION("""COMPUTED_VALUE"""),"Building")</f>
        <v>Building</v>
      </c>
      <c r="D9727" s="2" t="str">
        <f ca="1">IFERROR(__xludf.DUMMYFUNCTION("""COMPUTED_VALUE"""),"Dubai&gt;Al Barsha&gt;Al Barsha 1&gt;The View Al Barsha Hotel Apartments")</f>
        <v>Dubai&gt;Al Barsha&gt;Al Barsha 1&gt;The View Al Barsha Hotel Apartments</v>
      </c>
      <c r="E9727" s="2"/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</row>
    <row r="9728" spans="1:26" ht="16.5" x14ac:dyDescent="0.35">
      <c r="A9728" s="2" t="str">
        <f ca="1">IFERROR(__xludf.DUMMYFUNCTION("""COMPUTED_VALUE"""),"Dubai")</f>
        <v>Dubai</v>
      </c>
      <c r="B9728" s="2" t="str">
        <f ca="1">IFERROR(__xludf.DUMMYFUNCTION("""COMPUTED_VALUE"""),"Sama Tower")</f>
        <v>Sama Tower</v>
      </c>
      <c r="C9728" s="2" t="str">
        <f ca="1">IFERROR(__xludf.DUMMYFUNCTION("""COMPUTED_VALUE"""),"Building")</f>
        <v>Building</v>
      </c>
      <c r="D9728" s="2" t="str">
        <f ca="1">IFERROR(__xludf.DUMMYFUNCTION("""COMPUTED_VALUE"""),"Dubai&gt;Al Barsha&gt;Al Barsha 1&gt;Sama Tower")</f>
        <v>Dubai&gt;Al Barsha&gt;Al Barsha 1&gt;Sama Tower</v>
      </c>
      <c r="E9728" s="2"/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</row>
    <row r="9729" spans="1:26" ht="16.5" x14ac:dyDescent="0.35">
      <c r="A9729" s="2" t="str">
        <f ca="1">IFERROR(__xludf.DUMMYFUNCTION("""COMPUTED_VALUE"""),"Dubai")</f>
        <v>Dubai</v>
      </c>
      <c r="B9729" s="2" t="str">
        <f ca="1">IFERROR(__xludf.DUMMYFUNCTION("""COMPUTED_VALUE"""),"Splendor Hotel Apartments")</f>
        <v>Splendor Hotel Apartments</v>
      </c>
      <c r="C9729" s="2" t="str">
        <f ca="1">IFERROR(__xludf.DUMMYFUNCTION("""COMPUTED_VALUE"""),"Building")</f>
        <v>Building</v>
      </c>
      <c r="D9729" s="2" t="str">
        <f ca="1">IFERROR(__xludf.DUMMYFUNCTION("""COMPUTED_VALUE"""),"Dubai&gt;Al Barsha&gt;Al Barsha 1&gt;Splendor Hotel Apartments")</f>
        <v>Dubai&gt;Al Barsha&gt;Al Barsha 1&gt;Splendor Hotel Apartments</v>
      </c>
      <c r="E9729" s="2"/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</row>
    <row r="9730" spans="1:26" ht="16.5" x14ac:dyDescent="0.35">
      <c r="A9730" s="2" t="str">
        <f ca="1">IFERROR(__xludf.DUMMYFUNCTION("""COMPUTED_VALUE"""),"Dubai")</f>
        <v>Dubai</v>
      </c>
      <c r="B9730" s="2" t="str">
        <f ca="1">IFERROR(__xludf.DUMMYFUNCTION("""COMPUTED_VALUE"""),"Al Manaf Building")</f>
        <v>Al Manaf Building</v>
      </c>
      <c r="C9730" s="2" t="str">
        <f ca="1">IFERROR(__xludf.DUMMYFUNCTION("""COMPUTED_VALUE"""),"Building")</f>
        <v>Building</v>
      </c>
      <c r="D9730" s="2" t="str">
        <f ca="1">IFERROR(__xludf.DUMMYFUNCTION("""COMPUTED_VALUE"""),"Dubai&gt;Al Barsha&gt;Al Barsha 1&gt;Al Manaf Building")</f>
        <v>Dubai&gt;Al Barsha&gt;Al Barsha 1&gt;Al Manaf Building</v>
      </c>
      <c r="E9730" s="2"/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</row>
    <row r="9731" spans="1:26" ht="16.5" x14ac:dyDescent="0.35">
      <c r="A9731" s="2" t="str">
        <f ca="1">IFERROR(__xludf.DUMMYFUNCTION("""COMPUTED_VALUE"""),"Dubai")</f>
        <v>Dubai</v>
      </c>
      <c r="B9731" s="2" t="str">
        <f ca="1">IFERROR(__xludf.DUMMYFUNCTION("""COMPUTED_VALUE"""),"MD Hotel")</f>
        <v>MD Hotel</v>
      </c>
      <c r="C9731" s="2" t="str">
        <f ca="1">IFERROR(__xludf.DUMMYFUNCTION("""COMPUTED_VALUE"""),"Building")</f>
        <v>Building</v>
      </c>
      <c r="D9731" s="2" t="str">
        <f ca="1">IFERROR(__xludf.DUMMYFUNCTION("""COMPUTED_VALUE"""),"Dubai&gt;Al Barsha&gt;Al Barsha 1&gt;MD Hotel")</f>
        <v>Dubai&gt;Al Barsha&gt;Al Barsha 1&gt;MD Hotel</v>
      </c>
      <c r="E9731" s="2"/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</row>
    <row r="9732" spans="1:26" ht="16.5" x14ac:dyDescent="0.35">
      <c r="A9732" s="2" t="str">
        <f ca="1">IFERROR(__xludf.DUMMYFUNCTION("""COMPUTED_VALUE"""),"Dubai")</f>
        <v>Dubai</v>
      </c>
      <c r="B9732" s="2" t="str">
        <f ca="1">IFERROR(__xludf.DUMMYFUNCTION("""COMPUTED_VALUE"""),"Hessa Building 9")</f>
        <v>Hessa Building 9</v>
      </c>
      <c r="C9732" s="2" t="str">
        <f ca="1">IFERROR(__xludf.DUMMYFUNCTION("""COMPUTED_VALUE"""),"Building")</f>
        <v>Building</v>
      </c>
      <c r="D9732" s="2" t="str">
        <f ca="1">IFERROR(__xludf.DUMMYFUNCTION("""COMPUTED_VALUE"""),"Dubai&gt;Al Barsha&gt;Al Barsha 1&gt;Hessa Building 9")</f>
        <v>Dubai&gt;Al Barsha&gt;Al Barsha 1&gt;Hessa Building 9</v>
      </c>
      <c r="E9732" s="2"/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</row>
    <row r="9733" spans="1:26" ht="16.5" x14ac:dyDescent="0.35">
      <c r="A9733" s="2" t="str">
        <f ca="1">IFERROR(__xludf.DUMMYFUNCTION("""COMPUTED_VALUE"""),"Dubai")</f>
        <v>Dubai</v>
      </c>
      <c r="B9733" s="2" t="str">
        <f ca="1">IFERROR(__xludf.DUMMYFUNCTION("""COMPUTED_VALUE"""),"Icon Delux Hotel Apartments")</f>
        <v>Icon Delux Hotel Apartments</v>
      </c>
      <c r="C9733" s="2" t="str">
        <f ca="1">IFERROR(__xludf.DUMMYFUNCTION("""COMPUTED_VALUE"""),"Building")</f>
        <v>Building</v>
      </c>
      <c r="D9733" s="2" t="str">
        <f ca="1">IFERROR(__xludf.DUMMYFUNCTION("""COMPUTED_VALUE"""),"Dubai&gt;Al Barsha&gt;Al Barsha 1&gt;Icon Delux Hotel Apartments")</f>
        <v>Dubai&gt;Al Barsha&gt;Al Barsha 1&gt;Icon Delux Hotel Apartments</v>
      </c>
      <c r="E9733" s="2"/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</row>
    <row r="9734" spans="1:26" ht="16.5" x14ac:dyDescent="0.35">
      <c r="A9734" s="2" t="str">
        <f ca="1">IFERROR(__xludf.DUMMYFUNCTION("""COMPUTED_VALUE"""),"Dubai")</f>
        <v>Dubai</v>
      </c>
      <c r="B9734" s="2" t="str">
        <f ca="1">IFERROR(__xludf.DUMMYFUNCTION("""COMPUTED_VALUE"""),"Claren Towers")</f>
        <v>Claren Towers</v>
      </c>
      <c r="C9734" s="2" t="str">
        <f ca="1">IFERROR(__xludf.DUMMYFUNCTION("""COMPUTED_VALUE"""),"Cluster")</f>
        <v>Cluster</v>
      </c>
      <c r="D9734" s="2" t="str">
        <f ca="1">IFERROR(__xludf.DUMMYFUNCTION("""COMPUTED_VALUE"""),"Dubai&gt;Downtown Dubai&gt;Claren Towers")</f>
        <v>Dubai&gt;Downtown Dubai&gt;Claren Towers</v>
      </c>
      <c r="E9734" s="2"/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</row>
    <row r="9735" spans="1:26" ht="16.5" x14ac:dyDescent="0.35">
      <c r="A9735" s="2" t="str">
        <f ca="1">IFERROR(__xludf.DUMMYFUNCTION("""COMPUTED_VALUE"""),"Dubai")</f>
        <v>Dubai</v>
      </c>
      <c r="B9735" s="2" t="str">
        <f ca="1">IFERROR(__xludf.DUMMYFUNCTION("""COMPUTED_VALUE"""),"Emaar Square Building 3")</f>
        <v>Emaar Square Building 3</v>
      </c>
      <c r="C9735" s="2" t="str">
        <f ca="1">IFERROR(__xludf.DUMMYFUNCTION("""COMPUTED_VALUE"""),"Building")</f>
        <v>Building</v>
      </c>
      <c r="D9735" s="2" t="str">
        <f ca="1">IFERROR(__xludf.DUMMYFUNCTION("""COMPUTED_VALUE"""),"Dubai&gt;Downtown Dubai&gt;Emaar Square&gt;Emaar Square Building 3")</f>
        <v>Dubai&gt;Downtown Dubai&gt;Emaar Square&gt;Emaar Square Building 3</v>
      </c>
      <c r="E9735" s="2"/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</row>
    <row r="9736" spans="1:26" ht="16.5" x14ac:dyDescent="0.35">
      <c r="A9736" s="2" t="str">
        <f ca="1">IFERROR(__xludf.DUMMYFUNCTION("""COMPUTED_VALUE"""),"Dubai")</f>
        <v>Dubai</v>
      </c>
      <c r="B9736" s="2" t="str">
        <f ca="1">IFERROR(__xludf.DUMMYFUNCTION("""COMPUTED_VALUE"""),"Attareen")</f>
        <v>Attareen</v>
      </c>
      <c r="C9736" s="2" t="str">
        <f ca="1">IFERROR(__xludf.DUMMYFUNCTION("""COMPUTED_VALUE"""),"Building")</f>
        <v>Building</v>
      </c>
      <c r="D9736" s="2" t="str">
        <f ca="1">IFERROR(__xludf.DUMMYFUNCTION("""COMPUTED_VALUE"""),"Dubai&gt;Downtown Dubai&gt;The Old Town Island&gt;Attareen")</f>
        <v>Dubai&gt;Downtown Dubai&gt;The Old Town Island&gt;Attareen</v>
      </c>
      <c r="E9736" s="2"/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</row>
    <row r="9737" spans="1:26" ht="16.5" x14ac:dyDescent="0.35">
      <c r="A9737" s="2" t="str">
        <f ca="1">IFERROR(__xludf.DUMMYFUNCTION("""COMPUTED_VALUE"""),"Dubai")</f>
        <v>Dubai</v>
      </c>
      <c r="B9737" s="2" t="str">
        <f ca="1">IFERROR(__xludf.DUMMYFUNCTION("""COMPUTED_VALUE"""),"Elite Downtown Residence 2")</f>
        <v>Elite Downtown Residence 2</v>
      </c>
      <c r="C9737" s="2" t="str">
        <f ca="1">IFERROR(__xludf.DUMMYFUNCTION("""COMPUTED_VALUE"""),"Building")</f>
        <v>Building</v>
      </c>
      <c r="D9737" s="2" t="str">
        <f ca="1">IFERROR(__xludf.DUMMYFUNCTION("""COMPUTED_VALUE"""),"Dubai&gt;Downtown Dubai&gt;Elite Downtown Residence&gt;Elite Downtown Residence 2")</f>
        <v>Dubai&gt;Downtown Dubai&gt;Elite Downtown Residence&gt;Elite Downtown Residence 2</v>
      </c>
      <c r="E9737" s="2"/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  <c r="W9737" s="2"/>
      <c r="X9737" s="2"/>
      <c r="Y9737" s="2"/>
      <c r="Z9737" s="2"/>
    </row>
    <row r="9738" spans="1:26" ht="16.5" x14ac:dyDescent="0.35">
      <c r="A9738" s="2" t="str">
        <f ca="1">IFERROR(__xludf.DUMMYFUNCTION("""COMPUTED_VALUE"""),"Dubai")</f>
        <v>Dubai</v>
      </c>
      <c r="B9738" s="2" t="str">
        <f ca="1">IFERROR(__xludf.DUMMYFUNCTION("""COMPUTED_VALUE"""),"Reehan 5")</f>
        <v>Reehan 5</v>
      </c>
      <c r="C9738" s="2" t="str">
        <f ca="1">IFERROR(__xludf.DUMMYFUNCTION("""COMPUTED_VALUE"""),"Building")</f>
        <v>Building</v>
      </c>
      <c r="D9738" s="2" t="str">
        <f ca="1">IFERROR(__xludf.DUMMYFUNCTION("""COMPUTED_VALUE"""),"Dubai&gt;Downtown Dubai&gt;Old Town&gt;Reehan&gt;Reehan 5")</f>
        <v>Dubai&gt;Downtown Dubai&gt;Old Town&gt;Reehan&gt;Reehan 5</v>
      </c>
      <c r="E9738" s="2"/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  <c r="W9738" s="2"/>
      <c r="X9738" s="2"/>
      <c r="Y9738" s="2"/>
      <c r="Z9738" s="2"/>
    </row>
    <row r="9739" spans="1:26" ht="16.5" x14ac:dyDescent="0.35">
      <c r="A9739" s="2" t="str">
        <f ca="1">IFERROR(__xludf.DUMMYFUNCTION("""COMPUTED_VALUE"""),"Dubai")</f>
        <v>Dubai</v>
      </c>
      <c r="B9739" s="2" t="str">
        <f ca="1">IFERROR(__xludf.DUMMYFUNCTION("""COMPUTED_VALUE"""),"Time Square Visitor Centre")</f>
        <v>Time Square Visitor Centre</v>
      </c>
      <c r="C9739" s="2" t="str">
        <f ca="1">IFERROR(__xludf.DUMMYFUNCTION("""COMPUTED_VALUE"""),"Building")</f>
        <v>Building</v>
      </c>
      <c r="D9739" s="2" t="str">
        <f ca="1">IFERROR(__xludf.DUMMYFUNCTION("""COMPUTED_VALUE"""),"Dubai&gt;Downtown Dubai&gt;Time Square Visitor Centre")</f>
        <v>Dubai&gt;Downtown Dubai&gt;Time Square Visitor Centre</v>
      </c>
      <c r="E9739" s="2"/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</row>
    <row r="9740" spans="1:26" ht="16.5" x14ac:dyDescent="0.35">
      <c r="A9740" s="2" t="str">
        <f ca="1">IFERROR(__xludf.DUMMYFUNCTION("""COMPUTED_VALUE"""),"Dubai")</f>
        <v>Dubai</v>
      </c>
      <c r="B9740" s="2" t="str">
        <f ca="1">IFERROR(__xludf.DUMMYFUNCTION("""COMPUTED_VALUE"""),"Burj Views")</f>
        <v>Burj Views</v>
      </c>
      <c r="C9740" s="2" t="str">
        <f ca="1">IFERROR(__xludf.DUMMYFUNCTION("""COMPUTED_VALUE"""),"Cluster")</f>
        <v>Cluster</v>
      </c>
      <c r="D9740" s="2" t="str">
        <f ca="1">IFERROR(__xludf.DUMMYFUNCTION("""COMPUTED_VALUE"""),"Dubai&gt;Downtown Dubai&gt;Burj Views")</f>
        <v>Dubai&gt;Downtown Dubai&gt;Burj Views</v>
      </c>
      <c r="E9740" s="2"/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</row>
    <row r="9741" spans="1:26" ht="16.5" x14ac:dyDescent="0.35">
      <c r="A9741" s="2" t="str">
        <f ca="1">IFERROR(__xludf.DUMMYFUNCTION("""COMPUTED_VALUE"""),"Dubai")</f>
        <v>Dubai</v>
      </c>
      <c r="B9741" s="2" t="str">
        <f ca="1">IFERROR(__xludf.DUMMYFUNCTION("""COMPUTED_VALUE"""),"Mazaya 11")</f>
        <v>Mazaya 11</v>
      </c>
      <c r="C9741" s="2" t="str">
        <f ca="1">IFERROR(__xludf.DUMMYFUNCTION("""COMPUTED_VALUE"""),"Building")</f>
        <v>Building</v>
      </c>
      <c r="D9741" s="2" t="str">
        <f ca="1">IFERROR(__xludf.DUMMYFUNCTION("""COMPUTED_VALUE"""),"Dubai&gt;Liwan&gt;Queue Point&gt;Mazaya 11")</f>
        <v>Dubai&gt;Liwan&gt;Queue Point&gt;Mazaya 11</v>
      </c>
      <c r="E9741" s="2"/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</row>
    <row r="9742" spans="1:26" ht="16.5" x14ac:dyDescent="0.35">
      <c r="A9742" s="2" t="str">
        <f ca="1">IFERROR(__xludf.DUMMYFUNCTION("""COMPUTED_VALUE"""),"Dubai")</f>
        <v>Dubai</v>
      </c>
      <c r="B9742" s="2" t="str">
        <f ca="1">IFERROR(__xludf.DUMMYFUNCTION("""COMPUTED_VALUE"""),"Monaco Residency")</f>
        <v>Monaco Residency</v>
      </c>
      <c r="C9742" s="2" t="str">
        <f ca="1">IFERROR(__xludf.DUMMYFUNCTION("""COMPUTED_VALUE"""),"Building")</f>
        <v>Building</v>
      </c>
      <c r="D9742" s="2" t="str">
        <f ca="1">IFERROR(__xludf.DUMMYFUNCTION("""COMPUTED_VALUE"""),"Dubai&gt;Liwan&gt;Queue Point&gt;Monaco Residency")</f>
        <v>Dubai&gt;Liwan&gt;Queue Point&gt;Monaco Residency</v>
      </c>
      <c r="E9742" s="2"/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</row>
    <row r="9743" spans="1:26" ht="16.5" x14ac:dyDescent="0.35">
      <c r="A9743" s="2" t="str">
        <f ca="1">IFERROR(__xludf.DUMMYFUNCTION("""COMPUTED_VALUE"""),"Dubai")</f>
        <v>Dubai</v>
      </c>
      <c r="B9743" s="2" t="str">
        <f ca="1">IFERROR(__xludf.DUMMYFUNCTION("""COMPUTED_VALUE"""),"British Orchard Nursery Al Jafiliya")</f>
        <v>British Orchard Nursery Al Jafiliya</v>
      </c>
      <c r="C9743" s="2" t="str">
        <f ca="1">IFERROR(__xludf.DUMMYFUNCTION("""COMPUTED_VALUE"""),"Nursery")</f>
        <v>Nursery</v>
      </c>
      <c r="D9743" s="2" t="str">
        <f ca="1">IFERROR(__xludf.DUMMYFUNCTION("""COMPUTED_VALUE"""),"Dubai&gt;Al Jafiliya&gt;British Orchard Nursery Al Jafiliya")</f>
        <v>Dubai&gt;Al Jafiliya&gt;British Orchard Nursery Al Jafiliya</v>
      </c>
      <c r="E9743" s="2"/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</row>
    <row r="9744" spans="1:26" ht="16.5" x14ac:dyDescent="0.35">
      <c r="A9744" s="2" t="str">
        <f ca="1">IFERROR(__xludf.DUMMYFUNCTION("""COMPUTED_VALUE"""),"Dubai")</f>
        <v>Dubai</v>
      </c>
      <c r="B9744" s="2" t="str">
        <f ca="1">IFERROR(__xludf.DUMMYFUNCTION("""COMPUTED_VALUE"""),"Park Towers Podium")</f>
        <v>Park Towers Podium</v>
      </c>
      <c r="C9744" s="2" t="str">
        <f ca="1">IFERROR(__xludf.DUMMYFUNCTION("""COMPUTED_VALUE"""),"Building")</f>
        <v>Building</v>
      </c>
      <c r="D9744" s="2" t="str">
        <f ca="1">IFERROR(__xludf.DUMMYFUNCTION("""COMPUTED_VALUE"""),"Dubai&gt;DIFC&gt;Park Towers&gt;Park Towers Podium")</f>
        <v>Dubai&gt;DIFC&gt;Park Towers&gt;Park Towers Podium</v>
      </c>
      <c r="E9744" s="2"/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</row>
    <row r="9745" spans="1:26" ht="16.5" x14ac:dyDescent="0.35">
      <c r="A9745" s="2" t="str">
        <f ca="1">IFERROR(__xludf.DUMMYFUNCTION("""COMPUTED_VALUE"""),"Dubai")</f>
        <v>Dubai</v>
      </c>
      <c r="B9745" s="2" t="str">
        <f ca="1">IFERROR(__xludf.DUMMYFUNCTION("""COMPUTED_VALUE"""),"Al Twar")</f>
        <v>Al Twar</v>
      </c>
      <c r="C9745" s="2" t="str">
        <f ca="1">IFERROR(__xludf.DUMMYFUNCTION("""COMPUTED_VALUE"""),"Neighbourhood")</f>
        <v>Neighbourhood</v>
      </c>
      <c r="D9745" s="2" t="str">
        <f ca="1">IFERROR(__xludf.DUMMYFUNCTION("""COMPUTED_VALUE"""),"Dubai&gt;Al Twar")</f>
        <v>Dubai&gt;Al Twar</v>
      </c>
      <c r="E9745" s="2"/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</row>
    <row r="9746" spans="1:26" ht="16.5" x14ac:dyDescent="0.35">
      <c r="A9746" s="2" t="str">
        <f ca="1">IFERROR(__xludf.DUMMYFUNCTION("""COMPUTED_VALUE"""),"Dubai")</f>
        <v>Dubai</v>
      </c>
      <c r="B9746" s="2" t="str">
        <f ca="1">IFERROR(__xludf.DUMMYFUNCTION("""COMPUTED_VALUE"""),"Primus Private School")</f>
        <v>Primus Private School</v>
      </c>
      <c r="C9746" s="2" t="str">
        <f ca="1">IFERROR(__xludf.DUMMYFUNCTION("""COMPUTED_VALUE"""),"School")</f>
        <v>School</v>
      </c>
      <c r="D9746" s="2" t="str">
        <f ca="1">IFERROR(__xludf.DUMMYFUNCTION("""COMPUTED_VALUE"""),"Dubai&gt;Al Warqaa&gt;Al Warqaa 1&gt;Primus Private School")</f>
        <v>Dubai&gt;Al Warqaa&gt;Al Warqaa 1&gt;Primus Private School</v>
      </c>
      <c r="E9746" s="2"/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</row>
    <row r="9747" spans="1:26" ht="16.5" x14ac:dyDescent="0.35">
      <c r="A9747" s="2" t="str">
        <f ca="1">IFERROR(__xludf.DUMMYFUNCTION("""COMPUTED_VALUE"""),"Dubai")</f>
        <v>Dubai</v>
      </c>
      <c r="B9747" s="2" t="str">
        <f ca="1">IFERROR(__xludf.DUMMYFUNCTION("""COMPUTED_VALUE"""),"Ghala Prime Building")</f>
        <v>Ghala Prime Building</v>
      </c>
      <c r="C9747" s="2" t="str">
        <f ca="1">IFERROR(__xludf.DUMMYFUNCTION("""COMPUTED_VALUE"""),"Building")</f>
        <v>Building</v>
      </c>
      <c r="D9747" s="2" t="str">
        <f ca="1">IFERROR(__xludf.DUMMYFUNCTION("""COMPUTED_VALUE"""),"Dubai&gt;Al Warqaa&gt;Al Warqaa 1&gt;Ghala Prime Building")</f>
        <v>Dubai&gt;Al Warqaa&gt;Al Warqaa 1&gt;Ghala Prime Building</v>
      </c>
      <c r="E9747" s="2"/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</row>
    <row r="9748" spans="1:26" ht="16.5" x14ac:dyDescent="0.35">
      <c r="A9748" s="2" t="str">
        <f ca="1">IFERROR(__xludf.DUMMYFUNCTION("""COMPUTED_VALUE"""),"Dubai")</f>
        <v>Dubai</v>
      </c>
      <c r="B9748" s="2" t="str">
        <f ca="1">IFERROR(__xludf.DUMMYFUNCTION("""COMPUTED_VALUE"""),"Sajaya 4")</f>
        <v>Sajaya 4</v>
      </c>
      <c r="C9748" s="2" t="str">
        <f ca="1">IFERROR(__xludf.DUMMYFUNCTION("""COMPUTED_VALUE"""),"Building")</f>
        <v>Building</v>
      </c>
      <c r="D9748" s="2" t="str">
        <f ca="1">IFERROR(__xludf.DUMMYFUNCTION("""COMPUTED_VALUE"""),"Dubai&gt;Al Warqaa&gt;Al Warqaa 1&gt;Sajaya 4")</f>
        <v>Dubai&gt;Al Warqaa&gt;Al Warqaa 1&gt;Sajaya 4</v>
      </c>
      <c r="E9748" s="2"/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</row>
    <row r="9749" spans="1:26" ht="16.5" x14ac:dyDescent="0.35">
      <c r="A9749" s="2" t="str">
        <f ca="1">IFERROR(__xludf.DUMMYFUNCTION("""COMPUTED_VALUE"""),"Dubai")</f>
        <v>Dubai</v>
      </c>
      <c r="B9749" s="2" t="str">
        <f ca="1">IFERROR(__xludf.DUMMYFUNCTION("""COMPUTED_VALUE"""),"Meer 4 Building")</f>
        <v>Meer 4 Building</v>
      </c>
      <c r="C9749" s="2" t="str">
        <f ca="1">IFERROR(__xludf.DUMMYFUNCTION("""COMPUTED_VALUE"""),"Building")</f>
        <v>Building</v>
      </c>
      <c r="D9749" s="2" t="str">
        <f ca="1">IFERROR(__xludf.DUMMYFUNCTION("""COMPUTED_VALUE"""),"Dubai&gt;Al Warqaa&gt;Al Warqaa 1&gt;Meer 4 Building")</f>
        <v>Dubai&gt;Al Warqaa&gt;Al Warqaa 1&gt;Meer 4 Building</v>
      </c>
      <c r="E9749" s="2"/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</row>
    <row r="9750" spans="1:26" ht="16.5" x14ac:dyDescent="0.35">
      <c r="A9750" s="2" t="str">
        <f ca="1">IFERROR(__xludf.DUMMYFUNCTION("""COMPUTED_VALUE"""),"Dubai")</f>
        <v>Dubai</v>
      </c>
      <c r="B9750" s="2" t="str">
        <f ca="1">IFERROR(__xludf.DUMMYFUNCTION("""COMPUTED_VALUE"""),"Mazaya Business Avenue AA-1")</f>
        <v>Mazaya Business Avenue AA-1</v>
      </c>
      <c r="C9750" s="2" t="str">
        <f ca="1">IFERROR(__xludf.DUMMYFUNCTION("""COMPUTED_VALUE"""),"Building")</f>
        <v>Building</v>
      </c>
      <c r="D9750" s="2" t="str">
        <f ca="1">IFERROR(__xludf.DUMMYFUNCTION("""COMPUTED_VALUE"""),"Dubai&gt;Jumeirah Lake Towers (JLT)&gt;Mazaya Business Avenue&gt;Mazaya Business Avenue AA-1")</f>
        <v>Dubai&gt;Jumeirah Lake Towers (JLT)&gt;Mazaya Business Avenue&gt;Mazaya Business Avenue AA-1</v>
      </c>
      <c r="E9750" s="2"/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</row>
    <row r="9751" spans="1:26" ht="16.5" x14ac:dyDescent="0.35">
      <c r="A9751" s="2" t="str">
        <f ca="1">IFERROR(__xludf.DUMMYFUNCTION("""COMPUTED_VALUE"""),"Dubai")</f>
        <v>Dubai</v>
      </c>
      <c r="B9751" s="2" t="str">
        <f ca="1">IFERROR(__xludf.DUMMYFUNCTION("""COMPUTED_VALUE"""),"Jumeirah Business Centre 1")</f>
        <v>Jumeirah Business Centre 1</v>
      </c>
      <c r="C9751" s="2" t="str">
        <f ca="1">IFERROR(__xludf.DUMMYFUNCTION("""COMPUTED_VALUE"""),"Building")</f>
        <v>Building</v>
      </c>
      <c r="D9751" s="2" t="str">
        <f ca="1">IFERROR(__xludf.DUMMYFUNCTION("""COMPUTED_VALUE"""),"Dubai&gt;Jumeirah Lake Towers (JLT)&gt;JLT Cluster G&gt;Jumeirah Business Centre 1")</f>
        <v>Dubai&gt;Jumeirah Lake Towers (JLT)&gt;JLT Cluster G&gt;Jumeirah Business Centre 1</v>
      </c>
      <c r="E9751" s="2"/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</row>
    <row r="9752" spans="1:26" ht="16.5" x14ac:dyDescent="0.35">
      <c r="A9752" s="2" t="str">
        <f ca="1">IFERROR(__xludf.DUMMYFUNCTION("""COMPUTED_VALUE"""),"Dubai")</f>
        <v>Dubai</v>
      </c>
      <c r="B9752" s="2" t="str">
        <f ca="1">IFERROR(__xludf.DUMMYFUNCTION("""COMPUTED_VALUE"""),"O2 Residence")</f>
        <v>O2 Residence</v>
      </c>
      <c r="C9752" s="2" t="str">
        <f ca="1">IFERROR(__xludf.DUMMYFUNCTION("""COMPUTED_VALUE"""),"Building")</f>
        <v>Building</v>
      </c>
      <c r="D9752" s="2" t="str">
        <f ca="1">IFERROR(__xludf.DUMMYFUNCTION("""COMPUTED_VALUE"""),"Dubai&gt;Jumeirah Lake Towers (JLT)&gt;JLT Cluster O&gt;O2 Residence")</f>
        <v>Dubai&gt;Jumeirah Lake Towers (JLT)&gt;JLT Cluster O&gt;O2 Residence</v>
      </c>
      <c r="E9752" s="2"/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</row>
    <row r="9753" spans="1:26" ht="16.5" x14ac:dyDescent="0.35">
      <c r="A9753" s="2" t="str">
        <f ca="1">IFERROR(__xludf.DUMMYFUNCTION("""COMPUTED_VALUE"""),"Dubai")</f>
        <v>Dubai</v>
      </c>
      <c r="B9753" s="2" t="str">
        <f ca="1">IFERROR(__xludf.DUMMYFUNCTION("""COMPUTED_VALUE"""),"V3 Tower")</f>
        <v>V3 Tower</v>
      </c>
      <c r="C9753" s="2" t="str">
        <f ca="1">IFERROR(__xludf.DUMMYFUNCTION("""COMPUTED_VALUE"""),"Building")</f>
        <v>Building</v>
      </c>
      <c r="D9753" s="2" t="str">
        <f ca="1">IFERROR(__xludf.DUMMYFUNCTION("""COMPUTED_VALUE"""),"Dubai&gt;Jumeirah Lake Towers (JLT)&gt;JLT Cluster V&gt;V3 Tower")</f>
        <v>Dubai&gt;Jumeirah Lake Towers (JLT)&gt;JLT Cluster V&gt;V3 Tower</v>
      </c>
      <c r="E9753" s="2"/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</row>
    <row r="9754" spans="1:26" ht="16.5" x14ac:dyDescent="0.35">
      <c r="A9754" s="2" t="str">
        <f ca="1">IFERROR(__xludf.DUMMYFUNCTION("""COMPUTED_VALUE"""),"Dubai")</f>
        <v>Dubai</v>
      </c>
      <c r="B9754" s="2" t="str">
        <f ca="1">IFERROR(__xludf.DUMMYFUNCTION("""COMPUTED_VALUE"""),"Viewz by Danube")</f>
        <v>Viewz by Danube</v>
      </c>
      <c r="C9754" s="2" t="str">
        <f ca="1">IFERROR(__xludf.DUMMYFUNCTION("""COMPUTED_VALUE"""),"Cluster")</f>
        <v>Cluster</v>
      </c>
      <c r="D9754" s="2" t="str">
        <f ca="1">IFERROR(__xludf.DUMMYFUNCTION("""COMPUTED_VALUE"""),"Dubai&gt;Jumeirah Lake Towers (JLT)&gt;Viewz by Danube")</f>
        <v>Dubai&gt;Jumeirah Lake Towers (JLT)&gt;Viewz by Danube</v>
      </c>
      <c r="E9754" s="2"/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</row>
    <row r="9755" spans="1:26" ht="16.5" x14ac:dyDescent="0.35">
      <c r="A9755" s="2" t="str">
        <f ca="1">IFERROR(__xludf.DUMMYFUNCTION("""COMPUTED_VALUE"""),"Dubai")</f>
        <v>Dubai</v>
      </c>
      <c r="B9755" s="2" t="str">
        <f ca="1">IFERROR(__xludf.DUMMYFUNCTION("""COMPUTED_VALUE"""),"Lila")</f>
        <v>Lila</v>
      </c>
      <c r="C9755" s="2" t="str">
        <f ca="1">IFERROR(__xludf.DUMMYFUNCTION("""COMPUTED_VALUE"""),"Neighbourhood")</f>
        <v>Neighbourhood</v>
      </c>
      <c r="D9755" s="2" t="str">
        <f ca="1">IFERROR(__xludf.DUMMYFUNCTION("""COMPUTED_VALUE"""),"Dubai&gt;Arabian Ranches 2&gt;Lila")</f>
        <v>Dubai&gt;Arabian Ranches 2&gt;Lila</v>
      </c>
      <c r="E9755" s="2"/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</row>
    <row r="9756" spans="1:26" ht="16.5" x14ac:dyDescent="0.35">
      <c r="A9756" s="2" t="str">
        <f ca="1">IFERROR(__xludf.DUMMYFUNCTION("""COMPUTED_VALUE"""),"Dubai")</f>
        <v>Dubai</v>
      </c>
      <c r="B9756" s="2" t="str">
        <f ca="1">IFERROR(__xludf.DUMMYFUNCTION("""COMPUTED_VALUE"""),"The Flagship Two")</f>
        <v>The Flagship Two</v>
      </c>
      <c r="C9756" s="2" t="str">
        <f ca="1">IFERROR(__xludf.DUMMYFUNCTION("""COMPUTED_VALUE"""),"Building")</f>
        <v>Building</v>
      </c>
      <c r="D9756" s="2" t="str">
        <f ca="1">IFERROR(__xludf.DUMMYFUNCTION("""COMPUTED_VALUE"""),"Dubai&gt;Al Satwa&gt;Jumeirah Garden City&gt;The Flagship Two")</f>
        <v>Dubai&gt;Al Satwa&gt;Jumeirah Garden City&gt;The Flagship Two</v>
      </c>
      <c r="E9756" s="2"/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</row>
    <row r="9757" spans="1:26" ht="16.5" x14ac:dyDescent="0.35">
      <c r="A9757" s="2" t="str">
        <f ca="1">IFERROR(__xludf.DUMMYFUNCTION("""COMPUTED_VALUE"""),"Dubai")</f>
        <v>Dubai</v>
      </c>
      <c r="B9757" s="2" t="str">
        <f ca="1">IFERROR(__xludf.DUMMYFUNCTION("""COMPUTED_VALUE"""),"Iliyaa 4 Building")</f>
        <v>Iliyaa 4 Building</v>
      </c>
      <c r="C9757" s="2" t="str">
        <f ca="1">IFERROR(__xludf.DUMMYFUNCTION("""COMPUTED_VALUE"""),"Building")</f>
        <v>Building</v>
      </c>
      <c r="D9757" s="2" t="str">
        <f ca="1">IFERROR(__xludf.DUMMYFUNCTION("""COMPUTED_VALUE"""),"Dubai&gt;Al Satwa&gt;Jumeirah Garden City&gt;Iliyaa 4 Building")</f>
        <v>Dubai&gt;Al Satwa&gt;Jumeirah Garden City&gt;Iliyaa 4 Building</v>
      </c>
      <c r="E9757" s="2"/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</row>
    <row r="9758" spans="1:26" ht="16.5" x14ac:dyDescent="0.35">
      <c r="A9758" s="2" t="str">
        <f ca="1">IFERROR(__xludf.DUMMYFUNCTION("""COMPUTED_VALUE"""),"Dubai")</f>
        <v>Dubai</v>
      </c>
      <c r="B9758" s="2" t="str">
        <f ca="1">IFERROR(__xludf.DUMMYFUNCTION("""COMPUTED_VALUE"""),"Rose Executive Hotel")</f>
        <v>Rose Executive Hotel</v>
      </c>
      <c r="C9758" s="2" t="str">
        <f ca="1">IFERROR(__xludf.DUMMYFUNCTION("""COMPUTED_VALUE"""),"Building")</f>
        <v>Building</v>
      </c>
      <c r="D9758" s="2" t="str">
        <f ca="1">IFERROR(__xludf.DUMMYFUNCTION("""COMPUTED_VALUE"""),"Dubai&gt;Al Satwa&gt;Jumeirah Garden City&gt;Rose Executive Hotel")</f>
        <v>Dubai&gt;Al Satwa&gt;Jumeirah Garden City&gt;Rose Executive Hotel</v>
      </c>
      <c r="E9758" s="2"/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</row>
    <row r="9759" spans="1:26" ht="16.5" x14ac:dyDescent="0.35">
      <c r="A9759" s="2" t="str">
        <f ca="1">IFERROR(__xludf.DUMMYFUNCTION("""COMPUTED_VALUE"""),"Dubai")</f>
        <v>Dubai</v>
      </c>
      <c r="B9759" s="2" t="str">
        <f ca="1">IFERROR(__xludf.DUMMYFUNCTION("""COMPUTED_VALUE"""),"Al Khair 2")</f>
        <v>Al Khair 2</v>
      </c>
      <c r="C9759" s="2" t="str">
        <f ca="1">IFERROR(__xludf.DUMMYFUNCTION("""COMPUTED_VALUE"""),"Building")</f>
        <v>Building</v>
      </c>
      <c r="D9759" s="2" t="str">
        <f ca="1">IFERROR(__xludf.DUMMYFUNCTION("""COMPUTED_VALUE"""),"Dubai&gt;Al Satwa&gt;Jumeirah Garden City&gt;Al Khair 2")</f>
        <v>Dubai&gt;Al Satwa&gt;Jumeirah Garden City&gt;Al Khair 2</v>
      </c>
      <c r="E9759" s="2"/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</row>
    <row r="9760" spans="1:26" ht="16.5" x14ac:dyDescent="0.35">
      <c r="A9760" s="2" t="str">
        <f ca="1">IFERROR(__xludf.DUMMYFUNCTION("""COMPUTED_VALUE"""),"Dubai")</f>
        <v>Dubai</v>
      </c>
      <c r="B9760" s="2" t="str">
        <f ca="1">IFERROR(__xludf.DUMMYFUNCTION("""COMPUTED_VALUE"""),"Cluster 2")</f>
        <v>Cluster 2</v>
      </c>
      <c r="C9760" s="2" t="str">
        <f ca="1">IFERROR(__xludf.DUMMYFUNCTION("""COMPUTED_VALUE"""),"Neighbourhood")</f>
        <v>Neighbourhood</v>
      </c>
      <c r="D9760" s="2" t="str">
        <f ca="1">IFERROR(__xludf.DUMMYFUNCTION("""COMPUTED_VALUE"""),"Dubai&gt;The Sustainable City&gt;Cluster 2")</f>
        <v>Dubai&gt;The Sustainable City&gt;Cluster 2</v>
      </c>
      <c r="E9760" s="2"/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</row>
    <row r="9761" spans="1:26" ht="16.5" x14ac:dyDescent="0.35">
      <c r="A9761" s="2" t="str">
        <f ca="1">IFERROR(__xludf.DUMMYFUNCTION("""COMPUTED_VALUE"""),"Dubai")</f>
        <v>Dubai</v>
      </c>
      <c r="B9761" s="2" t="str">
        <f ca="1">IFERROR(__xludf.DUMMYFUNCTION("""COMPUTED_VALUE"""),"Building 153")</f>
        <v>Building 153</v>
      </c>
      <c r="C9761" s="2" t="str">
        <f ca="1">IFERROR(__xludf.DUMMYFUNCTION("""COMPUTED_VALUE"""),"Building")</f>
        <v>Building</v>
      </c>
      <c r="D9761" s="2" t="str">
        <f ca="1">IFERROR(__xludf.DUMMYFUNCTION("""COMPUTED_VALUE"""),"Dubai&gt;Discovery Gardens&gt;Contemporary&gt;Building 153")</f>
        <v>Dubai&gt;Discovery Gardens&gt;Contemporary&gt;Building 153</v>
      </c>
      <c r="E9761" s="2"/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</row>
    <row r="9762" spans="1:26" ht="16.5" x14ac:dyDescent="0.35">
      <c r="A9762" s="2" t="str">
        <f ca="1">IFERROR(__xludf.DUMMYFUNCTION("""COMPUTED_VALUE"""),"Dubai")</f>
        <v>Dubai</v>
      </c>
      <c r="B9762" s="2" t="str">
        <f ca="1">IFERROR(__xludf.DUMMYFUNCTION("""COMPUTED_VALUE"""),"Building 253")</f>
        <v>Building 253</v>
      </c>
      <c r="C9762" s="2" t="str">
        <f ca="1">IFERROR(__xludf.DUMMYFUNCTION("""COMPUTED_VALUE"""),"Building")</f>
        <v>Building</v>
      </c>
      <c r="D9762" s="2" t="str">
        <f ca="1">IFERROR(__xludf.DUMMYFUNCTION("""COMPUTED_VALUE"""),"Dubai&gt;Discovery Gardens&gt;Mesoamerican&gt;Building 253")</f>
        <v>Dubai&gt;Discovery Gardens&gt;Mesoamerican&gt;Building 253</v>
      </c>
      <c r="E9762" s="2"/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  <c r="W9762" s="2"/>
      <c r="X9762" s="2"/>
      <c r="Y9762" s="2"/>
      <c r="Z9762" s="2"/>
    </row>
    <row r="9763" spans="1:26" ht="16.5" x14ac:dyDescent="0.35">
      <c r="A9763" s="2" t="str">
        <f ca="1">IFERROR(__xludf.DUMMYFUNCTION("""COMPUTED_VALUE"""),"Dubai")</f>
        <v>Dubai</v>
      </c>
      <c r="B9763" s="2" t="str">
        <f ca="1">IFERROR(__xludf.DUMMYFUNCTION("""COMPUTED_VALUE"""),"Building 211")</f>
        <v>Building 211</v>
      </c>
      <c r="C9763" s="2" t="str">
        <f ca="1">IFERROR(__xludf.DUMMYFUNCTION("""COMPUTED_VALUE"""),"Building")</f>
        <v>Building</v>
      </c>
      <c r="D9763" s="2" t="str">
        <f ca="1">IFERROR(__xludf.DUMMYFUNCTION("""COMPUTED_VALUE"""),"Dubai&gt;Discovery Gardens&gt;Mogul&gt;Building 211")</f>
        <v>Dubai&gt;Discovery Gardens&gt;Mogul&gt;Building 211</v>
      </c>
      <c r="E9763" s="2"/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</row>
    <row r="9764" spans="1:26" ht="16.5" x14ac:dyDescent="0.35">
      <c r="A9764" s="2" t="str">
        <f ca="1">IFERROR(__xludf.DUMMYFUNCTION("""COMPUTED_VALUE"""),"Dubai")</f>
        <v>Dubai</v>
      </c>
      <c r="B9764" s="2" t="str">
        <f ca="1">IFERROR(__xludf.DUMMYFUNCTION("""COMPUTED_VALUE"""),"Building 16")</f>
        <v>Building 16</v>
      </c>
      <c r="C9764" s="2" t="str">
        <f ca="1">IFERROR(__xludf.DUMMYFUNCTION("""COMPUTED_VALUE"""),"Building")</f>
        <v>Building</v>
      </c>
      <c r="D9764" s="2" t="str">
        <f ca="1">IFERROR(__xludf.DUMMYFUNCTION("""COMPUTED_VALUE"""),"Dubai&gt;Discovery Gardens&gt;Zen Cluster&gt;Building 16")</f>
        <v>Dubai&gt;Discovery Gardens&gt;Zen Cluster&gt;Building 16</v>
      </c>
      <c r="E9764" s="2"/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</row>
    <row r="9765" spans="1:26" ht="16.5" x14ac:dyDescent="0.35">
      <c r="A9765" s="2" t="str">
        <f ca="1">IFERROR(__xludf.DUMMYFUNCTION("""COMPUTED_VALUE"""),"Dubai")</f>
        <v>Dubai</v>
      </c>
      <c r="B9765" s="2" t="str">
        <f ca="1">IFERROR(__xludf.DUMMYFUNCTION("""COMPUTED_VALUE"""),"Building 65")</f>
        <v>Building 65</v>
      </c>
      <c r="C9765" s="2" t="str">
        <f ca="1">IFERROR(__xludf.DUMMYFUNCTION("""COMPUTED_VALUE"""),"Building")</f>
        <v>Building</v>
      </c>
      <c r="D9765" s="2" t="str">
        <f ca="1">IFERROR(__xludf.DUMMYFUNCTION("""COMPUTED_VALUE"""),"Dubai&gt;Discovery Gardens&gt;Mediterranean&gt;Building 65")</f>
        <v>Dubai&gt;Discovery Gardens&gt;Mediterranean&gt;Building 65</v>
      </c>
      <c r="E9765" s="2"/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  <c r="W9765" s="2"/>
      <c r="X9765" s="2"/>
      <c r="Y9765" s="2"/>
      <c r="Z9765" s="2"/>
    </row>
    <row r="9766" spans="1:26" ht="16.5" x14ac:dyDescent="0.35">
      <c r="A9766" s="2" t="str">
        <f ca="1">IFERROR(__xludf.DUMMYFUNCTION("""COMPUTED_VALUE"""),"Dubai")</f>
        <v>Dubai</v>
      </c>
      <c r="B9766" s="2" t="str">
        <f ca="1">IFERROR(__xludf.DUMMYFUNCTION("""COMPUTED_VALUE"""),"Building 57")</f>
        <v>Building 57</v>
      </c>
      <c r="C9766" s="2" t="str">
        <f ca="1">IFERROR(__xludf.DUMMYFUNCTION("""COMPUTED_VALUE"""),"Building")</f>
        <v>Building</v>
      </c>
      <c r="D9766" s="2" t="str">
        <f ca="1">IFERROR(__xludf.DUMMYFUNCTION("""COMPUTED_VALUE"""),"Dubai&gt;Discovery Gardens&gt;Mediterranean&gt;Building 57")</f>
        <v>Dubai&gt;Discovery Gardens&gt;Mediterranean&gt;Building 57</v>
      </c>
      <c r="E9766" s="2"/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  <c r="W9766" s="2"/>
      <c r="X9766" s="2"/>
      <c r="Y9766" s="2"/>
      <c r="Z9766" s="2"/>
    </row>
    <row r="9767" spans="1:26" ht="16.5" x14ac:dyDescent="0.35">
      <c r="A9767" s="2" t="str">
        <f ca="1">IFERROR(__xludf.DUMMYFUNCTION("""COMPUTED_VALUE"""),"Dubai")</f>
        <v>Dubai</v>
      </c>
      <c r="B9767" s="2" t="str">
        <f ca="1">IFERROR(__xludf.DUMMYFUNCTION("""COMPUTED_VALUE"""),"Samana California 2")</f>
        <v>Samana California 2</v>
      </c>
      <c r="C9767" s="2" t="str">
        <f ca="1">IFERROR(__xludf.DUMMYFUNCTION("""COMPUTED_VALUE"""),"Building")</f>
        <v>Building</v>
      </c>
      <c r="D9767" s="2" t="str">
        <f ca="1">IFERROR(__xludf.DUMMYFUNCTION("""COMPUTED_VALUE"""),"Dubai&gt;Discovery Gardens&gt;Samana California 2")</f>
        <v>Dubai&gt;Discovery Gardens&gt;Samana California 2</v>
      </c>
      <c r="E9767" s="2"/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  <c r="W9767" s="2"/>
      <c r="X9767" s="2"/>
      <c r="Y9767" s="2"/>
      <c r="Z9767" s="2"/>
    </row>
    <row r="9768" spans="1:26" ht="16.5" x14ac:dyDescent="0.35">
      <c r="A9768" s="2" t="str">
        <f ca="1">IFERROR(__xludf.DUMMYFUNCTION("""COMPUTED_VALUE"""),"Dubai")</f>
        <v>Dubai</v>
      </c>
      <c r="B9768" s="2" t="str">
        <f ca="1">IFERROR(__xludf.DUMMYFUNCTION("""COMPUTED_VALUE"""),"Al Hatimi")</f>
        <v>Al Hatimi</v>
      </c>
      <c r="C9768" s="2" t="str">
        <f ca="1">IFERROR(__xludf.DUMMYFUNCTION("""COMPUTED_VALUE"""),"Building")</f>
        <v>Building</v>
      </c>
      <c r="D9768" s="2" t="str">
        <f ca="1">IFERROR(__xludf.DUMMYFUNCTION("""COMPUTED_VALUE"""),"Dubai&gt;Palm Jumeirah&gt;Shoreline Apartments&gt;Al Hatimi")</f>
        <v>Dubai&gt;Palm Jumeirah&gt;Shoreline Apartments&gt;Al Hatimi</v>
      </c>
      <c r="E9768" s="2"/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  <c r="W9768" s="2"/>
      <c r="X9768" s="2"/>
      <c r="Y9768" s="2"/>
      <c r="Z9768" s="2"/>
    </row>
    <row r="9769" spans="1:26" ht="16.5" x14ac:dyDescent="0.35">
      <c r="A9769" s="2" t="str">
        <f ca="1">IFERROR(__xludf.DUMMYFUNCTION("""COMPUTED_VALUE"""),"Dubai")</f>
        <v>Dubai</v>
      </c>
      <c r="B9769" s="2" t="str">
        <f ca="1">IFERROR(__xludf.DUMMYFUNCTION("""COMPUTED_VALUE"""),"XXII Carat")</f>
        <v>XXII Carat</v>
      </c>
      <c r="C9769" s="2" t="str">
        <f ca="1">IFERROR(__xludf.DUMMYFUNCTION("""COMPUTED_VALUE"""),"Neighbourhood")</f>
        <v>Neighbourhood</v>
      </c>
      <c r="D9769" s="2" t="str">
        <f ca="1">IFERROR(__xludf.DUMMYFUNCTION("""COMPUTED_VALUE"""),"Dubai&gt;Palm Jumeirah&gt;XXII Carat")</f>
        <v>Dubai&gt;Palm Jumeirah&gt;XXII Carat</v>
      </c>
      <c r="E9769" s="2"/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</row>
    <row r="9770" spans="1:26" ht="16.5" x14ac:dyDescent="0.35">
      <c r="A9770" s="2" t="str">
        <f ca="1">IFERROR(__xludf.DUMMYFUNCTION("""COMPUTED_VALUE"""),"Dubai")</f>
        <v>Dubai</v>
      </c>
      <c r="B9770" s="2" t="str">
        <f ca="1">IFERROR(__xludf.DUMMYFUNCTION("""COMPUTED_VALUE"""),"Palm Views East")</f>
        <v>Palm Views East</v>
      </c>
      <c r="C9770" s="2" t="str">
        <f ca="1">IFERROR(__xludf.DUMMYFUNCTION("""COMPUTED_VALUE"""),"Building")</f>
        <v>Building</v>
      </c>
      <c r="D9770" s="2" t="str">
        <f ca="1">IFERROR(__xludf.DUMMYFUNCTION("""COMPUTED_VALUE"""),"Dubai&gt;Palm Jumeirah&gt;Palm Views&gt;Palm Views East")</f>
        <v>Dubai&gt;Palm Jumeirah&gt;Palm Views&gt;Palm Views East</v>
      </c>
      <c r="E9770" s="2"/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</row>
    <row r="9771" spans="1:26" ht="16.5" x14ac:dyDescent="0.35">
      <c r="A9771" s="2" t="str">
        <f ca="1">IFERROR(__xludf.DUMMYFUNCTION("""COMPUTED_VALUE"""),"Dubai")</f>
        <v>Dubai</v>
      </c>
      <c r="B9771" s="2" t="str">
        <f ca="1">IFERROR(__xludf.DUMMYFUNCTION("""COMPUTED_VALUE"""),"Ela by Omniyat")</f>
        <v>Ela by Omniyat</v>
      </c>
      <c r="C9771" s="2" t="str">
        <f ca="1">IFERROR(__xludf.DUMMYFUNCTION("""COMPUTED_VALUE"""),"Building")</f>
        <v>Building</v>
      </c>
      <c r="D9771" s="2" t="str">
        <f ca="1">IFERROR(__xludf.DUMMYFUNCTION("""COMPUTED_VALUE"""),"Dubai&gt;Palm Jumeirah&gt;The Crescent&gt;Ela by Omniyat")</f>
        <v>Dubai&gt;Palm Jumeirah&gt;The Crescent&gt;Ela by Omniyat</v>
      </c>
      <c r="E9771" s="2"/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</row>
    <row r="9772" spans="1:26" ht="16.5" x14ac:dyDescent="0.35">
      <c r="A9772" s="2" t="str">
        <f ca="1">IFERROR(__xludf.DUMMYFUNCTION("""COMPUTED_VALUE"""),"Dubai")</f>
        <v>Dubai</v>
      </c>
      <c r="B9772" s="2" t="str">
        <f ca="1">IFERROR(__xludf.DUMMYFUNCTION("""COMPUTED_VALUE"""),"Palm Beach Tower 3")</f>
        <v>Palm Beach Tower 3</v>
      </c>
      <c r="C9772" s="2" t="str">
        <f ca="1">IFERROR(__xludf.DUMMYFUNCTION("""COMPUTED_VALUE"""),"Building")</f>
        <v>Building</v>
      </c>
      <c r="D9772" s="2" t="str">
        <f ca="1">IFERROR(__xludf.DUMMYFUNCTION("""COMPUTED_VALUE"""),"Dubai&gt;Palm Jumeirah&gt;The Palm Beach Towers&gt;Palm Beach Tower 3")</f>
        <v>Dubai&gt;Palm Jumeirah&gt;The Palm Beach Towers&gt;Palm Beach Tower 3</v>
      </c>
      <c r="E9772" s="2"/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  <c r="W9772" s="2"/>
      <c r="X9772" s="2"/>
      <c r="Y9772" s="2"/>
      <c r="Z9772" s="2"/>
    </row>
    <row r="9773" spans="1:26" ht="16.5" x14ac:dyDescent="0.35">
      <c r="A9773" s="2" t="str">
        <f ca="1">IFERROR(__xludf.DUMMYFUNCTION("""COMPUTED_VALUE"""),"Dubai")</f>
        <v>Dubai</v>
      </c>
      <c r="B9773" s="2" t="str">
        <f ca="1">IFERROR(__xludf.DUMMYFUNCTION("""COMPUTED_VALUE"""),"Oceana Southern")</f>
        <v>Oceana Southern</v>
      </c>
      <c r="C9773" s="2" t="str">
        <f ca="1">IFERROR(__xludf.DUMMYFUNCTION("""COMPUTED_VALUE"""),"Building")</f>
        <v>Building</v>
      </c>
      <c r="D9773" s="2" t="str">
        <f ca="1">IFERROR(__xludf.DUMMYFUNCTION("""COMPUTED_VALUE"""),"Dubai&gt;Palm Jumeirah&gt;Oceana&gt;Oceana Southern")</f>
        <v>Dubai&gt;Palm Jumeirah&gt;Oceana&gt;Oceana Southern</v>
      </c>
      <c r="E9773" s="2"/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</row>
    <row r="9774" spans="1:26" ht="16.5" x14ac:dyDescent="0.35">
      <c r="A9774" s="2" t="str">
        <f ca="1">IFERROR(__xludf.DUMMYFUNCTION("""COMPUTED_VALUE"""),"Dubai")</f>
        <v>Dubai</v>
      </c>
      <c r="B9774" s="2" t="str">
        <f ca="1">IFERROR(__xludf.DUMMYFUNCTION("""COMPUTED_VALUE"""),"Binghatti Gateway")</f>
        <v>Binghatti Gateway</v>
      </c>
      <c r="C9774" s="2" t="str">
        <f ca="1">IFERROR(__xludf.DUMMYFUNCTION("""COMPUTED_VALUE"""),"Building")</f>
        <v>Building</v>
      </c>
      <c r="D9774" s="2" t="str">
        <f ca="1">IFERROR(__xludf.DUMMYFUNCTION("""COMPUTED_VALUE"""),"Dubai&gt;Al Jaddaf&gt;Binghatti Gateway")</f>
        <v>Dubai&gt;Al Jaddaf&gt;Binghatti Gateway</v>
      </c>
      <c r="E9774" s="2"/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</row>
    <row r="9775" spans="1:26" ht="16.5" x14ac:dyDescent="0.35">
      <c r="A9775" s="2" t="str">
        <f ca="1">IFERROR(__xludf.DUMMYFUNCTION("""COMPUTED_VALUE"""),"Dubai")</f>
        <v>Dubai</v>
      </c>
      <c r="B9775" s="2" t="str">
        <f ca="1">IFERROR(__xludf.DUMMYFUNCTION("""COMPUTED_VALUE"""),"Creek Views III by Azizi")</f>
        <v>Creek Views III by Azizi</v>
      </c>
      <c r="C9775" s="2" t="str">
        <f ca="1">IFERROR(__xludf.DUMMYFUNCTION("""COMPUTED_VALUE"""),"Building")</f>
        <v>Building</v>
      </c>
      <c r="D9775" s="2" t="str">
        <f ca="1">IFERROR(__xludf.DUMMYFUNCTION("""COMPUTED_VALUE"""),"Dubai&gt;Al Jaddaf&gt;Dubai Healthcare City Phase 2&gt;Creek Views III by Azizi")</f>
        <v>Dubai&gt;Al Jaddaf&gt;Dubai Healthcare City Phase 2&gt;Creek Views III by Azizi</v>
      </c>
      <c r="E9775" s="2"/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</row>
    <row r="9776" spans="1:26" ht="16.5" x14ac:dyDescent="0.35">
      <c r="A9776" s="2" t="str">
        <f ca="1">IFERROR(__xludf.DUMMYFUNCTION("""COMPUTED_VALUE"""),"Dubai")</f>
        <v>Dubai</v>
      </c>
      <c r="B9776" s="2" t="str">
        <f ca="1">IFERROR(__xludf.DUMMYFUNCTION("""COMPUTED_VALUE"""),"SKAF Hotel")</f>
        <v>SKAF Hotel</v>
      </c>
      <c r="C9776" s="2" t="str">
        <f ca="1">IFERROR(__xludf.DUMMYFUNCTION("""COMPUTED_VALUE"""),"Building")</f>
        <v>Building</v>
      </c>
      <c r="D9776" s="2" t="str">
        <f ca="1">IFERROR(__xludf.DUMMYFUNCTION("""COMPUTED_VALUE"""),"Dubai&gt;Al Jaddaf&gt;SKAF Hotel")</f>
        <v>Dubai&gt;Al Jaddaf&gt;SKAF Hotel</v>
      </c>
      <c r="E9776" s="2"/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  <c r="W9776" s="2"/>
      <c r="X9776" s="2"/>
      <c r="Y9776" s="2"/>
      <c r="Z9776" s="2"/>
    </row>
    <row r="9777" spans="1:26" ht="16.5" x14ac:dyDescent="0.35">
      <c r="A9777" s="2" t="str">
        <f ca="1">IFERROR(__xludf.DUMMYFUNCTION("""COMPUTED_VALUE"""),"Dubai")</f>
        <v>Dubai</v>
      </c>
      <c r="B9777" s="2" t="str">
        <f ca="1">IFERROR(__xludf.DUMMYFUNCTION("""COMPUTED_VALUE"""),"Empower HQ Residential")</f>
        <v>Empower HQ Residential</v>
      </c>
      <c r="C9777" s="2" t="str">
        <f ca="1">IFERROR(__xludf.DUMMYFUNCTION("""COMPUTED_VALUE"""),"Building")</f>
        <v>Building</v>
      </c>
      <c r="D9777" s="2" t="str">
        <f ca="1">IFERROR(__xludf.DUMMYFUNCTION("""COMPUTED_VALUE"""),"Dubai&gt;Al Jaddaf&gt;Empower HQ Residential")</f>
        <v>Dubai&gt;Al Jaddaf&gt;Empower HQ Residential</v>
      </c>
      <c r="E9777" s="2"/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  <c r="W9777" s="2"/>
      <c r="X9777" s="2"/>
      <c r="Y9777" s="2"/>
      <c r="Z9777" s="2"/>
    </row>
    <row r="9778" spans="1:26" ht="16.5" x14ac:dyDescent="0.35">
      <c r="A9778" s="2" t="str">
        <f ca="1">IFERROR(__xludf.DUMMYFUNCTION("""COMPUTED_VALUE"""),"Dubai")</f>
        <v>Dubai</v>
      </c>
      <c r="B9778" s="2" t="str">
        <f ca="1">IFERROR(__xludf.DUMMYFUNCTION("""COMPUTED_VALUE"""),"The Beach Collection")</f>
        <v>The Beach Collection</v>
      </c>
      <c r="C9778" s="2" t="str">
        <f ca="1">IFERROR(__xludf.DUMMYFUNCTION("""COMPUTED_VALUE"""),"Neighbourhood")</f>
        <v>Neighbourhood</v>
      </c>
      <c r="D9778" s="2" t="str">
        <f ca="1">IFERROR(__xludf.DUMMYFUNCTION("""COMPUTED_VALUE"""),"Dubai&gt;Palm Jebel Ali&gt;Frond M&gt;The Beach Collection")</f>
        <v>Dubai&gt;Palm Jebel Ali&gt;Frond M&gt;The Beach Collection</v>
      </c>
      <c r="E9778" s="2"/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  <c r="W9778" s="2"/>
      <c r="X9778" s="2"/>
      <c r="Y9778" s="2"/>
      <c r="Z9778" s="2"/>
    </row>
    <row r="9779" spans="1:26" ht="16.5" x14ac:dyDescent="0.35">
      <c r="A9779" s="2" t="str">
        <f ca="1">IFERROR(__xludf.DUMMYFUNCTION("""COMPUTED_VALUE"""),"Dubai")</f>
        <v>Dubai</v>
      </c>
      <c r="B9779" s="2" t="str">
        <f ca="1">IFERROR(__xludf.DUMMYFUNCTION("""COMPUTED_VALUE"""),"Opalz by Danube Tower 2")</f>
        <v>Opalz by Danube Tower 2</v>
      </c>
      <c r="C9779" s="2" t="str">
        <f ca="1">IFERROR(__xludf.DUMMYFUNCTION("""COMPUTED_VALUE"""),"Building")</f>
        <v>Building</v>
      </c>
      <c r="D9779" s="2" t="str">
        <f ca="1">IFERROR(__xludf.DUMMYFUNCTION("""COMPUTED_VALUE"""),"Dubai&gt;Dubai Science Park&gt;Opalz by Danube&gt;Opalz by Danube Tower 2")</f>
        <v>Dubai&gt;Dubai Science Park&gt;Opalz by Danube&gt;Opalz by Danube Tower 2</v>
      </c>
      <c r="E9779" s="2"/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</row>
    <row r="9780" spans="1:26" ht="16.5" x14ac:dyDescent="0.35">
      <c r="A9780" s="2" t="str">
        <f ca="1">IFERROR(__xludf.DUMMYFUNCTION("""COMPUTED_VALUE"""),"Dubai")</f>
        <v>Dubai</v>
      </c>
      <c r="B9780" s="2" t="str">
        <f ca="1">IFERROR(__xludf.DUMMYFUNCTION("""COMPUTED_VALUE"""),"The Springs 4")</f>
        <v>The Springs 4</v>
      </c>
      <c r="C9780" s="2" t="str">
        <f ca="1">IFERROR(__xludf.DUMMYFUNCTION("""COMPUTED_VALUE"""),"Neighbourhood")</f>
        <v>Neighbourhood</v>
      </c>
      <c r="D9780" s="2" t="str">
        <f ca="1">IFERROR(__xludf.DUMMYFUNCTION("""COMPUTED_VALUE"""),"Dubai&gt;The Springs&gt;The Springs 4")</f>
        <v>Dubai&gt;The Springs&gt;The Springs 4</v>
      </c>
      <c r="E9780" s="2"/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</row>
    <row r="9781" spans="1:26" ht="16.5" x14ac:dyDescent="0.35">
      <c r="A9781" s="2" t="str">
        <f ca="1">IFERROR(__xludf.DUMMYFUNCTION("""COMPUTED_VALUE"""),"Dubai")</f>
        <v>Dubai</v>
      </c>
      <c r="B9781" s="2" t="str">
        <f ca="1">IFERROR(__xludf.DUMMYFUNCTION("""COMPUTED_VALUE"""),"Hillside Residences 2 Building D")</f>
        <v>Hillside Residences 2 Building D</v>
      </c>
      <c r="C9781" s="2" t="str">
        <f ca="1">IFERROR(__xludf.DUMMYFUNCTION("""COMPUTED_VALUE"""),"Building")</f>
        <v>Building</v>
      </c>
      <c r="D9781" s="2" t="str">
        <f ca="1">IFERROR(__xludf.DUMMYFUNCTION("""COMPUTED_VALUE"""),"Dubai&gt;Wasl Gate&gt;Hillside Residences&gt;Hillside Residences 2&gt;Hillside Residences 2 Building D")</f>
        <v>Dubai&gt;Wasl Gate&gt;Hillside Residences&gt;Hillside Residences 2&gt;Hillside Residences 2 Building D</v>
      </c>
      <c r="E9781" s="2"/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</row>
    <row r="9782" spans="1:26" ht="16.5" x14ac:dyDescent="0.35">
      <c r="A9782" s="2" t="str">
        <f ca="1">IFERROR(__xludf.DUMMYFUNCTION("""COMPUTED_VALUE"""),"Dubai")</f>
        <v>Dubai</v>
      </c>
      <c r="B9782" s="2" t="str">
        <f ca="1">IFERROR(__xludf.DUMMYFUNCTION("""COMPUTED_VALUE"""),"Celia Gardens")</f>
        <v>Celia Gardens</v>
      </c>
      <c r="C9782" s="2" t="str">
        <f ca="1">IFERROR(__xludf.DUMMYFUNCTION("""COMPUTED_VALUE"""),"Building")</f>
        <v>Building</v>
      </c>
      <c r="D9782" s="2" t="str">
        <f ca="1">IFERROR(__xludf.DUMMYFUNCTION("""COMPUTED_VALUE"""),"Dubai&gt;Nad Al Sheba&gt;Nad Al Sheba 1&gt;Nad Al Sheba Gardens&gt;Nad Al Sheba Gardens 1&gt;Celia Gardens")</f>
        <v>Dubai&gt;Nad Al Sheba&gt;Nad Al Sheba 1&gt;Nad Al Sheba Gardens&gt;Nad Al Sheba Gardens 1&gt;Celia Gardens</v>
      </c>
      <c r="E9782" s="2"/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</row>
    <row r="9783" spans="1:26" ht="16.5" x14ac:dyDescent="0.35">
      <c r="A9783" s="2" t="str">
        <f ca="1">IFERROR(__xludf.DUMMYFUNCTION("""COMPUTED_VALUE"""),"Dubai")</f>
        <v>Dubai</v>
      </c>
      <c r="B9783" s="2" t="str">
        <f ca="1">IFERROR(__xludf.DUMMYFUNCTION("""COMPUTED_VALUE"""),"Al Falaj Villas")</f>
        <v>Al Falaj Villas</v>
      </c>
      <c r="C9783" s="2" t="str">
        <f ca="1">IFERROR(__xludf.DUMMYFUNCTION("""COMPUTED_VALUE"""),"Neighbourhood")</f>
        <v>Neighbourhood</v>
      </c>
      <c r="D9783" s="2" t="str">
        <f ca="1">IFERROR(__xludf.DUMMYFUNCTION("""COMPUTED_VALUE"""),"Dubai&gt;Dubai Internet City&gt;Al Falaj Villas")</f>
        <v>Dubai&gt;Dubai Internet City&gt;Al Falaj Villas</v>
      </c>
      <c r="E9783" s="2"/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</row>
    <row r="9784" spans="1:26" ht="16.5" x14ac:dyDescent="0.35">
      <c r="A9784" s="2" t="str">
        <f ca="1">IFERROR(__xludf.DUMMYFUNCTION("""COMPUTED_VALUE"""),"Dubai")</f>
        <v>Dubai</v>
      </c>
      <c r="B9784" s="2" t="str">
        <f ca="1">IFERROR(__xludf.DUMMYFUNCTION("""COMPUTED_VALUE"""),"DIC 16 (Mcafee Building)")</f>
        <v>DIC 16 (Mcafee Building)</v>
      </c>
      <c r="C9784" s="2" t="str">
        <f ca="1">IFERROR(__xludf.DUMMYFUNCTION("""COMPUTED_VALUE"""),"Building")</f>
        <v>Building</v>
      </c>
      <c r="D9784" s="2" t="str">
        <f ca="1">IFERROR(__xludf.DUMMYFUNCTION("""COMPUTED_VALUE"""),"Dubai&gt;Dubai Internet City&gt;DIC&gt;DIC 16 (Mcafee Building)")</f>
        <v>Dubai&gt;Dubai Internet City&gt;DIC&gt;DIC 16 (Mcafee Building)</v>
      </c>
      <c r="E9784" s="2"/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  <c r="W9784" s="2"/>
      <c r="X9784" s="2"/>
      <c r="Y9784" s="2"/>
      <c r="Z9784" s="2"/>
    </row>
    <row r="9785" spans="1:26" ht="16.5" x14ac:dyDescent="0.35">
      <c r="A9785" s="2" t="str">
        <f ca="1">IFERROR(__xludf.DUMMYFUNCTION("""COMPUTED_VALUE"""),"Dubai")</f>
        <v>Dubai</v>
      </c>
      <c r="B9785" s="2" t="str">
        <f ca="1">IFERROR(__xludf.DUMMYFUNCTION("""COMPUTED_VALUE"""),"Elie Saab 2")</f>
        <v>Elie Saab 2</v>
      </c>
      <c r="C9785" s="2" t="str">
        <f ca="1">IFERROR(__xludf.DUMMYFUNCTION("""COMPUTED_VALUE"""),"Neighbourhood")</f>
        <v>Neighbourhood</v>
      </c>
      <c r="D9785" s="2" t="str">
        <f ca="1">IFERROR(__xludf.DUMMYFUNCTION("""COMPUTED_VALUE"""),"Dubai&gt;Arabian Ranches 3&gt;Elie Saab&gt;Elie Saab 2")</f>
        <v>Dubai&gt;Arabian Ranches 3&gt;Elie Saab&gt;Elie Saab 2</v>
      </c>
      <c r="E9785" s="2"/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</row>
    <row r="9786" spans="1:26" ht="16.5" x14ac:dyDescent="0.35">
      <c r="A9786" s="2" t="str">
        <f ca="1">IFERROR(__xludf.DUMMYFUNCTION("""COMPUTED_VALUE"""),"Dubai")</f>
        <v>Dubai</v>
      </c>
      <c r="B9786" s="2" t="str">
        <f ca="1">IFERROR(__xludf.DUMMYFUNCTION("""COMPUTED_VALUE"""),"Clearpoint Building 3")</f>
        <v>Clearpoint Building 3</v>
      </c>
      <c r="C9786" s="2" t="str">
        <f ca="1">IFERROR(__xludf.DUMMYFUNCTION("""COMPUTED_VALUE"""),"Building")</f>
        <v>Building</v>
      </c>
      <c r="D9786" s="2" t="str">
        <f ca="1">IFERROR(__xludf.DUMMYFUNCTION("""COMPUTED_VALUE"""),"Dubai&gt;Mina Rashid&gt;Clearpoint&gt;Clearpoint Building 3")</f>
        <v>Dubai&gt;Mina Rashid&gt;Clearpoint&gt;Clearpoint Building 3</v>
      </c>
      <c r="E9786" s="2"/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</row>
    <row r="9787" spans="1:26" ht="16.5" x14ac:dyDescent="0.35">
      <c r="A9787" s="2" t="str">
        <f ca="1">IFERROR(__xludf.DUMMYFUNCTION("""COMPUTED_VALUE"""),"Dubai")</f>
        <v>Dubai</v>
      </c>
      <c r="B9787" s="2" t="str">
        <f ca="1">IFERROR(__xludf.DUMMYFUNCTION("""COMPUTED_VALUE"""),"Portside Square Tower 4")</f>
        <v>Portside Square Tower 4</v>
      </c>
      <c r="C9787" s="2" t="str">
        <f ca="1">IFERROR(__xludf.DUMMYFUNCTION("""COMPUTED_VALUE"""),"Building")</f>
        <v>Building</v>
      </c>
      <c r="D9787" s="2" t="str">
        <f ca="1">IFERROR(__xludf.DUMMYFUNCTION("""COMPUTED_VALUE"""),"Dubai&gt;Mina Rashid&gt;Portside Square&gt;Portside Square Tower 4")</f>
        <v>Dubai&gt;Mina Rashid&gt;Portside Square&gt;Portside Square Tower 4</v>
      </c>
      <c r="E9787" s="2"/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</row>
    <row r="9788" spans="1:26" ht="16.5" x14ac:dyDescent="0.35">
      <c r="A9788" s="2" t="str">
        <f ca="1">IFERROR(__xludf.DUMMYFUNCTION("""COMPUTED_VALUE"""),"Dubai")</f>
        <v>Dubai</v>
      </c>
      <c r="B9788" s="2" t="str">
        <f ca="1">IFERROR(__xludf.DUMMYFUNCTION("""COMPUTED_VALUE"""),"Avena 2")</f>
        <v>Avena 2</v>
      </c>
      <c r="C9788" s="2" t="str">
        <f ca="1">IFERROR(__xludf.DUMMYFUNCTION("""COMPUTED_VALUE"""),"Neighbourhood")</f>
        <v>Neighbourhood</v>
      </c>
      <c r="D9788" s="2" t="str">
        <f ca="1">IFERROR(__xludf.DUMMYFUNCTION("""COMPUTED_VALUE"""),"Dubai&gt;The Valley by Emaar&gt;Avena 2")</f>
        <v>Dubai&gt;The Valley by Emaar&gt;Avena 2</v>
      </c>
      <c r="E9788" s="2"/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</row>
    <row r="9789" spans="1:26" ht="16.5" x14ac:dyDescent="0.35">
      <c r="A9789" s="2" t="str">
        <f ca="1">IFERROR(__xludf.DUMMYFUNCTION("""COMPUTED_VALUE"""),"Dubai")</f>
        <v>Dubai</v>
      </c>
      <c r="B9789" s="2" t="str">
        <f ca="1">IFERROR(__xludf.DUMMYFUNCTION("""COMPUTED_VALUE"""),"Saheel 2")</f>
        <v>Saheel 2</v>
      </c>
      <c r="C9789" s="2" t="str">
        <f ca="1">IFERROR(__xludf.DUMMYFUNCTION("""COMPUTED_VALUE"""),"Neighbourhood")</f>
        <v>Neighbourhood</v>
      </c>
      <c r="D9789" s="2" t="str">
        <f ca="1">IFERROR(__xludf.DUMMYFUNCTION("""COMPUTED_VALUE"""),"Dubai&gt;Arabian Ranches&gt;Saheel&gt;Saheel 2")</f>
        <v>Dubai&gt;Arabian Ranches&gt;Saheel&gt;Saheel 2</v>
      </c>
      <c r="E9789" s="2"/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  <c r="W9789" s="2"/>
      <c r="X9789" s="2"/>
      <c r="Y9789" s="2"/>
      <c r="Z9789" s="2"/>
    </row>
    <row r="9790" spans="1:26" ht="16.5" x14ac:dyDescent="0.35">
      <c r="A9790" s="2" t="str">
        <f ca="1">IFERROR(__xludf.DUMMYFUNCTION("""COMPUTED_VALUE"""),"Dubai")</f>
        <v>Dubai</v>
      </c>
      <c r="B9790" s="2" t="str">
        <f ca="1">IFERROR(__xludf.DUMMYFUNCTION("""COMPUTED_VALUE"""),"The Gardens Building 10")</f>
        <v>The Gardens Building 10</v>
      </c>
      <c r="C9790" s="2" t="str">
        <f ca="1">IFERROR(__xludf.DUMMYFUNCTION("""COMPUTED_VALUE"""),"Building")</f>
        <v>Building</v>
      </c>
      <c r="D9790" s="2" t="str">
        <f ca="1">IFERROR(__xludf.DUMMYFUNCTION("""COMPUTED_VALUE"""),"Dubai&gt;The Gardens&gt;The Gardens Building 10")</f>
        <v>Dubai&gt;The Gardens&gt;The Gardens Building 10</v>
      </c>
      <c r="E9790" s="2"/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  <c r="W9790" s="2"/>
      <c r="X9790" s="2"/>
      <c r="Y9790" s="2"/>
      <c r="Z9790" s="2"/>
    </row>
    <row r="9791" spans="1:26" ht="16.5" x14ac:dyDescent="0.35">
      <c r="A9791" s="2" t="str">
        <f ca="1">IFERROR(__xludf.DUMMYFUNCTION("""COMPUTED_VALUE"""),"Dubai")</f>
        <v>Dubai</v>
      </c>
      <c r="B9791" s="2" t="str">
        <f ca="1">IFERROR(__xludf.DUMMYFUNCTION("""COMPUTED_VALUE"""),"The Gardens Building 8")</f>
        <v>The Gardens Building 8</v>
      </c>
      <c r="C9791" s="2" t="str">
        <f ca="1">IFERROR(__xludf.DUMMYFUNCTION("""COMPUTED_VALUE"""),"Building")</f>
        <v>Building</v>
      </c>
      <c r="D9791" s="2" t="str">
        <f ca="1">IFERROR(__xludf.DUMMYFUNCTION("""COMPUTED_VALUE"""),"Dubai&gt;The Gardens&gt;The Gardens Building 8")</f>
        <v>Dubai&gt;The Gardens&gt;The Gardens Building 8</v>
      </c>
      <c r="E9791" s="2"/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  <c r="W9791" s="2"/>
      <c r="X9791" s="2"/>
      <c r="Y9791" s="2"/>
      <c r="Z9791" s="2"/>
    </row>
    <row r="9792" spans="1:26" ht="16.5" x14ac:dyDescent="0.35">
      <c r="A9792" s="2" t="str">
        <f ca="1">IFERROR(__xludf.DUMMYFUNCTION("""COMPUTED_VALUE"""),"Dubai")</f>
        <v>Dubai</v>
      </c>
      <c r="B9792" s="2" t="str">
        <f ca="1">IFERROR(__xludf.DUMMYFUNCTION("""COMPUTED_VALUE"""),"The Gardens Building 95")</f>
        <v>The Gardens Building 95</v>
      </c>
      <c r="C9792" s="2" t="str">
        <f ca="1">IFERROR(__xludf.DUMMYFUNCTION("""COMPUTED_VALUE"""),"Building")</f>
        <v>Building</v>
      </c>
      <c r="D9792" s="2" t="str">
        <f ca="1">IFERROR(__xludf.DUMMYFUNCTION("""COMPUTED_VALUE"""),"Dubai&gt;The Gardens&gt;The Gardens Building 95")</f>
        <v>Dubai&gt;The Gardens&gt;The Gardens Building 95</v>
      </c>
      <c r="E9792" s="2"/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  <c r="W9792" s="2"/>
      <c r="X9792" s="2"/>
      <c r="Y9792" s="2"/>
      <c r="Z9792" s="2"/>
    </row>
    <row r="9793" spans="1:26" ht="16.5" x14ac:dyDescent="0.35">
      <c r="A9793" s="2" t="str">
        <f ca="1">IFERROR(__xludf.DUMMYFUNCTION("""COMPUTED_VALUE"""),"Dubai")</f>
        <v>Dubai</v>
      </c>
      <c r="B9793" s="2" t="str">
        <f ca="1">IFERROR(__xludf.DUMMYFUNCTION("""COMPUTED_VALUE"""),"The Gardens Building 28")</f>
        <v>The Gardens Building 28</v>
      </c>
      <c r="C9793" s="2" t="str">
        <f ca="1">IFERROR(__xludf.DUMMYFUNCTION("""COMPUTED_VALUE"""),"Building")</f>
        <v>Building</v>
      </c>
      <c r="D9793" s="2" t="str">
        <f ca="1">IFERROR(__xludf.DUMMYFUNCTION("""COMPUTED_VALUE"""),"Dubai&gt;The Gardens&gt;The Gardens Building 28")</f>
        <v>Dubai&gt;The Gardens&gt;The Gardens Building 28</v>
      </c>
      <c r="E9793" s="2"/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  <c r="W9793" s="2"/>
      <c r="X9793" s="2"/>
      <c r="Y9793" s="2"/>
      <c r="Z9793" s="2"/>
    </row>
    <row r="9794" spans="1:26" ht="16.5" x14ac:dyDescent="0.35">
      <c r="A9794" s="2" t="str">
        <f ca="1">IFERROR(__xludf.DUMMYFUNCTION("""COMPUTED_VALUE"""),"Dubai")</f>
        <v>Dubai</v>
      </c>
      <c r="B9794" s="2" t="str">
        <f ca="1">IFERROR(__xludf.DUMMYFUNCTION("""COMPUTED_VALUE"""),"The Gardens Building 128")</f>
        <v>The Gardens Building 128</v>
      </c>
      <c r="C9794" s="2" t="str">
        <f ca="1">IFERROR(__xludf.DUMMYFUNCTION("""COMPUTED_VALUE"""),"Building")</f>
        <v>Building</v>
      </c>
      <c r="D9794" s="2" t="str">
        <f ca="1">IFERROR(__xludf.DUMMYFUNCTION("""COMPUTED_VALUE"""),"Dubai&gt;The Gardens&gt;The Gardens Building 128")</f>
        <v>Dubai&gt;The Gardens&gt;The Gardens Building 128</v>
      </c>
      <c r="E9794" s="2"/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  <c r="W9794" s="2"/>
      <c r="X9794" s="2"/>
      <c r="Y9794" s="2"/>
      <c r="Z9794" s="2"/>
    </row>
    <row r="9795" spans="1:26" ht="16.5" x14ac:dyDescent="0.35">
      <c r="A9795" s="2" t="str">
        <f ca="1">IFERROR(__xludf.DUMMYFUNCTION("""COMPUTED_VALUE"""),"Dubai")</f>
        <v>Dubai</v>
      </c>
      <c r="B9795" s="2" t="str">
        <f ca="1">IFERROR(__xludf.DUMMYFUNCTION("""COMPUTED_VALUE"""),"Al Mamzar 948")</f>
        <v>Al Mamzar 948</v>
      </c>
      <c r="C9795" s="2" t="str">
        <f ca="1">IFERROR(__xludf.DUMMYFUNCTION("""COMPUTED_VALUE"""),"Building")</f>
        <v>Building</v>
      </c>
      <c r="D9795" s="2" t="str">
        <f ca="1">IFERROR(__xludf.DUMMYFUNCTION("""COMPUTED_VALUE"""),"Dubai&gt;Al Mamzar&gt;Al Mamzar 948")</f>
        <v>Dubai&gt;Al Mamzar&gt;Al Mamzar 948</v>
      </c>
      <c r="E9795" s="2"/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  <c r="W9795" s="2"/>
      <c r="X9795" s="2"/>
      <c r="Y9795" s="2"/>
      <c r="Z9795" s="2"/>
    </row>
    <row r="9796" spans="1:26" ht="16.5" x14ac:dyDescent="0.35">
      <c r="A9796" s="2" t="str">
        <f ca="1">IFERROR(__xludf.DUMMYFUNCTION("""COMPUTED_VALUE"""),"Dubai")</f>
        <v>Dubai</v>
      </c>
      <c r="B9796" s="2" t="str">
        <f ca="1">IFERROR(__xludf.DUMMYFUNCTION("""COMPUTED_VALUE"""),"One Za'abeel The Residences")</f>
        <v>One Za'abeel The Residences</v>
      </c>
      <c r="C9796" s="2" t="str">
        <f ca="1">IFERROR(__xludf.DUMMYFUNCTION("""COMPUTED_VALUE"""),"Building")</f>
        <v>Building</v>
      </c>
      <c r="D9796" s="2" t="str">
        <f ca="1">IFERROR(__xludf.DUMMYFUNCTION("""COMPUTED_VALUE"""),"Dubai&gt;Za'abeel&gt;Za'abeel 1&gt;One Za'abeel&gt;One Za'abeel The Residences")</f>
        <v>Dubai&gt;Za'abeel&gt;Za'abeel 1&gt;One Za'abeel&gt;One Za'abeel The Residences</v>
      </c>
      <c r="E9796" s="2"/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  <c r="W9796" s="2"/>
      <c r="X9796" s="2"/>
      <c r="Y9796" s="2"/>
      <c r="Z9796" s="2"/>
    </row>
    <row r="9797" spans="1:26" ht="16.5" x14ac:dyDescent="0.35">
      <c r="A9797" s="2" t="str">
        <f ca="1">IFERROR(__xludf.DUMMYFUNCTION("""COMPUTED_VALUE"""),"Dubai")</f>
        <v>Dubai</v>
      </c>
      <c r="B9797" s="2" t="str">
        <f ca="1">IFERROR(__xludf.DUMMYFUNCTION("""COMPUTED_VALUE"""),"Smark 2")</f>
        <v>Smark 2</v>
      </c>
      <c r="C9797" s="2" t="str">
        <f ca="1">IFERROR(__xludf.DUMMYFUNCTION("""COMPUTED_VALUE"""),"Building")</f>
        <v>Building</v>
      </c>
      <c r="D9797" s="2" t="str">
        <f ca="1">IFERROR(__xludf.DUMMYFUNCTION("""COMPUTED_VALUE"""),"Dubai&gt;Ras Al Khor&gt;Ras Al Khor Industrial&gt;Ras Al Khor Industrial 2&gt;Smark 2")</f>
        <v>Dubai&gt;Ras Al Khor&gt;Ras Al Khor Industrial&gt;Ras Al Khor Industrial 2&gt;Smark 2</v>
      </c>
      <c r="E9797" s="2"/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  <c r="W9797" s="2"/>
      <c r="X9797" s="2"/>
      <c r="Y9797" s="2"/>
      <c r="Z9797" s="2"/>
    </row>
    <row r="9798" spans="1:26" ht="16.5" x14ac:dyDescent="0.35">
      <c r="A9798" s="2" t="str">
        <f ca="1">IFERROR(__xludf.DUMMYFUNCTION("""COMPUTED_VALUE"""),"Dubai")</f>
        <v>Dubai</v>
      </c>
      <c r="B9798" s="2" t="str">
        <f ca="1">IFERROR(__xludf.DUMMYFUNCTION("""COMPUTED_VALUE"""),"Jebel Ali Freezone North")</f>
        <v>Jebel Ali Freezone North</v>
      </c>
      <c r="C9798" s="2" t="str">
        <f ca="1">IFERROR(__xludf.DUMMYFUNCTION("""COMPUTED_VALUE"""),"Neighbourhood")</f>
        <v>Neighbourhood</v>
      </c>
      <c r="D9798" s="2" t="str">
        <f ca="1">IFERROR(__xludf.DUMMYFUNCTION("""COMPUTED_VALUE"""),"Dubai&gt;Jebel Ali&gt;Jebel Ali Freezone&gt;Jebel Ali Freezone North")</f>
        <v>Dubai&gt;Jebel Ali&gt;Jebel Ali Freezone&gt;Jebel Ali Freezone North</v>
      </c>
      <c r="E9798" s="2"/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  <c r="W9798" s="2"/>
      <c r="X9798" s="2"/>
      <c r="Y9798" s="2"/>
      <c r="Z9798" s="2"/>
    </row>
    <row r="9799" spans="1:26" ht="16.5" x14ac:dyDescent="0.35">
      <c r="A9799" s="2" t="str">
        <f ca="1">IFERROR(__xludf.DUMMYFUNCTION("""COMPUTED_VALUE"""),"Dubai")</f>
        <v>Dubai</v>
      </c>
      <c r="B9799" s="2" t="str">
        <f ca="1">IFERROR(__xludf.DUMMYFUNCTION("""COMPUTED_VALUE"""),"Azizi Wares")</f>
        <v>Azizi Wares</v>
      </c>
      <c r="C9799" s="2" t="str">
        <f ca="1">IFERROR(__xludf.DUMMYFUNCTION("""COMPUTED_VALUE"""),"Building")</f>
        <v>Building</v>
      </c>
      <c r="D9799" s="2" t="str">
        <f ca="1">IFERROR(__xludf.DUMMYFUNCTION("""COMPUTED_VALUE"""),"Dubai&gt;Jebel Ali&gt;Downtown Jebel Ali&gt;Azizi Wares")</f>
        <v>Dubai&gt;Jebel Ali&gt;Downtown Jebel Ali&gt;Azizi Wares</v>
      </c>
      <c r="E9799" s="2"/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  <c r="W9799" s="2"/>
      <c r="X9799" s="2"/>
      <c r="Y9799" s="2"/>
      <c r="Z9799" s="2"/>
    </row>
    <row r="9800" spans="1:26" ht="16.5" x14ac:dyDescent="0.35">
      <c r="A9800" s="2" t="str">
        <f ca="1">IFERROR(__xludf.DUMMYFUNCTION("""COMPUTED_VALUE"""),"Dubai")</f>
        <v>Dubai</v>
      </c>
      <c r="B9800" s="2" t="str">
        <f ca="1">IFERROR(__xludf.DUMMYFUNCTION("""COMPUTED_VALUE"""),"The Horizon at Sobha Central")</f>
        <v>The Horizon at Sobha Central</v>
      </c>
      <c r="C9800" s="2" t="str">
        <f ca="1">IFERROR(__xludf.DUMMYFUNCTION("""COMPUTED_VALUE"""),"Building")</f>
        <v>Building</v>
      </c>
      <c r="D9800" s="2" t="str">
        <f ca="1">IFERROR(__xludf.DUMMYFUNCTION("""COMPUTED_VALUE"""),"Dubai&gt;Jebel Ali&gt;Sobha Central&gt;The Horizon at Sobha Central")</f>
        <v>Dubai&gt;Jebel Ali&gt;Sobha Central&gt;The Horizon at Sobha Central</v>
      </c>
      <c r="E9800" s="2"/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  <c r="W9800" s="2"/>
      <c r="X9800" s="2"/>
      <c r="Y9800" s="2"/>
      <c r="Z9800" s="2"/>
    </row>
    <row r="9801" spans="1:26" ht="16.5" x14ac:dyDescent="0.35">
      <c r="A9801" s="2" t="str">
        <f ca="1">IFERROR(__xludf.DUMMYFUNCTION("""COMPUTED_VALUE"""),"Dubai")</f>
        <v>Dubai</v>
      </c>
      <c r="B9801" s="2" t="str">
        <f ca="1">IFERROR(__xludf.DUMMYFUNCTION("""COMPUTED_VALUE"""),"Al Zarooni Building")</f>
        <v>Al Zarooni Building</v>
      </c>
      <c r="C9801" s="2" t="str">
        <f ca="1">IFERROR(__xludf.DUMMYFUNCTION("""COMPUTED_VALUE"""),"Building")</f>
        <v>Building</v>
      </c>
      <c r="D9801" s="2" t="str">
        <f ca="1">IFERROR(__xludf.DUMMYFUNCTION("""COMPUTED_VALUE"""),"Dubai&gt;Nad Al Hamar&gt;Al Zarooni Building")</f>
        <v>Dubai&gt;Nad Al Hamar&gt;Al Zarooni Building</v>
      </c>
      <c r="E9801" s="2"/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  <c r="W9801" s="2"/>
      <c r="X9801" s="2"/>
      <c r="Y9801" s="2"/>
      <c r="Z9801" s="2"/>
    </row>
    <row r="9802" spans="1:26" ht="16.5" x14ac:dyDescent="0.35">
      <c r="A9802" s="2" t="str">
        <f ca="1">IFERROR(__xludf.DUMMYFUNCTION("""COMPUTED_VALUE"""),"Dubai")</f>
        <v>Dubai</v>
      </c>
      <c r="B9802" s="2" t="str">
        <f ca="1">IFERROR(__xludf.DUMMYFUNCTION("""COMPUTED_VALUE"""),"Art Residence")</f>
        <v>Art Residence</v>
      </c>
      <c r="C9802" s="2" t="str">
        <f ca="1">IFERROR(__xludf.DUMMYFUNCTION("""COMPUTED_VALUE"""),"Building")</f>
        <v>Building</v>
      </c>
      <c r="D9802" s="2" t="str">
        <f ca="1">IFERROR(__xludf.DUMMYFUNCTION("""COMPUTED_VALUE"""),"Dubai&gt;Al Barsha&gt;Al Barsha 1&gt;Art Residence")</f>
        <v>Dubai&gt;Al Barsha&gt;Al Barsha 1&gt;Art Residence</v>
      </c>
      <c r="E9802" s="2"/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</row>
    <row r="9803" spans="1:26" ht="16.5" x14ac:dyDescent="0.35">
      <c r="A9803" s="2" t="str">
        <f ca="1">IFERROR(__xludf.DUMMYFUNCTION("""COMPUTED_VALUE"""),"Dubai")</f>
        <v>Dubai</v>
      </c>
      <c r="B9803" s="2" t="str">
        <f ca="1">IFERROR(__xludf.DUMMYFUNCTION("""COMPUTED_VALUE"""),"Al Waleed BA-3")</f>
        <v>Al Waleed BA-3</v>
      </c>
      <c r="C9803" s="2" t="str">
        <f ca="1">IFERROR(__xludf.DUMMYFUNCTION("""COMPUTED_VALUE"""),"Building")</f>
        <v>Building</v>
      </c>
      <c r="D9803" s="2" t="str">
        <f ca="1">IFERROR(__xludf.DUMMYFUNCTION("""COMPUTED_VALUE"""),"Dubai&gt;Al Barsha&gt;Al Barsha 1&gt;Al Waleed BA-3")</f>
        <v>Dubai&gt;Al Barsha&gt;Al Barsha 1&gt;Al Waleed BA-3</v>
      </c>
      <c r="E9803" s="2"/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</row>
    <row r="9804" spans="1:26" ht="16.5" x14ac:dyDescent="0.35">
      <c r="A9804" s="2" t="str">
        <f ca="1">IFERROR(__xludf.DUMMYFUNCTION("""COMPUTED_VALUE"""),"Dubai")</f>
        <v>Dubai</v>
      </c>
      <c r="B9804" s="2" t="str">
        <f ca="1">IFERROR(__xludf.DUMMYFUNCTION("""COMPUTED_VALUE"""),"Nema Residence")</f>
        <v>Nema Residence</v>
      </c>
      <c r="C9804" s="2" t="str">
        <f ca="1">IFERROR(__xludf.DUMMYFUNCTION("""COMPUTED_VALUE"""),"Building")</f>
        <v>Building</v>
      </c>
      <c r="D9804" s="2" t="str">
        <f ca="1">IFERROR(__xludf.DUMMYFUNCTION("""COMPUTED_VALUE"""),"Dubai&gt;Al Barsha&gt;Al Barsha 1&gt;Nema Residence")</f>
        <v>Dubai&gt;Al Barsha&gt;Al Barsha 1&gt;Nema Residence</v>
      </c>
      <c r="E9804" s="2"/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</row>
    <row r="9805" spans="1:26" ht="16.5" x14ac:dyDescent="0.35">
      <c r="A9805" s="2" t="str">
        <f ca="1">IFERROR(__xludf.DUMMYFUNCTION("""COMPUTED_VALUE"""),"Dubai")</f>
        <v>Dubai</v>
      </c>
      <c r="B9805" s="2" t="str">
        <f ca="1">IFERROR(__xludf.DUMMYFUNCTION("""COMPUTED_VALUE"""),"Zumurud Mall of the Emirates")</f>
        <v>Zumurud Mall of the Emirates</v>
      </c>
      <c r="C9805" s="2" t="str">
        <f ca="1">IFERROR(__xludf.DUMMYFUNCTION("""COMPUTED_VALUE"""),"Building")</f>
        <v>Building</v>
      </c>
      <c r="D9805" s="2" t="str">
        <f ca="1">IFERROR(__xludf.DUMMYFUNCTION("""COMPUTED_VALUE"""),"Dubai&gt;Al Barsha&gt;Al Barsha 1&gt;Zumurud Mall of the Emirates")</f>
        <v>Dubai&gt;Al Barsha&gt;Al Barsha 1&gt;Zumurud Mall of the Emirates</v>
      </c>
      <c r="E9805" s="2"/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</row>
    <row r="9806" spans="1:26" ht="16.5" x14ac:dyDescent="0.35">
      <c r="A9806" s="2" t="str">
        <f ca="1">IFERROR(__xludf.DUMMYFUNCTION("""COMPUTED_VALUE"""),"Dubai")</f>
        <v>Dubai</v>
      </c>
      <c r="B9806" s="2" t="str">
        <f ca="1">IFERROR(__xludf.DUMMYFUNCTION("""COMPUTED_VALUE"""),"Noon Hotel Apartment")</f>
        <v>Noon Hotel Apartment</v>
      </c>
      <c r="C9806" s="2" t="str">
        <f ca="1">IFERROR(__xludf.DUMMYFUNCTION("""COMPUTED_VALUE"""),"Building")</f>
        <v>Building</v>
      </c>
      <c r="D9806" s="2" t="str">
        <f ca="1">IFERROR(__xludf.DUMMYFUNCTION("""COMPUTED_VALUE"""),"Dubai&gt;Al Barsha&gt;Al Barsha 1&gt;Noon Hotel Apartment")</f>
        <v>Dubai&gt;Al Barsha&gt;Al Barsha 1&gt;Noon Hotel Apartment</v>
      </c>
      <c r="E9806" s="2"/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  <c r="W9806" s="2"/>
      <c r="X9806" s="2"/>
      <c r="Y9806" s="2"/>
      <c r="Z9806" s="2"/>
    </row>
    <row r="9807" spans="1:26" ht="16.5" x14ac:dyDescent="0.35">
      <c r="A9807" s="2" t="str">
        <f ca="1">IFERROR(__xludf.DUMMYFUNCTION("""COMPUTED_VALUE"""),"Dubai")</f>
        <v>Dubai</v>
      </c>
      <c r="B9807" s="2" t="str">
        <f ca="1">IFERROR(__xludf.DUMMYFUNCTION("""COMPUTED_VALUE"""),"Dusseldorf Business Point")</f>
        <v>Dusseldorf Business Point</v>
      </c>
      <c r="C9807" s="2" t="str">
        <f ca="1">IFERROR(__xludf.DUMMYFUNCTION("""COMPUTED_VALUE"""),"Building")</f>
        <v>Building</v>
      </c>
      <c r="D9807" s="2" t="str">
        <f ca="1">IFERROR(__xludf.DUMMYFUNCTION("""COMPUTED_VALUE"""),"Dubai&gt;Al Barsha&gt;Al Barsha 1&gt;Dusseldorf Business Point")</f>
        <v>Dubai&gt;Al Barsha&gt;Al Barsha 1&gt;Dusseldorf Business Point</v>
      </c>
      <c r="E9807" s="2"/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</row>
    <row r="9808" spans="1:26" ht="16.5" x14ac:dyDescent="0.35">
      <c r="A9808" s="2" t="str">
        <f ca="1">IFERROR(__xludf.DUMMYFUNCTION("""COMPUTED_VALUE"""),"Dubai")</f>
        <v>Dubai</v>
      </c>
      <c r="B9808" s="2" t="str">
        <f ca="1">IFERROR(__xludf.DUMMYFUNCTION("""COMPUTED_VALUE"""),"Al Salam Building")</f>
        <v>Al Salam Building</v>
      </c>
      <c r="C9808" s="2" t="str">
        <f ca="1">IFERROR(__xludf.DUMMYFUNCTION("""COMPUTED_VALUE"""),"Building")</f>
        <v>Building</v>
      </c>
      <c r="D9808" s="2" t="str">
        <f ca="1">IFERROR(__xludf.DUMMYFUNCTION("""COMPUTED_VALUE"""),"Dubai&gt;Al Barsha&gt;Al Barsha 1&gt;Al Salam Building")</f>
        <v>Dubai&gt;Al Barsha&gt;Al Barsha 1&gt;Al Salam Building</v>
      </c>
      <c r="E9808" s="2"/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</row>
    <row r="9809" spans="1:26" ht="16.5" x14ac:dyDescent="0.35">
      <c r="A9809" s="2" t="str">
        <f ca="1">IFERROR(__xludf.DUMMYFUNCTION("""COMPUTED_VALUE"""),"Dubai")</f>
        <v>Dubai</v>
      </c>
      <c r="B9809" s="2" t="str">
        <f ca="1">IFERROR(__xludf.DUMMYFUNCTION("""COMPUTED_VALUE"""),"Al Nasser Compound")</f>
        <v>Al Nasser Compound</v>
      </c>
      <c r="C9809" s="2" t="str">
        <f ca="1">IFERROR(__xludf.DUMMYFUNCTION("""COMPUTED_VALUE"""),"Neighbourhood")</f>
        <v>Neighbourhood</v>
      </c>
      <c r="D9809" s="2" t="str">
        <f ca="1">IFERROR(__xludf.DUMMYFUNCTION("""COMPUTED_VALUE"""),"Dubai&gt;Al Barsha&gt;Al Barsha 1&gt;Al Nasser Compound")</f>
        <v>Dubai&gt;Al Barsha&gt;Al Barsha 1&gt;Al Nasser Compound</v>
      </c>
      <c r="E9809" s="2"/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</row>
    <row r="9810" spans="1:26" ht="16.5" x14ac:dyDescent="0.35">
      <c r="A9810" s="2" t="str">
        <f ca="1">IFERROR(__xludf.DUMMYFUNCTION("""COMPUTED_VALUE"""),"Dubai")</f>
        <v>Dubai</v>
      </c>
      <c r="B9810" s="2" t="str">
        <f ca="1">IFERROR(__xludf.DUMMYFUNCTION("""COMPUTED_VALUE"""),"Village 33")</f>
        <v>Village 33</v>
      </c>
      <c r="C9810" s="2" t="str">
        <f ca="1">IFERROR(__xludf.DUMMYFUNCTION("""COMPUTED_VALUE"""),"Neighbourhood")</f>
        <v>Neighbourhood</v>
      </c>
      <c r="D9810" s="2" t="str">
        <f ca="1">IFERROR(__xludf.DUMMYFUNCTION("""COMPUTED_VALUE"""),"Dubai&gt;Al Barsha&gt;Al Barsha 1&gt;Village 33")</f>
        <v>Dubai&gt;Al Barsha&gt;Al Barsha 1&gt;Village 33</v>
      </c>
      <c r="E9810" s="2"/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</row>
    <row r="9811" spans="1:26" ht="16.5" x14ac:dyDescent="0.35">
      <c r="A9811" s="2" t="str">
        <f ca="1">IFERROR(__xludf.DUMMYFUNCTION("""COMPUTED_VALUE"""),"Dubai")</f>
        <v>Dubai</v>
      </c>
      <c r="B9811" s="2" t="str">
        <f ca="1">IFERROR(__xludf.DUMMYFUNCTION("""COMPUTED_VALUE"""),"Atria Square")</f>
        <v>Atria Square</v>
      </c>
      <c r="C9811" s="2" t="str">
        <f ca="1">IFERROR(__xludf.DUMMYFUNCTION("""COMPUTED_VALUE"""),"Building")</f>
        <v>Building</v>
      </c>
      <c r="D9811" s="2" t="str">
        <f ca="1">IFERROR(__xludf.DUMMYFUNCTION("""COMPUTED_VALUE"""),"Dubai&gt;Al Barsha&gt;Al Barsha 1&gt;Atria Square")</f>
        <v>Dubai&gt;Al Barsha&gt;Al Barsha 1&gt;Atria Square</v>
      </c>
      <c r="E9811" s="2"/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</row>
    <row r="9812" spans="1:26" ht="16.5" x14ac:dyDescent="0.35">
      <c r="A9812" s="2" t="str">
        <f ca="1">IFERROR(__xludf.DUMMYFUNCTION("""COMPUTED_VALUE"""),"Dubai")</f>
        <v>Dubai</v>
      </c>
      <c r="B9812" s="2" t="str">
        <f ca="1">IFERROR(__xludf.DUMMYFUNCTION("""COMPUTED_VALUE"""),"Claren Podium")</f>
        <v>Claren Podium</v>
      </c>
      <c r="C9812" s="2" t="str">
        <f ca="1">IFERROR(__xludf.DUMMYFUNCTION("""COMPUTED_VALUE"""),"Building")</f>
        <v>Building</v>
      </c>
      <c r="D9812" s="2" t="str">
        <f ca="1">IFERROR(__xludf.DUMMYFUNCTION("""COMPUTED_VALUE"""),"Dubai&gt;Downtown Dubai&gt;Claren Towers&gt;Claren Podium")</f>
        <v>Dubai&gt;Downtown Dubai&gt;Claren Towers&gt;Claren Podium</v>
      </c>
      <c r="E9812" s="2"/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</row>
    <row r="9813" spans="1:26" ht="16.5" x14ac:dyDescent="0.35">
      <c r="A9813" s="2" t="str">
        <f ca="1">IFERROR(__xludf.DUMMYFUNCTION("""COMPUTED_VALUE"""),"Dubai")</f>
        <v>Dubai</v>
      </c>
      <c r="B9813" s="2" t="str">
        <f ca="1">IFERROR(__xludf.DUMMYFUNCTION("""COMPUTED_VALUE"""),"Mohammad Bin Rashid Boulevard")</f>
        <v>Mohammad Bin Rashid Boulevard</v>
      </c>
      <c r="C9813" s="2" t="str">
        <f ca="1">IFERROR(__xludf.DUMMYFUNCTION("""COMPUTED_VALUE"""),"Cluster")</f>
        <v>Cluster</v>
      </c>
      <c r="D9813" s="2" t="str">
        <f ca="1">IFERROR(__xludf.DUMMYFUNCTION("""COMPUTED_VALUE"""),"Dubai&gt;Downtown Dubai&gt;Mohammad Bin Rashid Boulevard")</f>
        <v>Dubai&gt;Downtown Dubai&gt;Mohammad Bin Rashid Boulevard</v>
      </c>
      <c r="E9813" s="2"/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</row>
    <row r="9814" spans="1:26" ht="16.5" x14ac:dyDescent="0.35">
      <c r="A9814" s="2" t="str">
        <f ca="1">IFERROR(__xludf.DUMMYFUNCTION("""COMPUTED_VALUE"""),"Dubai")</f>
        <v>Dubai</v>
      </c>
      <c r="B9814" s="2" t="str">
        <f ca="1">IFERROR(__xludf.DUMMYFUNCTION("""COMPUTED_VALUE"""),"Act One | Act Two Towers")</f>
        <v>Act One | Act Two Towers</v>
      </c>
      <c r="C9814" s="2" t="str">
        <f ca="1">IFERROR(__xludf.DUMMYFUNCTION("""COMPUTED_VALUE"""),"Cluster")</f>
        <v>Cluster</v>
      </c>
      <c r="D9814" s="2" t="str">
        <f ca="1">IFERROR(__xludf.DUMMYFUNCTION("""COMPUTED_VALUE"""),"Dubai&gt;Downtown Dubai&gt;Opera District&gt;Act One | Act Two Towers")</f>
        <v>Dubai&gt;Downtown Dubai&gt;Opera District&gt;Act One | Act Two Towers</v>
      </c>
      <c r="E9814" s="2"/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</row>
    <row r="9815" spans="1:26" ht="16.5" x14ac:dyDescent="0.35">
      <c r="A9815" s="2" t="str">
        <f ca="1">IFERROR(__xludf.DUMMYFUNCTION("""COMPUTED_VALUE"""),"Dubai")</f>
        <v>Dubai</v>
      </c>
      <c r="B9815" s="2" t="str">
        <f ca="1">IFERROR(__xludf.DUMMYFUNCTION("""COMPUTED_VALUE"""),"Standpoint Tower 1")</f>
        <v>Standpoint Tower 1</v>
      </c>
      <c r="C9815" s="2" t="str">
        <f ca="1">IFERROR(__xludf.DUMMYFUNCTION("""COMPUTED_VALUE"""),"Building")</f>
        <v>Building</v>
      </c>
      <c r="D9815" s="2" t="str">
        <f ca="1">IFERROR(__xludf.DUMMYFUNCTION("""COMPUTED_VALUE"""),"Dubai&gt;Downtown Dubai&gt;Standpoint Towers&gt;Standpoint Tower 1")</f>
        <v>Dubai&gt;Downtown Dubai&gt;Standpoint Towers&gt;Standpoint Tower 1</v>
      </c>
      <c r="E9815" s="2"/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</row>
    <row r="9816" spans="1:26" ht="16.5" x14ac:dyDescent="0.35">
      <c r="A9816" s="2" t="str">
        <f ca="1">IFERROR(__xludf.DUMMYFUNCTION("""COMPUTED_VALUE"""),"Dubai")</f>
        <v>Dubai</v>
      </c>
      <c r="B9816" s="2" t="str">
        <f ca="1">IFERROR(__xludf.DUMMYFUNCTION("""COMPUTED_VALUE"""),"Yansoon")</f>
        <v>Yansoon</v>
      </c>
      <c r="C9816" s="2" t="str">
        <f ca="1">IFERROR(__xludf.DUMMYFUNCTION("""COMPUTED_VALUE"""),"Cluster")</f>
        <v>Cluster</v>
      </c>
      <c r="D9816" s="2" t="str">
        <f ca="1">IFERROR(__xludf.DUMMYFUNCTION("""COMPUTED_VALUE"""),"Dubai&gt;Downtown Dubai&gt;Old Town&gt;Yansoon")</f>
        <v>Dubai&gt;Downtown Dubai&gt;Old Town&gt;Yansoon</v>
      </c>
      <c r="E9816" s="2"/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</row>
    <row r="9817" spans="1:26" ht="16.5" x14ac:dyDescent="0.35">
      <c r="A9817" s="2" t="str">
        <f ca="1">IFERROR(__xludf.DUMMYFUNCTION("""COMPUTED_VALUE"""),"Dubai")</f>
        <v>Dubai</v>
      </c>
      <c r="B9817" s="2" t="str">
        <f ca="1">IFERROR(__xludf.DUMMYFUNCTION("""COMPUTED_VALUE"""),"W Residences")</f>
        <v>W Residences</v>
      </c>
      <c r="C9817" s="2" t="str">
        <f ca="1">IFERROR(__xludf.DUMMYFUNCTION("""COMPUTED_VALUE"""),"Building")</f>
        <v>Building</v>
      </c>
      <c r="D9817" s="2" t="str">
        <f ca="1">IFERROR(__xludf.DUMMYFUNCTION("""COMPUTED_VALUE"""),"Dubai&gt;Downtown Dubai&gt;W Residences")</f>
        <v>Dubai&gt;Downtown Dubai&gt;W Residences</v>
      </c>
      <c r="E9817" s="2"/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  <c r="W9817" s="2"/>
      <c r="X9817" s="2"/>
      <c r="Y9817" s="2"/>
      <c r="Z9817" s="2"/>
    </row>
    <row r="9818" spans="1:26" ht="16.5" x14ac:dyDescent="0.35">
      <c r="A9818" s="2" t="str">
        <f ca="1">IFERROR(__xludf.DUMMYFUNCTION("""COMPUTED_VALUE"""),"Dubai")</f>
        <v>Dubai</v>
      </c>
      <c r="B9818" s="2" t="str">
        <f ca="1">IFERROR(__xludf.DUMMYFUNCTION("""COMPUTED_VALUE"""),"Burj Views Podium")</f>
        <v>Burj Views Podium</v>
      </c>
      <c r="C9818" s="2" t="str">
        <f ca="1">IFERROR(__xludf.DUMMYFUNCTION("""COMPUTED_VALUE"""),"Building")</f>
        <v>Building</v>
      </c>
      <c r="D9818" s="2" t="str">
        <f ca="1">IFERROR(__xludf.DUMMYFUNCTION("""COMPUTED_VALUE"""),"Dubai&gt;Downtown Dubai&gt;Burj Views&gt;Burj Views Podium")</f>
        <v>Dubai&gt;Downtown Dubai&gt;Burj Views&gt;Burj Views Podium</v>
      </c>
      <c r="E9818" s="2"/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  <c r="W9818" s="2"/>
      <c r="X9818" s="2"/>
      <c r="Y9818" s="2"/>
      <c r="Z9818" s="2"/>
    </row>
    <row r="9819" spans="1:26" ht="16.5" x14ac:dyDescent="0.35">
      <c r="A9819" s="2" t="str">
        <f ca="1">IFERROR(__xludf.DUMMYFUNCTION("""COMPUTED_VALUE"""),"Dubai")</f>
        <v>Dubai</v>
      </c>
      <c r="B9819" s="2" t="str">
        <f ca="1">IFERROR(__xludf.DUMMYFUNCTION("""COMPUTED_VALUE"""),"Mazaya 28")</f>
        <v>Mazaya 28</v>
      </c>
      <c r="C9819" s="2" t="str">
        <f ca="1">IFERROR(__xludf.DUMMYFUNCTION("""COMPUTED_VALUE"""),"Building")</f>
        <v>Building</v>
      </c>
      <c r="D9819" s="2" t="str">
        <f ca="1">IFERROR(__xludf.DUMMYFUNCTION("""COMPUTED_VALUE"""),"Dubai&gt;Liwan&gt;Queue Point&gt;Mazaya 28")</f>
        <v>Dubai&gt;Liwan&gt;Queue Point&gt;Mazaya 28</v>
      </c>
      <c r="E9819" s="2"/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  <c r="W9819" s="2"/>
      <c r="X9819" s="2"/>
      <c r="Y9819" s="2"/>
      <c r="Z9819" s="2"/>
    </row>
    <row r="9820" spans="1:26" ht="16.5" x14ac:dyDescent="0.35">
      <c r="A9820" s="2" t="str">
        <f ca="1">IFERROR(__xludf.DUMMYFUNCTION("""COMPUTED_VALUE"""),"Dubai")</f>
        <v>Dubai</v>
      </c>
      <c r="B9820" s="2" t="str">
        <f ca="1">IFERROR(__xludf.DUMMYFUNCTION("""COMPUTED_VALUE"""),"L Avenue")</f>
        <v>L Avenue</v>
      </c>
      <c r="C9820" s="2" t="str">
        <f ca="1">IFERROR(__xludf.DUMMYFUNCTION("""COMPUTED_VALUE"""),"Building")</f>
        <v>Building</v>
      </c>
      <c r="D9820" s="2" t="str">
        <f ca="1">IFERROR(__xludf.DUMMYFUNCTION("""COMPUTED_VALUE"""),"Dubai&gt;Liwan&gt;L Avenue")</f>
        <v>Dubai&gt;Liwan&gt;L Avenue</v>
      </c>
      <c r="E9820" s="2"/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</row>
    <row r="9821" spans="1:26" ht="16.5" x14ac:dyDescent="0.35">
      <c r="A9821" s="2" t="str">
        <f ca="1">IFERROR(__xludf.DUMMYFUNCTION("""COMPUTED_VALUE"""),"Dubai")</f>
        <v>Dubai</v>
      </c>
      <c r="B9821" s="2" t="str">
        <f ca="1">IFERROR(__xludf.DUMMYFUNCTION("""COMPUTED_VALUE"""),"Al Hana Centre")</f>
        <v>Al Hana Centre</v>
      </c>
      <c r="C9821" s="2" t="str">
        <f ca="1">IFERROR(__xludf.DUMMYFUNCTION("""COMPUTED_VALUE"""),"Building")</f>
        <v>Building</v>
      </c>
      <c r="D9821" s="2" t="str">
        <f ca="1">IFERROR(__xludf.DUMMYFUNCTION("""COMPUTED_VALUE"""),"Dubai&gt;Al Jafiliya&gt;Al Hana Centre")</f>
        <v>Dubai&gt;Al Jafiliya&gt;Al Hana Centre</v>
      </c>
      <c r="E9821" s="2"/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</row>
    <row r="9822" spans="1:26" ht="16.5" x14ac:dyDescent="0.35">
      <c r="A9822" s="2" t="str">
        <f ca="1">IFERROR(__xludf.DUMMYFUNCTION("""COMPUTED_VALUE"""),"Dubai")</f>
        <v>Dubai</v>
      </c>
      <c r="B9822" s="2" t="str">
        <f ca="1">IFERROR(__xludf.DUMMYFUNCTION("""COMPUTED_VALUE"""),"The Gate Village 10")</f>
        <v>The Gate Village 10</v>
      </c>
      <c r="C9822" s="2" t="str">
        <f ca="1">IFERROR(__xludf.DUMMYFUNCTION("""COMPUTED_VALUE"""),"Building")</f>
        <v>Building</v>
      </c>
      <c r="D9822" s="2" t="str">
        <f ca="1">IFERROR(__xludf.DUMMYFUNCTION("""COMPUTED_VALUE"""),"Dubai&gt;DIFC&gt;The Gate Village&gt;The Gate Village 10")</f>
        <v>Dubai&gt;DIFC&gt;The Gate Village&gt;The Gate Village 10</v>
      </c>
      <c r="E9822" s="2"/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</row>
    <row r="9823" spans="1:26" ht="16.5" x14ac:dyDescent="0.35">
      <c r="A9823" s="2" t="str">
        <f ca="1">IFERROR(__xludf.DUMMYFUNCTION("""COMPUTED_VALUE"""),"Dubai")</f>
        <v>Dubai</v>
      </c>
      <c r="B9823" s="2" t="str">
        <f ca="1">IFERROR(__xludf.DUMMYFUNCTION("""COMPUTED_VALUE"""),"Delhi Private School")</f>
        <v>Delhi Private School</v>
      </c>
      <c r="C9823" s="2" t="str">
        <f ca="1">IFERROR(__xludf.DUMMYFUNCTION("""COMPUTED_VALUE"""),"School")</f>
        <v>School</v>
      </c>
      <c r="D9823" s="2" t="str">
        <f ca="1">IFERROR(__xludf.DUMMYFUNCTION("""COMPUTED_VALUE"""),"Dubai&gt;Al Twar&gt;Al Twar 3&gt;Delhi Private School")</f>
        <v>Dubai&gt;Al Twar&gt;Al Twar 3&gt;Delhi Private School</v>
      </c>
      <c r="E9823" s="2"/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  <c r="W9823" s="2"/>
      <c r="X9823" s="2"/>
      <c r="Y9823" s="2"/>
      <c r="Z9823" s="2"/>
    </row>
    <row r="9824" spans="1:26" ht="16.5" x14ac:dyDescent="0.35">
      <c r="A9824" s="2" t="str">
        <f ca="1">IFERROR(__xludf.DUMMYFUNCTION("""COMPUTED_VALUE"""),"Dubai")</f>
        <v>Dubai</v>
      </c>
      <c r="B9824" s="2" t="str">
        <f ca="1">IFERROR(__xludf.DUMMYFUNCTION("""COMPUTED_VALUE"""),"Al Shawi Building Warqa")</f>
        <v>Al Shawi Building Warqa</v>
      </c>
      <c r="C9824" s="2" t="str">
        <f ca="1">IFERROR(__xludf.DUMMYFUNCTION("""COMPUTED_VALUE"""),"Building")</f>
        <v>Building</v>
      </c>
      <c r="D9824" s="2" t="str">
        <f ca="1">IFERROR(__xludf.DUMMYFUNCTION("""COMPUTED_VALUE"""),"Dubai&gt;Al Warqaa&gt;Al Warqaa 1&gt;Al Shawi Building Warqa")</f>
        <v>Dubai&gt;Al Warqaa&gt;Al Warqaa 1&gt;Al Shawi Building Warqa</v>
      </c>
      <c r="E9824" s="2"/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</row>
    <row r="9825" spans="1:26" ht="16.5" x14ac:dyDescent="0.35">
      <c r="A9825" s="2" t="str">
        <f ca="1">IFERROR(__xludf.DUMMYFUNCTION("""COMPUTED_VALUE"""),"Dubai")</f>
        <v>Dubai</v>
      </c>
      <c r="B9825" s="2" t="str">
        <f ca="1">IFERROR(__xludf.DUMMYFUNCTION("""COMPUTED_VALUE"""),"Al Matrooshi Building 2")</f>
        <v>Al Matrooshi Building 2</v>
      </c>
      <c r="C9825" s="2" t="str">
        <f ca="1">IFERROR(__xludf.DUMMYFUNCTION("""COMPUTED_VALUE"""),"Building")</f>
        <v>Building</v>
      </c>
      <c r="D9825" s="2" t="str">
        <f ca="1">IFERROR(__xludf.DUMMYFUNCTION("""COMPUTED_VALUE"""),"Dubai&gt;Al Warqaa&gt;Al Warqaa 1&gt;Al Matrooshi Building 2")</f>
        <v>Dubai&gt;Al Warqaa&gt;Al Warqaa 1&gt;Al Matrooshi Building 2</v>
      </c>
      <c r="E9825" s="2"/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</row>
    <row r="9826" spans="1:26" ht="16.5" x14ac:dyDescent="0.35">
      <c r="A9826" s="2" t="str">
        <f ca="1">IFERROR(__xludf.DUMMYFUNCTION("""COMPUTED_VALUE"""),"Dubai")</f>
        <v>Dubai</v>
      </c>
      <c r="B9826" s="2" t="str">
        <f ca="1">IFERROR(__xludf.DUMMYFUNCTION("""COMPUTED_VALUE"""),"Abdulmuhsen Ibrahim Building")</f>
        <v>Abdulmuhsen Ibrahim Building</v>
      </c>
      <c r="C9826" s="2" t="str">
        <f ca="1">IFERROR(__xludf.DUMMYFUNCTION("""COMPUTED_VALUE"""),"Building")</f>
        <v>Building</v>
      </c>
      <c r="D9826" s="2" t="str">
        <f ca="1">IFERROR(__xludf.DUMMYFUNCTION("""COMPUTED_VALUE"""),"Dubai&gt;Al Warqaa&gt;Al Warqaa 1&gt;Abdulmuhsen Ibrahim Building")</f>
        <v>Dubai&gt;Al Warqaa&gt;Al Warqaa 1&gt;Abdulmuhsen Ibrahim Building</v>
      </c>
      <c r="E9826" s="2"/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</row>
    <row r="9827" spans="1:26" ht="16.5" x14ac:dyDescent="0.35">
      <c r="A9827" s="2" t="str">
        <f ca="1">IFERROR(__xludf.DUMMYFUNCTION("""COMPUTED_VALUE"""),"Dubai")</f>
        <v>Dubai</v>
      </c>
      <c r="B9827" s="2" t="str">
        <f ca="1">IFERROR(__xludf.DUMMYFUNCTION("""COMPUTED_VALUE"""),"SB Building")</f>
        <v>SB Building</v>
      </c>
      <c r="C9827" s="2" t="str">
        <f ca="1">IFERROR(__xludf.DUMMYFUNCTION("""COMPUTED_VALUE"""),"Building")</f>
        <v>Building</v>
      </c>
      <c r="D9827" s="2" t="str">
        <f ca="1">IFERROR(__xludf.DUMMYFUNCTION("""COMPUTED_VALUE"""),"Dubai&gt;Al Warqaa&gt;Al Warqaa 1&gt;SB Building")</f>
        <v>Dubai&gt;Al Warqaa&gt;Al Warqaa 1&gt;SB Building</v>
      </c>
      <c r="E9827" s="2"/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  <c r="W9827" s="2"/>
      <c r="X9827" s="2"/>
      <c r="Y9827" s="2"/>
      <c r="Z9827" s="2"/>
    </row>
    <row r="9828" spans="1:26" ht="16.5" x14ac:dyDescent="0.35">
      <c r="A9828" s="2" t="str">
        <f ca="1">IFERROR(__xludf.DUMMYFUNCTION("""COMPUTED_VALUE"""),"Dubai")</f>
        <v>Dubai</v>
      </c>
      <c r="B9828" s="2" t="str">
        <f ca="1">IFERROR(__xludf.DUMMYFUNCTION("""COMPUTED_VALUE"""),"JLT Cluster A")</f>
        <v>JLT Cluster A</v>
      </c>
      <c r="C9828" s="2" t="str">
        <f ca="1">IFERROR(__xludf.DUMMYFUNCTION("""COMPUTED_VALUE"""),"Cluster")</f>
        <v>Cluster</v>
      </c>
      <c r="D9828" s="2" t="str">
        <f ca="1">IFERROR(__xludf.DUMMYFUNCTION("""COMPUTED_VALUE"""),"Dubai&gt;Jumeirah Lake Towers (JLT)&gt;JLT Cluster A")</f>
        <v>Dubai&gt;Jumeirah Lake Towers (JLT)&gt;JLT Cluster A</v>
      </c>
      <c r="E9828" s="2"/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</row>
    <row r="9829" spans="1:26" ht="16.5" x14ac:dyDescent="0.35">
      <c r="A9829" s="2" t="str">
        <f ca="1">IFERROR(__xludf.DUMMYFUNCTION("""COMPUTED_VALUE"""),"Dubai")</f>
        <v>Dubai</v>
      </c>
      <c r="B9829" s="2" t="str">
        <f ca="1">IFERROR(__xludf.DUMMYFUNCTION("""COMPUTED_VALUE"""),"ME DO RE Business")</f>
        <v>ME DO RE Business</v>
      </c>
      <c r="C9829" s="2" t="str">
        <f ca="1">IFERROR(__xludf.DUMMYFUNCTION("""COMPUTED_VALUE"""),"Building")</f>
        <v>Building</v>
      </c>
      <c r="D9829" s="2" t="str">
        <f ca="1">IFERROR(__xludf.DUMMYFUNCTION("""COMPUTED_VALUE"""),"Dubai&gt;Jumeirah Lake Towers (JLT)&gt;JLT Cluster H&gt;ME DO RE Business")</f>
        <v>Dubai&gt;Jumeirah Lake Towers (JLT)&gt;JLT Cluster H&gt;ME DO RE Business</v>
      </c>
      <c r="E9829" s="2"/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  <c r="W9829" s="2"/>
      <c r="X9829" s="2"/>
      <c r="Y9829" s="2"/>
      <c r="Z9829" s="2"/>
    </row>
    <row r="9830" spans="1:26" ht="16.5" x14ac:dyDescent="0.35">
      <c r="A9830" s="2" t="str">
        <f ca="1">IFERROR(__xludf.DUMMYFUNCTION("""COMPUTED_VALUE"""),"Dubai")</f>
        <v>Dubai</v>
      </c>
      <c r="B9830" s="2" t="str">
        <f ca="1">IFERROR(__xludf.DUMMYFUNCTION("""COMPUTED_VALUE"""),"JLT Cluster P")</f>
        <v>JLT Cluster P</v>
      </c>
      <c r="C9830" s="2" t="str">
        <f ca="1">IFERROR(__xludf.DUMMYFUNCTION("""COMPUTED_VALUE"""),"Cluster")</f>
        <v>Cluster</v>
      </c>
      <c r="D9830" s="2" t="str">
        <f ca="1">IFERROR(__xludf.DUMMYFUNCTION("""COMPUTED_VALUE"""),"Dubai&gt;Jumeirah Lake Towers (JLT)&gt;JLT Cluster P")</f>
        <v>Dubai&gt;Jumeirah Lake Towers (JLT)&gt;JLT Cluster P</v>
      </c>
      <c r="E9830" s="2"/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</row>
    <row r="9831" spans="1:26" ht="16.5" x14ac:dyDescent="0.35">
      <c r="A9831" s="2" t="str">
        <f ca="1">IFERROR(__xludf.DUMMYFUNCTION("""COMPUTED_VALUE"""),"Dubai")</f>
        <v>Dubai</v>
      </c>
      <c r="B9831" s="2" t="str">
        <f ca="1">IFERROR(__xludf.DUMMYFUNCTION("""COMPUTED_VALUE"""),"Tiffany Tower")</f>
        <v>Tiffany Tower</v>
      </c>
      <c r="C9831" s="2" t="str">
        <f ca="1">IFERROR(__xludf.DUMMYFUNCTION("""COMPUTED_VALUE"""),"Building")</f>
        <v>Building</v>
      </c>
      <c r="D9831" s="2" t="str">
        <f ca="1">IFERROR(__xludf.DUMMYFUNCTION("""COMPUTED_VALUE"""),"Dubai&gt;Jumeirah Lake Towers (JLT)&gt;JLT Cluster W&gt;Tiffany Tower")</f>
        <v>Dubai&gt;Jumeirah Lake Towers (JLT)&gt;JLT Cluster W&gt;Tiffany Tower</v>
      </c>
      <c r="E9831" s="2"/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</row>
    <row r="9832" spans="1:26" ht="16.5" x14ac:dyDescent="0.35">
      <c r="A9832" s="2" t="str">
        <f ca="1">IFERROR(__xludf.DUMMYFUNCTION("""COMPUTED_VALUE"""),"Dubai")</f>
        <v>Dubai</v>
      </c>
      <c r="B9832" s="2" t="str">
        <f ca="1">IFERROR(__xludf.DUMMYFUNCTION("""COMPUTED_VALUE"""),"Diamondz by Danube")</f>
        <v>Diamondz by Danube</v>
      </c>
      <c r="C9832" s="2" t="str">
        <f ca="1">IFERROR(__xludf.DUMMYFUNCTION("""COMPUTED_VALUE"""),"Building")</f>
        <v>Building</v>
      </c>
      <c r="D9832" s="2" t="str">
        <f ca="1">IFERROR(__xludf.DUMMYFUNCTION("""COMPUTED_VALUE"""),"Dubai&gt;Jumeirah Lake Towers (JLT)&gt;Diamondz by Danube")</f>
        <v>Dubai&gt;Jumeirah Lake Towers (JLT)&gt;Diamondz by Danube</v>
      </c>
      <c r="E9832" s="2"/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</row>
    <row r="9833" spans="1:26" ht="16.5" x14ac:dyDescent="0.35">
      <c r="A9833" s="2" t="str">
        <f ca="1">IFERROR(__xludf.DUMMYFUNCTION("""COMPUTED_VALUE"""),"Dubai")</f>
        <v>Dubai</v>
      </c>
      <c r="B9833" s="2" t="str">
        <f ca="1">IFERROR(__xludf.DUMMYFUNCTION("""COMPUTED_VALUE"""),"Camelia 2")</f>
        <v>Camelia 2</v>
      </c>
      <c r="C9833" s="2" t="str">
        <f ca="1">IFERROR(__xludf.DUMMYFUNCTION("""COMPUTED_VALUE"""),"Neighbourhood")</f>
        <v>Neighbourhood</v>
      </c>
      <c r="D9833" s="2" t="str">
        <f ca="1">IFERROR(__xludf.DUMMYFUNCTION("""COMPUTED_VALUE"""),"Dubai&gt;Arabian Ranches 2&gt;Camelia&gt;Camelia 2")</f>
        <v>Dubai&gt;Arabian Ranches 2&gt;Camelia&gt;Camelia 2</v>
      </c>
      <c r="E9833" s="2"/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</row>
    <row r="9834" spans="1:26" ht="16.5" x14ac:dyDescent="0.35">
      <c r="A9834" s="2" t="str">
        <f ca="1">IFERROR(__xludf.DUMMYFUNCTION("""COMPUTED_VALUE"""),"Dubai")</f>
        <v>Dubai</v>
      </c>
      <c r="B9834" s="2" t="str">
        <f ca="1">IFERROR(__xludf.DUMMYFUNCTION("""COMPUTED_VALUE"""),"151 Residence")</f>
        <v>151 Residence</v>
      </c>
      <c r="C9834" s="2" t="str">
        <f ca="1">IFERROR(__xludf.DUMMYFUNCTION("""COMPUTED_VALUE"""),"Building")</f>
        <v>Building</v>
      </c>
      <c r="D9834" s="2" t="str">
        <f ca="1">IFERROR(__xludf.DUMMYFUNCTION("""COMPUTED_VALUE"""),"Dubai&gt;Al Satwa&gt;Jumeirah Garden City&gt;151 Residence")</f>
        <v>Dubai&gt;Al Satwa&gt;Jumeirah Garden City&gt;151 Residence</v>
      </c>
      <c r="E9834" s="2"/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</row>
    <row r="9835" spans="1:26" ht="16.5" x14ac:dyDescent="0.35">
      <c r="A9835" s="2" t="str">
        <f ca="1">IFERROR(__xludf.DUMMYFUNCTION("""COMPUTED_VALUE"""),"Dubai")</f>
        <v>Dubai</v>
      </c>
      <c r="B9835" s="2" t="str">
        <f ca="1">IFERROR(__xludf.DUMMYFUNCTION("""COMPUTED_VALUE"""),"Al Khair 4")</f>
        <v>Al Khair 4</v>
      </c>
      <c r="C9835" s="2" t="str">
        <f ca="1">IFERROR(__xludf.DUMMYFUNCTION("""COMPUTED_VALUE"""),"Building")</f>
        <v>Building</v>
      </c>
      <c r="D9835" s="2" t="str">
        <f ca="1">IFERROR(__xludf.DUMMYFUNCTION("""COMPUTED_VALUE"""),"Dubai&gt;Al Satwa&gt;Jumeirah Garden City&gt;Al Khair 4")</f>
        <v>Dubai&gt;Al Satwa&gt;Jumeirah Garden City&gt;Al Khair 4</v>
      </c>
      <c r="E9835" s="2"/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</row>
    <row r="9836" spans="1:26" ht="16.5" x14ac:dyDescent="0.35">
      <c r="A9836" s="2" t="str">
        <f ca="1">IFERROR(__xludf.DUMMYFUNCTION("""COMPUTED_VALUE"""),"Dubai")</f>
        <v>Dubai</v>
      </c>
      <c r="B9836" s="2" t="str">
        <f ca="1">IFERROR(__xludf.DUMMYFUNCTION("""COMPUTED_VALUE"""),"Talal 2 Building")</f>
        <v>Talal 2 Building</v>
      </c>
      <c r="C9836" s="2" t="str">
        <f ca="1">IFERROR(__xludf.DUMMYFUNCTION("""COMPUTED_VALUE"""),"Building")</f>
        <v>Building</v>
      </c>
      <c r="D9836" s="2" t="str">
        <f ca="1">IFERROR(__xludf.DUMMYFUNCTION("""COMPUTED_VALUE"""),"Dubai&gt;Al Satwa&gt;Jumeirah Garden City&gt;Talal 2 Building")</f>
        <v>Dubai&gt;Al Satwa&gt;Jumeirah Garden City&gt;Talal 2 Building</v>
      </c>
      <c r="E9836" s="2"/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</row>
    <row r="9837" spans="1:26" ht="16.5" x14ac:dyDescent="0.35">
      <c r="A9837" s="2" t="str">
        <f ca="1">IFERROR(__xludf.DUMMYFUNCTION("""COMPUTED_VALUE"""),"Dubai")</f>
        <v>Dubai</v>
      </c>
      <c r="B9837" s="2" t="str">
        <f ca="1">IFERROR(__xludf.DUMMYFUNCTION("""COMPUTED_VALUE"""),"Satwa Star")</f>
        <v>Satwa Star</v>
      </c>
      <c r="C9837" s="2" t="str">
        <f ca="1">IFERROR(__xludf.DUMMYFUNCTION("""COMPUTED_VALUE"""),"Building")</f>
        <v>Building</v>
      </c>
      <c r="D9837" s="2" t="str">
        <f ca="1">IFERROR(__xludf.DUMMYFUNCTION("""COMPUTED_VALUE"""),"Dubai&gt;Al Satwa&gt;Satwa Star")</f>
        <v>Dubai&gt;Al Satwa&gt;Satwa Star</v>
      </c>
      <c r="E9837" s="2"/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</row>
    <row r="9838" spans="1:26" ht="16.5" x14ac:dyDescent="0.35">
      <c r="A9838" s="2" t="str">
        <f ca="1">IFERROR(__xludf.DUMMYFUNCTION("""COMPUTED_VALUE"""),"Dubai")</f>
        <v>Dubai</v>
      </c>
      <c r="B9838" s="2" t="str">
        <f ca="1">IFERROR(__xludf.DUMMYFUNCTION("""COMPUTED_VALUE"""),"Cluster 4")</f>
        <v>Cluster 4</v>
      </c>
      <c r="C9838" s="2" t="str">
        <f ca="1">IFERROR(__xludf.DUMMYFUNCTION("""COMPUTED_VALUE"""),"Neighbourhood")</f>
        <v>Neighbourhood</v>
      </c>
      <c r="D9838" s="2" t="str">
        <f ca="1">IFERROR(__xludf.DUMMYFUNCTION("""COMPUTED_VALUE"""),"Dubai&gt;The Sustainable City&gt;Cluster 4")</f>
        <v>Dubai&gt;The Sustainable City&gt;Cluster 4</v>
      </c>
      <c r="E9838" s="2"/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</row>
    <row r="9839" spans="1:26" ht="16.5" x14ac:dyDescent="0.35">
      <c r="A9839" s="2" t="str">
        <f ca="1">IFERROR(__xludf.DUMMYFUNCTION("""COMPUTED_VALUE"""),"Dubai")</f>
        <v>Dubai</v>
      </c>
      <c r="B9839" s="2" t="str">
        <f ca="1">IFERROR(__xludf.DUMMYFUNCTION("""COMPUTED_VALUE"""),"Building 107")</f>
        <v>Building 107</v>
      </c>
      <c r="C9839" s="2" t="str">
        <f ca="1">IFERROR(__xludf.DUMMYFUNCTION("""COMPUTED_VALUE"""),"Building")</f>
        <v>Building</v>
      </c>
      <c r="D9839" s="2" t="str">
        <f ca="1">IFERROR(__xludf.DUMMYFUNCTION("""COMPUTED_VALUE"""),"Dubai&gt;Discovery Gardens&gt;Contemporary&gt;Building 107")</f>
        <v>Dubai&gt;Discovery Gardens&gt;Contemporary&gt;Building 107</v>
      </c>
      <c r="E9839" s="2"/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</row>
    <row r="9840" spans="1:26" ht="16.5" x14ac:dyDescent="0.35">
      <c r="A9840" s="2" t="str">
        <f ca="1">IFERROR(__xludf.DUMMYFUNCTION("""COMPUTED_VALUE"""),"Dubai")</f>
        <v>Dubai</v>
      </c>
      <c r="B9840" s="2" t="str">
        <f ca="1">IFERROR(__xludf.DUMMYFUNCTION("""COMPUTED_VALUE"""),"Building 259")</f>
        <v>Building 259</v>
      </c>
      <c r="C9840" s="2" t="str">
        <f ca="1">IFERROR(__xludf.DUMMYFUNCTION("""COMPUTED_VALUE"""),"Building")</f>
        <v>Building</v>
      </c>
      <c r="D9840" s="2" t="str">
        <f ca="1">IFERROR(__xludf.DUMMYFUNCTION("""COMPUTED_VALUE"""),"Dubai&gt;Discovery Gardens&gt;Mesoamerican&gt;Building 259")</f>
        <v>Dubai&gt;Discovery Gardens&gt;Mesoamerican&gt;Building 259</v>
      </c>
      <c r="E9840" s="2"/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</row>
    <row r="9841" spans="1:26" ht="16.5" x14ac:dyDescent="0.35">
      <c r="A9841" s="2" t="str">
        <f ca="1">IFERROR(__xludf.DUMMYFUNCTION("""COMPUTED_VALUE"""),"Dubai")</f>
        <v>Dubai</v>
      </c>
      <c r="B9841" s="2" t="str">
        <f ca="1">IFERROR(__xludf.DUMMYFUNCTION("""COMPUTED_VALUE"""),"Building 217")</f>
        <v>Building 217</v>
      </c>
      <c r="C9841" s="2" t="str">
        <f ca="1">IFERROR(__xludf.DUMMYFUNCTION("""COMPUTED_VALUE"""),"Building")</f>
        <v>Building</v>
      </c>
      <c r="D9841" s="2" t="str">
        <f ca="1">IFERROR(__xludf.DUMMYFUNCTION("""COMPUTED_VALUE"""),"Dubai&gt;Discovery Gardens&gt;Mogul&gt;Building 217")</f>
        <v>Dubai&gt;Discovery Gardens&gt;Mogul&gt;Building 217</v>
      </c>
      <c r="E9841" s="2"/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</row>
    <row r="9842" spans="1:26" ht="16.5" x14ac:dyDescent="0.35">
      <c r="A9842" s="2" t="str">
        <f ca="1">IFERROR(__xludf.DUMMYFUNCTION("""COMPUTED_VALUE"""),"Dubai")</f>
        <v>Dubai</v>
      </c>
      <c r="B9842" s="2" t="str">
        <f ca="1">IFERROR(__xludf.DUMMYFUNCTION("""COMPUTED_VALUE"""),"Building 20")</f>
        <v>Building 20</v>
      </c>
      <c r="C9842" s="2" t="str">
        <f ca="1">IFERROR(__xludf.DUMMYFUNCTION("""COMPUTED_VALUE"""),"Building")</f>
        <v>Building</v>
      </c>
      <c r="D9842" s="2" t="str">
        <f ca="1">IFERROR(__xludf.DUMMYFUNCTION("""COMPUTED_VALUE"""),"Dubai&gt;Discovery Gardens&gt;Zen Cluster&gt;Building 20")</f>
        <v>Dubai&gt;Discovery Gardens&gt;Zen Cluster&gt;Building 20</v>
      </c>
      <c r="E9842" s="2"/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</row>
    <row r="9843" spans="1:26" ht="16.5" x14ac:dyDescent="0.35">
      <c r="A9843" s="2" t="str">
        <f ca="1">IFERROR(__xludf.DUMMYFUNCTION("""COMPUTED_VALUE"""),"Dubai")</f>
        <v>Dubai</v>
      </c>
      <c r="B9843" s="2" t="str">
        <f ca="1">IFERROR(__xludf.DUMMYFUNCTION("""COMPUTED_VALUE"""),"Building 102")</f>
        <v>Building 102</v>
      </c>
      <c r="C9843" s="2" t="str">
        <f ca="1">IFERROR(__xludf.DUMMYFUNCTION("""COMPUTED_VALUE"""),"Building")</f>
        <v>Building</v>
      </c>
      <c r="D9843" s="2" t="str">
        <f ca="1">IFERROR(__xludf.DUMMYFUNCTION("""COMPUTED_VALUE"""),"Dubai&gt;Discovery Gardens&gt;Mediterranean&gt;Building 102")</f>
        <v>Dubai&gt;Discovery Gardens&gt;Mediterranean&gt;Building 102</v>
      </c>
      <c r="E9843" s="2"/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</row>
    <row r="9844" spans="1:26" ht="16.5" x14ac:dyDescent="0.35">
      <c r="A9844" s="2" t="str">
        <f ca="1">IFERROR(__xludf.DUMMYFUNCTION("""COMPUTED_VALUE"""),"Dubai")</f>
        <v>Dubai</v>
      </c>
      <c r="B9844" s="2" t="str">
        <f ca="1">IFERROR(__xludf.DUMMYFUNCTION("""COMPUTED_VALUE"""),"Building 64")</f>
        <v>Building 64</v>
      </c>
      <c r="C9844" s="2" t="str">
        <f ca="1">IFERROR(__xludf.DUMMYFUNCTION("""COMPUTED_VALUE"""),"Building")</f>
        <v>Building</v>
      </c>
      <c r="D9844" s="2" t="str">
        <f ca="1">IFERROR(__xludf.DUMMYFUNCTION("""COMPUTED_VALUE"""),"Dubai&gt;Discovery Gardens&gt;Mediterranean&gt;Building 64")</f>
        <v>Dubai&gt;Discovery Gardens&gt;Mediterranean&gt;Building 64</v>
      </c>
      <c r="E9844" s="2"/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</row>
    <row r="9845" spans="1:26" ht="16.5" x14ac:dyDescent="0.35">
      <c r="A9845" s="2" t="str">
        <f ca="1">IFERROR(__xludf.DUMMYFUNCTION("""COMPUTED_VALUE"""),"Dubai")</f>
        <v>Dubai</v>
      </c>
      <c r="B9845" s="2" t="str">
        <f ca="1">IFERROR(__xludf.DUMMYFUNCTION("""COMPUTED_VALUE"""),"Enqlave by Aqasa")</f>
        <v>Enqlave by Aqasa</v>
      </c>
      <c r="C9845" s="2" t="str">
        <f ca="1">IFERROR(__xludf.DUMMYFUNCTION("""COMPUTED_VALUE"""),"Building")</f>
        <v>Building</v>
      </c>
      <c r="D9845" s="2" t="str">
        <f ca="1">IFERROR(__xludf.DUMMYFUNCTION("""COMPUTED_VALUE"""),"Dubai&gt;Discovery Gardens&gt;Enqlave by Aqasa")</f>
        <v>Dubai&gt;Discovery Gardens&gt;Enqlave by Aqasa</v>
      </c>
      <c r="E9845" s="2"/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</row>
    <row r="9846" spans="1:26" ht="16.5" x14ac:dyDescent="0.35">
      <c r="A9846" s="2" t="str">
        <f ca="1">IFERROR(__xludf.DUMMYFUNCTION("""COMPUTED_VALUE"""),"Dubai")</f>
        <v>Dubai</v>
      </c>
      <c r="B9846" s="2" t="str">
        <f ca="1">IFERROR(__xludf.DUMMYFUNCTION("""COMPUTED_VALUE"""),"Al Anbara")</f>
        <v>Al Anbara</v>
      </c>
      <c r="C9846" s="2" t="str">
        <f ca="1">IFERROR(__xludf.DUMMYFUNCTION("""COMPUTED_VALUE"""),"Building")</f>
        <v>Building</v>
      </c>
      <c r="D9846" s="2" t="str">
        <f ca="1">IFERROR(__xludf.DUMMYFUNCTION("""COMPUTED_VALUE"""),"Dubai&gt;Palm Jumeirah&gt;Shoreline Apartments&gt;Al Anbara")</f>
        <v>Dubai&gt;Palm Jumeirah&gt;Shoreline Apartments&gt;Al Anbara</v>
      </c>
      <c r="E9846" s="2"/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</row>
    <row r="9847" spans="1:26" ht="16.5" x14ac:dyDescent="0.35">
      <c r="A9847" s="2" t="str">
        <f ca="1">IFERROR(__xludf.DUMMYFUNCTION("""COMPUTED_VALUE"""),"Dubai")</f>
        <v>Dubai</v>
      </c>
      <c r="B9847" s="2" t="str">
        <f ca="1">IFERROR(__xludf.DUMMYFUNCTION("""COMPUTED_VALUE"""),"Signature Villas Frond N")</f>
        <v>Signature Villas Frond N</v>
      </c>
      <c r="C9847" s="2" t="str">
        <f ca="1">IFERROR(__xludf.DUMMYFUNCTION("""COMPUTED_VALUE"""),"Neighbourhood")</f>
        <v>Neighbourhood</v>
      </c>
      <c r="D9847" s="2" t="str">
        <f ca="1">IFERROR(__xludf.DUMMYFUNCTION("""COMPUTED_VALUE"""),"Dubai&gt;Palm Jumeirah&gt;Signature Villas Palm Jumeirah&gt;Signature Villas Frond N")</f>
        <v>Dubai&gt;Palm Jumeirah&gt;Signature Villas Palm Jumeirah&gt;Signature Villas Frond N</v>
      </c>
      <c r="E9847" s="2"/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</row>
    <row r="9848" spans="1:26" ht="16.5" x14ac:dyDescent="0.35">
      <c r="A9848" s="2" t="str">
        <f ca="1">IFERROR(__xludf.DUMMYFUNCTION("""COMPUTED_VALUE"""),"Dubai")</f>
        <v>Dubai</v>
      </c>
      <c r="B9848" s="2" t="str">
        <f ca="1">IFERROR(__xludf.DUMMYFUNCTION("""COMPUTED_VALUE"""),"The Fairmont Palm Residences")</f>
        <v>The Fairmont Palm Residences</v>
      </c>
      <c r="C9848" s="2" t="str">
        <f ca="1">IFERROR(__xludf.DUMMYFUNCTION("""COMPUTED_VALUE"""),"Neighbourhood")</f>
        <v>Neighbourhood</v>
      </c>
      <c r="D9848" s="2" t="str">
        <f ca="1">IFERROR(__xludf.DUMMYFUNCTION("""COMPUTED_VALUE"""),"Dubai&gt;Palm Jumeirah&gt;The Fairmont Palm Residences")</f>
        <v>Dubai&gt;Palm Jumeirah&gt;The Fairmont Palm Residences</v>
      </c>
      <c r="E9848" s="2"/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</row>
    <row r="9849" spans="1:26" ht="16.5" x14ac:dyDescent="0.35">
      <c r="A9849" s="2" t="str">
        <f ca="1">IFERROR(__xludf.DUMMYFUNCTION("""COMPUTED_VALUE"""),"Dubai")</f>
        <v>Dubai</v>
      </c>
      <c r="B9849" s="2" t="str">
        <f ca="1">IFERROR(__xludf.DUMMYFUNCTION("""COMPUTED_VALUE"""),"The Alba Residences by Omniyat Building 1")</f>
        <v>The Alba Residences by Omniyat Building 1</v>
      </c>
      <c r="C9849" s="2" t="str">
        <f ca="1">IFERROR(__xludf.DUMMYFUNCTION("""COMPUTED_VALUE"""),"Building")</f>
        <v>Building</v>
      </c>
      <c r="D9849" s="2" t="str">
        <f ca="1">IFERROR(__xludf.DUMMYFUNCTION("""COMPUTED_VALUE"""),"Dubai&gt;Palm Jumeirah&gt;The Crescent&gt;The Alba Residences by Omniyat&gt;The Alba Residences by Omniyat Building 1")</f>
        <v>Dubai&gt;Palm Jumeirah&gt;The Crescent&gt;The Alba Residences by Omniyat&gt;The Alba Residences by Omniyat Building 1</v>
      </c>
      <c r="E9849" s="2"/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</row>
    <row r="9850" spans="1:26" ht="16.5" x14ac:dyDescent="0.35">
      <c r="A9850" s="2" t="str">
        <f ca="1">IFERROR(__xludf.DUMMYFUNCTION("""COMPUTED_VALUE"""),"Dubai")</f>
        <v>Dubai</v>
      </c>
      <c r="B9850" s="2" t="str">
        <f ca="1">IFERROR(__xludf.DUMMYFUNCTION("""COMPUTED_VALUE"""),"Royal Amwaj Residences - South")</f>
        <v>Royal Amwaj Residences - South</v>
      </c>
      <c r="C9850" s="2" t="str">
        <f ca="1">IFERROR(__xludf.DUMMYFUNCTION("""COMPUTED_VALUE"""),"Building")</f>
        <v>Building</v>
      </c>
      <c r="D9850" s="2" t="str">
        <f ca="1">IFERROR(__xludf.DUMMYFUNCTION("""COMPUTED_VALUE"""),"Dubai&gt;Palm Jumeirah&gt;Royal Amwaj Residences&gt;Royal Amwaj Residences - South")</f>
        <v>Dubai&gt;Palm Jumeirah&gt;Royal Amwaj Residences&gt;Royal Amwaj Residences - South</v>
      </c>
      <c r="E9850" s="2"/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</row>
    <row r="9851" spans="1:26" ht="16.5" x14ac:dyDescent="0.35">
      <c r="A9851" s="2" t="str">
        <f ca="1">IFERROR(__xludf.DUMMYFUNCTION("""COMPUTED_VALUE"""),"Dubai")</f>
        <v>Dubai</v>
      </c>
      <c r="B9851" s="2" t="str">
        <f ca="1">IFERROR(__xludf.DUMMYFUNCTION("""COMPUTED_VALUE"""),"Oceana Baltic")</f>
        <v>Oceana Baltic</v>
      </c>
      <c r="C9851" s="2" t="str">
        <f ca="1">IFERROR(__xludf.DUMMYFUNCTION("""COMPUTED_VALUE"""),"Building")</f>
        <v>Building</v>
      </c>
      <c r="D9851" s="2" t="str">
        <f ca="1">IFERROR(__xludf.DUMMYFUNCTION("""COMPUTED_VALUE"""),"Dubai&gt;Palm Jumeirah&gt;Oceana&gt;Oceana Baltic")</f>
        <v>Dubai&gt;Palm Jumeirah&gt;Oceana&gt;Oceana Baltic</v>
      </c>
      <c r="E9851" s="2"/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  <c r="W9851" s="2"/>
      <c r="X9851" s="2"/>
      <c r="Y9851" s="2"/>
      <c r="Z9851" s="2"/>
    </row>
    <row r="9852" spans="1:26" ht="16.5" x14ac:dyDescent="0.35">
      <c r="A9852" s="2" t="str">
        <f ca="1">IFERROR(__xludf.DUMMYFUNCTION("""COMPUTED_VALUE"""),"Dubai")</f>
        <v>Dubai</v>
      </c>
      <c r="B9852" s="2" t="str">
        <f ca="1">IFERROR(__xludf.DUMMYFUNCTION("""COMPUTED_VALUE"""),"Al Rimmal Residence B")</f>
        <v>Al Rimmal Residence B</v>
      </c>
      <c r="C9852" s="2" t="str">
        <f ca="1">IFERROR(__xludf.DUMMYFUNCTION("""COMPUTED_VALUE"""),"Building")</f>
        <v>Building</v>
      </c>
      <c r="D9852" s="2" t="str">
        <f ca="1">IFERROR(__xludf.DUMMYFUNCTION("""COMPUTED_VALUE"""),"Dubai&gt;Al Jaddaf&gt;Al Rimmal Residence&gt;Al Rimmal Residence B")</f>
        <v>Dubai&gt;Al Jaddaf&gt;Al Rimmal Residence&gt;Al Rimmal Residence B</v>
      </c>
      <c r="E9852" s="2"/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  <c r="W9852" s="2"/>
      <c r="X9852" s="2"/>
      <c r="Y9852" s="2"/>
      <c r="Z9852" s="2"/>
    </row>
    <row r="9853" spans="1:26" ht="16.5" x14ac:dyDescent="0.35">
      <c r="A9853" s="2" t="str">
        <f ca="1">IFERROR(__xludf.DUMMYFUNCTION("""COMPUTED_VALUE"""),"Dubai")</f>
        <v>Dubai</v>
      </c>
      <c r="B9853" s="2" t="str">
        <f ca="1">IFERROR(__xludf.DUMMYFUNCTION("""COMPUTED_VALUE"""),"Sheikh Ahmed Square")</f>
        <v>Sheikh Ahmed Square</v>
      </c>
      <c r="C9853" s="2" t="str">
        <f ca="1">IFERROR(__xludf.DUMMYFUNCTION("""COMPUTED_VALUE"""),"Cluster")</f>
        <v>Cluster</v>
      </c>
      <c r="D9853" s="2" t="str">
        <f ca="1">IFERROR(__xludf.DUMMYFUNCTION("""COMPUTED_VALUE"""),"Dubai&gt;Al Jaddaf&gt;Dubai Healthcare City Phase 2&gt;Sheikh Ahmed Square")</f>
        <v>Dubai&gt;Al Jaddaf&gt;Dubai Healthcare City Phase 2&gt;Sheikh Ahmed Square</v>
      </c>
      <c r="E9853" s="2"/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  <c r="W9853" s="2"/>
      <c r="X9853" s="2"/>
      <c r="Y9853" s="2"/>
      <c r="Z9853" s="2"/>
    </row>
    <row r="9854" spans="1:26" ht="16.5" x14ac:dyDescent="0.35">
      <c r="A9854" s="2" t="str">
        <f ca="1">IFERROR(__xludf.DUMMYFUNCTION("""COMPUTED_VALUE"""),"Dubai")</f>
        <v>Dubai</v>
      </c>
      <c r="B9854" s="2" t="str">
        <f ca="1">IFERROR(__xludf.DUMMYFUNCTION("""COMPUTED_VALUE"""),"Valletta")</f>
        <v>Valletta</v>
      </c>
      <c r="C9854" s="2" t="str">
        <f ca="1">IFERROR(__xludf.DUMMYFUNCTION("""COMPUTED_VALUE"""),"Building")</f>
        <v>Building</v>
      </c>
      <c r="D9854" s="2" t="str">
        <f ca="1">IFERROR(__xludf.DUMMYFUNCTION("""COMPUTED_VALUE"""),"Dubai&gt;Al Jaddaf&gt;Valletta")</f>
        <v>Dubai&gt;Al Jaddaf&gt;Valletta</v>
      </c>
      <c r="E9854" s="2"/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  <c r="W9854" s="2"/>
      <c r="X9854" s="2"/>
      <c r="Y9854" s="2"/>
      <c r="Z9854" s="2"/>
    </row>
    <row r="9855" spans="1:26" ht="16.5" x14ac:dyDescent="0.35">
      <c r="A9855" s="2" t="str">
        <f ca="1">IFERROR(__xludf.DUMMYFUNCTION("""COMPUTED_VALUE"""),"Dubai")</f>
        <v>Dubai</v>
      </c>
      <c r="B9855" s="2" t="str">
        <f ca="1">IFERROR(__xludf.DUMMYFUNCTION("""COMPUTED_VALUE"""),"RIOM")</f>
        <v>RIOM</v>
      </c>
      <c r="C9855" s="2" t="str">
        <f ca="1">IFERROR(__xludf.DUMMYFUNCTION("""COMPUTED_VALUE"""),"Building")</f>
        <v>Building</v>
      </c>
      <c r="D9855" s="2" t="str">
        <f ca="1">IFERROR(__xludf.DUMMYFUNCTION("""COMPUTED_VALUE"""),"Dubai&gt;Al Jaddaf&gt;RIOM")</f>
        <v>Dubai&gt;Al Jaddaf&gt;RIOM</v>
      </c>
      <c r="E9855" s="2"/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</row>
    <row r="9856" spans="1:26" ht="16.5" x14ac:dyDescent="0.35">
      <c r="A9856" s="2" t="str">
        <f ca="1">IFERROR(__xludf.DUMMYFUNCTION("""COMPUTED_VALUE"""),"Dubai")</f>
        <v>Dubai</v>
      </c>
      <c r="B9856" s="2" t="str">
        <f ca="1">IFERROR(__xludf.DUMMYFUNCTION("""COMPUTED_VALUE"""),"Frond L")</f>
        <v>Frond L</v>
      </c>
      <c r="C9856" s="2" t="str">
        <f ca="1">IFERROR(__xludf.DUMMYFUNCTION("""COMPUTED_VALUE"""),"Neighbourhood")</f>
        <v>Neighbourhood</v>
      </c>
      <c r="D9856" s="2" t="str">
        <f ca="1">IFERROR(__xludf.DUMMYFUNCTION("""COMPUTED_VALUE"""),"Dubai&gt;Palm Jebel Ali&gt;Frond L")</f>
        <v>Dubai&gt;Palm Jebel Ali&gt;Frond L</v>
      </c>
      <c r="E9856" s="2"/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  <c r="W9856" s="2"/>
      <c r="X9856" s="2"/>
      <c r="Y9856" s="2"/>
      <c r="Z9856" s="2"/>
    </row>
    <row r="9857" spans="1:26" ht="16.5" x14ac:dyDescent="0.35">
      <c r="A9857" s="2" t="str">
        <f ca="1">IFERROR(__xludf.DUMMYFUNCTION("""COMPUTED_VALUE"""),"Dubai")</f>
        <v>Dubai</v>
      </c>
      <c r="B9857" s="2" t="str">
        <f ca="1">IFERROR(__xludf.DUMMYFUNCTION("""COMPUTED_VALUE"""),"Millennium Montrose")</f>
        <v>Millennium Montrose</v>
      </c>
      <c r="C9857" s="2" t="str">
        <f ca="1">IFERROR(__xludf.DUMMYFUNCTION("""COMPUTED_VALUE"""),"Cluster")</f>
        <v>Cluster</v>
      </c>
      <c r="D9857" s="2" t="str">
        <f ca="1">IFERROR(__xludf.DUMMYFUNCTION("""COMPUTED_VALUE"""),"Dubai&gt;Dubai Science Park&gt;Millennium Montrose")</f>
        <v>Dubai&gt;Dubai Science Park&gt;Millennium Montrose</v>
      </c>
      <c r="E9857" s="2"/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  <c r="W9857" s="2"/>
      <c r="X9857" s="2"/>
      <c r="Y9857" s="2"/>
      <c r="Z9857" s="2"/>
    </row>
    <row r="9858" spans="1:26" ht="16.5" x14ac:dyDescent="0.35">
      <c r="A9858" s="2" t="str">
        <f ca="1">IFERROR(__xludf.DUMMYFUNCTION("""COMPUTED_VALUE"""),"Dubai")</f>
        <v>Dubai</v>
      </c>
      <c r="B9858" s="2" t="str">
        <f ca="1">IFERROR(__xludf.DUMMYFUNCTION("""COMPUTED_VALUE"""),"The Springs 3")</f>
        <v>The Springs 3</v>
      </c>
      <c r="C9858" s="2" t="str">
        <f ca="1">IFERROR(__xludf.DUMMYFUNCTION("""COMPUTED_VALUE"""),"Neighbourhood")</f>
        <v>Neighbourhood</v>
      </c>
      <c r="D9858" s="2" t="str">
        <f ca="1">IFERROR(__xludf.DUMMYFUNCTION("""COMPUTED_VALUE"""),"Dubai&gt;The Springs&gt;The Springs 3")</f>
        <v>Dubai&gt;The Springs&gt;The Springs 3</v>
      </c>
      <c r="E9858" s="2"/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  <c r="W9858" s="2"/>
      <c r="X9858" s="2"/>
      <c r="Y9858" s="2"/>
      <c r="Z9858" s="2"/>
    </row>
    <row r="9859" spans="1:26" ht="16.5" x14ac:dyDescent="0.35">
      <c r="A9859" s="2" t="str">
        <f ca="1">IFERROR(__xludf.DUMMYFUNCTION("""COMPUTED_VALUE"""),"Dubai")</f>
        <v>Dubai</v>
      </c>
      <c r="B9859" s="2" t="str">
        <f ca="1">IFERROR(__xludf.DUMMYFUNCTION("""COMPUTED_VALUE"""),"Hillside Residences 3")</f>
        <v>Hillside Residences 3</v>
      </c>
      <c r="C9859" s="2" t="str">
        <f ca="1">IFERROR(__xludf.DUMMYFUNCTION("""COMPUTED_VALUE"""),"Cluster")</f>
        <v>Cluster</v>
      </c>
      <c r="D9859" s="2" t="str">
        <f ca="1">IFERROR(__xludf.DUMMYFUNCTION("""COMPUTED_VALUE"""),"Dubai&gt;Wasl Gate&gt;Hillside Residences&gt;Hillside Residences 3")</f>
        <v>Dubai&gt;Wasl Gate&gt;Hillside Residences&gt;Hillside Residences 3</v>
      </c>
      <c r="E9859" s="2"/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</row>
    <row r="9860" spans="1:26" ht="16.5" x14ac:dyDescent="0.35">
      <c r="A9860" s="2" t="str">
        <f ca="1">IFERROR(__xludf.DUMMYFUNCTION("""COMPUTED_VALUE"""),"Dubai")</f>
        <v>Dubai</v>
      </c>
      <c r="B9860" s="2" t="str">
        <f ca="1">IFERROR(__xludf.DUMMYFUNCTION("""COMPUTED_VALUE"""),"La Vue by Maaia")</f>
        <v>La Vue by Maaia</v>
      </c>
      <c r="C9860" s="2" t="str">
        <f ca="1">IFERROR(__xludf.DUMMYFUNCTION("""COMPUTED_VALUE"""),"Building")</f>
        <v>Building</v>
      </c>
      <c r="D9860" s="2" t="str">
        <f ca="1">IFERROR(__xludf.DUMMYFUNCTION("""COMPUTED_VALUE"""),"Dubai&gt;Nad Al Sheba&gt;Nad Al Sheba 1&gt;Nad Al Sheba Gardens&gt;Nad Al Sheba Gardens 1&gt;La Vue by Maaia")</f>
        <v>Dubai&gt;Nad Al Sheba&gt;Nad Al Sheba 1&gt;Nad Al Sheba Gardens&gt;Nad Al Sheba Gardens 1&gt;La Vue by Maaia</v>
      </c>
      <c r="E9860" s="2"/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</row>
    <row r="9861" spans="1:26" ht="16.5" x14ac:dyDescent="0.35">
      <c r="A9861" s="2" t="str">
        <f ca="1">IFERROR(__xludf.DUMMYFUNCTION("""COMPUTED_VALUE"""),"Dubai")</f>
        <v>Dubai</v>
      </c>
      <c r="B9861" s="2" t="str">
        <f ca="1">IFERROR(__xludf.DUMMYFUNCTION("""COMPUTED_VALUE"""),"The Edge")</f>
        <v>The Edge</v>
      </c>
      <c r="C9861" s="2" t="str">
        <f ca="1">IFERROR(__xludf.DUMMYFUNCTION("""COMPUTED_VALUE"""),"Building")</f>
        <v>Building</v>
      </c>
      <c r="D9861" s="2" t="str">
        <f ca="1">IFERROR(__xludf.DUMMYFUNCTION("""COMPUTED_VALUE"""),"Dubai&gt;Dubai Internet City&gt;The Edge")</f>
        <v>Dubai&gt;Dubai Internet City&gt;The Edge</v>
      </c>
      <c r="E9861" s="2"/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</row>
    <row r="9862" spans="1:26" ht="16.5" x14ac:dyDescent="0.35">
      <c r="A9862" s="2" t="str">
        <f ca="1">IFERROR(__xludf.DUMMYFUNCTION("""COMPUTED_VALUE"""),"Dubai")</f>
        <v>Dubai</v>
      </c>
      <c r="B9862" s="2" t="str">
        <f ca="1">IFERROR(__xludf.DUMMYFUNCTION("""COMPUTED_VALUE"""),"DIC 3")</f>
        <v>DIC 3</v>
      </c>
      <c r="C9862" s="2" t="str">
        <f ca="1">IFERROR(__xludf.DUMMYFUNCTION("""COMPUTED_VALUE"""),"Building")</f>
        <v>Building</v>
      </c>
      <c r="D9862" s="2" t="str">
        <f ca="1">IFERROR(__xludf.DUMMYFUNCTION("""COMPUTED_VALUE"""),"Dubai&gt;Dubai Internet City&gt;DIC&gt;DIC 3")</f>
        <v>Dubai&gt;Dubai Internet City&gt;DIC&gt;DIC 3</v>
      </c>
      <c r="E9862" s="2"/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</row>
    <row r="9863" spans="1:26" ht="16.5" x14ac:dyDescent="0.35">
      <c r="A9863" s="2" t="str">
        <f ca="1">IFERROR(__xludf.DUMMYFUNCTION("""COMPUTED_VALUE"""),"Dubai")</f>
        <v>Dubai</v>
      </c>
      <c r="B9863" s="2" t="str">
        <f ca="1">IFERROR(__xludf.DUMMYFUNCTION("""COMPUTED_VALUE"""),"Anya")</f>
        <v>Anya</v>
      </c>
      <c r="C9863" s="2" t="str">
        <f ca="1">IFERROR(__xludf.DUMMYFUNCTION("""COMPUTED_VALUE"""),"Neighbourhood")</f>
        <v>Neighbourhood</v>
      </c>
      <c r="D9863" s="2" t="str">
        <f ca="1">IFERROR(__xludf.DUMMYFUNCTION("""COMPUTED_VALUE"""),"Dubai&gt;Arabian Ranches 3&gt;Anya")</f>
        <v>Dubai&gt;Arabian Ranches 3&gt;Anya</v>
      </c>
      <c r="E9863" s="2"/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</row>
    <row r="9864" spans="1:26" ht="16.5" x14ac:dyDescent="0.35">
      <c r="A9864" s="2" t="str">
        <f ca="1">IFERROR(__xludf.DUMMYFUNCTION("""COMPUTED_VALUE"""),"Dubai")</f>
        <v>Dubai</v>
      </c>
      <c r="B9864" s="2" t="str">
        <f ca="1">IFERROR(__xludf.DUMMYFUNCTION("""COMPUTED_VALUE"""),"Avonlea Building 2")</f>
        <v>Avonlea Building 2</v>
      </c>
      <c r="C9864" s="2" t="str">
        <f ca="1">IFERROR(__xludf.DUMMYFUNCTION("""COMPUTED_VALUE"""),"Building")</f>
        <v>Building</v>
      </c>
      <c r="D9864" s="2" t="str">
        <f ca="1">IFERROR(__xludf.DUMMYFUNCTION("""COMPUTED_VALUE"""),"Dubai&gt;Mina Rashid&gt;Avonlea&gt;Avonlea Building 2")</f>
        <v>Dubai&gt;Mina Rashid&gt;Avonlea&gt;Avonlea Building 2</v>
      </c>
      <c r="E9864" s="2"/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</row>
    <row r="9865" spans="1:26" ht="16.5" x14ac:dyDescent="0.35">
      <c r="A9865" s="2" t="str">
        <f ca="1">IFERROR(__xludf.DUMMYFUNCTION("""COMPUTED_VALUE"""),"Dubai")</f>
        <v>Dubai</v>
      </c>
      <c r="B9865" s="2" t="str">
        <f ca="1">IFERROR(__xludf.DUMMYFUNCTION("""COMPUTED_VALUE"""),"Dubai International Academy, Emirates Hills")</f>
        <v>Dubai International Academy, Emirates Hills</v>
      </c>
      <c r="C9865" s="2" t="str">
        <f ca="1">IFERROR(__xludf.DUMMYFUNCTION("""COMPUTED_VALUE"""),"School")</f>
        <v>School</v>
      </c>
      <c r="D9865" s="2" t="str">
        <f ca="1">IFERROR(__xludf.DUMMYFUNCTION("""COMPUTED_VALUE"""),"Dubai&gt;Emirates Hills&gt;Dubai International Academy, Emirates Hills")</f>
        <v>Dubai&gt;Emirates Hills&gt;Dubai International Academy, Emirates Hills</v>
      </c>
      <c r="E9865" s="2"/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</row>
    <row r="9866" spans="1:26" ht="16.5" x14ac:dyDescent="0.35">
      <c r="A9866" s="2" t="str">
        <f ca="1">IFERROR(__xludf.DUMMYFUNCTION("""COMPUTED_VALUE"""),"Dubai")</f>
        <v>Dubai</v>
      </c>
      <c r="B9866" s="2" t="str">
        <f ca="1">IFERROR(__xludf.DUMMYFUNCTION("""COMPUTED_VALUE"""),"Vindera")</f>
        <v>Vindera</v>
      </c>
      <c r="C9866" s="2" t="str">
        <f ca="1">IFERROR(__xludf.DUMMYFUNCTION("""COMPUTED_VALUE"""),"Neighbourhood")</f>
        <v>Neighbourhood</v>
      </c>
      <c r="D9866" s="2" t="str">
        <f ca="1">IFERROR(__xludf.DUMMYFUNCTION("""COMPUTED_VALUE"""),"Dubai&gt;The Valley by Emaar&gt;Vindera")</f>
        <v>Dubai&gt;The Valley by Emaar&gt;Vindera</v>
      </c>
      <c r="E9866" s="2"/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</row>
    <row r="9867" spans="1:26" ht="16.5" x14ac:dyDescent="0.35">
      <c r="A9867" s="2" t="str">
        <f ca="1">IFERROR(__xludf.DUMMYFUNCTION("""COMPUTED_VALUE"""),"Dubai")</f>
        <v>Dubai</v>
      </c>
      <c r="B9867" s="2" t="str">
        <f ca="1">IFERROR(__xludf.DUMMYFUNCTION("""COMPUTED_VALUE"""),"La Avenida")</f>
        <v>La Avenida</v>
      </c>
      <c r="C9867" s="2" t="str">
        <f ca="1">IFERROR(__xludf.DUMMYFUNCTION("""COMPUTED_VALUE"""),"Neighbourhood")</f>
        <v>Neighbourhood</v>
      </c>
      <c r="D9867" s="2" t="str">
        <f ca="1">IFERROR(__xludf.DUMMYFUNCTION("""COMPUTED_VALUE"""),"Dubai&gt;Arabian Ranches&gt;La Avenida")</f>
        <v>Dubai&gt;Arabian Ranches&gt;La Avenida</v>
      </c>
      <c r="E9867" s="2"/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</row>
    <row r="9868" spans="1:26" ht="16.5" x14ac:dyDescent="0.35">
      <c r="A9868" s="2" t="str">
        <f ca="1">IFERROR(__xludf.DUMMYFUNCTION("""COMPUTED_VALUE"""),"Dubai")</f>
        <v>Dubai</v>
      </c>
      <c r="B9868" s="2" t="str">
        <f ca="1">IFERROR(__xludf.DUMMYFUNCTION("""COMPUTED_VALUE"""),"The Gardens Building 129")</f>
        <v>The Gardens Building 129</v>
      </c>
      <c r="C9868" s="2" t="str">
        <f ca="1">IFERROR(__xludf.DUMMYFUNCTION("""COMPUTED_VALUE"""),"Building")</f>
        <v>Building</v>
      </c>
      <c r="D9868" s="2" t="str">
        <f ca="1">IFERROR(__xludf.DUMMYFUNCTION("""COMPUTED_VALUE"""),"Dubai&gt;The Gardens&gt;The Gardens Building 129")</f>
        <v>Dubai&gt;The Gardens&gt;The Gardens Building 129</v>
      </c>
      <c r="E9868" s="2"/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  <c r="W9868" s="2"/>
      <c r="X9868" s="2"/>
      <c r="Y9868" s="2"/>
      <c r="Z9868" s="2"/>
    </row>
    <row r="9869" spans="1:26" ht="16.5" x14ac:dyDescent="0.35">
      <c r="A9869" s="2" t="str">
        <f ca="1">IFERROR(__xludf.DUMMYFUNCTION("""COMPUTED_VALUE"""),"Dubai")</f>
        <v>Dubai</v>
      </c>
      <c r="B9869" s="2" t="str">
        <f ca="1">IFERROR(__xludf.DUMMYFUNCTION("""COMPUTED_VALUE"""),"The Gardens Building 87")</f>
        <v>The Gardens Building 87</v>
      </c>
      <c r="C9869" s="2" t="str">
        <f ca="1">IFERROR(__xludf.DUMMYFUNCTION("""COMPUTED_VALUE"""),"Building")</f>
        <v>Building</v>
      </c>
      <c r="D9869" s="2" t="str">
        <f ca="1">IFERROR(__xludf.DUMMYFUNCTION("""COMPUTED_VALUE"""),"Dubai&gt;The Gardens&gt;The Gardens Building 87")</f>
        <v>Dubai&gt;The Gardens&gt;The Gardens Building 87</v>
      </c>
      <c r="E9869" s="2"/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  <c r="W9869" s="2"/>
      <c r="X9869" s="2"/>
      <c r="Y9869" s="2"/>
      <c r="Z9869" s="2"/>
    </row>
    <row r="9870" spans="1:26" ht="16.5" x14ac:dyDescent="0.35">
      <c r="A9870" s="2" t="str">
        <f ca="1">IFERROR(__xludf.DUMMYFUNCTION("""COMPUTED_VALUE"""),"Dubai")</f>
        <v>Dubai</v>
      </c>
      <c r="B9870" s="2" t="str">
        <f ca="1">IFERROR(__xludf.DUMMYFUNCTION("""COMPUTED_VALUE"""),"The Gardens Building 111")</f>
        <v>The Gardens Building 111</v>
      </c>
      <c r="C9870" s="2" t="str">
        <f ca="1">IFERROR(__xludf.DUMMYFUNCTION("""COMPUTED_VALUE"""),"Building")</f>
        <v>Building</v>
      </c>
      <c r="D9870" s="2" t="str">
        <f ca="1">IFERROR(__xludf.DUMMYFUNCTION("""COMPUTED_VALUE"""),"Dubai&gt;The Gardens&gt;The Gardens Building 111")</f>
        <v>Dubai&gt;The Gardens&gt;The Gardens Building 111</v>
      </c>
      <c r="E9870" s="2"/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</row>
    <row r="9871" spans="1:26" ht="16.5" x14ac:dyDescent="0.35">
      <c r="A9871" s="2" t="str">
        <f ca="1">IFERROR(__xludf.DUMMYFUNCTION("""COMPUTED_VALUE"""),"Dubai")</f>
        <v>Dubai</v>
      </c>
      <c r="B9871" s="2" t="str">
        <f ca="1">IFERROR(__xludf.DUMMYFUNCTION("""COMPUTED_VALUE"""),"The Gardens Building 31")</f>
        <v>The Gardens Building 31</v>
      </c>
      <c r="C9871" s="2" t="str">
        <f ca="1">IFERROR(__xludf.DUMMYFUNCTION("""COMPUTED_VALUE"""),"Building")</f>
        <v>Building</v>
      </c>
      <c r="D9871" s="2" t="str">
        <f ca="1">IFERROR(__xludf.DUMMYFUNCTION("""COMPUTED_VALUE"""),"Dubai&gt;The Gardens&gt;The Gardens Building 31")</f>
        <v>Dubai&gt;The Gardens&gt;The Gardens Building 31</v>
      </c>
      <c r="E9871" s="2"/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</row>
    <row r="9872" spans="1:26" ht="16.5" x14ac:dyDescent="0.35">
      <c r="A9872" s="2" t="str">
        <f ca="1">IFERROR(__xludf.DUMMYFUNCTION("""COMPUTED_VALUE"""),"Dubai")</f>
        <v>Dubai</v>
      </c>
      <c r="B9872" s="2" t="str">
        <f ca="1">IFERROR(__xludf.DUMMYFUNCTION("""COMPUTED_VALUE"""),"The Square")</f>
        <v>The Square</v>
      </c>
      <c r="C9872" s="2" t="str">
        <f ca="1">IFERROR(__xludf.DUMMYFUNCTION("""COMPUTED_VALUE"""),"Building")</f>
        <v>Building</v>
      </c>
      <c r="D9872" s="2" t="str">
        <f ca="1">IFERROR(__xludf.DUMMYFUNCTION("""COMPUTED_VALUE"""),"Dubai&gt;Al Mamzar&gt;The Square")</f>
        <v>Dubai&gt;Al Mamzar&gt;The Square</v>
      </c>
      <c r="E9872" s="2"/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</row>
    <row r="9873" spans="1:26" ht="16.5" x14ac:dyDescent="0.35">
      <c r="A9873" s="2" t="str">
        <f ca="1">IFERROR(__xludf.DUMMYFUNCTION("""COMPUTED_VALUE"""),"Dubai")</f>
        <v>Dubai</v>
      </c>
      <c r="B9873" s="2" t="str">
        <f ca="1">IFERROR(__xludf.DUMMYFUNCTION("""COMPUTED_VALUE"""),"Al Mamzar Front")</f>
        <v>Al Mamzar Front</v>
      </c>
      <c r="C9873" s="2" t="str">
        <f ca="1">IFERROR(__xludf.DUMMYFUNCTION("""COMPUTED_VALUE"""),"Neighbourhood")</f>
        <v>Neighbourhood</v>
      </c>
      <c r="D9873" s="2" t="str">
        <f ca="1">IFERROR(__xludf.DUMMYFUNCTION("""COMPUTED_VALUE"""),"Dubai&gt;Al Mamzar&gt;Al Mamzar Front")</f>
        <v>Dubai&gt;Al Mamzar&gt;Al Mamzar Front</v>
      </c>
      <c r="E9873" s="2"/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  <c r="W9873" s="2"/>
      <c r="X9873" s="2"/>
      <c r="Y9873" s="2"/>
      <c r="Z9873" s="2"/>
    </row>
    <row r="9874" spans="1:26" ht="16.5" x14ac:dyDescent="0.35">
      <c r="A9874" s="2" t="str">
        <f ca="1">IFERROR(__xludf.DUMMYFUNCTION("""COMPUTED_VALUE"""),"Dubai")</f>
        <v>Dubai</v>
      </c>
      <c r="B9874" s="2" t="str">
        <f ca="1">IFERROR(__xludf.DUMMYFUNCTION("""COMPUTED_VALUE"""),"One Za'abeel")</f>
        <v>One Za'abeel</v>
      </c>
      <c r="C9874" s="2" t="str">
        <f ca="1">IFERROR(__xludf.DUMMYFUNCTION("""COMPUTED_VALUE"""),"Cluster")</f>
        <v>Cluster</v>
      </c>
      <c r="D9874" s="2" t="str">
        <f ca="1">IFERROR(__xludf.DUMMYFUNCTION("""COMPUTED_VALUE"""),"Dubai&gt;Za'abeel&gt;Za'abeel 1&gt;One Za'abeel")</f>
        <v>Dubai&gt;Za'abeel&gt;Za'abeel 1&gt;One Za'abeel</v>
      </c>
      <c r="E9874" s="2"/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</row>
    <row r="9875" spans="1:26" ht="16.5" x14ac:dyDescent="0.35">
      <c r="A9875" s="2" t="str">
        <f ca="1">IFERROR(__xludf.DUMMYFUNCTION("""COMPUTED_VALUE"""),"Dubai")</f>
        <v>Dubai</v>
      </c>
      <c r="B9875" s="2" t="str">
        <f ca="1">IFERROR(__xludf.DUMMYFUNCTION("""COMPUTED_VALUE"""),"Al Asmawi Building")</f>
        <v>Al Asmawi Building</v>
      </c>
      <c r="C9875" s="2" t="str">
        <f ca="1">IFERROR(__xludf.DUMMYFUNCTION("""COMPUTED_VALUE"""),"Building")</f>
        <v>Building</v>
      </c>
      <c r="D9875" s="2" t="str">
        <f ca="1">IFERROR(__xludf.DUMMYFUNCTION("""COMPUTED_VALUE"""),"Dubai&gt;Ras Al Khor&gt;Ras Al Khor Industrial&gt;Ras Al Khor Industrial 2&gt;Al Asmawi Building")</f>
        <v>Dubai&gt;Ras Al Khor&gt;Ras Al Khor Industrial&gt;Ras Al Khor Industrial 2&gt;Al Asmawi Building</v>
      </c>
      <c r="E9875" s="2"/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</row>
    <row r="9876" spans="1:26" ht="16.5" x14ac:dyDescent="0.35">
      <c r="A9876" s="2" t="str">
        <f ca="1">IFERROR(__xludf.DUMMYFUNCTION("""COMPUTED_VALUE"""),"Dubai")</f>
        <v>Dubai</v>
      </c>
      <c r="B9876" s="2" t="str">
        <f ca="1">IFERROR(__xludf.DUMMYFUNCTION("""COMPUTED_VALUE"""),"Jebel Ali Freezone")</f>
        <v>Jebel Ali Freezone</v>
      </c>
      <c r="C9876" s="2" t="str">
        <f ca="1">IFERROR(__xludf.DUMMYFUNCTION("""COMPUTED_VALUE"""),"Neighbourhood")</f>
        <v>Neighbourhood</v>
      </c>
      <c r="D9876" s="2" t="str">
        <f ca="1">IFERROR(__xludf.DUMMYFUNCTION("""COMPUTED_VALUE"""),"Dubai&gt;Jebel Ali&gt;Jebel Ali Freezone")</f>
        <v>Dubai&gt;Jebel Ali&gt;Jebel Ali Freezone</v>
      </c>
      <c r="E9876" s="2"/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  <c r="W9876" s="2"/>
      <c r="X9876" s="2"/>
      <c r="Y9876" s="2"/>
      <c r="Z9876" s="2"/>
    </row>
    <row r="9877" spans="1:26" ht="16.5" x14ac:dyDescent="0.35">
      <c r="A9877" s="2" t="str">
        <f ca="1">IFERROR(__xludf.DUMMYFUNCTION("""COMPUTED_VALUE"""),"Dubai")</f>
        <v>Dubai</v>
      </c>
      <c r="B9877" s="2" t="str">
        <f ca="1">IFERROR(__xludf.DUMMYFUNCTION("""COMPUTED_VALUE"""),"Azizi Abraham")</f>
        <v>Azizi Abraham</v>
      </c>
      <c r="C9877" s="2" t="str">
        <f ca="1">IFERROR(__xludf.DUMMYFUNCTION("""COMPUTED_VALUE"""),"Building")</f>
        <v>Building</v>
      </c>
      <c r="D9877" s="2" t="str">
        <f ca="1">IFERROR(__xludf.DUMMYFUNCTION("""COMPUTED_VALUE"""),"Dubai&gt;Jebel Ali&gt;Downtown Jebel Ali&gt;Azizi Abraham")</f>
        <v>Dubai&gt;Jebel Ali&gt;Downtown Jebel Ali&gt;Azizi Abraham</v>
      </c>
      <c r="E9877" s="2"/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</row>
    <row r="9878" spans="1:26" ht="16.5" x14ac:dyDescent="0.35">
      <c r="A9878" s="2" t="str">
        <f ca="1">IFERROR(__xludf.DUMMYFUNCTION("""COMPUTED_VALUE"""),"Dubai")</f>
        <v>Dubai</v>
      </c>
      <c r="B9878" s="2" t="str">
        <f ca="1">IFERROR(__xludf.DUMMYFUNCTION("""COMPUTED_VALUE"""),"Sobha Central")</f>
        <v>Sobha Central</v>
      </c>
      <c r="C9878" s="2" t="str">
        <f ca="1">IFERROR(__xludf.DUMMYFUNCTION("""COMPUTED_VALUE"""),"Cluster")</f>
        <v>Cluster</v>
      </c>
      <c r="D9878" s="2" t="str">
        <f ca="1">IFERROR(__xludf.DUMMYFUNCTION("""COMPUTED_VALUE"""),"Dubai&gt;Jebel Ali&gt;Sobha Central")</f>
        <v>Dubai&gt;Jebel Ali&gt;Sobha Central</v>
      </c>
      <c r="E9878" s="2"/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</row>
    <row r="9879" spans="1:26" ht="16.5" x14ac:dyDescent="0.35">
      <c r="A9879" s="2" t="str">
        <f ca="1">IFERROR(__xludf.DUMMYFUNCTION("""COMPUTED_VALUE"""),"Dubai")</f>
        <v>Dubai</v>
      </c>
      <c r="B9879" s="2" t="str">
        <f ca="1">IFERROR(__xludf.DUMMYFUNCTION("""COMPUTED_VALUE"""),"Al Jabri Building")</f>
        <v>Al Jabri Building</v>
      </c>
      <c r="C9879" s="2" t="str">
        <f ca="1">IFERROR(__xludf.DUMMYFUNCTION("""COMPUTED_VALUE"""),"Building")</f>
        <v>Building</v>
      </c>
      <c r="D9879" s="2" t="str">
        <f ca="1">IFERROR(__xludf.DUMMYFUNCTION("""COMPUTED_VALUE"""),"Dubai&gt;Nad Al Hamar&gt;Al Jabri Building")</f>
        <v>Dubai&gt;Nad Al Hamar&gt;Al Jabri Building</v>
      </c>
      <c r="E9879" s="2"/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</row>
    <row r="9880" spans="1:26" ht="16.5" x14ac:dyDescent="0.35">
      <c r="A9880" s="2" t="str">
        <f ca="1">IFERROR(__xludf.DUMMYFUNCTION("""COMPUTED_VALUE"""),"Dubai")</f>
        <v>Dubai</v>
      </c>
      <c r="B9880" s="2" t="str">
        <f ca="1">IFERROR(__xludf.DUMMYFUNCTION("""COMPUTED_VALUE"""),"Pearl Coast Premier Apartments")</f>
        <v>Pearl Coast Premier Apartments</v>
      </c>
      <c r="C9880" s="2" t="str">
        <f ca="1">IFERROR(__xludf.DUMMYFUNCTION("""COMPUTED_VALUE"""),"Building")</f>
        <v>Building</v>
      </c>
      <c r="D9880" s="2" t="str">
        <f ca="1">IFERROR(__xludf.DUMMYFUNCTION("""COMPUTED_VALUE"""),"Dubai&gt;Al Barsha&gt;Al Barsha 1&gt;Pearl Coast Premier Apartments")</f>
        <v>Dubai&gt;Al Barsha&gt;Al Barsha 1&gt;Pearl Coast Premier Apartments</v>
      </c>
      <c r="E9880" s="2"/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</row>
    <row r="9881" spans="1:26" ht="16.5" x14ac:dyDescent="0.35">
      <c r="A9881" s="2" t="str">
        <f ca="1">IFERROR(__xludf.DUMMYFUNCTION("""COMPUTED_VALUE"""),"Dubai")</f>
        <v>Dubai</v>
      </c>
      <c r="B9881" s="2" t="str">
        <f ca="1">IFERROR(__xludf.DUMMYFUNCTION("""COMPUTED_VALUE"""),"Al Waleed BA-1")</f>
        <v>Al Waleed BA-1</v>
      </c>
      <c r="C9881" s="2" t="str">
        <f ca="1">IFERROR(__xludf.DUMMYFUNCTION("""COMPUTED_VALUE"""),"Building")</f>
        <v>Building</v>
      </c>
      <c r="D9881" s="2" t="str">
        <f ca="1">IFERROR(__xludf.DUMMYFUNCTION("""COMPUTED_VALUE"""),"Dubai&gt;Al Barsha&gt;Al Barsha 1&gt;Al Waleed BA-1")</f>
        <v>Dubai&gt;Al Barsha&gt;Al Barsha 1&gt;Al Waleed BA-1</v>
      </c>
      <c r="E9881" s="2"/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</row>
    <row r="9882" spans="1:26" ht="16.5" x14ac:dyDescent="0.35">
      <c r="A9882" s="2" t="str">
        <f ca="1">IFERROR(__xludf.DUMMYFUNCTION("""COMPUTED_VALUE"""),"Dubai")</f>
        <v>Dubai</v>
      </c>
      <c r="B9882" s="2" t="str">
        <f ca="1">IFERROR(__xludf.DUMMYFUNCTION("""COMPUTED_VALUE"""),"Al Barsha Business Center")</f>
        <v>Al Barsha Business Center</v>
      </c>
      <c r="C9882" s="2" t="str">
        <f ca="1">IFERROR(__xludf.DUMMYFUNCTION("""COMPUTED_VALUE"""),"Building")</f>
        <v>Building</v>
      </c>
      <c r="D9882" s="2" t="str">
        <f ca="1">IFERROR(__xludf.DUMMYFUNCTION("""COMPUTED_VALUE"""),"Dubai&gt;Al Barsha&gt;Al Barsha 1&gt;Al Barsha Business Center")</f>
        <v>Dubai&gt;Al Barsha&gt;Al Barsha 1&gt;Al Barsha Business Center</v>
      </c>
      <c r="E9882" s="2"/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</row>
    <row r="9883" spans="1:26" ht="16.5" x14ac:dyDescent="0.35">
      <c r="A9883" s="2" t="str">
        <f ca="1">IFERROR(__xludf.DUMMYFUNCTION("""COMPUTED_VALUE"""),"Dubai")</f>
        <v>Dubai</v>
      </c>
      <c r="B9883" s="2" t="str">
        <f ca="1">IFERROR(__xludf.DUMMYFUNCTION("""COMPUTED_VALUE"""),"Al Adiyat Residence 2")</f>
        <v>Al Adiyat Residence 2</v>
      </c>
      <c r="C9883" s="2" t="str">
        <f ca="1">IFERROR(__xludf.DUMMYFUNCTION("""COMPUTED_VALUE"""),"Building")</f>
        <v>Building</v>
      </c>
      <c r="D9883" s="2" t="str">
        <f ca="1">IFERROR(__xludf.DUMMYFUNCTION("""COMPUTED_VALUE"""),"Dubai&gt;Al Barsha&gt;Al Barsha 1&gt;Al Adiyat Residence 2")</f>
        <v>Dubai&gt;Al Barsha&gt;Al Barsha 1&gt;Al Adiyat Residence 2</v>
      </c>
      <c r="E9883" s="2"/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</row>
    <row r="9884" spans="1:26" ht="16.5" x14ac:dyDescent="0.35">
      <c r="A9884" s="2" t="str">
        <f ca="1">IFERROR(__xludf.DUMMYFUNCTION("""COMPUTED_VALUE"""),"Dubai")</f>
        <v>Dubai</v>
      </c>
      <c r="B9884" s="2" t="str">
        <f ca="1">IFERROR(__xludf.DUMMYFUNCTION("""COMPUTED_VALUE"""),"Hilton Garden Inn")</f>
        <v>Hilton Garden Inn</v>
      </c>
      <c r="C9884" s="2" t="str">
        <f ca="1">IFERROR(__xludf.DUMMYFUNCTION("""COMPUTED_VALUE"""),"Building")</f>
        <v>Building</v>
      </c>
      <c r="D9884" s="2" t="str">
        <f ca="1">IFERROR(__xludf.DUMMYFUNCTION("""COMPUTED_VALUE"""),"Dubai&gt;Al Barsha&gt;Al Barsha 1&gt;Hilton Garden Inn")</f>
        <v>Dubai&gt;Al Barsha&gt;Al Barsha 1&gt;Hilton Garden Inn</v>
      </c>
      <c r="E9884" s="2"/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</row>
    <row r="9885" spans="1:26" ht="16.5" x14ac:dyDescent="0.35">
      <c r="A9885" s="2" t="str">
        <f ca="1">IFERROR(__xludf.DUMMYFUNCTION("""COMPUTED_VALUE"""),"Dubai")</f>
        <v>Dubai</v>
      </c>
      <c r="B9885" s="2" t="str">
        <f ca="1">IFERROR(__xludf.DUMMYFUNCTION("""COMPUTED_VALUE"""),"Deyaar")</f>
        <v>Deyaar</v>
      </c>
      <c r="C9885" s="2" t="str">
        <f ca="1">IFERROR(__xludf.DUMMYFUNCTION("""COMPUTED_VALUE"""),"Building")</f>
        <v>Building</v>
      </c>
      <c r="D9885" s="2" t="str">
        <f ca="1">IFERROR(__xludf.DUMMYFUNCTION("""COMPUTED_VALUE"""),"Dubai&gt;Al Barsha&gt;Al Barsha 1&gt;Deyaar")</f>
        <v>Dubai&gt;Al Barsha&gt;Al Barsha 1&gt;Deyaar</v>
      </c>
      <c r="E9885" s="2"/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</row>
    <row r="9886" spans="1:26" ht="16.5" x14ac:dyDescent="0.35">
      <c r="A9886" s="2" t="str">
        <f ca="1">IFERROR(__xludf.DUMMYFUNCTION("""COMPUTED_VALUE"""),"Dubai")</f>
        <v>Dubai</v>
      </c>
      <c r="B9886" s="2" t="str">
        <f ca="1">IFERROR(__xludf.DUMMYFUNCTION("""COMPUTED_VALUE"""),"Al Owais")</f>
        <v>Al Owais</v>
      </c>
      <c r="C9886" s="2" t="str">
        <f ca="1">IFERROR(__xludf.DUMMYFUNCTION("""COMPUTED_VALUE"""),"Building")</f>
        <v>Building</v>
      </c>
      <c r="D9886" s="2" t="str">
        <f ca="1">IFERROR(__xludf.DUMMYFUNCTION("""COMPUTED_VALUE"""),"Dubai&gt;Al Barsha&gt;Al Barsha 1&gt;Al Owais")</f>
        <v>Dubai&gt;Al Barsha&gt;Al Barsha 1&gt;Al Owais</v>
      </c>
      <c r="E9886" s="2"/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</row>
    <row r="9887" spans="1:26" ht="16.5" x14ac:dyDescent="0.35">
      <c r="A9887" s="2" t="str">
        <f ca="1">IFERROR(__xludf.DUMMYFUNCTION("""COMPUTED_VALUE"""),"Dubai")</f>
        <v>Dubai</v>
      </c>
      <c r="B9887" s="2" t="str">
        <f ca="1">IFERROR(__xludf.DUMMYFUNCTION("""COMPUTED_VALUE"""),"Emerald B")</f>
        <v>Emerald B</v>
      </c>
      <c r="C9887" s="2" t="str">
        <f ca="1">IFERROR(__xludf.DUMMYFUNCTION("""COMPUTED_VALUE"""),"Building")</f>
        <v>Building</v>
      </c>
      <c r="D9887" s="2" t="str">
        <f ca="1">IFERROR(__xludf.DUMMYFUNCTION("""COMPUTED_VALUE"""),"Dubai&gt;Al Barsha&gt;Al Barsha 1&gt;Emerald B")</f>
        <v>Dubai&gt;Al Barsha&gt;Al Barsha 1&gt;Emerald B</v>
      </c>
      <c r="E9887" s="2"/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</row>
    <row r="9888" spans="1:26" ht="16.5" x14ac:dyDescent="0.35">
      <c r="A9888" s="2" t="str">
        <f ca="1">IFERROR(__xludf.DUMMYFUNCTION("""COMPUTED_VALUE"""),"Dubai")</f>
        <v>Dubai</v>
      </c>
      <c r="B9888" s="2" t="str">
        <f ca="1">IFERROR(__xludf.DUMMYFUNCTION("""COMPUTED_VALUE"""),"Marriott Residences Sheikh Zayed Road")</f>
        <v>Marriott Residences Sheikh Zayed Road</v>
      </c>
      <c r="C9888" s="2" t="str">
        <f ca="1">IFERROR(__xludf.DUMMYFUNCTION("""COMPUTED_VALUE"""),"Building")</f>
        <v>Building</v>
      </c>
      <c r="D9888" s="2" t="str">
        <f ca="1">IFERROR(__xludf.DUMMYFUNCTION("""COMPUTED_VALUE"""),"Dubai&gt;Al Barsha&gt;Al Barsha 1&gt;Marriott Residences Sheikh Zayed Road")</f>
        <v>Dubai&gt;Al Barsha&gt;Al Barsha 1&gt;Marriott Residences Sheikh Zayed Road</v>
      </c>
      <c r="E9888" s="2"/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</row>
    <row r="9889" spans="1:26" ht="16.5" x14ac:dyDescent="0.35">
      <c r="A9889" s="2" t="str">
        <f ca="1">IFERROR(__xludf.DUMMYFUNCTION("""COMPUTED_VALUE"""),"Dubai")</f>
        <v>Dubai</v>
      </c>
      <c r="B9889" s="2" t="str">
        <f ca="1">IFERROR(__xludf.DUMMYFUNCTION("""COMPUTED_VALUE"""),"Mas Barsha Residency")</f>
        <v>Mas Barsha Residency</v>
      </c>
      <c r="C9889" s="2" t="str">
        <f ca="1">IFERROR(__xludf.DUMMYFUNCTION("""COMPUTED_VALUE"""),"Building")</f>
        <v>Building</v>
      </c>
      <c r="D9889" s="2" t="str">
        <f ca="1">IFERROR(__xludf.DUMMYFUNCTION("""COMPUTED_VALUE"""),"Dubai&gt;Al Barsha&gt;Al Barsha 1&gt;Mas Barsha Residency")</f>
        <v>Dubai&gt;Al Barsha&gt;Al Barsha 1&gt;Mas Barsha Residency</v>
      </c>
      <c r="E9889" s="2"/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</row>
    <row r="9890" spans="1:26" ht="16.5" x14ac:dyDescent="0.35">
      <c r="A9890" s="2" t="str">
        <f ca="1">IFERROR(__xludf.DUMMYFUNCTION("""COMPUTED_VALUE"""),"Dubai")</f>
        <v>Dubai</v>
      </c>
      <c r="B9890" s="2" t="str">
        <f ca="1">IFERROR(__xludf.DUMMYFUNCTION("""COMPUTED_VALUE"""),"Claren Tower 2")</f>
        <v>Claren Tower 2</v>
      </c>
      <c r="C9890" s="2" t="str">
        <f ca="1">IFERROR(__xludf.DUMMYFUNCTION("""COMPUTED_VALUE"""),"Building")</f>
        <v>Building</v>
      </c>
      <c r="D9890" s="2" t="str">
        <f ca="1">IFERROR(__xludf.DUMMYFUNCTION("""COMPUTED_VALUE"""),"Dubai&gt;Downtown Dubai&gt;Claren Towers&gt;Claren Tower 2")</f>
        <v>Dubai&gt;Downtown Dubai&gt;Claren Towers&gt;Claren Tower 2</v>
      </c>
      <c r="E9890" s="2"/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</row>
    <row r="9891" spans="1:26" ht="16.5" x14ac:dyDescent="0.35">
      <c r="A9891" s="2" t="str">
        <f ca="1">IFERROR(__xludf.DUMMYFUNCTION("""COMPUTED_VALUE"""),"Dubai")</f>
        <v>Dubai</v>
      </c>
      <c r="B9891" s="2" t="str">
        <f ca="1">IFERROR(__xludf.DUMMYFUNCTION("""COMPUTED_VALUE"""),"Emaar Square Building 6")</f>
        <v>Emaar Square Building 6</v>
      </c>
      <c r="C9891" s="2" t="str">
        <f ca="1">IFERROR(__xludf.DUMMYFUNCTION("""COMPUTED_VALUE"""),"Building")</f>
        <v>Building</v>
      </c>
      <c r="D9891" s="2" t="str">
        <f ca="1">IFERROR(__xludf.DUMMYFUNCTION("""COMPUTED_VALUE"""),"Dubai&gt;Downtown Dubai&gt;Emaar Square&gt;Emaar Square Building 6")</f>
        <v>Dubai&gt;Downtown Dubai&gt;Emaar Square&gt;Emaar Square Building 6</v>
      </c>
      <c r="E9891" s="2"/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</row>
    <row r="9892" spans="1:26" ht="16.5" x14ac:dyDescent="0.35">
      <c r="A9892" s="2" t="str">
        <f ca="1">IFERROR(__xludf.DUMMYFUNCTION("""COMPUTED_VALUE"""),"Dubai")</f>
        <v>Dubai</v>
      </c>
      <c r="B9892" s="2" t="str">
        <f ca="1">IFERROR(__xludf.DUMMYFUNCTION("""COMPUTED_VALUE"""),"Opera District")</f>
        <v>Opera District</v>
      </c>
      <c r="C9892" s="2" t="str">
        <f ca="1">IFERROR(__xludf.DUMMYFUNCTION("""COMPUTED_VALUE"""),"Cluster")</f>
        <v>Cluster</v>
      </c>
      <c r="D9892" s="2" t="str">
        <f ca="1">IFERROR(__xludf.DUMMYFUNCTION("""COMPUTED_VALUE"""),"Dubai&gt;Downtown Dubai&gt;Opera District")</f>
        <v>Dubai&gt;Downtown Dubai&gt;Opera District</v>
      </c>
      <c r="E9892" s="2"/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</row>
    <row r="9893" spans="1:26" ht="16.5" x14ac:dyDescent="0.35">
      <c r="A9893" s="2" t="str">
        <f ca="1">IFERROR(__xludf.DUMMYFUNCTION("""COMPUTED_VALUE"""),"Dubai")</f>
        <v>Dubai</v>
      </c>
      <c r="B9893" s="2" t="str">
        <f ca="1">IFERROR(__xludf.DUMMYFUNCTION("""COMPUTED_VALUE"""),"Standpoint Towers")</f>
        <v>Standpoint Towers</v>
      </c>
      <c r="C9893" s="2" t="str">
        <f ca="1">IFERROR(__xludf.DUMMYFUNCTION("""COMPUTED_VALUE"""),"Cluster")</f>
        <v>Cluster</v>
      </c>
      <c r="D9893" s="2" t="str">
        <f ca="1">IFERROR(__xludf.DUMMYFUNCTION("""COMPUTED_VALUE"""),"Dubai&gt;Downtown Dubai&gt;Standpoint Towers")</f>
        <v>Dubai&gt;Downtown Dubai&gt;Standpoint Towers</v>
      </c>
      <c r="E9893" s="2"/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</row>
    <row r="9894" spans="1:26" ht="16.5" x14ac:dyDescent="0.35">
      <c r="A9894" s="2" t="str">
        <f ca="1">IFERROR(__xludf.DUMMYFUNCTION("""COMPUTED_VALUE"""),"Dubai")</f>
        <v>Dubai</v>
      </c>
      <c r="B9894" s="2" t="str">
        <f ca="1">IFERROR(__xludf.DUMMYFUNCTION("""COMPUTED_VALUE"""),"Reehan 4")</f>
        <v>Reehan 4</v>
      </c>
      <c r="C9894" s="2" t="str">
        <f ca="1">IFERROR(__xludf.DUMMYFUNCTION("""COMPUTED_VALUE"""),"Building")</f>
        <v>Building</v>
      </c>
      <c r="D9894" s="2" t="str">
        <f ca="1">IFERROR(__xludf.DUMMYFUNCTION("""COMPUTED_VALUE"""),"Dubai&gt;Downtown Dubai&gt;Old Town&gt;Reehan&gt;Reehan 4")</f>
        <v>Dubai&gt;Downtown Dubai&gt;Old Town&gt;Reehan&gt;Reehan 4</v>
      </c>
      <c r="E9894" s="2"/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</row>
    <row r="9895" spans="1:26" ht="16.5" x14ac:dyDescent="0.35">
      <c r="A9895" s="2" t="str">
        <f ca="1">IFERROR(__xludf.DUMMYFUNCTION("""COMPUTED_VALUE"""),"Dubai")</f>
        <v>Dubai</v>
      </c>
      <c r="B9895" s="2" t="str">
        <f ca="1">IFERROR(__xludf.DUMMYFUNCTION("""COMPUTED_VALUE"""),"IL Primo")</f>
        <v>IL Primo</v>
      </c>
      <c r="C9895" s="2" t="str">
        <f ca="1">IFERROR(__xludf.DUMMYFUNCTION("""COMPUTED_VALUE"""),"Building")</f>
        <v>Building</v>
      </c>
      <c r="D9895" s="2" t="str">
        <f ca="1">IFERROR(__xludf.DUMMYFUNCTION("""COMPUTED_VALUE"""),"Dubai&gt;Downtown Dubai&gt;IL Primo")</f>
        <v>Dubai&gt;Downtown Dubai&gt;IL Primo</v>
      </c>
      <c r="E9895" s="2"/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</row>
    <row r="9896" spans="1:26" ht="16.5" x14ac:dyDescent="0.35">
      <c r="A9896" s="2" t="str">
        <f ca="1">IFERROR(__xludf.DUMMYFUNCTION("""COMPUTED_VALUE"""),"Dubai")</f>
        <v>Dubai</v>
      </c>
      <c r="B9896" s="2" t="str">
        <f ca="1">IFERROR(__xludf.DUMMYFUNCTION("""COMPUTED_VALUE"""),"Burj Views A")</f>
        <v>Burj Views A</v>
      </c>
      <c r="C9896" s="2" t="str">
        <f ca="1">IFERROR(__xludf.DUMMYFUNCTION("""COMPUTED_VALUE"""),"Building")</f>
        <v>Building</v>
      </c>
      <c r="D9896" s="2" t="str">
        <f ca="1">IFERROR(__xludf.DUMMYFUNCTION("""COMPUTED_VALUE"""),"Dubai&gt;Downtown Dubai&gt;Burj Views&gt;Burj Views A")</f>
        <v>Dubai&gt;Downtown Dubai&gt;Burj Views&gt;Burj Views A</v>
      </c>
      <c r="E9896" s="2"/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</row>
    <row r="9897" spans="1:26" ht="16.5" x14ac:dyDescent="0.35">
      <c r="A9897" s="2" t="str">
        <f ca="1">IFERROR(__xludf.DUMMYFUNCTION("""COMPUTED_VALUE"""),"Dubai")</f>
        <v>Dubai</v>
      </c>
      <c r="B9897" s="2" t="str">
        <f ca="1">IFERROR(__xludf.DUMMYFUNCTION("""COMPUTED_VALUE"""),"Mazaya 29")</f>
        <v>Mazaya 29</v>
      </c>
      <c r="C9897" s="2" t="str">
        <f ca="1">IFERROR(__xludf.DUMMYFUNCTION("""COMPUTED_VALUE"""),"Building")</f>
        <v>Building</v>
      </c>
      <c r="D9897" s="2" t="str">
        <f ca="1">IFERROR(__xludf.DUMMYFUNCTION("""COMPUTED_VALUE"""),"Dubai&gt;Liwan&gt;Queue Point&gt;Mazaya 29")</f>
        <v>Dubai&gt;Liwan&gt;Queue Point&gt;Mazaya 29</v>
      </c>
      <c r="E9897" s="2"/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</row>
    <row r="9898" spans="1:26" ht="16.5" x14ac:dyDescent="0.35">
      <c r="A9898" s="2" t="str">
        <f ca="1">IFERROR(__xludf.DUMMYFUNCTION("""COMPUTED_VALUE"""),"Dubai")</f>
        <v>Dubai</v>
      </c>
      <c r="B9898" s="2" t="str">
        <f ca="1">IFERROR(__xludf.DUMMYFUNCTION("""COMPUTED_VALUE"""),"Wavez Residence")</f>
        <v>Wavez Residence</v>
      </c>
      <c r="C9898" s="2" t="str">
        <f ca="1">IFERROR(__xludf.DUMMYFUNCTION("""COMPUTED_VALUE"""),"Building")</f>
        <v>Building</v>
      </c>
      <c r="D9898" s="2" t="str">
        <f ca="1">IFERROR(__xludf.DUMMYFUNCTION("""COMPUTED_VALUE"""),"Dubai&gt;Liwan&gt;Wavez Residence")</f>
        <v>Dubai&gt;Liwan&gt;Wavez Residence</v>
      </c>
      <c r="E9898" s="2"/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</row>
    <row r="9899" spans="1:26" ht="16.5" x14ac:dyDescent="0.35">
      <c r="A9899" s="2" t="str">
        <f ca="1">IFERROR(__xludf.DUMMYFUNCTION("""COMPUTED_VALUE"""),"Dubai")</f>
        <v>Dubai</v>
      </c>
      <c r="B9899" s="2" t="str">
        <f ca="1">IFERROR(__xludf.DUMMYFUNCTION("""COMPUTED_VALUE"""),"Rove Trade Centre")</f>
        <v>Rove Trade Centre</v>
      </c>
      <c r="C9899" s="2" t="str">
        <f ca="1">IFERROR(__xludf.DUMMYFUNCTION("""COMPUTED_VALUE"""),"Building")</f>
        <v>Building</v>
      </c>
      <c r="D9899" s="2" t="str">
        <f ca="1">IFERROR(__xludf.DUMMYFUNCTION("""COMPUTED_VALUE"""),"Dubai&gt;Al Jafiliya&gt;Rove Trade Centre")</f>
        <v>Dubai&gt;Al Jafiliya&gt;Rove Trade Centre</v>
      </c>
      <c r="E9899" s="2"/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</row>
    <row r="9900" spans="1:26" ht="16.5" x14ac:dyDescent="0.35">
      <c r="A9900" s="2" t="str">
        <f ca="1">IFERROR(__xludf.DUMMYFUNCTION("""COMPUTED_VALUE"""),"Dubai")</f>
        <v>Dubai</v>
      </c>
      <c r="B9900" s="2" t="str">
        <f ca="1">IFERROR(__xludf.DUMMYFUNCTION("""COMPUTED_VALUE"""),"The Gate Village 1")</f>
        <v>The Gate Village 1</v>
      </c>
      <c r="C9900" s="2" t="str">
        <f ca="1">IFERROR(__xludf.DUMMYFUNCTION("""COMPUTED_VALUE"""),"Building")</f>
        <v>Building</v>
      </c>
      <c r="D9900" s="2" t="str">
        <f ca="1">IFERROR(__xludf.DUMMYFUNCTION("""COMPUTED_VALUE"""),"Dubai&gt;DIFC&gt;The Gate Village&gt;The Gate Village 1")</f>
        <v>Dubai&gt;DIFC&gt;The Gate Village&gt;The Gate Village 1</v>
      </c>
      <c r="E9900" s="2"/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</row>
    <row r="9901" spans="1:26" ht="16.5" x14ac:dyDescent="0.35">
      <c r="A9901" s="2" t="str">
        <f ca="1">IFERROR(__xludf.DUMMYFUNCTION("""COMPUTED_VALUE"""),"Dubai")</f>
        <v>Dubai</v>
      </c>
      <c r="B9901" s="2" t="str">
        <f ca="1">IFERROR(__xludf.DUMMYFUNCTION("""COMPUTED_VALUE"""),"Al Twar 3")</f>
        <v>Al Twar 3</v>
      </c>
      <c r="C9901" s="2" t="str">
        <f ca="1">IFERROR(__xludf.DUMMYFUNCTION("""COMPUTED_VALUE"""),"Neighbourhood")</f>
        <v>Neighbourhood</v>
      </c>
      <c r="D9901" s="2" t="str">
        <f ca="1">IFERROR(__xludf.DUMMYFUNCTION("""COMPUTED_VALUE"""),"Dubai&gt;Al Twar&gt;Al Twar 3")</f>
        <v>Dubai&gt;Al Twar&gt;Al Twar 3</v>
      </c>
      <c r="E9901" s="2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</row>
    <row r="9902" spans="1:26" ht="16.5" x14ac:dyDescent="0.35">
      <c r="A9902" s="2" t="str">
        <f ca="1">IFERROR(__xludf.DUMMYFUNCTION("""COMPUTED_VALUE"""),"Dubai")</f>
        <v>Dubai</v>
      </c>
      <c r="B9902" s="2" t="str">
        <f ca="1">IFERROR(__xludf.DUMMYFUNCTION("""COMPUTED_VALUE"""),"Humaid Al Dosary Building")</f>
        <v>Humaid Al Dosary Building</v>
      </c>
      <c r="C9902" s="2" t="str">
        <f ca="1">IFERROR(__xludf.DUMMYFUNCTION("""COMPUTED_VALUE"""),"Building")</f>
        <v>Building</v>
      </c>
      <c r="D9902" s="2" t="str">
        <f ca="1">IFERROR(__xludf.DUMMYFUNCTION("""COMPUTED_VALUE"""),"Dubai&gt;Al Warqaa&gt;Al Warqaa 1&gt;Humaid Al Dosary Building")</f>
        <v>Dubai&gt;Al Warqaa&gt;Al Warqaa 1&gt;Humaid Al Dosary Building</v>
      </c>
      <c r="E9902" s="2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</row>
    <row r="9903" spans="1:26" ht="16.5" x14ac:dyDescent="0.35">
      <c r="A9903" s="2" t="str">
        <f ca="1">IFERROR(__xludf.DUMMYFUNCTION("""COMPUTED_VALUE"""),"Dubai")</f>
        <v>Dubai</v>
      </c>
      <c r="B9903" s="2" t="str">
        <f ca="1">IFERROR(__xludf.DUMMYFUNCTION("""COMPUTED_VALUE"""),"Al Waleed WQ-01")</f>
        <v>Al Waleed WQ-01</v>
      </c>
      <c r="C9903" s="2" t="str">
        <f ca="1">IFERROR(__xludf.DUMMYFUNCTION("""COMPUTED_VALUE"""),"Building")</f>
        <v>Building</v>
      </c>
      <c r="D9903" s="2" t="str">
        <f ca="1">IFERROR(__xludf.DUMMYFUNCTION("""COMPUTED_VALUE"""),"Dubai&gt;Al Warqaa&gt;Al Warqaa 1&gt;Al Waleed WQ-01")</f>
        <v>Dubai&gt;Al Warqaa&gt;Al Warqaa 1&gt;Al Waleed WQ-01</v>
      </c>
      <c r="E9903" s="2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</row>
    <row r="9904" spans="1:26" ht="16.5" x14ac:dyDescent="0.35">
      <c r="A9904" s="2" t="str">
        <f ca="1">IFERROR(__xludf.DUMMYFUNCTION("""COMPUTED_VALUE"""),"Dubai")</f>
        <v>Dubai</v>
      </c>
      <c r="B9904" s="2" t="str">
        <f ca="1">IFERROR(__xludf.DUMMYFUNCTION("""COMPUTED_VALUE"""),"Al Rashid Building")</f>
        <v>Al Rashid Building</v>
      </c>
      <c r="C9904" s="2" t="str">
        <f ca="1">IFERROR(__xludf.DUMMYFUNCTION("""COMPUTED_VALUE"""),"Building")</f>
        <v>Building</v>
      </c>
      <c r="D9904" s="2" t="str">
        <f ca="1">IFERROR(__xludf.DUMMYFUNCTION("""COMPUTED_VALUE"""),"Dubai&gt;Al Warqaa&gt;Al Warqaa 1&gt;Al Rashid Building")</f>
        <v>Dubai&gt;Al Warqaa&gt;Al Warqaa 1&gt;Al Rashid Building</v>
      </c>
      <c r="E9904" s="2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</row>
    <row r="9905" spans="1:26" ht="16.5" x14ac:dyDescent="0.35">
      <c r="A9905" s="2" t="str">
        <f ca="1">IFERROR(__xludf.DUMMYFUNCTION("""COMPUTED_VALUE"""),"Dubai")</f>
        <v>Dubai</v>
      </c>
      <c r="B9905" s="2" t="str">
        <f ca="1">IFERROR(__xludf.DUMMYFUNCTION("""COMPUTED_VALUE"""),"Saeed Hamad Saeed Malhoof 6 Building")</f>
        <v>Saeed Hamad Saeed Malhoof 6 Building</v>
      </c>
      <c r="C9905" s="2" t="str">
        <f ca="1">IFERROR(__xludf.DUMMYFUNCTION("""COMPUTED_VALUE"""),"Building")</f>
        <v>Building</v>
      </c>
      <c r="D9905" s="2" t="str">
        <f ca="1">IFERROR(__xludf.DUMMYFUNCTION("""COMPUTED_VALUE"""),"Dubai&gt;Al Warqaa&gt;Al Warqaa 1&gt;Saeed Hamad Saeed Malhoof 6 Building")</f>
        <v>Dubai&gt;Al Warqaa&gt;Al Warqaa 1&gt;Saeed Hamad Saeed Malhoof 6 Building</v>
      </c>
      <c r="E9905" s="2"/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</row>
    <row r="9906" spans="1:26" ht="16.5" x14ac:dyDescent="0.35">
      <c r="A9906" s="2" t="str">
        <f ca="1">IFERROR(__xludf.DUMMYFUNCTION("""COMPUTED_VALUE"""),"Dubai")</f>
        <v>Dubai</v>
      </c>
      <c r="B9906" s="2" t="str">
        <f ca="1">IFERROR(__xludf.DUMMYFUNCTION("""COMPUTED_VALUE"""),"Jumeirah Business Centre")</f>
        <v>Jumeirah Business Centre</v>
      </c>
      <c r="C9906" s="2" t="str">
        <f ca="1">IFERROR(__xludf.DUMMYFUNCTION("""COMPUTED_VALUE"""),"Cluster")</f>
        <v>Cluster</v>
      </c>
      <c r="D9906" s="2" t="str">
        <f ca="1">IFERROR(__xludf.DUMMYFUNCTION("""COMPUTED_VALUE"""),"Dubai&gt;Jumeirah Lake Towers (JLT)&gt;Jumeirah Business Centre")</f>
        <v>Dubai&gt;Jumeirah Lake Towers (JLT)&gt;Jumeirah Business Centre</v>
      </c>
      <c r="E9906" s="2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</row>
    <row r="9907" spans="1:26" ht="16.5" x14ac:dyDescent="0.35">
      <c r="A9907" s="2" t="str">
        <f ca="1">IFERROR(__xludf.DUMMYFUNCTION("""COMPUTED_VALUE"""),"Dubai")</f>
        <v>Dubai</v>
      </c>
      <c r="B9907" s="2" t="str">
        <f ca="1">IFERROR(__xludf.DUMMYFUNCTION("""COMPUTED_VALUE"""),"Concorde Tower")</f>
        <v>Concorde Tower</v>
      </c>
      <c r="C9907" s="2" t="str">
        <f ca="1">IFERROR(__xludf.DUMMYFUNCTION("""COMPUTED_VALUE"""),"Building")</f>
        <v>Building</v>
      </c>
      <c r="D9907" s="2" t="str">
        <f ca="1">IFERROR(__xludf.DUMMYFUNCTION("""COMPUTED_VALUE"""),"Dubai&gt;Jumeirah Lake Towers (JLT)&gt;JLT Cluster H&gt;Concorde Tower")</f>
        <v>Dubai&gt;Jumeirah Lake Towers (JLT)&gt;JLT Cluster H&gt;Concorde Tower</v>
      </c>
      <c r="E9907" s="2"/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</row>
    <row r="9908" spans="1:26" ht="16.5" x14ac:dyDescent="0.35">
      <c r="A9908" s="2" t="str">
        <f ca="1">IFERROR(__xludf.DUMMYFUNCTION("""COMPUTED_VALUE"""),"Dubai")</f>
        <v>Dubai</v>
      </c>
      <c r="B9908" s="2" t="str">
        <f ca="1">IFERROR(__xludf.DUMMYFUNCTION("""COMPUTED_VALUE"""),"Madina Tower")</f>
        <v>Madina Tower</v>
      </c>
      <c r="C9908" s="2" t="str">
        <f ca="1">IFERROR(__xludf.DUMMYFUNCTION("""COMPUTED_VALUE"""),"Building")</f>
        <v>Building</v>
      </c>
      <c r="D9908" s="2" t="str">
        <f ca="1">IFERROR(__xludf.DUMMYFUNCTION("""COMPUTED_VALUE"""),"Dubai&gt;Jumeirah Lake Towers (JLT)&gt;JLT Cluster O&gt;Madina Tower")</f>
        <v>Dubai&gt;Jumeirah Lake Towers (JLT)&gt;JLT Cluster O&gt;Madina Tower</v>
      </c>
      <c r="E9908" s="2"/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</row>
    <row r="9909" spans="1:26" ht="16.5" x14ac:dyDescent="0.35">
      <c r="A9909" s="2" t="str">
        <f ca="1">IFERROR(__xludf.DUMMYFUNCTION("""COMPUTED_VALUE"""),"Dubai")</f>
        <v>Dubai</v>
      </c>
      <c r="B9909" s="2" t="str">
        <f ca="1">IFERROR(__xludf.DUMMYFUNCTION("""COMPUTED_VALUE"""),"Jumeirah Business Centre 5")</f>
        <v>Jumeirah Business Centre 5</v>
      </c>
      <c r="C9909" s="2" t="str">
        <f ca="1">IFERROR(__xludf.DUMMYFUNCTION("""COMPUTED_VALUE"""),"Building")</f>
        <v>Building</v>
      </c>
      <c r="D9909" s="2" t="str">
        <f ca="1">IFERROR(__xludf.DUMMYFUNCTION("""COMPUTED_VALUE"""),"Dubai&gt;Jumeirah Lake Towers (JLT)&gt;JLT Cluster W&gt;Jumeirah Business Centre 5")</f>
        <v>Dubai&gt;Jumeirah Lake Towers (JLT)&gt;JLT Cluster W&gt;Jumeirah Business Centre 5</v>
      </c>
      <c r="E9909" s="2"/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</row>
    <row r="9910" spans="1:26" ht="16.5" x14ac:dyDescent="0.35">
      <c r="A9910" s="2" t="str">
        <f ca="1">IFERROR(__xludf.DUMMYFUNCTION("""COMPUTED_VALUE"""),"Dubai")</f>
        <v>Dubai</v>
      </c>
      <c r="B9910" s="2" t="str">
        <f ca="1">IFERROR(__xludf.DUMMYFUNCTION("""COMPUTED_VALUE"""),"Viewz 2 by Danube")</f>
        <v>Viewz 2 by Danube</v>
      </c>
      <c r="C9910" s="2" t="str">
        <f ca="1">IFERROR(__xludf.DUMMYFUNCTION("""COMPUTED_VALUE"""),"Building")</f>
        <v>Building</v>
      </c>
      <c r="D9910" s="2" t="str">
        <f ca="1">IFERROR(__xludf.DUMMYFUNCTION("""COMPUTED_VALUE"""),"Dubai&gt;Jumeirah Lake Towers (JLT)&gt;Viewz by Danube&gt;Viewz 2 by Danube")</f>
        <v>Dubai&gt;Jumeirah Lake Towers (JLT)&gt;Viewz by Danube&gt;Viewz 2 by Danube</v>
      </c>
      <c r="E9910" s="2"/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</row>
    <row r="9911" spans="1:26" ht="16.5" x14ac:dyDescent="0.35">
      <c r="A9911" s="2" t="str">
        <f ca="1">IFERROR(__xludf.DUMMYFUNCTION("""COMPUTED_VALUE"""),"Dubai")</f>
        <v>Dubai</v>
      </c>
      <c r="B9911" s="2" t="str">
        <f ca="1">IFERROR(__xludf.DUMMYFUNCTION("""COMPUTED_VALUE"""),"Camelia 1")</f>
        <v>Camelia 1</v>
      </c>
      <c r="C9911" s="2" t="str">
        <f ca="1">IFERROR(__xludf.DUMMYFUNCTION("""COMPUTED_VALUE"""),"Neighbourhood")</f>
        <v>Neighbourhood</v>
      </c>
      <c r="D9911" s="2" t="str">
        <f ca="1">IFERROR(__xludf.DUMMYFUNCTION("""COMPUTED_VALUE"""),"Dubai&gt;Arabian Ranches 2&gt;Camelia&gt;Camelia 1")</f>
        <v>Dubai&gt;Arabian Ranches 2&gt;Camelia&gt;Camelia 1</v>
      </c>
      <c r="E9911" s="2"/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</row>
    <row r="9912" spans="1:26" ht="16.5" x14ac:dyDescent="0.35">
      <c r="A9912" s="2" t="str">
        <f ca="1">IFERROR(__xludf.DUMMYFUNCTION("""COMPUTED_VALUE"""),"Dubai")</f>
        <v>Dubai</v>
      </c>
      <c r="B9912" s="2" t="str">
        <f ca="1">IFERROR(__xludf.DUMMYFUNCTION("""COMPUTED_VALUE"""),"Dhana 1")</f>
        <v>Dhana 1</v>
      </c>
      <c r="C9912" s="2" t="str">
        <f ca="1">IFERROR(__xludf.DUMMYFUNCTION("""COMPUTED_VALUE"""),"Building")</f>
        <v>Building</v>
      </c>
      <c r="D9912" s="2" t="str">
        <f ca="1">IFERROR(__xludf.DUMMYFUNCTION("""COMPUTED_VALUE"""),"Dubai&gt;Al Satwa&gt;Jumeirah Garden City&gt;Dhana 1")</f>
        <v>Dubai&gt;Al Satwa&gt;Jumeirah Garden City&gt;Dhana 1</v>
      </c>
      <c r="E9912" s="2"/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</row>
    <row r="9913" spans="1:26" ht="16.5" x14ac:dyDescent="0.35">
      <c r="A9913" s="2" t="str">
        <f ca="1">IFERROR(__xludf.DUMMYFUNCTION("""COMPUTED_VALUE"""),"Dubai")</f>
        <v>Dubai</v>
      </c>
      <c r="B9913" s="2" t="str">
        <f ca="1">IFERROR(__xludf.DUMMYFUNCTION("""COMPUTED_VALUE"""),"Jardin Astral")</f>
        <v>Jardin Astral</v>
      </c>
      <c r="C9913" s="2" t="str">
        <f ca="1">IFERROR(__xludf.DUMMYFUNCTION("""COMPUTED_VALUE"""),"Building")</f>
        <v>Building</v>
      </c>
      <c r="D9913" s="2" t="str">
        <f ca="1">IFERROR(__xludf.DUMMYFUNCTION("""COMPUTED_VALUE"""),"Dubai&gt;Al Satwa&gt;Jumeirah Garden City&gt;Jardin Astral")</f>
        <v>Dubai&gt;Al Satwa&gt;Jumeirah Garden City&gt;Jardin Astral</v>
      </c>
      <c r="E9913" s="2"/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</row>
    <row r="9914" spans="1:26" ht="16.5" x14ac:dyDescent="0.35">
      <c r="A9914" s="2" t="str">
        <f ca="1">IFERROR(__xludf.DUMMYFUNCTION("""COMPUTED_VALUE"""),"Dubai")</f>
        <v>Dubai</v>
      </c>
      <c r="B9914" s="2" t="str">
        <f ca="1">IFERROR(__xludf.DUMMYFUNCTION("""COMPUTED_VALUE"""),"BMJ One")</f>
        <v>BMJ One</v>
      </c>
      <c r="C9914" s="2" t="str">
        <f ca="1">IFERROR(__xludf.DUMMYFUNCTION("""COMPUTED_VALUE"""),"Building")</f>
        <v>Building</v>
      </c>
      <c r="D9914" s="2" t="str">
        <f ca="1">IFERROR(__xludf.DUMMYFUNCTION("""COMPUTED_VALUE"""),"Dubai&gt;Al Satwa&gt;Jumeirah Garden City&gt;BMJ One")</f>
        <v>Dubai&gt;Al Satwa&gt;Jumeirah Garden City&gt;BMJ One</v>
      </c>
      <c r="E9914" s="2"/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</row>
    <row r="9915" spans="1:26" ht="16.5" x14ac:dyDescent="0.35">
      <c r="A9915" s="2" t="str">
        <f ca="1">IFERROR(__xludf.DUMMYFUNCTION("""COMPUTED_VALUE"""),"Dubai")</f>
        <v>Dubai</v>
      </c>
      <c r="B9915" s="2" t="str">
        <f ca="1">IFERROR(__xludf.DUMMYFUNCTION("""COMPUTED_VALUE"""),"Al Diyafah Road")</f>
        <v>Al Diyafah Road</v>
      </c>
      <c r="C9915" s="2"/>
      <c r="D9915" s="2" t="str">
        <f ca="1">IFERROR(__xludf.DUMMYFUNCTION("""COMPUTED_VALUE"""),"Dubai&gt;Al Satwa&gt;Al Diyafah Road")</f>
        <v>Dubai&gt;Al Satwa&gt;Al Diyafah Road</v>
      </c>
      <c r="E9915" s="2"/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</row>
    <row r="9916" spans="1:26" ht="16.5" x14ac:dyDescent="0.35">
      <c r="A9916" s="2" t="str">
        <f ca="1">IFERROR(__xludf.DUMMYFUNCTION("""COMPUTED_VALUE"""),"Dubai")</f>
        <v>Dubai</v>
      </c>
      <c r="B9916" s="2" t="str">
        <f ca="1">IFERROR(__xludf.DUMMYFUNCTION("""COMPUTED_VALUE"""),"Cluster 3")</f>
        <v>Cluster 3</v>
      </c>
      <c r="C9916" s="2" t="str">
        <f ca="1">IFERROR(__xludf.DUMMYFUNCTION("""COMPUTED_VALUE"""),"Neighbourhood")</f>
        <v>Neighbourhood</v>
      </c>
      <c r="D9916" s="2" t="str">
        <f ca="1">IFERROR(__xludf.DUMMYFUNCTION("""COMPUTED_VALUE"""),"Dubai&gt;The Sustainable City&gt;Cluster 3")</f>
        <v>Dubai&gt;The Sustainable City&gt;Cluster 3</v>
      </c>
      <c r="E9916" s="2"/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</row>
    <row r="9917" spans="1:26" ht="16.5" x14ac:dyDescent="0.35">
      <c r="A9917" s="2" t="str">
        <f ca="1">IFERROR(__xludf.DUMMYFUNCTION("""COMPUTED_VALUE"""),"Dubai")</f>
        <v>Dubai</v>
      </c>
      <c r="B9917" s="2" t="str">
        <f ca="1">IFERROR(__xludf.DUMMYFUNCTION("""COMPUTED_VALUE"""),"Building 157")</f>
        <v>Building 157</v>
      </c>
      <c r="C9917" s="2" t="str">
        <f ca="1">IFERROR(__xludf.DUMMYFUNCTION("""COMPUTED_VALUE"""),"Building")</f>
        <v>Building</v>
      </c>
      <c r="D9917" s="2" t="str">
        <f ca="1">IFERROR(__xludf.DUMMYFUNCTION("""COMPUTED_VALUE"""),"Dubai&gt;Discovery Gardens&gt;Contemporary&gt;Building 157")</f>
        <v>Dubai&gt;Discovery Gardens&gt;Contemporary&gt;Building 157</v>
      </c>
      <c r="E9917" s="2"/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</row>
    <row r="9918" spans="1:26" ht="16.5" x14ac:dyDescent="0.35">
      <c r="A9918" s="2" t="str">
        <f ca="1">IFERROR(__xludf.DUMMYFUNCTION("""COMPUTED_VALUE"""),"Dubai")</f>
        <v>Dubai</v>
      </c>
      <c r="B9918" s="2" t="str">
        <f ca="1">IFERROR(__xludf.DUMMYFUNCTION("""COMPUTED_VALUE"""),"Building 255")</f>
        <v>Building 255</v>
      </c>
      <c r="C9918" s="2" t="str">
        <f ca="1">IFERROR(__xludf.DUMMYFUNCTION("""COMPUTED_VALUE"""),"Building")</f>
        <v>Building</v>
      </c>
      <c r="D9918" s="2" t="str">
        <f ca="1">IFERROR(__xludf.DUMMYFUNCTION("""COMPUTED_VALUE"""),"Dubai&gt;Discovery Gardens&gt;Mesoamerican&gt;Building 255")</f>
        <v>Dubai&gt;Discovery Gardens&gt;Mesoamerican&gt;Building 255</v>
      </c>
      <c r="E9918" s="2"/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</row>
    <row r="9919" spans="1:26" ht="16.5" x14ac:dyDescent="0.35">
      <c r="A9919" s="2" t="str">
        <f ca="1">IFERROR(__xludf.DUMMYFUNCTION("""COMPUTED_VALUE"""),"Dubai")</f>
        <v>Dubai</v>
      </c>
      <c r="B9919" s="2" t="str">
        <f ca="1">IFERROR(__xludf.DUMMYFUNCTION("""COMPUTED_VALUE"""),"Building 200")</f>
        <v>Building 200</v>
      </c>
      <c r="C9919" s="2" t="str">
        <f ca="1">IFERROR(__xludf.DUMMYFUNCTION("""COMPUTED_VALUE"""),"Building")</f>
        <v>Building</v>
      </c>
      <c r="D9919" s="2" t="str">
        <f ca="1">IFERROR(__xludf.DUMMYFUNCTION("""COMPUTED_VALUE"""),"Dubai&gt;Discovery Gardens&gt;Mogul&gt;Building 200")</f>
        <v>Dubai&gt;Discovery Gardens&gt;Mogul&gt;Building 200</v>
      </c>
      <c r="E9919" s="2"/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  <c r="W9919" s="2"/>
      <c r="X9919" s="2"/>
      <c r="Y9919" s="2"/>
      <c r="Z9919" s="2"/>
    </row>
    <row r="9920" spans="1:26" ht="16.5" x14ac:dyDescent="0.35">
      <c r="A9920" s="2" t="str">
        <f ca="1">IFERROR(__xludf.DUMMYFUNCTION("""COMPUTED_VALUE"""),"Dubai")</f>
        <v>Dubai</v>
      </c>
      <c r="B9920" s="2" t="str">
        <f ca="1">IFERROR(__xludf.DUMMYFUNCTION("""COMPUTED_VALUE"""),"Building 18")</f>
        <v>Building 18</v>
      </c>
      <c r="C9920" s="2" t="str">
        <f ca="1">IFERROR(__xludf.DUMMYFUNCTION("""COMPUTED_VALUE"""),"Building")</f>
        <v>Building</v>
      </c>
      <c r="D9920" s="2" t="str">
        <f ca="1">IFERROR(__xludf.DUMMYFUNCTION("""COMPUTED_VALUE"""),"Dubai&gt;Discovery Gardens&gt;Zen Cluster&gt;Building 18")</f>
        <v>Dubai&gt;Discovery Gardens&gt;Zen Cluster&gt;Building 18</v>
      </c>
      <c r="E9920" s="2"/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  <c r="W9920" s="2"/>
      <c r="X9920" s="2"/>
      <c r="Y9920" s="2"/>
      <c r="Z9920" s="2"/>
    </row>
    <row r="9921" spans="1:26" ht="16.5" x14ac:dyDescent="0.35">
      <c r="A9921" s="2" t="str">
        <f ca="1">IFERROR(__xludf.DUMMYFUNCTION("""COMPUTED_VALUE"""),"Dubai")</f>
        <v>Dubai</v>
      </c>
      <c r="B9921" s="2" t="str">
        <f ca="1">IFERROR(__xludf.DUMMYFUNCTION("""COMPUTED_VALUE"""),"Building 92")</f>
        <v>Building 92</v>
      </c>
      <c r="C9921" s="2" t="str">
        <f ca="1">IFERROR(__xludf.DUMMYFUNCTION("""COMPUTED_VALUE"""),"Building")</f>
        <v>Building</v>
      </c>
      <c r="D9921" s="2" t="str">
        <f ca="1">IFERROR(__xludf.DUMMYFUNCTION("""COMPUTED_VALUE"""),"Dubai&gt;Discovery Gardens&gt;Mediterranean&gt;Building 92")</f>
        <v>Dubai&gt;Discovery Gardens&gt;Mediterranean&gt;Building 92</v>
      </c>
      <c r="E9921" s="2"/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  <c r="W9921" s="2"/>
      <c r="X9921" s="2"/>
      <c r="Y9921" s="2"/>
      <c r="Z9921" s="2"/>
    </row>
    <row r="9922" spans="1:26" ht="16.5" x14ac:dyDescent="0.35">
      <c r="A9922" s="2" t="str">
        <f ca="1">IFERROR(__xludf.DUMMYFUNCTION("""COMPUTED_VALUE"""),"Dubai")</f>
        <v>Dubai</v>
      </c>
      <c r="B9922" s="2" t="str">
        <f ca="1">IFERROR(__xludf.DUMMYFUNCTION("""COMPUTED_VALUE"""),"Building 63")</f>
        <v>Building 63</v>
      </c>
      <c r="C9922" s="2" t="str">
        <f ca="1">IFERROR(__xludf.DUMMYFUNCTION("""COMPUTED_VALUE"""),"Building")</f>
        <v>Building</v>
      </c>
      <c r="D9922" s="2" t="str">
        <f ca="1">IFERROR(__xludf.DUMMYFUNCTION("""COMPUTED_VALUE"""),"Dubai&gt;Discovery Gardens&gt;Mediterranean&gt;Building 63")</f>
        <v>Dubai&gt;Discovery Gardens&gt;Mediterranean&gt;Building 63</v>
      </c>
      <c r="E9922" s="2"/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</row>
    <row r="9923" spans="1:26" ht="16.5" x14ac:dyDescent="0.35">
      <c r="A9923" s="2" t="str">
        <f ca="1">IFERROR(__xludf.DUMMYFUNCTION("""COMPUTED_VALUE"""),"Dubai")</f>
        <v>Dubai</v>
      </c>
      <c r="B9923" s="2" t="str">
        <f ca="1">IFERROR(__xludf.DUMMYFUNCTION("""COMPUTED_VALUE"""),"Serene Gardens 2")</f>
        <v>Serene Gardens 2</v>
      </c>
      <c r="C9923" s="2" t="str">
        <f ca="1">IFERROR(__xludf.DUMMYFUNCTION("""COMPUTED_VALUE"""),"Building")</f>
        <v>Building</v>
      </c>
      <c r="D9923" s="2" t="str">
        <f ca="1">IFERROR(__xludf.DUMMYFUNCTION("""COMPUTED_VALUE"""),"Dubai&gt;Discovery Gardens&gt;Serene Gardens 2")</f>
        <v>Dubai&gt;Discovery Gardens&gt;Serene Gardens 2</v>
      </c>
      <c r="E9923" s="2"/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</row>
    <row r="9924" spans="1:26" ht="16.5" x14ac:dyDescent="0.35">
      <c r="A9924" s="2" t="str">
        <f ca="1">IFERROR(__xludf.DUMMYFUNCTION("""COMPUTED_VALUE"""),"Dubai")</f>
        <v>Dubai</v>
      </c>
      <c r="B9924" s="2" t="str">
        <f ca="1">IFERROR(__xludf.DUMMYFUNCTION("""COMPUTED_VALUE"""),"Al Das")</f>
        <v>Al Das</v>
      </c>
      <c r="C9924" s="2" t="str">
        <f ca="1">IFERROR(__xludf.DUMMYFUNCTION("""COMPUTED_VALUE"""),"Building")</f>
        <v>Building</v>
      </c>
      <c r="D9924" s="2" t="str">
        <f ca="1">IFERROR(__xludf.DUMMYFUNCTION("""COMPUTED_VALUE"""),"Dubai&gt;Palm Jumeirah&gt;Shoreline Apartments&gt;Al Das")</f>
        <v>Dubai&gt;Palm Jumeirah&gt;Shoreline Apartments&gt;Al Das</v>
      </c>
      <c r="E9924" s="2"/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</row>
    <row r="9925" spans="1:26" ht="16.5" x14ac:dyDescent="0.35">
      <c r="A9925" s="2" t="str">
        <f ca="1">IFERROR(__xludf.DUMMYFUNCTION("""COMPUTED_VALUE"""),"Dubai")</f>
        <v>Dubai</v>
      </c>
      <c r="B9925" s="2" t="str">
        <f ca="1">IFERROR(__xludf.DUMMYFUNCTION("""COMPUTED_VALUE"""),"Signature Villas Frond E")</f>
        <v>Signature Villas Frond E</v>
      </c>
      <c r="C9925" s="2" t="str">
        <f ca="1">IFERROR(__xludf.DUMMYFUNCTION("""COMPUTED_VALUE"""),"Neighbourhood")</f>
        <v>Neighbourhood</v>
      </c>
      <c r="D9925" s="2" t="str">
        <f ca="1">IFERROR(__xludf.DUMMYFUNCTION("""COMPUTED_VALUE"""),"Dubai&gt;Palm Jumeirah&gt;Signature Villas Palm Jumeirah&gt;Signature Villas Frond E")</f>
        <v>Dubai&gt;Palm Jumeirah&gt;Signature Villas Palm Jumeirah&gt;Signature Villas Frond E</v>
      </c>
      <c r="E9925" s="2"/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  <c r="W9925" s="2"/>
      <c r="X9925" s="2"/>
      <c r="Y9925" s="2"/>
      <c r="Z9925" s="2"/>
    </row>
    <row r="9926" spans="1:26" ht="16.5" x14ac:dyDescent="0.35">
      <c r="A9926" s="2" t="str">
        <f ca="1">IFERROR(__xludf.DUMMYFUNCTION("""COMPUTED_VALUE"""),"Dubai")</f>
        <v>Dubai</v>
      </c>
      <c r="B9926" s="2" t="str">
        <f ca="1">IFERROR(__xludf.DUMMYFUNCTION("""COMPUTED_VALUE"""),"The Palm Tower")</f>
        <v>The Palm Tower</v>
      </c>
      <c r="C9926" s="2" t="str">
        <f ca="1">IFERROR(__xludf.DUMMYFUNCTION("""COMPUTED_VALUE"""),"Building")</f>
        <v>Building</v>
      </c>
      <c r="D9926" s="2" t="str">
        <f ca="1">IFERROR(__xludf.DUMMYFUNCTION("""COMPUTED_VALUE"""),"Dubai&gt;Palm Jumeirah&gt;The Palm Tower")</f>
        <v>Dubai&gt;Palm Jumeirah&gt;The Palm Tower</v>
      </c>
      <c r="E9926" s="2"/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  <c r="W9926" s="2"/>
      <c r="X9926" s="2"/>
      <c r="Y9926" s="2"/>
      <c r="Z9926" s="2"/>
    </row>
    <row r="9927" spans="1:26" ht="16.5" x14ac:dyDescent="0.35">
      <c r="A9927" s="2" t="str">
        <f ca="1">IFERROR(__xludf.DUMMYFUNCTION("""COMPUTED_VALUE"""),"Dubai")</f>
        <v>Dubai</v>
      </c>
      <c r="B9927" s="2" t="str">
        <f ca="1">IFERROR(__xludf.DUMMYFUNCTION("""COMPUTED_VALUE"""),"The Alba Residences by Omniyat")</f>
        <v>The Alba Residences by Omniyat</v>
      </c>
      <c r="C9927" s="2" t="str">
        <f ca="1">IFERROR(__xludf.DUMMYFUNCTION("""COMPUTED_VALUE"""),"Cluster")</f>
        <v>Cluster</v>
      </c>
      <c r="D9927" s="2" t="str">
        <f ca="1">IFERROR(__xludf.DUMMYFUNCTION("""COMPUTED_VALUE"""),"Dubai&gt;Palm Jumeirah&gt;The Crescent&gt;The Alba Residences by Omniyat")</f>
        <v>Dubai&gt;Palm Jumeirah&gt;The Crescent&gt;The Alba Residences by Omniyat</v>
      </c>
      <c r="E9927" s="2"/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  <c r="W9927" s="2"/>
      <c r="X9927" s="2"/>
      <c r="Y9927" s="2"/>
      <c r="Z9927" s="2"/>
    </row>
    <row r="9928" spans="1:26" ht="16.5" x14ac:dyDescent="0.35">
      <c r="A9928" s="2" t="str">
        <f ca="1">IFERROR(__xludf.DUMMYFUNCTION("""COMPUTED_VALUE"""),"Dubai")</f>
        <v>Dubai</v>
      </c>
      <c r="B9928" s="2" t="str">
        <f ca="1">IFERROR(__xludf.DUMMYFUNCTION("""COMPUTED_VALUE"""),"Royal Amwaj Residences - North")</f>
        <v>Royal Amwaj Residences - North</v>
      </c>
      <c r="C9928" s="2" t="str">
        <f ca="1">IFERROR(__xludf.DUMMYFUNCTION("""COMPUTED_VALUE"""),"Building")</f>
        <v>Building</v>
      </c>
      <c r="D9928" s="2" t="str">
        <f ca="1">IFERROR(__xludf.DUMMYFUNCTION("""COMPUTED_VALUE"""),"Dubai&gt;Palm Jumeirah&gt;Royal Amwaj Residences&gt;Royal Amwaj Residences - North")</f>
        <v>Dubai&gt;Palm Jumeirah&gt;Royal Amwaj Residences&gt;Royal Amwaj Residences - North</v>
      </c>
      <c r="E9928" s="2"/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</row>
    <row r="9929" spans="1:26" ht="16.5" x14ac:dyDescent="0.35">
      <c r="A9929" s="2" t="str">
        <f ca="1">IFERROR(__xludf.DUMMYFUNCTION("""COMPUTED_VALUE"""),"Dubai")</f>
        <v>Dubai</v>
      </c>
      <c r="B9929" s="2" t="str">
        <f ca="1">IFERROR(__xludf.DUMMYFUNCTION("""COMPUTED_VALUE"""),"Oceana Pacific")</f>
        <v>Oceana Pacific</v>
      </c>
      <c r="C9929" s="2" t="str">
        <f ca="1">IFERROR(__xludf.DUMMYFUNCTION("""COMPUTED_VALUE"""),"Building")</f>
        <v>Building</v>
      </c>
      <c r="D9929" s="2" t="str">
        <f ca="1">IFERROR(__xludf.DUMMYFUNCTION("""COMPUTED_VALUE"""),"Dubai&gt;Palm Jumeirah&gt;Oceana&gt;Oceana Pacific")</f>
        <v>Dubai&gt;Palm Jumeirah&gt;Oceana&gt;Oceana Pacific</v>
      </c>
      <c r="E9929" s="2"/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</row>
    <row r="9930" spans="1:26" ht="16.5" x14ac:dyDescent="0.35">
      <c r="A9930" s="2" t="str">
        <f ca="1">IFERROR(__xludf.DUMMYFUNCTION("""COMPUTED_VALUE"""),"Dubai")</f>
        <v>Dubai</v>
      </c>
      <c r="B9930" s="2" t="str">
        <f ca="1">IFERROR(__xludf.DUMMYFUNCTION("""COMPUTED_VALUE"""),"Al Rimmal Residence A")</f>
        <v>Al Rimmal Residence A</v>
      </c>
      <c r="C9930" s="2" t="str">
        <f ca="1">IFERROR(__xludf.DUMMYFUNCTION("""COMPUTED_VALUE"""),"Building")</f>
        <v>Building</v>
      </c>
      <c r="D9930" s="2" t="str">
        <f ca="1">IFERROR(__xludf.DUMMYFUNCTION("""COMPUTED_VALUE"""),"Dubai&gt;Al Jaddaf&gt;Al Rimmal Residence&gt;Al Rimmal Residence A")</f>
        <v>Dubai&gt;Al Jaddaf&gt;Al Rimmal Residence&gt;Al Rimmal Residence A</v>
      </c>
      <c r="E9930" s="2"/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</row>
    <row r="9931" spans="1:26" ht="16.5" x14ac:dyDescent="0.35">
      <c r="A9931" s="2" t="str">
        <f ca="1">IFERROR(__xludf.DUMMYFUNCTION("""COMPUTED_VALUE"""),"Dubai")</f>
        <v>Dubai</v>
      </c>
      <c r="B9931" s="2" t="str">
        <f ca="1">IFERROR(__xludf.DUMMYFUNCTION("""COMPUTED_VALUE"""),"The Ritz-Carlton Residence")</f>
        <v>The Ritz-Carlton Residence</v>
      </c>
      <c r="C9931" s="2" t="str">
        <f ca="1">IFERROR(__xludf.DUMMYFUNCTION("""COMPUTED_VALUE"""),"Building")</f>
        <v>Building</v>
      </c>
      <c r="D9931" s="2" t="str">
        <f ca="1">IFERROR(__xludf.DUMMYFUNCTION("""COMPUTED_VALUE"""),"Dubai&gt;Al Jaddaf&gt;Dubai Healthcare City Phase 2&gt;Keturah Resort by MAG&gt;The Ritz-Carlton Residence")</f>
        <v>Dubai&gt;Al Jaddaf&gt;Dubai Healthcare City Phase 2&gt;Keturah Resort by MAG&gt;The Ritz-Carlton Residence</v>
      </c>
      <c r="E9931" s="2"/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</row>
    <row r="9932" spans="1:26" ht="16.5" x14ac:dyDescent="0.35">
      <c r="A9932" s="2" t="str">
        <f ca="1">IFERROR(__xludf.DUMMYFUNCTION("""COMPUTED_VALUE"""),"Dubai")</f>
        <v>Dubai</v>
      </c>
      <c r="B9932" s="2" t="str">
        <f ca="1">IFERROR(__xludf.DUMMYFUNCTION("""COMPUTED_VALUE"""),"Park Apartments")</f>
        <v>Park Apartments</v>
      </c>
      <c r="C9932" s="2" t="str">
        <f ca="1">IFERROR(__xludf.DUMMYFUNCTION("""COMPUTED_VALUE"""),"Building")</f>
        <v>Building</v>
      </c>
      <c r="D9932" s="2" t="str">
        <f ca="1">IFERROR(__xludf.DUMMYFUNCTION("""COMPUTED_VALUE"""),"Dubai&gt;Al Jaddaf&gt;Park Apartments")</f>
        <v>Dubai&gt;Al Jaddaf&gt;Park Apartments</v>
      </c>
      <c r="E9932" s="2"/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</row>
    <row r="9933" spans="1:26" ht="16.5" x14ac:dyDescent="0.35">
      <c r="A9933" s="2" t="str">
        <f ca="1">IFERROR(__xludf.DUMMYFUNCTION("""COMPUTED_VALUE"""),"Dubai")</f>
        <v>Dubai</v>
      </c>
      <c r="B9933" s="2" t="str">
        <f ca="1">IFERROR(__xludf.DUMMYFUNCTION("""COMPUTED_VALUE"""),"Azizi David")</f>
        <v>Azizi David</v>
      </c>
      <c r="C9933" s="2" t="str">
        <f ca="1">IFERROR(__xludf.DUMMYFUNCTION("""COMPUTED_VALUE"""),"Building")</f>
        <v>Building</v>
      </c>
      <c r="D9933" s="2" t="str">
        <f ca="1">IFERROR(__xludf.DUMMYFUNCTION("""COMPUTED_VALUE"""),"Dubai&gt;Al Jaddaf&gt;Azizi David")</f>
        <v>Dubai&gt;Al Jaddaf&gt;Azizi David</v>
      </c>
      <c r="E9933" s="2"/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</row>
    <row r="9934" spans="1:26" ht="16.5" x14ac:dyDescent="0.35">
      <c r="A9934" s="2" t="str">
        <f ca="1">IFERROR(__xludf.DUMMYFUNCTION("""COMPUTED_VALUE"""),"Dubai")</f>
        <v>Dubai</v>
      </c>
      <c r="B9934" s="2" t="str">
        <f ca="1">IFERROR(__xludf.DUMMYFUNCTION("""COMPUTED_VALUE"""),"The Premium Plot Collection")</f>
        <v>The Premium Plot Collection</v>
      </c>
      <c r="C9934" s="2" t="str">
        <f ca="1">IFERROR(__xludf.DUMMYFUNCTION("""COMPUTED_VALUE"""),"Neighbourhood")</f>
        <v>Neighbourhood</v>
      </c>
      <c r="D9934" s="2" t="str">
        <f ca="1">IFERROR(__xludf.DUMMYFUNCTION("""COMPUTED_VALUE"""),"Dubai&gt;Palm Jebel Ali&gt;Frond M&gt;The Premium Plot Collection")</f>
        <v>Dubai&gt;Palm Jebel Ali&gt;Frond M&gt;The Premium Plot Collection</v>
      </c>
      <c r="E9934" s="2"/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</row>
    <row r="9935" spans="1:26" ht="16.5" x14ac:dyDescent="0.35">
      <c r="A9935" s="2" t="str">
        <f ca="1">IFERROR(__xludf.DUMMYFUNCTION("""COMPUTED_VALUE"""),"Dubai")</f>
        <v>Dubai</v>
      </c>
      <c r="B9935" s="2" t="str">
        <f ca="1">IFERROR(__xludf.DUMMYFUNCTION("""COMPUTED_VALUE"""),"Holiday Inn &amp; Suites Dubai Science Park")</f>
        <v>Holiday Inn &amp; Suites Dubai Science Park</v>
      </c>
      <c r="C9935" s="2" t="str">
        <f ca="1">IFERROR(__xludf.DUMMYFUNCTION("""COMPUTED_VALUE"""),"Building")</f>
        <v>Building</v>
      </c>
      <c r="D9935" s="2" t="str">
        <f ca="1">IFERROR(__xludf.DUMMYFUNCTION("""COMPUTED_VALUE"""),"Dubai&gt;Dubai Science Park&gt;Holiday Inn &amp; Suites Dubai Science Park")</f>
        <v>Dubai&gt;Dubai Science Park&gt;Holiday Inn &amp; Suites Dubai Science Park</v>
      </c>
      <c r="E9935" s="2"/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</row>
    <row r="9936" spans="1:26" ht="16.5" x14ac:dyDescent="0.35">
      <c r="A9936" s="2" t="str">
        <f ca="1">IFERROR(__xludf.DUMMYFUNCTION("""COMPUTED_VALUE"""),"Dubai")</f>
        <v>Dubai</v>
      </c>
      <c r="B9936" s="2" t="str">
        <f ca="1">IFERROR(__xludf.DUMMYFUNCTION("""COMPUTED_VALUE"""),"The Springs 11")</f>
        <v>The Springs 11</v>
      </c>
      <c r="C9936" s="2" t="str">
        <f ca="1">IFERROR(__xludf.DUMMYFUNCTION("""COMPUTED_VALUE"""),"Neighbourhood")</f>
        <v>Neighbourhood</v>
      </c>
      <c r="D9936" s="2" t="str">
        <f ca="1">IFERROR(__xludf.DUMMYFUNCTION("""COMPUTED_VALUE"""),"Dubai&gt;The Springs&gt;The Springs 11")</f>
        <v>Dubai&gt;The Springs&gt;The Springs 11</v>
      </c>
      <c r="E9936" s="2"/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</row>
    <row r="9937" spans="1:26" ht="16.5" x14ac:dyDescent="0.35">
      <c r="A9937" s="2" t="str">
        <f ca="1">IFERROR(__xludf.DUMMYFUNCTION("""COMPUTED_VALUE"""),"Dubai")</f>
        <v>Dubai</v>
      </c>
      <c r="B9937" s="2" t="str">
        <f ca="1">IFERROR(__xludf.DUMMYFUNCTION("""COMPUTED_VALUE"""),"Hillside Residences 2 Building F")</f>
        <v>Hillside Residences 2 Building F</v>
      </c>
      <c r="C9937" s="2" t="str">
        <f ca="1">IFERROR(__xludf.DUMMYFUNCTION("""COMPUTED_VALUE"""),"Building")</f>
        <v>Building</v>
      </c>
      <c r="D9937" s="2" t="str">
        <f ca="1">IFERROR(__xludf.DUMMYFUNCTION("""COMPUTED_VALUE"""),"Dubai&gt;Wasl Gate&gt;Hillside Residences&gt;Hillside Residences 2&gt;Hillside Residences 2 Building F")</f>
        <v>Dubai&gt;Wasl Gate&gt;Hillside Residences&gt;Hillside Residences 2&gt;Hillside Residences 2 Building F</v>
      </c>
      <c r="E9937" s="2"/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  <c r="W9937" s="2"/>
      <c r="X9937" s="2"/>
      <c r="Y9937" s="2"/>
      <c r="Z9937" s="2"/>
    </row>
    <row r="9938" spans="1:26" ht="16.5" x14ac:dyDescent="0.35">
      <c r="A9938" s="2" t="str">
        <f ca="1">IFERROR(__xludf.DUMMYFUNCTION("""COMPUTED_VALUE"""),"Dubai")</f>
        <v>Dubai</v>
      </c>
      <c r="B9938" s="2" t="str">
        <f ca="1">IFERROR(__xludf.DUMMYFUNCTION("""COMPUTED_VALUE"""),"Whitby Residences 1")</f>
        <v>Whitby Residences 1</v>
      </c>
      <c r="C9938" s="2" t="str">
        <f ca="1">IFERROR(__xludf.DUMMYFUNCTION("""COMPUTED_VALUE"""),"Building")</f>
        <v>Building</v>
      </c>
      <c r="D9938" s="2" t="str">
        <f ca="1">IFERROR(__xludf.DUMMYFUNCTION("""COMPUTED_VALUE"""),"Dubai&gt;Nad Al Sheba&gt;Nad Al Sheba 1&gt;Nad Al Sheba Gardens&gt;Nad Al Sheba Gardens 1&gt;Whitby Residences 1")</f>
        <v>Dubai&gt;Nad Al Sheba&gt;Nad Al Sheba 1&gt;Nad Al Sheba Gardens&gt;Nad Al Sheba Gardens 1&gt;Whitby Residences 1</v>
      </c>
      <c r="E9938" s="2"/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  <c r="W9938" s="2"/>
      <c r="X9938" s="2"/>
      <c r="Y9938" s="2"/>
      <c r="Z9938" s="2"/>
    </row>
    <row r="9939" spans="1:26" ht="16.5" x14ac:dyDescent="0.35">
      <c r="A9939" s="2" t="str">
        <f ca="1">IFERROR(__xludf.DUMMYFUNCTION("""COMPUTED_VALUE"""),"Dubai")</f>
        <v>Dubai</v>
      </c>
      <c r="B9939" s="2" t="str">
        <f ca="1">IFERROR(__xludf.DUMMYFUNCTION("""COMPUTED_VALUE"""),"Aurora Tower")</f>
        <v>Aurora Tower</v>
      </c>
      <c r="C9939" s="2" t="str">
        <f ca="1">IFERROR(__xludf.DUMMYFUNCTION("""COMPUTED_VALUE"""),"Building")</f>
        <v>Building</v>
      </c>
      <c r="D9939" s="2" t="str">
        <f ca="1">IFERROR(__xludf.DUMMYFUNCTION("""COMPUTED_VALUE"""),"Dubai&gt;Dubai Internet City&gt;Aurora Tower")</f>
        <v>Dubai&gt;Dubai Internet City&gt;Aurora Tower</v>
      </c>
      <c r="E9939" s="2"/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  <c r="W9939" s="2"/>
      <c r="X9939" s="2"/>
      <c r="Y9939" s="2"/>
      <c r="Z9939" s="2"/>
    </row>
    <row r="9940" spans="1:26" ht="16.5" x14ac:dyDescent="0.35">
      <c r="A9940" s="2" t="str">
        <f ca="1">IFERROR(__xludf.DUMMYFUNCTION("""COMPUTED_VALUE"""),"Dubai")</f>
        <v>Dubai</v>
      </c>
      <c r="B9940" s="2" t="str">
        <f ca="1">IFERROR(__xludf.DUMMYFUNCTION("""COMPUTED_VALUE"""),"DIC 2")</f>
        <v>DIC 2</v>
      </c>
      <c r="C9940" s="2" t="str">
        <f ca="1">IFERROR(__xludf.DUMMYFUNCTION("""COMPUTED_VALUE"""),"Building")</f>
        <v>Building</v>
      </c>
      <c r="D9940" s="2" t="str">
        <f ca="1">IFERROR(__xludf.DUMMYFUNCTION("""COMPUTED_VALUE"""),"Dubai&gt;Dubai Internet City&gt;DIC&gt;DIC 2")</f>
        <v>Dubai&gt;Dubai Internet City&gt;DIC&gt;DIC 2</v>
      </c>
      <c r="E9940" s="2"/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  <c r="W9940" s="2"/>
      <c r="X9940" s="2"/>
      <c r="Y9940" s="2"/>
      <c r="Z9940" s="2"/>
    </row>
    <row r="9941" spans="1:26" ht="16.5" x14ac:dyDescent="0.35">
      <c r="A9941" s="2" t="str">
        <f ca="1">IFERROR(__xludf.DUMMYFUNCTION("""COMPUTED_VALUE"""),"Dubai")</f>
        <v>Dubai</v>
      </c>
      <c r="B9941" s="2" t="str">
        <f ca="1">IFERROR(__xludf.DUMMYFUNCTION("""COMPUTED_VALUE"""),"Raya")</f>
        <v>Raya</v>
      </c>
      <c r="C9941" s="2" t="str">
        <f ca="1">IFERROR(__xludf.DUMMYFUNCTION("""COMPUTED_VALUE"""),"Neighbourhood")</f>
        <v>Neighbourhood</v>
      </c>
      <c r="D9941" s="2" t="str">
        <f ca="1">IFERROR(__xludf.DUMMYFUNCTION("""COMPUTED_VALUE"""),"Dubai&gt;Arabian Ranches 3&gt;Raya")</f>
        <v>Dubai&gt;Arabian Ranches 3&gt;Raya</v>
      </c>
      <c r="E9941" s="2"/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  <c r="W9941" s="2"/>
      <c r="X9941" s="2"/>
      <c r="Y9941" s="2"/>
      <c r="Z9941" s="2"/>
    </row>
    <row r="9942" spans="1:26" ht="16.5" x14ac:dyDescent="0.35">
      <c r="A9942" s="2" t="str">
        <f ca="1">IFERROR(__xludf.DUMMYFUNCTION("""COMPUTED_VALUE"""),"Dubai")</f>
        <v>Dubai</v>
      </c>
      <c r="B9942" s="2" t="str">
        <f ca="1">IFERROR(__xludf.DUMMYFUNCTION("""COMPUTED_VALUE"""),"Avonlea Building 1")</f>
        <v>Avonlea Building 1</v>
      </c>
      <c r="C9942" s="2" t="str">
        <f ca="1">IFERROR(__xludf.DUMMYFUNCTION("""COMPUTED_VALUE"""),"Building")</f>
        <v>Building</v>
      </c>
      <c r="D9942" s="2" t="str">
        <f ca="1">IFERROR(__xludf.DUMMYFUNCTION("""COMPUTED_VALUE"""),"Dubai&gt;Mina Rashid&gt;Avonlea&gt;Avonlea Building 1")</f>
        <v>Dubai&gt;Mina Rashid&gt;Avonlea&gt;Avonlea Building 1</v>
      </c>
      <c r="E9942" s="2"/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  <c r="W9942" s="2"/>
      <c r="X9942" s="2"/>
      <c r="Y9942" s="2"/>
      <c r="Z9942" s="2"/>
    </row>
    <row r="9943" spans="1:26" ht="16.5" x14ac:dyDescent="0.35">
      <c r="A9943" s="2" t="str">
        <f ca="1">IFERROR(__xludf.DUMMYFUNCTION("""COMPUTED_VALUE"""),"Dubai")</f>
        <v>Dubai</v>
      </c>
      <c r="B9943" s="2" t="str">
        <f ca="1">IFERROR(__xludf.DUMMYFUNCTION("""COMPUTED_VALUE"""),"Emirates Hills")</f>
        <v>Emirates Hills</v>
      </c>
      <c r="C9943" s="2" t="str">
        <f ca="1">IFERROR(__xludf.DUMMYFUNCTION("""COMPUTED_VALUE"""),"Neighbourhood")</f>
        <v>Neighbourhood</v>
      </c>
      <c r="D9943" s="2" t="str">
        <f ca="1">IFERROR(__xludf.DUMMYFUNCTION("""COMPUTED_VALUE"""),"Dubai&gt;Emirates Hills")</f>
        <v>Dubai&gt;Emirates Hills</v>
      </c>
      <c r="E9943" s="2"/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  <c r="W9943" s="2"/>
      <c r="X9943" s="2"/>
      <c r="Y9943" s="2"/>
      <c r="Z9943" s="2"/>
    </row>
    <row r="9944" spans="1:26" ht="16.5" x14ac:dyDescent="0.35">
      <c r="A9944" s="2" t="str">
        <f ca="1">IFERROR(__xludf.DUMMYFUNCTION("""COMPUTED_VALUE"""),"Dubai")</f>
        <v>Dubai</v>
      </c>
      <c r="B9944" s="2" t="str">
        <f ca="1">IFERROR(__xludf.DUMMYFUNCTION("""COMPUTED_VALUE"""),"Rivera")</f>
        <v>Rivera</v>
      </c>
      <c r="C9944" s="2" t="str">
        <f ca="1">IFERROR(__xludf.DUMMYFUNCTION("""COMPUTED_VALUE"""),"Neighbourhood")</f>
        <v>Neighbourhood</v>
      </c>
      <c r="D9944" s="2" t="str">
        <f ca="1">IFERROR(__xludf.DUMMYFUNCTION("""COMPUTED_VALUE"""),"Dubai&gt;The Valley by Emaar&gt;Rivera")</f>
        <v>Dubai&gt;The Valley by Emaar&gt;Rivera</v>
      </c>
      <c r="E9944" s="2"/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  <c r="W9944" s="2"/>
      <c r="X9944" s="2"/>
      <c r="Y9944" s="2"/>
      <c r="Z9944" s="2"/>
    </row>
    <row r="9945" spans="1:26" ht="16.5" x14ac:dyDescent="0.35">
      <c r="A9945" s="2" t="str">
        <f ca="1">IFERROR(__xludf.DUMMYFUNCTION("""COMPUTED_VALUE"""),"Dubai")</f>
        <v>Dubai</v>
      </c>
      <c r="B9945" s="2" t="str">
        <f ca="1">IFERROR(__xludf.DUMMYFUNCTION("""COMPUTED_VALUE"""),"Saheel 4")</f>
        <v>Saheel 4</v>
      </c>
      <c r="C9945" s="2" t="str">
        <f ca="1">IFERROR(__xludf.DUMMYFUNCTION("""COMPUTED_VALUE"""),"Neighbourhood")</f>
        <v>Neighbourhood</v>
      </c>
      <c r="D9945" s="2" t="str">
        <f ca="1">IFERROR(__xludf.DUMMYFUNCTION("""COMPUTED_VALUE"""),"Dubai&gt;Arabian Ranches&gt;Saheel&gt;Saheel 4")</f>
        <v>Dubai&gt;Arabian Ranches&gt;Saheel&gt;Saheel 4</v>
      </c>
      <c r="E9945" s="2"/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  <c r="W9945" s="2"/>
      <c r="X9945" s="2"/>
      <c r="Y9945" s="2"/>
      <c r="Z9945" s="2"/>
    </row>
    <row r="9946" spans="1:26" ht="16.5" x14ac:dyDescent="0.35">
      <c r="A9946" s="2" t="str">
        <f ca="1">IFERROR(__xludf.DUMMYFUNCTION("""COMPUTED_VALUE"""),"Dubai")</f>
        <v>Dubai</v>
      </c>
      <c r="B9946" s="2" t="str">
        <f ca="1">IFERROR(__xludf.DUMMYFUNCTION("""COMPUTED_VALUE"""),"The Gardens Building 94")</f>
        <v>The Gardens Building 94</v>
      </c>
      <c r="C9946" s="2" t="str">
        <f ca="1">IFERROR(__xludf.DUMMYFUNCTION("""COMPUTED_VALUE"""),"Building")</f>
        <v>Building</v>
      </c>
      <c r="D9946" s="2" t="str">
        <f ca="1">IFERROR(__xludf.DUMMYFUNCTION("""COMPUTED_VALUE"""),"Dubai&gt;The Gardens&gt;The Gardens Building 94")</f>
        <v>Dubai&gt;The Gardens&gt;The Gardens Building 94</v>
      </c>
      <c r="E9946" s="2"/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  <c r="W9946" s="2"/>
      <c r="X9946" s="2"/>
      <c r="Y9946" s="2"/>
      <c r="Z9946" s="2"/>
    </row>
    <row r="9947" spans="1:26" ht="16.5" x14ac:dyDescent="0.35">
      <c r="A9947" s="2" t="str">
        <f ca="1">IFERROR(__xludf.DUMMYFUNCTION("""COMPUTED_VALUE"""),"Dubai")</f>
        <v>Dubai</v>
      </c>
      <c r="B9947" s="2" t="str">
        <f ca="1">IFERROR(__xludf.DUMMYFUNCTION("""COMPUTED_VALUE"""),"The Gardens Building 84")</f>
        <v>The Gardens Building 84</v>
      </c>
      <c r="C9947" s="2" t="str">
        <f ca="1">IFERROR(__xludf.DUMMYFUNCTION("""COMPUTED_VALUE"""),"Building")</f>
        <v>Building</v>
      </c>
      <c r="D9947" s="2" t="str">
        <f ca="1">IFERROR(__xludf.DUMMYFUNCTION("""COMPUTED_VALUE"""),"Dubai&gt;The Gardens&gt;The Gardens Building 84")</f>
        <v>Dubai&gt;The Gardens&gt;The Gardens Building 84</v>
      </c>
      <c r="E9947" s="2"/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  <c r="W9947" s="2"/>
      <c r="X9947" s="2"/>
      <c r="Y9947" s="2"/>
      <c r="Z9947" s="2"/>
    </row>
    <row r="9948" spans="1:26" ht="16.5" x14ac:dyDescent="0.35">
      <c r="A9948" s="2" t="str">
        <f ca="1">IFERROR(__xludf.DUMMYFUNCTION("""COMPUTED_VALUE"""),"Dubai")</f>
        <v>Dubai</v>
      </c>
      <c r="B9948" s="2" t="str">
        <f ca="1">IFERROR(__xludf.DUMMYFUNCTION("""COMPUTED_VALUE"""),"The Gardens Building 114")</f>
        <v>The Gardens Building 114</v>
      </c>
      <c r="C9948" s="2" t="str">
        <f ca="1">IFERROR(__xludf.DUMMYFUNCTION("""COMPUTED_VALUE"""),"Building")</f>
        <v>Building</v>
      </c>
      <c r="D9948" s="2" t="str">
        <f ca="1">IFERROR(__xludf.DUMMYFUNCTION("""COMPUTED_VALUE"""),"Dubai&gt;The Gardens&gt;The Gardens Building 114")</f>
        <v>Dubai&gt;The Gardens&gt;The Gardens Building 114</v>
      </c>
      <c r="E9948" s="2"/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</row>
    <row r="9949" spans="1:26" ht="16.5" x14ac:dyDescent="0.35">
      <c r="A9949" s="2" t="str">
        <f ca="1">IFERROR(__xludf.DUMMYFUNCTION("""COMPUTED_VALUE"""),"Dubai")</f>
        <v>Dubai</v>
      </c>
      <c r="B9949" s="2" t="str">
        <f ca="1">IFERROR(__xludf.DUMMYFUNCTION("""COMPUTED_VALUE"""),"The Gardens Building 30")</f>
        <v>The Gardens Building 30</v>
      </c>
      <c r="C9949" s="2" t="str">
        <f ca="1">IFERROR(__xludf.DUMMYFUNCTION("""COMPUTED_VALUE"""),"Building")</f>
        <v>Building</v>
      </c>
      <c r="D9949" s="2" t="str">
        <f ca="1">IFERROR(__xludf.DUMMYFUNCTION("""COMPUTED_VALUE"""),"Dubai&gt;The Gardens&gt;The Gardens Building 30")</f>
        <v>Dubai&gt;The Gardens&gt;The Gardens Building 30</v>
      </c>
      <c r="E9949" s="2"/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</row>
    <row r="9950" spans="1:26" ht="16.5" x14ac:dyDescent="0.35">
      <c r="A9950" s="2" t="str">
        <f ca="1">IFERROR(__xludf.DUMMYFUNCTION("""COMPUTED_VALUE"""),"Dubai")</f>
        <v>Dubai</v>
      </c>
      <c r="B9950" s="2" t="str">
        <f ca="1">IFERROR(__xludf.DUMMYFUNCTION("""COMPUTED_VALUE"""),"Al Ittihad Private School - Al Mamzar")</f>
        <v>Al Ittihad Private School - Al Mamzar</v>
      </c>
      <c r="C9950" s="2" t="str">
        <f ca="1">IFERROR(__xludf.DUMMYFUNCTION("""COMPUTED_VALUE"""),"School")</f>
        <v>School</v>
      </c>
      <c r="D9950" s="2" t="str">
        <f ca="1">IFERROR(__xludf.DUMMYFUNCTION("""COMPUTED_VALUE"""),"Dubai&gt;Al Mamzar&gt;Al Ittihad Private School - Al Mamzar")</f>
        <v>Dubai&gt;Al Mamzar&gt;Al Ittihad Private School - Al Mamzar</v>
      </c>
      <c r="E9950" s="2"/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</row>
    <row r="9951" spans="1:26" ht="16.5" x14ac:dyDescent="0.35">
      <c r="A9951" s="2" t="str">
        <f ca="1">IFERROR(__xludf.DUMMYFUNCTION("""COMPUTED_VALUE"""),"Dubai")</f>
        <v>Dubai</v>
      </c>
      <c r="B9951" s="2" t="str">
        <f ca="1">IFERROR(__xludf.DUMMYFUNCTION("""COMPUTED_VALUE"""),"Lycée Libanais Francophone Privé")</f>
        <v>Lycée Libanais Francophone Privé</v>
      </c>
      <c r="C9951" s="2" t="str">
        <f ca="1">IFERROR(__xludf.DUMMYFUNCTION("""COMPUTED_VALUE"""),"School")</f>
        <v>School</v>
      </c>
      <c r="D9951" s="2" t="str">
        <f ca="1">IFERROR(__xludf.DUMMYFUNCTION("""COMPUTED_VALUE"""),"Dubai&gt;Muhaisnah&gt;Muhaisnah 4&gt;Lycée Libanais Francophone Privé")</f>
        <v>Dubai&gt;Muhaisnah&gt;Muhaisnah 4&gt;Lycée Libanais Francophone Privé</v>
      </c>
      <c r="E9951" s="2"/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</row>
    <row r="9952" spans="1:26" ht="16.5" x14ac:dyDescent="0.35">
      <c r="A9952" s="2" t="str">
        <f ca="1">IFERROR(__xludf.DUMMYFUNCTION("""COMPUTED_VALUE"""),"Dubai")</f>
        <v>Dubai</v>
      </c>
      <c r="B9952" s="2" t="str">
        <f ca="1">IFERROR(__xludf.DUMMYFUNCTION("""COMPUTED_VALUE"""),"Wasl Building R446 Block B")</f>
        <v>Wasl Building R446 Block B</v>
      </c>
      <c r="C9952" s="2" t="str">
        <f ca="1">IFERROR(__xludf.DUMMYFUNCTION("""COMPUTED_VALUE"""),"Building")</f>
        <v>Building</v>
      </c>
      <c r="D9952" s="2" t="str">
        <f ca="1">IFERROR(__xludf.DUMMYFUNCTION("""COMPUTED_VALUE"""),"Dubai&gt;Muhaisnah&gt;Muhaisnah 4&gt;Wasl Building R446&gt;Wasl Building R446 Block B")</f>
        <v>Dubai&gt;Muhaisnah&gt;Muhaisnah 4&gt;Wasl Building R446&gt;Wasl Building R446 Block B</v>
      </c>
      <c r="E9952" s="2"/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</row>
    <row r="9953" spans="1:26" ht="16.5" x14ac:dyDescent="0.35">
      <c r="A9953" s="2" t="str">
        <f ca="1">IFERROR(__xludf.DUMMYFUNCTION("""COMPUTED_VALUE"""),"Dubai")</f>
        <v>Dubai</v>
      </c>
      <c r="B9953" s="2" t="str">
        <f ca="1">IFERROR(__xludf.DUMMYFUNCTION("""COMPUTED_VALUE"""),"Dubai Commer City")</f>
        <v>Dubai Commer City</v>
      </c>
      <c r="C9953" s="2" t="str">
        <f ca="1">IFERROR(__xludf.DUMMYFUNCTION("""COMPUTED_VALUE"""),"Neighbourhood")</f>
        <v>Neighbourhood</v>
      </c>
      <c r="D9953" s="2" t="str">
        <f ca="1">IFERROR(__xludf.DUMMYFUNCTION("""COMPUTED_VALUE"""),"Dubai&gt;Umm Ramool&gt;Dubai Commer City")</f>
        <v>Dubai&gt;Umm Ramool&gt;Dubai Commer City</v>
      </c>
      <c r="E9953" s="2"/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</row>
    <row r="9954" spans="1:26" ht="16.5" x14ac:dyDescent="0.35">
      <c r="A9954" s="2" t="str">
        <f ca="1">IFERROR(__xludf.DUMMYFUNCTION("""COMPUTED_VALUE"""),"Dubai")</f>
        <v>Dubai</v>
      </c>
      <c r="B9954" s="2" t="str">
        <f ca="1">IFERROR(__xludf.DUMMYFUNCTION("""COMPUTED_VALUE"""),"Jumeira Tower")</f>
        <v>Jumeira Tower</v>
      </c>
      <c r="C9954" s="2" t="str">
        <f ca="1">IFERROR(__xludf.DUMMYFUNCTION("""COMPUTED_VALUE"""),"Building")</f>
        <v>Building</v>
      </c>
      <c r="D9954" s="2" t="str">
        <f ca="1">IFERROR(__xludf.DUMMYFUNCTION("""COMPUTED_VALUE"""),"Dubai&gt;Sheikh Zayed Road&gt;Jumeira Tower")</f>
        <v>Dubai&gt;Sheikh Zayed Road&gt;Jumeira Tower</v>
      </c>
      <c r="E9954" s="2"/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</row>
    <row r="9955" spans="1:26" ht="16.5" x14ac:dyDescent="0.35">
      <c r="A9955" s="2" t="str">
        <f ca="1">IFERROR(__xludf.DUMMYFUNCTION("""COMPUTED_VALUE"""),"Dubai")</f>
        <v>Dubai</v>
      </c>
      <c r="B9955" s="2" t="str">
        <f ca="1">IFERROR(__xludf.DUMMYFUNCTION("""COMPUTED_VALUE"""),"Latifa Tower")</f>
        <v>Latifa Tower</v>
      </c>
      <c r="C9955" s="2" t="str">
        <f ca="1">IFERROR(__xludf.DUMMYFUNCTION("""COMPUTED_VALUE"""),"Building")</f>
        <v>Building</v>
      </c>
      <c r="D9955" s="2" t="str">
        <f ca="1">IFERROR(__xludf.DUMMYFUNCTION("""COMPUTED_VALUE"""),"Dubai&gt;Sheikh Zayed Road&gt;Latifa Tower")</f>
        <v>Dubai&gt;Sheikh Zayed Road&gt;Latifa Tower</v>
      </c>
      <c r="E9955" s="2"/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</row>
    <row r="9956" spans="1:26" ht="16.5" x14ac:dyDescent="0.35">
      <c r="A9956" s="2" t="str">
        <f ca="1">IFERROR(__xludf.DUMMYFUNCTION("""COMPUTED_VALUE"""),"Dubai")</f>
        <v>Dubai</v>
      </c>
      <c r="B9956" s="2" t="str">
        <f ca="1">IFERROR(__xludf.DUMMYFUNCTION("""COMPUTED_VALUE"""),"Maze Tower")</f>
        <v>Maze Tower</v>
      </c>
      <c r="C9956" s="2" t="str">
        <f ca="1">IFERROR(__xludf.DUMMYFUNCTION("""COMPUTED_VALUE"""),"Building")</f>
        <v>Building</v>
      </c>
      <c r="D9956" s="2" t="str">
        <f ca="1">IFERROR(__xludf.DUMMYFUNCTION("""COMPUTED_VALUE"""),"Dubai&gt;Sheikh Zayed Road&gt;Maze Tower")</f>
        <v>Dubai&gt;Sheikh Zayed Road&gt;Maze Tower</v>
      </c>
      <c r="E9956" s="2"/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</row>
    <row r="9957" spans="1:26" ht="16.5" x14ac:dyDescent="0.35">
      <c r="A9957" s="2" t="str">
        <f ca="1">IFERROR(__xludf.DUMMYFUNCTION("""COMPUTED_VALUE"""),"Dubai")</f>
        <v>Dubai</v>
      </c>
      <c r="B9957" s="2" t="str">
        <f ca="1">IFERROR(__xludf.DUMMYFUNCTION("""COMPUTED_VALUE"""),"Burj Azizi")</f>
        <v>Burj Azizi</v>
      </c>
      <c r="C9957" s="2" t="str">
        <f ca="1">IFERROR(__xludf.DUMMYFUNCTION("""COMPUTED_VALUE"""),"Building")</f>
        <v>Building</v>
      </c>
      <c r="D9957" s="2" t="str">
        <f ca="1">IFERROR(__xludf.DUMMYFUNCTION("""COMPUTED_VALUE"""),"Dubai&gt;Sheikh Zayed Road&gt;Burj Azizi")</f>
        <v>Dubai&gt;Sheikh Zayed Road&gt;Burj Azizi</v>
      </c>
      <c r="E9957" s="2"/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</row>
    <row r="9958" spans="1:26" ht="16.5" x14ac:dyDescent="0.35">
      <c r="A9958" s="2" t="str">
        <f ca="1">IFERROR(__xludf.DUMMYFUNCTION("""COMPUTED_VALUE"""),"Dubai")</f>
        <v>Dubai</v>
      </c>
      <c r="B9958" s="2" t="str">
        <f ca="1">IFERROR(__xludf.DUMMYFUNCTION("""COMPUTED_VALUE"""),"Karam Pioneer Buildings")</f>
        <v>Karam Pioneer Buildings</v>
      </c>
      <c r="C9958" s="2" t="str">
        <f ca="1">IFERROR(__xludf.DUMMYFUNCTION("""COMPUTED_VALUE"""),"Cluster")</f>
        <v>Cluster</v>
      </c>
      <c r="D9958" s="2" t="str">
        <f ca="1">IFERROR(__xludf.DUMMYFUNCTION("""COMPUTED_VALUE"""),"Dubai&gt;Al Karama&gt;Karam Pioneer Buildings")</f>
        <v>Dubai&gt;Al Karama&gt;Karam Pioneer Buildings</v>
      </c>
      <c r="E9958" s="2"/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</row>
    <row r="9959" spans="1:26" ht="16.5" x14ac:dyDescent="0.35">
      <c r="A9959" s="2" t="str">
        <f ca="1">IFERROR(__xludf.DUMMYFUNCTION("""COMPUTED_VALUE"""),"Dubai")</f>
        <v>Dubai</v>
      </c>
      <c r="B9959" s="2" t="str">
        <f ca="1">IFERROR(__xludf.DUMMYFUNCTION("""COMPUTED_VALUE"""),"Building 32")</f>
        <v>Building 32</v>
      </c>
      <c r="C9959" s="2" t="str">
        <f ca="1">IFERROR(__xludf.DUMMYFUNCTION("""COMPUTED_VALUE"""),"Building")</f>
        <v>Building</v>
      </c>
      <c r="D9959" s="2" t="str">
        <f ca="1">IFERROR(__xludf.DUMMYFUNCTION("""COMPUTED_VALUE"""),"Dubai&gt;Al Karama&gt;Karam Pioneer Buildings&gt;Building 32")</f>
        <v>Dubai&gt;Al Karama&gt;Karam Pioneer Buildings&gt;Building 32</v>
      </c>
      <c r="E9959" s="2"/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</row>
    <row r="9960" spans="1:26" ht="16.5" x14ac:dyDescent="0.35">
      <c r="A9960" s="2" t="str">
        <f ca="1">IFERROR(__xludf.DUMMYFUNCTION("""COMPUTED_VALUE"""),"Dubai")</f>
        <v>Dubai</v>
      </c>
      <c r="B9960" s="2" t="str">
        <f ca="1">IFERROR(__xludf.DUMMYFUNCTION("""COMPUTED_VALUE"""),"Sheikh Hamdan Colony")</f>
        <v>Sheikh Hamdan Colony</v>
      </c>
      <c r="C9960" s="2" t="str">
        <f ca="1">IFERROR(__xludf.DUMMYFUNCTION("""COMPUTED_VALUE"""),"Cluster")</f>
        <v>Cluster</v>
      </c>
      <c r="D9960" s="2" t="str">
        <f ca="1">IFERROR(__xludf.DUMMYFUNCTION("""COMPUTED_VALUE"""),"Dubai&gt;Al Karama&gt;Sheikh Hamdan Colony")</f>
        <v>Dubai&gt;Al Karama&gt;Sheikh Hamdan Colony</v>
      </c>
      <c r="E9960" s="2"/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</row>
    <row r="9961" spans="1:26" ht="16.5" x14ac:dyDescent="0.35">
      <c r="A9961" s="2" t="str">
        <f ca="1">IFERROR(__xludf.DUMMYFUNCTION("""COMPUTED_VALUE"""),"Dubai")</f>
        <v>Dubai</v>
      </c>
      <c r="B9961" s="2" t="str">
        <f ca="1">IFERROR(__xludf.DUMMYFUNCTION("""COMPUTED_VALUE"""),"Al Arti Building")</f>
        <v>Al Arti Building</v>
      </c>
      <c r="C9961" s="2" t="str">
        <f ca="1">IFERROR(__xludf.DUMMYFUNCTION("""COMPUTED_VALUE"""),"Building")</f>
        <v>Building</v>
      </c>
      <c r="D9961" s="2" t="str">
        <f ca="1">IFERROR(__xludf.DUMMYFUNCTION("""COMPUTED_VALUE"""),"Dubai&gt;Al Karama&gt;Al Arti Building")</f>
        <v>Dubai&gt;Al Karama&gt;Al Arti Building</v>
      </c>
      <c r="E9961" s="2"/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  <c r="W9961" s="2"/>
      <c r="X9961" s="2"/>
      <c r="Y9961" s="2"/>
      <c r="Z9961" s="2"/>
    </row>
    <row r="9962" spans="1:26" ht="16.5" x14ac:dyDescent="0.35">
      <c r="A9962" s="2" t="str">
        <f ca="1">IFERROR(__xludf.DUMMYFUNCTION("""COMPUTED_VALUE"""),"Dubai")</f>
        <v>Dubai</v>
      </c>
      <c r="B9962" s="2" t="str">
        <f ca="1">IFERROR(__xludf.DUMMYFUNCTION("""COMPUTED_VALUE"""),"Al Mabrooka B")</f>
        <v>Al Mabrooka B</v>
      </c>
      <c r="C9962" s="2" t="str">
        <f ca="1">IFERROR(__xludf.DUMMYFUNCTION("""COMPUTED_VALUE"""),"Building")</f>
        <v>Building</v>
      </c>
      <c r="D9962" s="2" t="str">
        <f ca="1">IFERROR(__xludf.DUMMYFUNCTION("""COMPUTED_VALUE"""),"Dubai&gt;Al Karama&gt;Al Mabrooka 1&gt;Al Mabrooka B")</f>
        <v>Dubai&gt;Al Karama&gt;Al Mabrooka 1&gt;Al Mabrooka B</v>
      </c>
      <c r="E9962" s="2"/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  <c r="W9962" s="2"/>
      <c r="X9962" s="2"/>
      <c r="Y9962" s="2"/>
      <c r="Z9962" s="2"/>
    </row>
    <row r="9963" spans="1:26" ht="16.5" x14ac:dyDescent="0.35">
      <c r="A9963" s="2" t="str">
        <f ca="1">IFERROR(__xludf.DUMMYFUNCTION("""COMPUTED_VALUE"""),"Dubai")</f>
        <v>Dubai</v>
      </c>
      <c r="B9963" s="2" t="str">
        <f ca="1">IFERROR(__xludf.DUMMYFUNCTION("""COMPUTED_VALUE"""),"Al Muhairi Building 2")</f>
        <v>Al Muhairi Building 2</v>
      </c>
      <c r="C9963" s="2" t="str">
        <f ca="1">IFERROR(__xludf.DUMMYFUNCTION("""COMPUTED_VALUE"""),"Building")</f>
        <v>Building</v>
      </c>
      <c r="D9963" s="2" t="str">
        <f ca="1">IFERROR(__xludf.DUMMYFUNCTION("""COMPUTED_VALUE"""),"Dubai&gt;Al Karama&gt;Al Muhairi Building 2")</f>
        <v>Dubai&gt;Al Karama&gt;Al Muhairi Building 2</v>
      </c>
      <c r="E9963" s="2"/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  <c r="W9963" s="2"/>
      <c r="X9963" s="2"/>
      <c r="Y9963" s="2"/>
      <c r="Z9963" s="2"/>
    </row>
    <row r="9964" spans="1:26" ht="16.5" x14ac:dyDescent="0.35">
      <c r="A9964" s="2" t="str">
        <f ca="1">IFERROR(__xludf.DUMMYFUNCTION("""COMPUTED_VALUE"""),"Dubai")</f>
        <v>Dubai</v>
      </c>
      <c r="B9964" s="2" t="str">
        <f ca="1">IFERROR(__xludf.DUMMYFUNCTION("""COMPUTED_VALUE"""),"New Al Amri Building")</f>
        <v>New Al Amri Building</v>
      </c>
      <c r="C9964" s="2" t="str">
        <f ca="1">IFERROR(__xludf.DUMMYFUNCTION("""COMPUTED_VALUE"""),"Building")</f>
        <v>Building</v>
      </c>
      <c r="D9964" s="2" t="str">
        <f ca="1">IFERROR(__xludf.DUMMYFUNCTION("""COMPUTED_VALUE"""),"Dubai&gt;Al Karama&gt;New Al Amri Building")</f>
        <v>Dubai&gt;Al Karama&gt;New Al Amri Building</v>
      </c>
      <c r="E9964" s="2"/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</row>
    <row r="9965" spans="1:26" ht="16.5" x14ac:dyDescent="0.35">
      <c r="A9965" s="2" t="str">
        <f ca="1">IFERROR(__xludf.DUMMYFUNCTION("""COMPUTED_VALUE"""),"Dubai")</f>
        <v>Dubai</v>
      </c>
      <c r="B9965" s="2" t="str">
        <f ca="1">IFERROR(__xludf.DUMMYFUNCTION("""COMPUTED_VALUE"""),"Al Fahad Block B")</f>
        <v>Al Fahad Block B</v>
      </c>
      <c r="C9965" s="2" t="str">
        <f ca="1">IFERROR(__xludf.DUMMYFUNCTION("""COMPUTED_VALUE"""),"Building")</f>
        <v>Building</v>
      </c>
      <c r="D9965" s="2" t="str">
        <f ca="1">IFERROR(__xludf.DUMMYFUNCTION("""COMPUTED_VALUE"""),"Dubai&gt;Al Karama&gt;Al Fahad Blocks&gt;Al Fahad Block B")</f>
        <v>Dubai&gt;Al Karama&gt;Al Fahad Blocks&gt;Al Fahad Block B</v>
      </c>
      <c r="E9965" s="2"/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</row>
    <row r="9966" spans="1:26" ht="16.5" x14ac:dyDescent="0.35">
      <c r="A9966" s="2" t="str">
        <f ca="1">IFERROR(__xludf.DUMMYFUNCTION("""COMPUTED_VALUE"""),"Dubai")</f>
        <v>Dubai</v>
      </c>
      <c r="B9966" s="2" t="str">
        <f ca="1">IFERROR(__xludf.DUMMYFUNCTION("""COMPUTED_VALUE"""),"A-14")</f>
        <v>A-14</v>
      </c>
      <c r="C9966" s="2" t="str">
        <f ca="1">IFERROR(__xludf.DUMMYFUNCTION("""COMPUTED_VALUE"""),"Building")</f>
        <v>Building</v>
      </c>
      <c r="D9966" s="2" t="str">
        <f ca="1">IFERROR(__xludf.DUMMYFUNCTION("""COMPUTED_VALUE"""),"Dubai&gt;Al Karama&gt;A-14")</f>
        <v>Dubai&gt;Al Karama&gt;A-14</v>
      </c>
      <c r="E9966" s="2"/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</row>
    <row r="9967" spans="1:26" ht="16.5" x14ac:dyDescent="0.35">
      <c r="A9967" s="2" t="str">
        <f ca="1">IFERROR(__xludf.DUMMYFUNCTION("""COMPUTED_VALUE"""),"Dubai")</f>
        <v>Dubai</v>
      </c>
      <c r="B9967" s="2" t="str">
        <f ca="1">IFERROR(__xludf.DUMMYFUNCTION("""COMPUTED_VALUE"""),"Karama 1 Building")</f>
        <v>Karama 1 Building</v>
      </c>
      <c r="C9967" s="2" t="str">
        <f ca="1">IFERROR(__xludf.DUMMYFUNCTION("""COMPUTED_VALUE"""),"Building")</f>
        <v>Building</v>
      </c>
      <c r="D9967" s="2" t="str">
        <f ca="1">IFERROR(__xludf.DUMMYFUNCTION("""COMPUTED_VALUE"""),"Dubai&gt;Al Karama&gt;Karama 1 Building")</f>
        <v>Dubai&gt;Al Karama&gt;Karama 1 Building</v>
      </c>
      <c r="E9967" s="2"/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</row>
    <row r="9968" spans="1:26" ht="16.5" x14ac:dyDescent="0.35">
      <c r="A9968" s="2" t="str">
        <f ca="1">IFERROR(__xludf.DUMMYFUNCTION("""COMPUTED_VALUE"""),"Dubai")</f>
        <v>Dubai</v>
      </c>
      <c r="B9968" s="2" t="str">
        <f ca="1">IFERROR(__xludf.DUMMYFUNCTION("""COMPUTED_VALUE"""),"Al Wasl Building R444")</f>
        <v>Al Wasl Building R444</v>
      </c>
      <c r="C9968" s="2" t="str">
        <f ca="1">IFERROR(__xludf.DUMMYFUNCTION("""COMPUTED_VALUE"""),"Building")</f>
        <v>Building</v>
      </c>
      <c r="D9968" s="2" t="str">
        <f ca="1">IFERROR(__xludf.DUMMYFUNCTION("""COMPUTED_VALUE"""),"Dubai&gt;Al Karama&gt;Al Wasl Building R444")</f>
        <v>Dubai&gt;Al Karama&gt;Al Wasl Building R444</v>
      </c>
      <c r="E9968" s="2"/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</row>
    <row r="9969" spans="1:26" ht="16.5" x14ac:dyDescent="0.35">
      <c r="A9969" s="2" t="str">
        <f ca="1">IFERROR(__xludf.DUMMYFUNCTION("""COMPUTED_VALUE"""),"Dubai")</f>
        <v>Dubai</v>
      </c>
      <c r="B9969" s="2" t="str">
        <f ca="1">IFERROR(__xludf.DUMMYFUNCTION("""COMPUTED_VALUE"""),"Tower 1")</f>
        <v>Tower 1</v>
      </c>
      <c r="C9969" s="2" t="str">
        <f ca="1">IFERROR(__xludf.DUMMYFUNCTION("""COMPUTED_VALUE"""),"Building")</f>
        <v>Building</v>
      </c>
      <c r="D9969" s="2" t="str">
        <f ca="1">IFERROR(__xludf.DUMMYFUNCTION("""COMPUTED_VALUE"""),"Dubai&gt;Culture Village (Jaddaf Waterfront)&gt;Dubai Wharf&gt;Tower 1")</f>
        <v>Dubai&gt;Culture Village (Jaddaf Waterfront)&gt;Dubai Wharf&gt;Tower 1</v>
      </c>
      <c r="E9969" s="2"/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</row>
    <row r="9970" spans="1:26" ht="16.5" x14ac:dyDescent="0.35">
      <c r="A9970" s="2" t="str">
        <f ca="1">IFERROR(__xludf.DUMMYFUNCTION("""COMPUTED_VALUE"""),"Dubai")</f>
        <v>Dubai</v>
      </c>
      <c r="B9970" s="2" t="str">
        <f ca="1">IFERROR(__xludf.DUMMYFUNCTION("""COMPUTED_VALUE"""),"Manazel Al Khor")</f>
        <v>Manazel Al Khor</v>
      </c>
      <c r="C9970" s="2" t="str">
        <f ca="1">IFERROR(__xludf.DUMMYFUNCTION("""COMPUTED_VALUE"""),"Building")</f>
        <v>Building</v>
      </c>
      <c r="D9970" s="2" t="str">
        <f ca="1">IFERROR(__xludf.DUMMYFUNCTION("""COMPUTED_VALUE"""),"Dubai&gt;Culture Village (Jaddaf Waterfront)&gt;Manazel Al Khor")</f>
        <v>Dubai&gt;Culture Village (Jaddaf Waterfront)&gt;Manazel Al Khor</v>
      </c>
      <c r="E9970" s="2"/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  <c r="W9970" s="2"/>
      <c r="X9970" s="2"/>
      <c r="Y9970" s="2"/>
      <c r="Z9970" s="2"/>
    </row>
    <row r="9971" spans="1:26" ht="16.5" x14ac:dyDescent="0.35">
      <c r="A9971" s="2" t="str">
        <f ca="1">IFERROR(__xludf.DUMMYFUNCTION("""COMPUTED_VALUE"""),"Dubai")</f>
        <v>Dubai</v>
      </c>
      <c r="B9971" s="2" t="str">
        <f ca="1">IFERROR(__xludf.DUMMYFUNCTION("""COMPUTED_VALUE"""),"Asayel Building 1")</f>
        <v>Asayel Building 1</v>
      </c>
      <c r="C9971" s="2" t="str">
        <f ca="1">IFERROR(__xludf.DUMMYFUNCTION("""COMPUTED_VALUE"""),"Building")</f>
        <v>Building</v>
      </c>
      <c r="D9971" s="2" t="str">
        <f ca="1">IFERROR(__xludf.DUMMYFUNCTION("""COMPUTED_VALUE"""),"Dubai&gt;Umm Suqeim&gt;Madinat Jumeirah Living&gt;Asayel&gt;Asayel Building 1")</f>
        <v>Dubai&gt;Umm Suqeim&gt;Madinat Jumeirah Living&gt;Asayel&gt;Asayel Building 1</v>
      </c>
      <c r="E9971" s="2"/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  <c r="W9971" s="2"/>
      <c r="X9971" s="2"/>
      <c r="Y9971" s="2"/>
      <c r="Z9971" s="2"/>
    </row>
    <row r="9972" spans="1:26" ht="16.5" x14ac:dyDescent="0.35">
      <c r="A9972" s="2" t="str">
        <f ca="1">IFERROR(__xludf.DUMMYFUNCTION("""COMPUTED_VALUE"""),"Dubai")</f>
        <v>Dubai</v>
      </c>
      <c r="B9972" s="2" t="str">
        <f ca="1">IFERROR(__xludf.DUMMYFUNCTION("""COMPUTED_VALUE"""),"Riwa 2")</f>
        <v>Riwa 2</v>
      </c>
      <c r="C9972" s="2" t="str">
        <f ca="1">IFERROR(__xludf.DUMMYFUNCTION("""COMPUTED_VALUE"""),"Building")</f>
        <v>Building</v>
      </c>
      <c r="D9972" s="2" t="str">
        <f ca="1">IFERROR(__xludf.DUMMYFUNCTION("""COMPUTED_VALUE"""),"Dubai&gt;Umm Suqeim&gt;Madinat Jumeirah Living&gt;Riwa&gt;Riwa 2")</f>
        <v>Dubai&gt;Umm Suqeim&gt;Madinat Jumeirah Living&gt;Riwa&gt;Riwa 2</v>
      </c>
      <c r="E9972" s="2"/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  <c r="W9972" s="2"/>
      <c r="X9972" s="2"/>
      <c r="Y9972" s="2"/>
      <c r="Z9972" s="2"/>
    </row>
    <row r="9973" spans="1:26" ht="16.5" x14ac:dyDescent="0.35">
      <c r="A9973" s="2" t="str">
        <f ca="1">IFERROR(__xludf.DUMMYFUNCTION("""COMPUTED_VALUE"""),"Dubai")</f>
        <v>Dubai</v>
      </c>
      <c r="B9973" s="2" t="str">
        <f ca="1">IFERROR(__xludf.DUMMYFUNCTION("""COMPUTED_VALUE"""),"MAG 230")</f>
        <v>MAG 230</v>
      </c>
      <c r="C9973" s="2" t="str">
        <f ca="1">IFERROR(__xludf.DUMMYFUNCTION("""COMPUTED_VALUE"""),"Building")</f>
        <v>Building</v>
      </c>
      <c r="D9973" s="2" t="str">
        <f ca="1">IFERROR(__xludf.DUMMYFUNCTION("""COMPUTED_VALUE"""),"Dubai&gt;City of Arabia&gt;MAG 230")</f>
        <v>Dubai&gt;City of Arabia&gt;MAG 230</v>
      </c>
      <c r="E9973" s="2"/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  <c r="W9973" s="2"/>
      <c r="X9973" s="2"/>
      <c r="Y9973" s="2"/>
      <c r="Z9973" s="2"/>
    </row>
    <row r="9974" spans="1:26" ht="16.5" x14ac:dyDescent="0.35">
      <c r="A9974" s="2" t="str">
        <f ca="1">IFERROR(__xludf.DUMMYFUNCTION("""COMPUTED_VALUE"""),"Dubai")</f>
        <v>Dubai</v>
      </c>
      <c r="B9974" s="2" t="str">
        <f ca="1">IFERROR(__xludf.DUMMYFUNCTION("""COMPUTED_VALUE"""),"Arenco Villas")</f>
        <v>Arenco Villas</v>
      </c>
      <c r="C9974" s="2" t="str">
        <f ca="1">IFERROR(__xludf.DUMMYFUNCTION("""COMPUTED_VALUE"""),"Neighbourhood")</f>
        <v>Neighbourhood</v>
      </c>
      <c r="D9974" s="2" t="str">
        <f ca="1">IFERROR(__xludf.DUMMYFUNCTION("""COMPUTED_VALUE"""),"Dubai&gt;Al Badaa&gt;Arenco Villas")</f>
        <v>Dubai&gt;Al Badaa&gt;Arenco Villas</v>
      </c>
      <c r="E9974" s="2"/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  <c r="W9974" s="2"/>
      <c r="X9974" s="2"/>
      <c r="Y9974" s="2"/>
      <c r="Z9974" s="2"/>
    </row>
    <row r="9975" spans="1:26" ht="16.5" x14ac:dyDescent="0.35">
      <c r="A9975" s="2" t="str">
        <f ca="1">IFERROR(__xludf.DUMMYFUNCTION("""COMPUTED_VALUE"""),"Dubai")</f>
        <v>Dubai</v>
      </c>
      <c r="B9975" s="2" t="str">
        <f ca="1">IFERROR(__xludf.DUMMYFUNCTION("""COMPUTED_VALUE"""),"Al Ghazal Mall Apartment Block E")</f>
        <v>Al Ghazal Mall Apartment Block E</v>
      </c>
      <c r="C9975" s="2" t="str">
        <f ca="1">IFERROR(__xludf.DUMMYFUNCTION("""COMPUTED_VALUE"""),"Building")</f>
        <v>Building</v>
      </c>
      <c r="D9975" s="2" t="str">
        <f ca="1">IFERROR(__xludf.DUMMYFUNCTION("""COMPUTED_VALUE"""),"Dubai&gt;Al Badaa&gt;Al Ghazal Mall Apartment Block E")</f>
        <v>Dubai&gt;Al Badaa&gt;Al Ghazal Mall Apartment Block E</v>
      </c>
      <c r="E9975" s="2"/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  <c r="W9975" s="2"/>
      <c r="X9975" s="2"/>
      <c r="Y9975" s="2"/>
      <c r="Z9975" s="2"/>
    </row>
    <row r="9976" spans="1:26" ht="16.5" x14ac:dyDescent="0.35">
      <c r="A9976" s="2" t="str">
        <f ca="1">IFERROR(__xludf.DUMMYFUNCTION("""COMPUTED_VALUE"""),"Dubai")</f>
        <v>Dubai</v>
      </c>
      <c r="B9976" s="2" t="str">
        <f ca="1">IFERROR(__xludf.DUMMYFUNCTION("""COMPUTED_VALUE"""),"Indigo Central 6")</f>
        <v>Indigo Central 6</v>
      </c>
      <c r="C9976" s="2" t="str">
        <f ca="1">IFERROR(__xludf.DUMMYFUNCTION("""COMPUTED_VALUE"""),"Building")</f>
        <v>Building</v>
      </c>
      <c r="D9976" s="2" t="str">
        <f ca="1">IFERROR(__xludf.DUMMYFUNCTION("""COMPUTED_VALUE"""),"Dubai&gt;Al Manara&gt;Indigo Central 6")</f>
        <v>Dubai&gt;Al Manara&gt;Indigo Central 6</v>
      </c>
      <c r="E9976" s="2"/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  <c r="W9976" s="2"/>
      <c r="X9976" s="2"/>
      <c r="Y9976" s="2"/>
      <c r="Z9976" s="2"/>
    </row>
    <row r="9977" spans="1:26" ht="16.5" x14ac:dyDescent="0.35">
      <c r="A9977" s="2" t="str">
        <f ca="1">IFERROR(__xludf.DUMMYFUNCTION("""COMPUTED_VALUE"""),"Dubai")</f>
        <v>Dubai</v>
      </c>
      <c r="B9977" s="2" t="str">
        <f ca="1">IFERROR(__xludf.DUMMYFUNCTION("""COMPUTED_VALUE"""),"Shiba Towers Block A")</f>
        <v>Shiba Towers Block A</v>
      </c>
      <c r="C9977" s="2" t="str">
        <f ca="1">IFERROR(__xludf.DUMMYFUNCTION("""COMPUTED_VALUE"""),"Building")</f>
        <v>Building</v>
      </c>
      <c r="D9977" s="2" t="str">
        <f ca="1">IFERROR(__xludf.DUMMYFUNCTION("""COMPUTED_VALUE"""),"Dubai&gt;Academic City&gt;Al Shiba Complex&gt;Shiba Towers Block A")</f>
        <v>Dubai&gt;Academic City&gt;Al Shiba Complex&gt;Shiba Towers Block A</v>
      </c>
      <c r="E9977" s="2"/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</row>
    <row r="9978" spans="1:26" ht="16.5" x14ac:dyDescent="0.35">
      <c r="A9978" s="2" t="str">
        <f ca="1">IFERROR(__xludf.DUMMYFUNCTION("""COMPUTED_VALUE"""),"Dubai")</f>
        <v>Dubai</v>
      </c>
      <c r="B9978" s="2" t="str">
        <f ca="1">IFERROR(__xludf.DUMMYFUNCTION("""COMPUTED_VALUE"""),"Building 5")</f>
        <v>Building 5</v>
      </c>
      <c r="C9978" s="2" t="str">
        <f ca="1">IFERROR(__xludf.DUMMYFUNCTION("""COMPUTED_VALUE"""),"Building")</f>
        <v>Building</v>
      </c>
      <c r="D9978" s="2" t="str">
        <f ca="1">IFERROR(__xludf.DUMMYFUNCTION("""COMPUTED_VALUE"""),"Dubai&gt;Dubai Design District&gt;Building 5")</f>
        <v>Dubai&gt;Dubai Design District&gt;Building 5</v>
      </c>
      <c r="E9978" s="2"/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</row>
    <row r="9979" spans="1:26" ht="16.5" x14ac:dyDescent="0.35">
      <c r="A9979" s="2" t="str">
        <f ca="1">IFERROR(__xludf.DUMMYFUNCTION("""COMPUTED_VALUE"""),"Dubai")</f>
        <v>Dubai</v>
      </c>
      <c r="B9979" s="2" t="str">
        <f ca="1">IFERROR(__xludf.DUMMYFUNCTION("""COMPUTED_VALUE"""),"Al Wasl Block F")</f>
        <v>Al Wasl Block F</v>
      </c>
      <c r="C9979" s="2" t="str">
        <f ca="1">IFERROR(__xludf.DUMMYFUNCTION("""COMPUTED_VALUE"""),"Building")</f>
        <v>Building</v>
      </c>
      <c r="D9979" s="2" t="str">
        <f ca="1">IFERROR(__xludf.DUMMYFUNCTION("""COMPUTED_VALUE"""),"Dubai&gt;Al Hudaiba&gt;Al Wasl Block F")</f>
        <v>Dubai&gt;Al Hudaiba&gt;Al Wasl Block F</v>
      </c>
      <c r="E9979" s="2"/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</row>
    <row r="9980" spans="1:26" ht="16.5" x14ac:dyDescent="0.35">
      <c r="A9980" s="2" t="str">
        <f ca="1">IFERROR(__xludf.DUMMYFUNCTION("""COMPUTED_VALUE"""),"Dubai")</f>
        <v>Dubai</v>
      </c>
      <c r="B9980" s="2" t="str">
        <f ca="1">IFERROR(__xludf.DUMMYFUNCTION("""COMPUTED_VALUE"""),"Jumeirah 1")</f>
        <v>Jumeirah 1</v>
      </c>
      <c r="C9980" s="2" t="str">
        <f ca="1">IFERROR(__xludf.DUMMYFUNCTION("""COMPUTED_VALUE"""),"Neighbourhood")</f>
        <v>Neighbourhood</v>
      </c>
      <c r="D9980" s="2" t="str">
        <f ca="1">IFERROR(__xludf.DUMMYFUNCTION("""COMPUTED_VALUE"""),"Dubai&gt;Jumeirah&gt;Jumeirah 1")</f>
        <v>Dubai&gt;Jumeirah&gt;Jumeirah 1</v>
      </c>
      <c r="E9980" s="2"/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</row>
    <row r="9981" spans="1:26" ht="16.5" x14ac:dyDescent="0.35">
      <c r="A9981" s="2" t="str">
        <f ca="1">IFERROR(__xludf.DUMMYFUNCTION("""COMPUTED_VALUE"""),"Dubai")</f>
        <v>Dubai</v>
      </c>
      <c r="B9981" s="2" t="str">
        <f ca="1">IFERROR(__xludf.DUMMYFUNCTION("""COMPUTED_VALUE"""),"Jumeirah 3")</f>
        <v>Jumeirah 3</v>
      </c>
      <c r="C9981" s="2" t="str">
        <f ca="1">IFERROR(__xludf.DUMMYFUNCTION("""COMPUTED_VALUE"""),"Neighbourhood")</f>
        <v>Neighbourhood</v>
      </c>
      <c r="D9981" s="2" t="str">
        <f ca="1">IFERROR(__xludf.DUMMYFUNCTION("""COMPUTED_VALUE"""),"Dubai&gt;Jumeirah&gt;Jumeirah 3")</f>
        <v>Dubai&gt;Jumeirah&gt;Jumeirah 3</v>
      </c>
      <c r="E9981" s="2"/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  <c r="W9981" s="2"/>
      <c r="X9981" s="2"/>
      <c r="Y9981" s="2"/>
      <c r="Z9981" s="2"/>
    </row>
    <row r="9982" spans="1:26" ht="16.5" x14ac:dyDescent="0.35">
      <c r="A9982" s="2" t="str">
        <f ca="1">IFERROR(__xludf.DUMMYFUNCTION("""COMPUTED_VALUE"""),"Dubai")</f>
        <v>Dubai</v>
      </c>
      <c r="B9982" s="2" t="str">
        <f ca="1">IFERROR(__xludf.DUMMYFUNCTION("""COMPUTED_VALUE"""),"The Melgrano")</f>
        <v>The Melgrano</v>
      </c>
      <c r="C9982" s="2" t="str">
        <f ca="1">IFERROR(__xludf.DUMMYFUNCTION("""COMPUTED_VALUE"""),"Building")</f>
        <v>Building</v>
      </c>
      <c r="D9982" s="2" t="str">
        <f ca="1">IFERROR(__xludf.DUMMYFUNCTION("""COMPUTED_VALUE"""),"Dubai&gt;Jumeirah&gt;Jumeirah 2&gt;The Melgrano")</f>
        <v>Dubai&gt;Jumeirah&gt;Jumeirah 2&gt;The Melgrano</v>
      </c>
      <c r="E9982" s="2"/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</row>
    <row r="9983" spans="1:26" ht="16.5" x14ac:dyDescent="0.35">
      <c r="A9983" s="2" t="str">
        <f ca="1">IFERROR(__xludf.DUMMYFUNCTION("""COMPUTED_VALUE"""),"Dubai")</f>
        <v>Dubai</v>
      </c>
      <c r="B9983" s="2" t="str">
        <f ca="1">IFERROR(__xludf.DUMMYFUNCTION("""COMPUTED_VALUE"""),"La Sirene 2")</f>
        <v>La Sirene 2</v>
      </c>
      <c r="C9983" s="2" t="str">
        <f ca="1">IFERROR(__xludf.DUMMYFUNCTION("""COMPUTED_VALUE"""),"Cluster")</f>
        <v>Cluster</v>
      </c>
      <c r="D9983" s="2" t="str">
        <f ca="1">IFERROR(__xludf.DUMMYFUNCTION("""COMPUTED_VALUE"""),"Dubai&gt;Jumeirah&gt;La Mer&gt;Port de La Mer&gt;La Sirene&gt;La Sirene 2")</f>
        <v>Dubai&gt;Jumeirah&gt;La Mer&gt;Port de La Mer&gt;La Sirene&gt;La Sirene 2</v>
      </c>
      <c r="E9983" s="2"/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  <c r="W9983" s="2"/>
      <c r="X9983" s="2"/>
      <c r="Y9983" s="2"/>
      <c r="Z9983" s="2"/>
    </row>
    <row r="9984" spans="1:26" ht="16.5" x14ac:dyDescent="0.35">
      <c r="A9984" s="2" t="str">
        <f ca="1">IFERROR(__xludf.DUMMYFUNCTION("""COMPUTED_VALUE"""),"Dubai")</f>
        <v>Dubai</v>
      </c>
      <c r="B9984" s="2" t="str">
        <f ca="1">IFERROR(__xludf.DUMMYFUNCTION("""COMPUTED_VALUE"""),"Harbour Views Podium")</f>
        <v>Harbour Views Podium</v>
      </c>
      <c r="C9984" s="2" t="str">
        <f ca="1">IFERROR(__xludf.DUMMYFUNCTION("""COMPUTED_VALUE"""),"Building")</f>
        <v>Building</v>
      </c>
      <c r="D9984" s="2" t="str">
        <f ca="1">IFERROR(__xludf.DUMMYFUNCTION("""COMPUTED_VALUE"""),"Dubai&gt;Dubai Creek Harbour&gt;Harbour Views&gt;Harbour Views Podium")</f>
        <v>Dubai&gt;Dubai Creek Harbour&gt;Harbour Views&gt;Harbour Views Podium</v>
      </c>
      <c r="E9984" s="2"/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  <c r="W9984" s="2"/>
      <c r="X9984" s="2"/>
      <c r="Y9984" s="2"/>
      <c r="Z9984" s="2"/>
    </row>
    <row r="9985" spans="1:26" ht="16.5" x14ac:dyDescent="0.35">
      <c r="A9985" s="2" t="str">
        <f ca="1">IFERROR(__xludf.DUMMYFUNCTION("""COMPUTED_VALUE"""),"Dubai")</f>
        <v>Dubai</v>
      </c>
      <c r="B9985" s="2" t="str">
        <f ca="1">IFERROR(__xludf.DUMMYFUNCTION("""COMPUTED_VALUE"""),"Sunset 3")</f>
        <v>Sunset 3</v>
      </c>
      <c r="C9985" s="2" t="str">
        <f ca="1">IFERROR(__xludf.DUMMYFUNCTION("""COMPUTED_VALUE"""),"Building")</f>
        <v>Building</v>
      </c>
      <c r="D9985" s="2" t="str">
        <f ca="1">IFERROR(__xludf.DUMMYFUNCTION("""COMPUTED_VALUE"""),"Dubai&gt;Dubai Creek Harbour&gt;Sunset at Creek Beach&gt;Sunset 3")</f>
        <v>Dubai&gt;Dubai Creek Harbour&gt;Sunset at Creek Beach&gt;Sunset 3</v>
      </c>
      <c r="E9985" s="2"/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  <c r="W9985" s="2"/>
      <c r="X9985" s="2"/>
      <c r="Y9985" s="2"/>
      <c r="Z9985" s="2"/>
    </row>
    <row r="9986" spans="1:26" ht="16.5" x14ac:dyDescent="0.35">
      <c r="A9986" s="2" t="str">
        <f ca="1">IFERROR(__xludf.DUMMYFUNCTION("""COMPUTED_VALUE"""),"Dubai")</f>
        <v>Dubai</v>
      </c>
      <c r="B9986" s="2" t="str">
        <f ca="1">IFERROR(__xludf.DUMMYFUNCTION("""COMPUTED_VALUE"""),"Lotus 1")</f>
        <v>Lotus 1</v>
      </c>
      <c r="C9986" s="2" t="str">
        <f ca="1">IFERROR(__xludf.DUMMYFUNCTION("""COMPUTED_VALUE"""),"Building")</f>
        <v>Building</v>
      </c>
      <c r="D9986" s="2" t="str">
        <f ca="1">IFERROR(__xludf.DUMMYFUNCTION("""COMPUTED_VALUE"""),"Dubai&gt;Dubai Creek Harbour&gt;Lotus at Creek Beach&gt;Lotus 1")</f>
        <v>Dubai&gt;Dubai Creek Harbour&gt;Lotus at Creek Beach&gt;Lotus 1</v>
      </c>
      <c r="E9986" s="2"/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  <c r="W9986" s="2"/>
      <c r="X9986" s="2"/>
      <c r="Y9986" s="2"/>
      <c r="Z9986" s="2"/>
    </row>
    <row r="9987" spans="1:26" ht="16.5" x14ac:dyDescent="0.35">
      <c r="A9987" s="2" t="str">
        <f ca="1">IFERROR(__xludf.DUMMYFUNCTION("""COMPUTED_VALUE"""),"Dubai")</f>
        <v>Dubai</v>
      </c>
      <c r="B9987" s="2" t="str">
        <f ca="1">IFERROR(__xludf.DUMMYFUNCTION("""COMPUTED_VALUE"""),"Cedar at Creek Beach Building 3")</f>
        <v>Cedar at Creek Beach Building 3</v>
      </c>
      <c r="C9987" s="2" t="str">
        <f ca="1">IFERROR(__xludf.DUMMYFUNCTION("""COMPUTED_VALUE"""),"Building")</f>
        <v>Building</v>
      </c>
      <c r="D9987" s="2" t="str">
        <f ca="1">IFERROR(__xludf.DUMMYFUNCTION("""COMPUTED_VALUE"""),"Dubai&gt;Dubai Creek Harbour&gt;Cedar at Creek Beach&gt;Cedar at Creek Beach Building 3")</f>
        <v>Dubai&gt;Dubai Creek Harbour&gt;Cedar at Creek Beach&gt;Cedar at Creek Beach Building 3</v>
      </c>
      <c r="E9987" s="2"/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  <c r="W9987" s="2"/>
      <c r="X9987" s="2"/>
      <c r="Y9987" s="2"/>
      <c r="Z9987" s="2"/>
    </row>
    <row r="9988" spans="1:26" ht="16.5" x14ac:dyDescent="0.35">
      <c r="A9988" s="2" t="str">
        <f ca="1">IFERROR(__xludf.DUMMYFUNCTION("""COMPUTED_VALUE"""),"Dubai")</f>
        <v>Dubai</v>
      </c>
      <c r="B9988" s="2" t="str">
        <f ca="1">IFERROR(__xludf.DUMMYFUNCTION("""COMPUTED_VALUE"""),"Albero by Emaar")</f>
        <v>Albero by Emaar</v>
      </c>
      <c r="C9988" s="2" t="str">
        <f ca="1">IFERROR(__xludf.DUMMYFUNCTION("""COMPUTED_VALUE"""),"Building")</f>
        <v>Building</v>
      </c>
      <c r="D9988" s="2" t="str">
        <f ca="1">IFERROR(__xludf.DUMMYFUNCTION("""COMPUTED_VALUE"""),"Dubai&gt;Dubai Creek Harbour&gt;Albero by Emaar")</f>
        <v>Dubai&gt;Dubai Creek Harbour&gt;Albero by Emaar</v>
      </c>
      <c r="E9988" s="2"/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  <c r="W9988" s="2"/>
      <c r="X9988" s="2"/>
      <c r="Y9988" s="2"/>
      <c r="Z9988" s="2"/>
    </row>
    <row r="9989" spans="1:26" ht="16.5" x14ac:dyDescent="0.35">
      <c r="A9989" s="2" t="str">
        <f ca="1">IFERROR(__xludf.DUMMYFUNCTION("""COMPUTED_VALUE"""),"Dubai")</f>
        <v>Dubai</v>
      </c>
      <c r="B9989" s="2" t="str">
        <f ca="1">IFERROR(__xludf.DUMMYFUNCTION("""COMPUTED_VALUE"""),"The Belvedere Residences")</f>
        <v>The Belvedere Residences</v>
      </c>
      <c r="C9989" s="2" t="str">
        <f ca="1">IFERROR(__xludf.DUMMYFUNCTION("""COMPUTED_VALUE"""),"Building")</f>
        <v>Building</v>
      </c>
      <c r="D9989" s="2" t="str">
        <f ca="1">IFERROR(__xludf.DUMMYFUNCTION("""COMPUTED_VALUE"""),"Dubai&gt;Barsha Heights (Tecom)&gt;The Belvedere Residences")</f>
        <v>Dubai&gt;Barsha Heights (Tecom)&gt;The Belvedere Residences</v>
      </c>
      <c r="E9989" s="2"/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</row>
    <row r="9990" spans="1:26" ht="16.5" x14ac:dyDescent="0.35">
      <c r="A9990" s="2" t="str">
        <f ca="1">IFERROR(__xludf.DUMMYFUNCTION("""COMPUTED_VALUE"""),"Dubai")</f>
        <v>Dubai</v>
      </c>
      <c r="B9990" s="2" t="str">
        <f ca="1">IFERROR(__xludf.DUMMYFUNCTION("""COMPUTED_VALUE"""),"Grand Heights Hotel Apartments")</f>
        <v>Grand Heights Hotel Apartments</v>
      </c>
      <c r="C9990" s="2" t="str">
        <f ca="1">IFERROR(__xludf.DUMMYFUNCTION("""COMPUTED_VALUE"""),"Building")</f>
        <v>Building</v>
      </c>
      <c r="D9990" s="2" t="str">
        <f ca="1">IFERROR(__xludf.DUMMYFUNCTION("""COMPUTED_VALUE"""),"Dubai&gt;Barsha Heights (Tecom)&gt;Grand Heights Hotel Apartments")</f>
        <v>Dubai&gt;Barsha Heights (Tecom)&gt;Grand Heights Hotel Apartments</v>
      </c>
      <c r="E9990" s="2"/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</row>
    <row r="9991" spans="1:26" ht="16.5" x14ac:dyDescent="0.35">
      <c r="A9991" s="2" t="str">
        <f ca="1">IFERROR(__xludf.DUMMYFUNCTION("""COMPUTED_VALUE"""),"Dubai")</f>
        <v>Dubai</v>
      </c>
      <c r="B9991" s="2" t="str">
        <f ca="1">IFERROR(__xludf.DUMMYFUNCTION("""COMPUTED_VALUE"""),"Golden Tulip Hotel")</f>
        <v>Golden Tulip Hotel</v>
      </c>
      <c r="C9991" s="2" t="str">
        <f ca="1">IFERROR(__xludf.DUMMYFUNCTION("""COMPUTED_VALUE"""),"Building")</f>
        <v>Building</v>
      </c>
      <c r="D9991" s="2" t="str">
        <f ca="1">IFERROR(__xludf.DUMMYFUNCTION("""COMPUTED_VALUE"""),"Dubai&gt;Barsha Heights (Tecom)&gt;Golden Tulip Hotel")</f>
        <v>Dubai&gt;Barsha Heights (Tecom)&gt;Golden Tulip Hotel</v>
      </c>
      <c r="E9991" s="2"/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</row>
    <row r="9992" spans="1:26" ht="16.5" x14ac:dyDescent="0.35">
      <c r="A9992" s="2" t="str">
        <f ca="1">IFERROR(__xludf.DUMMYFUNCTION("""COMPUTED_VALUE"""),"Dubai")</f>
        <v>Dubai</v>
      </c>
      <c r="B9992" s="2" t="str">
        <f ca="1">IFERROR(__xludf.DUMMYFUNCTION("""COMPUTED_VALUE"""),"Vida Hotel")</f>
        <v>Vida Hotel</v>
      </c>
      <c r="C9992" s="2" t="str">
        <f ca="1">IFERROR(__xludf.DUMMYFUNCTION("""COMPUTED_VALUE"""),"Cluster")</f>
        <v>Cluster</v>
      </c>
      <c r="D9992" s="2" t="str">
        <f ca="1">IFERROR(__xludf.DUMMYFUNCTION("""COMPUTED_VALUE"""),"Dubai&gt;The Hills&gt;Vida Hotel")</f>
        <v>Dubai&gt;The Hills&gt;Vida Hotel</v>
      </c>
      <c r="E9992" s="2"/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</row>
    <row r="9993" spans="1:26" ht="16.5" x14ac:dyDescent="0.35">
      <c r="A9993" s="2" t="str">
        <f ca="1">IFERROR(__xludf.DUMMYFUNCTION("""COMPUTED_VALUE"""),"Dubai")</f>
        <v>Dubai</v>
      </c>
      <c r="B9993" s="2" t="str">
        <f ca="1">IFERROR(__xludf.DUMMYFUNCTION("""COMPUTED_VALUE"""),"Terraced Apartment 3C")</f>
        <v>Terraced Apartment 3C</v>
      </c>
      <c r="C9993" s="2" t="str">
        <f ca="1">IFERROR(__xludf.DUMMYFUNCTION("""COMPUTED_VALUE"""),"Building")</f>
        <v>Building</v>
      </c>
      <c r="D9993" s="2" t="str">
        <f ca="1">IFERROR(__xludf.DUMMYFUNCTION("""COMPUTED_VALUE"""),"Dubai&gt;Motor City&gt;Green Community (Motor City)&gt;Terraced Apartments&gt;Terraced Apartment 3C")</f>
        <v>Dubai&gt;Motor City&gt;Green Community (Motor City)&gt;Terraced Apartments&gt;Terraced Apartment 3C</v>
      </c>
      <c r="E9993" s="2"/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</row>
    <row r="9994" spans="1:26" ht="16.5" x14ac:dyDescent="0.35">
      <c r="A9994" s="2" t="str">
        <f ca="1">IFERROR(__xludf.DUMMYFUNCTION("""COMPUTED_VALUE"""),"Dubai")</f>
        <v>Dubai</v>
      </c>
      <c r="B9994" s="2" t="str">
        <f ca="1">IFERROR(__xludf.DUMMYFUNCTION("""COMPUTED_VALUE"""),"Sherlock Circus")</f>
        <v>Sherlock Circus</v>
      </c>
      <c r="C9994" s="2" t="str">
        <f ca="1">IFERROR(__xludf.DUMMYFUNCTION("""COMPUTED_VALUE"""),"Cluster")</f>
        <v>Cluster</v>
      </c>
      <c r="D9994" s="2" t="str">
        <f ca="1">IFERROR(__xludf.DUMMYFUNCTION("""COMPUTED_VALUE"""),"Dubai&gt;Motor City&gt;Uptown Motor City&gt;Sherlock Circus")</f>
        <v>Dubai&gt;Motor City&gt;Uptown Motor City&gt;Sherlock Circus</v>
      </c>
      <c r="E9994" s="2"/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</row>
    <row r="9995" spans="1:26" ht="16.5" x14ac:dyDescent="0.35">
      <c r="A9995" s="2" t="str">
        <f ca="1">IFERROR(__xludf.DUMMYFUNCTION("""COMPUTED_VALUE"""),"Dubai")</f>
        <v>Dubai</v>
      </c>
      <c r="B9995" s="2" t="str">
        <f ca="1">IFERROR(__xludf.DUMMYFUNCTION("""COMPUTED_VALUE"""),"Dickens Circus 1")</f>
        <v>Dickens Circus 1</v>
      </c>
      <c r="C9995" s="2" t="str">
        <f ca="1">IFERROR(__xludf.DUMMYFUNCTION("""COMPUTED_VALUE"""),"Building")</f>
        <v>Building</v>
      </c>
      <c r="D9995" s="2" t="str">
        <f ca="1">IFERROR(__xludf.DUMMYFUNCTION("""COMPUTED_VALUE"""),"Dubai&gt;Motor City&gt;Uptown Motor City&gt;Dickens Circus&gt;Dickens Circus 1")</f>
        <v>Dubai&gt;Motor City&gt;Uptown Motor City&gt;Dickens Circus&gt;Dickens Circus 1</v>
      </c>
      <c r="E9995" s="2"/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</row>
    <row r="9996" spans="1:26" ht="16.5" x14ac:dyDescent="0.35">
      <c r="A9996" s="2" t="str">
        <f ca="1">IFERROR(__xludf.DUMMYFUNCTION("""COMPUTED_VALUE"""),"Dubai")</f>
        <v>Dubai</v>
      </c>
      <c r="B9996" s="2" t="str">
        <f ca="1">IFERROR(__xludf.DUMMYFUNCTION("""COMPUTED_VALUE"""),"Takaya Tower B")</f>
        <v>Takaya Tower B</v>
      </c>
      <c r="C9996" s="2" t="str">
        <f ca="1">IFERROR(__xludf.DUMMYFUNCTION("""COMPUTED_VALUE"""),"Building")</f>
        <v>Building</v>
      </c>
      <c r="D9996" s="2" t="str">
        <f ca="1">IFERROR(__xludf.DUMMYFUNCTION("""COMPUTED_VALUE"""),"Dubai&gt;Motor City&gt;Takaya&gt;Takaya Tower B")</f>
        <v>Dubai&gt;Motor City&gt;Takaya&gt;Takaya Tower B</v>
      </c>
      <c r="E9996" s="2"/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</row>
    <row r="9997" spans="1:26" ht="16.5" x14ac:dyDescent="0.35">
      <c r="A9997" s="2" t="str">
        <f ca="1">IFERROR(__xludf.DUMMYFUNCTION("""COMPUTED_VALUE"""),"Dubai")</f>
        <v>Dubai</v>
      </c>
      <c r="B9997" s="2" t="str">
        <f ca="1">IFERROR(__xludf.DUMMYFUNCTION("""COMPUTED_VALUE"""),"Al Kazim Building")</f>
        <v>Al Kazim Building</v>
      </c>
      <c r="C9997" s="2" t="str">
        <f ca="1">IFERROR(__xludf.DUMMYFUNCTION("""COMPUTED_VALUE"""),"Building")</f>
        <v>Building</v>
      </c>
      <c r="D9997" s="2" t="str">
        <f ca="1">IFERROR(__xludf.DUMMYFUNCTION("""COMPUTED_VALUE"""),"Dubai&gt;Al Sufouh&gt;Al Sufouh 1&gt;Al Kazim Building")</f>
        <v>Dubai&gt;Al Sufouh&gt;Al Sufouh 1&gt;Al Kazim Building</v>
      </c>
      <c r="E9997" s="2"/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</row>
    <row r="9998" spans="1:26" ht="16.5" x14ac:dyDescent="0.35">
      <c r="A9998" s="2" t="str">
        <f ca="1">IFERROR(__xludf.DUMMYFUNCTION("""COMPUTED_VALUE"""),"Dubai")</f>
        <v>Dubai</v>
      </c>
      <c r="B9998" s="2" t="str">
        <f ca="1">IFERROR(__xludf.DUMMYFUNCTION("""COMPUTED_VALUE"""),"Boutique Office 11")</f>
        <v>Boutique Office 11</v>
      </c>
      <c r="C9998" s="2" t="str">
        <f ca="1">IFERROR(__xludf.DUMMYFUNCTION("""COMPUTED_VALUE"""),"Building")</f>
        <v>Building</v>
      </c>
      <c r="D9998" s="2" t="str">
        <f ca="1">IFERROR(__xludf.DUMMYFUNCTION("""COMPUTED_VALUE"""),"Dubai&gt;Al Sufouh&gt;Al Sufouh 2&gt;Boutique Offices&gt;Boutique Office 11")</f>
        <v>Dubai&gt;Al Sufouh&gt;Al Sufouh 2&gt;Boutique Offices&gt;Boutique Office 11</v>
      </c>
      <c r="E9998" s="2"/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</row>
    <row r="9999" spans="1:26" ht="16.5" x14ac:dyDescent="0.35">
      <c r="A9999" s="2" t="str">
        <f ca="1">IFERROR(__xludf.DUMMYFUNCTION("""COMPUTED_VALUE"""),"Dubai")</f>
        <v>Dubai</v>
      </c>
      <c r="B9999" s="2" t="str">
        <f ca="1">IFERROR(__xludf.DUMMYFUNCTION("""COMPUTED_VALUE"""),"InterContinental Residence Suites")</f>
        <v>InterContinental Residence Suites</v>
      </c>
      <c r="C9999" s="2" t="str">
        <f ca="1">IFERROR(__xludf.DUMMYFUNCTION("""COMPUTED_VALUE"""),"Building")</f>
        <v>Building</v>
      </c>
      <c r="D9999" s="2" t="str">
        <f ca="1">IFERROR(__xludf.DUMMYFUNCTION("""COMPUTED_VALUE"""),"Dubai&gt;Dubai Festival City&gt;Marsa Plaza&gt;InterContinental Residence Suites")</f>
        <v>Dubai&gt;Dubai Festival City&gt;Marsa Plaza&gt;InterContinental Residence Suites</v>
      </c>
      <c r="E9999" s="2"/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</row>
    <row r="10000" spans="1:26" ht="16.5" x14ac:dyDescent="0.35">
      <c r="A10000" s="2" t="str">
        <f ca="1">IFERROR(__xludf.DUMMYFUNCTION("""COMPUTED_VALUE"""),"Dubai")</f>
        <v>Dubai</v>
      </c>
      <c r="B10000" s="2" t="str">
        <f ca="1">IFERROR(__xludf.DUMMYFUNCTION("""COMPUTED_VALUE"""),"Jebel Ali School")</f>
        <v>Jebel Ali School</v>
      </c>
      <c r="C10000" s="2" t="str">
        <f ca="1">IFERROR(__xludf.DUMMYFUNCTION("""COMPUTED_VALUE"""),"School")</f>
        <v>School</v>
      </c>
      <c r="D10000" s="2" t="str">
        <f ca="1">IFERROR(__xludf.DUMMYFUNCTION("""COMPUTED_VALUE"""),"Dubai&gt;DAMAC Hills&gt;Jebel Ali School")</f>
        <v>Dubai&gt;DAMAC Hills&gt;Jebel Ali School</v>
      </c>
      <c r="E10000" s="2"/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2"/>
      <c r="W10000" s="2"/>
      <c r="X10000" s="2"/>
      <c r="Y10000" s="2"/>
      <c r="Z10000" s="2"/>
    </row>
    <row r="10001" spans="1:26" ht="16.5" x14ac:dyDescent="0.35">
      <c r="A10001" s="2" t="str">
        <f ca="1">IFERROR(__xludf.DUMMYFUNCTION("""COMPUTED_VALUE"""),"Dubai")</f>
        <v>Dubai</v>
      </c>
      <c r="B10001" s="2" t="str">
        <f ca="1">IFERROR(__xludf.DUMMYFUNCTION("""COMPUTED_VALUE"""),"Golf Promenade 1")</f>
        <v>Golf Promenade 1</v>
      </c>
      <c r="C10001" s="2" t="str">
        <f ca="1">IFERROR(__xludf.DUMMYFUNCTION("""COMPUTED_VALUE"""),"Cluster")</f>
        <v>Cluster</v>
      </c>
      <c r="D10001" s="2" t="str">
        <f ca="1">IFERROR(__xludf.DUMMYFUNCTION("""COMPUTED_VALUE"""),"Dubai&gt;DAMAC Hills&gt;Golf Town&gt;Golf Promenade&gt;Golf Promenade 1")</f>
        <v>Dubai&gt;DAMAC Hills&gt;Golf Town&gt;Golf Promenade&gt;Golf Promenade 1</v>
      </c>
      <c r="E10001" s="2"/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  <c r="V10001" s="2"/>
      <c r="W10001" s="2"/>
      <c r="X10001" s="2"/>
      <c r="Y10001" s="2"/>
      <c r="Z10001" s="2"/>
    </row>
    <row r="10002" spans="1:26" ht="16.5" x14ac:dyDescent="0.35">
      <c r="A10002" s="2" t="str">
        <f ca="1">IFERROR(__xludf.DUMMYFUNCTION("""COMPUTED_VALUE"""),"Dubai")</f>
        <v>Dubai</v>
      </c>
      <c r="B10002" s="2" t="str">
        <f ca="1">IFERROR(__xludf.DUMMYFUNCTION("""COMPUTED_VALUE"""),"The Legends")</f>
        <v>The Legends</v>
      </c>
      <c r="C10002" s="2" t="str">
        <f ca="1">IFERROR(__xludf.DUMMYFUNCTION("""COMPUTED_VALUE"""),"Neighbourhood")</f>
        <v>Neighbourhood</v>
      </c>
      <c r="D10002" s="2" t="str">
        <f ca="1">IFERROR(__xludf.DUMMYFUNCTION("""COMPUTED_VALUE"""),"Dubai&gt;DAMAC Hills&gt;The Legends")</f>
        <v>Dubai&gt;DAMAC Hills&gt;The Legends</v>
      </c>
      <c r="E10002" s="2"/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  <c r="V10002" s="2"/>
      <c r="W10002" s="2"/>
      <c r="X10002" s="2"/>
      <c r="Y10002" s="2"/>
      <c r="Z10002" s="2"/>
    </row>
    <row r="10003" spans="1:26" ht="16.5" x14ac:dyDescent="0.35">
      <c r="A10003" s="2" t="str">
        <f ca="1">IFERROR(__xludf.DUMMYFUNCTION("""COMPUTED_VALUE"""),"Dubai")</f>
        <v>Dubai</v>
      </c>
      <c r="B10003" s="2" t="str">
        <f ca="1">IFERROR(__xludf.DUMMYFUNCTION("""COMPUTED_VALUE"""),"Golf Greens 2")</f>
        <v>Golf Greens 2</v>
      </c>
      <c r="C10003" s="2" t="str">
        <f ca="1">IFERROR(__xludf.DUMMYFUNCTION("""COMPUTED_VALUE"""),"Cluster")</f>
        <v>Cluster</v>
      </c>
      <c r="D10003" s="2" t="str">
        <f ca="1">IFERROR(__xludf.DUMMYFUNCTION("""COMPUTED_VALUE"""),"Dubai&gt;DAMAC Hills&gt;Golf Greens 2")</f>
        <v>Dubai&gt;DAMAC Hills&gt;Golf Greens 2</v>
      </c>
      <c r="E10003" s="2"/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  <c r="V10003" s="2"/>
      <c r="W10003" s="2"/>
      <c r="X10003" s="2"/>
      <c r="Y10003" s="2"/>
      <c r="Z10003" s="2"/>
    </row>
    <row r="10004" spans="1:26" ht="16.5" x14ac:dyDescent="0.35">
      <c r="A10004" s="2" t="str">
        <f ca="1">IFERROR(__xludf.DUMMYFUNCTION("""COMPUTED_VALUE"""),"Dubai")</f>
        <v>Dubai</v>
      </c>
      <c r="B10004" s="2" t="str">
        <f ca="1">IFERROR(__xludf.DUMMYFUNCTION("""COMPUTED_VALUE"""),"Block B")</f>
        <v>Block B</v>
      </c>
      <c r="C10004" s="2" t="str">
        <f ca="1">IFERROR(__xludf.DUMMYFUNCTION("""COMPUTED_VALUE"""),"Building")</f>
        <v>Building</v>
      </c>
      <c r="D10004" s="2" t="str">
        <f ca="1">IFERROR(__xludf.DUMMYFUNCTION("""COMPUTED_VALUE"""),"Dubai&gt;Al Mina&gt;Al Hudaiba Awards Building&gt;Block B")</f>
        <v>Dubai&gt;Al Mina&gt;Al Hudaiba Awards Building&gt;Block B</v>
      </c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  <c r="V10004" s="2"/>
      <c r="W10004" s="2"/>
      <c r="X10004" s="2"/>
      <c r="Y10004" s="2"/>
      <c r="Z10004" s="2"/>
    </row>
    <row r="10005" spans="1:26" ht="16.5" x14ac:dyDescent="0.35">
      <c r="A10005" s="2" t="str">
        <f ca="1">IFERROR(__xludf.DUMMYFUNCTION("""COMPUTED_VALUE"""),"Dubai")</f>
        <v>Dubai</v>
      </c>
      <c r="B10005" s="2" t="str">
        <f ca="1">IFERROR(__xludf.DUMMYFUNCTION("""COMPUTED_VALUE"""),"Anwa Aria by Omniyat")</f>
        <v>Anwa Aria by Omniyat</v>
      </c>
      <c r="C10005" s="2" t="str">
        <f ca="1">IFERROR(__xludf.DUMMYFUNCTION("""COMPUTED_VALUE"""),"Building")</f>
        <v>Building</v>
      </c>
      <c r="D10005" s="2" t="str">
        <f ca="1">IFERROR(__xludf.DUMMYFUNCTION("""COMPUTED_VALUE"""),"Dubai&gt;Dubai Maritime City&gt;Anwa Aria by Omniyat")</f>
        <v>Dubai&gt;Dubai Maritime City&gt;Anwa Aria by Omniyat</v>
      </c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  <c r="V10005" s="2"/>
      <c r="W10005" s="2"/>
      <c r="X10005" s="2"/>
      <c r="Y10005" s="2"/>
      <c r="Z10005" s="2"/>
    </row>
    <row r="10006" spans="1:26" ht="16.5" x14ac:dyDescent="0.35">
      <c r="A10006" s="2" t="str">
        <f ca="1">IFERROR(__xludf.DUMMYFUNCTION("""COMPUTED_VALUE"""),"Dubai")</f>
        <v>Dubai</v>
      </c>
      <c r="B10006" s="2" t="str">
        <f ca="1">IFERROR(__xludf.DUMMYFUNCTION("""COMPUTED_VALUE"""),"Hilton Residences")</f>
        <v>Hilton Residences</v>
      </c>
      <c r="C10006" s="2" t="str">
        <f ca="1">IFERROR(__xludf.DUMMYFUNCTION("""COMPUTED_VALUE"""),"Building")</f>
        <v>Building</v>
      </c>
      <c r="D10006" s="2" t="str">
        <f ca="1">IFERROR(__xludf.DUMMYFUNCTION("""COMPUTED_VALUE"""),"Dubai&gt;Dubai Maritime City&gt;Hilton Residences")</f>
        <v>Dubai&gt;Dubai Maritime City&gt;Hilton Residences</v>
      </c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  <c r="V10006" s="2"/>
      <c r="W10006" s="2"/>
      <c r="X10006" s="2"/>
      <c r="Y10006" s="2"/>
      <c r="Z10006" s="2"/>
    </row>
    <row r="10007" spans="1:26" ht="16.5" x14ac:dyDescent="0.35">
      <c r="A10007" s="2" t="str">
        <f ca="1">IFERROR(__xludf.DUMMYFUNCTION("""COMPUTED_VALUE"""),"Dubai")</f>
        <v>Dubai</v>
      </c>
      <c r="B10007" s="2" t="str">
        <f ca="1">IFERROR(__xludf.DUMMYFUNCTION("""COMPUTED_VALUE"""),"The Fairways North")</f>
        <v>The Fairways North</v>
      </c>
      <c r="C10007" s="2" t="str">
        <f ca="1">IFERROR(__xludf.DUMMYFUNCTION("""COMPUTED_VALUE"""),"Building")</f>
        <v>Building</v>
      </c>
      <c r="D10007" s="2" t="str">
        <f ca="1">IFERROR(__xludf.DUMMYFUNCTION("""COMPUTED_VALUE"""),"Dubai&gt;The Views&gt;The Fairways&gt;The Fairways North")</f>
        <v>Dubai&gt;The Views&gt;The Fairways&gt;The Fairways North</v>
      </c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  <c r="V10007" s="2"/>
      <c r="W10007" s="2"/>
      <c r="X10007" s="2"/>
      <c r="Y10007" s="2"/>
      <c r="Z10007" s="2"/>
    </row>
    <row r="10008" spans="1:26" ht="16.5" x14ac:dyDescent="0.35">
      <c r="A10008" s="2" t="str">
        <f ca="1">IFERROR(__xludf.DUMMYFUNCTION("""COMPUTED_VALUE"""),"Dubai")</f>
        <v>Dubai</v>
      </c>
      <c r="B10008" s="2" t="str">
        <f ca="1">IFERROR(__xludf.DUMMYFUNCTION("""COMPUTED_VALUE"""),"Al Quoz Industrial Area 4")</f>
        <v>Al Quoz Industrial Area 4</v>
      </c>
      <c r="C10008" s="2" t="str">
        <f ca="1">IFERROR(__xludf.DUMMYFUNCTION("""COMPUTED_VALUE"""),"Neighbourhood")</f>
        <v>Neighbourhood</v>
      </c>
      <c r="D10008" s="2" t="str">
        <f ca="1">IFERROR(__xludf.DUMMYFUNCTION("""COMPUTED_VALUE"""),"Dubai&gt;Al Quoz&gt;Al Quoz Industrial Area&gt;Al Quoz Industrial Area 4")</f>
        <v>Dubai&gt;Al Quoz&gt;Al Quoz Industrial Area&gt;Al Quoz Industrial Area 4</v>
      </c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  <c r="V10008" s="2"/>
      <c r="W10008" s="2"/>
      <c r="X10008" s="2"/>
      <c r="Y10008" s="2"/>
      <c r="Z10008" s="2"/>
    </row>
    <row r="10009" spans="1:26" ht="16.5" x14ac:dyDescent="0.35">
      <c r="A10009" s="2" t="str">
        <f ca="1">IFERROR(__xludf.DUMMYFUNCTION("""COMPUTED_VALUE"""),"Dubai")</f>
        <v>Dubai</v>
      </c>
      <c r="B10009" s="2" t="str">
        <f ca="1">IFERROR(__xludf.DUMMYFUNCTION("""COMPUTED_VALUE"""),"Amled School")</f>
        <v>Amled School</v>
      </c>
      <c r="C10009" s="2" t="str">
        <f ca="1">IFERROR(__xludf.DUMMYFUNCTION("""COMPUTED_VALUE"""),"School")</f>
        <v>School</v>
      </c>
      <c r="D10009" s="2" t="str">
        <f ca="1">IFERROR(__xludf.DUMMYFUNCTION("""COMPUTED_VALUE"""),"Dubai&gt;Al Quoz&gt;Al Quoz 4&gt;Amled School")</f>
        <v>Dubai&gt;Al Quoz&gt;Al Quoz 4&gt;Amled School</v>
      </c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  <c r="V10009" s="2"/>
      <c r="W10009" s="2"/>
      <c r="X10009" s="2"/>
      <c r="Y10009" s="2"/>
      <c r="Z10009" s="2"/>
    </row>
    <row r="10010" spans="1:26" ht="16.5" x14ac:dyDescent="0.35">
      <c r="A10010" s="2" t="str">
        <f ca="1">IFERROR(__xludf.DUMMYFUNCTION("""COMPUTED_VALUE"""),"Dubai")</f>
        <v>Dubai</v>
      </c>
      <c r="B10010" s="2" t="str">
        <f ca="1">IFERROR(__xludf.DUMMYFUNCTION("""COMPUTED_VALUE"""),"Vernus International School, Dubai")</f>
        <v>Vernus International School, Dubai</v>
      </c>
      <c r="C10010" s="2" t="str">
        <f ca="1">IFERROR(__xludf.DUMMYFUNCTION("""COMPUTED_VALUE"""),"School")</f>
        <v>School</v>
      </c>
      <c r="D10010" s="2" t="str">
        <f ca="1">IFERROR(__xludf.DUMMYFUNCTION("""COMPUTED_VALUE"""),"Dubai&gt;Dubai Silicon Oasis (DSO)&gt;Vernus International School, Dubai")</f>
        <v>Dubai&gt;Dubai Silicon Oasis (DSO)&gt;Vernus International School, Dubai</v>
      </c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  <c r="V10010" s="2"/>
      <c r="W10010" s="2"/>
      <c r="X10010" s="2"/>
      <c r="Y10010" s="2"/>
      <c r="Z10010" s="2"/>
    </row>
    <row r="10011" spans="1:26" ht="16.5" x14ac:dyDescent="0.35">
      <c r="A10011" s="2" t="str">
        <f ca="1">IFERROR(__xludf.DUMMYFUNCTION("""COMPUTED_VALUE"""),"Dubai")</f>
        <v>Dubai</v>
      </c>
      <c r="B10011" s="2" t="str">
        <f ca="1">IFERROR(__xludf.DUMMYFUNCTION("""COMPUTED_VALUE"""),"Art 9")</f>
        <v>Art 9</v>
      </c>
      <c r="C10011" s="2" t="str">
        <f ca="1">IFERROR(__xludf.DUMMYFUNCTION("""COMPUTED_VALUE"""),"Building")</f>
        <v>Building</v>
      </c>
      <c r="D10011" s="2" t="str">
        <f ca="1">IFERROR(__xludf.DUMMYFUNCTION("""COMPUTED_VALUE"""),"Dubai&gt;Dubai Silicon Oasis (DSO)&gt;Art 9")</f>
        <v>Dubai&gt;Dubai Silicon Oasis (DSO)&gt;Art 9</v>
      </c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  <c r="V10011" s="2"/>
      <c r="W10011" s="2"/>
      <c r="X10011" s="2"/>
      <c r="Y10011" s="2"/>
      <c r="Z10011" s="2"/>
    </row>
    <row r="10012" spans="1:26" ht="16.5" x14ac:dyDescent="0.35">
      <c r="A10012" s="2" t="str">
        <f ca="1">IFERROR(__xludf.DUMMYFUNCTION("""COMPUTED_VALUE"""),"Dubai")</f>
        <v>Dubai</v>
      </c>
      <c r="B10012" s="2" t="str">
        <f ca="1">IFERROR(__xludf.DUMMYFUNCTION("""COMPUTED_VALUE"""),"Oasis Star")</f>
        <v>Oasis Star</v>
      </c>
      <c r="C10012" s="2" t="str">
        <f ca="1">IFERROR(__xludf.DUMMYFUNCTION("""COMPUTED_VALUE"""),"Building")</f>
        <v>Building</v>
      </c>
      <c r="D10012" s="2" t="str">
        <f ca="1">IFERROR(__xludf.DUMMYFUNCTION("""COMPUTED_VALUE"""),"Dubai&gt;Dubai Silicon Oasis (DSO)&gt;Oasis Star")</f>
        <v>Dubai&gt;Dubai Silicon Oasis (DSO)&gt;Oasis Star</v>
      </c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  <c r="V10012" s="2"/>
      <c r="W10012" s="2"/>
      <c r="X10012" s="2"/>
      <c r="Y10012" s="2"/>
      <c r="Z10012" s="2"/>
    </row>
    <row r="10013" spans="1:26" ht="16.5" x14ac:dyDescent="0.35">
      <c r="A10013" s="2" t="str">
        <f ca="1">IFERROR(__xludf.DUMMYFUNCTION("""COMPUTED_VALUE"""),"Dubai")</f>
        <v>Dubai</v>
      </c>
      <c r="B10013" s="2" t="str">
        <f ca="1">IFERROR(__xludf.DUMMYFUNCTION("""COMPUTED_VALUE"""),"City Oasis 3")</f>
        <v>City Oasis 3</v>
      </c>
      <c r="C10013" s="2" t="str">
        <f ca="1">IFERROR(__xludf.DUMMYFUNCTION("""COMPUTED_VALUE"""),"Building")</f>
        <v>Building</v>
      </c>
      <c r="D10013" s="2" t="str">
        <f ca="1">IFERROR(__xludf.DUMMYFUNCTION("""COMPUTED_VALUE"""),"Dubai&gt;Dubai Silicon Oasis (DSO)&gt;City Oasis&gt;City Oasis 3")</f>
        <v>Dubai&gt;Dubai Silicon Oasis (DSO)&gt;City Oasis&gt;City Oasis 3</v>
      </c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  <c r="V10013" s="2"/>
      <c r="W10013" s="2"/>
      <c r="X10013" s="2"/>
      <c r="Y10013" s="2"/>
      <c r="Z10013" s="2"/>
    </row>
    <row r="10014" spans="1:26" ht="16.5" x14ac:dyDescent="0.35">
      <c r="A10014" s="2" t="str">
        <f ca="1">IFERROR(__xludf.DUMMYFUNCTION("""COMPUTED_VALUE"""),"Dubai")</f>
        <v>Dubai</v>
      </c>
      <c r="B10014" s="2" t="str">
        <f ca="1">IFERROR(__xludf.DUMMYFUNCTION("""COMPUTED_VALUE"""),"Park Terrace")</f>
        <v>Park Terrace</v>
      </c>
      <c r="C10014" s="2" t="str">
        <f ca="1">IFERROR(__xludf.DUMMYFUNCTION("""COMPUTED_VALUE"""),"Building")</f>
        <v>Building</v>
      </c>
      <c r="D10014" s="2" t="str">
        <f ca="1">IFERROR(__xludf.DUMMYFUNCTION("""COMPUTED_VALUE"""),"Dubai&gt;Dubai Silicon Oasis (DSO)&gt;Park Terrace")</f>
        <v>Dubai&gt;Dubai Silicon Oasis (DSO)&gt;Park Terrace</v>
      </c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  <c r="V10014" s="2"/>
      <c r="W10014" s="2"/>
      <c r="X10014" s="2"/>
      <c r="Y10014" s="2"/>
      <c r="Z10014" s="2"/>
    </row>
    <row r="10015" spans="1:26" ht="16.5" x14ac:dyDescent="0.35">
      <c r="A10015" s="2" t="str">
        <f ca="1">IFERROR(__xludf.DUMMYFUNCTION("""COMPUTED_VALUE"""),"Dubai")</f>
        <v>Dubai</v>
      </c>
      <c r="B10015" s="2" t="str">
        <f ca="1">IFERROR(__xludf.DUMMYFUNCTION("""COMPUTED_VALUE"""),"Axis 8")</f>
        <v>Axis 8</v>
      </c>
      <c r="C10015" s="2" t="str">
        <f ca="1">IFERROR(__xludf.DUMMYFUNCTION("""COMPUTED_VALUE"""),"Building")</f>
        <v>Building</v>
      </c>
      <c r="D10015" s="2" t="str">
        <f ca="1">IFERROR(__xludf.DUMMYFUNCTION("""COMPUTED_VALUE"""),"Dubai&gt;Dubai Silicon Oasis (DSO)&gt;Axis Residences&gt;Axis 8")</f>
        <v>Dubai&gt;Dubai Silicon Oasis (DSO)&gt;Axis Residences&gt;Axis 8</v>
      </c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  <c r="V10015" s="2"/>
      <c r="W10015" s="2"/>
      <c r="X10015" s="2"/>
      <c r="Y10015" s="2"/>
      <c r="Z10015" s="2"/>
    </row>
    <row r="10016" spans="1:26" ht="16.5" x14ac:dyDescent="0.35">
      <c r="A10016" s="2" t="str">
        <f ca="1">IFERROR(__xludf.DUMMYFUNCTION("""COMPUTED_VALUE"""),"Dubai")</f>
        <v>Dubai</v>
      </c>
      <c r="B10016" s="2" t="str">
        <f ca="1">IFERROR(__xludf.DUMMYFUNCTION("""COMPUTED_VALUE"""),"Donna Towers")</f>
        <v>Donna Towers</v>
      </c>
      <c r="C10016" s="2" t="str">
        <f ca="1">IFERROR(__xludf.DUMMYFUNCTION("""COMPUTED_VALUE"""),"Cluster")</f>
        <v>Cluster</v>
      </c>
      <c r="D10016" s="2" t="str">
        <f ca="1">IFERROR(__xludf.DUMMYFUNCTION("""COMPUTED_VALUE"""),"Dubai&gt;Dubai Silicon Oasis (DSO)&gt;Donna Towers")</f>
        <v>Dubai&gt;Dubai Silicon Oasis (DSO)&gt;Donna Towers</v>
      </c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  <c r="V10016" s="2"/>
      <c r="W10016" s="2"/>
      <c r="X10016" s="2"/>
      <c r="Y10016" s="2"/>
      <c r="Z10016" s="2"/>
    </row>
    <row r="10017" spans="1:26" ht="16.5" x14ac:dyDescent="0.35">
      <c r="A10017" s="2" t="str">
        <f ca="1">IFERROR(__xludf.DUMMYFUNCTION("""COMPUTED_VALUE"""),"Dubai")</f>
        <v>Dubai</v>
      </c>
      <c r="B10017" s="2" t="str">
        <f ca="1">IFERROR(__xludf.DUMMYFUNCTION("""COMPUTED_VALUE"""),"Ashjar E1")</f>
        <v>Ashjar E1</v>
      </c>
      <c r="C10017" s="2" t="str">
        <f ca="1">IFERROR(__xludf.DUMMYFUNCTION("""COMPUTED_VALUE"""),"Building")</f>
        <v>Building</v>
      </c>
      <c r="D10017" s="2" t="str">
        <f ca="1">IFERROR(__xludf.DUMMYFUNCTION("""COMPUTED_VALUE"""),"Dubai&gt;Al Barari&gt;Ashjar&gt;Ashjar E1")</f>
        <v>Dubai&gt;Al Barari&gt;Ashjar&gt;Ashjar E1</v>
      </c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  <c r="V10017" s="2"/>
      <c r="W10017" s="2"/>
      <c r="X10017" s="2"/>
      <c r="Y10017" s="2"/>
      <c r="Z10017" s="2"/>
    </row>
    <row r="10018" spans="1:26" ht="16.5" x14ac:dyDescent="0.35">
      <c r="A10018" s="2" t="str">
        <f ca="1">IFERROR(__xludf.DUMMYFUNCTION("""COMPUTED_VALUE"""),"Dubai")</f>
        <v>Dubai</v>
      </c>
      <c r="B10018" s="2" t="str">
        <f ca="1">IFERROR(__xludf.DUMMYFUNCTION("""COMPUTED_VALUE"""),"Jasmine Leaf 2")</f>
        <v>Jasmine Leaf 2</v>
      </c>
      <c r="C10018" s="2" t="str">
        <f ca="1">IFERROR(__xludf.DUMMYFUNCTION("""COMPUTED_VALUE"""),"Neighbourhood")</f>
        <v>Neighbourhood</v>
      </c>
      <c r="D10018" s="2" t="str">
        <f ca="1">IFERROR(__xludf.DUMMYFUNCTION("""COMPUTED_VALUE"""),"Dubai&gt;Al Barari&gt;The Residences&gt;Jasmine Leaf&gt;Jasmine Leaf 2")</f>
        <v>Dubai&gt;Al Barari&gt;The Residences&gt;Jasmine Leaf&gt;Jasmine Leaf 2</v>
      </c>
      <c r="E10018" s="2"/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  <c r="V10018" s="2"/>
      <c r="W10018" s="2"/>
      <c r="X10018" s="2"/>
      <c r="Y10018" s="2"/>
      <c r="Z10018" s="2"/>
    </row>
    <row r="10019" spans="1:26" ht="16.5" x14ac:dyDescent="0.35">
      <c r="A10019" s="2" t="str">
        <f ca="1">IFERROR(__xludf.DUMMYFUNCTION("""COMPUTED_VALUE"""),"Dubai")</f>
        <v>Dubai</v>
      </c>
      <c r="B10019" s="2" t="str">
        <f ca="1">IFERROR(__xludf.DUMMYFUNCTION("""COMPUTED_VALUE"""),"Jade at the Fields")</f>
        <v>Jade at the Fields</v>
      </c>
      <c r="C10019" s="2" t="str">
        <f ca="1">IFERROR(__xludf.DUMMYFUNCTION("""COMPUTED_VALUE"""),"Neighbourhood")</f>
        <v>Neighbourhood</v>
      </c>
      <c r="D10019" s="2" t="str">
        <f ca="1">IFERROR(__xludf.DUMMYFUNCTION("""COMPUTED_VALUE"""),"Dubai&gt;Mohammed Bin Rashid City&gt;District 11&gt;The Fields&gt;Jade at the Fields")</f>
        <v>Dubai&gt;Mohammed Bin Rashid City&gt;District 11&gt;The Fields&gt;Jade at the Fields</v>
      </c>
      <c r="E10019" s="2"/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  <c r="V10019" s="2"/>
      <c r="W10019" s="2"/>
      <c r="X10019" s="2"/>
      <c r="Y10019" s="2"/>
      <c r="Z10019" s="2"/>
    </row>
    <row r="10020" spans="1:26" ht="16.5" x14ac:dyDescent="0.35">
      <c r="A10020" s="2" t="str">
        <f ca="1">IFERROR(__xludf.DUMMYFUNCTION("""COMPUTED_VALUE"""),"Dubai")</f>
        <v>Dubai</v>
      </c>
      <c r="B10020" s="2" t="str">
        <f ca="1">IFERROR(__xludf.DUMMYFUNCTION("""COMPUTED_VALUE"""),"Selora Residences")</f>
        <v>Selora Residences</v>
      </c>
      <c r="C10020" s="2" t="str">
        <f ca="1">IFERROR(__xludf.DUMMYFUNCTION("""COMPUTED_VALUE"""),"Neighbourhood")</f>
        <v>Neighbourhood</v>
      </c>
      <c r="D10020" s="2" t="str">
        <f ca="1">IFERROR(__xludf.DUMMYFUNCTION("""COMPUTED_VALUE"""),"Dubai&gt;Mohammed Bin Rashid City&gt;District 11&gt;Selora Residences")</f>
        <v>Dubai&gt;Mohammed Bin Rashid City&gt;District 11&gt;Selora Residences</v>
      </c>
      <c r="E10020" s="2"/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  <c r="V10020" s="2"/>
      <c r="W10020" s="2"/>
      <c r="X10020" s="2"/>
      <c r="Y10020" s="2"/>
      <c r="Z10020" s="2"/>
    </row>
    <row r="10021" spans="1:26" ht="16.5" x14ac:dyDescent="0.35">
      <c r="A10021" s="2" t="str">
        <f ca="1">IFERROR(__xludf.DUMMYFUNCTION("""COMPUTED_VALUE"""),"Dubai")</f>
        <v>Dubai</v>
      </c>
      <c r="B10021" s="2" t="str">
        <f ca="1">IFERROR(__xludf.DUMMYFUNCTION("""COMPUTED_VALUE"""),"Residences 26")</f>
        <v>Residences 26</v>
      </c>
      <c r="C10021" s="2" t="str">
        <f ca="1">IFERROR(__xludf.DUMMYFUNCTION("""COMPUTED_VALUE"""),"Building")</f>
        <v>Building</v>
      </c>
      <c r="D10021" s="2" t="str">
        <f ca="1">IFERROR(__xludf.DUMMYFUNCTION("""COMPUTED_VALUE"""),"Dubai&gt;Mohammed Bin Rashid City&gt;District One&gt;The Residences at District One&gt;Residences 26")</f>
        <v>Dubai&gt;Mohammed Bin Rashid City&gt;District One&gt;The Residences at District One&gt;Residences 26</v>
      </c>
      <c r="E10021" s="2"/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  <c r="V10021" s="2"/>
      <c r="W10021" s="2"/>
      <c r="X10021" s="2"/>
      <c r="Y10021" s="2"/>
      <c r="Z10021" s="2"/>
    </row>
    <row r="10022" spans="1:26" ht="16.5" x14ac:dyDescent="0.35">
      <c r="A10022" s="2" t="str">
        <f ca="1">IFERROR(__xludf.DUMMYFUNCTION("""COMPUTED_VALUE"""),"Dubai")</f>
        <v>Dubai</v>
      </c>
      <c r="B10022" s="2" t="str">
        <f ca="1">IFERROR(__xludf.DUMMYFUNCTION("""COMPUTED_VALUE"""),"C1")</f>
        <v>C1</v>
      </c>
      <c r="C10022" s="2" t="str">
        <f ca="1">IFERROR(__xludf.DUMMYFUNCTION("""COMPUTED_VALUE"""),"Building")</f>
        <v>Building</v>
      </c>
      <c r="D10022" s="2" t="str">
        <f ca="1">IFERROR(__xludf.DUMMYFUNCTION("""COMPUTED_VALUE"""),"Dubai&gt;Dubai South&gt;Residential District&gt;The Pulse&gt;Boulevard Apartments&gt;C1")</f>
        <v>Dubai&gt;Dubai South&gt;Residential District&gt;The Pulse&gt;Boulevard Apartments&gt;C1</v>
      </c>
      <c r="E10022" s="2"/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2"/>
      <c r="W10022" s="2"/>
      <c r="X10022" s="2"/>
      <c r="Y10022" s="2"/>
      <c r="Z10022" s="2"/>
    </row>
    <row r="10023" spans="1:26" ht="16.5" x14ac:dyDescent="0.35">
      <c r="A10023" s="2" t="str">
        <f ca="1">IFERROR(__xludf.DUMMYFUNCTION("""COMPUTED_VALUE"""),"Dubai")</f>
        <v>Dubai</v>
      </c>
      <c r="B10023" s="2" t="str">
        <f ca="1">IFERROR(__xludf.DUMMYFUNCTION("""COMPUTED_VALUE"""),"MAG 540")</f>
        <v>MAG 540</v>
      </c>
      <c r="C10023" s="2" t="str">
        <f ca="1">IFERROR(__xludf.DUMMYFUNCTION("""COMPUTED_VALUE"""),"Building")</f>
        <v>Building</v>
      </c>
      <c r="D10023" s="2" t="str">
        <f ca="1">IFERROR(__xludf.DUMMYFUNCTION("""COMPUTED_VALUE"""),"Dubai&gt;Dubai South&gt;Residential District&gt;MAG 5 Boulevard&gt;MAG 540")</f>
        <v>Dubai&gt;Dubai South&gt;Residential District&gt;MAG 5 Boulevard&gt;MAG 540</v>
      </c>
      <c r="E10023" s="2"/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  <c r="V10023" s="2"/>
      <c r="W10023" s="2"/>
      <c r="X10023" s="2"/>
      <c r="Y10023" s="2"/>
      <c r="Z10023" s="2"/>
    </row>
    <row r="10024" spans="1:26" ht="16.5" x14ac:dyDescent="0.35">
      <c r="A10024" s="2" t="str">
        <f ca="1">IFERROR(__xludf.DUMMYFUNCTION("""COMPUTED_VALUE"""),"Dubai")</f>
        <v>Dubai</v>
      </c>
      <c r="B10024" s="2" t="str">
        <f ca="1">IFERROR(__xludf.DUMMYFUNCTION("""COMPUTED_VALUE"""),"Al Jaberi 2")</f>
        <v>Al Jaberi 2</v>
      </c>
      <c r="C10024" s="2" t="str">
        <f ca="1">IFERROR(__xludf.DUMMYFUNCTION("""COMPUTED_VALUE"""),"Building")</f>
        <v>Building</v>
      </c>
      <c r="D10024" s="2" t="str">
        <f ca="1">IFERROR(__xludf.DUMMYFUNCTION("""COMPUTED_VALUE"""),"Dubai&gt;Dubai South&gt;Residential District&gt;Al Jaberi 2")</f>
        <v>Dubai&gt;Dubai South&gt;Residential District&gt;Al Jaberi 2</v>
      </c>
      <c r="E10024" s="2"/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  <c r="V10024" s="2"/>
      <c r="W10024" s="2"/>
      <c r="X10024" s="2"/>
      <c r="Y10024" s="2"/>
      <c r="Z10024" s="2"/>
    </row>
    <row r="10025" spans="1:26" ht="16.5" x14ac:dyDescent="0.35">
      <c r="A10025" s="2" t="str">
        <f ca="1">IFERROR(__xludf.DUMMYFUNCTION("""COMPUTED_VALUE"""),"Dubai")</f>
        <v>Dubai</v>
      </c>
      <c r="B10025" s="2" t="str">
        <f ca="1">IFERROR(__xludf.DUMMYFUNCTION("""COMPUTED_VALUE"""),"Casa Aura Residence")</f>
        <v>Casa Aura Residence</v>
      </c>
      <c r="C10025" s="2" t="str">
        <f ca="1">IFERROR(__xludf.DUMMYFUNCTION("""COMPUTED_VALUE"""),"Building")</f>
        <v>Building</v>
      </c>
      <c r="D10025" s="2" t="str">
        <f ca="1">IFERROR(__xludf.DUMMYFUNCTION("""COMPUTED_VALUE"""),"Dubai&gt;Dubai South&gt;Residential District&gt;Casa Aura Residence")</f>
        <v>Dubai&gt;Dubai South&gt;Residential District&gt;Casa Aura Residence</v>
      </c>
      <c r="E10025" s="2"/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2"/>
      <c r="W10025" s="2"/>
      <c r="X10025" s="2"/>
      <c r="Y10025" s="2"/>
      <c r="Z10025" s="2"/>
    </row>
    <row r="10026" spans="1:26" ht="16.5" x14ac:dyDescent="0.35">
      <c r="A10026" s="2" t="str">
        <f ca="1">IFERROR(__xludf.DUMMYFUNCTION("""COMPUTED_VALUE"""),"Dubai")</f>
        <v>Dubai</v>
      </c>
      <c r="B10026" s="2" t="str">
        <f ca="1">IFERROR(__xludf.DUMMYFUNCTION("""COMPUTED_VALUE"""),"Expo Golf Villas 6 (Greenviews 3)")</f>
        <v>Expo Golf Villas 6 (Greenviews 3)</v>
      </c>
      <c r="C10026" s="2" t="str">
        <f ca="1">IFERROR(__xludf.DUMMYFUNCTION("""COMPUTED_VALUE"""),"Neighbourhood")</f>
        <v>Neighbourhood</v>
      </c>
      <c r="D10026" s="2" t="str">
        <f ca="1">IFERROR(__xludf.DUMMYFUNCTION("""COMPUTED_VALUE"""),"Dubai&gt;Dubai South&gt;Emaar South&gt;Expo Golf Villas&gt;Expo Golf Villas 6 (Greenviews 3)")</f>
        <v>Dubai&gt;Dubai South&gt;Emaar South&gt;Expo Golf Villas&gt;Expo Golf Villas 6 (Greenviews 3)</v>
      </c>
      <c r="E10026" s="2"/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2"/>
      <c r="W10026" s="2"/>
      <c r="X10026" s="2"/>
      <c r="Y10026" s="2"/>
      <c r="Z10026" s="2"/>
    </row>
    <row r="10027" spans="1:26" ht="16.5" x14ac:dyDescent="0.35">
      <c r="A10027" s="2" t="str">
        <f ca="1">IFERROR(__xludf.DUMMYFUNCTION("""COMPUTED_VALUE"""),"Dubai")</f>
        <v>Dubai</v>
      </c>
      <c r="B10027" s="2" t="str">
        <f ca="1">IFERROR(__xludf.DUMMYFUNCTION("""COMPUTED_VALUE"""),"Golf Verge Building C")</f>
        <v>Golf Verge Building C</v>
      </c>
      <c r="C10027" s="2" t="str">
        <f ca="1">IFERROR(__xludf.DUMMYFUNCTION("""COMPUTED_VALUE"""),"Building")</f>
        <v>Building</v>
      </c>
      <c r="D10027" s="2" t="str">
        <f ca="1">IFERROR(__xludf.DUMMYFUNCTION("""COMPUTED_VALUE"""),"Dubai&gt;Dubai South&gt;Emaar South&gt;Golf Verge&gt;Golf Verge Building C")</f>
        <v>Dubai&gt;Dubai South&gt;Emaar South&gt;Golf Verge&gt;Golf Verge Building C</v>
      </c>
      <c r="E10027" s="2"/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  <c r="V10027" s="2"/>
      <c r="W10027" s="2"/>
      <c r="X10027" s="2"/>
      <c r="Y10027" s="2"/>
      <c r="Z10027" s="2"/>
    </row>
    <row r="10028" spans="1:26" ht="16.5" x14ac:dyDescent="0.35">
      <c r="A10028" s="2" t="str">
        <f ca="1">IFERROR(__xludf.DUMMYFUNCTION("""COMPUTED_VALUE"""),"Dubai")</f>
        <v>Dubai</v>
      </c>
      <c r="B10028" s="2" t="str">
        <f ca="1">IFERROR(__xludf.DUMMYFUNCTION("""COMPUTED_VALUE"""),"Al Wasl Building P522")</f>
        <v>Al Wasl Building P522</v>
      </c>
      <c r="C10028" s="2" t="str">
        <f ca="1">IFERROR(__xludf.DUMMYFUNCTION("""COMPUTED_VALUE"""),"Building")</f>
        <v>Building</v>
      </c>
      <c r="D10028" s="2" t="str">
        <f ca="1">IFERROR(__xludf.DUMMYFUNCTION("""COMPUTED_VALUE"""),"Dubai&gt;Al Mamzar&gt;Al Wasl Building P522")</f>
        <v>Dubai&gt;Al Mamzar&gt;Al Wasl Building P522</v>
      </c>
      <c r="E10028" s="2"/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2"/>
      <c r="W10028" s="2"/>
      <c r="X10028" s="2"/>
      <c r="Y10028" s="2"/>
      <c r="Z10028" s="2"/>
    </row>
    <row r="10029" spans="1:26" ht="16.5" x14ac:dyDescent="0.35">
      <c r="A10029" s="2" t="str">
        <f ca="1">IFERROR(__xludf.DUMMYFUNCTION("""COMPUTED_VALUE"""),"Dubai")</f>
        <v>Dubai</v>
      </c>
      <c r="B10029" s="2" t="str">
        <f ca="1">IFERROR(__xludf.DUMMYFUNCTION("""COMPUTED_VALUE"""),"Gulf Model School")</f>
        <v>Gulf Model School</v>
      </c>
      <c r="C10029" s="2" t="str">
        <f ca="1">IFERROR(__xludf.DUMMYFUNCTION("""COMPUTED_VALUE"""),"School")</f>
        <v>School</v>
      </c>
      <c r="D10029" s="2" t="str">
        <f ca="1">IFERROR(__xludf.DUMMYFUNCTION("""COMPUTED_VALUE"""),"Dubai&gt;Muhaisnah&gt;Muhaisnah 4&gt;Gulf Model School")</f>
        <v>Dubai&gt;Muhaisnah&gt;Muhaisnah 4&gt;Gulf Model School</v>
      </c>
      <c r="E10029" s="2"/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2"/>
      <c r="W10029" s="2"/>
      <c r="X10029" s="2"/>
      <c r="Y10029" s="2"/>
      <c r="Z10029" s="2"/>
    </row>
    <row r="10030" spans="1:26" ht="16.5" x14ac:dyDescent="0.35">
      <c r="A10030" s="2" t="str">
        <f ca="1">IFERROR(__xludf.DUMMYFUNCTION("""COMPUTED_VALUE"""),"Dubai")</f>
        <v>Dubai</v>
      </c>
      <c r="B10030" s="2" t="str">
        <f ca="1">IFERROR(__xludf.DUMMYFUNCTION("""COMPUTED_VALUE"""),"Wasl Building R446 Block A")</f>
        <v>Wasl Building R446 Block A</v>
      </c>
      <c r="C10030" s="2" t="str">
        <f ca="1">IFERROR(__xludf.DUMMYFUNCTION("""COMPUTED_VALUE"""),"Building")</f>
        <v>Building</v>
      </c>
      <c r="D10030" s="2" t="str">
        <f ca="1">IFERROR(__xludf.DUMMYFUNCTION("""COMPUTED_VALUE"""),"Dubai&gt;Muhaisnah&gt;Muhaisnah 4&gt;Wasl Building R446&gt;Wasl Building R446 Block A")</f>
        <v>Dubai&gt;Muhaisnah&gt;Muhaisnah 4&gt;Wasl Building R446&gt;Wasl Building R446 Block A</v>
      </c>
      <c r="E10030" s="2"/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  <c r="V10030" s="2"/>
      <c r="W10030" s="2"/>
      <c r="X10030" s="2"/>
      <c r="Y10030" s="2"/>
      <c r="Z10030" s="2"/>
    </row>
    <row r="10031" spans="1:26" ht="16.5" x14ac:dyDescent="0.35">
      <c r="A10031" s="2" t="str">
        <f ca="1">IFERROR(__xludf.DUMMYFUNCTION("""COMPUTED_VALUE"""),"Dubai")</f>
        <v>Dubai</v>
      </c>
      <c r="B10031" s="2" t="str">
        <f ca="1">IFERROR(__xludf.DUMMYFUNCTION("""COMPUTED_VALUE"""),"Al Fattan Sky Tower 2")</f>
        <v>Al Fattan Sky Tower 2</v>
      </c>
      <c r="C10031" s="2" t="str">
        <f ca="1">IFERROR(__xludf.DUMMYFUNCTION("""COMPUTED_VALUE"""),"Building")</f>
        <v>Building</v>
      </c>
      <c r="D10031" s="2" t="str">
        <f ca="1">IFERROR(__xludf.DUMMYFUNCTION("""COMPUTED_VALUE"""),"Dubai&gt;Umm Ramool&gt;Al Fattan Sky Towers&gt;Al Fattan Sky Tower 2")</f>
        <v>Dubai&gt;Umm Ramool&gt;Al Fattan Sky Towers&gt;Al Fattan Sky Tower 2</v>
      </c>
      <c r="E10031" s="2"/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  <c r="V10031" s="2"/>
      <c r="W10031" s="2"/>
      <c r="X10031" s="2"/>
      <c r="Y10031" s="2"/>
      <c r="Z10031" s="2"/>
    </row>
    <row r="10032" spans="1:26" ht="16.5" x14ac:dyDescent="0.35">
      <c r="A10032" s="2" t="str">
        <f ca="1">IFERROR(__xludf.DUMMYFUNCTION("""COMPUTED_VALUE"""),"Dubai")</f>
        <v>Dubai</v>
      </c>
      <c r="B10032" s="2" t="str">
        <f ca="1">IFERROR(__xludf.DUMMYFUNCTION("""COMPUTED_VALUE"""),"UTC Residence")</f>
        <v>UTC Residence</v>
      </c>
      <c r="C10032" s="2" t="str">
        <f ca="1">IFERROR(__xludf.DUMMYFUNCTION("""COMPUTED_VALUE"""),"Building")</f>
        <v>Building</v>
      </c>
      <c r="D10032" s="2" t="str">
        <f ca="1">IFERROR(__xludf.DUMMYFUNCTION("""COMPUTED_VALUE"""),"Dubai&gt;Sheikh Zayed Road&gt;UTC Residence")</f>
        <v>Dubai&gt;Sheikh Zayed Road&gt;UTC Residence</v>
      </c>
      <c r="E10032" s="2"/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  <c r="V10032" s="2"/>
      <c r="W10032" s="2"/>
      <c r="X10032" s="2"/>
      <c r="Y10032" s="2"/>
      <c r="Z10032" s="2"/>
    </row>
    <row r="10033" spans="1:26" ht="16.5" x14ac:dyDescent="0.35">
      <c r="A10033" s="2" t="str">
        <f ca="1">IFERROR(__xludf.DUMMYFUNCTION("""COMPUTED_VALUE"""),"Dubai")</f>
        <v>Dubai</v>
      </c>
      <c r="B10033" s="2" t="str">
        <f ca="1">IFERROR(__xludf.DUMMYFUNCTION("""COMPUTED_VALUE"""),"Nassima Tower")</f>
        <v>Nassima Tower</v>
      </c>
      <c r="C10033" s="2" t="str">
        <f ca="1">IFERROR(__xludf.DUMMYFUNCTION("""COMPUTED_VALUE"""),"Building")</f>
        <v>Building</v>
      </c>
      <c r="D10033" s="2" t="str">
        <f ca="1">IFERROR(__xludf.DUMMYFUNCTION("""COMPUTED_VALUE"""),"Dubai&gt;Sheikh Zayed Road&gt;Nassima Tower")</f>
        <v>Dubai&gt;Sheikh Zayed Road&gt;Nassima Tower</v>
      </c>
      <c r="E10033" s="2"/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  <c r="V10033" s="2"/>
      <c r="W10033" s="2"/>
      <c r="X10033" s="2"/>
      <c r="Y10033" s="2"/>
      <c r="Z10033" s="2"/>
    </row>
    <row r="10034" spans="1:26" ht="16.5" x14ac:dyDescent="0.35">
      <c r="A10034" s="2" t="str">
        <f ca="1">IFERROR(__xludf.DUMMYFUNCTION("""COMPUTED_VALUE"""),"Dubai")</f>
        <v>Dubai</v>
      </c>
      <c r="B10034" s="2" t="str">
        <f ca="1">IFERROR(__xludf.DUMMYFUNCTION("""COMPUTED_VALUE"""),"Crowne Plaza Office Tower")</f>
        <v>Crowne Plaza Office Tower</v>
      </c>
      <c r="C10034" s="2" t="str">
        <f ca="1">IFERROR(__xludf.DUMMYFUNCTION("""COMPUTED_VALUE"""),"Building")</f>
        <v>Building</v>
      </c>
      <c r="D10034" s="2" t="str">
        <f ca="1">IFERROR(__xludf.DUMMYFUNCTION("""COMPUTED_VALUE"""),"Dubai&gt;Sheikh Zayed Road&gt;Crowne Plaza Office Tower")</f>
        <v>Dubai&gt;Sheikh Zayed Road&gt;Crowne Plaza Office Tower</v>
      </c>
      <c r="E10034" s="2"/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  <c r="V10034" s="2"/>
      <c r="W10034" s="2"/>
      <c r="X10034" s="2"/>
      <c r="Y10034" s="2"/>
      <c r="Z10034" s="2"/>
    </row>
    <row r="10035" spans="1:26" ht="16.5" x14ac:dyDescent="0.35">
      <c r="A10035" s="2" t="str">
        <f ca="1">IFERROR(__xludf.DUMMYFUNCTION("""COMPUTED_VALUE"""),"Dubai")</f>
        <v>Dubai</v>
      </c>
      <c r="B10035" s="2" t="str">
        <f ca="1">IFERROR(__xludf.DUMMYFUNCTION("""COMPUTED_VALUE"""),"Rose Rayhaan by Rotana")</f>
        <v>Rose Rayhaan by Rotana</v>
      </c>
      <c r="C10035" s="2" t="str">
        <f ca="1">IFERROR(__xludf.DUMMYFUNCTION("""COMPUTED_VALUE"""),"Building")</f>
        <v>Building</v>
      </c>
      <c r="D10035" s="2" t="str">
        <f ca="1">IFERROR(__xludf.DUMMYFUNCTION("""COMPUTED_VALUE"""),"Dubai&gt;Sheikh Zayed Road&gt;Rose Rayhaan by Rotana")</f>
        <v>Dubai&gt;Sheikh Zayed Road&gt;Rose Rayhaan by Rotana</v>
      </c>
      <c r="E10035" s="2"/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  <c r="V10035" s="2"/>
      <c r="W10035" s="2"/>
      <c r="X10035" s="2"/>
      <c r="Y10035" s="2"/>
      <c r="Z10035" s="2"/>
    </row>
    <row r="10036" spans="1:26" ht="16.5" x14ac:dyDescent="0.35">
      <c r="A10036" s="2" t="str">
        <f ca="1">IFERROR(__xludf.DUMMYFUNCTION("""COMPUTED_VALUE"""),"Dubai")</f>
        <v>Dubai</v>
      </c>
      <c r="B10036" s="2" t="str">
        <f ca="1">IFERROR(__xludf.DUMMYFUNCTION("""COMPUTED_VALUE"""),"Al Fajer Residence")</f>
        <v>Al Fajer Residence</v>
      </c>
      <c r="C10036" s="2" t="str">
        <f ca="1">IFERROR(__xludf.DUMMYFUNCTION("""COMPUTED_VALUE"""),"Building")</f>
        <v>Building</v>
      </c>
      <c r="D10036" s="2" t="str">
        <f ca="1">IFERROR(__xludf.DUMMYFUNCTION("""COMPUTED_VALUE"""),"Dubai&gt;Al Karama&gt;Al Fajer Residence")</f>
        <v>Dubai&gt;Al Karama&gt;Al Fajer Residence</v>
      </c>
      <c r="E10036" s="2"/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  <c r="V10036" s="2"/>
      <c r="W10036" s="2"/>
      <c r="X10036" s="2"/>
      <c r="Y10036" s="2"/>
      <c r="Z10036" s="2"/>
    </row>
    <row r="10037" spans="1:26" ht="16.5" x14ac:dyDescent="0.35">
      <c r="A10037" s="2" t="str">
        <f ca="1">IFERROR(__xludf.DUMMYFUNCTION("""COMPUTED_VALUE"""),"Dubai")</f>
        <v>Dubai</v>
      </c>
      <c r="B10037" s="2" t="str">
        <f ca="1">IFERROR(__xludf.DUMMYFUNCTION("""COMPUTED_VALUE"""),"Building 31")</f>
        <v>Building 31</v>
      </c>
      <c r="C10037" s="2" t="str">
        <f ca="1">IFERROR(__xludf.DUMMYFUNCTION("""COMPUTED_VALUE"""),"Building")</f>
        <v>Building</v>
      </c>
      <c r="D10037" s="2" t="str">
        <f ca="1">IFERROR(__xludf.DUMMYFUNCTION("""COMPUTED_VALUE"""),"Dubai&gt;Al Karama&gt;Karam Pioneer Buildings&gt;Building 31")</f>
        <v>Dubai&gt;Al Karama&gt;Karam Pioneer Buildings&gt;Building 31</v>
      </c>
      <c r="E10037" s="2"/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2"/>
      <c r="W10037" s="2"/>
      <c r="X10037" s="2"/>
      <c r="Y10037" s="2"/>
      <c r="Z10037" s="2"/>
    </row>
    <row r="10038" spans="1:26" ht="16.5" x14ac:dyDescent="0.35">
      <c r="A10038" s="2" t="str">
        <f ca="1">IFERROR(__xludf.DUMMYFUNCTION("""COMPUTED_VALUE"""),"Dubai")</f>
        <v>Dubai</v>
      </c>
      <c r="B10038" s="2" t="str">
        <f ca="1">IFERROR(__xludf.DUMMYFUNCTION("""COMPUTED_VALUE"""),"Karama Shopping Complex - S")</f>
        <v>Karama Shopping Complex - S</v>
      </c>
      <c r="C10038" s="2" t="str">
        <f ca="1">IFERROR(__xludf.DUMMYFUNCTION("""COMPUTED_VALUE"""),"Building")</f>
        <v>Building</v>
      </c>
      <c r="D10038" s="2" t="str">
        <f ca="1">IFERROR(__xludf.DUMMYFUNCTION("""COMPUTED_VALUE"""),"Dubai&gt;Al Karama&gt;Karama Shopping Complex&gt;Karama Shopping Complex - S")</f>
        <v>Dubai&gt;Al Karama&gt;Karama Shopping Complex&gt;Karama Shopping Complex - S</v>
      </c>
      <c r="E10038" s="2"/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  <c r="V10038" s="2"/>
      <c r="W10038" s="2"/>
      <c r="X10038" s="2"/>
      <c r="Y10038" s="2"/>
      <c r="Z10038" s="2"/>
    </row>
    <row r="10039" spans="1:26" ht="16.5" x14ac:dyDescent="0.35">
      <c r="A10039" s="2" t="str">
        <f ca="1">IFERROR(__xludf.DUMMYFUNCTION("""COMPUTED_VALUE"""),"Dubai")</f>
        <v>Dubai</v>
      </c>
      <c r="B10039" s="2" t="str">
        <f ca="1">IFERROR(__xludf.DUMMYFUNCTION("""COMPUTED_VALUE"""),"Mohd Rafi Qassimi &amp; Mohd Saleh Ahmed")</f>
        <v>Mohd Rafi Qassimi &amp; Mohd Saleh Ahmed</v>
      </c>
      <c r="C10039" s="2" t="str">
        <f ca="1">IFERROR(__xludf.DUMMYFUNCTION("""COMPUTED_VALUE"""),"Building")</f>
        <v>Building</v>
      </c>
      <c r="D10039" s="2" t="str">
        <f ca="1">IFERROR(__xludf.DUMMYFUNCTION("""COMPUTED_VALUE"""),"Dubai&gt;Al Karama&gt;Mohd Rafi Qassimi &amp; Mohd Saleh Ahmed")</f>
        <v>Dubai&gt;Al Karama&gt;Mohd Rafi Qassimi &amp; Mohd Saleh Ahmed</v>
      </c>
      <c r="E10039" s="2"/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  <c r="V10039" s="2"/>
      <c r="W10039" s="2"/>
      <c r="X10039" s="2"/>
      <c r="Y10039" s="2"/>
      <c r="Z10039" s="2"/>
    </row>
    <row r="10040" spans="1:26" ht="16.5" x14ac:dyDescent="0.35">
      <c r="A10040" s="2" t="str">
        <f ca="1">IFERROR(__xludf.DUMMYFUNCTION("""COMPUTED_VALUE"""),"Dubai")</f>
        <v>Dubai</v>
      </c>
      <c r="B10040" s="2" t="str">
        <f ca="1">IFERROR(__xludf.DUMMYFUNCTION("""COMPUTED_VALUE"""),"Al Mabrooka A")</f>
        <v>Al Mabrooka A</v>
      </c>
      <c r="C10040" s="2" t="str">
        <f ca="1">IFERROR(__xludf.DUMMYFUNCTION("""COMPUTED_VALUE"""),"Building")</f>
        <v>Building</v>
      </c>
      <c r="D10040" s="2" t="str">
        <f ca="1">IFERROR(__xludf.DUMMYFUNCTION("""COMPUTED_VALUE"""),"Dubai&gt;Al Karama&gt;Al Mabrooka 1&gt;Al Mabrooka A")</f>
        <v>Dubai&gt;Al Karama&gt;Al Mabrooka 1&gt;Al Mabrooka A</v>
      </c>
      <c r="E10040" s="2"/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  <c r="V10040" s="2"/>
      <c r="W10040" s="2"/>
      <c r="X10040" s="2"/>
      <c r="Y10040" s="2"/>
      <c r="Z10040" s="2"/>
    </row>
    <row r="10041" spans="1:26" ht="16.5" x14ac:dyDescent="0.35">
      <c r="A10041" s="2" t="str">
        <f ca="1">IFERROR(__xludf.DUMMYFUNCTION("""COMPUTED_VALUE"""),"Dubai")</f>
        <v>Dubai</v>
      </c>
      <c r="B10041" s="2" t="str">
        <f ca="1">IFERROR(__xludf.DUMMYFUNCTION("""COMPUTED_VALUE"""),"Al Khamis Building")</f>
        <v>Al Khamis Building</v>
      </c>
      <c r="C10041" s="2" t="str">
        <f ca="1">IFERROR(__xludf.DUMMYFUNCTION("""COMPUTED_VALUE"""),"Building")</f>
        <v>Building</v>
      </c>
      <c r="D10041" s="2" t="str">
        <f ca="1">IFERROR(__xludf.DUMMYFUNCTION("""COMPUTED_VALUE"""),"Dubai&gt;Al Karama&gt;Al Khamis Building")</f>
        <v>Dubai&gt;Al Karama&gt;Al Khamis Building</v>
      </c>
      <c r="E10041" s="2"/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  <c r="V10041" s="2"/>
      <c r="W10041" s="2"/>
      <c r="X10041" s="2"/>
      <c r="Y10041" s="2"/>
      <c r="Z10041" s="2"/>
    </row>
    <row r="10042" spans="1:26" ht="16.5" x14ac:dyDescent="0.35">
      <c r="A10042" s="2" t="str">
        <f ca="1">IFERROR(__xludf.DUMMYFUNCTION("""COMPUTED_VALUE"""),"Dubai")</f>
        <v>Dubai</v>
      </c>
      <c r="B10042" s="2" t="str">
        <f ca="1">IFERROR(__xludf.DUMMYFUNCTION("""COMPUTED_VALUE"""),"Ahmed Khalfan Building")</f>
        <v>Ahmed Khalfan Building</v>
      </c>
      <c r="C10042" s="2" t="str">
        <f ca="1">IFERROR(__xludf.DUMMYFUNCTION("""COMPUTED_VALUE"""),"Building")</f>
        <v>Building</v>
      </c>
      <c r="D10042" s="2" t="str">
        <f ca="1">IFERROR(__xludf.DUMMYFUNCTION("""COMPUTED_VALUE"""),"Dubai&gt;Al Karama&gt;Ahmed Khalfan Building")</f>
        <v>Dubai&gt;Al Karama&gt;Ahmed Khalfan Building</v>
      </c>
      <c r="E10042" s="2"/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  <c r="V10042" s="2"/>
      <c r="W10042" s="2"/>
      <c r="X10042" s="2"/>
      <c r="Y10042" s="2"/>
      <c r="Z10042" s="2"/>
    </row>
    <row r="10043" spans="1:26" ht="16.5" x14ac:dyDescent="0.35">
      <c r="A10043" s="2" t="str">
        <f ca="1">IFERROR(__xludf.DUMMYFUNCTION("""COMPUTED_VALUE"""),"Dubai")</f>
        <v>Dubai</v>
      </c>
      <c r="B10043" s="2" t="str">
        <f ca="1">IFERROR(__xludf.DUMMYFUNCTION("""COMPUTED_VALUE"""),"Al Fahad Blocks")</f>
        <v>Al Fahad Blocks</v>
      </c>
      <c r="C10043" s="2" t="str">
        <f ca="1">IFERROR(__xludf.DUMMYFUNCTION("""COMPUTED_VALUE"""),"Cluster")</f>
        <v>Cluster</v>
      </c>
      <c r="D10043" s="2" t="str">
        <f ca="1">IFERROR(__xludf.DUMMYFUNCTION("""COMPUTED_VALUE"""),"Dubai&gt;Al Karama&gt;Al Fahad Blocks")</f>
        <v>Dubai&gt;Al Karama&gt;Al Fahad Blocks</v>
      </c>
      <c r="E10043" s="2"/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  <c r="V10043" s="2"/>
      <c r="W10043" s="2"/>
      <c r="X10043" s="2"/>
      <c r="Y10043" s="2"/>
      <c r="Z10043" s="2"/>
    </row>
    <row r="10044" spans="1:26" ht="16.5" x14ac:dyDescent="0.35">
      <c r="A10044" s="2" t="str">
        <f ca="1">IFERROR(__xludf.DUMMYFUNCTION("""COMPUTED_VALUE"""),"Dubai")</f>
        <v>Dubai</v>
      </c>
      <c r="B10044" s="2" t="str">
        <f ca="1">IFERROR(__xludf.DUMMYFUNCTION("""COMPUTED_VALUE"""),"Khalid Building")</f>
        <v>Khalid Building</v>
      </c>
      <c r="C10044" s="2" t="str">
        <f ca="1">IFERROR(__xludf.DUMMYFUNCTION("""COMPUTED_VALUE"""),"Building")</f>
        <v>Building</v>
      </c>
      <c r="D10044" s="2" t="str">
        <f ca="1">IFERROR(__xludf.DUMMYFUNCTION("""COMPUTED_VALUE"""),"Dubai&gt;Al Karama&gt;Khalid Building")</f>
        <v>Dubai&gt;Al Karama&gt;Khalid Building</v>
      </c>
      <c r="E10044" s="2"/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  <c r="V10044" s="2"/>
      <c r="W10044" s="2"/>
      <c r="X10044" s="2"/>
      <c r="Y10044" s="2"/>
      <c r="Z10044" s="2"/>
    </row>
    <row r="10045" spans="1:26" ht="16.5" x14ac:dyDescent="0.35">
      <c r="A10045" s="2" t="str">
        <f ca="1">IFERROR(__xludf.DUMMYFUNCTION("""COMPUTED_VALUE"""),"Dubai")</f>
        <v>Dubai</v>
      </c>
      <c r="B10045" s="2" t="str">
        <f ca="1">IFERROR(__xludf.DUMMYFUNCTION("""COMPUTED_VALUE"""),"Arenco Building")</f>
        <v>Arenco Building</v>
      </c>
      <c r="C10045" s="2" t="str">
        <f ca="1">IFERROR(__xludf.DUMMYFUNCTION("""COMPUTED_VALUE"""),"Building")</f>
        <v>Building</v>
      </c>
      <c r="D10045" s="2" t="str">
        <f ca="1">IFERROR(__xludf.DUMMYFUNCTION("""COMPUTED_VALUE"""),"Dubai&gt;Al Karama&gt;Arenco Building")</f>
        <v>Dubai&gt;Al Karama&gt;Arenco Building</v>
      </c>
      <c r="E10045" s="2"/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2"/>
      <c r="W10045" s="2"/>
      <c r="X10045" s="2"/>
      <c r="Y10045" s="2"/>
      <c r="Z10045" s="2"/>
    </row>
    <row r="10046" spans="1:26" ht="16.5" x14ac:dyDescent="0.35">
      <c r="A10046" s="2" t="str">
        <f ca="1">IFERROR(__xludf.DUMMYFUNCTION("""COMPUTED_VALUE"""),"Dubai")</f>
        <v>Dubai</v>
      </c>
      <c r="B10046" s="2" t="str">
        <f ca="1">IFERROR(__xludf.DUMMYFUNCTION("""COMPUTED_VALUE"""),"Al Wasl Building R381")</f>
        <v>Al Wasl Building R381</v>
      </c>
      <c r="C10046" s="2" t="str">
        <f ca="1">IFERROR(__xludf.DUMMYFUNCTION("""COMPUTED_VALUE"""),"Building")</f>
        <v>Building</v>
      </c>
      <c r="D10046" s="2" t="str">
        <f ca="1">IFERROR(__xludf.DUMMYFUNCTION("""COMPUTED_VALUE"""),"Dubai&gt;Al Karama&gt;Al Wasl Building R381")</f>
        <v>Dubai&gt;Al Karama&gt;Al Wasl Building R381</v>
      </c>
      <c r="E10046" s="2"/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2"/>
      <c r="W10046" s="2"/>
      <c r="X10046" s="2"/>
      <c r="Y10046" s="2"/>
      <c r="Z10046" s="2"/>
    </row>
    <row r="10047" spans="1:26" ht="16.5" x14ac:dyDescent="0.35">
      <c r="A10047" s="2" t="str">
        <f ca="1">IFERROR(__xludf.DUMMYFUNCTION("""COMPUTED_VALUE"""),"Dubai")</f>
        <v>Dubai</v>
      </c>
      <c r="B10047" s="2" t="str">
        <f ca="1">IFERROR(__xludf.DUMMYFUNCTION("""COMPUTED_VALUE"""),"Dubai Wharf")</f>
        <v>Dubai Wharf</v>
      </c>
      <c r="C10047" s="2" t="str">
        <f ca="1">IFERROR(__xludf.DUMMYFUNCTION("""COMPUTED_VALUE"""),"Cluster")</f>
        <v>Cluster</v>
      </c>
      <c r="D10047" s="2" t="str">
        <f ca="1">IFERROR(__xludf.DUMMYFUNCTION("""COMPUTED_VALUE"""),"Dubai&gt;Culture Village (Jaddaf Waterfront)&gt;Dubai Wharf")</f>
        <v>Dubai&gt;Culture Village (Jaddaf Waterfront)&gt;Dubai Wharf</v>
      </c>
      <c r="E10047" s="2"/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  <c r="V10047" s="2"/>
      <c r="W10047" s="2"/>
      <c r="X10047" s="2"/>
      <c r="Y10047" s="2"/>
      <c r="Z10047" s="2"/>
    </row>
    <row r="10048" spans="1:26" ht="16.5" x14ac:dyDescent="0.35">
      <c r="A10048" s="2" t="str">
        <f ca="1">IFERROR(__xludf.DUMMYFUNCTION("""COMPUTED_VALUE"""),"Dubai")</f>
        <v>Dubai</v>
      </c>
      <c r="B10048" s="2" t="str">
        <f ca="1">IFERROR(__xludf.DUMMYFUNCTION("""COMPUTED_VALUE"""),"Binghatti Moonlight")</f>
        <v>Binghatti Moonlight</v>
      </c>
      <c r="C10048" s="2" t="str">
        <f ca="1">IFERROR(__xludf.DUMMYFUNCTION("""COMPUTED_VALUE"""),"Building")</f>
        <v>Building</v>
      </c>
      <c r="D10048" s="2" t="str">
        <f ca="1">IFERROR(__xludf.DUMMYFUNCTION("""COMPUTED_VALUE"""),"Dubai&gt;Culture Village (Jaddaf Waterfront)&gt;Binghatti Moonlight")</f>
        <v>Dubai&gt;Culture Village (Jaddaf Waterfront)&gt;Binghatti Moonlight</v>
      </c>
      <c r="E10048" s="2"/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  <c r="V10048" s="2"/>
      <c r="W10048" s="2"/>
      <c r="X10048" s="2"/>
      <c r="Y10048" s="2"/>
      <c r="Z10048" s="2"/>
    </row>
    <row r="10049" spans="1:26" ht="16.5" x14ac:dyDescent="0.35">
      <c r="A10049" s="2" t="str">
        <f ca="1">IFERROR(__xludf.DUMMYFUNCTION("""COMPUTED_VALUE"""),"Dubai")</f>
        <v>Dubai</v>
      </c>
      <c r="B10049" s="2" t="str">
        <f ca="1">IFERROR(__xludf.DUMMYFUNCTION("""COMPUTED_VALUE"""),"Asayel")</f>
        <v>Asayel</v>
      </c>
      <c r="C10049" s="2" t="str">
        <f ca="1">IFERROR(__xludf.DUMMYFUNCTION("""COMPUTED_VALUE"""),"Cluster")</f>
        <v>Cluster</v>
      </c>
      <c r="D10049" s="2" t="str">
        <f ca="1">IFERROR(__xludf.DUMMYFUNCTION("""COMPUTED_VALUE"""),"Dubai&gt;Umm Suqeim&gt;Madinat Jumeirah Living&gt;Asayel")</f>
        <v>Dubai&gt;Umm Suqeim&gt;Madinat Jumeirah Living&gt;Asayel</v>
      </c>
      <c r="E10049" s="2"/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  <c r="V10049" s="2"/>
      <c r="W10049" s="2"/>
      <c r="X10049" s="2"/>
      <c r="Y10049" s="2"/>
      <c r="Z10049" s="2"/>
    </row>
    <row r="10050" spans="1:26" ht="16.5" x14ac:dyDescent="0.35">
      <c r="A10050" s="2" t="str">
        <f ca="1">IFERROR(__xludf.DUMMYFUNCTION("""COMPUTED_VALUE"""),"Dubai")</f>
        <v>Dubai</v>
      </c>
      <c r="B10050" s="2" t="str">
        <f ca="1">IFERROR(__xludf.DUMMYFUNCTION("""COMPUTED_VALUE"""),"Riwa 1")</f>
        <v>Riwa 1</v>
      </c>
      <c r="C10050" s="2" t="str">
        <f ca="1">IFERROR(__xludf.DUMMYFUNCTION("""COMPUTED_VALUE"""),"Building")</f>
        <v>Building</v>
      </c>
      <c r="D10050" s="2" t="str">
        <f ca="1">IFERROR(__xludf.DUMMYFUNCTION("""COMPUTED_VALUE"""),"Dubai&gt;Umm Suqeim&gt;Madinat Jumeirah Living&gt;Riwa&gt;Riwa 1")</f>
        <v>Dubai&gt;Umm Suqeim&gt;Madinat Jumeirah Living&gt;Riwa&gt;Riwa 1</v>
      </c>
      <c r="E10050" s="2"/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  <c r="V10050" s="2"/>
      <c r="W10050" s="2"/>
      <c r="X10050" s="2"/>
      <c r="Y10050" s="2"/>
      <c r="Z10050" s="2"/>
    </row>
    <row r="10051" spans="1:26" ht="16.5" x14ac:dyDescent="0.35">
      <c r="A10051" s="2" t="str">
        <f ca="1">IFERROR(__xludf.DUMMYFUNCTION("""COMPUTED_VALUE"""),"Dubai")</f>
        <v>Dubai</v>
      </c>
      <c r="B10051" s="2" t="str">
        <f ca="1">IFERROR(__xludf.DUMMYFUNCTION("""COMPUTED_VALUE"""),"GEMS Heritage Indian School")</f>
        <v>GEMS Heritage Indian School</v>
      </c>
      <c r="C10051" s="2" t="str">
        <f ca="1">IFERROR(__xludf.DUMMYFUNCTION("""COMPUTED_VALUE"""),"School")</f>
        <v>School</v>
      </c>
      <c r="D10051" s="2" t="str">
        <f ca="1">IFERROR(__xludf.DUMMYFUNCTION("""COMPUTED_VALUE"""),"Dubai&gt;City of Arabia&gt;GEMS Heritage Indian School")</f>
        <v>Dubai&gt;City of Arabia&gt;GEMS Heritage Indian School</v>
      </c>
      <c r="E10051" s="2"/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  <c r="V10051" s="2"/>
      <c r="W10051" s="2"/>
      <c r="X10051" s="2"/>
      <c r="Y10051" s="2"/>
      <c r="Z10051" s="2"/>
    </row>
    <row r="10052" spans="1:26" ht="16.5" x14ac:dyDescent="0.35">
      <c r="A10052" s="2" t="str">
        <f ca="1">IFERROR(__xludf.DUMMYFUNCTION("""COMPUTED_VALUE"""),"Dubai")</f>
        <v>Dubai</v>
      </c>
      <c r="B10052" s="2" t="str">
        <f ca="1">IFERROR(__xludf.DUMMYFUNCTION("""COMPUTED_VALUE"""),"Al Diyaffah")</f>
        <v>Al Diyaffah</v>
      </c>
      <c r="C10052" s="2" t="str">
        <f ca="1">IFERROR(__xludf.DUMMYFUNCTION("""COMPUTED_VALUE"""),"Building")</f>
        <v>Building</v>
      </c>
      <c r="D10052" s="2" t="str">
        <f ca="1">IFERROR(__xludf.DUMMYFUNCTION("""COMPUTED_VALUE"""),"Dubai&gt;Al Badaa&gt;Al Diyaffah")</f>
        <v>Dubai&gt;Al Badaa&gt;Al Diyaffah</v>
      </c>
      <c r="E10052" s="2"/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  <c r="V10052" s="2"/>
      <c r="W10052" s="2"/>
      <c r="X10052" s="2"/>
      <c r="Y10052" s="2"/>
      <c r="Z10052" s="2"/>
    </row>
    <row r="10053" spans="1:26" ht="16.5" x14ac:dyDescent="0.35">
      <c r="A10053" s="2" t="str">
        <f ca="1">IFERROR(__xludf.DUMMYFUNCTION("""COMPUTED_VALUE"""),"Dubai")</f>
        <v>Dubai</v>
      </c>
      <c r="B10053" s="2" t="str">
        <f ca="1">IFERROR(__xludf.DUMMYFUNCTION("""COMPUTED_VALUE"""),"Aif Kaiami Building")</f>
        <v>Aif Kaiami Building</v>
      </c>
      <c r="C10053" s="2" t="str">
        <f ca="1">IFERROR(__xludf.DUMMYFUNCTION("""COMPUTED_VALUE"""),"Building")</f>
        <v>Building</v>
      </c>
      <c r="D10053" s="2" t="str">
        <f ca="1">IFERROR(__xludf.DUMMYFUNCTION("""COMPUTED_VALUE"""),"Dubai&gt;Al Badaa&gt;Aif Kaiami Building")</f>
        <v>Dubai&gt;Al Badaa&gt;Aif Kaiami Building</v>
      </c>
      <c r="E10053" s="2"/>
      <c r="F10053" s="2"/>
      <c r="G10053" s="2"/>
      <c r="H10053" s="2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  <c r="V10053" s="2"/>
      <c r="W10053" s="2"/>
      <c r="X10053" s="2"/>
      <c r="Y10053" s="2"/>
      <c r="Z10053" s="2"/>
    </row>
    <row r="10054" spans="1:26" ht="16.5" x14ac:dyDescent="0.35">
      <c r="A10054" s="2" t="str">
        <f ca="1">IFERROR(__xludf.DUMMYFUNCTION("""COMPUTED_VALUE"""),"Dubai")</f>
        <v>Dubai</v>
      </c>
      <c r="B10054" s="2" t="str">
        <f ca="1">IFERROR(__xludf.DUMMYFUNCTION("""COMPUTED_VALUE"""),"Blossom Nursery Al Manara")</f>
        <v>Blossom Nursery Al Manara</v>
      </c>
      <c r="C10054" s="2" t="str">
        <f ca="1">IFERROR(__xludf.DUMMYFUNCTION("""COMPUTED_VALUE"""),"Nursery")</f>
        <v>Nursery</v>
      </c>
      <c r="D10054" s="2" t="str">
        <f ca="1">IFERROR(__xludf.DUMMYFUNCTION("""COMPUTED_VALUE"""),"Dubai&gt;Al Manara&gt;Blossom Nursery Al Manara")</f>
        <v>Dubai&gt;Al Manara&gt;Blossom Nursery Al Manara</v>
      </c>
      <c r="E10054" s="2"/>
      <c r="F10054" s="2"/>
      <c r="G10054" s="2"/>
      <c r="H10054" s="2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  <c r="V10054" s="2"/>
      <c r="W10054" s="2"/>
      <c r="X10054" s="2"/>
      <c r="Y10054" s="2"/>
      <c r="Z10054" s="2"/>
    </row>
    <row r="10055" spans="1:26" ht="16.5" x14ac:dyDescent="0.35">
      <c r="A10055" s="2" t="str">
        <f ca="1">IFERROR(__xludf.DUMMYFUNCTION("""COMPUTED_VALUE"""),"Dubai")</f>
        <v>Dubai</v>
      </c>
      <c r="B10055" s="2" t="str">
        <f ca="1">IFERROR(__xludf.DUMMYFUNCTION("""COMPUTED_VALUE"""),"Al Shiba Complex")</f>
        <v>Al Shiba Complex</v>
      </c>
      <c r="C10055" s="2" t="str">
        <f ca="1">IFERROR(__xludf.DUMMYFUNCTION("""COMPUTED_VALUE"""),"Cluster")</f>
        <v>Cluster</v>
      </c>
      <c r="D10055" s="2" t="str">
        <f ca="1">IFERROR(__xludf.DUMMYFUNCTION("""COMPUTED_VALUE"""),"Dubai&gt;Academic City&gt;Al Shiba Complex")</f>
        <v>Dubai&gt;Academic City&gt;Al Shiba Complex</v>
      </c>
      <c r="E10055" s="2"/>
      <c r="F10055" s="2"/>
      <c r="G10055" s="2"/>
      <c r="H10055" s="2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2"/>
      <c r="T10055" s="2"/>
      <c r="U10055" s="2"/>
      <c r="V10055" s="2"/>
      <c r="W10055" s="2"/>
      <c r="X10055" s="2"/>
      <c r="Y10055" s="2"/>
      <c r="Z10055" s="2"/>
    </row>
    <row r="10056" spans="1:26" ht="16.5" x14ac:dyDescent="0.35">
      <c r="A10056" s="2" t="str">
        <f ca="1">IFERROR(__xludf.DUMMYFUNCTION("""COMPUTED_VALUE"""),"Dubai")</f>
        <v>Dubai</v>
      </c>
      <c r="B10056" s="2" t="str">
        <f ca="1">IFERROR(__xludf.DUMMYFUNCTION("""COMPUTED_VALUE"""),"Building 4")</f>
        <v>Building 4</v>
      </c>
      <c r="C10056" s="2" t="str">
        <f ca="1">IFERROR(__xludf.DUMMYFUNCTION("""COMPUTED_VALUE"""),"Building")</f>
        <v>Building</v>
      </c>
      <c r="D10056" s="2" t="str">
        <f ca="1">IFERROR(__xludf.DUMMYFUNCTION("""COMPUTED_VALUE"""),"Dubai&gt;Dubai Design District&gt;Building 4")</f>
        <v>Dubai&gt;Dubai Design District&gt;Building 4</v>
      </c>
      <c r="E10056" s="2"/>
      <c r="F10056" s="2"/>
      <c r="G10056" s="2"/>
      <c r="H10056" s="2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  <c r="V10056" s="2"/>
      <c r="W10056" s="2"/>
      <c r="X10056" s="2"/>
      <c r="Y10056" s="2"/>
      <c r="Z10056" s="2"/>
    </row>
    <row r="10057" spans="1:26" ht="16.5" x14ac:dyDescent="0.35">
      <c r="A10057" s="2" t="str">
        <f ca="1">IFERROR(__xludf.DUMMYFUNCTION("""COMPUTED_VALUE"""),"Dubai")</f>
        <v>Dubai</v>
      </c>
      <c r="B10057" s="2" t="str">
        <f ca="1">IFERROR(__xludf.DUMMYFUNCTION("""COMPUTED_VALUE"""),"Al Wasl Block E")</f>
        <v>Al Wasl Block E</v>
      </c>
      <c r="C10057" s="2" t="str">
        <f ca="1">IFERROR(__xludf.DUMMYFUNCTION("""COMPUTED_VALUE"""),"Building")</f>
        <v>Building</v>
      </c>
      <c r="D10057" s="2" t="str">
        <f ca="1">IFERROR(__xludf.DUMMYFUNCTION("""COMPUTED_VALUE"""),"Dubai&gt;Al Hudaiba&gt;Al Wasl Block E")</f>
        <v>Dubai&gt;Al Hudaiba&gt;Al Wasl Block E</v>
      </c>
      <c r="E10057" s="2"/>
      <c r="F10057" s="2"/>
      <c r="G10057" s="2"/>
      <c r="H10057" s="2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  <c r="V10057" s="2"/>
      <c r="W10057" s="2"/>
      <c r="X10057" s="2"/>
      <c r="Y10057" s="2"/>
      <c r="Z10057" s="2"/>
    </row>
    <row r="10058" spans="1:26" ht="16.5" x14ac:dyDescent="0.35">
      <c r="A10058" s="2" t="str">
        <f ca="1">IFERROR(__xludf.DUMMYFUNCTION("""COMPUTED_VALUE"""),"Dubai")</f>
        <v>Dubai</v>
      </c>
      <c r="B10058" s="2" t="str">
        <f ca="1">IFERROR(__xludf.DUMMYFUNCTION("""COMPUTED_VALUE"""),"Jumeirah")</f>
        <v>Jumeirah</v>
      </c>
      <c r="C10058" s="2" t="str">
        <f ca="1">IFERROR(__xludf.DUMMYFUNCTION("""COMPUTED_VALUE"""),"Neighbourhood")</f>
        <v>Neighbourhood</v>
      </c>
      <c r="D10058" s="2" t="str">
        <f ca="1">IFERROR(__xludf.DUMMYFUNCTION("""COMPUTED_VALUE"""),"Dubai&gt;Jumeirah")</f>
        <v>Dubai&gt;Jumeirah</v>
      </c>
      <c r="E10058" s="2"/>
      <c r="F10058" s="2"/>
      <c r="G10058" s="2"/>
      <c r="H10058" s="2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  <c r="V10058" s="2"/>
      <c r="W10058" s="2"/>
      <c r="X10058" s="2"/>
      <c r="Y10058" s="2"/>
      <c r="Z10058" s="2"/>
    </row>
    <row r="10059" spans="1:26" ht="16.5" x14ac:dyDescent="0.35">
      <c r="A10059" s="2" t="str">
        <f ca="1">IFERROR(__xludf.DUMMYFUNCTION("""COMPUTED_VALUE"""),"Dubai")</f>
        <v>Dubai</v>
      </c>
      <c r="B10059" s="2" t="str">
        <f ca="1">IFERROR(__xludf.DUMMYFUNCTION("""COMPUTED_VALUE"""),"Jumeirah City Villas")</f>
        <v>Jumeirah City Villas</v>
      </c>
      <c r="C10059" s="2" t="str">
        <f ca="1">IFERROR(__xludf.DUMMYFUNCTION("""COMPUTED_VALUE"""),"Neighbourhood")</f>
        <v>Neighbourhood</v>
      </c>
      <c r="D10059" s="2" t="str">
        <f ca="1">IFERROR(__xludf.DUMMYFUNCTION("""COMPUTED_VALUE"""),"Dubai&gt;Jumeirah&gt;Jumeirah 1&gt;Jumeirah City Villas")</f>
        <v>Dubai&gt;Jumeirah&gt;Jumeirah 1&gt;Jumeirah City Villas</v>
      </c>
      <c r="E10059" s="2"/>
      <c r="F10059" s="2"/>
      <c r="G10059" s="2"/>
      <c r="H10059" s="2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  <c r="V10059" s="2"/>
      <c r="W10059" s="2"/>
      <c r="X10059" s="2"/>
      <c r="Y10059" s="2"/>
      <c r="Z10059" s="2"/>
    </row>
    <row r="10060" spans="1:26" ht="16.5" x14ac:dyDescent="0.35">
      <c r="A10060" s="2" t="str">
        <f ca="1">IFERROR(__xludf.DUMMYFUNCTION("""COMPUTED_VALUE"""),"Dubai")</f>
        <v>Dubai</v>
      </c>
      <c r="B10060" s="2" t="str">
        <f ca="1">IFERROR(__xludf.DUMMYFUNCTION("""COMPUTED_VALUE"""),"Four Seasons Private Residences Dubai")</f>
        <v>Four Seasons Private Residences Dubai</v>
      </c>
      <c r="C10060" s="2" t="str">
        <f ca="1">IFERROR(__xludf.DUMMYFUNCTION("""COMPUTED_VALUE"""),"Building")</f>
        <v>Building</v>
      </c>
      <c r="D10060" s="2" t="str">
        <f ca="1">IFERROR(__xludf.DUMMYFUNCTION("""COMPUTED_VALUE"""),"Dubai&gt;Jumeirah&gt;Jumeirah 2&gt;Four Seasons Private Residences Dubai")</f>
        <v>Dubai&gt;Jumeirah&gt;Jumeirah 2&gt;Four Seasons Private Residences Dubai</v>
      </c>
      <c r="E10060" s="2"/>
      <c r="F10060" s="2"/>
      <c r="G10060" s="2"/>
      <c r="H10060" s="2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  <c r="V10060" s="2"/>
      <c r="W10060" s="2"/>
      <c r="X10060" s="2"/>
      <c r="Y10060" s="2"/>
      <c r="Z10060" s="2"/>
    </row>
    <row r="10061" spans="1:26" ht="16.5" x14ac:dyDescent="0.35">
      <c r="A10061" s="2" t="str">
        <f ca="1">IFERROR(__xludf.DUMMYFUNCTION("""COMPUTED_VALUE"""),"Dubai")</f>
        <v>Dubai</v>
      </c>
      <c r="B10061" s="2" t="str">
        <f ca="1">IFERROR(__xludf.DUMMYFUNCTION("""COMPUTED_VALUE"""),"La Sirene Tower 3")</f>
        <v>La Sirene Tower 3</v>
      </c>
      <c r="C10061" s="2" t="str">
        <f ca="1">IFERROR(__xludf.DUMMYFUNCTION("""COMPUTED_VALUE"""),"Building")</f>
        <v>Building</v>
      </c>
      <c r="D10061" s="2" t="str">
        <f ca="1">IFERROR(__xludf.DUMMYFUNCTION("""COMPUTED_VALUE"""),"Dubai&gt;Jumeirah&gt;La Mer&gt;Port de La Mer&gt;La Sirene&gt;La Sirene Tower 3")</f>
        <v>Dubai&gt;Jumeirah&gt;La Mer&gt;Port de La Mer&gt;La Sirene&gt;La Sirene Tower 3</v>
      </c>
      <c r="E10061" s="2"/>
      <c r="F10061" s="2"/>
      <c r="G10061" s="2"/>
      <c r="H10061" s="2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2"/>
      <c r="T10061" s="2"/>
      <c r="U10061" s="2"/>
      <c r="V10061" s="2"/>
      <c r="W10061" s="2"/>
      <c r="X10061" s="2"/>
      <c r="Y10061" s="2"/>
      <c r="Z10061" s="2"/>
    </row>
    <row r="10062" spans="1:26" ht="16.5" x14ac:dyDescent="0.35">
      <c r="A10062" s="2" t="str">
        <f ca="1">IFERROR(__xludf.DUMMYFUNCTION("""COMPUTED_VALUE"""),"Dubai")</f>
        <v>Dubai</v>
      </c>
      <c r="B10062" s="2" t="str">
        <f ca="1">IFERROR(__xludf.DUMMYFUNCTION("""COMPUTED_VALUE"""),"Harbour Views 2")</f>
        <v>Harbour Views 2</v>
      </c>
      <c r="C10062" s="2" t="str">
        <f ca="1">IFERROR(__xludf.DUMMYFUNCTION("""COMPUTED_VALUE"""),"Building")</f>
        <v>Building</v>
      </c>
      <c r="D10062" s="2" t="str">
        <f ca="1">IFERROR(__xludf.DUMMYFUNCTION("""COMPUTED_VALUE"""),"Dubai&gt;Dubai Creek Harbour&gt;Harbour Views&gt;Harbour Views 2")</f>
        <v>Dubai&gt;Dubai Creek Harbour&gt;Harbour Views&gt;Harbour Views 2</v>
      </c>
      <c r="E10062" s="2"/>
      <c r="F10062" s="2"/>
      <c r="G10062" s="2"/>
      <c r="H10062" s="2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  <c r="V10062" s="2"/>
      <c r="W10062" s="2"/>
      <c r="X10062" s="2"/>
      <c r="Y10062" s="2"/>
      <c r="Z10062" s="2"/>
    </row>
    <row r="10063" spans="1:26" ht="16.5" x14ac:dyDescent="0.35">
      <c r="A10063" s="2" t="str">
        <f ca="1">IFERROR(__xludf.DUMMYFUNCTION("""COMPUTED_VALUE"""),"Dubai")</f>
        <v>Dubai</v>
      </c>
      <c r="B10063" s="2" t="str">
        <f ca="1">IFERROR(__xludf.DUMMYFUNCTION("""COMPUTED_VALUE"""),"Sunset 2")</f>
        <v>Sunset 2</v>
      </c>
      <c r="C10063" s="2" t="str">
        <f ca="1">IFERROR(__xludf.DUMMYFUNCTION("""COMPUTED_VALUE"""),"Building")</f>
        <v>Building</v>
      </c>
      <c r="D10063" s="2" t="str">
        <f ca="1">IFERROR(__xludf.DUMMYFUNCTION("""COMPUTED_VALUE"""),"Dubai&gt;Dubai Creek Harbour&gt;Sunset at Creek Beach&gt;Sunset 2")</f>
        <v>Dubai&gt;Dubai Creek Harbour&gt;Sunset at Creek Beach&gt;Sunset 2</v>
      </c>
      <c r="E10063" s="2"/>
      <c r="F10063" s="2"/>
      <c r="G10063" s="2"/>
      <c r="H10063" s="2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  <c r="V10063" s="2"/>
      <c r="W10063" s="2"/>
      <c r="X10063" s="2"/>
      <c r="Y10063" s="2"/>
      <c r="Z10063" s="2"/>
    </row>
    <row r="10064" spans="1:26" ht="16.5" x14ac:dyDescent="0.35">
      <c r="A10064" s="2" t="str">
        <f ca="1">IFERROR(__xludf.DUMMYFUNCTION("""COMPUTED_VALUE"""),"Dubai")</f>
        <v>Dubai</v>
      </c>
      <c r="B10064" s="2" t="str">
        <f ca="1">IFERROR(__xludf.DUMMYFUNCTION("""COMPUTED_VALUE"""),"Lotus at Creek Beach")</f>
        <v>Lotus at Creek Beach</v>
      </c>
      <c r="C10064" s="2" t="str">
        <f ca="1">IFERROR(__xludf.DUMMYFUNCTION("""COMPUTED_VALUE"""),"Cluster")</f>
        <v>Cluster</v>
      </c>
      <c r="D10064" s="2" t="str">
        <f ca="1">IFERROR(__xludf.DUMMYFUNCTION("""COMPUTED_VALUE"""),"Dubai&gt;Dubai Creek Harbour&gt;Lotus at Creek Beach")</f>
        <v>Dubai&gt;Dubai Creek Harbour&gt;Lotus at Creek Beach</v>
      </c>
      <c r="E10064" s="2"/>
      <c r="F10064" s="2"/>
      <c r="G10064" s="2"/>
      <c r="H10064" s="2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  <c r="V10064" s="2"/>
      <c r="W10064" s="2"/>
      <c r="X10064" s="2"/>
      <c r="Y10064" s="2"/>
      <c r="Z10064" s="2"/>
    </row>
    <row r="10065" spans="1:26" ht="16.5" x14ac:dyDescent="0.35">
      <c r="A10065" s="2" t="str">
        <f ca="1">IFERROR(__xludf.DUMMYFUNCTION("""COMPUTED_VALUE"""),"Dubai")</f>
        <v>Dubai</v>
      </c>
      <c r="B10065" s="2" t="str">
        <f ca="1">IFERROR(__xludf.DUMMYFUNCTION("""COMPUTED_VALUE"""),"Cedar at Creek Beach Building 2")</f>
        <v>Cedar at Creek Beach Building 2</v>
      </c>
      <c r="C10065" s="2" t="str">
        <f ca="1">IFERROR(__xludf.DUMMYFUNCTION("""COMPUTED_VALUE"""),"Building")</f>
        <v>Building</v>
      </c>
      <c r="D10065" s="2" t="str">
        <f ca="1">IFERROR(__xludf.DUMMYFUNCTION("""COMPUTED_VALUE"""),"Dubai&gt;Dubai Creek Harbour&gt;Cedar at Creek Beach&gt;Cedar at Creek Beach Building 2")</f>
        <v>Dubai&gt;Dubai Creek Harbour&gt;Cedar at Creek Beach&gt;Cedar at Creek Beach Building 2</v>
      </c>
      <c r="E10065" s="2"/>
      <c r="F10065" s="2"/>
      <c r="G10065" s="2"/>
      <c r="H10065" s="2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  <c r="V10065" s="2"/>
      <c r="W10065" s="2"/>
      <c r="X10065" s="2"/>
      <c r="Y10065" s="2"/>
      <c r="Z10065" s="2"/>
    </row>
    <row r="10066" spans="1:26" ht="16.5" x14ac:dyDescent="0.35">
      <c r="A10066" s="2" t="str">
        <f ca="1">IFERROR(__xludf.DUMMYFUNCTION("""COMPUTED_VALUE"""),"Dubai")</f>
        <v>Dubai</v>
      </c>
      <c r="B10066" s="2" t="str">
        <f ca="1">IFERROR(__xludf.DUMMYFUNCTION("""COMPUTED_VALUE"""),"Address Residences")</f>
        <v>Address Residences</v>
      </c>
      <c r="C10066" s="2" t="str">
        <f ca="1">IFERROR(__xludf.DUMMYFUNCTION("""COMPUTED_VALUE"""),"Building")</f>
        <v>Building</v>
      </c>
      <c r="D10066" s="2" t="str">
        <f ca="1">IFERROR(__xludf.DUMMYFUNCTION("""COMPUTED_VALUE"""),"Dubai&gt;Dubai Creek Harbour&gt;Address Residences")</f>
        <v>Dubai&gt;Dubai Creek Harbour&gt;Address Residences</v>
      </c>
      <c r="E10066" s="2"/>
      <c r="F10066" s="2"/>
      <c r="G10066" s="2"/>
      <c r="H10066" s="2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  <c r="V10066" s="2"/>
      <c r="W10066" s="2"/>
      <c r="X10066" s="2"/>
      <c r="Y10066" s="2"/>
      <c r="Z10066" s="2"/>
    </row>
    <row r="10067" spans="1:26" ht="16.5" x14ac:dyDescent="0.35">
      <c r="A10067" s="2" t="str">
        <f ca="1">IFERROR(__xludf.DUMMYFUNCTION("""COMPUTED_VALUE"""),"Dubai")</f>
        <v>Dubai</v>
      </c>
      <c r="B10067" s="2" t="str">
        <f ca="1">IFERROR(__xludf.DUMMYFUNCTION("""COMPUTED_VALUE"""),"Wind West Home")</f>
        <v>Wind West Home</v>
      </c>
      <c r="C10067" s="2" t="str">
        <f ca="1">IFERROR(__xludf.DUMMYFUNCTION("""COMPUTED_VALUE"""),"Building")</f>
        <v>Building</v>
      </c>
      <c r="D10067" s="2" t="str">
        <f ca="1">IFERROR(__xludf.DUMMYFUNCTION("""COMPUTED_VALUE"""),"Dubai&gt;Barsha Heights (Tecom)&gt;Wind West Home")</f>
        <v>Dubai&gt;Barsha Heights (Tecom)&gt;Wind West Home</v>
      </c>
      <c r="E10067" s="2"/>
      <c r="F10067" s="2"/>
      <c r="G10067" s="2"/>
      <c r="H10067" s="2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  <c r="V10067" s="2"/>
      <c r="W10067" s="2"/>
      <c r="X10067" s="2"/>
      <c r="Y10067" s="2"/>
      <c r="Z10067" s="2"/>
    </row>
    <row r="10068" spans="1:26" ht="16.5" x14ac:dyDescent="0.35">
      <c r="A10068" s="2" t="str">
        <f ca="1">IFERROR(__xludf.DUMMYFUNCTION("""COMPUTED_VALUE"""),"Dubai")</f>
        <v>Dubai</v>
      </c>
      <c r="B10068" s="2" t="str">
        <f ca="1">IFERROR(__xludf.DUMMYFUNCTION("""COMPUTED_VALUE"""),"Al Hawai Residence")</f>
        <v>Al Hawai Residence</v>
      </c>
      <c r="C10068" s="2" t="str">
        <f ca="1">IFERROR(__xludf.DUMMYFUNCTION("""COMPUTED_VALUE"""),"Building")</f>
        <v>Building</v>
      </c>
      <c r="D10068" s="2" t="str">
        <f ca="1">IFERROR(__xludf.DUMMYFUNCTION("""COMPUTED_VALUE"""),"Dubai&gt;Barsha Heights (Tecom)&gt;Al Hawai Residence")</f>
        <v>Dubai&gt;Barsha Heights (Tecom)&gt;Al Hawai Residence</v>
      </c>
      <c r="E10068" s="2"/>
      <c r="F10068" s="2"/>
      <c r="G10068" s="2"/>
      <c r="H10068" s="2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  <c r="V10068" s="2"/>
      <c r="W10068" s="2"/>
      <c r="X10068" s="2"/>
      <c r="Y10068" s="2"/>
      <c r="Z10068" s="2"/>
    </row>
    <row r="10069" spans="1:26" ht="16.5" x14ac:dyDescent="0.35">
      <c r="A10069" s="2" t="str">
        <f ca="1">IFERROR(__xludf.DUMMYFUNCTION("""COMPUTED_VALUE"""),"Dubai")</f>
        <v>Dubai</v>
      </c>
      <c r="B10069" s="2" t="str">
        <f ca="1">IFERROR(__xludf.DUMMYFUNCTION("""COMPUTED_VALUE"""),"Al Haton Tower")</f>
        <v>Al Haton Tower</v>
      </c>
      <c r="C10069" s="2" t="str">
        <f ca="1">IFERROR(__xludf.DUMMYFUNCTION("""COMPUTED_VALUE"""),"Building")</f>
        <v>Building</v>
      </c>
      <c r="D10069" s="2" t="str">
        <f ca="1">IFERROR(__xludf.DUMMYFUNCTION("""COMPUTED_VALUE"""),"Dubai&gt;Barsha Heights (Tecom)&gt;Al Haton Tower")</f>
        <v>Dubai&gt;Barsha Heights (Tecom)&gt;Al Haton Tower</v>
      </c>
      <c r="E10069" s="2"/>
      <c r="F10069" s="2"/>
      <c r="G10069" s="2"/>
      <c r="H10069" s="2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  <c r="V10069" s="2"/>
      <c r="W10069" s="2"/>
      <c r="X10069" s="2"/>
      <c r="Y10069" s="2"/>
      <c r="Z10069" s="2"/>
    </row>
    <row r="10070" spans="1:26" ht="16.5" x14ac:dyDescent="0.35">
      <c r="A10070" s="2" t="str">
        <f ca="1">IFERROR(__xludf.DUMMYFUNCTION("""COMPUTED_VALUE"""),"Dubai")</f>
        <v>Dubai</v>
      </c>
      <c r="B10070" s="2" t="str">
        <f ca="1">IFERROR(__xludf.DUMMYFUNCTION("""COMPUTED_VALUE"""),"The Hills")</f>
        <v>The Hills</v>
      </c>
      <c r="C10070" s="2" t="str">
        <f ca="1">IFERROR(__xludf.DUMMYFUNCTION("""COMPUTED_VALUE"""),"Neighbourhood")</f>
        <v>Neighbourhood</v>
      </c>
      <c r="D10070" s="2" t="str">
        <f ca="1">IFERROR(__xludf.DUMMYFUNCTION("""COMPUTED_VALUE"""),"Dubai&gt;The Hills")</f>
        <v>Dubai&gt;The Hills</v>
      </c>
      <c r="E10070" s="2"/>
      <c r="F10070" s="2"/>
      <c r="G10070" s="2"/>
      <c r="H10070" s="2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  <c r="V10070" s="2"/>
      <c r="W10070" s="2"/>
      <c r="X10070" s="2"/>
      <c r="Y10070" s="2"/>
      <c r="Z10070" s="2"/>
    </row>
    <row r="10071" spans="1:26" ht="16.5" x14ac:dyDescent="0.35">
      <c r="A10071" s="2" t="str">
        <f ca="1">IFERROR(__xludf.DUMMYFUNCTION("""COMPUTED_VALUE"""),"Dubai")</f>
        <v>Dubai</v>
      </c>
      <c r="B10071" s="2" t="str">
        <f ca="1">IFERROR(__xludf.DUMMYFUNCTION("""COMPUTED_VALUE"""),"Terraced Apartment 3B")</f>
        <v>Terraced Apartment 3B</v>
      </c>
      <c r="C10071" s="2" t="str">
        <f ca="1">IFERROR(__xludf.DUMMYFUNCTION("""COMPUTED_VALUE"""),"Building")</f>
        <v>Building</v>
      </c>
      <c r="D10071" s="2" t="str">
        <f ca="1">IFERROR(__xludf.DUMMYFUNCTION("""COMPUTED_VALUE"""),"Dubai&gt;Motor City&gt;Green Community (Motor City)&gt;Terraced Apartments&gt;Terraced Apartment 3B")</f>
        <v>Dubai&gt;Motor City&gt;Green Community (Motor City)&gt;Terraced Apartments&gt;Terraced Apartment 3B</v>
      </c>
      <c r="E10071" s="2"/>
      <c r="F10071" s="2"/>
      <c r="G10071" s="2"/>
      <c r="H10071" s="2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  <c r="V10071" s="2"/>
      <c r="W10071" s="2"/>
      <c r="X10071" s="2"/>
      <c r="Y10071" s="2"/>
      <c r="Z10071" s="2"/>
    </row>
    <row r="10072" spans="1:26" ht="16.5" x14ac:dyDescent="0.35">
      <c r="A10072" s="2" t="str">
        <f ca="1">IFERROR(__xludf.DUMMYFUNCTION("""COMPUTED_VALUE"""),"Dubai")</f>
        <v>Dubai</v>
      </c>
      <c r="B10072" s="2" t="str">
        <f ca="1">IFERROR(__xludf.DUMMYFUNCTION("""COMPUTED_VALUE"""),"Barton House 2")</f>
        <v>Barton House 2</v>
      </c>
      <c r="C10072" s="2" t="str">
        <f ca="1">IFERROR(__xludf.DUMMYFUNCTION("""COMPUTED_VALUE"""),"Building")</f>
        <v>Building</v>
      </c>
      <c r="D10072" s="2" t="str">
        <f ca="1">IFERROR(__xludf.DUMMYFUNCTION("""COMPUTED_VALUE"""),"Dubai&gt;Motor City&gt;Uptown Motor City&gt;Barton House&gt;Barton House 2")</f>
        <v>Dubai&gt;Motor City&gt;Uptown Motor City&gt;Barton House&gt;Barton House 2</v>
      </c>
      <c r="E10072" s="2"/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  <c r="V10072" s="2"/>
      <c r="W10072" s="2"/>
      <c r="X10072" s="2"/>
      <c r="Y10072" s="2"/>
      <c r="Z10072" s="2"/>
    </row>
    <row r="10073" spans="1:26" ht="16.5" x14ac:dyDescent="0.35">
      <c r="A10073" s="2" t="str">
        <f ca="1">IFERROR(__xludf.DUMMYFUNCTION("""COMPUTED_VALUE"""),"Dubai")</f>
        <v>Dubai</v>
      </c>
      <c r="B10073" s="2" t="str">
        <f ca="1">IFERROR(__xludf.DUMMYFUNCTION("""COMPUTED_VALUE"""),"Dickens Circus 2")</f>
        <v>Dickens Circus 2</v>
      </c>
      <c r="C10073" s="2" t="str">
        <f ca="1">IFERROR(__xludf.DUMMYFUNCTION("""COMPUTED_VALUE"""),"Building")</f>
        <v>Building</v>
      </c>
      <c r="D10073" s="2" t="str">
        <f ca="1">IFERROR(__xludf.DUMMYFUNCTION("""COMPUTED_VALUE"""),"Dubai&gt;Motor City&gt;Uptown Motor City&gt;Dickens Circus&gt;Dickens Circus 2")</f>
        <v>Dubai&gt;Motor City&gt;Uptown Motor City&gt;Dickens Circus&gt;Dickens Circus 2</v>
      </c>
      <c r="E10073" s="2"/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  <c r="V10073" s="2"/>
      <c r="W10073" s="2"/>
      <c r="X10073" s="2"/>
      <c r="Y10073" s="2"/>
      <c r="Z10073" s="2"/>
    </row>
    <row r="10074" spans="1:26" ht="16.5" x14ac:dyDescent="0.35">
      <c r="A10074" s="2" t="str">
        <f ca="1">IFERROR(__xludf.DUMMYFUNCTION("""COMPUTED_VALUE"""),"Dubai")</f>
        <v>Dubai</v>
      </c>
      <c r="B10074" s="2" t="str">
        <f ca="1">IFERROR(__xludf.DUMMYFUNCTION("""COMPUTED_VALUE"""),"Takaya Tower A")</f>
        <v>Takaya Tower A</v>
      </c>
      <c r="C10074" s="2" t="str">
        <f ca="1">IFERROR(__xludf.DUMMYFUNCTION("""COMPUTED_VALUE"""),"Building")</f>
        <v>Building</v>
      </c>
      <c r="D10074" s="2" t="str">
        <f ca="1">IFERROR(__xludf.DUMMYFUNCTION("""COMPUTED_VALUE"""),"Dubai&gt;Motor City&gt;Takaya&gt;Takaya Tower A")</f>
        <v>Dubai&gt;Motor City&gt;Takaya&gt;Takaya Tower A</v>
      </c>
      <c r="E10074" s="2"/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  <c r="V10074" s="2"/>
      <c r="W10074" s="2"/>
      <c r="X10074" s="2"/>
      <c r="Y10074" s="2"/>
      <c r="Z10074" s="2"/>
    </row>
    <row r="10075" spans="1:26" ht="16.5" x14ac:dyDescent="0.35">
      <c r="A10075" s="2" t="str">
        <f ca="1">IFERROR(__xludf.DUMMYFUNCTION("""COMPUTED_VALUE"""),"Dubai")</f>
        <v>Dubai</v>
      </c>
      <c r="B10075" s="2" t="str">
        <f ca="1">IFERROR(__xludf.DUMMYFUNCTION("""COMPUTED_VALUE"""),"Al Sufouh Suites")</f>
        <v>Al Sufouh Suites</v>
      </c>
      <c r="C10075" s="2" t="str">
        <f ca="1">IFERROR(__xludf.DUMMYFUNCTION("""COMPUTED_VALUE"""),"Building")</f>
        <v>Building</v>
      </c>
      <c r="D10075" s="2" t="str">
        <f ca="1">IFERROR(__xludf.DUMMYFUNCTION("""COMPUTED_VALUE"""),"Dubai&gt;Al Sufouh&gt;Al Sufouh 1&gt;Al Sufouh Suites")</f>
        <v>Dubai&gt;Al Sufouh&gt;Al Sufouh 1&gt;Al Sufouh Suites</v>
      </c>
      <c r="E10075" s="2"/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  <c r="V10075" s="2"/>
      <c r="W10075" s="2"/>
      <c r="X10075" s="2"/>
      <c r="Y10075" s="2"/>
      <c r="Z10075" s="2"/>
    </row>
    <row r="10076" spans="1:26" ht="16.5" x14ac:dyDescent="0.35">
      <c r="A10076" s="2" t="str">
        <f ca="1">IFERROR(__xludf.DUMMYFUNCTION("""COMPUTED_VALUE"""),"Dubai")</f>
        <v>Dubai</v>
      </c>
      <c r="B10076" s="2" t="str">
        <f ca="1">IFERROR(__xludf.DUMMYFUNCTION("""COMPUTED_VALUE"""),"Boutique Office 10")</f>
        <v>Boutique Office 10</v>
      </c>
      <c r="C10076" s="2" t="str">
        <f ca="1">IFERROR(__xludf.DUMMYFUNCTION("""COMPUTED_VALUE"""),"Building")</f>
        <v>Building</v>
      </c>
      <c r="D10076" s="2" t="str">
        <f ca="1">IFERROR(__xludf.DUMMYFUNCTION("""COMPUTED_VALUE"""),"Dubai&gt;Al Sufouh&gt;Al Sufouh 2&gt;Boutique Offices&gt;Boutique Office 10")</f>
        <v>Dubai&gt;Al Sufouh&gt;Al Sufouh 2&gt;Boutique Offices&gt;Boutique Office 10</v>
      </c>
      <c r="E10076" s="2"/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  <c r="V10076" s="2"/>
      <c r="W10076" s="2"/>
      <c r="X10076" s="2"/>
      <c r="Y10076" s="2"/>
      <c r="Z10076" s="2"/>
    </row>
    <row r="10077" spans="1:26" ht="16.5" x14ac:dyDescent="0.35">
      <c r="A10077" s="2" t="str">
        <f ca="1">IFERROR(__xludf.DUMMYFUNCTION("""COMPUTED_VALUE"""),"Dubai")</f>
        <v>Dubai</v>
      </c>
      <c r="B10077" s="2" t="str">
        <f ca="1">IFERROR(__xludf.DUMMYFUNCTION("""COMPUTED_VALUE"""),"Marsa Plaza")</f>
        <v>Marsa Plaza</v>
      </c>
      <c r="C10077" s="2" t="str">
        <f ca="1">IFERROR(__xludf.DUMMYFUNCTION("""COMPUTED_VALUE"""),"Cluster")</f>
        <v>Cluster</v>
      </c>
      <c r="D10077" s="2" t="str">
        <f ca="1">IFERROR(__xludf.DUMMYFUNCTION("""COMPUTED_VALUE"""),"Dubai&gt;Dubai Festival City&gt;Marsa Plaza")</f>
        <v>Dubai&gt;Dubai Festival City&gt;Marsa Plaza</v>
      </c>
      <c r="E10077" s="2"/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  <c r="V10077" s="2"/>
      <c r="W10077" s="2"/>
      <c r="X10077" s="2"/>
      <c r="Y10077" s="2"/>
      <c r="Z10077" s="2"/>
    </row>
    <row r="10078" spans="1:26" ht="16.5" x14ac:dyDescent="0.35">
      <c r="A10078" s="2" t="str">
        <f ca="1">IFERROR(__xludf.DUMMYFUNCTION("""COMPUTED_VALUE"""),"Dubai")</f>
        <v>Dubai</v>
      </c>
      <c r="B10078" s="2" t="str">
        <f ca="1">IFERROR(__xludf.DUMMYFUNCTION("""COMPUTED_VALUE"""),"DAMAC Hills")</f>
        <v>DAMAC Hills</v>
      </c>
      <c r="C10078" s="2" t="str">
        <f ca="1">IFERROR(__xludf.DUMMYFUNCTION("""COMPUTED_VALUE"""),"Neighbourhood")</f>
        <v>Neighbourhood</v>
      </c>
      <c r="D10078" s="2" t="str">
        <f ca="1">IFERROR(__xludf.DUMMYFUNCTION("""COMPUTED_VALUE"""),"Dubai&gt;DAMAC Hills")</f>
        <v>Dubai&gt;DAMAC Hills</v>
      </c>
      <c r="E10078" s="2"/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  <c r="V10078" s="2"/>
      <c r="W10078" s="2"/>
      <c r="X10078" s="2"/>
      <c r="Y10078" s="2"/>
      <c r="Z10078" s="2"/>
    </row>
    <row r="10079" spans="1:26" ht="16.5" x14ac:dyDescent="0.35">
      <c r="A10079" s="2" t="str">
        <f ca="1">IFERROR(__xludf.DUMMYFUNCTION("""COMPUTED_VALUE"""),"Dubai")</f>
        <v>Dubai</v>
      </c>
      <c r="B10079" s="2" t="str">
        <f ca="1">IFERROR(__xludf.DUMMYFUNCTION("""COMPUTED_VALUE"""),"Golf Promenade 5B")</f>
        <v>Golf Promenade 5B</v>
      </c>
      <c r="C10079" s="2" t="str">
        <f ca="1">IFERROR(__xludf.DUMMYFUNCTION("""COMPUTED_VALUE"""),"Building")</f>
        <v>Building</v>
      </c>
      <c r="D10079" s="2" t="str">
        <f ca="1">IFERROR(__xludf.DUMMYFUNCTION("""COMPUTED_VALUE"""),"Dubai&gt;DAMAC Hills&gt;Golf Town&gt;Golf Promenade&gt;Golf Promenade 5&gt;Golf Promenade 5B")</f>
        <v>Dubai&gt;DAMAC Hills&gt;Golf Town&gt;Golf Promenade&gt;Golf Promenade 5&gt;Golf Promenade 5B</v>
      </c>
      <c r="E10079" s="2"/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  <c r="V10079" s="2"/>
      <c r="W10079" s="2"/>
      <c r="X10079" s="2"/>
      <c r="Y10079" s="2"/>
      <c r="Z10079" s="2"/>
    </row>
    <row r="10080" spans="1:26" ht="16.5" x14ac:dyDescent="0.35">
      <c r="A10080" s="2" t="str">
        <f ca="1">IFERROR(__xludf.DUMMYFUNCTION("""COMPUTED_VALUE"""),"Dubai")</f>
        <v>Dubai</v>
      </c>
      <c r="B10080" s="2" t="str">
        <f ca="1">IFERROR(__xludf.DUMMYFUNCTION("""COMPUTED_VALUE"""),"Greenwoods")</f>
        <v>Greenwoods</v>
      </c>
      <c r="C10080" s="2" t="str">
        <f ca="1">IFERROR(__xludf.DUMMYFUNCTION("""COMPUTED_VALUE"""),"Neighbourhood")</f>
        <v>Neighbourhood</v>
      </c>
      <c r="D10080" s="2" t="str">
        <f ca="1">IFERROR(__xludf.DUMMYFUNCTION("""COMPUTED_VALUE"""),"Dubai&gt;DAMAC Hills&gt;Greenwoods")</f>
        <v>Dubai&gt;DAMAC Hills&gt;Greenwoods</v>
      </c>
      <c r="E10080" s="2"/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  <c r="V10080" s="2"/>
      <c r="W10080" s="2"/>
      <c r="X10080" s="2"/>
      <c r="Y10080" s="2"/>
      <c r="Z10080" s="2"/>
    </row>
    <row r="10081" spans="1:26" ht="16.5" x14ac:dyDescent="0.35">
      <c r="A10081" s="2" t="str">
        <f ca="1">IFERROR(__xludf.DUMMYFUNCTION("""COMPUTED_VALUE"""),"Dubai")</f>
        <v>Dubai</v>
      </c>
      <c r="B10081" s="2" t="str">
        <f ca="1">IFERROR(__xludf.DUMMYFUNCTION("""COMPUTED_VALUE"""),"Whitefield")</f>
        <v>Whitefield</v>
      </c>
      <c r="C10081" s="2" t="str">
        <f ca="1">IFERROR(__xludf.DUMMYFUNCTION("""COMPUTED_VALUE"""),"Neighbourhood")</f>
        <v>Neighbourhood</v>
      </c>
      <c r="D10081" s="2" t="str">
        <f ca="1">IFERROR(__xludf.DUMMYFUNCTION("""COMPUTED_VALUE"""),"Dubai&gt;DAMAC Hills&gt;Whitefield")</f>
        <v>Dubai&gt;DAMAC Hills&gt;Whitefield</v>
      </c>
      <c r="E10081" s="2"/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  <c r="V10081" s="2"/>
      <c r="W10081" s="2"/>
      <c r="X10081" s="2"/>
      <c r="Y10081" s="2"/>
      <c r="Z10081" s="2"/>
    </row>
    <row r="10082" spans="1:26" ht="16.5" x14ac:dyDescent="0.35">
      <c r="A10082" s="2" t="str">
        <f ca="1">IFERROR(__xludf.DUMMYFUNCTION("""COMPUTED_VALUE"""),"Dubai")</f>
        <v>Dubai</v>
      </c>
      <c r="B10082" s="2" t="str">
        <f ca="1">IFERROR(__xludf.DUMMYFUNCTION("""COMPUTED_VALUE"""),"Block A")</f>
        <v>Block A</v>
      </c>
      <c r="C10082" s="2" t="str">
        <f ca="1">IFERROR(__xludf.DUMMYFUNCTION("""COMPUTED_VALUE"""),"Building")</f>
        <v>Building</v>
      </c>
      <c r="D10082" s="2" t="str">
        <f ca="1">IFERROR(__xludf.DUMMYFUNCTION("""COMPUTED_VALUE"""),"Dubai&gt;Al Mina&gt;Al Hudaiba Awards Building&gt;Block A")</f>
        <v>Dubai&gt;Al Mina&gt;Al Hudaiba Awards Building&gt;Block A</v>
      </c>
      <c r="E10082" s="2"/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  <c r="V10082" s="2"/>
      <c r="W10082" s="2"/>
      <c r="X10082" s="2"/>
      <c r="Y10082" s="2"/>
      <c r="Z10082" s="2"/>
    </row>
    <row r="10083" spans="1:26" ht="16.5" x14ac:dyDescent="0.35">
      <c r="A10083" s="2" t="str">
        <f ca="1">IFERROR(__xludf.DUMMYFUNCTION("""COMPUTED_VALUE"""),"Dubai")</f>
        <v>Dubai</v>
      </c>
      <c r="B10083" s="2" t="str">
        <f ca="1">IFERROR(__xludf.DUMMYFUNCTION("""COMPUTED_VALUE"""),"Oceanz 3")</f>
        <v>Oceanz 3</v>
      </c>
      <c r="C10083" s="2" t="str">
        <f ca="1">IFERROR(__xludf.DUMMYFUNCTION("""COMPUTED_VALUE"""),"Building")</f>
        <v>Building</v>
      </c>
      <c r="D10083" s="2" t="str">
        <f ca="1">IFERROR(__xludf.DUMMYFUNCTION("""COMPUTED_VALUE"""),"Dubai&gt;Dubai Maritime City&gt;Oceanz by Danube&gt;Oceanz 3")</f>
        <v>Dubai&gt;Dubai Maritime City&gt;Oceanz by Danube&gt;Oceanz 3</v>
      </c>
      <c r="E10083" s="2"/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  <c r="V10083" s="2"/>
      <c r="W10083" s="2"/>
      <c r="X10083" s="2"/>
      <c r="Y10083" s="2"/>
      <c r="Z10083" s="2"/>
    </row>
    <row r="10084" spans="1:26" ht="16.5" x14ac:dyDescent="0.35">
      <c r="A10084" s="2" t="str">
        <f ca="1">IFERROR(__xludf.DUMMYFUNCTION("""COMPUTED_VALUE"""),"Dubai")</f>
        <v>Dubai</v>
      </c>
      <c r="B10084" s="2" t="str">
        <f ca="1">IFERROR(__xludf.DUMMYFUNCTION("""COMPUTED_VALUE"""),"Prestige One Residences")</f>
        <v>Prestige One Residences</v>
      </c>
      <c r="C10084" s="2" t="str">
        <f ca="1">IFERROR(__xludf.DUMMYFUNCTION("""COMPUTED_VALUE"""),"Building")</f>
        <v>Building</v>
      </c>
      <c r="D10084" s="2" t="str">
        <f ca="1">IFERROR(__xludf.DUMMYFUNCTION("""COMPUTED_VALUE"""),"Dubai&gt;Dubai Maritime City&gt;Prestige One Residences")</f>
        <v>Dubai&gt;Dubai Maritime City&gt;Prestige One Residences</v>
      </c>
      <c r="E10084" s="2"/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  <c r="V10084" s="2"/>
      <c r="W10084" s="2"/>
      <c r="X10084" s="2"/>
      <c r="Y10084" s="2"/>
      <c r="Z10084" s="2"/>
    </row>
    <row r="10085" spans="1:26" ht="16.5" x14ac:dyDescent="0.35">
      <c r="A10085" s="2" t="str">
        <f ca="1">IFERROR(__xludf.DUMMYFUNCTION("""COMPUTED_VALUE"""),"Dubai")</f>
        <v>Dubai</v>
      </c>
      <c r="B10085" s="2" t="str">
        <f ca="1">IFERROR(__xludf.DUMMYFUNCTION("""COMPUTED_VALUE"""),"The Fairways Loft")</f>
        <v>The Fairways Loft</v>
      </c>
      <c r="C10085" s="2" t="str">
        <f ca="1">IFERROR(__xludf.DUMMYFUNCTION("""COMPUTED_VALUE"""),"Building")</f>
        <v>Building</v>
      </c>
      <c r="D10085" s="2" t="str">
        <f ca="1">IFERROR(__xludf.DUMMYFUNCTION("""COMPUTED_VALUE"""),"Dubai&gt;The Views&gt;The Fairways&gt;The Fairways Loft")</f>
        <v>Dubai&gt;The Views&gt;The Fairways&gt;The Fairways Loft</v>
      </c>
      <c r="E10085" s="2"/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  <c r="V10085" s="2"/>
      <c r="W10085" s="2"/>
      <c r="X10085" s="2"/>
      <c r="Y10085" s="2"/>
      <c r="Z10085" s="2"/>
    </row>
    <row r="10086" spans="1:26" ht="16.5" x14ac:dyDescent="0.35">
      <c r="A10086" s="2" t="str">
        <f ca="1">IFERROR(__xludf.DUMMYFUNCTION("""COMPUTED_VALUE"""),"Dubai")</f>
        <v>Dubai</v>
      </c>
      <c r="B10086" s="2" t="str">
        <f ca="1">IFERROR(__xludf.DUMMYFUNCTION("""COMPUTED_VALUE"""),"Valtrans Labour Camp")</f>
        <v>Valtrans Labour Camp</v>
      </c>
      <c r="C10086" s="2" t="str">
        <f ca="1">IFERROR(__xludf.DUMMYFUNCTION("""COMPUTED_VALUE"""),"Building")</f>
        <v>Building</v>
      </c>
      <c r="D10086" s="2" t="str">
        <f ca="1">IFERROR(__xludf.DUMMYFUNCTION("""COMPUTED_VALUE"""),"Dubai&gt;Al Quoz&gt;Al Quoz Industrial Area&gt;Al Quoz Industrial Area 2&gt;Valtrans Labour Camp")</f>
        <v>Dubai&gt;Al Quoz&gt;Al Quoz Industrial Area&gt;Al Quoz Industrial Area 2&gt;Valtrans Labour Camp</v>
      </c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  <c r="V10086" s="2"/>
      <c r="W10086" s="2"/>
      <c r="X10086" s="2"/>
      <c r="Y10086" s="2"/>
      <c r="Z10086" s="2"/>
    </row>
    <row r="10087" spans="1:26" ht="16.5" x14ac:dyDescent="0.35">
      <c r="A10087" s="2" t="str">
        <f ca="1">IFERROR(__xludf.DUMMYFUNCTION("""COMPUTED_VALUE"""),"Dubai")</f>
        <v>Dubai</v>
      </c>
      <c r="B10087" s="2" t="str">
        <f ca="1">IFERROR(__xludf.DUMMYFUNCTION("""COMPUTED_VALUE"""),"Al Quoz 4")</f>
        <v>Al Quoz 4</v>
      </c>
      <c r="C10087" s="2" t="str">
        <f ca="1">IFERROR(__xludf.DUMMYFUNCTION("""COMPUTED_VALUE"""),"Neighbourhood")</f>
        <v>Neighbourhood</v>
      </c>
      <c r="D10087" s="2" t="str">
        <f ca="1">IFERROR(__xludf.DUMMYFUNCTION("""COMPUTED_VALUE"""),"Dubai&gt;Al Quoz&gt;Al Quoz 4")</f>
        <v>Dubai&gt;Al Quoz&gt;Al Quoz 4</v>
      </c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  <c r="V10087" s="2"/>
      <c r="W10087" s="2"/>
      <c r="X10087" s="2"/>
      <c r="Y10087" s="2"/>
      <c r="Z10087" s="2"/>
    </row>
    <row r="10088" spans="1:26" ht="16.5" x14ac:dyDescent="0.35">
      <c r="A10088" s="2" t="str">
        <f ca="1">IFERROR(__xludf.DUMMYFUNCTION("""COMPUTED_VALUE"""),"Dubai")</f>
        <v>Dubai</v>
      </c>
      <c r="B10088" s="2" t="str">
        <f ca="1">IFERROR(__xludf.DUMMYFUNCTION("""COMPUTED_VALUE"""),"Dubai Silicon Oasis (DSO)")</f>
        <v>Dubai Silicon Oasis (DSO)</v>
      </c>
      <c r="C10088" s="2" t="str">
        <f ca="1">IFERROR(__xludf.DUMMYFUNCTION("""COMPUTED_VALUE"""),"Neighbourhood")</f>
        <v>Neighbourhood</v>
      </c>
      <c r="D10088" s="2" t="str">
        <f ca="1">IFERROR(__xludf.DUMMYFUNCTION("""COMPUTED_VALUE"""),"Dubai&gt;Dubai Silicon Oasis (DSO)")</f>
        <v>Dubai&gt;Dubai Silicon Oasis (DSO)</v>
      </c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  <c r="V10088" s="2"/>
      <c r="W10088" s="2"/>
      <c r="X10088" s="2"/>
      <c r="Y10088" s="2"/>
      <c r="Z10088" s="2"/>
    </row>
    <row r="10089" spans="1:26" ht="16.5" x14ac:dyDescent="0.35">
      <c r="A10089" s="2" t="str">
        <f ca="1">IFERROR(__xludf.DUMMYFUNCTION("""COMPUTED_VALUE"""),"Dubai")</f>
        <v>Dubai</v>
      </c>
      <c r="B10089" s="2" t="str">
        <f ca="1">IFERROR(__xludf.DUMMYFUNCTION("""COMPUTED_VALUE"""),"Al Hikma Residence")</f>
        <v>Al Hikma Residence</v>
      </c>
      <c r="C10089" s="2" t="str">
        <f ca="1">IFERROR(__xludf.DUMMYFUNCTION("""COMPUTED_VALUE"""),"Building")</f>
        <v>Building</v>
      </c>
      <c r="D10089" s="2" t="str">
        <f ca="1">IFERROR(__xludf.DUMMYFUNCTION("""COMPUTED_VALUE"""),"Dubai&gt;Dubai Silicon Oasis (DSO)&gt;Al Hikma Residence")</f>
        <v>Dubai&gt;Dubai Silicon Oasis (DSO)&gt;Al Hikma Residence</v>
      </c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  <c r="U10089" s="2"/>
      <c r="V10089" s="2"/>
      <c r="W10089" s="2"/>
      <c r="X10089" s="2"/>
      <c r="Y10089" s="2"/>
      <c r="Z10089" s="2"/>
    </row>
    <row r="10090" spans="1:26" ht="16.5" x14ac:dyDescent="0.35">
      <c r="A10090" s="2" t="str">
        <f ca="1">IFERROR(__xludf.DUMMYFUNCTION("""COMPUTED_VALUE"""),"Dubai")</f>
        <v>Dubai</v>
      </c>
      <c r="B10090" s="2" t="str">
        <f ca="1">IFERROR(__xludf.DUMMYFUNCTION("""COMPUTED_VALUE"""),"Tulip Oasis 2")</f>
        <v>Tulip Oasis 2</v>
      </c>
      <c r="C10090" s="2" t="str">
        <f ca="1">IFERROR(__xludf.DUMMYFUNCTION("""COMPUTED_VALUE"""),"Building")</f>
        <v>Building</v>
      </c>
      <c r="D10090" s="2" t="str">
        <f ca="1">IFERROR(__xludf.DUMMYFUNCTION("""COMPUTED_VALUE"""),"Dubai&gt;Dubai Silicon Oasis (DSO)&gt;Tulip Oasis 2")</f>
        <v>Dubai&gt;Dubai Silicon Oasis (DSO)&gt;Tulip Oasis 2</v>
      </c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  <c r="V10090" s="2"/>
      <c r="W10090" s="2"/>
      <c r="X10090" s="2"/>
      <c r="Y10090" s="2"/>
      <c r="Z10090" s="2"/>
    </row>
    <row r="10091" spans="1:26" ht="16.5" x14ac:dyDescent="0.35">
      <c r="A10091" s="2" t="str">
        <f ca="1">IFERROR(__xludf.DUMMYFUNCTION("""COMPUTED_VALUE"""),"Dubai")</f>
        <v>Dubai</v>
      </c>
      <c r="B10091" s="2" t="str">
        <f ca="1">IFERROR(__xludf.DUMMYFUNCTION("""COMPUTED_VALUE"""),"City Oasis")</f>
        <v>City Oasis</v>
      </c>
      <c r="C10091" s="2" t="str">
        <f ca="1">IFERROR(__xludf.DUMMYFUNCTION("""COMPUTED_VALUE"""),"Cluster")</f>
        <v>Cluster</v>
      </c>
      <c r="D10091" s="2" t="str">
        <f ca="1">IFERROR(__xludf.DUMMYFUNCTION("""COMPUTED_VALUE"""),"Dubai&gt;Dubai Silicon Oasis (DSO)&gt;City Oasis")</f>
        <v>Dubai&gt;Dubai Silicon Oasis (DSO)&gt;City Oasis</v>
      </c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  <c r="V10091" s="2"/>
      <c r="W10091" s="2"/>
      <c r="X10091" s="2"/>
      <c r="Y10091" s="2"/>
      <c r="Z10091" s="2"/>
    </row>
    <row r="10092" spans="1:26" ht="16.5" x14ac:dyDescent="0.35">
      <c r="A10092" s="2" t="str">
        <f ca="1">IFERROR(__xludf.DUMMYFUNCTION("""COMPUTED_VALUE"""),"Dubai")</f>
        <v>Dubai</v>
      </c>
      <c r="B10092" s="2" t="str">
        <f ca="1">IFERROR(__xludf.DUMMYFUNCTION("""COMPUTED_VALUE"""),"Nova Tower")</f>
        <v>Nova Tower</v>
      </c>
      <c r="C10092" s="2" t="str">
        <f ca="1">IFERROR(__xludf.DUMMYFUNCTION("""COMPUTED_VALUE"""),"Building")</f>
        <v>Building</v>
      </c>
      <c r="D10092" s="2" t="str">
        <f ca="1">IFERROR(__xludf.DUMMYFUNCTION("""COMPUTED_VALUE"""),"Dubai&gt;Dubai Silicon Oasis (DSO)&gt;Nova Tower")</f>
        <v>Dubai&gt;Dubai Silicon Oasis (DSO)&gt;Nova Tower</v>
      </c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  <c r="V10092" s="2"/>
      <c r="W10092" s="2"/>
      <c r="X10092" s="2"/>
      <c r="Y10092" s="2"/>
      <c r="Z10092" s="2"/>
    </row>
    <row r="10093" spans="1:26" ht="16.5" x14ac:dyDescent="0.35">
      <c r="A10093" s="2" t="str">
        <f ca="1">IFERROR(__xludf.DUMMYFUNCTION("""COMPUTED_VALUE"""),"Dubai")</f>
        <v>Dubai</v>
      </c>
      <c r="B10093" s="2" t="str">
        <f ca="1">IFERROR(__xludf.DUMMYFUNCTION("""COMPUTED_VALUE"""),"Axis 2")</f>
        <v>Axis 2</v>
      </c>
      <c r="C10093" s="2" t="str">
        <f ca="1">IFERROR(__xludf.DUMMYFUNCTION("""COMPUTED_VALUE"""),"Building")</f>
        <v>Building</v>
      </c>
      <c r="D10093" s="2" t="str">
        <f ca="1">IFERROR(__xludf.DUMMYFUNCTION("""COMPUTED_VALUE"""),"Dubai&gt;Dubai Silicon Oasis (DSO)&gt;Axis Residences&gt;Axis 2")</f>
        <v>Dubai&gt;Dubai Silicon Oasis (DSO)&gt;Axis Residences&gt;Axis 2</v>
      </c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  <c r="V10093" s="2"/>
      <c r="W10093" s="2"/>
      <c r="X10093" s="2"/>
      <c r="Y10093" s="2"/>
      <c r="Z10093" s="2"/>
    </row>
    <row r="10094" spans="1:26" ht="16.5" x14ac:dyDescent="0.35">
      <c r="A10094" s="2" t="str">
        <f ca="1">IFERROR(__xludf.DUMMYFUNCTION("""COMPUTED_VALUE"""),"Dubai")</f>
        <v>Dubai</v>
      </c>
      <c r="B10094" s="2" t="str">
        <f ca="1">IFERROR(__xludf.DUMMYFUNCTION("""COMPUTED_VALUE"""),"Al Batha Building")</f>
        <v>Al Batha Building</v>
      </c>
      <c r="C10094" s="2" t="str">
        <f ca="1">IFERROR(__xludf.DUMMYFUNCTION("""COMPUTED_VALUE"""),"Building")</f>
        <v>Building</v>
      </c>
      <c r="D10094" s="2" t="str">
        <f ca="1">IFERROR(__xludf.DUMMYFUNCTION("""COMPUTED_VALUE"""),"Dubai&gt;Dubai Silicon Oasis (DSO)&gt;Al Batha Building")</f>
        <v>Dubai&gt;Dubai Silicon Oasis (DSO)&gt;Al Batha Building</v>
      </c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  <c r="V10094" s="2"/>
      <c r="W10094" s="2"/>
      <c r="X10094" s="2"/>
      <c r="Y10094" s="2"/>
      <c r="Z10094" s="2"/>
    </row>
    <row r="10095" spans="1:26" ht="16.5" x14ac:dyDescent="0.35">
      <c r="A10095" s="2" t="str">
        <f ca="1">IFERROR(__xludf.DUMMYFUNCTION("""COMPUTED_VALUE"""),"Dubai")</f>
        <v>Dubai</v>
      </c>
      <c r="B10095" s="2" t="str">
        <f ca="1">IFERROR(__xludf.DUMMYFUNCTION("""COMPUTED_VALUE"""),"Ashjar D2")</f>
        <v>Ashjar D2</v>
      </c>
      <c r="C10095" s="2" t="str">
        <f ca="1">IFERROR(__xludf.DUMMYFUNCTION("""COMPUTED_VALUE"""),"Building")</f>
        <v>Building</v>
      </c>
      <c r="D10095" s="2" t="str">
        <f ca="1">IFERROR(__xludf.DUMMYFUNCTION("""COMPUTED_VALUE"""),"Dubai&gt;Al Barari&gt;Ashjar&gt;Ashjar D2")</f>
        <v>Dubai&gt;Al Barari&gt;Ashjar&gt;Ashjar D2</v>
      </c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  <c r="V10095" s="2"/>
      <c r="W10095" s="2"/>
      <c r="X10095" s="2"/>
      <c r="Y10095" s="2"/>
      <c r="Z10095" s="2"/>
    </row>
    <row r="10096" spans="1:26" ht="16.5" x14ac:dyDescent="0.35">
      <c r="A10096" s="2" t="str">
        <f ca="1">IFERROR(__xludf.DUMMYFUNCTION("""COMPUTED_VALUE"""),"Dubai")</f>
        <v>Dubai</v>
      </c>
      <c r="B10096" s="2" t="str">
        <f ca="1">IFERROR(__xludf.DUMMYFUNCTION("""COMPUTED_VALUE"""),"Jasmine Leaf 1")</f>
        <v>Jasmine Leaf 1</v>
      </c>
      <c r="C10096" s="2" t="str">
        <f ca="1">IFERROR(__xludf.DUMMYFUNCTION("""COMPUTED_VALUE"""),"Neighbourhood")</f>
        <v>Neighbourhood</v>
      </c>
      <c r="D10096" s="2" t="str">
        <f ca="1">IFERROR(__xludf.DUMMYFUNCTION("""COMPUTED_VALUE"""),"Dubai&gt;Al Barari&gt;The Residences&gt;Jasmine Leaf&gt;Jasmine Leaf 1")</f>
        <v>Dubai&gt;Al Barari&gt;The Residences&gt;Jasmine Leaf&gt;Jasmine Leaf 1</v>
      </c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  <c r="U10096" s="2"/>
      <c r="V10096" s="2"/>
      <c r="W10096" s="2"/>
      <c r="X10096" s="2"/>
      <c r="Y10096" s="2"/>
      <c r="Z10096" s="2"/>
    </row>
    <row r="10097" spans="1:26" ht="16.5" x14ac:dyDescent="0.35">
      <c r="A10097" s="2" t="str">
        <f ca="1">IFERROR(__xludf.DUMMYFUNCTION("""COMPUTED_VALUE"""),"Dubai")</f>
        <v>Dubai</v>
      </c>
      <c r="B10097" s="2" t="str">
        <f ca="1">IFERROR(__xludf.DUMMYFUNCTION("""COMPUTED_VALUE"""),"The Fields")</f>
        <v>The Fields</v>
      </c>
      <c r="C10097" s="2" t="str">
        <f ca="1">IFERROR(__xludf.DUMMYFUNCTION("""COMPUTED_VALUE"""),"Neighbourhood")</f>
        <v>Neighbourhood</v>
      </c>
      <c r="D10097" s="2" t="str">
        <f ca="1">IFERROR(__xludf.DUMMYFUNCTION("""COMPUTED_VALUE"""),"Dubai&gt;Mohammed Bin Rashid City&gt;District 11&gt;The Fields")</f>
        <v>Dubai&gt;Mohammed Bin Rashid City&gt;District 11&gt;The Fields</v>
      </c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  <c r="V10097" s="2"/>
      <c r="W10097" s="2"/>
      <c r="X10097" s="2"/>
      <c r="Y10097" s="2"/>
      <c r="Z10097" s="2"/>
    </row>
    <row r="10098" spans="1:26" ht="16.5" x14ac:dyDescent="0.35">
      <c r="A10098" s="2" t="str">
        <f ca="1">IFERROR(__xludf.DUMMYFUNCTION("""COMPUTED_VALUE"""),"Dubai")</f>
        <v>Dubai</v>
      </c>
      <c r="B10098" s="2" t="str">
        <f ca="1">IFERROR(__xludf.DUMMYFUNCTION("""COMPUTED_VALUE"""),"The Willows Residences")</f>
        <v>The Willows Residences</v>
      </c>
      <c r="C10098" s="2" t="str">
        <f ca="1">IFERROR(__xludf.DUMMYFUNCTION("""COMPUTED_VALUE"""),"Building")</f>
        <v>Building</v>
      </c>
      <c r="D10098" s="2" t="str">
        <f ca="1">IFERROR(__xludf.DUMMYFUNCTION("""COMPUTED_VALUE"""),"Dubai&gt;Mohammed Bin Rashid City&gt;District 11&gt;The Willows Residences")</f>
        <v>Dubai&gt;Mohammed Bin Rashid City&gt;District 11&gt;The Willows Residences</v>
      </c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  <c r="V10098" s="2"/>
      <c r="W10098" s="2"/>
      <c r="X10098" s="2"/>
      <c r="Y10098" s="2"/>
      <c r="Z10098" s="2"/>
    </row>
    <row r="10099" spans="1:26" ht="16.5" x14ac:dyDescent="0.35">
      <c r="A10099" s="2" t="str">
        <f ca="1">IFERROR(__xludf.DUMMYFUNCTION("""COMPUTED_VALUE"""),"Dubai")</f>
        <v>Dubai</v>
      </c>
      <c r="B10099" s="2" t="str">
        <f ca="1">IFERROR(__xludf.DUMMYFUNCTION("""COMPUTED_VALUE"""),"Residences 25")</f>
        <v>Residences 25</v>
      </c>
      <c r="C10099" s="2" t="str">
        <f ca="1">IFERROR(__xludf.DUMMYFUNCTION("""COMPUTED_VALUE"""),"Building")</f>
        <v>Building</v>
      </c>
      <c r="D10099" s="2" t="str">
        <f ca="1">IFERROR(__xludf.DUMMYFUNCTION("""COMPUTED_VALUE"""),"Dubai&gt;Mohammed Bin Rashid City&gt;District One&gt;The Residences at District One&gt;Residences 25")</f>
        <v>Dubai&gt;Mohammed Bin Rashid City&gt;District One&gt;The Residences at District One&gt;Residences 25</v>
      </c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  <c r="V10099" s="2"/>
      <c r="W10099" s="2"/>
      <c r="X10099" s="2"/>
      <c r="Y10099" s="2"/>
      <c r="Z10099" s="2"/>
    </row>
    <row r="10100" spans="1:26" ht="16.5" x14ac:dyDescent="0.35">
      <c r="A10100" s="2" t="str">
        <f ca="1">IFERROR(__xludf.DUMMYFUNCTION("""COMPUTED_VALUE"""),"Dubai")</f>
        <v>Dubai</v>
      </c>
      <c r="B10100" s="2" t="str">
        <f ca="1">IFERROR(__xludf.DUMMYFUNCTION("""COMPUTED_VALUE"""),"Boulevard Apartments")</f>
        <v>Boulevard Apartments</v>
      </c>
      <c r="C10100" s="2" t="str">
        <f ca="1">IFERROR(__xludf.DUMMYFUNCTION("""COMPUTED_VALUE"""),"Cluster")</f>
        <v>Cluster</v>
      </c>
      <c r="D10100" s="2" t="str">
        <f ca="1">IFERROR(__xludf.DUMMYFUNCTION("""COMPUTED_VALUE"""),"Dubai&gt;Dubai South&gt;Residential District&gt;The Pulse&gt;Boulevard Apartments")</f>
        <v>Dubai&gt;Dubai South&gt;Residential District&gt;The Pulse&gt;Boulevard Apartments</v>
      </c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  <c r="V10100" s="2"/>
      <c r="W10100" s="2"/>
      <c r="X10100" s="2"/>
      <c r="Y10100" s="2"/>
      <c r="Z10100" s="2"/>
    </row>
    <row r="10101" spans="1:26" ht="16.5" x14ac:dyDescent="0.35">
      <c r="A10101" s="2" t="str">
        <f ca="1">IFERROR(__xludf.DUMMYFUNCTION("""COMPUTED_VALUE"""),"Dubai")</f>
        <v>Dubai</v>
      </c>
      <c r="B10101" s="2" t="str">
        <f ca="1">IFERROR(__xludf.DUMMYFUNCTION("""COMPUTED_VALUE"""),"MAG 535")</f>
        <v>MAG 535</v>
      </c>
      <c r="C10101" s="2" t="str">
        <f ca="1">IFERROR(__xludf.DUMMYFUNCTION("""COMPUTED_VALUE"""),"Building")</f>
        <v>Building</v>
      </c>
      <c r="D10101" s="2" t="str">
        <f ca="1">IFERROR(__xludf.DUMMYFUNCTION("""COMPUTED_VALUE"""),"Dubai&gt;Dubai South&gt;Residential District&gt;MAG 5 Boulevard&gt;MAG 535")</f>
        <v>Dubai&gt;Dubai South&gt;Residential District&gt;MAG 5 Boulevard&gt;MAG 535</v>
      </c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  <c r="V10101" s="2"/>
      <c r="W10101" s="2"/>
      <c r="X10101" s="2"/>
      <c r="Y10101" s="2"/>
      <c r="Z10101" s="2"/>
    </row>
    <row r="10102" spans="1:26" ht="16.5" x14ac:dyDescent="0.35">
      <c r="A10102" s="2" t="str">
        <f ca="1">IFERROR(__xludf.DUMMYFUNCTION("""COMPUTED_VALUE"""),"Dubai")</f>
        <v>Dubai</v>
      </c>
      <c r="B10102" s="2" t="str">
        <f ca="1">IFERROR(__xludf.DUMMYFUNCTION("""COMPUTED_VALUE"""),"The Harmony")</f>
        <v>The Harmony</v>
      </c>
      <c r="C10102" s="2" t="str">
        <f ca="1">IFERROR(__xludf.DUMMYFUNCTION("""COMPUTED_VALUE"""),"Building")</f>
        <v>Building</v>
      </c>
      <c r="D10102" s="2" t="str">
        <f ca="1">IFERROR(__xludf.DUMMYFUNCTION("""COMPUTED_VALUE"""),"Dubai&gt;Dubai South&gt;Residential District&gt;The Harmony")</f>
        <v>Dubai&gt;Dubai South&gt;Residential District&gt;The Harmony</v>
      </c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  <c r="V10102" s="2"/>
      <c r="W10102" s="2"/>
      <c r="X10102" s="2"/>
      <c r="Y10102" s="2"/>
      <c r="Z10102" s="2"/>
    </row>
    <row r="10103" spans="1:26" ht="16.5" x14ac:dyDescent="0.35">
      <c r="A10103" s="2" t="str">
        <f ca="1">IFERROR(__xludf.DUMMYFUNCTION("""COMPUTED_VALUE"""),"Dubai")</f>
        <v>Dubai</v>
      </c>
      <c r="B10103" s="2" t="str">
        <f ca="1">IFERROR(__xludf.DUMMYFUNCTION("""COMPUTED_VALUE"""),"Hassan Jassim 1 Building")</f>
        <v>Hassan Jassim 1 Building</v>
      </c>
      <c r="C10103" s="2" t="str">
        <f ca="1">IFERROR(__xludf.DUMMYFUNCTION("""COMPUTED_VALUE"""),"Building")</f>
        <v>Building</v>
      </c>
      <c r="D10103" s="2" t="str">
        <f ca="1">IFERROR(__xludf.DUMMYFUNCTION("""COMPUTED_VALUE"""),"Dubai&gt;Dubai South&gt;Residential District&gt;Hassan Jassim 1 Building")</f>
        <v>Dubai&gt;Dubai South&gt;Residential District&gt;Hassan Jassim 1 Building</v>
      </c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  <c r="V10103" s="2"/>
      <c r="W10103" s="2"/>
      <c r="X10103" s="2"/>
      <c r="Y10103" s="2"/>
      <c r="Z10103" s="2"/>
    </row>
    <row r="10104" spans="1:26" ht="16.5" x14ac:dyDescent="0.35">
      <c r="A10104" s="2" t="str">
        <f ca="1">IFERROR(__xludf.DUMMYFUNCTION("""COMPUTED_VALUE"""),"Dubai")</f>
        <v>Dubai</v>
      </c>
      <c r="B10104" s="2" t="str">
        <f ca="1">IFERROR(__xludf.DUMMYFUNCTION("""COMPUTED_VALUE"""),"Expo Golf Villas 4 (Greenviews 1)")</f>
        <v>Expo Golf Villas 4 (Greenviews 1)</v>
      </c>
      <c r="C10104" s="2" t="str">
        <f ca="1">IFERROR(__xludf.DUMMYFUNCTION("""COMPUTED_VALUE"""),"Neighbourhood")</f>
        <v>Neighbourhood</v>
      </c>
      <c r="D10104" s="2" t="str">
        <f ca="1">IFERROR(__xludf.DUMMYFUNCTION("""COMPUTED_VALUE"""),"Dubai&gt;Dubai South&gt;Emaar South&gt;Expo Golf Villas&gt;Expo Golf Villas 4 (Greenviews 1)")</f>
        <v>Dubai&gt;Dubai South&gt;Emaar South&gt;Expo Golf Villas&gt;Expo Golf Villas 4 (Greenviews 1)</v>
      </c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  <c r="V10104" s="2"/>
      <c r="W10104" s="2"/>
      <c r="X10104" s="2"/>
      <c r="Y10104" s="2"/>
      <c r="Z10104" s="2"/>
    </row>
    <row r="10105" spans="1:26" ht="16.5" x14ac:dyDescent="0.35">
      <c r="A10105" s="2" t="str">
        <f ca="1">IFERROR(__xludf.DUMMYFUNCTION("""COMPUTED_VALUE"""),"Dubai")</f>
        <v>Dubai</v>
      </c>
      <c r="B10105" s="2" t="str">
        <f ca="1">IFERROR(__xludf.DUMMYFUNCTION("""COMPUTED_VALUE"""),"Staybridge Suites Dubai Al-Maktoum Airport")</f>
        <v>Staybridge Suites Dubai Al-Maktoum Airport</v>
      </c>
      <c r="C10105" s="2" t="str">
        <f ca="1">IFERROR(__xludf.DUMMYFUNCTION("""COMPUTED_VALUE"""),"Building")</f>
        <v>Building</v>
      </c>
      <c r="D10105" s="2" t="str">
        <f ca="1">IFERROR(__xludf.DUMMYFUNCTION("""COMPUTED_VALUE"""),"Dubai&gt;Dubai South&gt;Staybridge Suites Dubai Al-Maktoum Airport")</f>
        <v>Dubai&gt;Dubai South&gt;Staybridge Suites Dubai Al-Maktoum Airport</v>
      </c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  <c r="V10105" s="2"/>
      <c r="W10105" s="2"/>
      <c r="X10105" s="2"/>
      <c r="Y10105" s="2"/>
      <c r="Z10105" s="2"/>
    </row>
    <row r="10106" spans="1:26" ht="16.5" x14ac:dyDescent="0.35">
      <c r="A10106" s="2" t="str">
        <f ca="1">IFERROR(__xludf.DUMMYFUNCTION("""COMPUTED_VALUE"""),"Dubai")</f>
        <v>Dubai</v>
      </c>
      <c r="B10106" s="2" t="str">
        <f ca="1">IFERROR(__xludf.DUMMYFUNCTION("""COMPUTED_VALUE"""),"Azizi Venice 10 Building B")</f>
        <v>Azizi Venice 10 Building B</v>
      </c>
      <c r="C10106" s="2" t="str">
        <f ca="1">IFERROR(__xludf.DUMMYFUNCTION("""COMPUTED_VALUE"""),"Building")</f>
        <v>Building</v>
      </c>
      <c r="D10106" s="2" t="str">
        <f ca="1">IFERROR(__xludf.DUMMYFUNCTION("""COMPUTED_VALUE"""),"Dubai&gt;Dubai South&gt;Azizi Venice&gt;Azizi Venice 10&gt;Azizi Venice 10 Building B")</f>
        <v>Dubai&gt;Dubai South&gt;Azizi Venice&gt;Azizi Venice 10&gt;Azizi Venice 10 Building B</v>
      </c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  <c r="U10106" s="2"/>
      <c r="V10106" s="2"/>
      <c r="W10106" s="2"/>
      <c r="X10106" s="2"/>
      <c r="Y10106" s="2"/>
      <c r="Z10106" s="2"/>
    </row>
    <row r="10107" spans="1:26" ht="16.5" x14ac:dyDescent="0.35">
      <c r="A10107" s="2" t="str">
        <f ca="1">IFERROR(__xludf.DUMMYFUNCTION("""COMPUTED_VALUE"""),"Dubai")</f>
        <v>Dubai</v>
      </c>
      <c r="B10107" s="2" t="str">
        <f ca="1">IFERROR(__xludf.DUMMYFUNCTION("""COMPUTED_VALUE"""),"Altura 2")</f>
        <v>Altura 2</v>
      </c>
      <c r="C10107" s="2" t="str">
        <f ca="1">IFERROR(__xludf.DUMMYFUNCTION("""COMPUTED_VALUE"""),"Building")</f>
        <v>Building</v>
      </c>
      <c r="D10107" s="2" t="str">
        <f ca="1">IFERROR(__xludf.DUMMYFUNCTION("""COMPUTED_VALUE"""),"Dubai&gt;Dubai South&gt;Waada&gt;Altura 2")</f>
        <v>Dubai&gt;Dubai South&gt;Waada&gt;Altura 2</v>
      </c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  <c r="V10107" s="2"/>
      <c r="W10107" s="2"/>
      <c r="X10107" s="2"/>
      <c r="Y10107" s="2"/>
      <c r="Z10107" s="2"/>
    </row>
    <row r="10108" spans="1:26" ht="16.5" x14ac:dyDescent="0.35">
      <c r="A10108" s="2" t="str">
        <f ca="1">IFERROR(__xludf.DUMMYFUNCTION("""COMPUTED_VALUE"""),"Dubai")</f>
        <v>Dubai</v>
      </c>
      <c r="B10108" s="2" t="str">
        <f ca="1">IFERROR(__xludf.DUMMYFUNCTION("""COMPUTED_VALUE"""),"Rove Healthcare City")</f>
        <v>Rove Healthcare City</v>
      </c>
      <c r="C10108" s="2" t="str">
        <f ca="1">IFERROR(__xludf.DUMMYFUNCTION("""COMPUTED_VALUE"""),"Building")</f>
        <v>Building</v>
      </c>
      <c r="D10108" s="2" t="str">
        <f ca="1">IFERROR(__xludf.DUMMYFUNCTION("""COMPUTED_VALUE"""),"Dubai&gt;Bur Dubai&gt;Oud Metha&gt;Rove Healthcare City")</f>
        <v>Dubai&gt;Bur Dubai&gt;Oud Metha&gt;Rove Healthcare City</v>
      </c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  <c r="V10108" s="2"/>
      <c r="W10108" s="2"/>
      <c r="X10108" s="2"/>
      <c r="Y10108" s="2"/>
      <c r="Z10108" s="2"/>
    </row>
    <row r="10109" spans="1:26" ht="16.5" x14ac:dyDescent="0.35">
      <c r="A10109" s="2" t="str">
        <f ca="1">IFERROR(__xludf.DUMMYFUNCTION("""COMPUTED_VALUE"""),"Dubai")</f>
        <v>Dubai</v>
      </c>
      <c r="B10109" s="2" t="str">
        <f ca="1">IFERROR(__xludf.DUMMYFUNCTION("""COMPUTED_VALUE"""),"Al Nasr Palace")</f>
        <v>Al Nasr Palace</v>
      </c>
      <c r="C10109" s="2" t="str">
        <f ca="1">IFERROR(__xludf.DUMMYFUNCTION("""COMPUTED_VALUE"""),"Building")</f>
        <v>Building</v>
      </c>
      <c r="D10109" s="2" t="str">
        <f ca="1">IFERROR(__xludf.DUMMYFUNCTION("""COMPUTED_VALUE"""),"Dubai&gt;Bur Dubai&gt;Oud Metha&gt;Al Nasr Palace")</f>
        <v>Dubai&gt;Bur Dubai&gt;Oud Metha&gt;Al Nasr Palace</v>
      </c>
      <c r="E10109" s="2"/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  <c r="U10109" s="2"/>
      <c r="V10109" s="2"/>
      <c r="W10109" s="2"/>
      <c r="X10109" s="2"/>
      <c r="Y10109" s="2"/>
      <c r="Z10109" s="2"/>
    </row>
    <row r="10110" spans="1:26" ht="16.5" x14ac:dyDescent="0.35">
      <c r="A10110" s="2" t="str">
        <f ca="1">IFERROR(__xludf.DUMMYFUNCTION("""COMPUTED_VALUE"""),"Dubai")</f>
        <v>Dubai</v>
      </c>
      <c r="B10110" s="2" t="str">
        <f ca="1">IFERROR(__xludf.DUMMYFUNCTION("""COMPUTED_VALUE"""),"Bait Al Waleed 2")</f>
        <v>Bait Al Waleed 2</v>
      </c>
      <c r="C10110" s="2" t="str">
        <f ca="1">IFERROR(__xludf.DUMMYFUNCTION("""COMPUTED_VALUE"""),"Building")</f>
        <v>Building</v>
      </c>
      <c r="D10110" s="2" t="str">
        <f ca="1">IFERROR(__xludf.DUMMYFUNCTION("""COMPUTED_VALUE"""),"Dubai&gt;Bur Dubai&gt;Al Raffa&gt;Bait Al Waleed 2")</f>
        <v>Dubai&gt;Bur Dubai&gt;Al Raffa&gt;Bait Al Waleed 2</v>
      </c>
      <c r="E10110" s="2"/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  <c r="U10110" s="2"/>
      <c r="V10110" s="2"/>
      <c r="W10110" s="2"/>
      <c r="X10110" s="2"/>
      <c r="Y10110" s="2"/>
      <c r="Z10110" s="2"/>
    </row>
    <row r="10111" spans="1:26" ht="16.5" x14ac:dyDescent="0.35">
      <c r="A10111" s="2" t="str">
        <f ca="1">IFERROR(__xludf.DUMMYFUNCTION("""COMPUTED_VALUE"""),"Dubai")</f>
        <v>Dubai</v>
      </c>
      <c r="B10111" s="2" t="str">
        <f ca="1">IFERROR(__xludf.DUMMYFUNCTION("""COMPUTED_VALUE"""),"Al Raffa 2 Building")</f>
        <v>Al Raffa 2 Building</v>
      </c>
      <c r="C10111" s="2" t="str">
        <f ca="1">IFERROR(__xludf.DUMMYFUNCTION("""COMPUTED_VALUE"""),"Building")</f>
        <v>Building</v>
      </c>
      <c r="D10111" s="2" t="str">
        <f ca="1">IFERROR(__xludf.DUMMYFUNCTION("""COMPUTED_VALUE"""),"Dubai&gt;Bur Dubai&gt;Al Raffa&gt;Al Raffa 2 Building")</f>
        <v>Dubai&gt;Bur Dubai&gt;Al Raffa&gt;Al Raffa 2 Building</v>
      </c>
      <c r="E10111" s="2"/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  <c r="U10111" s="2"/>
      <c r="V10111" s="2"/>
      <c r="W10111" s="2"/>
      <c r="X10111" s="2"/>
      <c r="Y10111" s="2"/>
      <c r="Z10111" s="2"/>
    </row>
    <row r="10112" spans="1:26" ht="16.5" x14ac:dyDescent="0.35">
      <c r="A10112" s="2" t="str">
        <f ca="1">IFERROR(__xludf.DUMMYFUNCTION("""COMPUTED_VALUE"""),"Dubai")</f>
        <v>Dubai</v>
      </c>
      <c r="B10112" s="2" t="str">
        <f ca="1">IFERROR(__xludf.DUMMYFUNCTION("""COMPUTED_VALUE"""),"Golden Sands 2")</f>
        <v>Golden Sands 2</v>
      </c>
      <c r="C10112" s="2" t="str">
        <f ca="1">IFERROR(__xludf.DUMMYFUNCTION("""COMPUTED_VALUE"""),"Building")</f>
        <v>Building</v>
      </c>
      <c r="D10112" s="2" t="str">
        <f ca="1">IFERROR(__xludf.DUMMYFUNCTION("""COMPUTED_VALUE"""),"Dubai&gt;Bur Dubai&gt;Al Mankhool&gt;Golden Sands 2")</f>
        <v>Dubai&gt;Bur Dubai&gt;Al Mankhool&gt;Golden Sands 2</v>
      </c>
      <c r="E10112" s="2"/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  <c r="U10112" s="2"/>
      <c r="V10112" s="2"/>
      <c r="W10112" s="2"/>
      <c r="X10112" s="2"/>
      <c r="Y10112" s="2"/>
      <c r="Z10112" s="2"/>
    </row>
    <row r="10113" spans="1:26" ht="16.5" x14ac:dyDescent="0.35">
      <c r="A10113" s="2" t="str">
        <f ca="1">IFERROR(__xludf.DUMMYFUNCTION("""COMPUTED_VALUE"""),"Dubai")</f>
        <v>Dubai</v>
      </c>
      <c r="B10113" s="2" t="str">
        <f ca="1">IFERROR(__xludf.DUMMYFUNCTION("""COMPUTED_VALUE"""),"Fatima Mohamed Saleh Kazim Building")</f>
        <v>Fatima Mohamed Saleh Kazim Building</v>
      </c>
      <c r="C10113" s="2" t="str">
        <f ca="1">IFERROR(__xludf.DUMMYFUNCTION("""COMPUTED_VALUE"""),"Building")</f>
        <v>Building</v>
      </c>
      <c r="D10113" s="2" t="str">
        <f ca="1">IFERROR(__xludf.DUMMYFUNCTION("""COMPUTED_VALUE"""),"Dubai&gt;Bur Dubai&gt;Al Mankhool&gt;Fatima Mohamed Saleh Kazim Building")</f>
        <v>Dubai&gt;Bur Dubai&gt;Al Mankhool&gt;Fatima Mohamed Saleh Kazim Building</v>
      </c>
      <c r="E10113" s="2"/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  <c r="U10113" s="2"/>
      <c r="V10113" s="2"/>
      <c r="W10113" s="2"/>
      <c r="X10113" s="2"/>
      <c r="Y10113" s="2"/>
      <c r="Z10113" s="2"/>
    </row>
    <row r="10114" spans="1:26" ht="16.5" x14ac:dyDescent="0.35">
      <c r="A10114" s="2" t="str">
        <f ca="1">IFERROR(__xludf.DUMMYFUNCTION("""COMPUTED_VALUE"""),"Dubai")</f>
        <v>Dubai</v>
      </c>
      <c r="B10114" s="2" t="str">
        <f ca="1">IFERROR(__xludf.DUMMYFUNCTION("""COMPUTED_VALUE"""),"Abdul Rahim Mohd Al Zarooni Building")</f>
        <v>Abdul Rahim Mohd Al Zarooni Building</v>
      </c>
      <c r="C10114" s="2" t="str">
        <f ca="1">IFERROR(__xludf.DUMMYFUNCTION("""COMPUTED_VALUE"""),"Building")</f>
        <v>Building</v>
      </c>
      <c r="D10114" s="2" t="str">
        <f ca="1">IFERROR(__xludf.DUMMYFUNCTION("""COMPUTED_VALUE"""),"Dubai&gt;Bur Dubai&gt;Al Mankhool&gt;Abdul Rahim Mohd Al Zarooni Building")</f>
        <v>Dubai&gt;Bur Dubai&gt;Al Mankhool&gt;Abdul Rahim Mohd Al Zarooni Building</v>
      </c>
      <c r="E10114" s="2"/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2"/>
      <c r="T10114" s="2"/>
      <c r="U10114" s="2"/>
      <c r="V10114" s="2"/>
      <c r="W10114" s="2"/>
      <c r="X10114" s="2"/>
      <c r="Y10114" s="2"/>
      <c r="Z10114" s="2"/>
    </row>
    <row r="10115" spans="1:26" ht="16.5" x14ac:dyDescent="0.35">
      <c r="A10115" s="2" t="str">
        <f ca="1">IFERROR(__xludf.DUMMYFUNCTION("""COMPUTED_VALUE"""),"Dubai")</f>
        <v>Dubai</v>
      </c>
      <c r="B10115" s="2" t="str">
        <f ca="1">IFERROR(__xludf.DUMMYFUNCTION("""COMPUTED_VALUE"""),"Park Views Residences")</f>
        <v>Park Views Residences</v>
      </c>
      <c r="C10115" s="2" t="str">
        <f ca="1">IFERROR(__xludf.DUMMYFUNCTION("""COMPUTED_VALUE"""),"Cluster")</f>
        <v>Cluster</v>
      </c>
      <c r="D10115" s="2" t="str">
        <f ca="1">IFERROR(__xludf.DUMMYFUNCTION("""COMPUTED_VALUE"""),"Dubai&gt;Bur Dubai&gt;Al Kifaf&gt;Park Views Residences")</f>
        <v>Dubai&gt;Bur Dubai&gt;Al Kifaf&gt;Park Views Residences</v>
      </c>
      <c r="E10115" s="2"/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  <c r="U10115" s="2"/>
      <c r="V10115" s="2"/>
      <c r="W10115" s="2"/>
      <c r="X10115" s="2"/>
      <c r="Y10115" s="2"/>
      <c r="Z10115" s="2"/>
    </row>
    <row r="10116" spans="1:26" ht="16.5" x14ac:dyDescent="0.35">
      <c r="A10116" s="2" t="str">
        <f ca="1">IFERROR(__xludf.DUMMYFUNCTION("""COMPUTED_VALUE"""),"Dubai")</f>
        <v>Dubai</v>
      </c>
      <c r="B10116" s="2" t="str">
        <f ca="1">IFERROR(__xludf.DUMMYFUNCTION("""COMPUTED_VALUE"""),"Residence 0138")</f>
        <v>Residence 0138</v>
      </c>
      <c r="C10116" s="2" t="str">
        <f ca="1">IFERROR(__xludf.DUMMYFUNCTION("""COMPUTED_VALUE"""),"Building")</f>
        <v>Building</v>
      </c>
      <c r="D10116" s="2" t="str">
        <f ca="1">IFERROR(__xludf.DUMMYFUNCTION("""COMPUTED_VALUE"""),"Dubai&gt;Bur Dubai&gt;Umm Hurair&gt;Umm Hurair 1&gt;Residence 0138")</f>
        <v>Dubai&gt;Bur Dubai&gt;Umm Hurair&gt;Umm Hurair 1&gt;Residence 0138</v>
      </c>
      <c r="E10116" s="2"/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  <c r="U10116" s="2"/>
      <c r="V10116" s="2"/>
      <c r="W10116" s="2"/>
      <c r="X10116" s="2"/>
      <c r="Y10116" s="2"/>
      <c r="Z10116" s="2"/>
    </row>
    <row r="10117" spans="1:26" ht="16.5" x14ac:dyDescent="0.35">
      <c r="A10117" s="2" t="str">
        <f ca="1">IFERROR(__xludf.DUMMYFUNCTION("""COMPUTED_VALUE"""),"Dubai")</f>
        <v>Dubai</v>
      </c>
      <c r="B10117" s="2" t="str">
        <f ca="1">IFERROR(__xludf.DUMMYFUNCTION("""COMPUTED_VALUE"""),"Amwaj Building")</f>
        <v>Amwaj Building</v>
      </c>
      <c r="C10117" s="2" t="str">
        <f ca="1">IFERROR(__xludf.DUMMYFUNCTION("""COMPUTED_VALUE"""),"Building")</f>
        <v>Building</v>
      </c>
      <c r="D10117" s="2" t="str">
        <f ca="1">IFERROR(__xludf.DUMMYFUNCTION("""COMPUTED_VALUE"""),"Dubai&gt;Bur Dubai&gt;Al Souk Al Kabeer (Al Fahidi)&gt;Amwaj Building")</f>
        <v>Dubai&gt;Bur Dubai&gt;Al Souk Al Kabeer (Al Fahidi)&gt;Amwaj Building</v>
      </c>
      <c r="E10117" s="2"/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  <c r="U10117" s="2"/>
      <c r="V10117" s="2"/>
      <c r="W10117" s="2"/>
      <c r="X10117" s="2"/>
      <c r="Y10117" s="2"/>
      <c r="Z10117" s="2"/>
    </row>
    <row r="10118" spans="1:26" ht="16.5" x14ac:dyDescent="0.35">
      <c r="A10118" s="2" t="str">
        <f ca="1">IFERROR(__xludf.DUMMYFUNCTION("""COMPUTED_VALUE"""),"Dubai")</f>
        <v>Dubai</v>
      </c>
      <c r="B10118" s="2" t="str">
        <f ca="1">IFERROR(__xludf.DUMMYFUNCTION("""COMPUTED_VALUE"""),"The Business Center")</f>
        <v>The Business Center</v>
      </c>
      <c r="C10118" s="2" t="str">
        <f ca="1">IFERROR(__xludf.DUMMYFUNCTION("""COMPUTED_VALUE"""),"Building")</f>
        <v>Building</v>
      </c>
      <c r="D10118" s="2" t="str">
        <f ca="1">IFERROR(__xludf.DUMMYFUNCTION("""COMPUTED_VALUE"""),"Dubai&gt;Bur Dubai&gt;Al Hamriya&gt;The Business Center")</f>
        <v>Dubai&gt;Bur Dubai&gt;Al Hamriya&gt;The Business Center</v>
      </c>
      <c r="E10118" s="2"/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  <c r="U10118" s="2"/>
      <c r="V10118" s="2"/>
      <c r="W10118" s="2"/>
      <c r="X10118" s="2"/>
      <c r="Y10118" s="2"/>
      <c r="Z10118" s="2"/>
    </row>
    <row r="10119" spans="1:26" ht="16.5" x14ac:dyDescent="0.35">
      <c r="A10119" s="2" t="str">
        <f ca="1">IFERROR(__xludf.DUMMYFUNCTION("""COMPUTED_VALUE"""),"Dubai")</f>
        <v>Dubai</v>
      </c>
      <c r="B10119" s="2" t="str">
        <f ca="1">IFERROR(__xludf.DUMMYFUNCTION("""COMPUTED_VALUE"""),"Ultralasik Amico Center")</f>
        <v>Ultralasik Amico Center</v>
      </c>
      <c r="C10119" s="2" t="str">
        <f ca="1">IFERROR(__xludf.DUMMYFUNCTION("""COMPUTED_VALUE"""),"Building")</f>
        <v>Building</v>
      </c>
      <c r="D10119" s="2" t="str">
        <f ca="1">IFERROR(__xludf.DUMMYFUNCTION("""COMPUTED_VALUE"""),"Dubai&gt;Bur Dubai&gt;Dubai Healthcare City&gt;Ultralasik Amico Center")</f>
        <v>Dubai&gt;Bur Dubai&gt;Dubai Healthcare City&gt;Ultralasik Amico Center</v>
      </c>
      <c r="E10119" s="2"/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  <c r="U10119" s="2"/>
      <c r="V10119" s="2"/>
      <c r="W10119" s="2"/>
      <c r="X10119" s="2"/>
      <c r="Y10119" s="2"/>
      <c r="Z10119" s="2"/>
    </row>
    <row r="10120" spans="1:26" ht="16.5" x14ac:dyDescent="0.35">
      <c r="A10120" s="2" t="str">
        <f ca="1">IFERROR(__xludf.DUMMYFUNCTION("""COMPUTED_VALUE"""),"Dubai")</f>
        <v>Dubai</v>
      </c>
      <c r="B10120" s="2" t="str">
        <f ca="1">IFERROR(__xludf.DUMMYFUNCTION("""COMPUTED_VALUE"""),"Sienna Views")</f>
        <v>Sienna Views</v>
      </c>
      <c r="C10120" s="2" t="str">
        <f ca="1">IFERROR(__xludf.DUMMYFUNCTION("""COMPUTED_VALUE"""),"Neighbourhood")</f>
        <v>Neighbourhood</v>
      </c>
      <c r="D10120" s="2" t="str">
        <f ca="1">IFERROR(__xludf.DUMMYFUNCTION("""COMPUTED_VALUE"""),"Dubai&gt;Jumeirah Golf Estates&gt;Sienna Views")</f>
        <v>Dubai&gt;Jumeirah Golf Estates&gt;Sienna Views</v>
      </c>
      <c r="E10120" s="2"/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  <c r="U10120" s="2"/>
      <c r="V10120" s="2"/>
      <c r="W10120" s="2"/>
      <c r="X10120" s="2"/>
      <c r="Y10120" s="2"/>
      <c r="Z10120" s="2"/>
    </row>
    <row r="10121" spans="1:26" ht="16.5" x14ac:dyDescent="0.35">
      <c r="A10121" s="2" t="str">
        <f ca="1">IFERROR(__xludf.DUMMYFUNCTION("""COMPUTED_VALUE"""),"Dubai")</f>
        <v>Dubai</v>
      </c>
      <c r="B10121" s="2" t="str">
        <f ca="1">IFERROR(__xludf.DUMMYFUNCTION("""COMPUTED_VALUE"""),"Beach Vista Podium")</f>
        <v>Beach Vista Podium</v>
      </c>
      <c r="C10121" s="2" t="str">
        <f ca="1">IFERROR(__xludf.DUMMYFUNCTION("""COMPUTED_VALUE"""),"Building")</f>
        <v>Building</v>
      </c>
      <c r="D10121" s="2" t="str">
        <f ca="1">IFERROR(__xludf.DUMMYFUNCTION("""COMPUTED_VALUE"""),"Dubai&gt;Dubai Harbour&gt;Emaar Beachfront&gt;Beach Vista&gt;Beach Vista Podium")</f>
        <v>Dubai&gt;Dubai Harbour&gt;Emaar Beachfront&gt;Beach Vista&gt;Beach Vista Podium</v>
      </c>
      <c r="E10121" s="2"/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2"/>
      <c r="T10121" s="2"/>
      <c r="U10121" s="2"/>
      <c r="V10121" s="2"/>
      <c r="W10121" s="2"/>
      <c r="X10121" s="2"/>
      <c r="Y10121" s="2"/>
      <c r="Z10121" s="2"/>
    </row>
    <row r="10122" spans="1:26" ht="16.5" x14ac:dyDescent="0.35">
      <c r="A10122" s="2" t="str">
        <f ca="1">IFERROR(__xludf.DUMMYFUNCTION("""COMPUTED_VALUE"""),"Dubai")</f>
        <v>Dubai</v>
      </c>
      <c r="B10122" s="2" t="str">
        <f ca="1">IFERROR(__xludf.DUMMYFUNCTION("""COMPUTED_VALUE"""),"W Residences")</f>
        <v>W Residences</v>
      </c>
      <c r="C10122" s="2" t="str">
        <f ca="1">IFERROR(__xludf.DUMMYFUNCTION("""COMPUTED_VALUE"""),"Building")</f>
        <v>Building</v>
      </c>
      <c r="D10122" s="2" t="str">
        <f ca="1">IFERROR(__xludf.DUMMYFUNCTION("""COMPUTED_VALUE"""),"Dubai&gt;Dubai Harbour&gt;W Residences")</f>
        <v>Dubai&gt;Dubai Harbour&gt;W Residences</v>
      </c>
      <c r="E10122" s="2"/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  <c r="U10122" s="2"/>
      <c r="V10122" s="2"/>
      <c r="W10122" s="2"/>
      <c r="X10122" s="2"/>
      <c r="Y10122" s="2"/>
      <c r="Z10122" s="2"/>
    </row>
    <row r="10123" spans="1:26" ht="16.5" x14ac:dyDescent="0.35">
      <c r="A10123" s="2" t="str">
        <f ca="1">IFERROR(__xludf.DUMMYFUNCTION("""COMPUTED_VALUE"""),"Dubai")</f>
        <v>Dubai</v>
      </c>
      <c r="B10123" s="2" t="str">
        <f ca="1">IFERROR(__xludf.DUMMYFUNCTION("""COMPUTED_VALUE"""),"Primrose")</f>
        <v>Primrose</v>
      </c>
      <c r="C10123" s="2" t="str">
        <f ca="1">IFERROR(__xludf.DUMMYFUNCTION("""COMPUTED_VALUE"""),"Neighbourhood")</f>
        <v>Neighbourhood</v>
      </c>
      <c r="D10123" s="2" t="str">
        <f ca="1">IFERROR(__xludf.DUMMYFUNCTION("""COMPUTED_VALUE"""),"Dubai&gt;DAMAC Hills 2 (Akoya by DAMAC)&gt;Primrose")</f>
        <v>Dubai&gt;DAMAC Hills 2 (Akoya by DAMAC)&gt;Primrose</v>
      </c>
      <c r="E10123" s="2"/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  <c r="U10123" s="2"/>
      <c r="V10123" s="2"/>
      <c r="W10123" s="2"/>
      <c r="X10123" s="2"/>
      <c r="Y10123" s="2"/>
      <c r="Z10123" s="2"/>
    </row>
    <row r="10124" spans="1:26" ht="16.5" x14ac:dyDescent="0.35">
      <c r="A10124" s="2" t="str">
        <f ca="1">IFERROR(__xludf.DUMMYFUNCTION("""COMPUTED_VALUE"""),"Dubai")</f>
        <v>Dubai</v>
      </c>
      <c r="B10124" s="2" t="str">
        <f ca="1">IFERROR(__xludf.DUMMYFUNCTION("""COMPUTED_VALUE"""),"I-11")</f>
        <v>I-11</v>
      </c>
      <c r="C10124" s="2" t="str">
        <f ca="1">IFERROR(__xludf.DUMMYFUNCTION("""COMPUTED_VALUE"""),"Building")</f>
        <v>Building</v>
      </c>
      <c r="D10124" s="2" t="str">
        <f ca="1">IFERROR(__xludf.DUMMYFUNCTION("""COMPUTED_VALUE"""),"Dubai&gt;International City&gt;Morocco Cluster&gt;I-11")</f>
        <v>Dubai&gt;International City&gt;Morocco Cluster&gt;I-11</v>
      </c>
      <c r="E10124" s="2"/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  <c r="U10124" s="2"/>
      <c r="V10124" s="2"/>
      <c r="W10124" s="2"/>
      <c r="X10124" s="2"/>
      <c r="Y10124" s="2"/>
      <c r="Z10124" s="2"/>
    </row>
    <row r="10125" spans="1:26" ht="16.5" x14ac:dyDescent="0.35">
      <c r="A10125" s="2" t="str">
        <f ca="1">IFERROR(__xludf.DUMMYFUNCTION("""COMPUTED_VALUE"""),"Dubai")</f>
        <v>Dubai</v>
      </c>
      <c r="B10125" s="2" t="str">
        <f ca="1">IFERROR(__xludf.DUMMYFUNCTION("""COMPUTED_VALUE"""),"Souk Warsan Block A")</f>
        <v>Souk Warsan Block A</v>
      </c>
      <c r="C10125" s="2" t="str">
        <f ca="1">IFERROR(__xludf.DUMMYFUNCTION("""COMPUTED_VALUE"""),"Building")</f>
        <v>Building</v>
      </c>
      <c r="D10125" s="2" t="str">
        <f ca="1">IFERROR(__xludf.DUMMYFUNCTION("""COMPUTED_VALUE"""),"Dubai&gt;International City&gt;Warsan Village&gt;Souk Warsan&gt;Souk Warsan Block A")</f>
        <v>Dubai&gt;International City&gt;Warsan Village&gt;Souk Warsan&gt;Souk Warsan Block A</v>
      </c>
      <c r="E10125" s="2"/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  <c r="U10125" s="2"/>
      <c r="V10125" s="2"/>
      <c r="W10125" s="2"/>
      <c r="X10125" s="2"/>
      <c r="Y10125" s="2"/>
      <c r="Z10125" s="2"/>
    </row>
    <row r="10126" spans="1:26" ht="16.5" x14ac:dyDescent="0.35">
      <c r="A10126" s="2" t="str">
        <f ca="1">IFERROR(__xludf.DUMMYFUNCTION("""COMPUTED_VALUE"""),"Dubai")</f>
        <v>Dubai</v>
      </c>
      <c r="B10126" s="2" t="str">
        <f ca="1">IFERROR(__xludf.DUMMYFUNCTION("""COMPUTED_VALUE"""),"A-09")</f>
        <v>A-09</v>
      </c>
      <c r="C10126" s="2" t="str">
        <f ca="1">IFERROR(__xludf.DUMMYFUNCTION("""COMPUTED_VALUE"""),"Building")</f>
        <v>Building</v>
      </c>
      <c r="D10126" s="2" t="str">
        <f ca="1">IFERROR(__xludf.DUMMYFUNCTION("""COMPUTED_VALUE"""),"Dubai&gt;International City&gt;China Cluster&gt;A-09")</f>
        <v>Dubai&gt;International City&gt;China Cluster&gt;A-09</v>
      </c>
      <c r="E10126" s="2"/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  <c r="U10126" s="2"/>
      <c r="V10126" s="2"/>
      <c r="W10126" s="2"/>
      <c r="X10126" s="2"/>
      <c r="Y10126" s="2"/>
      <c r="Z10126" s="2"/>
    </row>
    <row r="10127" spans="1:26" ht="16.5" x14ac:dyDescent="0.35">
      <c r="A10127" s="2" t="str">
        <f ca="1">IFERROR(__xludf.DUMMYFUNCTION("""COMPUTED_VALUE"""),"Dubai")</f>
        <v>Dubai</v>
      </c>
      <c r="B10127" s="2" t="str">
        <f ca="1">IFERROR(__xludf.DUMMYFUNCTION("""COMPUTED_VALUE"""),"C-16")</f>
        <v>C-16</v>
      </c>
      <c r="C10127" s="2" t="str">
        <f ca="1">IFERROR(__xludf.DUMMYFUNCTION("""COMPUTED_VALUE"""),"Building")</f>
        <v>Building</v>
      </c>
      <c r="D10127" s="2" t="str">
        <f ca="1">IFERROR(__xludf.DUMMYFUNCTION("""COMPUTED_VALUE"""),"Dubai&gt;International City&gt;China Cluster&gt;C-16")</f>
        <v>Dubai&gt;International City&gt;China Cluster&gt;C-16</v>
      </c>
      <c r="E10127" s="2"/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  <c r="U10127" s="2"/>
      <c r="V10127" s="2"/>
      <c r="W10127" s="2"/>
      <c r="X10127" s="2"/>
      <c r="Y10127" s="2"/>
      <c r="Z10127" s="2"/>
    </row>
    <row r="10128" spans="1:26" ht="16.5" x14ac:dyDescent="0.35">
      <c r="A10128" s="2" t="str">
        <f ca="1">IFERROR(__xludf.DUMMYFUNCTION("""COMPUTED_VALUE"""),"Dubai")</f>
        <v>Dubai</v>
      </c>
      <c r="B10128" s="2" t="str">
        <f ca="1">IFERROR(__xludf.DUMMYFUNCTION("""COMPUTED_VALUE"""),"H-07")</f>
        <v>H-07</v>
      </c>
      <c r="C10128" s="2" t="str">
        <f ca="1">IFERROR(__xludf.DUMMYFUNCTION("""COMPUTED_VALUE"""),"Building")</f>
        <v>Building</v>
      </c>
      <c r="D10128" s="2" t="str">
        <f ca="1">IFERROR(__xludf.DUMMYFUNCTION("""COMPUTED_VALUE"""),"Dubai&gt;International City&gt;China Cluster&gt;H-07")</f>
        <v>Dubai&gt;International City&gt;China Cluster&gt;H-07</v>
      </c>
      <c r="E10128" s="2"/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  <c r="U10128" s="2"/>
      <c r="V10128" s="2"/>
      <c r="W10128" s="2"/>
      <c r="X10128" s="2"/>
      <c r="Y10128" s="2"/>
      <c r="Z10128" s="2"/>
    </row>
    <row r="10129" spans="1:26" ht="16.5" x14ac:dyDescent="0.35">
      <c r="A10129" s="2" t="str">
        <f ca="1">IFERROR(__xludf.DUMMYFUNCTION("""COMPUTED_VALUE"""),"Dubai")</f>
        <v>Dubai</v>
      </c>
      <c r="B10129" s="2" t="str">
        <f ca="1">IFERROR(__xludf.DUMMYFUNCTION("""COMPUTED_VALUE"""),"S-19")</f>
        <v>S-19</v>
      </c>
      <c r="C10129" s="2" t="str">
        <f ca="1">IFERROR(__xludf.DUMMYFUNCTION("""COMPUTED_VALUE"""),"Building")</f>
        <v>Building</v>
      </c>
      <c r="D10129" s="2" t="str">
        <f ca="1">IFERROR(__xludf.DUMMYFUNCTION("""COMPUTED_VALUE"""),"Dubai&gt;International City&gt;Spain Cluster&gt;S-19")</f>
        <v>Dubai&gt;International City&gt;Spain Cluster&gt;S-19</v>
      </c>
      <c r="E10129" s="2"/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  <c r="U10129" s="2"/>
      <c r="V10129" s="2"/>
      <c r="W10129" s="2"/>
      <c r="X10129" s="2"/>
      <c r="Y10129" s="2"/>
      <c r="Z10129" s="2"/>
    </row>
    <row r="10130" spans="1:26" ht="16.5" x14ac:dyDescent="0.35">
      <c r="A10130" s="2" t="str">
        <f ca="1">IFERROR(__xludf.DUMMYFUNCTION("""COMPUTED_VALUE"""),"Dubai")</f>
        <v>Dubai</v>
      </c>
      <c r="B10130" s="2" t="str">
        <f ca="1">IFERROR(__xludf.DUMMYFUNCTION("""COMPUTED_VALUE"""),"U-19")</f>
        <v>U-19</v>
      </c>
      <c r="C10130" s="2" t="str">
        <f ca="1">IFERROR(__xludf.DUMMYFUNCTION("""COMPUTED_VALUE"""),"Building")</f>
        <v>Building</v>
      </c>
      <c r="D10130" s="2" t="str">
        <f ca="1">IFERROR(__xludf.DUMMYFUNCTION("""COMPUTED_VALUE"""),"Dubai&gt;International City&gt;Italy Cluster&gt;U-19")</f>
        <v>Dubai&gt;International City&gt;Italy Cluster&gt;U-19</v>
      </c>
      <c r="E10130" s="2"/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  <c r="U10130" s="2"/>
      <c r="V10130" s="2"/>
      <c r="W10130" s="2"/>
      <c r="X10130" s="2"/>
      <c r="Y10130" s="2"/>
      <c r="Z10130" s="2"/>
    </row>
    <row r="10131" spans="1:26" ht="16.5" x14ac:dyDescent="0.35">
      <c r="A10131" s="2" t="str">
        <f ca="1">IFERROR(__xludf.DUMMYFUNCTION("""COMPUTED_VALUE"""),"Dubai")</f>
        <v>Dubai</v>
      </c>
      <c r="B10131" s="2" t="str">
        <f ca="1">IFERROR(__xludf.DUMMYFUNCTION("""COMPUTED_VALUE"""),"W-01")</f>
        <v>W-01</v>
      </c>
      <c r="C10131" s="2" t="str">
        <f ca="1">IFERROR(__xludf.DUMMYFUNCTION("""COMPUTED_VALUE"""),"Building")</f>
        <v>Building</v>
      </c>
      <c r="D10131" s="2" t="str">
        <f ca="1">IFERROR(__xludf.DUMMYFUNCTION("""COMPUTED_VALUE"""),"Dubai&gt;International City&gt;Russia Cluster&gt;W-01")</f>
        <v>Dubai&gt;International City&gt;Russia Cluster&gt;W-01</v>
      </c>
      <c r="E10131" s="2"/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  <c r="U10131" s="2"/>
      <c r="V10131" s="2"/>
      <c r="W10131" s="2"/>
      <c r="X10131" s="2"/>
      <c r="Y10131" s="2"/>
      <c r="Z10131" s="2"/>
    </row>
    <row r="10132" spans="1:26" ht="16.5" x14ac:dyDescent="0.35">
      <c r="A10132" s="2" t="str">
        <f ca="1">IFERROR(__xludf.DUMMYFUNCTION("""COMPUTED_VALUE"""),"Dubai")</f>
        <v>Dubai</v>
      </c>
      <c r="B10132" s="2" t="str">
        <f ca="1">IFERROR(__xludf.DUMMYFUNCTION("""COMPUTED_VALUE"""),"O-01")</f>
        <v>O-01</v>
      </c>
      <c r="C10132" s="2" t="str">
        <f ca="1">IFERROR(__xludf.DUMMYFUNCTION("""COMPUTED_VALUE"""),"Building")</f>
        <v>Building</v>
      </c>
      <c r="D10132" s="2" t="str">
        <f ca="1">IFERROR(__xludf.DUMMYFUNCTION("""COMPUTED_VALUE"""),"Dubai&gt;International City&gt;Persia Cluster&gt;O-01")</f>
        <v>Dubai&gt;International City&gt;Persia Cluster&gt;O-01</v>
      </c>
      <c r="E10132" s="2"/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2"/>
      <c r="T10132" s="2"/>
      <c r="U10132" s="2"/>
      <c r="V10132" s="2"/>
      <c r="W10132" s="2"/>
      <c r="X10132" s="2"/>
      <c r="Y10132" s="2"/>
      <c r="Z10132" s="2"/>
    </row>
    <row r="10133" spans="1:26" ht="16.5" x14ac:dyDescent="0.35">
      <c r="A10133" s="2" t="str">
        <f ca="1">IFERROR(__xludf.DUMMYFUNCTION("""COMPUTED_VALUE"""),"Dubai")</f>
        <v>Dubai</v>
      </c>
      <c r="B10133" s="2" t="str">
        <f ca="1">IFERROR(__xludf.DUMMYFUNCTION("""COMPUTED_VALUE"""),"EMR-02")</f>
        <v>EMR-02</v>
      </c>
      <c r="C10133" s="2" t="str">
        <f ca="1">IFERROR(__xludf.DUMMYFUNCTION("""COMPUTED_VALUE"""),"Building")</f>
        <v>Building</v>
      </c>
      <c r="D10133" s="2" t="str">
        <f ca="1">IFERROR(__xludf.DUMMYFUNCTION("""COMPUTED_VALUE"""),"Dubai&gt;International City&gt;Emirates Cluster&gt;EMR-02")</f>
        <v>Dubai&gt;International City&gt;Emirates Cluster&gt;EMR-02</v>
      </c>
      <c r="E10133" s="2"/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  <c r="U10133" s="2"/>
      <c r="V10133" s="2"/>
      <c r="W10133" s="2"/>
      <c r="X10133" s="2"/>
      <c r="Y10133" s="2"/>
      <c r="Z10133" s="2"/>
    </row>
    <row r="10134" spans="1:26" ht="16.5" x14ac:dyDescent="0.35">
      <c r="A10134" s="2" t="str">
        <f ca="1">IFERROR(__xludf.DUMMYFUNCTION("""COMPUTED_VALUE"""),"Dubai")</f>
        <v>Dubai</v>
      </c>
      <c r="B10134" s="2" t="str">
        <f ca="1">IFERROR(__xludf.DUMMYFUNCTION("""COMPUTED_VALUE"""),"X-23")</f>
        <v>X-23</v>
      </c>
      <c r="C10134" s="2" t="str">
        <f ca="1">IFERROR(__xludf.DUMMYFUNCTION("""COMPUTED_VALUE"""),"Building")</f>
        <v>Building</v>
      </c>
      <c r="D10134" s="2" t="str">
        <f ca="1">IFERROR(__xludf.DUMMYFUNCTION("""COMPUTED_VALUE"""),"Dubai&gt;International City&gt;England Cluster&gt;X-23")</f>
        <v>Dubai&gt;International City&gt;England Cluster&gt;X-23</v>
      </c>
      <c r="E10134" s="2"/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  <c r="V10134" s="2"/>
      <c r="W10134" s="2"/>
      <c r="X10134" s="2"/>
      <c r="Y10134" s="2"/>
      <c r="Z10134" s="2"/>
    </row>
    <row r="10135" spans="1:26" ht="16.5" x14ac:dyDescent="0.35">
      <c r="A10135" s="2" t="str">
        <f ca="1">IFERROR(__xludf.DUMMYFUNCTION("""COMPUTED_VALUE"""),"Dubai")</f>
        <v>Dubai</v>
      </c>
      <c r="B10135" s="2" t="str">
        <f ca="1">IFERROR(__xludf.DUMMYFUNCTION("""COMPUTED_VALUE"""),"Z-03")</f>
        <v>Z-03</v>
      </c>
      <c r="C10135" s="2" t="str">
        <f ca="1">IFERROR(__xludf.DUMMYFUNCTION("""COMPUTED_VALUE"""),"Building")</f>
        <v>Building</v>
      </c>
      <c r="D10135" s="2" t="str">
        <f ca="1">IFERROR(__xludf.DUMMYFUNCTION("""COMPUTED_VALUE"""),"Dubai&gt;International City&gt;England Cluster&gt;Z-03")</f>
        <v>Dubai&gt;International City&gt;England Cluster&gt;Z-03</v>
      </c>
      <c r="E10135" s="2"/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  <c r="U10135" s="2"/>
      <c r="V10135" s="2"/>
      <c r="W10135" s="2"/>
      <c r="X10135" s="2"/>
      <c r="Y10135" s="2"/>
      <c r="Z10135" s="2"/>
    </row>
    <row r="10136" spans="1:26" ht="16.5" x14ac:dyDescent="0.35">
      <c r="A10136" s="2" t="str">
        <f ca="1">IFERROR(__xludf.DUMMYFUNCTION("""COMPUTED_VALUE"""),"Dubai")</f>
        <v>Dubai</v>
      </c>
      <c r="B10136" s="2" t="str">
        <f ca="1">IFERROR(__xludf.DUMMYFUNCTION("""COMPUTED_VALUE"""),"Olimpico Residences")</f>
        <v>Olimpico Residences</v>
      </c>
      <c r="C10136" s="2" t="str">
        <f ca="1">IFERROR(__xludf.DUMMYFUNCTION("""COMPUTED_VALUE"""),"Building")</f>
        <v>Building</v>
      </c>
      <c r="D10136" s="2" t="str">
        <f ca="1">IFERROR(__xludf.DUMMYFUNCTION("""COMPUTED_VALUE"""),"Dubai&gt;International City&gt;International City Phase 2 (Warsan 4)&gt;Olimpico Residences")</f>
        <v>Dubai&gt;International City&gt;International City Phase 2 (Warsan 4)&gt;Olimpico Residences</v>
      </c>
      <c r="E10136" s="2"/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  <c r="U10136" s="2"/>
      <c r="V10136" s="2"/>
      <c r="W10136" s="2"/>
      <c r="X10136" s="2"/>
      <c r="Y10136" s="2"/>
      <c r="Z10136" s="2"/>
    </row>
    <row r="10137" spans="1:26" ht="16.5" x14ac:dyDescent="0.35">
      <c r="A10137" s="2" t="str">
        <f ca="1">IFERROR(__xludf.DUMMYFUNCTION("""COMPUTED_VALUE"""),"Dubai")</f>
        <v>Dubai</v>
      </c>
      <c r="B10137" s="2" t="str">
        <f ca="1">IFERROR(__xludf.DUMMYFUNCTION("""COMPUTED_VALUE"""),"Rokane G24")</f>
        <v>Rokane G24</v>
      </c>
      <c r="C10137" s="2" t="str">
        <f ca="1">IFERROR(__xludf.DUMMYFUNCTION("""COMPUTED_VALUE"""),"Building")</f>
        <v>Building</v>
      </c>
      <c r="D10137" s="2" t="str">
        <f ca="1">IFERROR(__xludf.DUMMYFUNCTION("""COMPUTED_VALUE"""),"Dubai&gt;International City&gt;International City Phase 2 (Warsan 4)&gt;Rokane G24")</f>
        <v>Dubai&gt;International City&gt;International City Phase 2 (Warsan 4)&gt;Rokane G24</v>
      </c>
      <c r="E10137" s="2"/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  <c r="U10137" s="2"/>
      <c r="V10137" s="2"/>
      <c r="W10137" s="2"/>
      <c r="X10137" s="2"/>
      <c r="Y10137" s="2"/>
      <c r="Z10137" s="2"/>
    </row>
    <row r="10138" spans="1:26" ht="16.5" x14ac:dyDescent="0.35">
      <c r="A10138" s="2" t="str">
        <f ca="1">IFERROR(__xludf.DUMMYFUNCTION("""COMPUTED_VALUE"""),"Dubai")</f>
        <v>Dubai</v>
      </c>
      <c r="B10138" s="2" t="str">
        <f ca="1">IFERROR(__xludf.DUMMYFUNCTION("""COMPUTED_VALUE"""),"Sandy Signature 2")</f>
        <v>Sandy Signature 2</v>
      </c>
      <c r="C10138" s="2" t="str">
        <f ca="1">IFERROR(__xludf.DUMMYFUNCTION("""COMPUTED_VALUE"""),"Building")</f>
        <v>Building</v>
      </c>
      <c r="D10138" s="2" t="str">
        <f ca="1">IFERROR(__xludf.DUMMYFUNCTION("""COMPUTED_VALUE"""),"Dubai&gt;International City&gt;International City Phase 2 (Warsan 4)&gt;Sandy Signature 2")</f>
        <v>Dubai&gt;International City&gt;International City Phase 2 (Warsan 4)&gt;Sandy Signature 2</v>
      </c>
      <c r="E10138" s="2"/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  <c r="U10138" s="2"/>
      <c r="V10138" s="2"/>
      <c r="W10138" s="2"/>
      <c r="X10138" s="2"/>
      <c r="Y10138" s="2"/>
      <c r="Z10138" s="2"/>
    </row>
    <row r="10139" spans="1:26" ht="16.5" x14ac:dyDescent="0.35">
      <c r="A10139" s="2" t="str">
        <f ca="1">IFERROR(__xludf.DUMMYFUNCTION("""COMPUTED_VALUE"""),"Dubai")</f>
        <v>Dubai</v>
      </c>
      <c r="B10139" s="2" t="str">
        <f ca="1">IFERROR(__xludf.DUMMYFUNCTION("""COMPUTED_VALUE"""),"27 East End Garden Residences")</f>
        <v>27 East End Garden Residences</v>
      </c>
      <c r="C10139" s="2" t="str">
        <f ca="1">IFERROR(__xludf.DUMMYFUNCTION("""COMPUTED_VALUE"""),"Building")</f>
        <v>Building</v>
      </c>
      <c r="D10139" s="2" t="str">
        <f ca="1">IFERROR(__xludf.DUMMYFUNCTION("""COMPUTED_VALUE"""),"Dubai&gt;International City&gt;International City Phase 2 (Warsan 4)&gt;27 East End Garden Residences")</f>
        <v>Dubai&gt;International City&gt;International City Phase 2 (Warsan 4)&gt;27 East End Garden Residences</v>
      </c>
      <c r="E10139" s="2"/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2"/>
      <c r="T10139" s="2"/>
      <c r="U10139" s="2"/>
      <c r="V10139" s="2"/>
      <c r="W10139" s="2"/>
      <c r="X10139" s="2"/>
      <c r="Y10139" s="2"/>
      <c r="Z10139" s="2"/>
    </row>
    <row r="10140" spans="1:26" ht="16.5" x14ac:dyDescent="0.35">
      <c r="A10140" s="2" t="str">
        <f ca="1">IFERROR(__xludf.DUMMYFUNCTION("""COMPUTED_VALUE"""),"Dubai")</f>
        <v>Dubai</v>
      </c>
      <c r="B10140" s="2" t="str">
        <f ca="1">IFERROR(__xludf.DUMMYFUNCTION("""COMPUTED_VALUE"""),"Greece Cluster")</f>
        <v>Greece Cluster</v>
      </c>
      <c r="C10140" s="2" t="str">
        <f ca="1">IFERROR(__xludf.DUMMYFUNCTION("""COMPUTED_VALUE"""),"Neighbourhood")</f>
        <v>Neighbourhood</v>
      </c>
      <c r="D10140" s="2" t="str">
        <f ca="1">IFERROR(__xludf.DUMMYFUNCTION("""COMPUTED_VALUE"""),"Dubai&gt;International City&gt;Greece Cluster")</f>
        <v>Dubai&gt;International City&gt;Greece Cluster</v>
      </c>
      <c r="E10140" s="2"/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  <c r="V10140" s="2"/>
      <c r="W10140" s="2"/>
      <c r="X10140" s="2"/>
      <c r="Y10140" s="2"/>
      <c r="Z10140" s="2"/>
    </row>
    <row r="10141" spans="1:26" ht="16.5" x14ac:dyDescent="0.35">
      <c r="A10141" s="2" t="str">
        <f ca="1">IFERROR(__xludf.DUMMYFUNCTION("""COMPUTED_VALUE"""),"Dubai")</f>
        <v>Dubai</v>
      </c>
      <c r="B10141" s="2" t="str">
        <f ca="1">IFERROR(__xludf.DUMMYFUNCTION("""COMPUTED_VALUE"""),"P-18")</f>
        <v>P-18</v>
      </c>
      <c r="C10141" s="2" t="str">
        <f ca="1">IFERROR(__xludf.DUMMYFUNCTION("""COMPUTED_VALUE"""),"Building")</f>
        <v>Building</v>
      </c>
      <c r="D10141" s="2" t="str">
        <f ca="1">IFERROR(__xludf.DUMMYFUNCTION("""COMPUTED_VALUE"""),"Dubai&gt;International City&gt;France Cluster&gt;P-18")</f>
        <v>Dubai&gt;International City&gt;France Cluster&gt;P-18</v>
      </c>
      <c r="E10141" s="2"/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  <c r="U10141" s="2"/>
      <c r="V10141" s="2"/>
      <c r="W10141" s="2"/>
      <c r="X10141" s="2"/>
      <c r="Y10141" s="2"/>
      <c r="Z10141" s="2"/>
    </row>
    <row r="10142" spans="1:26" ht="16.5" x14ac:dyDescent="0.35">
      <c r="A10142" s="2" t="str">
        <f ca="1">IFERROR(__xludf.DUMMYFUNCTION("""COMPUTED_VALUE"""),"Dubai")</f>
        <v>Dubai</v>
      </c>
      <c r="B10142" s="2" t="str">
        <f ca="1">IFERROR(__xludf.DUMMYFUNCTION("""COMPUTED_VALUE"""),"R-07")</f>
        <v>R-07</v>
      </c>
      <c r="C10142" s="2" t="str">
        <f ca="1">IFERROR(__xludf.DUMMYFUNCTION("""COMPUTED_VALUE"""),"Building")</f>
        <v>Building</v>
      </c>
      <c r="D10142" s="2" t="str">
        <f ca="1">IFERROR(__xludf.DUMMYFUNCTION("""COMPUTED_VALUE"""),"Dubai&gt;International City&gt;France Cluster&gt;R-07")</f>
        <v>Dubai&gt;International City&gt;France Cluster&gt;R-07</v>
      </c>
      <c r="E10142" s="2"/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  <c r="U10142" s="2"/>
      <c r="V10142" s="2"/>
      <c r="W10142" s="2"/>
      <c r="X10142" s="2"/>
      <c r="Y10142" s="2"/>
      <c r="Z10142" s="2"/>
    </row>
    <row r="10143" spans="1:26" ht="16.5" x14ac:dyDescent="0.35">
      <c r="A10143" s="2" t="str">
        <f ca="1">IFERROR(__xludf.DUMMYFUNCTION("""COMPUTED_VALUE"""),"Dubai")</f>
        <v>Dubai</v>
      </c>
      <c r="B10143" s="2" t="str">
        <f ca="1">IFERROR(__xludf.DUMMYFUNCTION("""COMPUTED_VALUE"""),"Riviera Residence")</f>
        <v>Riviera Residence</v>
      </c>
      <c r="C10143" s="2" t="str">
        <f ca="1">IFERROR(__xludf.DUMMYFUNCTION("""COMPUTED_VALUE"""),"Building")</f>
        <v>Building</v>
      </c>
      <c r="D10143" s="2" t="str">
        <f ca="1">IFERROR(__xludf.DUMMYFUNCTION("""COMPUTED_VALUE"""),"Dubai&gt;International City&gt;Central Business District&gt;Riviera Residence")</f>
        <v>Dubai&gt;International City&gt;Central Business District&gt;Riviera Residence</v>
      </c>
      <c r="E10143" s="2"/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  <c r="U10143" s="2"/>
      <c r="V10143" s="2"/>
      <c r="W10143" s="2"/>
      <c r="X10143" s="2"/>
      <c r="Y10143" s="2"/>
      <c r="Z10143" s="2"/>
    </row>
    <row r="10144" spans="1:26" ht="16.5" x14ac:dyDescent="0.35">
      <c r="A10144" s="2" t="str">
        <f ca="1">IFERROR(__xludf.DUMMYFUNCTION("""COMPUTED_VALUE"""),"Dubai")</f>
        <v>Dubai</v>
      </c>
      <c r="B10144" s="2" t="str">
        <f ca="1">IFERROR(__xludf.DUMMYFUNCTION("""COMPUTED_VALUE"""),"CBD-C03")</f>
        <v>CBD-C03</v>
      </c>
      <c r="C10144" s="2" t="str">
        <f ca="1">IFERROR(__xludf.DUMMYFUNCTION("""COMPUTED_VALUE"""),"Building")</f>
        <v>Building</v>
      </c>
      <c r="D10144" s="2" t="str">
        <f ca="1">IFERROR(__xludf.DUMMYFUNCTION("""COMPUTED_VALUE"""),"Dubai&gt;International City&gt;Central Business District&gt;CBD-C03")</f>
        <v>Dubai&gt;International City&gt;Central Business District&gt;CBD-C03</v>
      </c>
      <c r="E10144" s="2"/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  <c r="U10144" s="2"/>
      <c r="V10144" s="2"/>
      <c r="W10144" s="2"/>
      <c r="X10144" s="2"/>
      <c r="Y10144" s="2"/>
      <c r="Z10144" s="2"/>
    </row>
    <row r="10145" spans="1:26" ht="16.5" x14ac:dyDescent="0.35">
      <c r="A10145" s="2" t="str">
        <f ca="1">IFERROR(__xludf.DUMMYFUNCTION("""COMPUTED_VALUE"""),"Dubai")</f>
        <v>Dubai</v>
      </c>
      <c r="B10145" s="2" t="str">
        <f ca="1">IFERROR(__xludf.DUMMYFUNCTION("""COMPUTED_VALUE"""),"Skyview Tower")</f>
        <v>Skyview Tower</v>
      </c>
      <c r="C10145" s="2" t="str">
        <f ca="1">IFERROR(__xludf.DUMMYFUNCTION("""COMPUTED_VALUE"""),"Building")</f>
        <v>Building</v>
      </c>
      <c r="D10145" s="2" t="str">
        <f ca="1">IFERROR(__xludf.DUMMYFUNCTION("""COMPUTED_VALUE"""),"Dubai&gt;Dubai Marina&gt;Skyview Tower")</f>
        <v>Dubai&gt;Dubai Marina&gt;Skyview Tower</v>
      </c>
      <c r="E10145" s="2"/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  <c r="U10145" s="2"/>
      <c r="V10145" s="2"/>
      <c r="W10145" s="2"/>
      <c r="X10145" s="2"/>
      <c r="Y10145" s="2"/>
      <c r="Z10145" s="2"/>
    </row>
    <row r="10146" spans="1:26" ht="16.5" x14ac:dyDescent="0.35">
      <c r="A10146" s="2" t="str">
        <f ca="1">IFERROR(__xludf.DUMMYFUNCTION("""COMPUTED_VALUE"""),"Dubai")</f>
        <v>Dubai</v>
      </c>
      <c r="B10146" s="2" t="str">
        <f ca="1">IFERROR(__xludf.DUMMYFUNCTION("""COMPUTED_VALUE"""),"Signature Hotel Apartments &amp; Spa Marina")</f>
        <v>Signature Hotel Apartments &amp; Spa Marina</v>
      </c>
      <c r="C10146" s="2" t="str">
        <f ca="1">IFERROR(__xludf.DUMMYFUNCTION("""COMPUTED_VALUE"""),"Building")</f>
        <v>Building</v>
      </c>
      <c r="D10146" s="2" t="str">
        <f ca="1">IFERROR(__xludf.DUMMYFUNCTION("""COMPUTED_VALUE"""),"Dubai&gt;Dubai Marina&gt;Signature Hotel Apartments &amp; Spa Marina")</f>
        <v>Dubai&gt;Dubai Marina&gt;Signature Hotel Apartments &amp; Spa Marina</v>
      </c>
      <c r="E10146" s="2"/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  <c r="U10146" s="2"/>
      <c r="V10146" s="2"/>
      <c r="W10146" s="2"/>
      <c r="X10146" s="2"/>
      <c r="Y10146" s="2"/>
      <c r="Z10146" s="2"/>
    </row>
    <row r="10147" spans="1:26" ht="16.5" x14ac:dyDescent="0.35">
      <c r="A10147" s="2" t="str">
        <f ca="1">IFERROR(__xludf.DUMMYFUNCTION("""COMPUTED_VALUE"""),"Dubai")</f>
        <v>Dubai</v>
      </c>
      <c r="B10147" s="2" t="str">
        <f ca="1">IFERROR(__xludf.DUMMYFUNCTION("""COMPUTED_VALUE"""),"Stella Maris")</f>
        <v>Stella Maris</v>
      </c>
      <c r="C10147" s="2" t="str">
        <f ca="1">IFERROR(__xludf.DUMMYFUNCTION("""COMPUTED_VALUE"""),"Building")</f>
        <v>Building</v>
      </c>
      <c r="D10147" s="2" t="str">
        <f ca="1">IFERROR(__xludf.DUMMYFUNCTION("""COMPUTED_VALUE"""),"Dubai&gt;Dubai Marina&gt;Stella Maris")</f>
        <v>Dubai&gt;Dubai Marina&gt;Stella Maris</v>
      </c>
      <c r="E10147" s="2"/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2"/>
      <c r="T10147" s="2"/>
      <c r="U10147" s="2"/>
      <c r="V10147" s="2"/>
      <c r="W10147" s="2"/>
      <c r="X10147" s="2"/>
      <c r="Y10147" s="2"/>
      <c r="Z10147" s="2"/>
    </row>
    <row r="10148" spans="1:26" ht="16.5" x14ac:dyDescent="0.35">
      <c r="A10148" s="2" t="str">
        <f ca="1">IFERROR(__xludf.DUMMYFUNCTION("""COMPUTED_VALUE"""),"Dubai")</f>
        <v>Dubai</v>
      </c>
      <c r="B10148" s="2" t="str">
        <f ca="1">IFERROR(__xludf.DUMMYFUNCTION("""COMPUTED_VALUE"""),"Al Mesk Tower")</f>
        <v>Al Mesk Tower</v>
      </c>
      <c r="C10148" s="2" t="str">
        <f ca="1">IFERROR(__xludf.DUMMYFUNCTION("""COMPUTED_VALUE"""),"Building")</f>
        <v>Building</v>
      </c>
      <c r="D10148" s="2" t="str">
        <f ca="1">IFERROR(__xludf.DUMMYFUNCTION("""COMPUTED_VALUE"""),"Dubai&gt;Dubai Marina&gt;Dubai Marina Towers&gt;Al Mesk Tower")</f>
        <v>Dubai&gt;Dubai Marina&gt;Dubai Marina Towers&gt;Al Mesk Tower</v>
      </c>
      <c r="E10148" s="2"/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  <c r="U10148" s="2"/>
      <c r="V10148" s="2"/>
      <c r="W10148" s="2"/>
      <c r="X10148" s="2"/>
      <c r="Y10148" s="2"/>
      <c r="Z10148" s="2"/>
    </row>
    <row r="10149" spans="1:26" ht="16.5" x14ac:dyDescent="0.35">
      <c r="A10149" s="2" t="str">
        <f ca="1">IFERROR(__xludf.DUMMYFUNCTION("""COMPUTED_VALUE"""),"Dubai")</f>
        <v>Dubai</v>
      </c>
      <c r="B10149" s="2" t="str">
        <f ca="1">IFERROR(__xludf.DUMMYFUNCTION("""COMPUTED_VALUE"""),"Marina Diamonds")</f>
        <v>Marina Diamonds</v>
      </c>
      <c r="C10149" s="2" t="str">
        <f ca="1">IFERROR(__xludf.DUMMYFUNCTION("""COMPUTED_VALUE"""),"Cluster")</f>
        <v>Cluster</v>
      </c>
      <c r="D10149" s="2" t="str">
        <f ca="1">IFERROR(__xludf.DUMMYFUNCTION("""COMPUTED_VALUE"""),"Dubai&gt;Dubai Marina&gt;Marina Diamonds")</f>
        <v>Dubai&gt;Dubai Marina&gt;Marina Diamonds</v>
      </c>
      <c r="E10149" s="2"/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  <c r="U10149" s="2"/>
      <c r="V10149" s="2"/>
      <c r="W10149" s="2"/>
      <c r="X10149" s="2"/>
      <c r="Y10149" s="2"/>
      <c r="Z10149" s="2"/>
    </row>
    <row r="10150" spans="1:26" ht="16.5" x14ac:dyDescent="0.35">
      <c r="A10150" s="2" t="str">
        <f ca="1">IFERROR(__xludf.DUMMYFUNCTION("""COMPUTED_VALUE"""),"Dubai")</f>
        <v>Dubai</v>
      </c>
      <c r="B10150" s="2" t="str">
        <f ca="1">IFERROR(__xludf.DUMMYFUNCTION("""COMPUTED_VALUE"""),"KG Tower")</f>
        <v>KG Tower</v>
      </c>
      <c r="C10150" s="2" t="str">
        <f ca="1">IFERROR(__xludf.DUMMYFUNCTION("""COMPUTED_VALUE"""),"Building")</f>
        <v>Building</v>
      </c>
      <c r="D10150" s="2" t="str">
        <f ca="1">IFERROR(__xludf.DUMMYFUNCTION("""COMPUTED_VALUE"""),"Dubai&gt;Dubai Marina&gt;KG Tower")</f>
        <v>Dubai&gt;Dubai Marina&gt;KG Tower</v>
      </c>
      <c r="E10150" s="2"/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  <c r="U10150" s="2"/>
      <c r="V10150" s="2"/>
      <c r="W10150" s="2"/>
      <c r="X10150" s="2"/>
      <c r="Y10150" s="2"/>
      <c r="Z10150" s="2"/>
    </row>
    <row r="10151" spans="1:26" ht="16.5" x14ac:dyDescent="0.35">
      <c r="A10151" s="2" t="str">
        <f ca="1">IFERROR(__xludf.DUMMYFUNCTION("""COMPUTED_VALUE"""),"Dubai")</f>
        <v>Dubai</v>
      </c>
      <c r="B10151" s="2" t="str">
        <f ca="1">IFERROR(__xludf.DUMMYFUNCTION("""COMPUTED_VALUE"""),"The Waves")</f>
        <v>The Waves</v>
      </c>
      <c r="C10151" s="2" t="str">
        <f ca="1">IFERROR(__xludf.DUMMYFUNCTION("""COMPUTED_VALUE"""),"Cluster")</f>
        <v>Cluster</v>
      </c>
      <c r="D10151" s="2" t="str">
        <f ca="1">IFERROR(__xludf.DUMMYFUNCTION("""COMPUTED_VALUE"""),"Dubai&gt;Dubai Marina&gt;The Waves")</f>
        <v>Dubai&gt;Dubai Marina&gt;The Waves</v>
      </c>
      <c r="E10151" s="2"/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  <c r="U10151" s="2"/>
      <c r="V10151" s="2"/>
      <c r="W10151" s="2"/>
      <c r="X10151" s="2"/>
      <c r="Y10151" s="2"/>
      <c r="Z10151" s="2"/>
    </row>
    <row r="10152" spans="1:26" ht="16.5" x14ac:dyDescent="0.35">
      <c r="A10152" s="2" t="str">
        <f ca="1">IFERROR(__xludf.DUMMYFUNCTION("""COMPUTED_VALUE"""),"Dubai")</f>
        <v>Dubai</v>
      </c>
      <c r="B10152" s="2" t="str">
        <f ca="1">IFERROR(__xludf.DUMMYFUNCTION("""COMPUTED_VALUE"""),"Al Seef Tower")</f>
        <v>Al Seef Tower</v>
      </c>
      <c r="C10152" s="2" t="str">
        <f ca="1">IFERROR(__xludf.DUMMYFUNCTION("""COMPUTED_VALUE"""),"Building")</f>
        <v>Building</v>
      </c>
      <c r="D10152" s="2" t="str">
        <f ca="1">IFERROR(__xludf.DUMMYFUNCTION("""COMPUTED_VALUE"""),"Dubai&gt;Dubai Marina&gt;Al Seef Tower")</f>
        <v>Dubai&gt;Dubai Marina&gt;Al Seef Tower</v>
      </c>
      <c r="E10152" s="2"/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  <c r="U10152" s="2"/>
      <c r="V10152" s="2"/>
      <c r="W10152" s="2"/>
      <c r="X10152" s="2"/>
      <c r="Y10152" s="2"/>
      <c r="Z10152" s="2"/>
    </row>
    <row r="10153" spans="1:26" ht="16.5" x14ac:dyDescent="0.35">
      <c r="A10153" s="2" t="str">
        <f ca="1">IFERROR(__xludf.DUMMYFUNCTION("""COMPUTED_VALUE"""),"Dubai")</f>
        <v>Dubai</v>
      </c>
      <c r="B10153" s="2" t="str">
        <f ca="1">IFERROR(__xludf.DUMMYFUNCTION("""COMPUTED_VALUE"""),"Parkviews")</f>
        <v>Parkviews</v>
      </c>
      <c r="C10153" s="2" t="str">
        <f ca="1">IFERROR(__xludf.DUMMYFUNCTION("""COMPUTED_VALUE"""),"Building")</f>
        <v>Building</v>
      </c>
      <c r="D10153" s="2" t="str">
        <f ca="1">IFERROR(__xludf.DUMMYFUNCTION("""COMPUTED_VALUE"""),"Dubai&gt;Town Square&gt;Rawda Apartments&gt;Parkviews")</f>
        <v>Dubai&gt;Town Square&gt;Rawda Apartments&gt;Parkviews</v>
      </c>
      <c r="E10153" s="2"/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2"/>
      <c r="T10153" s="2"/>
      <c r="U10153" s="2"/>
      <c r="V10153" s="2"/>
      <c r="W10153" s="2"/>
      <c r="X10153" s="2"/>
      <c r="Y10153" s="2"/>
      <c r="Z10153" s="2"/>
    </row>
    <row r="10154" spans="1:26" ht="16.5" x14ac:dyDescent="0.35">
      <c r="A10154" s="2" t="str">
        <f ca="1">IFERROR(__xludf.DUMMYFUNCTION("""COMPUTED_VALUE"""),"Dubai")</f>
        <v>Dubai</v>
      </c>
      <c r="B10154" s="2" t="str">
        <f ca="1">IFERROR(__xludf.DUMMYFUNCTION("""COMPUTED_VALUE"""),"The Mayfair")</f>
        <v>The Mayfair</v>
      </c>
      <c r="C10154" s="2" t="str">
        <f ca="1">IFERROR(__xludf.DUMMYFUNCTION("""COMPUTED_VALUE"""),"Building")</f>
        <v>Building</v>
      </c>
      <c r="D10154" s="2" t="str">
        <f ca="1">IFERROR(__xludf.DUMMYFUNCTION("""COMPUTED_VALUE"""),"Dubai&gt;Town Square&gt;The Mayfair")</f>
        <v>Dubai&gt;Town Square&gt;The Mayfair</v>
      </c>
      <c r="E10154" s="2"/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  <c r="U10154" s="2"/>
      <c r="V10154" s="2"/>
      <c r="W10154" s="2"/>
      <c r="X10154" s="2"/>
      <c r="Y10154" s="2"/>
      <c r="Z10154" s="2"/>
    </row>
    <row r="10155" spans="1:26" ht="16.5" x14ac:dyDescent="0.35">
      <c r="A10155" s="2" t="str">
        <f ca="1">IFERROR(__xludf.DUMMYFUNCTION("""COMPUTED_VALUE"""),"Dubai")</f>
        <v>Dubai</v>
      </c>
      <c r="B10155" s="2" t="str">
        <f ca="1">IFERROR(__xludf.DUMMYFUNCTION("""COMPUTED_VALUE"""),"Mira Oasis")</f>
        <v>Mira Oasis</v>
      </c>
      <c r="C10155" s="2" t="str">
        <f ca="1">IFERROR(__xludf.DUMMYFUNCTION("""COMPUTED_VALUE"""),"Neighbourhood")</f>
        <v>Neighbourhood</v>
      </c>
      <c r="D10155" s="2" t="str">
        <f ca="1">IFERROR(__xludf.DUMMYFUNCTION("""COMPUTED_VALUE"""),"Dubai&gt;Reem&gt;Mira Oasis")</f>
        <v>Dubai&gt;Reem&gt;Mira Oasis</v>
      </c>
      <c r="E10155" s="2"/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  <c r="V10155" s="2"/>
      <c r="W10155" s="2"/>
      <c r="X10155" s="2"/>
      <c r="Y10155" s="2"/>
      <c r="Z10155" s="2"/>
    </row>
    <row r="10156" spans="1:26" ht="16.5" x14ac:dyDescent="0.35">
      <c r="A10156" s="2" t="str">
        <f ca="1">IFERROR(__xludf.DUMMYFUNCTION("""COMPUTED_VALUE"""),"Dubai")</f>
        <v>Dubai</v>
      </c>
      <c r="B10156" s="2" t="str">
        <f ca="1">IFERROR(__xludf.DUMMYFUNCTION("""COMPUTED_VALUE"""),"Al Burooj Residence V")</f>
        <v>Al Burooj Residence V</v>
      </c>
      <c r="C10156" s="2" t="str">
        <f ca="1">IFERROR(__xludf.DUMMYFUNCTION("""COMPUTED_VALUE"""),"Neighbourhood")</f>
        <v>Neighbourhood</v>
      </c>
      <c r="D10156" s="2" t="str">
        <f ca="1">IFERROR(__xludf.DUMMYFUNCTION("""COMPUTED_VALUE"""),"Dubai&gt;Al Furjan&gt;Al Furjan West&gt;Al Burooj Residence V")</f>
        <v>Dubai&gt;Al Furjan&gt;Al Furjan West&gt;Al Burooj Residence V</v>
      </c>
      <c r="E10156" s="2"/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  <c r="U10156" s="2"/>
      <c r="V10156" s="2"/>
      <c r="W10156" s="2"/>
      <c r="X10156" s="2"/>
      <c r="Y10156" s="2"/>
      <c r="Z10156" s="2"/>
    </row>
    <row r="10157" spans="1:26" ht="16.5" x14ac:dyDescent="0.35">
      <c r="A10157" s="2" t="str">
        <f ca="1">IFERROR(__xludf.DUMMYFUNCTION("""COMPUTED_VALUE"""),"Dubai")</f>
        <v>Dubai</v>
      </c>
      <c r="B10157" s="2" t="str">
        <f ca="1">IFERROR(__xludf.DUMMYFUNCTION("""COMPUTED_VALUE"""),"Starz by Danube Tower 2")</f>
        <v>Starz by Danube Tower 2</v>
      </c>
      <c r="C10157" s="2" t="str">
        <f ca="1">IFERROR(__xludf.DUMMYFUNCTION("""COMPUTED_VALUE"""),"Building")</f>
        <v>Building</v>
      </c>
      <c r="D10157" s="2" t="str">
        <f ca="1">IFERROR(__xludf.DUMMYFUNCTION("""COMPUTED_VALUE"""),"Dubai&gt;Al Furjan&gt;Starz by Danube&gt;Starz by Danube Tower 2")</f>
        <v>Dubai&gt;Al Furjan&gt;Starz by Danube&gt;Starz by Danube Tower 2</v>
      </c>
      <c r="E10157" s="2"/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  <c r="U10157" s="2"/>
      <c r="V10157" s="2"/>
      <c r="W10157" s="2"/>
      <c r="X10157" s="2"/>
      <c r="Y10157" s="2"/>
      <c r="Z10157" s="2"/>
    </row>
    <row r="10158" spans="1:26" ht="16.5" x14ac:dyDescent="0.35">
      <c r="A10158" s="2" t="str">
        <f ca="1">IFERROR(__xludf.DUMMYFUNCTION("""COMPUTED_VALUE"""),"Dubai")</f>
        <v>Dubai</v>
      </c>
      <c r="B10158" s="2" t="str">
        <f ca="1">IFERROR(__xludf.DUMMYFUNCTION("""COMPUTED_VALUE"""),"Dubai Style")</f>
        <v>Dubai Style</v>
      </c>
      <c r="C10158" s="2" t="str">
        <f ca="1">IFERROR(__xludf.DUMMYFUNCTION("""COMPUTED_VALUE"""),"Neighbourhood")</f>
        <v>Neighbourhood</v>
      </c>
      <c r="D10158" s="2" t="str">
        <f ca="1">IFERROR(__xludf.DUMMYFUNCTION("""COMPUTED_VALUE"""),"Dubai&gt;Al Furjan&gt;Al Furjan Villas&gt;Dubai Style")</f>
        <v>Dubai&gt;Al Furjan&gt;Al Furjan Villas&gt;Dubai Style</v>
      </c>
      <c r="E10158" s="2"/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  <c r="U10158" s="2"/>
      <c r="V10158" s="2"/>
      <c r="W10158" s="2"/>
      <c r="X10158" s="2"/>
      <c r="Y10158" s="2"/>
      <c r="Z10158" s="2"/>
    </row>
    <row r="10159" spans="1:26" ht="16.5" x14ac:dyDescent="0.35">
      <c r="A10159" s="2" t="str">
        <f ca="1">IFERROR(__xludf.DUMMYFUNCTION("""COMPUTED_VALUE"""),"Dubai")</f>
        <v>Dubai</v>
      </c>
      <c r="B10159" s="2" t="str">
        <f ca="1">IFERROR(__xludf.DUMMYFUNCTION("""COMPUTED_VALUE"""),"Evora Residence")</f>
        <v>Evora Residence</v>
      </c>
      <c r="C10159" s="2" t="str">
        <f ca="1">IFERROR(__xludf.DUMMYFUNCTION("""COMPUTED_VALUE"""),"Building")</f>
        <v>Building</v>
      </c>
      <c r="D10159" s="2" t="str">
        <f ca="1">IFERROR(__xludf.DUMMYFUNCTION("""COMPUTED_VALUE"""),"Dubai&gt;Al Furjan&gt;Evora Residence")</f>
        <v>Dubai&gt;Al Furjan&gt;Evora Residence</v>
      </c>
      <c r="E10159" s="2"/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2"/>
      <c r="T10159" s="2"/>
      <c r="U10159" s="2"/>
      <c r="V10159" s="2"/>
      <c r="W10159" s="2"/>
      <c r="X10159" s="2"/>
      <c r="Y10159" s="2"/>
      <c r="Z10159" s="2"/>
    </row>
    <row r="10160" spans="1:26" ht="16.5" x14ac:dyDescent="0.35">
      <c r="A10160" s="2" t="str">
        <f ca="1">IFERROR(__xludf.DUMMYFUNCTION("""COMPUTED_VALUE"""),"Dubai")</f>
        <v>Dubai</v>
      </c>
      <c r="B10160" s="2" t="str">
        <f ca="1">IFERROR(__xludf.DUMMYFUNCTION("""COMPUTED_VALUE"""),"Meydan City")</f>
        <v>Meydan City</v>
      </c>
      <c r="C10160" s="2" t="str">
        <f ca="1">IFERROR(__xludf.DUMMYFUNCTION("""COMPUTED_VALUE"""),"Neighbourhood")</f>
        <v>Neighbourhood</v>
      </c>
      <c r="D10160" s="2" t="str">
        <f ca="1">IFERROR(__xludf.DUMMYFUNCTION("""COMPUTED_VALUE"""),"Dubai&gt;Meydan City")</f>
        <v>Dubai&gt;Meydan City</v>
      </c>
      <c r="E10160" s="2"/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  <c r="U10160" s="2"/>
      <c r="V10160" s="2"/>
      <c r="W10160" s="2"/>
      <c r="X10160" s="2"/>
      <c r="Y10160" s="2"/>
      <c r="Z10160" s="2"/>
    </row>
    <row r="10161" spans="1:26" ht="16.5" x14ac:dyDescent="0.35">
      <c r="A10161" s="2" t="str">
        <f ca="1">IFERROR(__xludf.DUMMYFUNCTION("""COMPUTED_VALUE"""),"Dubai")</f>
        <v>Dubai</v>
      </c>
      <c r="B10161" s="2" t="str">
        <f ca="1">IFERROR(__xludf.DUMMYFUNCTION("""COMPUTED_VALUE"""),"Azizi Riviera 48")</f>
        <v>Azizi Riviera 48</v>
      </c>
      <c r="C10161" s="2" t="str">
        <f ca="1">IFERROR(__xludf.DUMMYFUNCTION("""COMPUTED_VALUE"""),"Building")</f>
        <v>Building</v>
      </c>
      <c r="D10161" s="2" t="str">
        <f ca="1">IFERROR(__xludf.DUMMYFUNCTION("""COMPUTED_VALUE"""),"Dubai&gt;Meydan City&gt;Meydan One&gt;Azizi Riviera&gt;Azizi Riviera 48")</f>
        <v>Dubai&gt;Meydan City&gt;Meydan One&gt;Azizi Riviera&gt;Azizi Riviera 48</v>
      </c>
      <c r="E10161" s="2"/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  <c r="U10161" s="2"/>
      <c r="V10161" s="2"/>
      <c r="W10161" s="2"/>
      <c r="X10161" s="2"/>
      <c r="Y10161" s="2"/>
      <c r="Z10161" s="2"/>
    </row>
    <row r="10162" spans="1:26" ht="16.5" x14ac:dyDescent="0.35">
      <c r="A10162" s="2" t="str">
        <f ca="1">IFERROR(__xludf.DUMMYFUNCTION("""COMPUTED_VALUE"""),"Dubai")</f>
        <v>Dubai</v>
      </c>
      <c r="B10162" s="2" t="str">
        <f ca="1">IFERROR(__xludf.DUMMYFUNCTION("""COMPUTED_VALUE"""),"Azizi Riviera 46")</f>
        <v>Azizi Riviera 46</v>
      </c>
      <c r="C10162" s="2" t="str">
        <f ca="1">IFERROR(__xludf.DUMMYFUNCTION("""COMPUTED_VALUE"""),"Building")</f>
        <v>Building</v>
      </c>
      <c r="D10162" s="2" t="str">
        <f ca="1">IFERROR(__xludf.DUMMYFUNCTION("""COMPUTED_VALUE"""),"Dubai&gt;Meydan City&gt;Meydan One&gt;Azizi Riviera&gt;Azizi Riviera 46")</f>
        <v>Dubai&gt;Meydan City&gt;Meydan One&gt;Azizi Riviera&gt;Azizi Riviera 46</v>
      </c>
      <c r="E10162" s="2"/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  <c r="U10162" s="2"/>
      <c r="V10162" s="2"/>
      <c r="W10162" s="2"/>
      <c r="X10162" s="2"/>
      <c r="Y10162" s="2"/>
      <c r="Z10162" s="2"/>
    </row>
    <row r="10163" spans="1:26" ht="16.5" x14ac:dyDescent="0.35">
      <c r="A10163" s="2" t="str">
        <f ca="1">IFERROR(__xludf.DUMMYFUNCTION("""COMPUTED_VALUE"""),"Dubai")</f>
        <v>Dubai</v>
      </c>
      <c r="B10163" s="2" t="str">
        <f ca="1">IFERROR(__xludf.DUMMYFUNCTION("""COMPUTED_VALUE"""),"Manazel Nad al Shiba")</f>
        <v>Manazel Nad al Shiba</v>
      </c>
      <c r="C10163" s="2" t="str">
        <f ca="1">IFERROR(__xludf.DUMMYFUNCTION("""COMPUTED_VALUE"""),"Building")</f>
        <v>Building</v>
      </c>
      <c r="D10163" s="2" t="str">
        <f ca="1">IFERROR(__xludf.DUMMYFUNCTION("""COMPUTED_VALUE"""),"Dubai&gt;Meydan City&gt;Manazel Nad al Shiba")</f>
        <v>Dubai&gt;Meydan City&gt;Manazel Nad al Shiba</v>
      </c>
      <c r="E10163" s="2"/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  <c r="U10163" s="2"/>
      <c r="V10163" s="2"/>
      <c r="W10163" s="2"/>
      <c r="X10163" s="2"/>
      <c r="Y10163" s="2"/>
      <c r="Z10163" s="2"/>
    </row>
    <row r="10164" spans="1:26" ht="16.5" x14ac:dyDescent="0.35">
      <c r="A10164" s="2" t="str">
        <f ca="1">IFERROR(__xludf.DUMMYFUNCTION("""COMPUTED_VALUE"""),"Dubai")</f>
        <v>Dubai</v>
      </c>
      <c r="B10164" s="2" t="str">
        <f ca="1">IFERROR(__xludf.DUMMYFUNCTION("""COMPUTED_VALUE"""),"Polo Residence C8")</f>
        <v>Polo Residence C8</v>
      </c>
      <c r="C10164" s="2" t="str">
        <f ca="1">IFERROR(__xludf.DUMMYFUNCTION("""COMPUTED_VALUE"""),"Building")</f>
        <v>Building</v>
      </c>
      <c r="D10164" s="2" t="str">
        <f ca="1">IFERROR(__xludf.DUMMYFUNCTION("""COMPUTED_VALUE"""),"Dubai&gt;Meydan City&gt;Meydan Avenue&gt;Polo Residence&gt;Polo Residence C8")</f>
        <v>Dubai&gt;Meydan City&gt;Meydan Avenue&gt;Polo Residence&gt;Polo Residence C8</v>
      </c>
      <c r="E10164" s="2"/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  <c r="U10164" s="2"/>
      <c r="V10164" s="2"/>
      <c r="W10164" s="2"/>
      <c r="X10164" s="2"/>
      <c r="Y10164" s="2"/>
      <c r="Z10164" s="2"/>
    </row>
    <row r="10165" spans="1:26" ht="16.5" x14ac:dyDescent="0.35">
      <c r="A10165" s="2" t="str">
        <f ca="1">IFERROR(__xludf.DUMMYFUNCTION("""COMPUTED_VALUE"""),"Dubai")</f>
        <v>Dubai</v>
      </c>
      <c r="B10165" s="2" t="str">
        <f ca="1">IFERROR(__xludf.DUMMYFUNCTION("""COMPUTED_VALUE"""),"Vedaire Residences")</f>
        <v>Vedaire Residences</v>
      </c>
      <c r="C10165" s="2" t="str">
        <f ca="1">IFERROR(__xludf.DUMMYFUNCTION("""COMPUTED_VALUE"""),"Building")</f>
        <v>Building</v>
      </c>
      <c r="D10165" s="2" t="str">
        <f ca="1">IFERROR(__xludf.DUMMYFUNCTION("""COMPUTED_VALUE"""),"Dubai&gt;Meydan City&gt;Meydan Avenue&gt;Vedaire Residences")</f>
        <v>Dubai&gt;Meydan City&gt;Meydan Avenue&gt;Vedaire Residences</v>
      </c>
      <c r="E10165" s="2"/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2"/>
      <c r="T10165" s="2"/>
      <c r="U10165" s="2"/>
      <c r="V10165" s="2"/>
      <c r="W10165" s="2"/>
      <c r="X10165" s="2"/>
      <c r="Y10165" s="2"/>
      <c r="Z10165" s="2"/>
    </row>
    <row r="10166" spans="1:26" ht="16.5" x14ac:dyDescent="0.35">
      <c r="A10166" s="2" t="str">
        <f ca="1">IFERROR(__xludf.DUMMYFUNCTION("""COMPUTED_VALUE"""),"Dubai")</f>
        <v>Dubai</v>
      </c>
      <c r="B10166" s="2" t="str">
        <f ca="1">IFERROR(__xludf.DUMMYFUNCTION("""COMPUTED_VALUE"""),"The Onyx Tower 2")</f>
        <v>The Onyx Tower 2</v>
      </c>
      <c r="C10166" s="2" t="str">
        <f ca="1">IFERROR(__xludf.DUMMYFUNCTION("""COMPUTED_VALUE"""),"Building")</f>
        <v>Building</v>
      </c>
      <c r="D10166" s="2" t="str">
        <f ca="1">IFERROR(__xludf.DUMMYFUNCTION("""COMPUTED_VALUE"""),"Dubai&gt;The Greens&gt;The Onyx&gt;The Onyx Tower 2")</f>
        <v>Dubai&gt;The Greens&gt;The Onyx&gt;The Onyx Tower 2</v>
      </c>
      <c r="E10166" s="2"/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  <c r="U10166" s="2"/>
      <c r="V10166" s="2"/>
      <c r="W10166" s="2"/>
      <c r="X10166" s="2"/>
      <c r="Y10166" s="2"/>
      <c r="Z10166" s="2"/>
    </row>
    <row r="10167" spans="1:26" ht="16.5" x14ac:dyDescent="0.35">
      <c r="A10167" s="2" t="str">
        <f ca="1">IFERROR(__xludf.DUMMYFUNCTION("""COMPUTED_VALUE"""),"Dubai")</f>
        <v>Dubai</v>
      </c>
      <c r="B10167" s="2" t="str">
        <f ca="1">IFERROR(__xludf.DUMMYFUNCTION("""COMPUTED_VALUE"""),"Al Arta 1")</f>
        <v>Al Arta 1</v>
      </c>
      <c r="C10167" s="2" t="str">
        <f ca="1">IFERROR(__xludf.DUMMYFUNCTION("""COMPUTED_VALUE"""),"Building")</f>
        <v>Building</v>
      </c>
      <c r="D10167" s="2" t="str">
        <f ca="1">IFERROR(__xludf.DUMMYFUNCTION("""COMPUTED_VALUE"""),"Dubai&gt;The Greens&gt;Al Arta&gt;Al Arta 1")</f>
        <v>Dubai&gt;The Greens&gt;Al Arta&gt;Al Arta 1</v>
      </c>
      <c r="E10167" s="2"/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  <c r="U10167" s="2"/>
      <c r="V10167" s="2"/>
      <c r="W10167" s="2"/>
      <c r="X10167" s="2"/>
      <c r="Y10167" s="2"/>
      <c r="Z10167" s="2"/>
    </row>
    <row r="10168" spans="1:26" ht="16.5" x14ac:dyDescent="0.35">
      <c r="A10168" s="2" t="str">
        <f ca="1">IFERROR(__xludf.DUMMYFUNCTION("""COMPUTED_VALUE"""),"Dubai")</f>
        <v>Dubai</v>
      </c>
      <c r="B10168" s="2" t="str">
        <f ca="1">IFERROR(__xludf.DUMMYFUNCTION("""COMPUTED_VALUE"""),"Noor 2")</f>
        <v>Noor 2</v>
      </c>
      <c r="C10168" s="2" t="str">
        <f ca="1">IFERROR(__xludf.DUMMYFUNCTION("""COMPUTED_VALUE"""),"Building")</f>
        <v>Building</v>
      </c>
      <c r="D10168" s="2" t="str">
        <f ca="1">IFERROR(__xludf.DUMMYFUNCTION("""COMPUTED_VALUE"""),"Dubai&gt;Dubai Production City (IMPZ)&gt;Midtown&gt;Noor District&gt;Noor 2")</f>
        <v>Dubai&gt;Dubai Production City (IMPZ)&gt;Midtown&gt;Noor District&gt;Noor 2</v>
      </c>
      <c r="E10168" s="2"/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  <c r="U10168" s="2"/>
      <c r="V10168" s="2"/>
      <c r="W10168" s="2"/>
      <c r="X10168" s="2"/>
      <c r="Y10168" s="2"/>
      <c r="Z10168" s="2"/>
    </row>
    <row r="10169" spans="1:26" ht="16.5" x14ac:dyDescent="0.35">
      <c r="A10169" s="2" t="str">
        <f ca="1">IFERROR(__xludf.DUMMYFUNCTION("""COMPUTED_VALUE"""),"Dubai")</f>
        <v>Dubai</v>
      </c>
      <c r="B10169" s="2" t="str">
        <f ca="1">IFERROR(__xludf.DUMMYFUNCTION("""COMPUTED_VALUE"""),"Centrium Tower 3")</f>
        <v>Centrium Tower 3</v>
      </c>
      <c r="C10169" s="2" t="str">
        <f ca="1">IFERROR(__xludf.DUMMYFUNCTION("""COMPUTED_VALUE"""),"Building")</f>
        <v>Building</v>
      </c>
      <c r="D10169" s="2" t="str">
        <f ca="1">IFERROR(__xludf.DUMMYFUNCTION("""COMPUTED_VALUE"""),"Dubai&gt;Dubai Production City (IMPZ)&gt;Centrium Towers&gt;Centrium Tower 3")</f>
        <v>Dubai&gt;Dubai Production City (IMPZ)&gt;Centrium Towers&gt;Centrium Tower 3</v>
      </c>
      <c r="E10169" s="2"/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  <c r="U10169" s="2"/>
      <c r="V10169" s="2"/>
      <c r="W10169" s="2"/>
      <c r="X10169" s="2"/>
      <c r="Y10169" s="2"/>
      <c r="Z10169" s="2"/>
    </row>
    <row r="10170" spans="1:26" ht="16.5" x14ac:dyDescent="0.35">
      <c r="A10170" s="2" t="str">
        <f ca="1">IFERROR(__xludf.DUMMYFUNCTION("""COMPUTED_VALUE"""),"Dubai")</f>
        <v>Dubai</v>
      </c>
      <c r="B10170" s="2" t="str">
        <f ca="1">IFERROR(__xludf.DUMMYFUNCTION("""COMPUTED_VALUE"""),"First Entry Mall")</f>
        <v>First Entry Mall</v>
      </c>
      <c r="C10170" s="2" t="str">
        <f ca="1">IFERROR(__xludf.DUMMYFUNCTION("""COMPUTED_VALUE"""),"Building")</f>
        <v>Building</v>
      </c>
      <c r="D10170" s="2" t="str">
        <f ca="1">IFERROR(__xludf.DUMMYFUNCTION("""COMPUTED_VALUE"""),"Dubai&gt;Dubai Production City (IMPZ)&gt;First Entry Mall")</f>
        <v>Dubai&gt;Dubai Production City (IMPZ)&gt;First Entry Mall</v>
      </c>
      <c r="E10170" s="2"/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  <c r="U10170" s="2"/>
      <c r="V10170" s="2"/>
      <c r="W10170" s="2"/>
      <c r="X10170" s="2"/>
      <c r="Y10170" s="2"/>
      <c r="Z10170" s="2"/>
    </row>
    <row r="10171" spans="1:26" ht="16.5" x14ac:dyDescent="0.35">
      <c r="A10171" s="2" t="str">
        <f ca="1">IFERROR(__xludf.DUMMYFUNCTION("""COMPUTED_VALUE"""),"Dubai")</f>
        <v>Dubai</v>
      </c>
      <c r="B10171" s="2" t="str">
        <f ca="1">IFERROR(__xludf.DUMMYFUNCTION("""COMPUTED_VALUE"""),"Alder at Park Five")</f>
        <v>Alder at Park Five</v>
      </c>
      <c r="C10171" s="2" t="str">
        <f ca="1">IFERROR(__xludf.DUMMYFUNCTION("""COMPUTED_VALUE"""),"Building")</f>
        <v>Building</v>
      </c>
      <c r="D10171" s="2" t="str">
        <f ca="1">IFERROR(__xludf.DUMMYFUNCTION("""COMPUTED_VALUE"""),"Dubai&gt;Dubai Production City (IMPZ)&gt;Park Five by Deyaar&gt;Alder at Park Five")</f>
        <v>Dubai&gt;Dubai Production City (IMPZ)&gt;Park Five by Deyaar&gt;Alder at Park Five</v>
      </c>
      <c r="E10171" s="2"/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  <c r="U10171" s="2"/>
      <c r="V10171" s="2"/>
      <c r="W10171" s="2"/>
      <c r="X10171" s="2"/>
      <c r="Y10171" s="2"/>
      <c r="Z10171" s="2"/>
    </row>
    <row r="10172" spans="1:26" ht="16.5" x14ac:dyDescent="0.35">
      <c r="A10172" s="2" t="str">
        <f ca="1">IFERROR(__xludf.DUMMYFUNCTION("""COMPUTED_VALUE"""),"Dubai")</f>
        <v>Dubai</v>
      </c>
      <c r="B10172" s="2" t="str">
        <f ca="1">IFERROR(__xludf.DUMMYFUNCTION("""COMPUTED_VALUE"""),"Building 3")</f>
        <v>Building 3</v>
      </c>
      <c r="C10172" s="2" t="str">
        <f ca="1">IFERROR(__xludf.DUMMYFUNCTION("""COMPUTED_VALUE"""),"Building")</f>
        <v>Building</v>
      </c>
      <c r="D10172" s="2" t="str">
        <f ca="1">IFERROR(__xludf.DUMMYFUNCTION("""COMPUTED_VALUE"""),"Dubai&gt;Dubai Industrial City&gt;International Humanitarian City&gt;Building 3")</f>
        <v>Dubai&gt;Dubai Industrial City&gt;International Humanitarian City&gt;Building 3</v>
      </c>
      <c r="E10172" s="2"/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  <c r="U10172" s="2"/>
      <c r="V10172" s="2"/>
      <c r="W10172" s="2"/>
      <c r="X10172" s="2"/>
      <c r="Y10172" s="2"/>
      <c r="Z10172" s="2"/>
    </row>
    <row r="10173" spans="1:26" ht="16.5" x14ac:dyDescent="0.35">
      <c r="A10173" s="2" t="str">
        <f ca="1">IFERROR(__xludf.DUMMYFUNCTION("""COMPUTED_VALUE"""),"Dubai")</f>
        <v>Dubai</v>
      </c>
      <c r="B10173" s="2" t="str">
        <f ca="1">IFERROR(__xludf.DUMMYFUNCTION("""COMPUTED_VALUE"""),"SKB Plaza")</f>
        <v>SKB Plaza</v>
      </c>
      <c r="C10173" s="2" t="str">
        <f ca="1">IFERROR(__xludf.DUMMYFUNCTION("""COMPUTED_VALUE"""),"Building")</f>
        <v>Building</v>
      </c>
      <c r="D10173" s="2" t="str">
        <f ca="1">IFERROR(__xludf.DUMMYFUNCTION("""COMPUTED_VALUE"""),"Dubai&gt;Umm Al Sheif&gt;SKB Plaza")</f>
        <v>Dubai&gt;Umm Al Sheif&gt;SKB Plaza</v>
      </c>
      <c r="E10173" s="2"/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  <c r="U10173" s="2"/>
      <c r="V10173" s="2"/>
      <c r="W10173" s="2"/>
      <c r="X10173" s="2"/>
      <c r="Y10173" s="2"/>
      <c r="Z10173" s="2"/>
    </row>
    <row r="10174" spans="1:26" ht="16.5" x14ac:dyDescent="0.35">
      <c r="A10174" s="2" t="str">
        <f ca="1">IFERROR(__xludf.DUMMYFUNCTION("""COMPUTED_VALUE"""),"Dubai")</f>
        <v>Dubai</v>
      </c>
      <c r="B10174" s="2" t="str">
        <f ca="1">IFERROR(__xludf.DUMMYFUNCTION("""COMPUTED_VALUE"""),"Bay Residences")</f>
        <v>Bay Residences</v>
      </c>
      <c r="C10174" s="2" t="str">
        <f ca="1">IFERROR(__xludf.DUMMYFUNCTION("""COMPUTED_VALUE"""),"Building")</f>
        <v>Building</v>
      </c>
      <c r="D10174" s="2" t="str">
        <f ca="1">IFERROR(__xludf.DUMMYFUNCTION("""COMPUTED_VALUE"""),"Dubai&gt;Dubai Islands&gt;Bay Residences")</f>
        <v>Dubai&gt;Dubai Islands&gt;Bay Residences</v>
      </c>
      <c r="E10174" s="2"/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  <c r="U10174" s="2"/>
      <c r="V10174" s="2"/>
      <c r="W10174" s="2"/>
      <c r="X10174" s="2"/>
      <c r="Y10174" s="2"/>
      <c r="Z10174" s="2"/>
    </row>
    <row r="10175" spans="1:26" ht="16.5" x14ac:dyDescent="0.35">
      <c r="A10175" s="2" t="str">
        <f ca="1">IFERROR(__xludf.DUMMYFUNCTION("""COMPUTED_VALUE"""),"Dubai")</f>
        <v>Dubai</v>
      </c>
      <c r="B10175" s="2" t="str">
        <f ca="1">IFERROR(__xludf.DUMMYFUNCTION("""COMPUTED_VALUE"""),"Cotier House by Imtiaz")</f>
        <v>Cotier House by Imtiaz</v>
      </c>
      <c r="C10175" s="2" t="str">
        <f ca="1">IFERROR(__xludf.DUMMYFUNCTION("""COMPUTED_VALUE"""),"Building")</f>
        <v>Building</v>
      </c>
      <c r="D10175" s="2" t="str">
        <f ca="1">IFERROR(__xludf.DUMMYFUNCTION("""COMPUTED_VALUE"""),"Dubai&gt;Dubai Islands&gt;Cotier House by Imtiaz")</f>
        <v>Dubai&gt;Dubai Islands&gt;Cotier House by Imtiaz</v>
      </c>
      <c r="E10175" s="2"/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  <c r="U10175" s="2"/>
      <c r="V10175" s="2"/>
      <c r="W10175" s="2"/>
      <c r="X10175" s="2"/>
      <c r="Y10175" s="2"/>
      <c r="Z10175" s="2"/>
    </row>
    <row r="10176" spans="1:26" ht="16.5" x14ac:dyDescent="0.35">
      <c r="A10176" s="2" t="str">
        <f ca="1">IFERROR(__xludf.DUMMYFUNCTION("""COMPUTED_VALUE"""),"Dubai")</f>
        <v>Dubai</v>
      </c>
      <c r="B10176" s="2" t="str">
        <f ca="1">IFERROR(__xludf.DUMMYFUNCTION("""COMPUTED_VALUE"""),"Azizi Wasel")</f>
        <v>Azizi Wasel</v>
      </c>
      <c r="C10176" s="2" t="str">
        <f ca="1">IFERROR(__xludf.DUMMYFUNCTION("""COMPUTED_VALUE"""),"Building")</f>
        <v>Building</v>
      </c>
      <c r="D10176" s="2" t="str">
        <f ca="1">IFERROR(__xludf.DUMMYFUNCTION("""COMPUTED_VALUE"""),"Dubai&gt;Dubai Islands&gt;Azizi Wasel")</f>
        <v>Dubai&gt;Dubai Islands&gt;Azizi Wasel</v>
      </c>
      <c r="E10176" s="2"/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  <c r="U10176" s="2"/>
      <c r="V10176" s="2"/>
      <c r="W10176" s="2"/>
      <c r="X10176" s="2"/>
      <c r="Y10176" s="2"/>
      <c r="Z10176" s="2"/>
    </row>
    <row r="10177" spans="1:26" ht="16.5" x14ac:dyDescent="0.35">
      <c r="A10177" s="2" t="str">
        <f ca="1">IFERROR(__xludf.DUMMYFUNCTION("""COMPUTED_VALUE"""),"Dubai")</f>
        <v>Dubai</v>
      </c>
      <c r="B10177" s="2" t="str">
        <f ca="1">IFERROR(__xludf.DUMMYFUNCTION("""COMPUTED_VALUE"""),"Nuvana by Wadan")</f>
        <v>Nuvana by Wadan</v>
      </c>
      <c r="C10177" s="2" t="str">
        <f ca="1">IFERROR(__xludf.DUMMYFUNCTION("""COMPUTED_VALUE"""),"Building")</f>
        <v>Building</v>
      </c>
      <c r="D10177" s="2" t="str">
        <f ca="1">IFERROR(__xludf.DUMMYFUNCTION("""COMPUTED_VALUE"""),"Dubai&gt;Dubai Islands&gt;Nuvana by Wadan")</f>
        <v>Dubai&gt;Dubai Islands&gt;Nuvana by Wadan</v>
      </c>
      <c r="E10177" s="2"/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  <c r="V10177" s="2"/>
      <c r="W10177" s="2"/>
      <c r="X10177" s="2"/>
      <c r="Y10177" s="2"/>
      <c r="Z10177" s="2"/>
    </row>
    <row r="10178" spans="1:26" ht="16.5" x14ac:dyDescent="0.35">
      <c r="A10178" s="2" t="str">
        <f ca="1">IFERROR(__xludf.DUMMYFUNCTION("""COMPUTED_VALUE"""),"Dubai")</f>
        <v>Dubai</v>
      </c>
      <c r="B10178" s="2" t="str">
        <f ca="1">IFERROR(__xludf.DUMMYFUNCTION("""COMPUTED_VALUE"""),"LIV Oceanside")</f>
        <v>LIV Oceanside</v>
      </c>
      <c r="C10178" s="2" t="str">
        <f ca="1">IFERROR(__xludf.DUMMYFUNCTION("""COMPUTED_VALUE"""),"Building")</f>
        <v>Building</v>
      </c>
      <c r="D10178" s="2" t="str">
        <f ca="1">IFERROR(__xludf.DUMMYFUNCTION("""COMPUTED_VALUE"""),"Dubai&gt;Dubai Islands&gt;LIV Oceanside")</f>
        <v>Dubai&gt;Dubai Islands&gt;LIV Oceanside</v>
      </c>
      <c r="E10178" s="2"/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  <c r="U10178" s="2"/>
      <c r="V10178" s="2"/>
      <c r="W10178" s="2"/>
      <c r="X10178" s="2"/>
      <c r="Y10178" s="2"/>
      <c r="Z10178" s="2"/>
    </row>
    <row r="10179" spans="1:26" ht="16.5" x14ac:dyDescent="0.35">
      <c r="A10179" s="2" t="str">
        <f ca="1">IFERROR(__xludf.DUMMYFUNCTION("""COMPUTED_VALUE"""),"Dubai")</f>
        <v>Dubai</v>
      </c>
      <c r="B10179" s="2" t="str">
        <f ca="1">IFERROR(__xludf.DUMMYFUNCTION("""COMPUTED_VALUE"""),"Tower A")</f>
        <v>Tower A</v>
      </c>
      <c r="C10179" s="2" t="str">
        <f ca="1">IFERROR(__xludf.DUMMYFUNCTION("""COMPUTED_VALUE"""),"Building")</f>
        <v>Building</v>
      </c>
      <c r="D10179" s="2" t="str">
        <f ca="1">IFERROR(__xludf.DUMMYFUNCTION("""COMPUTED_VALUE"""),"Dubai&gt;Dubailand&gt;Rukan&gt;Rukan Tower&gt;Tower A")</f>
        <v>Dubai&gt;Dubailand&gt;Rukan&gt;Rukan Tower&gt;Tower A</v>
      </c>
      <c r="E10179" s="2"/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  <c r="V10179" s="2"/>
      <c r="W10179" s="2"/>
      <c r="X10179" s="2"/>
      <c r="Y10179" s="2"/>
      <c r="Z10179" s="2"/>
    </row>
    <row r="10180" spans="1:26" ht="16.5" x14ac:dyDescent="0.35">
      <c r="A10180" s="2" t="str">
        <f ca="1">IFERROR(__xludf.DUMMYFUNCTION("""COMPUTED_VALUE"""),"Dubai")</f>
        <v>Dubai</v>
      </c>
      <c r="B10180" s="2" t="str">
        <f ca="1">IFERROR(__xludf.DUMMYFUNCTION("""COMPUTED_VALUE"""),"California Residences")</f>
        <v>California Residences</v>
      </c>
      <c r="C10180" s="2" t="str">
        <f ca="1">IFERROR(__xludf.DUMMYFUNCTION("""COMPUTED_VALUE"""),"Building")</f>
        <v>Building</v>
      </c>
      <c r="D10180" s="2" t="str">
        <f ca="1">IFERROR(__xludf.DUMMYFUNCTION("""COMPUTED_VALUE"""),"Dubai&gt;Dubailand&gt;California Village&gt;California Residences")</f>
        <v>Dubai&gt;Dubailand&gt;California Village&gt;California Residences</v>
      </c>
      <c r="E10180" s="2"/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  <c r="U10180" s="2"/>
      <c r="V10180" s="2"/>
      <c r="W10180" s="2"/>
      <c r="X10180" s="2"/>
      <c r="Y10180" s="2"/>
      <c r="Z10180" s="2"/>
    </row>
    <row r="10181" spans="1:26" ht="16.5" x14ac:dyDescent="0.35">
      <c r="A10181" s="2" t="str">
        <f ca="1">IFERROR(__xludf.DUMMYFUNCTION("""COMPUTED_VALUE"""),"Dubai")</f>
        <v>Dubai</v>
      </c>
      <c r="B10181" s="2" t="str">
        <f ca="1">IFERROR(__xludf.DUMMYFUNCTION("""COMPUTED_VALUE"""),"The Offices 2")</f>
        <v>The Offices 2</v>
      </c>
      <c r="C10181" s="2" t="str">
        <f ca="1">IFERROR(__xludf.DUMMYFUNCTION("""COMPUTED_VALUE"""),"Building")</f>
        <v>Building</v>
      </c>
      <c r="D10181" s="2" t="str">
        <f ca="1">IFERROR(__xludf.DUMMYFUNCTION("""COMPUTED_VALUE"""),"Dubai&gt;World Trade Centre&gt;One Central&gt;The Offices 2")</f>
        <v>Dubai&gt;World Trade Centre&gt;One Central&gt;The Offices 2</v>
      </c>
      <c r="E10181" s="2"/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  <c r="U10181" s="2"/>
      <c r="V10181" s="2"/>
      <c r="W10181" s="2"/>
      <c r="X10181" s="2"/>
      <c r="Y10181" s="2"/>
      <c r="Z10181" s="2"/>
    </row>
    <row r="10182" spans="1:26" ht="16.5" x14ac:dyDescent="0.35">
      <c r="A10182" s="2" t="str">
        <f ca="1">IFERROR(__xludf.DUMMYFUNCTION("""COMPUTED_VALUE"""),"Dubai")</f>
        <v>Dubai</v>
      </c>
      <c r="B10182" s="2" t="str">
        <f ca="1">IFERROR(__xludf.DUMMYFUNCTION("""COMPUTED_VALUE"""),"Sindbad Tower")</f>
        <v>Sindbad Tower</v>
      </c>
      <c r="C10182" s="2" t="str">
        <f ca="1">IFERROR(__xludf.DUMMYFUNCTION("""COMPUTED_VALUE"""),"Building")</f>
        <v>Building</v>
      </c>
      <c r="D10182" s="2" t="str">
        <f ca="1">IFERROR(__xludf.DUMMYFUNCTION("""COMPUTED_VALUE"""),"Dubai&gt;Living Legends&gt;Sindbad Tower")</f>
        <v>Dubai&gt;Living Legends&gt;Sindbad Tower</v>
      </c>
      <c r="E10182" s="2"/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2"/>
      <c r="T10182" s="2"/>
      <c r="U10182" s="2"/>
      <c r="V10182" s="2"/>
      <c r="W10182" s="2"/>
      <c r="X10182" s="2"/>
      <c r="Y10182" s="2"/>
      <c r="Z10182" s="2"/>
    </row>
    <row r="10183" spans="1:26" ht="16.5" x14ac:dyDescent="0.35">
      <c r="A10183" s="2" t="str">
        <f ca="1">IFERROR(__xludf.DUMMYFUNCTION("""COMPUTED_VALUE"""),"Dubai")</f>
        <v>Dubai</v>
      </c>
      <c r="B10183" s="2" t="str">
        <f ca="1">IFERROR(__xludf.DUMMYFUNCTION("""COMPUTED_VALUE"""),"Golf Verge Building B")</f>
        <v>Golf Verge Building B</v>
      </c>
      <c r="C10183" s="2" t="str">
        <f ca="1">IFERROR(__xludf.DUMMYFUNCTION("""COMPUTED_VALUE"""),"Building")</f>
        <v>Building</v>
      </c>
      <c r="D10183" s="2" t="str">
        <f ca="1">IFERROR(__xludf.DUMMYFUNCTION("""COMPUTED_VALUE"""),"Dubai&gt;Dubai South&gt;Emaar South&gt;Golf Verge&gt;Golf Verge Building B")</f>
        <v>Dubai&gt;Dubai South&gt;Emaar South&gt;Golf Verge&gt;Golf Verge Building B</v>
      </c>
      <c r="E10183" s="2"/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  <c r="U10183" s="2"/>
      <c r="V10183" s="2"/>
      <c r="W10183" s="2"/>
      <c r="X10183" s="2"/>
      <c r="Y10183" s="2"/>
      <c r="Z10183" s="2"/>
    </row>
    <row r="10184" spans="1:26" ht="16.5" x14ac:dyDescent="0.35">
      <c r="A10184" s="2" t="str">
        <f ca="1">IFERROR(__xludf.DUMMYFUNCTION("""COMPUTED_VALUE"""),"Dubai")</f>
        <v>Dubai</v>
      </c>
      <c r="B10184" s="2" t="str">
        <f ca="1">IFERROR(__xludf.DUMMYFUNCTION("""COMPUTED_VALUE"""),"AG 56")</f>
        <v>AG 56</v>
      </c>
      <c r="C10184" s="2" t="str">
        <f ca="1">IFERROR(__xludf.DUMMYFUNCTION("""COMPUTED_VALUE"""),"Building")</f>
        <v>Building</v>
      </c>
      <c r="D10184" s="2" t="str">
        <f ca="1">IFERROR(__xludf.DUMMYFUNCTION("""COMPUTED_VALUE"""),"Dubai&gt;Dubai South&gt;AG 56")</f>
        <v>Dubai&gt;Dubai South&gt;AG 56</v>
      </c>
      <c r="E10184" s="2"/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  <c r="U10184" s="2"/>
      <c r="V10184" s="2"/>
      <c r="W10184" s="2"/>
      <c r="X10184" s="2"/>
      <c r="Y10184" s="2"/>
      <c r="Z10184" s="2"/>
    </row>
    <row r="10185" spans="1:26" ht="16.5" x14ac:dyDescent="0.35">
      <c r="A10185" s="2" t="str">
        <f ca="1">IFERROR(__xludf.DUMMYFUNCTION("""COMPUTED_VALUE"""),"Dubai")</f>
        <v>Dubai</v>
      </c>
      <c r="B10185" s="2" t="str">
        <f ca="1">IFERROR(__xludf.DUMMYFUNCTION("""COMPUTED_VALUE"""),"Azizi Venice 10 Building A")</f>
        <v>Azizi Venice 10 Building A</v>
      </c>
      <c r="C10185" s="2" t="str">
        <f ca="1">IFERROR(__xludf.DUMMYFUNCTION("""COMPUTED_VALUE"""),"Building")</f>
        <v>Building</v>
      </c>
      <c r="D10185" s="2" t="str">
        <f ca="1">IFERROR(__xludf.DUMMYFUNCTION("""COMPUTED_VALUE"""),"Dubai&gt;Dubai South&gt;Azizi Venice&gt;Azizi Venice 10&gt;Azizi Venice 10 Building A")</f>
        <v>Dubai&gt;Dubai South&gt;Azizi Venice&gt;Azizi Venice 10&gt;Azizi Venice 10 Building A</v>
      </c>
      <c r="E10185" s="2"/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  <c r="U10185" s="2"/>
      <c r="V10185" s="2"/>
      <c r="W10185" s="2"/>
      <c r="X10185" s="2"/>
      <c r="Y10185" s="2"/>
      <c r="Z10185" s="2"/>
    </row>
    <row r="10186" spans="1:26" ht="16.5" x14ac:dyDescent="0.35">
      <c r="A10186" s="2" t="str">
        <f ca="1">IFERROR(__xludf.DUMMYFUNCTION("""COMPUTED_VALUE"""),"Dubai")</f>
        <v>Dubai</v>
      </c>
      <c r="B10186" s="2" t="str">
        <f ca="1">IFERROR(__xludf.DUMMYFUNCTION("""COMPUTED_VALUE"""),"Raiha")</f>
        <v>Raiha</v>
      </c>
      <c r="C10186" s="2" t="str">
        <f ca="1">IFERROR(__xludf.DUMMYFUNCTION("""COMPUTED_VALUE"""),"Neighbourhood")</f>
        <v>Neighbourhood</v>
      </c>
      <c r="D10186" s="2" t="str">
        <f ca="1">IFERROR(__xludf.DUMMYFUNCTION("""COMPUTED_VALUE"""),"Dubai&gt;Dubai South&gt;Waada&gt;Raiha")</f>
        <v>Dubai&gt;Dubai South&gt;Waada&gt;Raiha</v>
      </c>
      <c r="E10186" s="2"/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  <c r="U10186" s="2"/>
      <c r="V10186" s="2"/>
      <c r="W10186" s="2"/>
      <c r="X10186" s="2"/>
      <c r="Y10186" s="2"/>
      <c r="Z10186" s="2"/>
    </row>
    <row r="10187" spans="1:26" ht="16.5" x14ac:dyDescent="0.35">
      <c r="A10187" s="2" t="str">
        <f ca="1">IFERROR(__xludf.DUMMYFUNCTION("""COMPUTED_VALUE"""),"Dubai")</f>
        <v>Dubai</v>
      </c>
      <c r="B10187" s="2" t="str">
        <f ca="1">IFERROR(__xludf.DUMMYFUNCTION("""COMPUTED_VALUE"""),"Al Waleed Palace Hotel Apartments")</f>
        <v>Al Waleed Palace Hotel Apartments</v>
      </c>
      <c r="C10187" s="2" t="str">
        <f ca="1">IFERROR(__xludf.DUMMYFUNCTION("""COMPUTED_VALUE"""),"Building")</f>
        <v>Building</v>
      </c>
      <c r="D10187" s="2" t="str">
        <f ca="1">IFERROR(__xludf.DUMMYFUNCTION("""COMPUTED_VALUE"""),"Dubai&gt;Bur Dubai&gt;Oud Metha&gt;Al Waleed Palace Hotel Apartments")</f>
        <v>Dubai&gt;Bur Dubai&gt;Oud Metha&gt;Al Waleed Palace Hotel Apartments</v>
      </c>
      <c r="E10187" s="2"/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  <c r="U10187" s="2"/>
      <c r="V10187" s="2"/>
      <c r="W10187" s="2"/>
      <c r="X10187" s="2"/>
      <c r="Y10187" s="2"/>
      <c r="Z10187" s="2"/>
    </row>
    <row r="10188" spans="1:26" ht="16.5" x14ac:dyDescent="0.35">
      <c r="A10188" s="2" t="str">
        <f ca="1">IFERROR(__xludf.DUMMYFUNCTION("""COMPUTED_VALUE"""),"Dubai")</f>
        <v>Dubai</v>
      </c>
      <c r="B10188" s="2" t="str">
        <f ca="1">IFERROR(__xludf.DUMMYFUNCTION("""COMPUTED_VALUE"""),"Sitara Hotel Apartment")</f>
        <v>Sitara Hotel Apartment</v>
      </c>
      <c r="C10188" s="2" t="str">
        <f ca="1">IFERROR(__xludf.DUMMYFUNCTION("""COMPUTED_VALUE"""),"Building")</f>
        <v>Building</v>
      </c>
      <c r="D10188" s="2" t="str">
        <f ca="1">IFERROR(__xludf.DUMMYFUNCTION("""COMPUTED_VALUE"""),"Dubai&gt;Bur Dubai&gt;Oud Metha&gt;Sitara Hotel Apartment")</f>
        <v>Dubai&gt;Bur Dubai&gt;Oud Metha&gt;Sitara Hotel Apartment</v>
      </c>
      <c r="E10188" s="2"/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  <c r="U10188" s="2"/>
      <c r="V10188" s="2"/>
      <c r="W10188" s="2"/>
      <c r="X10188" s="2"/>
      <c r="Y10188" s="2"/>
      <c r="Z10188" s="2"/>
    </row>
    <row r="10189" spans="1:26" ht="16.5" x14ac:dyDescent="0.35">
      <c r="A10189" s="2" t="str">
        <f ca="1">IFERROR(__xludf.DUMMYFUNCTION("""COMPUTED_VALUE"""),"Dubai")</f>
        <v>Dubai</v>
      </c>
      <c r="B10189" s="2" t="str">
        <f ca="1">IFERROR(__xludf.DUMMYFUNCTION("""COMPUTED_VALUE"""),"Al Muheiribi")</f>
        <v>Al Muheiribi</v>
      </c>
      <c r="C10189" s="2" t="str">
        <f ca="1">IFERROR(__xludf.DUMMYFUNCTION("""COMPUTED_VALUE"""),"Building")</f>
        <v>Building</v>
      </c>
      <c r="D10189" s="2" t="str">
        <f ca="1">IFERROR(__xludf.DUMMYFUNCTION("""COMPUTED_VALUE"""),"Dubai&gt;Bur Dubai&gt;Al Raffa&gt;Al Muheiribi")</f>
        <v>Dubai&gt;Bur Dubai&gt;Al Raffa&gt;Al Muheiribi</v>
      </c>
      <c r="E10189" s="2"/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  <c r="U10189" s="2"/>
      <c r="V10189" s="2"/>
      <c r="W10189" s="2"/>
      <c r="X10189" s="2"/>
      <c r="Y10189" s="2"/>
      <c r="Z10189" s="2"/>
    </row>
    <row r="10190" spans="1:26" ht="16.5" x14ac:dyDescent="0.35">
      <c r="A10190" s="2" t="str">
        <f ca="1">IFERROR(__xludf.DUMMYFUNCTION("""COMPUTED_VALUE"""),"Dubai")</f>
        <v>Dubai</v>
      </c>
      <c r="B10190" s="2" t="str">
        <f ca="1">IFERROR(__xludf.DUMMYFUNCTION("""COMPUTED_VALUE"""),"Solaire 12")</f>
        <v>Solaire 12</v>
      </c>
      <c r="C10190" s="2" t="str">
        <f ca="1">IFERROR(__xludf.DUMMYFUNCTION("""COMPUTED_VALUE"""),"Building")</f>
        <v>Building</v>
      </c>
      <c r="D10190" s="2" t="str">
        <f ca="1">IFERROR(__xludf.DUMMYFUNCTION("""COMPUTED_VALUE"""),"Dubai&gt;Bur Dubai&gt;Al Raffa&gt;Solaire 12")</f>
        <v>Dubai&gt;Bur Dubai&gt;Al Raffa&gt;Solaire 12</v>
      </c>
      <c r="E10190" s="2"/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  <c r="V10190" s="2"/>
      <c r="W10190" s="2"/>
      <c r="X10190" s="2"/>
      <c r="Y10190" s="2"/>
      <c r="Z10190" s="2"/>
    </row>
    <row r="10191" spans="1:26" ht="16.5" x14ac:dyDescent="0.35">
      <c r="A10191" s="2" t="str">
        <f ca="1">IFERROR(__xludf.DUMMYFUNCTION("""COMPUTED_VALUE"""),"Dubai")</f>
        <v>Dubai</v>
      </c>
      <c r="B10191" s="2" t="str">
        <f ca="1">IFERROR(__xludf.DUMMYFUNCTION("""COMPUTED_VALUE"""),"Golden Sands 1")</f>
        <v>Golden Sands 1</v>
      </c>
      <c r="C10191" s="2" t="str">
        <f ca="1">IFERROR(__xludf.DUMMYFUNCTION("""COMPUTED_VALUE"""),"Building")</f>
        <v>Building</v>
      </c>
      <c r="D10191" s="2" t="str">
        <f ca="1">IFERROR(__xludf.DUMMYFUNCTION("""COMPUTED_VALUE"""),"Dubai&gt;Bur Dubai&gt;Al Mankhool&gt;Golden Sands 1")</f>
        <v>Dubai&gt;Bur Dubai&gt;Al Mankhool&gt;Golden Sands 1</v>
      </c>
      <c r="E10191" s="2"/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  <c r="U10191" s="2"/>
      <c r="V10191" s="2"/>
      <c r="W10191" s="2"/>
      <c r="X10191" s="2"/>
      <c r="Y10191" s="2"/>
      <c r="Z10191" s="2"/>
    </row>
    <row r="10192" spans="1:26" ht="16.5" x14ac:dyDescent="0.35">
      <c r="A10192" s="2" t="str">
        <f ca="1">IFERROR(__xludf.DUMMYFUNCTION("""COMPUTED_VALUE"""),"Dubai")</f>
        <v>Dubai</v>
      </c>
      <c r="B10192" s="2" t="str">
        <f ca="1">IFERROR(__xludf.DUMMYFUNCTION("""COMPUTED_VALUE"""),"Burjuman Residences")</f>
        <v>Burjuman Residences</v>
      </c>
      <c r="C10192" s="2" t="str">
        <f ca="1">IFERROR(__xludf.DUMMYFUNCTION("""COMPUTED_VALUE"""),"Building")</f>
        <v>Building</v>
      </c>
      <c r="D10192" s="2" t="str">
        <f ca="1">IFERROR(__xludf.DUMMYFUNCTION("""COMPUTED_VALUE"""),"Dubai&gt;Bur Dubai&gt;Al Mankhool&gt;Burjuman Residences")</f>
        <v>Dubai&gt;Bur Dubai&gt;Al Mankhool&gt;Burjuman Residences</v>
      </c>
      <c r="E10192" s="2"/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  <c r="U10192" s="2"/>
      <c r="V10192" s="2"/>
      <c r="W10192" s="2"/>
      <c r="X10192" s="2"/>
      <c r="Y10192" s="2"/>
      <c r="Z10192" s="2"/>
    </row>
    <row r="10193" spans="1:26" ht="16.5" x14ac:dyDescent="0.35">
      <c r="A10193" s="2" t="str">
        <f ca="1">IFERROR(__xludf.DUMMYFUNCTION("""COMPUTED_VALUE"""),"Dubai")</f>
        <v>Dubai</v>
      </c>
      <c r="B10193" s="2" t="str">
        <f ca="1">IFERROR(__xludf.DUMMYFUNCTION("""COMPUTED_VALUE"""),"Royal Ascot Hotel Apartment")</f>
        <v>Royal Ascot Hotel Apartment</v>
      </c>
      <c r="C10193" s="2" t="str">
        <f ca="1">IFERROR(__xludf.DUMMYFUNCTION("""COMPUTED_VALUE"""),"Building")</f>
        <v>Building</v>
      </c>
      <c r="D10193" s="2" t="str">
        <f ca="1">IFERROR(__xludf.DUMMYFUNCTION("""COMPUTED_VALUE"""),"Dubai&gt;Bur Dubai&gt;Al Mankhool&gt;Royal Ascot Hotel Apartment")</f>
        <v>Dubai&gt;Bur Dubai&gt;Al Mankhool&gt;Royal Ascot Hotel Apartment</v>
      </c>
      <c r="E10193" s="2"/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  <c r="U10193" s="2"/>
      <c r="V10193" s="2"/>
      <c r="W10193" s="2"/>
      <c r="X10193" s="2"/>
      <c r="Y10193" s="2"/>
      <c r="Z10193" s="2"/>
    </row>
    <row r="10194" spans="1:26" ht="16.5" x14ac:dyDescent="0.35">
      <c r="A10194" s="2" t="str">
        <f ca="1">IFERROR(__xludf.DUMMYFUNCTION("""COMPUTED_VALUE"""),"Dubai")</f>
        <v>Dubai</v>
      </c>
      <c r="B10194" s="2" t="str">
        <f ca="1">IFERROR(__xludf.DUMMYFUNCTION("""COMPUTED_VALUE"""),"Park Gate Residence D")</f>
        <v>Park Gate Residence D</v>
      </c>
      <c r="C10194" s="2" t="str">
        <f ca="1">IFERROR(__xludf.DUMMYFUNCTION("""COMPUTED_VALUE"""),"Building")</f>
        <v>Building</v>
      </c>
      <c r="D10194" s="2" t="str">
        <f ca="1">IFERROR(__xludf.DUMMYFUNCTION("""COMPUTED_VALUE"""),"Dubai&gt;Bur Dubai&gt;Al Kifaf&gt;Park Gate Residence&gt;Park Gate Residence D")</f>
        <v>Dubai&gt;Bur Dubai&gt;Al Kifaf&gt;Park Gate Residence&gt;Park Gate Residence D</v>
      </c>
      <c r="E10194" s="2"/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  <c r="U10194" s="2"/>
      <c r="V10194" s="2"/>
      <c r="W10194" s="2"/>
      <c r="X10194" s="2"/>
      <c r="Y10194" s="2"/>
      <c r="Z10194" s="2"/>
    </row>
    <row r="10195" spans="1:26" ht="16.5" x14ac:dyDescent="0.35">
      <c r="A10195" s="2" t="str">
        <f ca="1">IFERROR(__xludf.DUMMYFUNCTION("""COMPUTED_VALUE"""),"Dubai")</f>
        <v>Dubai</v>
      </c>
      <c r="B10195" s="2" t="str">
        <f ca="1">IFERROR(__xludf.DUMMYFUNCTION("""COMPUTED_VALUE"""),"Al Abbas Building")</f>
        <v>Al Abbas Building</v>
      </c>
      <c r="C10195" s="2" t="str">
        <f ca="1">IFERROR(__xludf.DUMMYFUNCTION("""COMPUTED_VALUE"""),"Building")</f>
        <v>Building</v>
      </c>
      <c r="D10195" s="2" t="str">
        <f ca="1">IFERROR(__xludf.DUMMYFUNCTION("""COMPUTED_VALUE"""),"Dubai&gt;Bur Dubai&gt;Umm Hurair&gt;Umm Hurair 1&gt;Al Abbas Building")</f>
        <v>Dubai&gt;Bur Dubai&gt;Umm Hurair&gt;Umm Hurair 1&gt;Al Abbas Building</v>
      </c>
      <c r="E10195" s="2"/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  <c r="U10195" s="2"/>
      <c r="V10195" s="2"/>
      <c r="W10195" s="2"/>
      <c r="X10195" s="2"/>
      <c r="Y10195" s="2"/>
      <c r="Z10195" s="2"/>
    </row>
    <row r="10196" spans="1:26" ht="16.5" x14ac:dyDescent="0.35">
      <c r="A10196" s="2" t="str">
        <f ca="1">IFERROR(__xludf.DUMMYFUNCTION("""COMPUTED_VALUE"""),"Dubai")</f>
        <v>Dubai</v>
      </c>
      <c r="B10196" s="2" t="str">
        <f ca="1">IFERROR(__xludf.DUMMYFUNCTION("""COMPUTED_VALUE"""),"Souq Al Kabeer 1")</f>
        <v>Souq Al Kabeer 1</v>
      </c>
      <c r="C10196" s="2" t="str">
        <f ca="1">IFERROR(__xludf.DUMMYFUNCTION("""COMPUTED_VALUE"""),"Building")</f>
        <v>Building</v>
      </c>
      <c r="D10196" s="2" t="str">
        <f ca="1">IFERROR(__xludf.DUMMYFUNCTION("""COMPUTED_VALUE"""),"Dubai&gt;Bur Dubai&gt;Al Souk Al Kabeer (Al Fahidi)&gt;Souq Al Kabeer 1")</f>
        <v>Dubai&gt;Bur Dubai&gt;Al Souk Al Kabeer (Al Fahidi)&gt;Souq Al Kabeer 1</v>
      </c>
      <c r="E10196" s="2"/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  <c r="U10196" s="2"/>
      <c r="V10196" s="2"/>
      <c r="W10196" s="2"/>
      <c r="X10196" s="2"/>
      <c r="Y10196" s="2"/>
      <c r="Z10196" s="2"/>
    </row>
    <row r="10197" spans="1:26" ht="16.5" x14ac:dyDescent="0.35">
      <c r="A10197" s="2" t="str">
        <f ca="1">IFERROR(__xludf.DUMMYFUNCTION("""COMPUTED_VALUE"""),"Dubai")</f>
        <v>Dubai</v>
      </c>
      <c r="B10197" s="2" t="str">
        <f ca="1">IFERROR(__xludf.DUMMYFUNCTION("""COMPUTED_VALUE"""),"Al Jowahara Building")</f>
        <v>Al Jowahara Building</v>
      </c>
      <c r="C10197" s="2" t="str">
        <f ca="1">IFERROR(__xludf.DUMMYFUNCTION("""COMPUTED_VALUE"""),"Building")</f>
        <v>Building</v>
      </c>
      <c r="D10197" s="2" t="str">
        <f ca="1">IFERROR(__xludf.DUMMYFUNCTION("""COMPUTED_VALUE"""),"Dubai&gt;Bur Dubai&gt;Al Hamriya&gt;Al Jowahara Building")</f>
        <v>Dubai&gt;Bur Dubai&gt;Al Hamriya&gt;Al Jowahara Building</v>
      </c>
      <c r="E10197" s="2"/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  <c r="U10197" s="2"/>
      <c r="V10197" s="2"/>
      <c r="W10197" s="2"/>
      <c r="X10197" s="2"/>
      <c r="Y10197" s="2"/>
      <c r="Z10197" s="2"/>
    </row>
    <row r="10198" spans="1:26" ht="16.5" x14ac:dyDescent="0.35">
      <c r="A10198" s="2" t="str">
        <f ca="1">IFERROR(__xludf.DUMMYFUNCTION("""COMPUTED_VALUE"""),"Dubai")</f>
        <v>Dubai</v>
      </c>
      <c r="B10198" s="2" t="str">
        <f ca="1">IFERROR(__xludf.DUMMYFUNCTION("""COMPUTED_VALUE"""),"His Grace Vertical Sky Gardens")</f>
        <v>His Grace Vertical Sky Gardens</v>
      </c>
      <c r="C10198" s="2" t="str">
        <f ca="1">IFERROR(__xludf.DUMMYFUNCTION("""COMPUTED_VALUE"""),"Building")</f>
        <v>Building</v>
      </c>
      <c r="D10198" s="2" t="str">
        <f ca="1">IFERROR(__xludf.DUMMYFUNCTION("""COMPUTED_VALUE"""),"Dubai&gt;Bur Dubai&gt;Dubai Healthcare City&gt;His Grace Vertical Sky Gardens")</f>
        <v>Dubai&gt;Bur Dubai&gt;Dubai Healthcare City&gt;His Grace Vertical Sky Gardens</v>
      </c>
      <c r="E10198" s="2"/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  <c r="U10198" s="2"/>
      <c r="V10198" s="2"/>
      <c r="W10198" s="2"/>
      <c r="X10198" s="2"/>
      <c r="Y10198" s="2"/>
      <c r="Z10198" s="2"/>
    </row>
    <row r="10199" spans="1:26" ht="16.5" x14ac:dyDescent="0.35">
      <c r="A10199" s="2" t="str">
        <f ca="1">IFERROR(__xludf.DUMMYFUNCTION("""COMPUTED_VALUE"""),"Dubai")</f>
        <v>Dubai</v>
      </c>
      <c r="B10199" s="2" t="str">
        <f ca="1">IFERROR(__xludf.DUMMYFUNCTION("""COMPUTED_VALUE"""),"Jasmine Lane")</f>
        <v>Jasmine Lane</v>
      </c>
      <c r="C10199" s="2" t="str">
        <f ca="1">IFERROR(__xludf.DUMMYFUNCTION("""COMPUTED_VALUE"""),"Neighbourhood")</f>
        <v>Neighbourhood</v>
      </c>
      <c r="D10199" s="2" t="str">
        <f ca="1">IFERROR(__xludf.DUMMYFUNCTION("""COMPUTED_VALUE"""),"Dubai&gt;Jumeirah Golf Estates&gt;Jasmine Lane")</f>
        <v>Dubai&gt;Jumeirah Golf Estates&gt;Jasmine Lane</v>
      </c>
      <c r="E10199" s="2"/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  <c r="U10199" s="2"/>
      <c r="V10199" s="2"/>
      <c r="W10199" s="2"/>
      <c r="X10199" s="2"/>
      <c r="Y10199" s="2"/>
      <c r="Z10199" s="2"/>
    </row>
    <row r="10200" spans="1:26" ht="16.5" x14ac:dyDescent="0.35">
      <c r="A10200" s="2" t="str">
        <f ca="1">IFERROR(__xludf.DUMMYFUNCTION("""COMPUTED_VALUE"""),"Dubai")</f>
        <v>Dubai</v>
      </c>
      <c r="B10200" s="2" t="str">
        <f ca="1">IFERROR(__xludf.DUMMYFUNCTION("""COMPUTED_VALUE"""),"Beach Vista 2")</f>
        <v>Beach Vista 2</v>
      </c>
      <c r="C10200" s="2" t="str">
        <f ca="1">IFERROR(__xludf.DUMMYFUNCTION("""COMPUTED_VALUE"""),"Building")</f>
        <v>Building</v>
      </c>
      <c r="D10200" s="2" t="str">
        <f ca="1">IFERROR(__xludf.DUMMYFUNCTION("""COMPUTED_VALUE"""),"Dubai&gt;Dubai Harbour&gt;Emaar Beachfront&gt;Beach Vista&gt;Beach Vista 2")</f>
        <v>Dubai&gt;Dubai Harbour&gt;Emaar Beachfront&gt;Beach Vista&gt;Beach Vista 2</v>
      </c>
      <c r="E10200" s="2"/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  <c r="U10200" s="2"/>
      <c r="V10200" s="2"/>
      <c r="W10200" s="2"/>
      <c r="X10200" s="2"/>
      <c r="Y10200" s="2"/>
      <c r="Z10200" s="2"/>
    </row>
    <row r="10201" spans="1:26" ht="16.5" x14ac:dyDescent="0.35">
      <c r="A10201" s="2" t="str">
        <f ca="1">IFERROR(__xludf.DUMMYFUNCTION("""COMPUTED_VALUE"""),"Dubai")</f>
        <v>Dubai</v>
      </c>
      <c r="B10201" s="2" t="str">
        <f ca="1">IFERROR(__xludf.DUMMYFUNCTION("""COMPUTED_VALUE"""),"Dubai Harbour Residences (Area 3)")</f>
        <v>Dubai Harbour Residences (Area 3)</v>
      </c>
      <c r="C10201" s="2" t="str">
        <f ca="1">IFERROR(__xludf.DUMMYFUNCTION("""COMPUTED_VALUE"""),"Building")</f>
        <v>Building</v>
      </c>
      <c r="D10201" s="2" t="str">
        <f ca="1">IFERROR(__xludf.DUMMYFUNCTION("""COMPUTED_VALUE"""),"Dubai&gt;Dubai Harbour&gt;Dubai Harbour Residences&gt;Dubai Harbour Residences (Area 3)")</f>
        <v>Dubai&gt;Dubai Harbour&gt;Dubai Harbour Residences&gt;Dubai Harbour Residences (Area 3)</v>
      </c>
      <c r="E10201" s="2"/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  <c r="U10201" s="2"/>
      <c r="V10201" s="2"/>
      <c r="W10201" s="2"/>
      <c r="X10201" s="2"/>
      <c r="Y10201" s="2"/>
      <c r="Z10201" s="2"/>
    </row>
    <row r="10202" spans="1:26" ht="16.5" x14ac:dyDescent="0.35">
      <c r="A10202" s="2" t="str">
        <f ca="1">IFERROR(__xludf.DUMMYFUNCTION("""COMPUTED_VALUE"""),"Dubai")</f>
        <v>Dubai</v>
      </c>
      <c r="B10202" s="2" t="str">
        <f ca="1">IFERROR(__xludf.DUMMYFUNCTION("""COMPUTED_VALUE"""),"Trixis")</f>
        <v>Trixis</v>
      </c>
      <c r="C10202" s="2" t="str">
        <f ca="1">IFERROR(__xludf.DUMMYFUNCTION("""COMPUTED_VALUE"""),"Neighbourhood")</f>
        <v>Neighbourhood</v>
      </c>
      <c r="D10202" s="2" t="str">
        <f ca="1">IFERROR(__xludf.DUMMYFUNCTION("""COMPUTED_VALUE"""),"Dubai&gt;DAMAC Hills 2 (Akoya by DAMAC)&gt;Trixis")</f>
        <v>Dubai&gt;DAMAC Hills 2 (Akoya by DAMAC)&gt;Trixis</v>
      </c>
      <c r="E10202" s="2"/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2"/>
      <c r="T10202" s="2"/>
      <c r="U10202" s="2"/>
      <c r="V10202" s="2"/>
      <c r="W10202" s="2"/>
      <c r="X10202" s="2"/>
      <c r="Y10202" s="2"/>
      <c r="Z10202" s="2"/>
    </row>
    <row r="10203" spans="1:26" ht="16.5" x14ac:dyDescent="0.35">
      <c r="A10203" s="2" t="str">
        <f ca="1">IFERROR(__xludf.DUMMYFUNCTION("""COMPUTED_VALUE"""),"Dubai")</f>
        <v>Dubai</v>
      </c>
      <c r="B10203" s="2" t="str">
        <f ca="1">IFERROR(__xludf.DUMMYFUNCTION("""COMPUTED_VALUE"""),"J-06")</f>
        <v>J-06</v>
      </c>
      <c r="C10203" s="2" t="str">
        <f ca="1">IFERROR(__xludf.DUMMYFUNCTION("""COMPUTED_VALUE"""),"Building")</f>
        <v>Building</v>
      </c>
      <c r="D10203" s="2" t="str">
        <f ca="1">IFERROR(__xludf.DUMMYFUNCTION("""COMPUTED_VALUE"""),"Dubai&gt;International City&gt;Morocco Cluster&gt;J-06")</f>
        <v>Dubai&gt;International City&gt;Morocco Cluster&gt;J-06</v>
      </c>
      <c r="E10203" s="2"/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  <c r="U10203" s="2"/>
      <c r="V10203" s="2"/>
      <c r="W10203" s="2"/>
      <c r="X10203" s="2"/>
      <c r="Y10203" s="2"/>
      <c r="Z10203" s="2"/>
    </row>
    <row r="10204" spans="1:26" ht="16.5" x14ac:dyDescent="0.35">
      <c r="A10204" s="2" t="str">
        <f ca="1">IFERROR(__xludf.DUMMYFUNCTION("""COMPUTED_VALUE"""),"Dubai")</f>
        <v>Dubai</v>
      </c>
      <c r="B10204" s="2" t="str">
        <f ca="1">IFERROR(__xludf.DUMMYFUNCTION("""COMPUTED_VALUE"""),"Souk Warsan")</f>
        <v>Souk Warsan</v>
      </c>
      <c r="C10204" s="2" t="str">
        <f ca="1">IFERROR(__xludf.DUMMYFUNCTION("""COMPUTED_VALUE"""),"Cluster")</f>
        <v>Cluster</v>
      </c>
      <c r="D10204" s="2" t="str">
        <f ca="1">IFERROR(__xludf.DUMMYFUNCTION("""COMPUTED_VALUE"""),"Dubai&gt;International City&gt;Warsan Village&gt;Souk Warsan")</f>
        <v>Dubai&gt;International City&gt;Warsan Village&gt;Souk Warsan</v>
      </c>
      <c r="E10204" s="2"/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  <c r="U10204" s="2"/>
      <c r="V10204" s="2"/>
      <c r="W10204" s="2"/>
      <c r="X10204" s="2"/>
      <c r="Y10204" s="2"/>
      <c r="Z10204" s="2"/>
    </row>
    <row r="10205" spans="1:26" ht="16.5" x14ac:dyDescent="0.35">
      <c r="A10205" s="2" t="str">
        <f ca="1">IFERROR(__xludf.DUMMYFUNCTION("""COMPUTED_VALUE"""),"Dubai")</f>
        <v>Dubai</v>
      </c>
      <c r="B10205" s="2" t="str">
        <f ca="1">IFERROR(__xludf.DUMMYFUNCTION("""COMPUTED_VALUE"""),"A-08")</f>
        <v>A-08</v>
      </c>
      <c r="C10205" s="2" t="str">
        <f ca="1">IFERROR(__xludf.DUMMYFUNCTION("""COMPUTED_VALUE"""),"Building")</f>
        <v>Building</v>
      </c>
      <c r="D10205" s="2" t="str">
        <f ca="1">IFERROR(__xludf.DUMMYFUNCTION("""COMPUTED_VALUE"""),"Dubai&gt;International City&gt;China Cluster&gt;A-08")</f>
        <v>Dubai&gt;International City&gt;China Cluster&gt;A-08</v>
      </c>
      <c r="E10205" s="2"/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  <c r="U10205" s="2"/>
      <c r="V10205" s="2"/>
      <c r="W10205" s="2"/>
      <c r="X10205" s="2"/>
      <c r="Y10205" s="2"/>
      <c r="Z10205" s="2"/>
    </row>
    <row r="10206" spans="1:26" ht="16.5" x14ac:dyDescent="0.35">
      <c r="A10206" s="2" t="str">
        <f ca="1">IFERROR(__xludf.DUMMYFUNCTION("""COMPUTED_VALUE"""),"Dubai")</f>
        <v>Dubai</v>
      </c>
      <c r="B10206" s="2" t="str">
        <f ca="1">IFERROR(__xludf.DUMMYFUNCTION("""COMPUTED_VALUE"""),"C-15")</f>
        <v>C-15</v>
      </c>
      <c r="C10206" s="2" t="str">
        <f ca="1">IFERROR(__xludf.DUMMYFUNCTION("""COMPUTED_VALUE"""),"Building")</f>
        <v>Building</v>
      </c>
      <c r="D10206" s="2" t="str">
        <f ca="1">IFERROR(__xludf.DUMMYFUNCTION("""COMPUTED_VALUE"""),"Dubai&gt;International City&gt;China Cluster&gt;C-15")</f>
        <v>Dubai&gt;International City&gt;China Cluster&gt;C-15</v>
      </c>
      <c r="E10206" s="2"/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  <c r="U10206" s="2"/>
      <c r="V10206" s="2"/>
      <c r="W10206" s="2"/>
      <c r="X10206" s="2"/>
      <c r="Y10206" s="2"/>
      <c r="Z10206" s="2"/>
    </row>
    <row r="10207" spans="1:26" ht="16.5" x14ac:dyDescent="0.35">
      <c r="A10207" s="2" t="str">
        <f ca="1">IFERROR(__xludf.DUMMYFUNCTION("""COMPUTED_VALUE"""),"Dubai")</f>
        <v>Dubai</v>
      </c>
      <c r="B10207" s="2" t="str">
        <f ca="1">IFERROR(__xludf.DUMMYFUNCTION("""COMPUTED_VALUE"""),"H-06")</f>
        <v>H-06</v>
      </c>
      <c r="C10207" s="2" t="str">
        <f ca="1">IFERROR(__xludf.DUMMYFUNCTION("""COMPUTED_VALUE"""),"Building")</f>
        <v>Building</v>
      </c>
      <c r="D10207" s="2" t="str">
        <f ca="1">IFERROR(__xludf.DUMMYFUNCTION("""COMPUTED_VALUE"""),"Dubai&gt;International City&gt;China Cluster&gt;H-06")</f>
        <v>Dubai&gt;International City&gt;China Cluster&gt;H-06</v>
      </c>
      <c r="E10207" s="2"/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2"/>
      <c r="T10207" s="2"/>
      <c r="U10207" s="2"/>
      <c r="V10207" s="2"/>
      <c r="W10207" s="2"/>
      <c r="X10207" s="2"/>
      <c r="Y10207" s="2"/>
      <c r="Z10207" s="2"/>
    </row>
    <row r="10208" spans="1:26" ht="16.5" x14ac:dyDescent="0.35">
      <c r="A10208" s="2" t="str">
        <f ca="1">IFERROR(__xludf.DUMMYFUNCTION("""COMPUTED_VALUE"""),"Dubai")</f>
        <v>Dubai</v>
      </c>
      <c r="B10208" s="2" t="str">
        <f ca="1">IFERROR(__xludf.DUMMYFUNCTION("""COMPUTED_VALUE"""),"S-15")</f>
        <v>S-15</v>
      </c>
      <c r="C10208" s="2" t="str">
        <f ca="1">IFERROR(__xludf.DUMMYFUNCTION("""COMPUTED_VALUE"""),"Building")</f>
        <v>Building</v>
      </c>
      <c r="D10208" s="2" t="str">
        <f ca="1">IFERROR(__xludf.DUMMYFUNCTION("""COMPUTED_VALUE"""),"Dubai&gt;International City&gt;Spain Cluster&gt;S-15")</f>
        <v>Dubai&gt;International City&gt;Spain Cluster&gt;S-15</v>
      </c>
      <c r="E10208" s="2"/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  <c r="V10208" s="2"/>
      <c r="W10208" s="2"/>
      <c r="X10208" s="2"/>
      <c r="Y10208" s="2"/>
      <c r="Z10208" s="2"/>
    </row>
    <row r="10209" spans="1:26" ht="16.5" x14ac:dyDescent="0.35">
      <c r="A10209" s="2" t="str">
        <f ca="1">IFERROR(__xludf.DUMMYFUNCTION("""COMPUTED_VALUE"""),"Dubai")</f>
        <v>Dubai</v>
      </c>
      <c r="B10209" s="2" t="str">
        <f ca="1">IFERROR(__xludf.DUMMYFUNCTION("""COMPUTED_VALUE"""),"U-18")</f>
        <v>U-18</v>
      </c>
      <c r="C10209" s="2" t="str">
        <f ca="1">IFERROR(__xludf.DUMMYFUNCTION("""COMPUTED_VALUE"""),"Building")</f>
        <v>Building</v>
      </c>
      <c r="D10209" s="2" t="str">
        <f ca="1">IFERROR(__xludf.DUMMYFUNCTION("""COMPUTED_VALUE"""),"Dubai&gt;International City&gt;Italy Cluster&gt;U-18")</f>
        <v>Dubai&gt;International City&gt;Italy Cluster&gt;U-18</v>
      </c>
      <c r="E10209" s="2"/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  <c r="U10209" s="2"/>
      <c r="V10209" s="2"/>
      <c r="W10209" s="2"/>
      <c r="X10209" s="2"/>
      <c r="Y10209" s="2"/>
      <c r="Z10209" s="2"/>
    </row>
    <row r="10210" spans="1:26" ht="16.5" x14ac:dyDescent="0.35">
      <c r="A10210" s="2" t="str">
        <f ca="1">IFERROR(__xludf.DUMMYFUNCTION("""COMPUTED_VALUE"""),"Dubai")</f>
        <v>Dubai</v>
      </c>
      <c r="B10210" s="2" t="str">
        <f ca="1">IFERROR(__xludf.DUMMYFUNCTION("""COMPUTED_VALUE"""),"V-24")</f>
        <v>V-24</v>
      </c>
      <c r="C10210" s="2" t="str">
        <f ca="1">IFERROR(__xludf.DUMMYFUNCTION("""COMPUTED_VALUE"""),"Building")</f>
        <v>Building</v>
      </c>
      <c r="D10210" s="2" t="str">
        <f ca="1">IFERROR(__xludf.DUMMYFUNCTION("""COMPUTED_VALUE"""),"Dubai&gt;International City&gt;Russia Cluster&gt;V-24")</f>
        <v>Dubai&gt;International City&gt;Russia Cluster&gt;V-24</v>
      </c>
      <c r="E10210" s="2"/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  <c r="U10210" s="2"/>
      <c r="V10210" s="2"/>
      <c r="W10210" s="2"/>
      <c r="X10210" s="2"/>
      <c r="Y10210" s="2"/>
      <c r="Z10210" s="2"/>
    </row>
    <row r="10211" spans="1:26" ht="16.5" x14ac:dyDescent="0.35">
      <c r="A10211" s="2" t="str">
        <f ca="1">IFERROR(__xludf.DUMMYFUNCTION("""COMPUTED_VALUE"""),"Dubai")</f>
        <v>Dubai</v>
      </c>
      <c r="B10211" s="2" t="str">
        <f ca="1">IFERROR(__xludf.DUMMYFUNCTION("""COMPUTED_VALUE"""),"N-01")</f>
        <v>N-01</v>
      </c>
      <c r="C10211" s="2" t="str">
        <f ca="1">IFERROR(__xludf.DUMMYFUNCTION("""COMPUTED_VALUE"""),"Building")</f>
        <v>Building</v>
      </c>
      <c r="D10211" s="2" t="str">
        <f ca="1">IFERROR(__xludf.DUMMYFUNCTION("""COMPUTED_VALUE"""),"Dubai&gt;International City&gt;Persia Cluster&gt;N-01")</f>
        <v>Dubai&gt;International City&gt;Persia Cluster&gt;N-01</v>
      </c>
      <c r="E10211" s="2"/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  <c r="U10211" s="2"/>
      <c r="V10211" s="2"/>
      <c r="W10211" s="2"/>
      <c r="X10211" s="2"/>
      <c r="Y10211" s="2"/>
      <c r="Z10211" s="2"/>
    </row>
    <row r="10212" spans="1:26" ht="16.5" x14ac:dyDescent="0.35">
      <c r="A10212" s="2" t="str">
        <f ca="1">IFERROR(__xludf.DUMMYFUNCTION("""COMPUTED_VALUE"""),"Dubai")</f>
        <v>Dubai</v>
      </c>
      <c r="B10212" s="2" t="str">
        <f ca="1">IFERROR(__xludf.DUMMYFUNCTION("""COMPUTED_VALUE"""),"EMR-01")</f>
        <v>EMR-01</v>
      </c>
      <c r="C10212" s="2" t="str">
        <f ca="1">IFERROR(__xludf.DUMMYFUNCTION("""COMPUTED_VALUE"""),"Building")</f>
        <v>Building</v>
      </c>
      <c r="D10212" s="2" t="str">
        <f ca="1">IFERROR(__xludf.DUMMYFUNCTION("""COMPUTED_VALUE"""),"Dubai&gt;International City&gt;Emirates Cluster&gt;EMR-01")</f>
        <v>Dubai&gt;International City&gt;Emirates Cluster&gt;EMR-01</v>
      </c>
      <c r="E10212" s="2"/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  <c r="V10212" s="2"/>
      <c r="W10212" s="2"/>
      <c r="X10212" s="2"/>
      <c r="Y10212" s="2"/>
      <c r="Z10212" s="2"/>
    </row>
    <row r="10213" spans="1:26" ht="16.5" x14ac:dyDescent="0.35">
      <c r="A10213" s="2" t="str">
        <f ca="1">IFERROR(__xludf.DUMMYFUNCTION("""COMPUTED_VALUE"""),"Dubai")</f>
        <v>Dubai</v>
      </c>
      <c r="B10213" s="2" t="str">
        <f ca="1">IFERROR(__xludf.DUMMYFUNCTION("""COMPUTED_VALUE"""),"X-22")</f>
        <v>X-22</v>
      </c>
      <c r="C10213" s="2" t="str">
        <f ca="1">IFERROR(__xludf.DUMMYFUNCTION("""COMPUTED_VALUE"""),"Building")</f>
        <v>Building</v>
      </c>
      <c r="D10213" s="2" t="str">
        <f ca="1">IFERROR(__xludf.DUMMYFUNCTION("""COMPUTED_VALUE"""),"Dubai&gt;International City&gt;England Cluster&gt;X-22")</f>
        <v>Dubai&gt;International City&gt;England Cluster&gt;X-22</v>
      </c>
      <c r="E10213" s="2"/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  <c r="U10213" s="2"/>
      <c r="V10213" s="2"/>
      <c r="W10213" s="2"/>
      <c r="X10213" s="2"/>
      <c r="Y10213" s="2"/>
      <c r="Z10213" s="2"/>
    </row>
    <row r="10214" spans="1:26" ht="16.5" x14ac:dyDescent="0.35">
      <c r="A10214" s="2" t="str">
        <f ca="1">IFERROR(__xludf.DUMMYFUNCTION("""COMPUTED_VALUE"""),"Dubai")</f>
        <v>Dubai</v>
      </c>
      <c r="B10214" s="2" t="str">
        <f ca="1">IFERROR(__xludf.DUMMYFUNCTION("""COMPUTED_VALUE"""),"Z-02")</f>
        <v>Z-02</v>
      </c>
      <c r="C10214" s="2" t="str">
        <f ca="1">IFERROR(__xludf.DUMMYFUNCTION("""COMPUTED_VALUE"""),"Building")</f>
        <v>Building</v>
      </c>
      <c r="D10214" s="2" t="str">
        <f ca="1">IFERROR(__xludf.DUMMYFUNCTION("""COMPUTED_VALUE"""),"Dubai&gt;International City&gt;England Cluster&gt;Z-02")</f>
        <v>Dubai&gt;International City&gt;England Cluster&gt;Z-02</v>
      </c>
      <c r="E10214" s="2"/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  <c r="U10214" s="2"/>
      <c r="V10214" s="2"/>
      <c r="W10214" s="2"/>
      <c r="X10214" s="2"/>
      <c r="Y10214" s="2"/>
      <c r="Z10214" s="2"/>
    </row>
    <row r="10215" spans="1:26" ht="16.5" x14ac:dyDescent="0.35">
      <c r="A10215" s="2" t="str">
        <f ca="1">IFERROR(__xludf.DUMMYFUNCTION("""COMPUTED_VALUE"""),"Dubai")</f>
        <v>Dubai</v>
      </c>
      <c r="B10215" s="2" t="str">
        <f ca="1">IFERROR(__xludf.DUMMYFUNCTION("""COMPUTED_VALUE"""),"Cartel 113")</f>
        <v>Cartel 113</v>
      </c>
      <c r="C10215" s="2" t="str">
        <f ca="1">IFERROR(__xludf.DUMMYFUNCTION("""COMPUTED_VALUE"""),"Building")</f>
        <v>Building</v>
      </c>
      <c r="D10215" s="2" t="str">
        <f ca="1">IFERROR(__xludf.DUMMYFUNCTION("""COMPUTED_VALUE"""),"Dubai&gt;International City&gt;International City Phase 2 (Warsan 4)&gt;Cartel 113")</f>
        <v>Dubai&gt;International City&gt;International City Phase 2 (Warsan 4)&gt;Cartel 113</v>
      </c>
      <c r="E10215" s="2"/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  <c r="V10215" s="2"/>
      <c r="W10215" s="2"/>
      <c r="X10215" s="2"/>
      <c r="Y10215" s="2"/>
      <c r="Z10215" s="2"/>
    </row>
    <row r="10216" spans="1:26" ht="16.5" x14ac:dyDescent="0.35">
      <c r="A10216" s="2" t="str">
        <f ca="1">IFERROR(__xludf.DUMMYFUNCTION("""COMPUTED_VALUE"""),"Dubai")</f>
        <v>Dubai</v>
      </c>
      <c r="B10216" s="2" t="str">
        <f ca="1">IFERROR(__xludf.DUMMYFUNCTION("""COMPUTED_VALUE"""),"Al Asmwi Building")</f>
        <v>Al Asmwi Building</v>
      </c>
      <c r="C10216" s="2" t="str">
        <f ca="1">IFERROR(__xludf.DUMMYFUNCTION("""COMPUTED_VALUE"""),"Building")</f>
        <v>Building</v>
      </c>
      <c r="D10216" s="2" t="str">
        <f ca="1">IFERROR(__xludf.DUMMYFUNCTION("""COMPUTED_VALUE"""),"Dubai&gt;International City&gt;International City Phase 2 (Warsan 4)&gt;Al Asmwi Building")</f>
        <v>Dubai&gt;International City&gt;International City Phase 2 (Warsan 4)&gt;Al Asmwi Building</v>
      </c>
      <c r="E10216" s="2"/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  <c r="U10216" s="2"/>
      <c r="V10216" s="2"/>
      <c r="W10216" s="2"/>
      <c r="X10216" s="2"/>
      <c r="Y10216" s="2"/>
      <c r="Z10216" s="2"/>
    </row>
    <row r="10217" spans="1:26" ht="16.5" x14ac:dyDescent="0.35">
      <c r="A10217" s="2" t="str">
        <f ca="1">IFERROR(__xludf.DUMMYFUNCTION("""COMPUTED_VALUE"""),"Dubai")</f>
        <v>Dubai</v>
      </c>
      <c r="B10217" s="2" t="str">
        <f ca="1">IFERROR(__xludf.DUMMYFUNCTION("""COMPUTED_VALUE"""),"Eaton")</f>
        <v>Eaton</v>
      </c>
      <c r="C10217" s="2" t="str">
        <f ca="1">IFERROR(__xludf.DUMMYFUNCTION("""COMPUTED_VALUE"""),"Building")</f>
        <v>Building</v>
      </c>
      <c r="D10217" s="2" t="str">
        <f ca="1">IFERROR(__xludf.DUMMYFUNCTION("""COMPUTED_VALUE"""),"Dubai&gt;International City&gt;International City Phase 2 (Warsan 4)&gt;Eaton")</f>
        <v>Dubai&gt;International City&gt;International City Phase 2 (Warsan 4)&gt;Eaton</v>
      </c>
      <c r="E10217" s="2"/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2"/>
      <c r="T10217" s="2"/>
      <c r="U10217" s="2"/>
      <c r="V10217" s="2"/>
      <c r="W10217" s="2"/>
      <c r="X10217" s="2"/>
      <c r="Y10217" s="2"/>
      <c r="Z10217" s="2"/>
    </row>
    <row r="10218" spans="1:26" ht="16.5" x14ac:dyDescent="0.35">
      <c r="A10218" s="2" t="str">
        <f ca="1">IFERROR(__xludf.DUMMYFUNCTION("""COMPUTED_VALUE"""),"Dubai")</f>
        <v>Dubai</v>
      </c>
      <c r="B10218" s="2" t="str">
        <f ca="1">IFERROR(__xludf.DUMMYFUNCTION("""COMPUTED_VALUE"""),"Sports View Residence")</f>
        <v>Sports View Residence</v>
      </c>
      <c r="C10218" s="2" t="str">
        <f ca="1">IFERROR(__xludf.DUMMYFUNCTION("""COMPUTED_VALUE"""),"Building")</f>
        <v>Building</v>
      </c>
      <c r="D10218" s="2" t="str">
        <f ca="1">IFERROR(__xludf.DUMMYFUNCTION("""COMPUTED_VALUE"""),"Dubai&gt;International City&gt;International City Phase 2 (Warsan 4)&gt;Sports View Residence")</f>
        <v>Dubai&gt;International City&gt;International City Phase 2 (Warsan 4)&gt;Sports View Residence</v>
      </c>
      <c r="E10218" s="2"/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  <c r="U10218" s="2"/>
      <c r="V10218" s="2"/>
      <c r="W10218" s="2"/>
      <c r="X10218" s="2"/>
      <c r="Y10218" s="2"/>
      <c r="Z10218" s="2"/>
    </row>
    <row r="10219" spans="1:26" ht="16.5" x14ac:dyDescent="0.35">
      <c r="A10219" s="2" t="str">
        <f ca="1">IFERROR(__xludf.DUMMYFUNCTION("""COMPUTED_VALUE"""),"Dubai")</f>
        <v>Dubai</v>
      </c>
      <c r="B10219" s="2" t="str">
        <f ca="1">IFERROR(__xludf.DUMMYFUNCTION("""COMPUTED_VALUE"""),"Elevia Residences III")</f>
        <v>Elevia Residences III</v>
      </c>
      <c r="C10219" s="2" t="str">
        <f ca="1">IFERROR(__xludf.DUMMYFUNCTION("""COMPUTED_VALUE"""),"Building")</f>
        <v>Building</v>
      </c>
      <c r="D10219" s="2" t="str">
        <f ca="1">IFERROR(__xludf.DUMMYFUNCTION("""COMPUTED_VALUE"""),"Dubai&gt;International City&gt;International City Phase 2 (Warsan 4)&gt;Elevia Residences III")</f>
        <v>Dubai&gt;International City&gt;International City Phase 2 (Warsan 4)&gt;Elevia Residences III</v>
      </c>
      <c r="E10219" s="2"/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  <c r="U10219" s="2"/>
      <c r="V10219" s="2"/>
      <c r="W10219" s="2"/>
      <c r="X10219" s="2"/>
      <c r="Y10219" s="2"/>
      <c r="Z10219" s="2"/>
    </row>
    <row r="10220" spans="1:26" ht="16.5" x14ac:dyDescent="0.35">
      <c r="A10220" s="2" t="str">
        <f ca="1">IFERROR(__xludf.DUMMYFUNCTION("""COMPUTED_VALUE"""),"Dubai")</f>
        <v>Dubai</v>
      </c>
      <c r="B10220" s="2" t="str">
        <f ca="1">IFERROR(__xludf.DUMMYFUNCTION("""COMPUTED_VALUE"""),"Q-02")</f>
        <v>Q-02</v>
      </c>
      <c r="C10220" s="2" t="str">
        <f ca="1">IFERROR(__xludf.DUMMYFUNCTION("""COMPUTED_VALUE"""),"Building")</f>
        <v>Building</v>
      </c>
      <c r="D10220" s="2" t="str">
        <f ca="1">IFERROR(__xludf.DUMMYFUNCTION("""COMPUTED_VALUE"""),"Dubai&gt;International City&gt;France Cluster&gt;Q-02")</f>
        <v>Dubai&gt;International City&gt;France Cluster&gt;Q-02</v>
      </c>
      <c r="E10220" s="2"/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  <c r="U10220" s="2"/>
      <c r="V10220" s="2"/>
      <c r="W10220" s="2"/>
      <c r="X10220" s="2"/>
      <c r="Y10220" s="2"/>
      <c r="Z10220" s="2"/>
    </row>
    <row r="10221" spans="1:26" ht="16.5" x14ac:dyDescent="0.35">
      <c r="A10221" s="2" t="str">
        <f ca="1">IFERROR(__xludf.DUMMYFUNCTION("""COMPUTED_VALUE"""),"Dubai")</f>
        <v>Dubai</v>
      </c>
      <c r="B10221" s="2" t="str">
        <f ca="1">IFERROR(__xludf.DUMMYFUNCTION("""COMPUTED_VALUE"""),"R-06")</f>
        <v>R-06</v>
      </c>
      <c r="C10221" s="2" t="str">
        <f ca="1">IFERROR(__xludf.DUMMYFUNCTION("""COMPUTED_VALUE"""),"Building")</f>
        <v>Building</v>
      </c>
      <c r="D10221" s="2" t="str">
        <f ca="1">IFERROR(__xludf.DUMMYFUNCTION("""COMPUTED_VALUE"""),"Dubai&gt;International City&gt;France Cluster&gt;R-06")</f>
        <v>Dubai&gt;International City&gt;France Cluster&gt;R-06</v>
      </c>
      <c r="E10221" s="2"/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2"/>
      <c r="T10221" s="2"/>
      <c r="U10221" s="2"/>
      <c r="V10221" s="2"/>
      <c r="W10221" s="2"/>
      <c r="X10221" s="2"/>
      <c r="Y10221" s="2"/>
      <c r="Z10221" s="2"/>
    </row>
    <row r="10222" spans="1:26" ht="16.5" x14ac:dyDescent="0.35">
      <c r="A10222" s="2" t="str">
        <f ca="1">IFERROR(__xludf.DUMMYFUNCTION("""COMPUTED_VALUE"""),"Dubai")</f>
        <v>Dubai</v>
      </c>
      <c r="B10222" s="2" t="str">
        <f ca="1">IFERROR(__xludf.DUMMYFUNCTION("""COMPUTED_VALUE"""),"Central Business District")</f>
        <v>Central Business District</v>
      </c>
      <c r="C10222" s="2" t="str">
        <f ca="1">IFERROR(__xludf.DUMMYFUNCTION("""COMPUTED_VALUE"""),"Neighbourhood")</f>
        <v>Neighbourhood</v>
      </c>
      <c r="D10222" s="2" t="str">
        <f ca="1">IFERROR(__xludf.DUMMYFUNCTION("""COMPUTED_VALUE"""),"Dubai&gt;International City&gt;Central Business District")</f>
        <v>Dubai&gt;International City&gt;Central Business District</v>
      </c>
      <c r="E10222" s="2"/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  <c r="U10222" s="2"/>
      <c r="V10222" s="2"/>
      <c r="W10222" s="2"/>
      <c r="X10222" s="2"/>
      <c r="Y10222" s="2"/>
      <c r="Z10222" s="2"/>
    </row>
    <row r="10223" spans="1:26" ht="16.5" x14ac:dyDescent="0.35">
      <c r="A10223" s="2" t="str">
        <f ca="1">IFERROR(__xludf.DUMMYFUNCTION("""COMPUTED_VALUE"""),"Dubai")</f>
        <v>Dubai</v>
      </c>
      <c r="B10223" s="2" t="str">
        <f ca="1">IFERROR(__xludf.DUMMYFUNCTION("""COMPUTED_VALUE"""),"CBD-B02")</f>
        <v>CBD-B02</v>
      </c>
      <c r="C10223" s="2" t="str">
        <f ca="1">IFERROR(__xludf.DUMMYFUNCTION("""COMPUTED_VALUE"""),"Building")</f>
        <v>Building</v>
      </c>
      <c r="D10223" s="2" t="str">
        <f ca="1">IFERROR(__xludf.DUMMYFUNCTION("""COMPUTED_VALUE"""),"Dubai&gt;International City&gt;Central Business District&gt;CBD-B02")</f>
        <v>Dubai&gt;International City&gt;Central Business District&gt;CBD-B02</v>
      </c>
      <c r="E10223" s="2"/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  <c r="U10223" s="2"/>
      <c r="V10223" s="2"/>
      <c r="W10223" s="2"/>
      <c r="X10223" s="2"/>
      <c r="Y10223" s="2"/>
      <c r="Z10223" s="2"/>
    </row>
    <row r="10224" spans="1:26" ht="16.5" x14ac:dyDescent="0.35">
      <c r="A10224" s="2" t="str">
        <f ca="1">IFERROR(__xludf.DUMMYFUNCTION("""COMPUTED_VALUE"""),"Dubai")</f>
        <v>Dubai</v>
      </c>
      <c r="B10224" s="2" t="str">
        <f ca="1">IFERROR(__xludf.DUMMYFUNCTION("""COMPUTED_VALUE"""),"23 Marina")</f>
        <v>23 Marina</v>
      </c>
      <c r="C10224" s="2" t="str">
        <f ca="1">IFERROR(__xludf.DUMMYFUNCTION("""COMPUTED_VALUE"""),"Building")</f>
        <v>Building</v>
      </c>
      <c r="D10224" s="2" t="str">
        <f ca="1">IFERROR(__xludf.DUMMYFUNCTION("""COMPUTED_VALUE"""),"Dubai&gt;Dubai Marina&gt;23 Marina")</f>
        <v>Dubai&gt;Dubai Marina&gt;23 Marina</v>
      </c>
      <c r="E10224" s="2"/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  <c r="U10224" s="2"/>
      <c r="V10224" s="2"/>
      <c r="W10224" s="2"/>
      <c r="X10224" s="2"/>
      <c r="Y10224" s="2"/>
      <c r="Z10224" s="2"/>
    </row>
    <row r="10225" spans="1:26" ht="16.5" x14ac:dyDescent="0.35">
      <c r="A10225" s="2" t="str">
        <f ca="1">IFERROR(__xludf.DUMMYFUNCTION("""COMPUTED_VALUE"""),"Dubai")</f>
        <v>Dubai</v>
      </c>
      <c r="B10225" s="2" t="str">
        <f ca="1">IFERROR(__xludf.DUMMYFUNCTION("""COMPUTED_VALUE"""),"Al Zarooni Building B")</f>
        <v>Al Zarooni Building B</v>
      </c>
      <c r="C10225" s="2" t="str">
        <f ca="1">IFERROR(__xludf.DUMMYFUNCTION("""COMPUTED_VALUE"""),"Building")</f>
        <v>Building</v>
      </c>
      <c r="D10225" s="2" t="str">
        <f ca="1">IFERROR(__xludf.DUMMYFUNCTION("""COMPUTED_VALUE"""),"Dubai&gt;Dubai Marina&gt;Al Zarooni Building&gt;Al Zarooni Building B")</f>
        <v>Dubai&gt;Dubai Marina&gt;Al Zarooni Building&gt;Al Zarooni Building B</v>
      </c>
      <c r="E10225" s="2"/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  <c r="U10225" s="2"/>
      <c r="V10225" s="2"/>
      <c r="W10225" s="2"/>
      <c r="X10225" s="2"/>
      <c r="Y10225" s="2"/>
      <c r="Z10225" s="2"/>
    </row>
    <row r="10226" spans="1:26" ht="16.5" x14ac:dyDescent="0.35">
      <c r="A10226" s="2" t="str">
        <f ca="1">IFERROR(__xludf.DUMMYFUNCTION("""COMPUTED_VALUE"""),"Dubai")</f>
        <v>Dubai</v>
      </c>
      <c r="B10226" s="2" t="str">
        <f ca="1">IFERROR(__xludf.DUMMYFUNCTION("""COMPUTED_VALUE"""),"Ciel Tower")</f>
        <v>Ciel Tower</v>
      </c>
      <c r="C10226" s="2" t="str">
        <f ca="1">IFERROR(__xludf.DUMMYFUNCTION("""COMPUTED_VALUE"""),"Building")</f>
        <v>Building</v>
      </c>
      <c r="D10226" s="2" t="str">
        <f ca="1">IFERROR(__xludf.DUMMYFUNCTION("""COMPUTED_VALUE"""),"Dubai&gt;Dubai Marina&gt;Ciel Tower")</f>
        <v>Dubai&gt;Dubai Marina&gt;Ciel Tower</v>
      </c>
      <c r="E10226" s="2"/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2"/>
      <c r="T10226" s="2"/>
      <c r="U10226" s="2"/>
      <c r="V10226" s="2"/>
      <c r="W10226" s="2"/>
      <c r="X10226" s="2"/>
      <c r="Y10226" s="2"/>
      <c r="Z10226" s="2"/>
    </row>
    <row r="10227" spans="1:26" ht="16.5" x14ac:dyDescent="0.35">
      <c r="A10227" s="2" t="str">
        <f ca="1">IFERROR(__xludf.DUMMYFUNCTION("""COMPUTED_VALUE"""),"Dubai")</f>
        <v>Dubai</v>
      </c>
      <c r="B10227" s="2" t="str">
        <f ca="1">IFERROR(__xludf.DUMMYFUNCTION("""COMPUTED_VALUE"""),"Al Mass Tower")</f>
        <v>Al Mass Tower</v>
      </c>
      <c r="C10227" s="2" t="str">
        <f ca="1">IFERROR(__xludf.DUMMYFUNCTION("""COMPUTED_VALUE"""),"Building")</f>
        <v>Building</v>
      </c>
      <c r="D10227" s="2" t="str">
        <f ca="1">IFERROR(__xludf.DUMMYFUNCTION("""COMPUTED_VALUE"""),"Dubai&gt;Dubai Marina&gt;Dubai Marina Towers&gt;Al Mass Tower")</f>
        <v>Dubai&gt;Dubai Marina&gt;Dubai Marina Towers&gt;Al Mass Tower</v>
      </c>
      <c r="E10227" s="2"/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  <c r="U10227" s="2"/>
      <c r="V10227" s="2"/>
      <c r="W10227" s="2"/>
      <c r="X10227" s="2"/>
      <c r="Y10227" s="2"/>
      <c r="Z10227" s="2"/>
    </row>
    <row r="10228" spans="1:26" ht="16.5" x14ac:dyDescent="0.35">
      <c r="A10228" s="2" t="str">
        <f ca="1">IFERROR(__xludf.DUMMYFUNCTION("""COMPUTED_VALUE"""),"Dubai")</f>
        <v>Dubai</v>
      </c>
      <c r="B10228" s="2" t="str">
        <f ca="1">IFERROR(__xludf.DUMMYFUNCTION("""COMPUTED_VALUE"""),"Marina Promenade Retail")</f>
        <v>Marina Promenade Retail</v>
      </c>
      <c r="C10228" s="2" t="str">
        <f ca="1">IFERROR(__xludf.DUMMYFUNCTION("""COMPUTED_VALUE"""),"Building")</f>
        <v>Building</v>
      </c>
      <c r="D10228" s="2" t="str">
        <f ca="1">IFERROR(__xludf.DUMMYFUNCTION("""COMPUTED_VALUE"""),"Dubai&gt;Dubai Marina&gt;Marina Promenade&gt;Marina Promenade Retail")</f>
        <v>Dubai&gt;Dubai Marina&gt;Marina Promenade&gt;Marina Promenade Retail</v>
      </c>
      <c r="E10228" s="2"/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  <c r="U10228" s="2"/>
      <c r="V10228" s="2"/>
      <c r="W10228" s="2"/>
      <c r="X10228" s="2"/>
      <c r="Y10228" s="2"/>
      <c r="Z10228" s="2"/>
    </row>
    <row r="10229" spans="1:26" ht="16.5" x14ac:dyDescent="0.35">
      <c r="A10229" s="2" t="str">
        <f ca="1">IFERROR(__xludf.DUMMYFUNCTION("""COMPUTED_VALUE"""),"Dubai")</f>
        <v>Dubai</v>
      </c>
      <c r="B10229" s="2" t="str">
        <f ca="1">IFERROR(__xludf.DUMMYFUNCTION("""COMPUTED_VALUE"""),"Dorra Bay")</f>
        <v>Dorra Bay</v>
      </c>
      <c r="C10229" s="2" t="str">
        <f ca="1">IFERROR(__xludf.DUMMYFUNCTION("""COMPUTED_VALUE"""),"Building")</f>
        <v>Building</v>
      </c>
      <c r="D10229" s="2" t="str">
        <f ca="1">IFERROR(__xludf.DUMMYFUNCTION("""COMPUTED_VALUE"""),"Dubai&gt;Dubai Marina&gt;Dorra Bay")</f>
        <v>Dubai&gt;Dubai Marina&gt;Dorra Bay</v>
      </c>
      <c r="E10229" s="2"/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  <c r="U10229" s="2"/>
      <c r="V10229" s="2"/>
      <c r="W10229" s="2"/>
      <c r="X10229" s="2"/>
      <c r="Y10229" s="2"/>
      <c r="Z10229" s="2"/>
    </row>
    <row r="10230" spans="1:26" ht="16.5" x14ac:dyDescent="0.35">
      <c r="A10230" s="2" t="str">
        <f ca="1">IFERROR(__xludf.DUMMYFUNCTION("""COMPUTED_VALUE"""),"Dubai")</f>
        <v>Dubai</v>
      </c>
      <c r="B10230" s="2" t="str">
        <f ca="1">IFERROR(__xludf.DUMMYFUNCTION("""COMPUTED_VALUE"""),"Al Sahab Villas")</f>
        <v>Al Sahab Villas</v>
      </c>
      <c r="C10230" s="2" t="str">
        <f ca="1">IFERROR(__xludf.DUMMYFUNCTION("""COMPUTED_VALUE"""),"Neighbourhood")</f>
        <v>Neighbourhood</v>
      </c>
      <c r="D10230" s="2" t="str">
        <f ca="1">IFERROR(__xludf.DUMMYFUNCTION("""COMPUTED_VALUE"""),"Dubai&gt;Dubai Marina&gt;Al Sahab Villas")</f>
        <v>Dubai&gt;Dubai Marina&gt;Al Sahab Villas</v>
      </c>
      <c r="E10230" s="2"/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  <c r="U10230" s="2"/>
      <c r="V10230" s="2"/>
      <c r="W10230" s="2"/>
      <c r="X10230" s="2"/>
      <c r="Y10230" s="2"/>
      <c r="Z10230" s="2"/>
    </row>
    <row r="10231" spans="1:26" ht="16.5" x14ac:dyDescent="0.35">
      <c r="A10231" s="2" t="str">
        <f ca="1">IFERROR(__xludf.DUMMYFUNCTION("""COMPUTED_VALUE"""),"Dubai")</f>
        <v>Dubai</v>
      </c>
      <c r="B10231" s="2" t="str">
        <f ca="1">IFERROR(__xludf.DUMMYFUNCTION("""COMPUTED_VALUE"""),"The Residences at the Dubai Beach Edition Tower D")</f>
        <v>The Residences at the Dubai Beach Edition Tower D</v>
      </c>
      <c r="C10231" s="2" t="str">
        <f ca="1">IFERROR(__xludf.DUMMYFUNCTION("""COMPUTED_VALUE"""),"Building")</f>
        <v>Building</v>
      </c>
      <c r="D10231" s="2" t="str">
        <f ca="1">IFERROR(__xludf.DUMMYFUNCTION("""COMPUTED_VALUE"""),"Dubai&gt;Dubai Marina&gt;The Residences at the Dubai Beach Edition&gt;The Residences at the Dubai Beach Edition Tower D")</f>
        <v>Dubai&gt;Dubai Marina&gt;The Residences at the Dubai Beach Edition&gt;The Residences at the Dubai Beach Edition Tower D</v>
      </c>
      <c r="E10231" s="2"/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  <c r="U10231" s="2"/>
      <c r="V10231" s="2"/>
      <c r="W10231" s="2"/>
      <c r="X10231" s="2"/>
      <c r="Y10231" s="2"/>
      <c r="Z10231" s="2"/>
    </row>
    <row r="10232" spans="1:26" ht="16.5" x14ac:dyDescent="0.35">
      <c r="A10232" s="2" t="str">
        <f ca="1">IFERROR(__xludf.DUMMYFUNCTION("""COMPUTED_VALUE"""),"Dubai")</f>
        <v>Dubai</v>
      </c>
      <c r="B10232" s="2" t="str">
        <f ca="1">IFERROR(__xludf.DUMMYFUNCTION("""COMPUTED_VALUE"""),"Rawda Apartments")</f>
        <v>Rawda Apartments</v>
      </c>
      <c r="C10232" s="2" t="str">
        <f ca="1">IFERROR(__xludf.DUMMYFUNCTION("""COMPUTED_VALUE"""),"Cluster")</f>
        <v>Cluster</v>
      </c>
      <c r="D10232" s="2" t="str">
        <f ca="1">IFERROR(__xludf.DUMMYFUNCTION("""COMPUTED_VALUE"""),"Dubai&gt;Town Square&gt;Rawda Apartments")</f>
        <v>Dubai&gt;Town Square&gt;Rawda Apartments</v>
      </c>
      <c r="E10232" s="2"/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  <c r="V10232" s="2"/>
      <c r="W10232" s="2"/>
      <c r="X10232" s="2"/>
      <c r="Y10232" s="2"/>
      <c r="Z10232" s="2"/>
    </row>
    <row r="10233" spans="1:26" ht="16.5" x14ac:dyDescent="0.35">
      <c r="A10233" s="2" t="str">
        <f ca="1">IFERROR(__xludf.DUMMYFUNCTION("""COMPUTED_VALUE"""),"Dubai")</f>
        <v>Dubai</v>
      </c>
      <c r="B10233" s="2" t="str">
        <f ca="1">IFERROR(__xludf.DUMMYFUNCTION("""COMPUTED_VALUE"""),"The Hamilton")</f>
        <v>The Hamilton</v>
      </c>
      <c r="C10233" s="2" t="str">
        <f ca="1">IFERROR(__xludf.DUMMYFUNCTION("""COMPUTED_VALUE"""),"Building")</f>
        <v>Building</v>
      </c>
      <c r="D10233" s="2" t="str">
        <f ca="1">IFERROR(__xludf.DUMMYFUNCTION("""COMPUTED_VALUE"""),"Dubai&gt;Town Square&gt;The Hamilton")</f>
        <v>Dubai&gt;Town Square&gt;The Hamilton</v>
      </c>
      <c r="E10233" s="2"/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  <c r="U10233" s="2"/>
      <c r="V10233" s="2"/>
      <c r="W10233" s="2"/>
      <c r="X10233" s="2"/>
      <c r="Y10233" s="2"/>
      <c r="Z10233" s="2"/>
    </row>
    <row r="10234" spans="1:26" ht="16.5" x14ac:dyDescent="0.35">
      <c r="A10234" s="2" t="str">
        <f ca="1">IFERROR(__xludf.DUMMYFUNCTION("""COMPUTED_VALUE"""),"Dubai")</f>
        <v>Dubai</v>
      </c>
      <c r="B10234" s="2" t="str">
        <f ca="1">IFERROR(__xludf.DUMMYFUNCTION("""COMPUTED_VALUE"""),"Mira 1")</f>
        <v>Mira 1</v>
      </c>
      <c r="C10234" s="2" t="str">
        <f ca="1">IFERROR(__xludf.DUMMYFUNCTION("""COMPUTED_VALUE"""),"Neighbourhood")</f>
        <v>Neighbourhood</v>
      </c>
      <c r="D10234" s="2" t="str">
        <f ca="1">IFERROR(__xludf.DUMMYFUNCTION("""COMPUTED_VALUE"""),"Dubai&gt;Reem&gt;Mira&gt;Mira 1")</f>
        <v>Dubai&gt;Reem&gt;Mira&gt;Mira 1</v>
      </c>
      <c r="E10234" s="2"/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  <c r="U10234" s="2"/>
      <c r="V10234" s="2"/>
      <c r="W10234" s="2"/>
      <c r="X10234" s="2"/>
      <c r="Y10234" s="2"/>
      <c r="Z10234" s="2"/>
    </row>
    <row r="10235" spans="1:26" ht="16.5" x14ac:dyDescent="0.35">
      <c r="A10235" s="2" t="str">
        <f ca="1">IFERROR(__xludf.DUMMYFUNCTION("""COMPUTED_VALUE"""),"Dubai")</f>
        <v>Dubai</v>
      </c>
      <c r="B10235" s="2" t="str">
        <f ca="1">IFERROR(__xludf.DUMMYFUNCTION("""COMPUTED_VALUE"""),"Al Furjan West")</f>
        <v>Al Furjan West</v>
      </c>
      <c r="C10235" s="2" t="str">
        <f ca="1">IFERROR(__xludf.DUMMYFUNCTION("""COMPUTED_VALUE"""),"Neighbourhood")</f>
        <v>Neighbourhood</v>
      </c>
      <c r="D10235" s="2" t="str">
        <f ca="1">IFERROR(__xludf.DUMMYFUNCTION("""COMPUTED_VALUE"""),"Dubai&gt;Al Furjan&gt;Al Furjan West")</f>
        <v>Dubai&gt;Al Furjan&gt;Al Furjan West</v>
      </c>
      <c r="E10235" s="2"/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  <c r="U10235" s="2"/>
      <c r="V10235" s="2"/>
      <c r="W10235" s="2"/>
      <c r="X10235" s="2"/>
      <c r="Y10235" s="2"/>
      <c r="Z10235" s="2"/>
    </row>
    <row r="10236" spans="1:26" ht="16.5" x14ac:dyDescent="0.35">
      <c r="A10236" s="2" t="str">
        <f ca="1">IFERROR(__xludf.DUMMYFUNCTION("""COMPUTED_VALUE"""),"Dubai")</f>
        <v>Dubai</v>
      </c>
      <c r="B10236" s="2" t="str">
        <f ca="1">IFERROR(__xludf.DUMMYFUNCTION("""COMPUTED_VALUE"""),"Starz by Danube Tower 1")</f>
        <v>Starz by Danube Tower 1</v>
      </c>
      <c r="C10236" s="2" t="str">
        <f ca="1">IFERROR(__xludf.DUMMYFUNCTION("""COMPUTED_VALUE"""),"Building")</f>
        <v>Building</v>
      </c>
      <c r="D10236" s="2" t="str">
        <f ca="1">IFERROR(__xludf.DUMMYFUNCTION("""COMPUTED_VALUE"""),"Dubai&gt;Al Furjan&gt;Starz by Danube&gt;Starz by Danube Tower 1")</f>
        <v>Dubai&gt;Al Furjan&gt;Starz by Danube&gt;Starz by Danube Tower 1</v>
      </c>
      <c r="E10236" s="2"/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  <c r="U10236" s="2"/>
      <c r="V10236" s="2"/>
      <c r="W10236" s="2"/>
      <c r="X10236" s="2"/>
      <c r="Y10236" s="2"/>
      <c r="Z10236" s="2"/>
    </row>
    <row r="10237" spans="1:26" ht="16.5" x14ac:dyDescent="0.35">
      <c r="A10237" s="2" t="str">
        <f ca="1">IFERROR(__xludf.DUMMYFUNCTION("""COMPUTED_VALUE"""),"Dubai")</f>
        <v>Dubai</v>
      </c>
      <c r="B10237" s="2" t="str">
        <f ca="1">IFERROR(__xludf.DUMMYFUNCTION("""COMPUTED_VALUE"""),"Al Furjan Villas")</f>
        <v>Al Furjan Villas</v>
      </c>
      <c r="C10237" s="2" t="str">
        <f ca="1">IFERROR(__xludf.DUMMYFUNCTION("""COMPUTED_VALUE"""),"Neighbourhood")</f>
        <v>Neighbourhood</v>
      </c>
      <c r="D10237" s="2" t="str">
        <f ca="1">IFERROR(__xludf.DUMMYFUNCTION("""COMPUTED_VALUE"""),"Dubai&gt;Al Furjan&gt;Al Furjan Villas")</f>
        <v>Dubai&gt;Al Furjan&gt;Al Furjan Villas</v>
      </c>
      <c r="E10237" s="2"/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  <c r="U10237" s="2"/>
      <c r="V10237" s="2"/>
      <c r="W10237" s="2"/>
      <c r="X10237" s="2"/>
      <c r="Y10237" s="2"/>
      <c r="Z10237" s="2"/>
    </row>
    <row r="10238" spans="1:26" ht="16.5" x14ac:dyDescent="0.35">
      <c r="A10238" s="2" t="str">
        <f ca="1">IFERROR(__xludf.DUMMYFUNCTION("""COMPUTED_VALUE"""),"Dubai")</f>
        <v>Dubai</v>
      </c>
      <c r="B10238" s="2" t="str">
        <f ca="1">IFERROR(__xludf.DUMMYFUNCTION("""COMPUTED_VALUE"""),"Sepco 3 Residence 2")</f>
        <v>Sepco 3 Residence 2</v>
      </c>
      <c r="C10238" s="2" t="str">
        <f ca="1">IFERROR(__xludf.DUMMYFUNCTION("""COMPUTED_VALUE"""),"Building")</f>
        <v>Building</v>
      </c>
      <c r="D10238" s="2" t="str">
        <f ca="1">IFERROR(__xludf.DUMMYFUNCTION("""COMPUTED_VALUE"""),"Dubai&gt;Al Furjan&gt;Sepco 3 Residence 2")</f>
        <v>Dubai&gt;Al Furjan&gt;Sepco 3 Residence 2</v>
      </c>
      <c r="E10238" s="2"/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  <c r="U10238" s="2"/>
      <c r="V10238" s="2"/>
      <c r="W10238" s="2"/>
      <c r="X10238" s="2"/>
      <c r="Y10238" s="2"/>
      <c r="Z10238" s="2"/>
    </row>
    <row r="10239" spans="1:26" ht="16.5" x14ac:dyDescent="0.35">
      <c r="A10239" s="2" t="str">
        <f ca="1">IFERROR(__xludf.DUMMYFUNCTION("""COMPUTED_VALUE"""),"Dubai")</f>
        <v>Dubai</v>
      </c>
      <c r="B10239" s="2" t="str">
        <f ca="1">IFERROR(__xludf.DUMMYFUNCTION("""COMPUTED_VALUE"""),"Azizi Liatris")</f>
        <v>Azizi Liatris</v>
      </c>
      <c r="C10239" s="2" t="str">
        <f ca="1">IFERROR(__xludf.DUMMYFUNCTION("""COMPUTED_VALUE"""),"Building")</f>
        <v>Building</v>
      </c>
      <c r="D10239" s="2" t="str">
        <f ca="1">IFERROR(__xludf.DUMMYFUNCTION("""COMPUTED_VALUE"""),"Dubai&gt;Al Furjan&gt;Azizi Liatris")</f>
        <v>Dubai&gt;Al Furjan&gt;Azizi Liatris</v>
      </c>
      <c r="E10239" s="2"/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2"/>
      <c r="T10239" s="2"/>
      <c r="U10239" s="2"/>
      <c r="V10239" s="2"/>
      <c r="W10239" s="2"/>
      <c r="X10239" s="2"/>
      <c r="Y10239" s="2"/>
      <c r="Z10239" s="2"/>
    </row>
    <row r="10240" spans="1:26" ht="16.5" x14ac:dyDescent="0.35">
      <c r="A10240" s="2" t="str">
        <f ca="1">IFERROR(__xludf.DUMMYFUNCTION("""COMPUTED_VALUE"""),"Dubai")</f>
        <v>Dubai</v>
      </c>
      <c r="B10240" s="2" t="str">
        <f ca="1">IFERROR(__xludf.DUMMYFUNCTION("""COMPUTED_VALUE"""),"Azizi Riviera 39")</f>
        <v>Azizi Riviera 39</v>
      </c>
      <c r="C10240" s="2" t="str">
        <f ca="1">IFERROR(__xludf.DUMMYFUNCTION("""COMPUTED_VALUE"""),"Building")</f>
        <v>Building</v>
      </c>
      <c r="D10240" s="2" t="str">
        <f ca="1">IFERROR(__xludf.DUMMYFUNCTION("""COMPUTED_VALUE"""),"Dubai&gt;Meydan City&gt;Meydan One&gt;Azizi Riviera&gt;Azizi Riviera 39")</f>
        <v>Dubai&gt;Meydan City&gt;Meydan One&gt;Azizi Riviera&gt;Azizi Riviera 39</v>
      </c>
      <c r="E10240" s="2"/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  <c r="U10240" s="2"/>
      <c r="V10240" s="2"/>
      <c r="W10240" s="2"/>
      <c r="X10240" s="2"/>
      <c r="Y10240" s="2"/>
      <c r="Z10240" s="2"/>
    </row>
    <row r="10241" spans="1:26" ht="16.5" x14ac:dyDescent="0.35">
      <c r="A10241" s="2" t="str">
        <f ca="1">IFERROR(__xludf.DUMMYFUNCTION("""COMPUTED_VALUE"""),"Dubai")</f>
        <v>Dubai</v>
      </c>
      <c r="B10241" s="2" t="str">
        <f ca="1">IFERROR(__xludf.DUMMYFUNCTION("""COMPUTED_VALUE"""),"Azizi Riviera 42")</f>
        <v>Azizi Riviera 42</v>
      </c>
      <c r="C10241" s="2" t="str">
        <f ca="1">IFERROR(__xludf.DUMMYFUNCTION("""COMPUTED_VALUE"""),"Building")</f>
        <v>Building</v>
      </c>
      <c r="D10241" s="2" t="str">
        <f ca="1">IFERROR(__xludf.DUMMYFUNCTION("""COMPUTED_VALUE"""),"Dubai&gt;Meydan City&gt;Meydan One&gt;Azizi Riviera&gt;Azizi Riviera 42")</f>
        <v>Dubai&gt;Meydan City&gt;Meydan One&gt;Azizi Riviera&gt;Azizi Riviera 42</v>
      </c>
      <c r="E10241" s="2"/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  <c r="U10241" s="2"/>
      <c r="V10241" s="2"/>
      <c r="W10241" s="2"/>
      <c r="X10241" s="2"/>
      <c r="Y10241" s="2"/>
      <c r="Z10241" s="2"/>
    </row>
    <row r="10242" spans="1:26" ht="16.5" x14ac:dyDescent="0.35">
      <c r="A10242" s="2" t="str">
        <f ca="1">IFERROR(__xludf.DUMMYFUNCTION("""COMPUTED_VALUE"""),"Dubai")</f>
        <v>Dubai</v>
      </c>
      <c r="B10242" s="2" t="str">
        <f ca="1">IFERROR(__xludf.DUMMYFUNCTION("""COMPUTED_VALUE"""),"Azizi Riviera 54")</f>
        <v>Azizi Riviera 54</v>
      </c>
      <c r="C10242" s="2" t="str">
        <f ca="1">IFERROR(__xludf.DUMMYFUNCTION("""COMPUTED_VALUE"""),"Building")</f>
        <v>Building</v>
      </c>
      <c r="D10242" s="2" t="str">
        <f ca="1">IFERROR(__xludf.DUMMYFUNCTION("""COMPUTED_VALUE"""),"Dubai&gt;Meydan City&gt;Meydan One&gt;Azizi Riviera&gt;Azizi Riviera 54")</f>
        <v>Dubai&gt;Meydan City&gt;Meydan One&gt;Azizi Riviera&gt;Azizi Riviera 54</v>
      </c>
      <c r="E10242" s="2"/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  <c r="U10242" s="2"/>
      <c r="V10242" s="2"/>
      <c r="W10242" s="2"/>
      <c r="X10242" s="2"/>
      <c r="Y10242" s="2"/>
      <c r="Z10242" s="2"/>
    </row>
    <row r="10243" spans="1:26" ht="16.5" x14ac:dyDescent="0.35">
      <c r="A10243" s="2" t="str">
        <f ca="1">IFERROR(__xludf.DUMMYFUNCTION("""COMPUTED_VALUE"""),"Dubai")</f>
        <v>Dubai</v>
      </c>
      <c r="B10243" s="2" t="str">
        <f ca="1">IFERROR(__xludf.DUMMYFUNCTION("""COMPUTED_VALUE"""),"Polo Residence C7")</f>
        <v>Polo Residence C7</v>
      </c>
      <c r="C10243" s="2" t="str">
        <f ca="1">IFERROR(__xludf.DUMMYFUNCTION("""COMPUTED_VALUE"""),"Building")</f>
        <v>Building</v>
      </c>
      <c r="D10243" s="2" t="str">
        <f ca="1">IFERROR(__xludf.DUMMYFUNCTION("""COMPUTED_VALUE"""),"Dubai&gt;Meydan City&gt;Meydan Avenue&gt;Polo Residence&gt;Polo Residence C7")</f>
        <v>Dubai&gt;Meydan City&gt;Meydan Avenue&gt;Polo Residence&gt;Polo Residence C7</v>
      </c>
      <c r="E10243" s="2"/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  <c r="U10243" s="2"/>
      <c r="V10243" s="2"/>
      <c r="W10243" s="2"/>
      <c r="X10243" s="2"/>
      <c r="Y10243" s="2"/>
      <c r="Z10243" s="2"/>
    </row>
    <row r="10244" spans="1:26" ht="16.5" x14ac:dyDescent="0.35">
      <c r="A10244" s="2" t="str">
        <f ca="1">IFERROR(__xludf.DUMMYFUNCTION("""COMPUTED_VALUE"""),"Dubai")</f>
        <v>Dubai</v>
      </c>
      <c r="B10244" s="2" t="str">
        <f ca="1">IFERROR(__xludf.DUMMYFUNCTION("""COMPUTED_VALUE"""),"The Dere Residences")</f>
        <v>The Dere Residences</v>
      </c>
      <c r="C10244" s="2" t="str">
        <f ca="1">IFERROR(__xludf.DUMMYFUNCTION("""COMPUTED_VALUE"""),"Building")</f>
        <v>Building</v>
      </c>
      <c r="D10244" s="2" t="str">
        <f ca="1">IFERROR(__xludf.DUMMYFUNCTION("""COMPUTED_VALUE"""),"Dubai&gt;Meydan City&gt;Meydan Avenue&gt;The Dere Residences")</f>
        <v>Dubai&gt;Meydan City&gt;Meydan Avenue&gt;The Dere Residences</v>
      </c>
      <c r="E10244" s="2"/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  <c r="U10244" s="2"/>
      <c r="V10244" s="2"/>
      <c r="W10244" s="2"/>
      <c r="X10244" s="2"/>
      <c r="Y10244" s="2"/>
      <c r="Z10244" s="2"/>
    </row>
    <row r="10245" spans="1:26" ht="16.5" x14ac:dyDescent="0.35">
      <c r="A10245" s="2" t="str">
        <f ca="1">IFERROR(__xludf.DUMMYFUNCTION("""COMPUTED_VALUE"""),"Dubai")</f>
        <v>Dubai</v>
      </c>
      <c r="B10245" s="2" t="str">
        <f ca="1">IFERROR(__xludf.DUMMYFUNCTION("""COMPUTED_VALUE"""),"The Onyx Tower 3")</f>
        <v>The Onyx Tower 3</v>
      </c>
      <c r="C10245" s="2" t="str">
        <f ca="1">IFERROR(__xludf.DUMMYFUNCTION("""COMPUTED_VALUE"""),"Building")</f>
        <v>Building</v>
      </c>
      <c r="D10245" s="2" t="str">
        <f ca="1">IFERROR(__xludf.DUMMYFUNCTION("""COMPUTED_VALUE"""),"Dubai&gt;The Greens&gt;The Onyx&gt;The Onyx Tower 3")</f>
        <v>Dubai&gt;The Greens&gt;The Onyx&gt;The Onyx Tower 3</v>
      </c>
      <c r="E10245" s="2"/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  <c r="U10245" s="2"/>
      <c r="V10245" s="2"/>
      <c r="W10245" s="2"/>
      <c r="X10245" s="2"/>
      <c r="Y10245" s="2"/>
      <c r="Z10245" s="2"/>
    </row>
    <row r="10246" spans="1:26" ht="16.5" x14ac:dyDescent="0.35">
      <c r="A10246" s="2" t="str">
        <f ca="1">IFERROR(__xludf.DUMMYFUNCTION("""COMPUTED_VALUE"""),"Dubai")</f>
        <v>Dubai</v>
      </c>
      <c r="B10246" s="2" t="str">
        <f ca="1">IFERROR(__xludf.DUMMYFUNCTION("""COMPUTED_VALUE"""),"Al Arta")</f>
        <v>Al Arta</v>
      </c>
      <c r="C10246" s="2" t="str">
        <f ca="1">IFERROR(__xludf.DUMMYFUNCTION("""COMPUTED_VALUE"""),"Cluster")</f>
        <v>Cluster</v>
      </c>
      <c r="D10246" s="2" t="str">
        <f ca="1">IFERROR(__xludf.DUMMYFUNCTION("""COMPUTED_VALUE"""),"Dubai&gt;The Greens&gt;Al Arta")</f>
        <v>Dubai&gt;The Greens&gt;Al Arta</v>
      </c>
      <c r="E10246" s="2"/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  <c r="U10246" s="2"/>
      <c r="V10246" s="2"/>
      <c r="W10246" s="2"/>
      <c r="X10246" s="2"/>
      <c r="Y10246" s="2"/>
      <c r="Z10246" s="2"/>
    </row>
    <row r="10247" spans="1:26" ht="16.5" x14ac:dyDescent="0.35">
      <c r="A10247" s="2" t="str">
        <f ca="1">IFERROR(__xludf.DUMMYFUNCTION("""COMPUTED_VALUE"""),"Dubai")</f>
        <v>Dubai</v>
      </c>
      <c r="B10247" s="2" t="str">
        <f ca="1">IFERROR(__xludf.DUMMYFUNCTION("""COMPUTED_VALUE"""),"Noor 1")</f>
        <v>Noor 1</v>
      </c>
      <c r="C10247" s="2" t="str">
        <f ca="1">IFERROR(__xludf.DUMMYFUNCTION("""COMPUTED_VALUE"""),"Building")</f>
        <v>Building</v>
      </c>
      <c r="D10247" s="2" t="str">
        <f ca="1">IFERROR(__xludf.DUMMYFUNCTION("""COMPUTED_VALUE"""),"Dubai&gt;Dubai Production City (IMPZ)&gt;Midtown&gt;Noor District&gt;Noor 1")</f>
        <v>Dubai&gt;Dubai Production City (IMPZ)&gt;Midtown&gt;Noor District&gt;Noor 1</v>
      </c>
      <c r="E10247" s="2"/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2"/>
      <c r="T10247" s="2"/>
      <c r="U10247" s="2"/>
      <c r="V10247" s="2"/>
      <c r="W10247" s="2"/>
      <c r="X10247" s="2"/>
      <c r="Y10247" s="2"/>
      <c r="Z10247" s="2"/>
    </row>
    <row r="10248" spans="1:26" ht="16.5" x14ac:dyDescent="0.35">
      <c r="A10248" s="2" t="str">
        <f ca="1">IFERROR(__xludf.DUMMYFUNCTION("""COMPUTED_VALUE"""),"Dubai")</f>
        <v>Dubai</v>
      </c>
      <c r="B10248" s="2" t="str">
        <f ca="1">IFERROR(__xludf.DUMMYFUNCTION("""COMPUTED_VALUE"""),"Centrium Towers")</f>
        <v>Centrium Towers</v>
      </c>
      <c r="C10248" s="2" t="str">
        <f ca="1">IFERROR(__xludf.DUMMYFUNCTION("""COMPUTED_VALUE"""),"Cluster")</f>
        <v>Cluster</v>
      </c>
      <c r="D10248" s="2" t="str">
        <f ca="1">IFERROR(__xludf.DUMMYFUNCTION("""COMPUTED_VALUE"""),"Dubai&gt;Dubai Production City (IMPZ)&gt;Centrium Towers")</f>
        <v>Dubai&gt;Dubai Production City (IMPZ)&gt;Centrium Towers</v>
      </c>
      <c r="E10248" s="2"/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  <c r="U10248" s="2"/>
      <c r="V10248" s="2"/>
      <c r="W10248" s="2"/>
      <c r="X10248" s="2"/>
      <c r="Y10248" s="2"/>
      <c r="Z10248" s="2"/>
    </row>
    <row r="10249" spans="1:26" ht="16.5" x14ac:dyDescent="0.35">
      <c r="A10249" s="2" t="str">
        <f ca="1">IFERROR(__xludf.DUMMYFUNCTION("""COMPUTED_VALUE"""),"Dubai")</f>
        <v>Dubai</v>
      </c>
      <c r="B10249" s="2" t="str">
        <f ca="1">IFERROR(__xludf.DUMMYFUNCTION("""COMPUTED_VALUE"""),"Samana Portofino")</f>
        <v>Samana Portofino</v>
      </c>
      <c r="C10249" s="2" t="str">
        <f ca="1">IFERROR(__xludf.DUMMYFUNCTION("""COMPUTED_VALUE"""),"Building")</f>
        <v>Building</v>
      </c>
      <c r="D10249" s="2" t="str">
        <f ca="1">IFERROR(__xludf.DUMMYFUNCTION("""COMPUTED_VALUE"""),"Dubai&gt;Dubai Production City (IMPZ)&gt;Samana Portofino")</f>
        <v>Dubai&gt;Dubai Production City (IMPZ)&gt;Samana Portofino</v>
      </c>
      <c r="E10249" s="2"/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  <c r="U10249" s="2"/>
      <c r="V10249" s="2"/>
      <c r="W10249" s="2"/>
      <c r="X10249" s="2"/>
      <c r="Y10249" s="2"/>
      <c r="Z10249" s="2"/>
    </row>
    <row r="10250" spans="1:26" ht="16.5" x14ac:dyDescent="0.35">
      <c r="A10250" s="2" t="str">
        <f ca="1">IFERROR(__xludf.DUMMYFUNCTION("""COMPUTED_VALUE"""),"Dubai")</f>
        <v>Dubai</v>
      </c>
      <c r="B10250" s="2" t="str">
        <f ca="1">IFERROR(__xludf.DUMMYFUNCTION("""COMPUTED_VALUE"""),"Ivy at Park Five")</f>
        <v>Ivy at Park Five</v>
      </c>
      <c r="C10250" s="2" t="str">
        <f ca="1">IFERROR(__xludf.DUMMYFUNCTION("""COMPUTED_VALUE"""),"Building")</f>
        <v>Building</v>
      </c>
      <c r="D10250" s="2" t="str">
        <f ca="1">IFERROR(__xludf.DUMMYFUNCTION("""COMPUTED_VALUE"""),"Dubai&gt;Dubai Production City (IMPZ)&gt;Park Five by Deyaar&gt;Ivy at Park Five")</f>
        <v>Dubai&gt;Dubai Production City (IMPZ)&gt;Park Five by Deyaar&gt;Ivy at Park Five</v>
      </c>
      <c r="E10250" s="2"/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  <c r="U10250" s="2"/>
      <c r="V10250" s="2"/>
      <c r="W10250" s="2"/>
      <c r="X10250" s="2"/>
      <c r="Y10250" s="2"/>
      <c r="Z10250" s="2"/>
    </row>
    <row r="10251" spans="1:26" ht="16.5" x14ac:dyDescent="0.35">
      <c r="A10251" s="2" t="str">
        <f ca="1">IFERROR(__xludf.DUMMYFUNCTION("""COMPUTED_VALUE"""),"Dubai")</f>
        <v>Dubai</v>
      </c>
      <c r="B10251" s="2" t="str">
        <f ca="1">IFERROR(__xludf.DUMMYFUNCTION("""COMPUTED_VALUE"""),"Building 2")</f>
        <v>Building 2</v>
      </c>
      <c r="C10251" s="2" t="str">
        <f ca="1">IFERROR(__xludf.DUMMYFUNCTION("""COMPUTED_VALUE"""),"Building")</f>
        <v>Building</v>
      </c>
      <c r="D10251" s="2" t="str">
        <f ca="1">IFERROR(__xludf.DUMMYFUNCTION("""COMPUTED_VALUE"""),"Dubai&gt;Dubai Industrial City&gt;International Humanitarian City&gt;Building 2")</f>
        <v>Dubai&gt;Dubai Industrial City&gt;International Humanitarian City&gt;Building 2</v>
      </c>
      <c r="E10251" s="2"/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  <c r="U10251" s="2"/>
      <c r="V10251" s="2"/>
      <c r="W10251" s="2"/>
      <c r="X10251" s="2"/>
      <c r="Y10251" s="2"/>
      <c r="Z10251" s="2"/>
    </row>
    <row r="10252" spans="1:26" ht="16.5" x14ac:dyDescent="0.35">
      <c r="A10252" s="2" t="str">
        <f ca="1">IFERROR(__xludf.DUMMYFUNCTION("""COMPUTED_VALUE"""),"Dubai")</f>
        <v>Dubai</v>
      </c>
      <c r="B10252" s="2" t="str">
        <f ca="1">IFERROR(__xludf.DUMMYFUNCTION("""COMPUTED_VALUE"""),"Bahwan Centre")</f>
        <v>Bahwan Centre</v>
      </c>
      <c r="C10252" s="2" t="str">
        <f ca="1">IFERROR(__xludf.DUMMYFUNCTION("""COMPUTED_VALUE"""),"Building")</f>
        <v>Building</v>
      </c>
      <c r="D10252" s="2" t="str">
        <f ca="1">IFERROR(__xludf.DUMMYFUNCTION("""COMPUTED_VALUE"""),"Dubai&gt;Umm Al Sheif&gt;Bahwan Centre")</f>
        <v>Dubai&gt;Umm Al Sheif&gt;Bahwan Centre</v>
      </c>
      <c r="E10252" s="2"/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  <c r="U10252" s="2"/>
      <c r="V10252" s="2"/>
      <c r="W10252" s="2"/>
      <c r="X10252" s="2"/>
      <c r="Y10252" s="2"/>
      <c r="Z10252" s="2"/>
    </row>
    <row r="10253" spans="1:26" ht="16.5" x14ac:dyDescent="0.35">
      <c r="A10253" s="2" t="str">
        <f ca="1">IFERROR(__xludf.DUMMYFUNCTION("""COMPUTED_VALUE"""),"Dubai")</f>
        <v>Dubai</v>
      </c>
      <c r="B10253" s="2" t="str">
        <f ca="1">IFERROR(__xludf.DUMMYFUNCTION("""COMPUTED_VALUE"""),"Bay Residences Dubai Islands")</f>
        <v>Bay Residences Dubai Islands</v>
      </c>
      <c r="C10253" s="2" t="str">
        <f ca="1">IFERROR(__xludf.DUMMYFUNCTION("""COMPUTED_VALUE"""),"Building")</f>
        <v>Building</v>
      </c>
      <c r="D10253" s="2" t="str">
        <f ca="1">IFERROR(__xludf.DUMMYFUNCTION("""COMPUTED_VALUE"""),"Dubai&gt;Dubai Islands&gt;Rixos Dubai Islands Hotel &amp; Residences&gt;Bay Residences Dubai Islands")</f>
        <v>Dubai&gt;Dubai Islands&gt;Rixos Dubai Islands Hotel &amp; Residences&gt;Bay Residences Dubai Islands</v>
      </c>
      <c r="E10253" s="2"/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  <c r="U10253" s="2"/>
      <c r="V10253" s="2"/>
      <c r="W10253" s="2"/>
      <c r="X10253" s="2"/>
      <c r="Y10253" s="2"/>
      <c r="Z10253" s="2"/>
    </row>
    <row r="10254" spans="1:26" ht="16.5" x14ac:dyDescent="0.35">
      <c r="A10254" s="2" t="str">
        <f ca="1">IFERROR(__xludf.DUMMYFUNCTION("""COMPUTED_VALUE"""),"Dubai")</f>
        <v>Dubai</v>
      </c>
      <c r="B10254" s="2" t="str">
        <f ca="1">IFERROR(__xludf.DUMMYFUNCTION("""COMPUTED_VALUE"""),"Beach Walk Grand by Imtiaz")</f>
        <v>Beach Walk Grand by Imtiaz</v>
      </c>
      <c r="C10254" s="2" t="str">
        <f ca="1">IFERROR(__xludf.DUMMYFUNCTION("""COMPUTED_VALUE"""),"Building")</f>
        <v>Building</v>
      </c>
      <c r="D10254" s="2" t="str">
        <f ca="1">IFERROR(__xludf.DUMMYFUNCTION("""COMPUTED_VALUE"""),"Dubai&gt;Dubai Islands&gt;Beach Walk Grand by Imtiaz")</f>
        <v>Dubai&gt;Dubai Islands&gt;Beach Walk Grand by Imtiaz</v>
      </c>
      <c r="E10254" s="2"/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  <c r="U10254" s="2"/>
      <c r="V10254" s="2"/>
      <c r="W10254" s="2"/>
      <c r="X10254" s="2"/>
      <c r="Y10254" s="2"/>
      <c r="Z10254" s="2"/>
    </row>
    <row r="10255" spans="1:26" ht="16.5" x14ac:dyDescent="0.35">
      <c r="A10255" s="2" t="str">
        <f ca="1">IFERROR(__xludf.DUMMYFUNCTION("""COMPUTED_VALUE"""),"Dubai")</f>
        <v>Dubai</v>
      </c>
      <c r="B10255" s="2" t="str">
        <f ca="1">IFERROR(__xludf.DUMMYFUNCTION("""COMPUTED_VALUE"""),"Agua Residences Tower 2")</f>
        <v>Agua Residences Tower 2</v>
      </c>
      <c r="C10255" s="2" t="str">
        <f ca="1">IFERROR(__xludf.DUMMYFUNCTION("""COMPUTED_VALUE"""),"Building")</f>
        <v>Building</v>
      </c>
      <c r="D10255" s="2" t="str">
        <f ca="1">IFERROR(__xludf.DUMMYFUNCTION("""COMPUTED_VALUE"""),"Dubai&gt;Dubai Islands&gt;Agua Residences&gt;Agua Residences Tower 2")</f>
        <v>Dubai&gt;Dubai Islands&gt;Agua Residences&gt;Agua Residences Tower 2</v>
      </c>
      <c r="E10255" s="2"/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  <c r="U10255" s="2"/>
      <c r="V10255" s="2"/>
      <c r="W10255" s="2"/>
      <c r="X10255" s="2"/>
      <c r="Y10255" s="2"/>
      <c r="Z10255" s="2"/>
    </row>
    <row r="10256" spans="1:26" ht="16.5" x14ac:dyDescent="0.35">
      <c r="A10256" s="2" t="str">
        <f ca="1">IFERROR(__xludf.DUMMYFUNCTION("""COMPUTED_VALUE"""),"Dubai")</f>
        <v>Dubai</v>
      </c>
      <c r="B10256" s="2" t="str">
        <f ca="1">IFERROR(__xludf.DUMMYFUNCTION("""COMPUTED_VALUE"""),"Do Hotels and Residences")</f>
        <v>Do Hotels and Residences</v>
      </c>
      <c r="C10256" s="2" t="str">
        <f ca="1">IFERROR(__xludf.DUMMYFUNCTION("""COMPUTED_VALUE"""),"Building")</f>
        <v>Building</v>
      </c>
      <c r="D10256" s="2" t="str">
        <f ca="1">IFERROR(__xludf.DUMMYFUNCTION("""COMPUTED_VALUE"""),"Dubai&gt;Dubai Islands&gt;Do Hotels and Residences")</f>
        <v>Dubai&gt;Dubai Islands&gt;Do Hotels and Residences</v>
      </c>
      <c r="E10256" s="2"/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  <c r="U10256" s="2"/>
      <c r="V10256" s="2"/>
      <c r="W10256" s="2"/>
      <c r="X10256" s="2"/>
      <c r="Y10256" s="2"/>
      <c r="Z10256" s="2"/>
    </row>
    <row r="10257" spans="1:26" ht="16.5" x14ac:dyDescent="0.35">
      <c r="A10257" s="2" t="str">
        <f ca="1">IFERROR(__xludf.DUMMYFUNCTION("""COMPUTED_VALUE"""),"Dubai")</f>
        <v>Dubai</v>
      </c>
      <c r="B10257" s="2" t="str">
        <f ca="1">IFERROR(__xludf.DUMMYFUNCTION("""COMPUTED_VALUE"""),"Vestoria Bay")</f>
        <v>Vestoria Bay</v>
      </c>
      <c r="C10257" s="2" t="str">
        <f ca="1">IFERROR(__xludf.DUMMYFUNCTION("""COMPUTED_VALUE"""),"Building")</f>
        <v>Building</v>
      </c>
      <c r="D10257" s="2" t="str">
        <f ca="1">IFERROR(__xludf.DUMMYFUNCTION("""COMPUTED_VALUE"""),"Dubai&gt;Dubai Islands&gt;Vestoria Bay")</f>
        <v>Dubai&gt;Dubai Islands&gt;Vestoria Bay</v>
      </c>
      <c r="E10257" s="2"/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  <c r="U10257" s="2"/>
      <c r="V10257" s="2"/>
      <c r="W10257" s="2"/>
      <c r="X10257" s="2"/>
      <c r="Y10257" s="2"/>
      <c r="Z10257" s="2"/>
    </row>
    <row r="10258" spans="1:26" ht="16.5" x14ac:dyDescent="0.35">
      <c r="A10258" s="2" t="str">
        <f ca="1">IFERROR(__xludf.DUMMYFUNCTION("""COMPUTED_VALUE"""),"Dubai")</f>
        <v>Dubai</v>
      </c>
      <c r="B10258" s="2" t="str">
        <f ca="1">IFERROR(__xludf.DUMMYFUNCTION("""COMPUTED_VALUE"""),"Rukan Tower")</f>
        <v>Rukan Tower</v>
      </c>
      <c r="C10258" s="2" t="str">
        <f ca="1">IFERROR(__xludf.DUMMYFUNCTION("""COMPUTED_VALUE"""),"Cluster")</f>
        <v>Cluster</v>
      </c>
      <c r="D10258" s="2" t="str">
        <f ca="1">IFERROR(__xludf.DUMMYFUNCTION("""COMPUTED_VALUE"""),"Dubai&gt;Dubailand&gt;Rukan&gt;Rukan Tower")</f>
        <v>Dubai&gt;Dubailand&gt;Rukan&gt;Rukan Tower</v>
      </c>
      <c r="E10258" s="2"/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  <c r="U10258" s="2"/>
      <c r="V10258" s="2"/>
      <c r="W10258" s="2"/>
      <c r="X10258" s="2"/>
      <c r="Y10258" s="2"/>
      <c r="Z10258" s="2"/>
    </row>
    <row r="10259" spans="1:26" ht="16.5" x14ac:dyDescent="0.35">
      <c r="A10259" s="2" t="str">
        <f ca="1">IFERROR(__xludf.DUMMYFUNCTION("""COMPUTED_VALUE"""),"Dubai")</f>
        <v>Dubai</v>
      </c>
      <c r="B10259" s="2" t="str">
        <f ca="1">IFERROR(__xludf.DUMMYFUNCTION("""COMPUTED_VALUE"""),"California Village")</f>
        <v>California Village</v>
      </c>
      <c r="C10259" s="2" t="str">
        <f ca="1">IFERROR(__xludf.DUMMYFUNCTION("""COMPUTED_VALUE"""),"Neighbourhood")</f>
        <v>Neighbourhood</v>
      </c>
      <c r="D10259" s="2" t="str">
        <f ca="1">IFERROR(__xludf.DUMMYFUNCTION("""COMPUTED_VALUE"""),"Dubai&gt;Dubailand&gt;California Village")</f>
        <v>Dubai&gt;Dubailand&gt;California Village</v>
      </c>
      <c r="E10259" s="2"/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2"/>
      <c r="T10259" s="2"/>
      <c r="U10259" s="2"/>
      <c r="V10259" s="2"/>
      <c r="W10259" s="2"/>
      <c r="X10259" s="2"/>
      <c r="Y10259" s="2"/>
      <c r="Z10259" s="2"/>
    </row>
    <row r="10260" spans="1:26" ht="16.5" x14ac:dyDescent="0.35">
      <c r="A10260" s="2" t="str">
        <f ca="1">IFERROR(__xludf.DUMMYFUNCTION("""COMPUTED_VALUE"""),"Dubai")</f>
        <v>Dubai</v>
      </c>
      <c r="B10260" s="2" t="str">
        <f ca="1">IFERROR(__xludf.DUMMYFUNCTION("""COMPUTED_VALUE"""),"Muhaisnah 4")</f>
        <v>Muhaisnah 4</v>
      </c>
      <c r="C10260" s="2" t="str">
        <f ca="1">IFERROR(__xludf.DUMMYFUNCTION("""COMPUTED_VALUE"""),"Neighbourhood")</f>
        <v>Neighbourhood</v>
      </c>
      <c r="D10260" s="2" t="str">
        <f ca="1">IFERROR(__xludf.DUMMYFUNCTION("""COMPUTED_VALUE"""),"Dubai&gt;Muhaisnah&gt;Muhaisnah 4")</f>
        <v>Dubai&gt;Muhaisnah&gt;Muhaisnah 4</v>
      </c>
      <c r="E10260" s="2"/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  <c r="V10260" s="2"/>
      <c r="W10260" s="2"/>
      <c r="X10260" s="2"/>
      <c r="Y10260" s="2"/>
      <c r="Z10260" s="2"/>
    </row>
    <row r="10261" spans="1:26" ht="16.5" x14ac:dyDescent="0.35">
      <c r="A10261" s="2" t="str">
        <f ca="1">IFERROR(__xludf.DUMMYFUNCTION("""COMPUTED_VALUE"""),"Dubai")</f>
        <v>Dubai</v>
      </c>
      <c r="B10261" s="2" t="str">
        <f ca="1">IFERROR(__xludf.DUMMYFUNCTION("""COMPUTED_VALUE"""),"Muhaisanah 4 Building")</f>
        <v>Muhaisanah 4 Building</v>
      </c>
      <c r="C10261" s="2" t="str">
        <f ca="1">IFERROR(__xludf.DUMMYFUNCTION("""COMPUTED_VALUE"""),"Building")</f>
        <v>Building</v>
      </c>
      <c r="D10261" s="2" t="str">
        <f ca="1">IFERROR(__xludf.DUMMYFUNCTION("""COMPUTED_VALUE"""),"Dubai&gt;Muhaisnah&gt;Muhaisnah 4&gt;Muhaisanah 4 Building")</f>
        <v>Dubai&gt;Muhaisnah&gt;Muhaisnah 4&gt;Muhaisanah 4 Building</v>
      </c>
      <c r="E10261" s="2"/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  <c r="U10261" s="2"/>
      <c r="V10261" s="2"/>
      <c r="W10261" s="2"/>
      <c r="X10261" s="2"/>
      <c r="Y10261" s="2"/>
      <c r="Z10261" s="2"/>
    </row>
    <row r="10262" spans="1:26" ht="16.5" x14ac:dyDescent="0.35">
      <c r="A10262" s="2" t="str">
        <f ca="1">IFERROR(__xludf.DUMMYFUNCTION("""COMPUTED_VALUE"""),"Dubai")</f>
        <v>Dubai</v>
      </c>
      <c r="B10262" s="2" t="str">
        <f ca="1">IFERROR(__xludf.DUMMYFUNCTION("""COMPUTED_VALUE"""),"Al Fattan Sky Towers")</f>
        <v>Al Fattan Sky Towers</v>
      </c>
      <c r="C10262" s="2" t="str">
        <f ca="1">IFERROR(__xludf.DUMMYFUNCTION("""COMPUTED_VALUE"""),"Cluster")</f>
        <v>Cluster</v>
      </c>
      <c r="D10262" s="2" t="str">
        <f ca="1">IFERROR(__xludf.DUMMYFUNCTION("""COMPUTED_VALUE"""),"Dubai&gt;Umm Ramool&gt;Al Fattan Sky Towers")</f>
        <v>Dubai&gt;Umm Ramool&gt;Al Fattan Sky Towers</v>
      </c>
      <c r="E10262" s="2"/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  <c r="U10262" s="2"/>
      <c r="V10262" s="2"/>
      <c r="W10262" s="2"/>
      <c r="X10262" s="2"/>
      <c r="Y10262" s="2"/>
      <c r="Z10262" s="2"/>
    </row>
    <row r="10263" spans="1:26" ht="16.5" x14ac:dyDescent="0.35">
      <c r="A10263" s="2" t="str">
        <f ca="1">IFERROR(__xludf.DUMMYFUNCTION("""COMPUTED_VALUE"""),"Dubai")</f>
        <v>Dubai</v>
      </c>
      <c r="B10263" s="2" t="str">
        <f ca="1">IFERROR(__xludf.DUMMYFUNCTION("""COMPUTED_VALUE"""),"A A Tower")</f>
        <v>A A Tower</v>
      </c>
      <c r="C10263" s="2" t="str">
        <f ca="1">IFERROR(__xludf.DUMMYFUNCTION("""COMPUTED_VALUE"""),"Building")</f>
        <v>Building</v>
      </c>
      <c r="D10263" s="2" t="str">
        <f ca="1">IFERROR(__xludf.DUMMYFUNCTION("""COMPUTED_VALUE"""),"Dubai&gt;Sheikh Zayed Road&gt;A A Tower")</f>
        <v>Dubai&gt;Sheikh Zayed Road&gt;A A Tower</v>
      </c>
      <c r="E10263" s="2"/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  <c r="U10263" s="2"/>
      <c r="V10263" s="2"/>
      <c r="W10263" s="2"/>
      <c r="X10263" s="2"/>
      <c r="Y10263" s="2"/>
      <c r="Z10263" s="2"/>
    </row>
    <row r="10264" spans="1:26" ht="16.5" x14ac:dyDescent="0.35">
      <c r="A10264" s="2" t="str">
        <f ca="1">IFERROR(__xludf.DUMMYFUNCTION("""COMPUTED_VALUE"""),"Dubai")</f>
        <v>Dubai</v>
      </c>
      <c r="B10264" s="2" t="str">
        <f ca="1">IFERROR(__xludf.DUMMYFUNCTION("""COMPUTED_VALUE"""),"Fairmont Dubai")</f>
        <v>Fairmont Dubai</v>
      </c>
      <c r="C10264" s="2" t="str">
        <f ca="1">IFERROR(__xludf.DUMMYFUNCTION("""COMPUTED_VALUE"""),"Building")</f>
        <v>Building</v>
      </c>
      <c r="D10264" s="2" t="str">
        <f ca="1">IFERROR(__xludf.DUMMYFUNCTION("""COMPUTED_VALUE"""),"Dubai&gt;Sheikh Zayed Road&gt;Fairmont Dubai")</f>
        <v>Dubai&gt;Sheikh Zayed Road&gt;Fairmont Dubai</v>
      </c>
      <c r="E10264" s="2"/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2"/>
      <c r="T10264" s="2"/>
      <c r="U10264" s="2"/>
      <c r="V10264" s="2"/>
      <c r="W10264" s="2"/>
      <c r="X10264" s="2"/>
      <c r="Y10264" s="2"/>
      <c r="Z10264" s="2"/>
    </row>
    <row r="10265" spans="1:26" ht="16.5" x14ac:dyDescent="0.35">
      <c r="A10265" s="2" t="str">
        <f ca="1">IFERROR(__xludf.DUMMYFUNCTION("""COMPUTED_VALUE"""),"Dubai")</f>
        <v>Dubai</v>
      </c>
      <c r="B10265" s="2" t="str">
        <f ca="1">IFERROR(__xludf.DUMMYFUNCTION("""COMPUTED_VALUE"""),"Number One Tower Suites")</f>
        <v>Number One Tower Suites</v>
      </c>
      <c r="C10265" s="2" t="str">
        <f ca="1">IFERROR(__xludf.DUMMYFUNCTION("""COMPUTED_VALUE"""),"Building")</f>
        <v>Building</v>
      </c>
      <c r="D10265" s="2" t="str">
        <f ca="1">IFERROR(__xludf.DUMMYFUNCTION("""COMPUTED_VALUE"""),"Dubai&gt;Sheikh Zayed Road&gt;Number One Tower Suites")</f>
        <v>Dubai&gt;Sheikh Zayed Road&gt;Number One Tower Suites</v>
      </c>
      <c r="E10265" s="2"/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  <c r="U10265" s="2"/>
      <c r="V10265" s="2"/>
      <c r="W10265" s="2"/>
      <c r="X10265" s="2"/>
      <c r="Y10265" s="2"/>
      <c r="Z10265" s="2"/>
    </row>
    <row r="10266" spans="1:26" ht="16.5" x14ac:dyDescent="0.35">
      <c r="A10266" s="2" t="str">
        <f ca="1">IFERROR(__xludf.DUMMYFUNCTION("""COMPUTED_VALUE"""),"Dubai")</f>
        <v>Dubai</v>
      </c>
      <c r="B10266" s="2" t="str">
        <f ca="1">IFERROR(__xludf.DUMMYFUNCTION("""COMPUTED_VALUE"""),"Saeed Tower 2")</f>
        <v>Saeed Tower 2</v>
      </c>
      <c r="C10266" s="2" t="str">
        <f ca="1">IFERROR(__xludf.DUMMYFUNCTION("""COMPUTED_VALUE"""),"Building")</f>
        <v>Building</v>
      </c>
      <c r="D10266" s="2" t="str">
        <f ca="1">IFERROR(__xludf.DUMMYFUNCTION("""COMPUTED_VALUE"""),"Dubai&gt;Sheikh Zayed Road&gt;Saeed Tower 2")</f>
        <v>Dubai&gt;Sheikh Zayed Road&gt;Saeed Tower 2</v>
      </c>
      <c r="E10266" s="2"/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  <c r="U10266" s="2"/>
      <c r="V10266" s="2"/>
      <c r="W10266" s="2"/>
      <c r="X10266" s="2"/>
      <c r="Y10266" s="2"/>
      <c r="Z10266" s="2"/>
    </row>
    <row r="10267" spans="1:26" ht="16.5" x14ac:dyDescent="0.35">
      <c r="A10267" s="2" t="str">
        <f ca="1">IFERROR(__xludf.DUMMYFUNCTION("""COMPUTED_VALUE"""),"Dubai")</f>
        <v>Dubai</v>
      </c>
      <c r="B10267" s="2" t="str">
        <f ca="1">IFERROR(__xludf.DUMMYFUNCTION("""COMPUTED_VALUE"""),"Umm Hurair Building")</f>
        <v>Umm Hurair Building</v>
      </c>
      <c r="C10267" s="2" t="str">
        <f ca="1">IFERROR(__xludf.DUMMYFUNCTION("""COMPUTED_VALUE"""),"Building")</f>
        <v>Building</v>
      </c>
      <c r="D10267" s="2" t="str">
        <f ca="1">IFERROR(__xludf.DUMMYFUNCTION("""COMPUTED_VALUE"""),"Dubai&gt;Al Karama&gt;Umm Hurair Building")</f>
        <v>Dubai&gt;Al Karama&gt;Umm Hurair Building</v>
      </c>
      <c r="E10267" s="2"/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  <c r="U10267" s="2"/>
      <c r="V10267" s="2"/>
      <c r="W10267" s="2"/>
      <c r="X10267" s="2"/>
      <c r="Y10267" s="2"/>
      <c r="Z10267" s="2"/>
    </row>
    <row r="10268" spans="1:26" ht="16.5" x14ac:dyDescent="0.35">
      <c r="A10268" s="2" t="str">
        <f ca="1">IFERROR(__xludf.DUMMYFUNCTION("""COMPUTED_VALUE"""),"Dubai")</f>
        <v>Dubai</v>
      </c>
      <c r="B10268" s="2" t="str">
        <f ca="1">IFERROR(__xludf.DUMMYFUNCTION("""COMPUTED_VALUE"""),"Building 29")</f>
        <v>Building 29</v>
      </c>
      <c r="C10268" s="2" t="str">
        <f ca="1">IFERROR(__xludf.DUMMYFUNCTION("""COMPUTED_VALUE"""),"Building")</f>
        <v>Building</v>
      </c>
      <c r="D10268" s="2" t="str">
        <f ca="1">IFERROR(__xludf.DUMMYFUNCTION("""COMPUTED_VALUE"""),"Dubai&gt;Al Karama&gt;Karam Pioneer Buildings&gt;Building 29")</f>
        <v>Dubai&gt;Al Karama&gt;Karam Pioneer Buildings&gt;Building 29</v>
      </c>
      <c r="E10268" s="2"/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  <c r="U10268" s="2"/>
      <c r="V10268" s="2"/>
      <c r="W10268" s="2"/>
      <c r="X10268" s="2"/>
      <c r="Y10268" s="2"/>
      <c r="Z10268" s="2"/>
    </row>
    <row r="10269" spans="1:26" ht="16.5" x14ac:dyDescent="0.35">
      <c r="A10269" s="2" t="str">
        <f ca="1">IFERROR(__xludf.DUMMYFUNCTION("""COMPUTED_VALUE"""),"Dubai")</f>
        <v>Dubai</v>
      </c>
      <c r="B10269" s="2" t="str">
        <f ca="1">IFERROR(__xludf.DUMMYFUNCTION("""COMPUTED_VALUE"""),"Karama Shopping Complex - E")</f>
        <v>Karama Shopping Complex - E</v>
      </c>
      <c r="C10269" s="2" t="str">
        <f ca="1">IFERROR(__xludf.DUMMYFUNCTION("""COMPUTED_VALUE"""),"Building")</f>
        <v>Building</v>
      </c>
      <c r="D10269" s="2" t="str">
        <f ca="1">IFERROR(__xludf.DUMMYFUNCTION("""COMPUTED_VALUE"""),"Dubai&gt;Al Karama&gt;Karama Shopping Complex&gt;Karama Shopping Complex - E")</f>
        <v>Dubai&gt;Al Karama&gt;Karama Shopping Complex&gt;Karama Shopping Complex - E</v>
      </c>
      <c r="E10269" s="2"/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  <c r="U10269" s="2"/>
      <c r="V10269" s="2"/>
      <c r="W10269" s="2"/>
      <c r="X10269" s="2"/>
      <c r="Y10269" s="2"/>
      <c r="Z10269" s="2"/>
    </row>
    <row r="10270" spans="1:26" ht="16.5" x14ac:dyDescent="0.35">
      <c r="A10270" s="2" t="str">
        <f ca="1">IFERROR(__xludf.DUMMYFUNCTION("""COMPUTED_VALUE"""),"Dubai")</f>
        <v>Dubai</v>
      </c>
      <c r="B10270" s="2" t="str">
        <f ca="1">IFERROR(__xludf.DUMMYFUNCTION("""COMPUTED_VALUE"""),"Makati 4")</f>
        <v>Makati 4</v>
      </c>
      <c r="C10270" s="2" t="str">
        <f ca="1">IFERROR(__xludf.DUMMYFUNCTION("""COMPUTED_VALUE"""),"Building")</f>
        <v>Building</v>
      </c>
      <c r="D10270" s="2" t="str">
        <f ca="1">IFERROR(__xludf.DUMMYFUNCTION("""COMPUTED_VALUE"""),"Dubai&gt;Al Karama&gt;Makati 4")</f>
        <v>Dubai&gt;Al Karama&gt;Makati 4</v>
      </c>
      <c r="E10270" s="2"/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  <c r="U10270" s="2"/>
      <c r="V10270" s="2"/>
      <c r="W10270" s="2"/>
      <c r="X10270" s="2"/>
      <c r="Y10270" s="2"/>
      <c r="Z10270" s="2"/>
    </row>
    <row r="10271" spans="1:26" ht="16.5" x14ac:dyDescent="0.35">
      <c r="A10271" s="2" t="str">
        <f ca="1">IFERROR(__xludf.DUMMYFUNCTION("""COMPUTED_VALUE"""),"Dubai")</f>
        <v>Dubai</v>
      </c>
      <c r="B10271" s="2" t="str">
        <f ca="1">IFERROR(__xludf.DUMMYFUNCTION("""COMPUTED_VALUE"""),"Zabeel House 2")</f>
        <v>Zabeel House 2</v>
      </c>
      <c r="C10271" s="2" t="str">
        <f ca="1">IFERROR(__xludf.DUMMYFUNCTION("""COMPUTED_VALUE"""),"Building")</f>
        <v>Building</v>
      </c>
      <c r="D10271" s="2" t="str">
        <f ca="1">IFERROR(__xludf.DUMMYFUNCTION("""COMPUTED_VALUE"""),"Dubai&gt;Al Karama&gt;Zabeel House 2")</f>
        <v>Dubai&gt;Al Karama&gt;Zabeel House 2</v>
      </c>
      <c r="E10271" s="2"/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  <c r="U10271" s="2"/>
      <c r="V10271" s="2"/>
      <c r="W10271" s="2"/>
      <c r="X10271" s="2"/>
      <c r="Y10271" s="2"/>
      <c r="Z10271" s="2"/>
    </row>
    <row r="10272" spans="1:26" ht="16.5" x14ac:dyDescent="0.35">
      <c r="A10272" s="2" t="str">
        <f ca="1">IFERROR(__xludf.DUMMYFUNCTION("""COMPUTED_VALUE"""),"Dubai")</f>
        <v>Dubai</v>
      </c>
      <c r="B10272" s="2" t="str">
        <f ca="1">IFERROR(__xludf.DUMMYFUNCTION("""COMPUTED_VALUE"""),"P256 Building")</f>
        <v>P256 Building</v>
      </c>
      <c r="C10272" s="2" t="str">
        <f ca="1">IFERROR(__xludf.DUMMYFUNCTION("""COMPUTED_VALUE"""),"Building")</f>
        <v>Building</v>
      </c>
      <c r="D10272" s="2" t="str">
        <f ca="1">IFERROR(__xludf.DUMMYFUNCTION("""COMPUTED_VALUE"""),"Dubai&gt;Al Karama&gt;P256 Building")</f>
        <v>Dubai&gt;Al Karama&gt;P256 Building</v>
      </c>
      <c r="E10272" s="2"/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2"/>
      <c r="T10272" s="2"/>
      <c r="U10272" s="2"/>
      <c r="V10272" s="2"/>
      <c r="W10272" s="2"/>
      <c r="X10272" s="2"/>
      <c r="Y10272" s="2"/>
      <c r="Z10272" s="2"/>
    </row>
    <row r="10273" spans="1:26" ht="16.5" x14ac:dyDescent="0.35">
      <c r="A10273" s="2" t="str">
        <f ca="1">IFERROR(__xludf.DUMMYFUNCTION("""COMPUTED_VALUE"""),"Dubai")</f>
        <v>Dubai</v>
      </c>
      <c r="B10273" s="2" t="str">
        <f ca="1">IFERROR(__xludf.DUMMYFUNCTION("""COMPUTED_VALUE"""),"Abu Dhabi Commercial Bank Building")</f>
        <v>Abu Dhabi Commercial Bank Building</v>
      </c>
      <c r="C10273" s="2" t="str">
        <f ca="1">IFERROR(__xludf.DUMMYFUNCTION("""COMPUTED_VALUE"""),"Building")</f>
        <v>Building</v>
      </c>
      <c r="D10273" s="2" t="str">
        <f ca="1">IFERROR(__xludf.DUMMYFUNCTION("""COMPUTED_VALUE"""),"Dubai&gt;Al Karama&gt;Abu Dhabi Commercial Bank Building")</f>
        <v>Dubai&gt;Al Karama&gt;Abu Dhabi Commercial Bank Building</v>
      </c>
      <c r="E10273" s="2"/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  <c r="V10273" s="2"/>
      <c r="W10273" s="2"/>
      <c r="X10273" s="2"/>
      <c r="Y10273" s="2"/>
      <c r="Z10273" s="2"/>
    </row>
    <row r="10274" spans="1:26" ht="16.5" x14ac:dyDescent="0.35">
      <c r="A10274" s="2" t="str">
        <f ca="1">IFERROR(__xludf.DUMMYFUNCTION("""COMPUTED_VALUE"""),"Dubai")</f>
        <v>Dubai</v>
      </c>
      <c r="B10274" s="2" t="str">
        <f ca="1">IFERROR(__xludf.DUMMYFUNCTION("""COMPUTED_VALUE"""),"Al wasl Sapphire")</f>
        <v>Al wasl Sapphire</v>
      </c>
      <c r="C10274" s="2" t="str">
        <f ca="1">IFERROR(__xludf.DUMMYFUNCTION("""COMPUTED_VALUE"""),"Building")</f>
        <v>Building</v>
      </c>
      <c r="D10274" s="2" t="str">
        <f ca="1">IFERROR(__xludf.DUMMYFUNCTION("""COMPUTED_VALUE"""),"Dubai&gt;Al Karama&gt;Al wasl Sapphire")</f>
        <v>Dubai&gt;Al Karama&gt;Al wasl Sapphire</v>
      </c>
      <c r="E10274" s="2"/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  <c r="U10274" s="2"/>
      <c r="V10274" s="2"/>
      <c r="W10274" s="2"/>
      <c r="X10274" s="2"/>
      <c r="Y10274" s="2"/>
      <c r="Z10274" s="2"/>
    </row>
    <row r="10275" spans="1:26" ht="16.5" x14ac:dyDescent="0.35">
      <c r="A10275" s="2" t="str">
        <f ca="1">IFERROR(__xludf.DUMMYFUNCTION("""COMPUTED_VALUE"""),"Dubai")</f>
        <v>Dubai</v>
      </c>
      <c r="B10275" s="2" t="str">
        <f ca="1">IFERROR(__xludf.DUMMYFUNCTION("""COMPUTED_VALUE"""),"Block C")</f>
        <v>Block C</v>
      </c>
      <c r="C10275" s="2" t="str">
        <f ca="1">IFERROR(__xludf.DUMMYFUNCTION("""COMPUTED_VALUE"""),"Building")</f>
        <v>Building</v>
      </c>
      <c r="D10275" s="2" t="str">
        <f ca="1">IFERROR(__xludf.DUMMYFUNCTION("""COMPUTED_VALUE"""),"Dubai&gt;Al Karama&gt;Al Nabooda&gt;Block C")</f>
        <v>Dubai&gt;Al Karama&gt;Al Nabooda&gt;Block C</v>
      </c>
      <c r="E10275" s="2"/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  <c r="U10275" s="2"/>
      <c r="V10275" s="2"/>
      <c r="W10275" s="2"/>
      <c r="X10275" s="2"/>
      <c r="Y10275" s="2"/>
      <c r="Z10275" s="2"/>
    </row>
    <row r="10276" spans="1:26" ht="16.5" x14ac:dyDescent="0.35">
      <c r="A10276" s="2" t="str">
        <f ca="1">IFERROR(__xludf.DUMMYFUNCTION("""COMPUTED_VALUE"""),"Dubai")</f>
        <v>Dubai</v>
      </c>
      <c r="B10276" s="2" t="str">
        <f ca="1">IFERROR(__xludf.DUMMYFUNCTION("""COMPUTED_VALUE"""),"Golden Tower 2")</f>
        <v>Golden Tower 2</v>
      </c>
      <c r="C10276" s="2" t="str">
        <f ca="1">IFERROR(__xludf.DUMMYFUNCTION("""COMPUTED_VALUE"""),"Building")</f>
        <v>Building</v>
      </c>
      <c r="D10276" s="2" t="str">
        <f ca="1">IFERROR(__xludf.DUMMYFUNCTION("""COMPUTED_VALUE"""),"Dubai&gt;Al Karama&gt;Golden Tower 2")</f>
        <v>Dubai&gt;Al Karama&gt;Golden Tower 2</v>
      </c>
      <c r="E10276" s="2"/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2"/>
      <c r="T10276" s="2"/>
      <c r="U10276" s="2"/>
      <c r="V10276" s="2"/>
      <c r="W10276" s="2"/>
      <c r="X10276" s="2"/>
      <c r="Y10276" s="2"/>
      <c r="Z10276" s="2"/>
    </row>
    <row r="10277" spans="1:26" ht="16.5" x14ac:dyDescent="0.35">
      <c r="A10277" s="2" t="str">
        <f ca="1">IFERROR(__xludf.DUMMYFUNCTION("""COMPUTED_VALUE"""),"Dubai")</f>
        <v>Dubai</v>
      </c>
      <c r="B10277" s="2" t="str">
        <f ca="1">IFERROR(__xludf.DUMMYFUNCTION("""COMPUTED_VALUE"""),"A-8 Building")</f>
        <v>A-8 Building</v>
      </c>
      <c r="C10277" s="2" t="str">
        <f ca="1">IFERROR(__xludf.DUMMYFUNCTION("""COMPUTED_VALUE"""),"Building")</f>
        <v>Building</v>
      </c>
      <c r="D10277" s="2" t="str">
        <f ca="1">IFERROR(__xludf.DUMMYFUNCTION("""COMPUTED_VALUE"""),"Dubai&gt;Al Karama&gt;A-8 Building")</f>
        <v>Dubai&gt;Al Karama&gt;A-8 Building</v>
      </c>
      <c r="E10277" s="2"/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  <c r="U10277" s="2"/>
      <c r="V10277" s="2"/>
      <c r="W10277" s="2"/>
      <c r="X10277" s="2"/>
      <c r="Y10277" s="2"/>
      <c r="Z10277" s="2"/>
    </row>
    <row r="10278" spans="1:26" ht="16.5" x14ac:dyDescent="0.35">
      <c r="A10278" s="2" t="str">
        <f ca="1">IFERROR(__xludf.DUMMYFUNCTION("""COMPUTED_VALUE"""),"Dubai")</f>
        <v>Dubai</v>
      </c>
      <c r="B10278" s="2" t="str">
        <f ca="1">IFERROR(__xludf.DUMMYFUNCTION("""COMPUTED_VALUE"""),"Makeen Residence Al Jaddaf")</f>
        <v>Makeen Residence Al Jaddaf</v>
      </c>
      <c r="C10278" s="2" t="str">
        <f ca="1">IFERROR(__xludf.DUMMYFUNCTION("""COMPUTED_VALUE"""),"Building")</f>
        <v>Building</v>
      </c>
      <c r="D10278" s="2" t="str">
        <f ca="1">IFERROR(__xludf.DUMMYFUNCTION("""COMPUTED_VALUE"""),"Dubai&gt;Culture Village (Jaddaf Waterfront)&gt;Makeen Residence Al Jaddaf")</f>
        <v>Dubai&gt;Culture Village (Jaddaf Waterfront)&gt;Makeen Residence Al Jaddaf</v>
      </c>
      <c r="E10278" s="2"/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  <c r="U10278" s="2"/>
      <c r="V10278" s="2"/>
      <c r="W10278" s="2"/>
      <c r="X10278" s="2"/>
      <c r="Y10278" s="2"/>
      <c r="Z10278" s="2"/>
    </row>
    <row r="10279" spans="1:26" ht="16.5" x14ac:dyDescent="0.35">
      <c r="A10279" s="2" t="str">
        <f ca="1">IFERROR(__xludf.DUMMYFUNCTION("""COMPUTED_VALUE"""),"Dubai")</f>
        <v>Dubai</v>
      </c>
      <c r="B10279" s="2" t="str">
        <f ca="1">IFERROR(__xludf.DUMMYFUNCTION("""COMPUTED_VALUE"""),"Celeste")</f>
        <v>Celeste</v>
      </c>
      <c r="C10279" s="2" t="str">
        <f ca="1">IFERROR(__xludf.DUMMYFUNCTION("""COMPUTED_VALUE"""),"Building")</f>
        <v>Building</v>
      </c>
      <c r="D10279" s="2" t="str">
        <f ca="1">IFERROR(__xludf.DUMMYFUNCTION("""COMPUTED_VALUE"""),"Dubai&gt;Culture Village (Jaddaf Waterfront)&gt;Celeste")</f>
        <v>Dubai&gt;Culture Village (Jaddaf Waterfront)&gt;Celeste</v>
      </c>
      <c r="E10279" s="2"/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  <c r="U10279" s="2"/>
      <c r="V10279" s="2"/>
      <c r="W10279" s="2"/>
      <c r="X10279" s="2"/>
      <c r="Y10279" s="2"/>
      <c r="Z10279" s="2"/>
    </row>
    <row r="10280" spans="1:26" ht="16.5" x14ac:dyDescent="0.35">
      <c r="A10280" s="2" t="str">
        <f ca="1">IFERROR(__xludf.DUMMYFUNCTION("""COMPUTED_VALUE"""),"Dubai")</f>
        <v>Dubai</v>
      </c>
      <c r="B10280" s="2" t="str">
        <f ca="1">IFERROR(__xludf.DUMMYFUNCTION("""COMPUTED_VALUE"""),"Rahaal Building 2")</f>
        <v>Rahaal Building 2</v>
      </c>
      <c r="C10280" s="2" t="str">
        <f ca="1">IFERROR(__xludf.DUMMYFUNCTION("""COMPUTED_VALUE"""),"Building")</f>
        <v>Building</v>
      </c>
      <c r="D10280" s="2" t="str">
        <f ca="1">IFERROR(__xludf.DUMMYFUNCTION("""COMPUTED_VALUE"""),"Dubai&gt;Umm Suqeim&gt;Madinat Jumeirah Living&gt;Rahaal&gt;Rahaal Building 2")</f>
        <v>Dubai&gt;Umm Suqeim&gt;Madinat Jumeirah Living&gt;Rahaal&gt;Rahaal Building 2</v>
      </c>
      <c r="E10280" s="2"/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  <c r="U10280" s="2"/>
      <c r="V10280" s="2"/>
      <c r="W10280" s="2"/>
      <c r="X10280" s="2"/>
      <c r="Y10280" s="2"/>
      <c r="Z10280" s="2"/>
    </row>
    <row r="10281" spans="1:26" ht="16.5" x14ac:dyDescent="0.35">
      <c r="A10281" s="2" t="str">
        <f ca="1">IFERROR(__xludf.DUMMYFUNCTION("""COMPUTED_VALUE"""),"Dubai")</f>
        <v>Dubai</v>
      </c>
      <c r="B10281" s="2" t="str">
        <f ca="1">IFERROR(__xludf.DUMMYFUNCTION("""COMPUTED_VALUE"""),"Elara Building 3")</f>
        <v>Elara Building 3</v>
      </c>
      <c r="C10281" s="2" t="str">
        <f ca="1">IFERROR(__xludf.DUMMYFUNCTION("""COMPUTED_VALUE"""),"Building")</f>
        <v>Building</v>
      </c>
      <c r="D10281" s="2" t="str">
        <f ca="1">IFERROR(__xludf.DUMMYFUNCTION("""COMPUTED_VALUE"""),"Dubai&gt;Umm Suqeim&gt;Madinat Jumeirah Living&gt;Elara&gt;Elara Building 3")</f>
        <v>Dubai&gt;Umm Suqeim&gt;Madinat Jumeirah Living&gt;Elara&gt;Elara Building 3</v>
      </c>
      <c r="E10281" s="2"/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2"/>
      <c r="T10281" s="2"/>
      <c r="U10281" s="2"/>
      <c r="V10281" s="2"/>
      <c r="W10281" s="2"/>
      <c r="X10281" s="2"/>
      <c r="Y10281" s="2"/>
      <c r="Z10281" s="2"/>
    </row>
    <row r="10282" spans="1:26" ht="16.5" x14ac:dyDescent="0.35">
      <c r="A10282" s="2" t="str">
        <f ca="1">IFERROR(__xludf.DUMMYFUNCTION("""COMPUTED_VALUE"""),"Dubai")</f>
        <v>Dubai</v>
      </c>
      <c r="B10282" s="2" t="str">
        <f ca="1">IFERROR(__xludf.DUMMYFUNCTION("""COMPUTED_VALUE"""),"Al Salemiya Villas")</f>
        <v>Al Salemiya Villas</v>
      </c>
      <c r="C10282" s="2" t="str">
        <f ca="1">IFERROR(__xludf.DUMMYFUNCTION("""COMPUTED_VALUE"""),"Neighbourhood")</f>
        <v>Neighbourhood</v>
      </c>
      <c r="D10282" s="2" t="str">
        <f ca="1">IFERROR(__xludf.DUMMYFUNCTION("""COMPUTED_VALUE"""),"Dubai&gt;Umm Suqeim&gt;Umm Suqeim 1&gt;Al Salemiya Villas")</f>
        <v>Dubai&gt;Umm Suqeim&gt;Umm Suqeim 1&gt;Al Salemiya Villas</v>
      </c>
      <c r="E10282" s="2"/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  <c r="U10282" s="2"/>
      <c r="V10282" s="2"/>
      <c r="W10282" s="2"/>
      <c r="X10282" s="2"/>
      <c r="Y10282" s="2"/>
      <c r="Z10282" s="2"/>
    </row>
    <row r="10283" spans="1:26" ht="16.5" x14ac:dyDescent="0.35">
      <c r="A10283" s="2" t="str">
        <f ca="1">IFERROR(__xludf.DUMMYFUNCTION("""COMPUTED_VALUE"""),"Dubai")</f>
        <v>Dubai</v>
      </c>
      <c r="B10283" s="2" t="str">
        <f ca="1">IFERROR(__xludf.DUMMYFUNCTION("""COMPUTED_VALUE"""),"Al Ghazal Building")</f>
        <v>Al Ghazal Building</v>
      </c>
      <c r="C10283" s="2" t="str">
        <f ca="1">IFERROR(__xludf.DUMMYFUNCTION("""COMPUTED_VALUE"""),"Building")</f>
        <v>Building</v>
      </c>
      <c r="D10283" s="2" t="str">
        <f ca="1">IFERROR(__xludf.DUMMYFUNCTION("""COMPUTED_VALUE"""),"Dubai&gt;Al Badaa&gt;Al Ghazal Building")</f>
        <v>Dubai&gt;Al Badaa&gt;Al Ghazal Building</v>
      </c>
      <c r="E10283" s="2"/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  <c r="U10283" s="2"/>
      <c r="V10283" s="2"/>
      <c r="W10283" s="2"/>
      <c r="X10283" s="2"/>
      <c r="Y10283" s="2"/>
      <c r="Z10283" s="2"/>
    </row>
    <row r="10284" spans="1:26" ht="16.5" x14ac:dyDescent="0.35">
      <c r="A10284" s="2" t="str">
        <f ca="1">IFERROR(__xludf.DUMMYFUNCTION("""COMPUTED_VALUE"""),"Dubai")</f>
        <v>Dubai</v>
      </c>
      <c r="B10284" s="2" t="str">
        <f ca="1">IFERROR(__xludf.DUMMYFUNCTION("""COMPUTED_VALUE"""),"Al Thani Building")</f>
        <v>Al Thani Building</v>
      </c>
      <c r="C10284" s="2" t="str">
        <f ca="1">IFERROR(__xludf.DUMMYFUNCTION("""COMPUTED_VALUE"""),"Building")</f>
        <v>Building</v>
      </c>
      <c r="D10284" s="2" t="str">
        <f ca="1">IFERROR(__xludf.DUMMYFUNCTION("""COMPUTED_VALUE"""),"Dubai&gt;Al Badaa&gt;Al Thani Building")</f>
        <v>Dubai&gt;Al Badaa&gt;Al Thani Building</v>
      </c>
      <c r="E10284" s="2"/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  <c r="V10284" s="2"/>
      <c r="W10284" s="2"/>
      <c r="X10284" s="2"/>
      <c r="Y10284" s="2"/>
      <c r="Z10284" s="2"/>
    </row>
    <row r="10285" spans="1:26" ht="16.5" x14ac:dyDescent="0.35">
      <c r="A10285" s="2" t="str">
        <f ca="1">IFERROR(__xludf.DUMMYFUNCTION("""COMPUTED_VALUE"""),"Dubai")</f>
        <v>Dubai</v>
      </c>
      <c r="B10285" s="2" t="str">
        <f ca="1">IFERROR(__xludf.DUMMYFUNCTION("""COMPUTED_VALUE"""),"Al Manara")</f>
        <v>Al Manara</v>
      </c>
      <c r="C10285" s="2" t="str">
        <f ca="1">IFERROR(__xludf.DUMMYFUNCTION("""COMPUTED_VALUE"""),"Neighbourhood")</f>
        <v>Neighbourhood</v>
      </c>
      <c r="D10285" s="2" t="str">
        <f ca="1">IFERROR(__xludf.DUMMYFUNCTION("""COMPUTED_VALUE"""),"Dubai&gt;Al Manara")</f>
        <v>Dubai&gt;Al Manara</v>
      </c>
      <c r="E10285" s="2"/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  <c r="U10285" s="2"/>
      <c r="V10285" s="2"/>
      <c r="W10285" s="2"/>
      <c r="X10285" s="2"/>
      <c r="Y10285" s="2"/>
      <c r="Z10285" s="2"/>
    </row>
    <row r="10286" spans="1:26" ht="16.5" x14ac:dyDescent="0.35">
      <c r="A10286" s="2" t="str">
        <f ca="1">IFERROR(__xludf.DUMMYFUNCTION("""COMPUTED_VALUE"""),"Dubai")</f>
        <v>Dubai</v>
      </c>
      <c r="B10286" s="2" t="str">
        <f ca="1">IFERROR(__xludf.DUMMYFUNCTION("""COMPUTED_VALUE"""),"Blossom Nursery Academic City")</f>
        <v>Blossom Nursery Academic City</v>
      </c>
      <c r="C10286" s="2" t="str">
        <f ca="1">IFERROR(__xludf.DUMMYFUNCTION("""COMPUTED_VALUE"""),"Nursery")</f>
        <v>Nursery</v>
      </c>
      <c r="D10286" s="2" t="str">
        <f ca="1">IFERROR(__xludf.DUMMYFUNCTION("""COMPUTED_VALUE"""),"Dubai&gt;Academic City&gt;Blossom Nursery Academic City")</f>
        <v>Dubai&gt;Academic City&gt;Blossom Nursery Academic City</v>
      </c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  <c r="U10286" s="2"/>
      <c r="V10286" s="2"/>
      <c r="W10286" s="2"/>
      <c r="X10286" s="2"/>
      <c r="Y10286" s="2"/>
      <c r="Z10286" s="2"/>
    </row>
    <row r="10287" spans="1:26" ht="16.5" x14ac:dyDescent="0.35">
      <c r="A10287" s="2" t="str">
        <f ca="1">IFERROR(__xludf.DUMMYFUNCTION("""COMPUTED_VALUE"""),"Dubai")</f>
        <v>Dubai</v>
      </c>
      <c r="B10287" s="2" t="str">
        <f ca="1">IFERROR(__xludf.DUMMYFUNCTION("""COMPUTED_VALUE"""),"Building 2")</f>
        <v>Building 2</v>
      </c>
      <c r="C10287" s="2" t="str">
        <f ca="1">IFERROR(__xludf.DUMMYFUNCTION("""COMPUTED_VALUE"""),"Building")</f>
        <v>Building</v>
      </c>
      <c r="D10287" s="2" t="str">
        <f ca="1">IFERROR(__xludf.DUMMYFUNCTION("""COMPUTED_VALUE"""),"Dubai&gt;Dubai Design District&gt;Building 2")</f>
        <v>Dubai&gt;Dubai Design District&gt;Building 2</v>
      </c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2"/>
      <c r="T10287" s="2"/>
      <c r="U10287" s="2"/>
      <c r="V10287" s="2"/>
      <c r="W10287" s="2"/>
      <c r="X10287" s="2"/>
      <c r="Y10287" s="2"/>
      <c r="Z10287" s="2"/>
    </row>
    <row r="10288" spans="1:26" ht="16.5" x14ac:dyDescent="0.35">
      <c r="A10288" s="2" t="str">
        <f ca="1">IFERROR(__xludf.DUMMYFUNCTION("""COMPUTED_VALUE"""),"Dubai")</f>
        <v>Dubai</v>
      </c>
      <c r="B10288" s="2" t="str">
        <f ca="1">IFERROR(__xludf.DUMMYFUNCTION("""COMPUTED_VALUE"""),"Al Wasl Block C")</f>
        <v>Al Wasl Block C</v>
      </c>
      <c r="C10288" s="2" t="str">
        <f ca="1">IFERROR(__xludf.DUMMYFUNCTION("""COMPUTED_VALUE"""),"Building")</f>
        <v>Building</v>
      </c>
      <c r="D10288" s="2" t="str">
        <f ca="1">IFERROR(__xludf.DUMMYFUNCTION("""COMPUTED_VALUE"""),"Dubai&gt;Al Hudaiba&gt;Al Wasl Block C")</f>
        <v>Dubai&gt;Al Hudaiba&gt;Al Wasl Block C</v>
      </c>
      <c r="E10288" s="2"/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  <c r="U10288" s="2"/>
      <c r="V10288" s="2"/>
      <c r="W10288" s="2"/>
      <c r="X10288" s="2"/>
      <c r="Y10288" s="2"/>
      <c r="Z10288" s="2"/>
    </row>
    <row r="10289" spans="1:26" ht="16.5" x14ac:dyDescent="0.35">
      <c r="A10289" s="2" t="str">
        <f ca="1">IFERROR(__xludf.DUMMYFUNCTION("""COMPUTED_VALUE"""),"Dubai")</f>
        <v>Dubai</v>
      </c>
      <c r="B10289" s="2" t="str">
        <f ca="1">IFERROR(__xludf.DUMMYFUNCTION("""COMPUTED_VALUE"""),"Al Diyafa Building")</f>
        <v>Al Diyafa Building</v>
      </c>
      <c r="C10289" s="2" t="str">
        <f ca="1">IFERROR(__xludf.DUMMYFUNCTION("""COMPUTED_VALUE"""),"Building")</f>
        <v>Building</v>
      </c>
      <c r="D10289" s="2" t="str">
        <f ca="1">IFERROR(__xludf.DUMMYFUNCTION("""COMPUTED_VALUE"""),"Dubai&gt;Al Hudaiba&gt;Al Diyafa Building")</f>
        <v>Dubai&gt;Al Hudaiba&gt;Al Diyafa Building</v>
      </c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  <c r="U10289" s="2"/>
      <c r="V10289" s="2"/>
      <c r="W10289" s="2"/>
      <c r="X10289" s="2"/>
      <c r="Y10289" s="2"/>
      <c r="Z10289" s="2"/>
    </row>
    <row r="10290" spans="1:26" ht="16.5" x14ac:dyDescent="0.35">
      <c r="A10290" s="2" t="str">
        <f ca="1">IFERROR(__xludf.DUMMYFUNCTION("""COMPUTED_VALUE"""),"Dubai")</f>
        <v>Dubai</v>
      </c>
      <c r="B10290" s="2" t="str">
        <f ca="1">IFERROR(__xludf.DUMMYFUNCTION("""COMPUTED_VALUE"""),"Al Fahad Building 6")</f>
        <v>Al Fahad Building 6</v>
      </c>
      <c r="C10290" s="2" t="str">
        <f ca="1">IFERROR(__xludf.DUMMYFUNCTION("""COMPUTED_VALUE"""),"Building")</f>
        <v>Building</v>
      </c>
      <c r="D10290" s="2" t="str">
        <f ca="1">IFERROR(__xludf.DUMMYFUNCTION("""COMPUTED_VALUE"""),"Dubai&gt;Jumeirah&gt;Jumeirah 1&gt;Al Fahad Building 6")</f>
        <v>Dubai&gt;Jumeirah&gt;Jumeirah 1&gt;Al Fahad Building 6</v>
      </c>
      <c r="E10290" s="2"/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2"/>
      <c r="T10290" s="2"/>
      <c r="U10290" s="2"/>
      <c r="V10290" s="2"/>
      <c r="W10290" s="2"/>
      <c r="X10290" s="2"/>
      <c r="Y10290" s="2"/>
      <c r="Z10290" s="2"/>
    </row>
    <row r="10291" spans="1:26" ht="16.5" x14ac:dyDescent="0.35">
      <c r="A10291" s="2" t="str">
        <f ca="1">IFERROR(__xludf.DUMMYFUNCTION("""COMPUTED_VALUE"""),"Dubai")</f>
        <v>Dubai</v>
      </c>
      <c r="B10291" s="2" t="str">
        <f ca="1">IFERROR(__xludf.DUMMYFUNCTION("""COMPUTED_VALUE"""),"Eden House The Canal")</f>
        <v>Eden House The Canal</v>
      </c>
      <c r="C10291" s="2" t="str">
        <f ca="1">IFERROR(__xludf.DUMMYFUNCTION("""COMPUTED_VALUE"""),"Building")</f>
        <v>Building</v>
      </c>
      <c r="D10291" s="2" t="str">
        <f ca="1">IFERROR(__xludf.DUMMYFUNCTION("""COMPUTED_VALUE"""),"Dubai&gt;Jumeirah&gt;Jumeirah 2&gt;Eden House The Canal")</f>
        <v>Dubai&gt;Jumeirah&gt;Jumeirah 2&gt;Eden House The Canal</v>
      </c>
      <c r="E10291" s="2"/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  <c r="U10291" s="2"/>
      <c r="V10291" s="2"/>
      <c r="W10291" s="2"/>
      <c r="X10291" s="2"/>
      <c r="Y10291" s="2"/>
      <c r="Z10291" s="2"/>
    </row>
    <row r="10292" spans="1:26" ht="16.5" x14ac:dyDescent="0.35">
      <c r="A10292" s="2" t="str">
        <f ca="1">IFERROR(__xludf.DUMMYFUNCTION("""COMPUTED_VALUE"""),"Dubai")</f>
        <v>Dubai</v>
      </c>
      <c r="B10292" s="2" t="str">
        <f ca="1">IFERROR(__xludf.DUMMYFUNCTION("""COMPUTED_VALUE"""),"La Sirene Tower 1")</f>
        <v>La Sirene Tower 1</v>
      </c>
      <c r="C10292" s="2" t="str">
        <f ca="1">IFERROR(__xludf.DUMMYFUNCTION("""COMPUTED_VALUE"""),"Building")</f>
        <v>Building</v>
      </c>
      <c r="D10292" s="2" t="str">
        <f ca="1">IFERROR(__xludf.DUMMYFUNCTION("""COMPUTED_VALUE"""),"Dubai&gt;Jumeirah&gt;La Mer&gt;Port de La Mer&gt;La Sirene&gt;La Sirene Tower 1")</f>
        <v>Dubai&gt;Jumeirah&gt;La Mer&gt;Port de La Mer&gt;La Sirene&gt;La Sirene Tower 1</v>
      </c>
      <c r="E10292" s="2"/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  <c r="U10292" s="2"/>
      <c r="V10292" s="2"/>
      <c r="W10292" s="2"/>
      <c r="X10292" s="2"/>
      <c r="Y10292" s="2"/>
      <c r="Z10292" s="2"/>
    </row>
    <row r="10293" spans="1:26" ht="16.5" x14ac:dyDescent="0.35">
      <c r="A10293" s="2" t="str">
        <f ca="1">IFERROR(__xludf.DUMMYFUNCTION("""COMPUTED_VALUE"""),"Dubai")</f>
        <v>Dubai</v>
      </c>
      <c r="B10293" s="2" t="str">
        <f ca="1">IFERROR(__xludf.DUMMYFUNCTION("""COMPUTED_VALUE"""),"Harbour Views")</f>
        <v>Harbour Views</v>
      </c>
      <c r="C10293" s="2" t="str">
        <f ca="1">IFERROR(__xludf.DUMMYFUNCTION("""COMPUTED_VALUE"""),"Cluster")</f>
        <v>Cluster</v>
      </c>
      <c r="D10293" s="2" t="str">
        <f ca="1">IFERROR(__xludf.DUMMYFUNCTION("""COMPUTED_VALUE"""),"Dubai&gt;Dubai Creek Harbour&gt;Harbour Views")</f>
        <v>Dubai&gt;Dubai Creek Harbour&gt;Harbour Views</v>
      </c>
      <c r="E10293" s="2"/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  <c r="U10293" s="2"/>
      <c r="V10293" s="2"/>
      <c r="W10293" s="2"/>
      <c r="X10293" s="2"/>
      <c r="Y10293" s="2"/>
      <c r="Z10293" s="2"/>
    </row>
    <row r="10294" spans="1:26" ht="16.5" x14ac:dyDescent="0.35">
      <c r="A10294" s="2" t="str">
        <f ca="1">IFERROR(__xludf.DUMMYFUNCTION("""COMPUTED_VALUE"""),"Dubai")</f>
        <v>Dubai</v>
      </c>
      <c r="B10294" s="2" t="str">
        <f ca="1">IFERROR(__xludf.DUMMYFUNCTION("""COMPUTED_VALUE"""),"Sunset at Creek Beach")</f>
        <v>Sunset at Creek Beach</v>
      </c>
      <c r="C10294" s="2" t="str">
        <f ca="1">IFERROR(__xludf.DUMMYFUNCTION("""COMPUTED_VALUE"""),"Cluster")</f>
        <v>Cluster</v>
      </c>
      <c r="D10294" s="2" t="str">
        <f ca="1">IFERROR(__xludf.DUMMYFUNCTION("""COMPUTED_VALUE"""),"Dubai&gt;Dubai Creek Harbour&gt;Sunset at Creek Beach")</f>
        <v>Dubai&gt;Dubai Creek Harbour&gt;Sunset at Creek Beach</v>
      </c>
      <c r="E10294" s="2"/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2"/>
      <c r="T10294" s="2"/>
      <c r="U10294" s="2"/>
      <c r="V10294" s="2"/>
      <c r="W10294" s="2"/>
      <c r="X10294" s="2"/>
      <c r="Y10294" s="2"/>
      <c r="Z10294" s="2"/>
    </row>
    <row r="10295" spans="1:26" ht="16.5" x14ac:dyDescent="0.35">
      <c r="A10295" s="2" t="str">
        <f ca="1">IFERROR(__xludf.DUMMYFUNCTION("""COMPUTED_VALUE"""),"Dubai")</f>
        <v>Dubai</v>
      </c>
      <c r="B10295" s="2" t="str">
        <f ca="1">IFERROR(__xludf.DUMMYFUNCTION("""COMPUTED_VALUE"""),"Rosewater at Creek Beach Building 2")</f>
        <v>Rosewater at Creek Beach Building 2</v>
      </c>
      <c r="C10295" s="2" t="str">
        <f ca="1">IFERROR(__xludf.DUMMYFUNCTION("""COMPUTED_VALUE"""),"Building")</f>
        <v>Building</v>
      </c>
      <c r="D10295" s="2" t="str">
        <f ca="1">IFERROR(__xludf.DUMMYFUNCTION("""COMPUTED_VALUE"""),"Dubai&gt;Dubai Creek Harbour&gt;Rosewater at Creek Beach&gt;Rosewater at Creek Beach Building 2")</f>
        <v>Dubai&gt;Dubai Creek Harbour&gt;Rosewater at Creek Beach&gt;Rosewater at Creek Beach Building 2</v>
      </c>
      <c r="E10295" s="2"/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  <c r="U10295" s="2"/>
      <c r="V10295" s="2"/>
      <c r="W10295" s="2"/>
      <c r="X10295" s="2"/>
      <c r="Y10295" s="2"/>
      <c r="Z10295" s="2"/>
    </row>
    <row r="10296" spans="1:26" ht="16.5" x14ac:dyDescent="0.35">
      <c r="A10296" s="2" t="str">
        <f ca="1">IFERROR(__xludf.DUMMYFUNCTION("""COMPUTED_VALUE"""),"Dubai")</f>
        <v>Dubai</v>
      </c>
      <c r="B10296" s="2" t="str">
        <f ca="1">IFERROR(__xludf.DUMMYFUNCTION("""COMPUTED_VALUE"""),"Cedar at Creek Beach")</f>
        <v>Cedar at Creek Beach</v>
      </c>
      <c r="C10296" s="2" t="str">
        <f ca="1">IFERROR(__xludf.DUMMYFUNCTION("""COMPUTED_VALUE"""),"Cluster")</f>
        <v>Cluster</v>
      </c>
      <c r="D10296" s="2" t="str">
        <f ca="1">IFERROR(__xludf.DUMMYFUNCTION("""COMPUTED_VALUE"""),"Dubai&gt;Dubai Creek Harbour&gt;Cedar at Creek Beach")</f>
        <v>Dubai&gt;Dubai Creek Harbour&gt;Cedar at Creek Beach</v>
      </c>
      <c r="E10296" s="2"/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  <c r="U10296" s="2"/>
      <c r="V10296" s="2"/>
      <c r="W10296" s="2"/>
      <c r="X10296" s="2"/>
      <c r="Y10296" s="2"/>
      <c r="Z10296" s="2"/>
    </row>
    <row r="10297" spans="1:26" ht="16.5" x14ac:dyDescent="0.35">
      <c r="A10297" s="2" t="str">
        <f ca="1">IFERROR(__xludf.DUMMYFUNCTION("""COMPUTED_VALUE"""),"Dubai")</f>
        <v>Dubai</v>
      </c>
      <c r="B10297" s="2" t="str">
        <f ca="1">IFERROR(__xludf.DUMMYFUNCTION("""COMPUTED_VALUE"""),"Altus Tower 1")</f>
        <v>Altus Tower 1</v>
      </c>
      <c r="C10297" s="2" t="str">
        <f ca="1">IFERROR(__xludf.DUMMYFUNCTION("""COMPUTED_VALUE"""),"Building")</f>
        <v>Building</v>
      </c>
      <c r="D10297" s="2" t="str">
        <f ca="1">IFERROR(__xludf.DUMMYFUNCTION("""COMPUTED_VALUE"""),"Dubai&gt;Dubai Creek Harbour&gt;Altus&gt;Altus Tower 1")</f>
        <v>Dubai&gt;Dubai Creek Harbour&gt;Altus&gt;Altus Tower 1</v>
      </c>
      <c r="E10297" s="2"/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  <c r="U10297" s="2"/>
      <c r="V10297" s="2"/>
      <c r="W10297" s="2"/>
      <c r="X10297" s="2"/>
      <c r="Y10297" s="2"/>
      <c r="Z10297" s="2"/>
    </row>
    <row r="10298" spans="1:26" ht="16.5" x14ac:dyDescent="0.35">
      <c r="A10298" s="2" t="str">
        <f ca="1">IFERROR(__xludf.DUMMYFUNCTION("""COMPUTED_VALUE"""),"Dubai")</f>
        <v>Dubai</v>
      </c>
      <c r="B10298" s="2" t="str">
        <f ca="1">IFERROR(__xludf.DUMMYFUNCTION("""COMPUTED_VALUE"""),"Citadines Metro Central Hotel Apartments")</f>
        <v>Citadines Metro Central Hotel Apartments</v>
      </c>
      <c r="C10298" s="2" t="str">
        <f ca="1">IFERROR(__xludf.DUMMYFUNCTION("""COMPUTED_VALUE"""),"Building")</f>
        <v>Building</v>
      </c>
      <c r="D10298" s="2" t="str">
        <f ca="1">IFERROR(__xludf.DUMMYFUNCTION("""COMPUTED_VALUE"""),"Dubai&gt;Barsha Heights (Tecom)&gt;Citadines Metro Central Hotel Apartments")</f>
        <v>Dubai&gt;Barsha Heights (Tecom)&gt;Citadines Metro Central Hotel Apartments</v>
      </c>
      <c r="E10298" s="2"/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  <c r="U10298" s="2"/>
      <c r="V10298" s="2"/>
      <c r="W10298" s="2"/>
      <c r="X10298" s="2"/>
      <c r="Y10298" s="2"/>
      <c r="Z10298" s="2"/>
    </row>
    <row r="10299" spans="1:26" ht="16.5" x14ac:dyDescent="0.35">
      <c r="A10299" s="2" t="str">
        <f ca="1">IFERROR(__xludf.DUMMYFUNCTION("""COMPUTED_VALUE"""),"Dubai")</f>
        <v>Dubai</v>
      </c>
      <c r="B10299" s="2" t="str">
        <f ca="1">IFERROR(__xludf.DUMMYFUNCTION("""COMPUTED_VALUE"""),"Two Towers B")</f>
        <v>Two Towers B</v>
      </c>
      <c r="C10299" s="2" t="str">
        <f ca="1">IFERROR(__xludf.DUMMYFUNCTION("""COMPUTED_VALUE"""),"Building")</f>
        <v>Building</v>
      </c>
      <c r="D10299" s="2" t="str">
        <f ca="1">IFERROR(__xludf.DUMMYFUNCTION("""COMPUTED_VALUE"""),"Dubai&gt;Barsha Heights (Tecom)&gt;Two Towers&gt;Two Towers B")</f>
        <v>Dubai&gt;Barsha Heights (Tecom)&gt;Two Towers&gt;Two Towers B</v>
      </c>
      <c r="E10299" s="2"/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  <c r="U10299" s="2"/>
      <c r="V10299" s="2"/>
      <c r="W10299" s="2"/>
      <c r="X10299" s="2"/>
      <c r="Y10299" s="2"/>
      <c r="Z10299" s="2"/>
    </row>
    <row r="10300" spans="1:26" ht="16.5" x14ac:dyDescent="0.35">
      <c r="A10300" s="2" t="str">
        <f ca="1">IFERROR(__xludf.DUMMYFUNCTION("""COMPUTED_VALUE"""),"Dubai")</f>
        <v>Dubai</v>
      </c>
      <c r="B10300" s="2" t="str">
        <f ca="1">IFERROR(__xludf.DUMMYFUNCTION("""COMPUTED_VALUE"""),"Desert Spring Village")</f>
        <v>Desert Spring Village</v>
      </c>
      <c r="C10300" s="2" t="str">
        <f ca="1">IFERROR(__xludf.DUMMYFUNCTION("""COMPUTED_VALUE"""),"Neighbourhood")</f>
        <v>Neighbourhood</v>
      </c>
      <c r="D10300" s="2" t="str">
        <f ca="1">IFERROR(__xludf.DUMMYFUNCTION("""COMPUTED_VALUE"""),"Dubai&gt;Barsha Heights (Tecom)&gt;Desert Spring Village")</f>
        <v>Dubai&gt;Barsha Heights (Tecom)&gt;Desert Spring Village</v>
      </c>
      <c r="E10300" s="2"/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  <c r="U10300" s="2"/>
      <c r="V10300" s="2"/>
      <c r="W10300" s="2"/>
      <c r="X10300" s="2"/>
      <c r="Y10300" s="2"/>
      <c r="Z10300" s="2"/>
    </row>
    <row r="10301" spans="1:26" ht="16.5" x14ac:dyDescent="0.35">
      <c r="A10301" s="2" t="str">
        <f ca="1">IFERROR(__xludf.DUMMYFUNCTION("""COMPUTED_VALUE"""),"Dubai")</f>
        <v>Dubai</v>
      </c>
      <c r="B10301" s="2" t="str">
        <f ca="1">IFERROR(__xludf.DUMMYFUNCTION("""COMPUTED_VALUE"""),"Ozean Heights")</f>
        <v>Ozean Heights</v>
      </c>
      <c r="C10301" s="2" t="str">
        <f ca="1">IFERROR(__xludf.DUMMYFUNCTION("""COMPUTED_VALUE"""),"Building")</f>
        <v>Building</v>
      </c>
      <c r="D10301" s="2" t="str">
        <f ca="1">IFERROR(__xludf.DUMMYFUNCTION("""COMPUTED_VALUE"""),"Dubai&gt;Barsha Heights (Tecom)&gt;Ozean Heights")</f>
        <v>Dubai&gt;Barsha Heights (Tecom)&gt;Ozean Heights</v>
      </c>
      <c r="E10301" s="2"/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  <c r="U10301" s="2"/>
      <c r="V10301" s="2"/>
      <c r="W10301" s="2"/>
      <c r="X10301" s="2"/>
      <c r="Y10301" s="2"/>
      <c r="Z10301" s="2"/>
    </row>
    <row r="10302" spans="1:26" ht="16.5" x14ac:dyDescent="0.35">
      <c r="A10302" s="2" t="str">
        <f ca="1">IFERROR(__xludf.DUMMYFUNCTION("""COMPUTED_VALUE"""),"Dubai")</f>
        <v>Dubai</v>
      </c>
      <c r="B10302" s="2" t="str">
        <f ca="1">IFERROR(__xludf.DUMMYFUNCTION("""COMPUTED_VALUE"""),"Terraced Apartment 2D")</f>
        <v>Terraced Apartment 2D</v>
      </c>
      <c r="C10302" s="2" t="str">
        <f ca="1">IFERROR(__xludf.DUMMYFUNCTION("""COMPUTED_VALUE"""),"Building")</f>
        <v>Building</v>
      </c>
      <c r="D10302" s="2" t="str">
        <f ca="1">IFERROR(__xludf.DUMMYFUNCTION("""COMPUTED_VALUE"""),"Dubai&gt;Motor City&gt;Green Community (Motor City)&gt;Terraced Apartments&gt;Terraced Apartment 2D")</f>
        <v>Dubai&gt;Motor City&gt;Green Community (Motor City)&gt;Terraced Apartments&gt;Terraced Apartment 2D</v>
      </c>
      <c r="E10302" s="2"/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  <c r="U10302" s="2"/>
      <c r="V10302" s="2"/>
      <c r="W10302" s="2"/>
      <c r="X10302" s="2"/>
      <c r="Y10302" s="2"/>
      <c r="Z10302" s="2"/>
    </row>
    <row r="10303" spans="1:26" ht="16.5" x14ac:dyDescent="0.35">
      <c r="A10303" s="2" t="str">
        <f ca="1">IFERROR(__xludf.DUMMYFUNCTION("""COMPUTED_VALUE"""),"Dubai")</f>
        <v>Dubai</v>
      </c>
      <c r="B10303" s="2" t="str">
        <f ca="1">IFERROR(__xludf.DUMMYFUNCTION("""COMPUTED_VALUE"""),"Barton House")</f>
        <v>Barton House</v>
      </c>
      <c r="C10303" s="2" t="str">
        <f ca="1">IFERROR(__xludf.DUMMYFUNCTION("""COMPUTED_VALUE"""),"Cluster")</f>
        <v>Cluster</v>
      </c>
      <c r="D10303" s="2" t="str">
        <f ca="1">IFERROR(__xludf.DUMMYFUNCTION("""COMPUTED_VALUE"""),"Dubai&gt;Motor City&gt;Uptown Motor City&gt;Barton House")</f>
        <v>Dubai&gt;Motor City&gt;Uptown Motor City&gt;Barton House</v>
      </c>
      <c r="E10303" s="2"/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  <c r="U10303" s="2"/>
      <c r="V10303" s="2"/>
      <c r="W10303" s="2"/>
      <c r="X10303" s="2"/>
      <c r="Y10303" s="2"/>
      <c r="Z10303" s="2"/>
    </row>
    <row r="10304" spans="1:26" ht="16.5" x14ac:dyDescent="0.35">
      <c r="A10304" s="2" t="str">
        <f ca="1">IFERROR(__xludf.DUMMYFUNCTION("""COMPUTED_VALUE"""),"Dubai")</f>
        <v>Dubai</v>
      </c>
      <c r="B10304" s="2" t="str">
        <f ca="1">IFERROR(__xludf.DUMMYFUNCTION("""COMPUTED_VALUE"""),"Dickens Circus")</f>
        <v>Dickens Circus</v>
      </c>
      <c r="C10304" s="2" t="str">
        <f ca="1">IFERROR(__xludf.DUMMYFUNCTION("""COMPUTED_VALUE"""),"Cluster")</f>
        <v>Cluster</v>
      </c>
      <c r="D10304" s="2" t="str">
        <f ca="1">IFERROR(__xludf.DUMMYFUNCTION("""COMPUTED_VALUE"""),"Dubai&gt;Motor City&gt;Uptown Motor City&gt;Dickens Circus")</f>
        <v>Dubai&gt;Motor City&gt;Uptown Motor City&gt;Dickens Circus</v>
      </c>
      <c r="E10304" s="2"/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  <c r="U10304" s="2"/>
      <c r="V10304" s="2"/>
      <c r="W10304" s="2"/>
      <c r="X10304" s="2"/>
      <c r="Y10304" s="2"/>
      <c r="Z10304" s="2"/>
    </row>
    <row r="10305" spans="1:26" ht="16.5" x14ac:dyDescent="0.35">
      <c r="A10305" s="2" t="str">
        <f ca="1">IFERROR(__xludf.DUMMYFUNCTION("""COMPUTED_VALUE"""),"Dubai")</f>
        <v>Dubai</v>
      </c>
      <c r="B10305" s="2" t="str">
        <f ca="1">IFERROR(__xludf.DUMMYFUNCTION("""COMPUTED_VALUE"""),"Sobha Orbis Tower G")</f>
        <v>Sobha Orbis Tower G</v>
      </c>
      <c r="C10305" s="2" t="str">
        <f ca="1">IFERROR(__xludf.DUMMYFUNCTION("""COMPUTED_VALUE"""),"Building")</f>
        <v>Building</v>
      </c>
      <c r="D10305" s="2" t="str">
        <f ca="1">IFERROR(__xludf.DUMMYFUNCTION("""COMPUTED_VALUE"""),"Dubai&gt;Motor City&gt;Sobha Orbis&gt;Sobha Orbis Tower G")</f>
        <v>Dubai&gt;Motor City&gt;Sobha Orbis&gt;Sobha Orbis Tower G</v>
      </c>
      <c r="E10305" s="2"/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  <c r="V10305" s="2"/>
      <c r="W10305" s="2"/>
      <c r="X10305" s="2"/>
      <c r="Y10305" s="2"/>
      <c r="Z10305" s="2"/>
    </row>
    <row r="10306" spans="1:26" ht="16.5" x14ac:dyDescent="0.35">
      <c r="A10306" s="2" t="str">
        <f ca="1">IFERROR(__xludf.DUMMYFUNCTION("""COMPUTED_VALUE"""),"Dubai")</f>
        <v>Dubai</v>
      </c>
      <c r="B10306" s="2" t="str">
        <f ca="1">IFERROR(__xludf.DUMMYFUNCTION("""COMPUTED_VALUE"""),"GEMS Wellington International School")</f>
        <v>GEMS Wellington International School</v>
      </c>
      <c r="C10306" s="2" t="str">
        <f ca="1">IFERROR(__xludf.DUMMYFUNCTION("""COMPUTED_VALUE"""),"School")</f>
        <v>School</v>
      </c>
      <c r="D10306" s="2" t="str">
        <f ca="1">IFERROR(__xludf.DUMMYFUNCTION("""COMPUTED_VALUE"""),"Dubai&gt;Al Sufouh&gt;Al Sufouh 1&gt;GEMS Wellington International School")</f>
        <v>Dubai&gt;Al Sufouh&gt;Al Sufouh 1&gt;GEMS Wellington International School</v>
      </c>
      <c r="E10306" s="2"/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2"/>
      <c r="T10306" s="2"/>
      <c r="U10306" s="2"/>
      <c r="V10306" s="2"/>
      <c r="W10306" s="2"/>
      <c r="X10306" s="2"/>
      <c r="Y10306" s="2"/>
      <c r="Z10306" s="2"/>
    </row>
    <row r="10307" spans="1:26" ht="16.5" x14ac:dyDescent="0.35">
      <c r="A10307" s="2" t="str">
        <f ca="1">IFERROR(__xludf.DUMMYFUNCTION("""COMPUTED_VALUE"""),"Dubai")</f>
        <v>Dubai</v>
      </c>
      <c r="B10307" s="2" t="str">
        <f ca="1">IFERROR(__xludf.DUMMYFUNCTION("""COMPUTED_VALUE"""),"Boutique Offices")</f>
        <v>Boutique Offices</v>
      </c>
      <c r="C10307" s="2" t="str">
        <f ca="1">IFERROR(__xludf.DUMMYFUNCTION("""COMPUTED_VALUE"""),"Cluster")</f>
        <v>Cluster</v>
      </c>
      <c r="D10307" s="2" t="str">
        <f ca="1">IFERROR(__xludf.DUMMYFUNCTION("""COMPUTED_VALUE"""),"Dubai&gt;Al Sufouh&gt;Al Sufouh 2&gt;Boutique Offices")</f>
        <v>Dubai&gt;Al Sufouh&gt;Al Sufouh 2&gt;Boutique Offices</v>
      </c>
      <c r="E10307" s="2"/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  <c r="U10307" s="2"/>
      <c r="V10307" s="2"/>
      <c r="W10307" s="2"/>
      <c r="X10307" s="2"/>
      <c r="Y10307" s="2"/>
      <c r="Z10307" s="2"/>
    </row>
    <row r="10308" spans="1:26" ht="16.5" x14ac:dyDescent="0.35">
      <c r="A10308" s="2" t="str">
        <f ca="1">IFERROR(__xludf.DUMMYFUNCTION("""COMPUTED_VALUE"""),"Dubai")</f>
        <v>Dubai</v>
      </c>
      <c r="B10308" s="2" t="str">
        <f ca="1">IFERROR(__xludf.DUMMYFUNCTION("""COMPUTED_VALUE"""),"Holiday Inn Hotel")</f>
        <v>Holiday Inn Hotel</v>
      </c>
      <c r="C10308" s="2" t="str">
        <f ca="1">IFERROR(__xludf.DUMMYFUNCTION("""COMPUTED_VALUE"""),"Building")</f>
        <v>Building</v>
      </c>
      <c r="D10308" s="2" t="str">
        <f ca="1">IFERROR(__xludf.DUMMYFUNCTION("""COMPUTED_VALUE"""),"Dubai&gt;Dubai Festival City&gt;Holiday Inn Hotel")</f>
        <v>Dubai&gt;Dubai Festival City&gt;Holiday Inn Hotel</v>
      </c>
      <c r="E10308" s="2"/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  <c r="U10308" s="2"/>
      <c r="V10308" s="2"/>
      <c r="W10308" s="2"/>
      <c r="X10308" s="2"/>
      <c r="Y10308" s="2"/>
      <c r="Z10308" s="2"/>
    </row>
    <row r="10309" spans="1:26" ht="16.5" x14ac:dyDescent="0.35">
      <c r="A10309" s="2" t="str">
        <f ca="1">IFERROR(__xludf.DUMMYFUNCTION("""COMPUTED_VALUE"""),"Dubai")</f>
        <v>Dubai</v>
      </c>
      <c r="B10309" s="2" t="str">
        <f ca="1">IFERROR(__xludf.DUMMYFUNCTION("""COMPUTED_VALUE"""),"Corner City Building")</f>
        <v>Corner City Building</v>
      </c>
      <c r="C10309" s="2" t="str">
        <f ca="1">IFERROR(__xludf.DUMMYFUNCTION("""COMPUTED_VALUE"""),"Building")</f>
        <v>Building</v>
      </c>
      <c r="D10309" s="2" t="str">
        <f ca="1">IFERROR(__xludf.DUMMYFUNCTION("""COMPUTED_VALUE"""),"Dubai&gt;Dubai Festival City&gt;Corner City Building")</f>
        <v>Dubai&gt;Dubai Festival City&gt;Corner City Building</v>
      </c>
      <c r="E10309" s="2"/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  <c r="U10309" s="2"/>
      <c r="V10309" s="2"/>
      <c r="W10309" s="2"/>
      <c r="X10309" s="2"/>
      <c r="Y10309" s="2"/>
      <c r="Z10309" s="2"/>
    </row>
    <row r="10310" spans="1:26" ht="16.5" x14ac:dyDescent="0.35">
      <c r="A10310" s="2" t="str">
        <f ca="1">IFERROR(__xludf.DUMMYFUNCTION("""COMPUTED_VALUE"""),"Dubai")</f>
        <v>Dubai</v>
      </c>
      <c r="B10310" s="2" t="str">
        <f ca="1">IFERROR(__xludf.DUMMYFUNCTION("""COMPUTED_VALUE"""),"Golf Promenade 5")</f>
        <v>Golf Promenade 5</v>
      </c>
      <c r="C10310" s="2" t="str">
        <f ca="1">IFERROR(__xludf.DUMMYFUNCTION("""COMPUTED_VALUE"""),"Cluster")</f>
        <v>Cluster</v>
      </c>
      <c r="D10310" s="2" t="str">
        <f ca="1">IFERROR(__xludf.DUMMYFUNCTION("""COMPUTED_VALUE"""),"Dubai&gt;DAMAC Hills&gt;Golf Town&gt;Golf Promenade&gt;Golf Promenade 5")</f>
        <v>Dubai&gt;DAMAC Hills&gt;Golf Town&gt;Golf Promenade&gt;Golf Promenade 5</v>
      </c>
      <c r="E10310" s="2"/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  <c r="U10310" s="2"/>
      <c r="V10310" s="2"/>
      <c r="W10310" s="2"/>
      <c r="X10310" s="2"/>
      <c r="Y10310" s="2"/>
      <c r="Z10310" s="2"/>
    </row>
    <row r="10311" spans="1:26" ht="16.5" x14ac:dyDescent="0.35">
      <c r="A10311" s="2" t="str">
        <f ca="1">IFERROR(__xludf.DUMMYFUNCTION("""COMPUTED_VALUE"""),"Dubai")</f>
        <v>Dubai</v>
      </c>
      <c r="B10311" s="2" t="str">
        <f ca="1">IFERROR(__xludf.DUMMYFUNCTION("""COMPUTED_VALUE"""),"Beverly Hills Drive")</f>
        <v>Beverly Hills Drive</v>
      </c>
      <c r="C10311" s="2" t="str">
        <f ca="1">IFERROR(__xludf.DUMMYFUNCTION("""COMPUTED_VALUE"""),"Neighbourhood")</f>
        <v>Neighbourhood</v>
      </c>
      <c r="D10311" s="2" t="str">
        <f ca="1">IFERROR(__xludf.DUMMYFUNCTION("""COMPUTED_VALUE"""),"Dubai&gt;DAMAC Hills&gt;Trump Estates&gt;Beverly Hills Drive")</f>
        <v>Dubai&gt;DAMAC Hills&gt;Trump Estates&gt;Beverly Hills Drive</v>
      </c>
      <c r="E10311" s="2"/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  <c r="U10311" s="2"/>
      <c r="V10311" s="2"/>
      <c r="W10311" s="2"/>
      <c r="X10311" s="2"/>
      <c r="Y10311" s="2"/>
      <c r="Z10311" s="2"/>
    </row>
    <row r="10312" spans="1:26" ht="16.5" x14ac:dyDescent="0.35">
      <c r="A10312" s="2" t="str">
        <f ca="1">IFERROR(__xludf.DUMMYFUNCTION("""COMPUTED_VALUE"""),"Dubai")</f>
        <v>Dubai</v>
      </c>
      <c r="B10312" s="2" t="str">
        <f ca="1">IFERROR(__xludf.DUMMYFUNCTION("""COMPUTED_VALUE"""),"Park Residences 1")</f>
        <v>Park Residences 1</v>
      </c>
      <c r="C10312" s="2" t="str">
        <f ca="1">IFERROR(__xludf.DUMMYFUNCTION("""COMPUTED_VALUE"""),"Neighbourhood")</f>
        <v>Neighbourhood</v>
      </c>
      <c r="D10312" s="2" t="str">
        <f ca="1">IFERROR(__xludf.DUMMYFUNCTION("""COMPUTED_VALUE"""),"Dubai&gt;DAMAC Hills&gt;Park Residences 1")</f>
        <v>Dubai&gt;DAMAC Hills&gt;Park Residences 1</v>
      </c>
      <c r="E10312" s="2"/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  <c r="U10312" s="2"/>
      <c r="V10312" s="2"/>
      <c r="W10312" s="2"/>
      <c r="X10312" s="2"/>
      <c r="Y10312" s="2"/>
      <c r="Z10312" s="2"/>
    </row>
    <row r="10313" spans="1:26" ht="16.5" x14ac:dyDescent="0.35">
      <c r="A10313" s="2" t="str">
        <f ca="1">IFERROR(__xludf.DUMMYFUNCTION("""COMPUTED_VALUE"""),"Dubai")</f>
        <v>Dubai</v>
      </c>
      <c r="B10313" s="2" t="str">
        <f ca="1">IFERROR(__xludf.DUMMYFUNCTION("""COMPUTED_VALUE"""),"Al Meena Residence")</f>
        <v>Al Meena Residence</v>
      </c>
      <c r="C10313" s="2" t="str">
        <f ca="1">IFERROR(__xludf.DUMMYFUNCTION("""COMPUTED_VALUE"""),"Building")</f>
        <v>Building</v>
      </c>
      <c r="D10313" s="2" t="str">
        <f ca="1">IFERROR(__xludf.DUMMYFUNCTION("""COMPUTED_VALUE"""),"Dubai&gt;Al Mina&gt;Al Meena Residence")</f>
        <v>Dubai&gt;Al Mina&gt;Al Meena Residence</v>
      </c>
      <c r="E10313" s="2"/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  <c r="U10313" s="2"/>
      <c r="V10313" s="2"/>
      <c r="W10313" s="2"/>
      <c r="X10313" s="2"/>
      <c r="Y10313" s="2"/>
      <c r="Z10313" s="2"/>
    </row>
    <row r="10314" spans="1:26" ht="16.5" x14ac:dyDescent="0.35">
      <c r="A10314" s="2" t="str">
        <f ca="1">IFERROR(__xludf.DUMMYFUNCTION("""COMPUTED_VALUE"""),"Dubai")</f>
        <v>Dubai</v>
      </c>
      <c r="B10314" s="2" t="str">
        <f ca="1">IFERROR(__xludf.DUMMYFUNCTION("""COMPUTED_VALUE"""),"Oceanz 1")</f>
        <v>Oceanz 1</v>
      </c>
      <c r="C10314" s="2" t="str">
        <f ca="1">IFERROR(__xludf.DUMMYFUNCTION("""COMPUTED_VALUE"""),"Building")</f>
        <v>Building</v>
      </c>
      <c r="D10314" s="2" t="str">
        <f ca="1">IFERROR(__xludf.DUMMYFUNCTION("""COMPUTED_VALUE"""),"Dubai&gt;Dubai Maritime City&gt;Oceanz by Danube&gt;Oceanz 1")</f>
        <v>Dubai&gt;Dubai Maritime City&gt;Oceanz by Danube&gt;Oceanz 1</v>
      </c>
      <c r="E10314" s="2"/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  <c r="U10314" s="2"/>
      <c r="V10314" s="2"/>
      <c r="W10314" s="2"/>
      <c r="X10314" s="2"/>
      <c r="Y10314" s="2"/>
      <c r="Z10314" s="2"/>
    </row>
    <row r="10315" spans="1:26" ht="16.5" x14ac:dyDescent="0.35">
      <c r="A10315" s="2" t="str">
        <f ca="1">IFERROR(__xludf.DUMMYFUNCTION("""COMPUTED_VALUE"""),"Dubai")</f>
        <v>Dubai</v>
      </c>
      <c r="B10315" s="2" t="str">
        <f ca="1">IFERROR(__xludf.DUMMYFUNCTION("""COMPUTED_VALUE"""),"31 Above by Beyond")</f>
        <v>31 Above by Beyond</v>
      </c>
      <c r="C10315" s="2" t="str">
        <f ca="1">IFERROR(__xludf.DUMMYFUNCTION("""COMPUTED_VALUE"""),"Building")</f>
        <v>Building</v>
      </c>
      <c r="D10315" s="2" t="str">
        <f ca="1">IFERROR(__xludf.DUMMYFUNCTION("""COMPUTED_VALUE"""),"Dubai&gt;Dubai Maritime City&gt;31 Above by Beyond")</f>
        <v>Dubai&gt;Dubai Maritime City&gt;31 Above by Beyond</v>
      </c>
      <c r="E10315" s="2"/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  <c r="U10315" s="2"/>
      <c r="V10315" s="2"/>
      <c r="W10315" s="2"/>
      <c r="X10315" s="2"/>
      <c r="Y10315" s="2"/>
      <c r="Z10315" s="2"/>
    </row>
    <row r="10316" spans="1:26" ht="16.5" x14ac:dyDescent="0.35">
      <c r="A10316" s="2" t="str">
        <f ca="1">IFERROR(__xludf.DUMMYFUNCTION("""COMPUTED_VALUE"""),"Dubai")</f>
        <v>Dubai</v>
      </c>
      <c r="B10316" s="2" t="str">
        <f ca="1">IFERROR(__xludf.DUMMYFUNCTION("""COMPUTED_VALUE"""),"The Fairways")</f>
        <v>The Fairways</v>
      </c>
      <c r="C10316" s="2" t="str">
        <f ca="1">IFERROR(__xludf.DUMMYFUNCTION("""COMPUTED_VALUE"""),"Cluster")</f>
        <v>Cluster</v>
      </c>
      <c r="D10316" s="2" t="str">
        <f ca="1">IFERROR(__xludf.DUMMYFUNCTION("""COMPUTED_VALUE"""),"Dubai&gt;The Views&gt;The Fairways")</f>
        <v>Dubai&gt;The Views&gt;The Fairways</v>
      </c>
      <c r="E10316" s="2"/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  <c r="U10316" s="2"/>
      <c r="V10316" s="2"/>
      <c r="W10316" s="2"/>
      <c r="X10316" s="2"/>
      <c r="Y10316" s="2"/>
      <c r="Z10316" s="2"/>
    </row>
    <row r="10317" spans="1:26" ht="16.5" x14ac:dyDescent="0.35">
      <c r="A10317" s="2" t="str">
        <f ca="1">IFERROR(__xludf.DUMMYFUNCTION("""COMPUTED_VALUE"""),"Dubai")</f>
        <v>Dubai</v>
      </c>
      <c r="B10317" s="2" t="str">
        <f ca="1">IFERROR(__xludf.DUMMYFUNCTION("""COMPUTED_VALUE"""),"Al Khail Gate Phase 2")</f>
        <v>Al Khail Gate Phase 2</v>
      </c>
      <c r="C10317" s="2" t="str">
        <f ca="1">IFERROR(__xludf.DUMMYFUNCTION("""COMPUTED_VALUE"""),"Neighbourhood")</f>
        <v>Neighbourhood</v>
      </c>
      <c r="D10317" s="2" t="str">
        <f ca="1">IFERROR(__xludf.DUMMYFUNCTION("""COMPUTED_VALUE"""),"Dubai&gt;Al Quoz&gt;Al Quoz Industrial Area&gt;Al Quoz Industrial Area 2&gt;Al Khail Gate&gt;Al Khail Gate Phase 2")</f>
        <v>Dubai&gt;Al Quoz&gt;Al Quoz Industrial Area&gt;Al Quoz Industrial Area 2&gt;Al Khail Gate&gt;Al Khail Gate Phase 2</v>
      </c>
      <c r="E10317" s="2"/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  <c r="U10317" s="2"/>
      <c r="V10317" s="2"/>
      <c r="W10317" s="2"/>
      <c r="X10317" s="2"/>
      <c r="Y10317" s="2"/>
      <c r="Z10317" s="2"/>
    </row>
    <row r="10318" spans="1:26" ht="16.5" x14ac:dyDescent="0.35">
      <c r="A10318" s="2" t="str">
        <f ca="1">IFERROR(__xludf.DUMMYFUNCTION("""COMPUTED_VALUE"""),"Dubai")</f>
        <v>Dubai</v>
      </c>
      <c r="B10318" s="2" t="str">
        <f ca="1">IFERROR(__xludf.DUMMYFUNCTION("""COMPUTED_VALUE"""),"Tara 2")</f>
        <v>Tara 2</v>
      </c>
      <c r="C10318" s="2" t="str">
        <f ca="1">IFERROR(__xludf.DUMMYFUNCTION("""COMPUTED_VALUE"""),"Building")</f>
        <v>Building</v>
      </c>
      <c r="D10318" s="2" t="str">
        <f ca="1">IFERROR(__xludf.DUMMYFUNCTION("""COMPUTED_VALUE"""),"Dubai&gt;Al Quoz&gt;Al Quoz 3&gt;Tara 2")</f>
        <v>Dubai&gt;Al Quoz&gt;Al Quoz 3&gt;Tara 2</v>
      </c>
      <c r="E10318" s="2"/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2"/>
      <c r="T10318" s="2"/>
      <c r="U10318" s="2"/>
      <c r="V10318" s="2"/>
      <c r="W10318" s="2"/>
      <c r="X10318" s="2"/>
      <c r="Y10318" s="2"/>
      <c r="Z10318" s="2"/>
    </row>
    <row r="10319" spans="1:26" ht="16.5" x14ac:dyDescent="0.35">
      <c r="A10319" s="2" t="str">
        <f ca="1">IFERROR(__xludf.DUMMYFUNCTION("""COMPUTED_VALUE"""),"Dubai")</f>
        <v>Dubai</v>
      </c>
      <c r="B10319" s="2" t="str">
        <f ca="1">IFERROR(__xludf.DUMMYFUNCTION("""COMPUTED_VALUE"""),"Al Khail Heights Building 11A")</f>
        <v>Al Khail Heights Building 11A</v>
      </c>
      <c r="C10319" s="2" t="str">
        <f ca="1">IFERROR(__xludf.DUMMYFUNCTION("""COMPUTED_VALUE"""),"Building")</f>
        <v>Building</v>
      </c>
      <c r="D10319" s="2" t="str">
        <f ca="1">IFERROR(__xludf.DUMMYFUNCTION("""COMPUTED_VALUE"""),"Dubai&gt;Al Quoz&gt;Al Quoz 4&gt;Al Khail Heights&gt;Al Khail Heights Building 11A")</f>
        <v>Dubai&gt;Al Quoz&gt;Al Quoz 4&gt;Al Khail Heights&gt;Al Khail Heights Building 11A</v>
      </c>
      <c r="E10319" s="2"/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  <c r="U10319" s="2"/>
      <c r="V10319" s="2"/>
      <c r="W10319" s="2"/>
      <c r="X10319" s="2"/>
      <c r="Y10319" s="2"/>
      <c r="Z10319" s="2"/>
    </row>
    <row r="10320" spans="1:26" ht="16.5" x14ac:dyDescent="0.35">
      <c r="A10320" s="2" t="str">
        <f ca="1">IFERROR(__xludf.DUMMYFUNCTION("""COMPUTED_VALUE"""),"Dubai")</f>
        <v>Dubai</v>
      </c>
      <c r="B10320" s="2" t="str">
        <f ca="1">IFERROR(__xludf.DUMMYFUNCTION("""COMPUTED_VALUE"""),"Ocean Residencia")</f>
        <v>Ocean Residencia</v>
      </c>
      <c r="C10320" s="2" t="str">
        <f ca="1">IFERROR(__xludf.DUMMYFUNCTION("""COMPUTED_VALUE"""),"Building")</f>
        <v>Building</v>
      </c>
      <c r="D10320" s="2" t="str">
        <f ca="1">IFERROR(__xludf.DUMMYFUNCTION("""COMPUTED_VALUE"""),"Dubai&gt;Dubai Silicon Oasis (DSO)&gt;Ocean Residencia")</f>
        <v>Dubai&gt;Dubai Silicon Oasis (DSO)&gt;Ocean Residencia</v>
      </c>
      <c r="E10320" s="2"/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  <c r="U10320" s="2"/>
      <c r="V10320" s="2"/>
      <c r="W10320" s="2"/>
      <c r="X10320" s="2"/>
      <c r="Y10320" s="2"/>
      <c r="Z10320" s="2"/>
    </row>
    <row r="10321" spans="1:26" ht="16.5" x14ac:dyDescent="0.35">
      <c r="A10321" s="2" t="str">
        <f ca="1">IFERROR(__xludf.DUMMYFUNCTION("""COMPUTED_VALUE"""),"Dubai")</f>
        <v>Dubai</v>
      </c>
      <c r="B10321" s="2" t="str">
        <f ca="1">IFERROR(__xludf.DUMMYFUNCTION("""COMPUTED_VALUE"""),"Binghatti Vista")</f>
        <v>Binghatti Vista</v>
      </c>
      <c r="C10321" s="2" t="str">
        <f ca="1">IFERROR(__xludf.DUMMYFUNCTION("""COMPUTED_VALUE"""),"Building")</f>
        <v>Building</v>
      </c>
      <c r="D10321" s="2" t="str">
        <f ca="1">IFERROR(__xludf.DUMMYFUNCTION("""COMPUTED_VALUE"""),"Dubai&gt;Dubai Silicon Oasis (DSO)&gt;Binghatti Vista")</f>
        <v>Dubai&gt;Dubai Silicon Oasis (DSO)&gt;Binghatti Vista</v>
      </c>
      <c r="E10321" s="2"/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  <c r="U10321" s="2"/>
      <c r="V10321" s="2"/>
      <c r="W10321" s="2"/>
      <c r="X10321" s="2"/>
      <c r="Y10321" s="2"/>
      <c r="Z10321" s="2"/>
    </row>
    <row r="10322" spans="1:26" ht="16.5" x14ac:dyDescent="0.35">
      <c r="A10322" s="2" t="str">
        <f ca="1">IFERROR(__xludf.DUMMYFUNCTION("""COMPUTED_VALUE"""),"Dubai")</f>
        <v>Dubai</v>
      </c>
      <c r="B10322" s="2" t="str">
        <f ca="1">IFERROR(__xludf.DUMMYFUNCTION("""COMPUTED_VALUE"""),"Silicon Avenue")</f>
        <v>Silicon Avenue</v>
      </c>
      <c r="C10322" s="2" t="str">
        <f ca="1">IFERROR(__xludf.DUMMYFUNCTION("""COMPUTED_VALUE"""),"Building")</f>
        <v>Building</v>
      </c>
      <c r="D10322" s="2" t="str">
        <f ca="1">IFERROR(__xludf.DUMMYFUNCTION("""COMPUTED_VALUE"""),"Dubai&gt;Dubai Silicon Oasis (DSO)&gt;Silicon Avenue")</f>
        <v>Dubai&gt;Dubai Silicon Oasis (DSO)&gt;Silicon Avenue</v>
      </c>
      <c r="E10322" s="2"/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  <c r="U10322" s="2"/>
      <c r="V10322" s="2"/>
      <c r="W10322" s="2"/>
      <c r="X10322" s="2"/>
      <c r="Y10322" s="2"/>
      <c r="Z10322" s="2"/>
    </row>
    <row r="10323" spans="1:26" ht="16.5" x14ac:dyDescent="0.35">
      <c r="A10323" s="2" t="str">
        <f ca="1">IFERROR(__xludf.DUMMYFUNCTION("""COMPUTED_VALUE"""),"Dubai")</f>
        <v>Dubai</v>
      </c>
      <c r="B10323" s="2" t="str">
        <f ca="1">IFERROR(__xludf.DUMMYFUNCTION("""COMPUTED_VALUE"""),"Zarooni Building")</f>
        <v>Zarooni Building</v>
      </c>
      <c r="C10323" s="2" t="str">
        <f ca="1">IFERROR(__xludf.DUMMYFUNCTION("""COMPUTED_VALUE"""),"Building")</f>
        <v>Building</v>
      </c>
      <c r="D10323" s="2" t="str">
        <f ca="1">IFERROR(__xludf.DUMMYFUNCTION("""COMPUTED_VALUE"""),"Dubai&gt;Dubai Silicon Oasis (DSO)&gt;Zarooni Building")</f>
        <v>Dubai&gt;Dubai Silicon Oasis (DSO)&gt;Zarooni Building</v>
      </c>
      <c r="E10323" s="2"/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  <c r="U10323" s="2"/>
      <c r="V10323" s="2"/>
      <c r="W10323" s="2"/>
      <c r="X10323" s="2"/>
      <c r="Y10323" s="2"/>
      <c r="Z10323" s="2"/>
    </row>
    <row r="10324" spans="1:26" ht="16.5" x14ac:dyDescent="0.35">
      <c r="A10324" s="2" t="str">
        <f ca="1">IFERROR(__xludf.DUMMYFUNCTION("""COMPUTED_VALUE"""),"Dubai")</f>
        <v>Dubai</v>
      </c>
      <c r="B10324" s="2" t="str">
        <f ca="1">IFERROR(__xludf.DUMMYFUNCTION("""COMPUTED_VALUE"""),"Axis 6")</f>
        <v>Axis 6</v>
      </c>
      <c r="C10324" s="2" t="str">
        <f ca="1">IFERROR(__xludf.DUMMYFUNCTION("""COMPUTED_VALUE"""),"Building")</f>
        <v>Building</v>
      </c>
      <c r="D10324" s="2" t="str">
        <f ca="1">IFERROR(__xludf.DUMMYFUNCTION("""COMPUTED_VALUE"""),"Dubai&gt;Dubai Silicon Oasis (DSO)&gt;Axis Residences&gt;Axis 6")</f>
        <v>Dubai&gt;Dubai Silicon Oasis (DSO)&gt;Axis Residences&gt;Axis 6</v>
      </c>
      <c r="E10324" s="2"/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  <c r="U10324" s="2"/>
      <c r="V10324" s="2"/>
      <c r="W10324" s="2"/>
      <c r="X10324" s="2"/>
      <c r="Y10324" s="2"/>
      <c r="Z10324" s="2"/>
    </row>
    <row r="10325" spans="1:26" ht="16.5" x14ac:dyDescent="0.35">
      <c r="A10325" s="2" t="str">
        <f ca="1">IFERROR(__xludf.DUMMYFUNCTION("""COMPUTED_VALUE"""),"Dubai")</f>
        <v>Dubai</v>
      </c>
      <c r="B10325" s="2" t="str">
        <f ca="1">IFERROR(__xludf.DUMMYFUNCTION("""COMPUTED_VALUE"""),"Souq Extra")</f>
        <v>Souq Extra</v>
      </c>
      <c r="C10325" s="2" t="str">
        <f ca="1">IFERROR(__xludf.DUMMYFUNCTION("""COMPUTED_VALUE"""),"Building")</f>
        <v>Building</v>
      </c>
      <c r="D10325" s="2" t="str">
        <f ca="1">IFERROR(__xludf.DUMMYFUNCTION("""COMPUTED_VALUE"""),"Dubai&gt;Dubai Silicon Oasis (DSO)&gt;Souq Extra")</f>
        <v>Dubai&gt;Dubai Silicon Oasis (DSO)&gt;Souq Extra</v>
      </c>
      <c r="E10325" s="2"/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  <c r="U10325" s="2"/>
      <c r="V10325" s="2"/>
      <c r="W10325" s="2"/>
      <c r="X10325" s="2"/>
      <c r="Y10325" s="2"/>
      <c r="Z10325" s="2"/>
    </row>
    <row r="10326" spans="1:26" ht="16.5" x14ac:dyDescent="0.35">
      <c r="A10326" s="2" t="str">
        <f ca="1">IFERROR(__xludf.DUMMYFUNCTION("""COMPUTED_VALUE"""),"Dubai")</f>
        <v>Dubai</v>
      </c>
      <c r="B10326" s="2" t="str">
        <f ca="1">IFERROR(__xludf.DUMMYFUNCTION("""COMPUTED_VALUE"""),"Ashjar E3")</f>
        <v>Ashjar E3</v>
      </c>
      <c r="C10326" s="2" t="str">
        <f ca="1">IFERROR(__xludf.DUMMYFUNCTION("""COMPUTED_VALUE"""),"Building")</f>
        <v>Building</v>
      </c>
      <c r="D10326" s="2" t="str">
        <f ca="1">IFERROR(__xludf.DUMMYFUNCTION("""COMPUTED_VALUE"""),"Dubai&gt;Al Barari&gt;Ashjar&gt;Ashjar E3")</f>
        <v>Dubai&gt;Al Barari&gt;Ashjar&gt;Ashjar E3</v>
      </c>
      <c r="E10326" s="2"/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  <c r="U10326" s="2"/>
      <c r="V10326" s="2"/>
      <c r="W10326" s="2"/>
      <c r="X10326" s="2"/>
      <c r="Y10326" s="2"/>
      <c r="Z10326" s="2"/>
    </row>
    <row r="10327" spans="1:26" ht="16.5" x14ac:dyDescent="0.35">
      <c r="A10327" s="2" t="str">
        <f ca="1">IFERROR(__xludf.DUMMYFUNCTION("""COMPUTED_VALUE"""),"Dubai")</f>
        <v>Dubai</v>
      </c>
      <c r="B10327" s="2" t="str">
        <f ca="1">IFERROR(__xludf.DUMMYFUNCTION("""COMPUTED_VALUE"""),"Jasmine Leaf 8")</f>
        <v>Jasmine Leaf 8</v>
      </c>
      <c r="C10327" s="2" t="str">
        <f ca="1">IFERROR(__xludf.DUMMYFUNCTION("""COMPUTED_VALUE"""),"Neighbourhood")</f>
        <v>Neighbourhood</v>
      </c>
      <c r="D10327" s="2" t="str">
        <f ca="1">IFERROR(__xludf.DUMMYFUNCTION("""COMPUTED_VALUE"""),"Dubai&gt;Al Barari&gt;The Residences&gt;Jasmine Leaf&gt;Jasmine Leaf 8")</f>
        <v>Dubai&gt;Al Barari&gt;The Residences&gt;Jasmine Leaf&gt;Jasmine Leaf 8</v>
      </c>
      <c r="E10327" s="2"/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2"/>
      <c r="T10327" s="2"/>
      <c r="U10327" s="2"/>
      <c r="V10327" s="2"/>
      <c r="W10327" s="2"/>
      <c r="X10327" s="2"/>
      <c r="Y10327" s="2"/>
      <c r="Z10327" s="2"/>
    </row>
    <row r="10328" spans="1:26" ht="16.5" x14ac:dyDescent="0.35">
      <c r="A10328" s="2" t="str">
        <f ca="1">IFERROR(__xludf.DUMMYFUNCTION("""COMPUTED_VALUE"""),"Dubai")</f>
        <v>Dubai</v>
      </c>
      <c r="B10328" s="2" t="str">
        <f ca="1">IFERROR(__xludf.DUMMYFUNCTION("""COMPUTED_VALUE"""),"Lycée Libanais Francophone Private School")</f>
        <v>Lycée Libanais Francophone Private School</v>
      </c>
      <c r="C10328" s="2" t="str">
        <f ca="1">IFERROR(__xludf.DUMMYFUNCTION("""COMPUTED_VALUE"""),"School")</f>
        <v>School</v>
      </c>
      <c r="D10328" s="2" t="str">
        <f ca="1">IFERROR(__xludf.DUMMYFUNCTION("""COMPUTED_VALUE"""),"Dubai&gt;Mohammed Bin Rashid City&gt;District 11&gt;Lycée Libanais Francophone Private School")</f>
        <v>Dubai&gt;Mohammed Bin Rashid City&gt;District 11&gt;Lycée Libanais Francophone Private School</v>
      </c>
      <c r="E10328" s="2"/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  <c r="U10328" s="2"/>
      <c r="V10328" s="2"/>
      <c r="W10328" s="2"/>
      <c r="X10328" s="2"/>
      <c r="Y10328" s="2"/>
      <c r="Z10328" s="2"/>
    </row>
    <row r="10329" spans="1:26" ht="16.5" x14ac:dyDescent="0.35">
      <c r="A10329" s="2" t="str">
        <f ca="1">IFERROR(__xludf.DUMMYFUNCTION("""COMPUTED_VALUE"""),"Dubai")</f>
        <v>Dubai</v>
      </c>
      <c r="B10329" s="2" t="str">
        <f ca="1">IFERROR(__xludf.DUMMYFUNCTION("""COMPUTED_VALUE"""),"Knightsbridge 2")</f>
        <v>Knightsbridge 2</v>
      </c>
      <c r="C10329" s="2" t="str">
        <f ca="1">IFERROR(__xludf.DUMMYFUNCTION("""COMPUTED_VALUE"""),"Neighbourhood")</f>
        <v>Neighbourhood</v>
      </c>
      <c r="D10329" s="2" t="str">
        <f ca="1">IFERROR(__xludf.DUMMYFUNCTION("""COMPUTED_VALUE"""),"Dubai&gt;Mohammed Bin Rashid City&gt;District 11&gt;Knightsbridge 2")</f>
        <v>Dubai&gt;Mohammed Bin Rashid City&gt;District 11&gt;Knightsbridge 2</v>
      </c>
      <c r="E10329" s="2"/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  <c r="U10329" s="2"/>
      <c r="V10329" s="2"/>
      <c r="W10329" s="2"/>
      <c r="X10329" s="2"/>
      <c r="Y10329" s="2"/>
      <c r="Z10329" s="2"/>
    </row>
    <row r="10330" spans="1:26" ht="16.5" x14ac:dyDescent="0.35">
      <c r="A10330" s="2" t="str">
        <f ca="1">IFERROR(__xludf.DUMMYFUNCTION("""COMPUTED_VALUE"""),"Dubai")</f>
        <v>Dubai</v>
      </c>
      <c r="B10330" s="2" t="str">
        <f ca="1">IFERROR(__xludf.DUMMYFUNCTION("""COMPUTED_VALUE"""),"Residences 18")</f>
        <v>Residences 18</v>
      </c>
      <c r="C10330" s="2" t="str">
        <f ca="1">IFERROR(__xludf.DUMMYFUNCTION("""COMPUTED_VALUE"""),"Building")</f>
        <v>Building</v>
      </c>
      <c r="D10330" s="2" t="str">
        <f ca="1">IFERROR(__xludf.DUMMYFUNCTION("""COMPUTED_VALUE"""),"Dubai&gt;Mohammed Bin Rashid City&gt;District One&gt;The Residences at District One&gt;Residences 18")</f>
        <v>Dubai&gt;Mohammed Bin Rashid City&gt;District One&gt;The Residences at District One&gt;Residences 18</v>
      </c>
      <c r="E10330" s="2"/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  <c r="U10330" s="2"/>
      <c r="V10330" s="2"/>
      <c r="W10330" s="2"/>
      <c r="X10330" s="2"/>
      <c r="Y10330" s="2"/>
      <c r="Z10330" s="2"/>
    </row>
    <row r="10331" spans="1:26" ht="16.5" x14ac:dyDescent="0.35">
      <c r="A10331" s="2" t="str">
        <f ca="1">IFERROR(__xludf.DUMMYFUNCTION("""COMPUTED_VALUE"""),"Dubai")</f>
        <v>Dubai</v>
      </c>
      <c r="B10331" s="2" t="str">
        <f ca="1">IFERROR(__xludf.DUMMYFUNCTION("""COMPUTED_VALUE"""),"Majestique Residence 2")</f>
        <v>Majestique Residence 2</v>
      </c>
      <c r="C10331" s="2" t="str">
        <f ca="1">IFERROR(__xludf.DUMMYFUNCTION("""COMPUTED_VALUE"""),"Building")</f>
        <v>Building</v>
      </c>
      <c r="D10331" s="2" t="str">
        <f ca="1">IFERROR(__xludf.DUMMYFUNCTION("""COMPUTED_VALUE"""),"Dubai&gt;Dubai South&gt;Residential District&gt;Majestique Residences&gt;Majestique Residence 2")</f>
        <v>Dubai&gt;Dubai South&gt;Residential District&gt;Majestique Residences&gt;Majestique Residence 2</v>
      </c>
      <c r="E10331" s="2"/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  <c r="U10331" s="2"/>
      <c r="V10331" s="2"/>
      <c r="W10331" s="2"/>
      <c r="X10331" s="2"/>
      <c r="Y10331" s="2"/>
      <c r="Z10331" s="2"/>
    </row>
    <row r="10332" spans="1:26" ht="16.5" x14ac:dyDescent="0.35">
      <c r="A10332" s="2" t="str">
        <f ca="1">IFERROR(__xludf.DUMMYFUNCTION("""COMPUTED_VALUE"""),"Dubai")</f>
        <v>Dubai</v>
      </c>
      <c r="B10332" s="2" t="str">
        <f ca="1">IFERROR(__xludf.DUMMYFUNCTION("""COMPUTED_VALUE"""),"MAG 5 Boulevard")</f>
        <v>MAG 5 Boulevard</v>
      </c>
      <c r="C10332" s="2" t="str">
        <f ca="1">IFERROR(__xludf.DUMMYFUNCTION("""COMPUTED_VALUE"""),"Cluster")</f>
        <v>Cluster</v>
      </c>
      <c r="D10332" s="2" t="str">
        <f ca="1">IFERROR(__xludf.DUMMYFUNCTION("""COMPUTED_VALUE"""),"Dubai&gt;Dubai South&gt;Residential District&gt;MAG 5 Boulevard")</f>
        <v>Dubai&gt;Dubai South&gt;Residential District&gt;MAG 5 Boulevard</v>
      </c>
      <c r="E10332" s="2"/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  <c r="U10332" s="2"/>
      <c r="V10332" s="2"/>
      <c r="W10332" s="2"/>
      <c r="X10332" s="2"/>
      <c r="Y10332" s="2"/>
      <c r="Z10332" s="2"/>
    </row>
    <row r="10333" spans="1:26" ht="16.5" x14ac:dyDescent="0.35">
      <c r="A10333" s="2" t="str">
        <f ca="1">IFERROR(__xludf.DUMMYFUNCTION("""COMPUTED_VALUE"""),"Dubai")</f>
        <v>Dubai</v>
      </c>
      <c r="B10333" s="2" t="str">
        <f ca="1">IFERROR(__xludf.DUMMYFUNCTION("""COMPUTED_VALUE"""),"AG 11")</f>
        <v>AG 11</v>
      </c>
      <c r="C10333" s="2" t="str">
        <f ca="1">IFERROR(__xludf.DUMMYFUNCTION("""COMPUTED_VALUE"""),"Building")</f>
        <v>Building</v>
      </c>
      <c r="D10333" s="2" t="str">
        <f ca="1">IFERROR(__xludf.DUMMYFUNCTION("""COMPUTED_VALUE"""),"Dubai&gt;Dubai South&gt;Residential District&gt;AG 11")</f>
        <v>Dubai&gt;Dubai South&gt;Residential District&gt;AG 11</v>
      </c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  <c r="V10333" s="2"/>
      <c r="W10333" s="2"/>
      <c r="X10333" s="2"/>
      <c r="Y10333" s="2"/>
      <c r="Z10333" s="2"/>
    </row>
    <row r="10334" spans="1:26" ht="16.5" x14ac:dyDescent="0.35">
      <c r="A10334" s="2" t="str">
        <f ca="1">IFERROR(__xludf.DUMMYFUNCTION("""COMPUTED_VALUE"""),"Dubai")</f>
        <v>Dubai</v>
      </c>
      <c r="B10334" s="2" t="str">
        <f ca="1">IFERROR(__xludf.DUMMYFUNCTION("""COMPUTED_VALUE"""),"Golden Woods Albab Views")</f>
        <v>Golden Woods Albab Views</v>
      </c>
      <c r="C10334" s="2" t="str">
        <f ca="1">IFERROR(__xludf.DUMMYFUNCTION("""COMPUTED_VALUE"""),"Building")</f>
        <v>Building</v>
      </c>
      <c r="D10334" s="2" t="str">
        <f ca="1">IFERROR(__xludf.DUMMYFUNCTION("""COMPUTED_VALUE"""),"Dubai&gt;Dubai South&gt;Residential District&gt;Golden Woods Albab Views")</f>
        <v>Dubai&gt;Dubai South&gt;Residential District&gt;Golden Woods Albab Views</v>
      </c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  <c r="V10334" s="2"/>
      <c r="W10334" s="2"/>
      <c r="X10334" s="2"/>
      <c r="Y10334" s="2"/>
      <c r="Z10334" s="2"/>
    </row>
    <row r="10335" spans="1:26" ht="16.5" x14ac:dyDescent="0.35">
      <c r="A10335" s="2" t="str">
        <f ca="1">IFERROR(__xludf.DUMMYFUNCTION("""COMPUTED_VALUE"""),"Dubai")</f>
        <v>Dubai</v>
      </c>
      <c r="B10335" s="2" t="str">
        <f ca="1">IFERROR(__xludf.DUMMYFUNCTION("""COMPUTED_VALUE"""),"Expo Golf Villas 3 (Parkside 3)")</f>
        <v>Expo Golf Villas 3 (Parkside 3)</v>
      </c>
      <c r="C10335" s="2" t="str">
        <f ca="1">IFERROR(__xludf.DUMMYFUNCTION("""COMPUTED_VALUE"""),"Neighbourhood")</f>
        <v>Neighbourhood</v>
      </c>
      <c r="D10335" s="2" t="str">
        <f ca="1">IFERROR(__xludf.DUMMYFUNCTION("""COMPUTED_VALUE"""),"Dubai&gt;Dubai South&gt;Emaar South&gt;Expo Golf Villas&gt;Expo Golf Villas 3 (Parkside 3)")</f>
        <v>Dubai&gt;Dubai South&gt;Emaar South&gt;Expo Golf Villas&gt;Expo Golf Villas 3 (Parkside 3)</v>
      </c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  <c r="V10335" s="2"/>
      <c r="W10335" s="2"/>
      <c r="X10335" s="2"/>
      <c r="Y10335" s="2"/>
      <c r="Z10335" s="2"/>
    </row>
    <row r="10336" spans="1:26" ht="16.5" x14ac:dyDescent="0.35">
      <c r="A10336" s="2" t="str">
        <f ca="1">IFERROR(__xludf.DUMMYFUNCTION("""COMPUTED_VALUE"""),"Dubai")</f>
        <v>Dubai</v>
      </c>
      <c r="B10336" s="2" t="str">
        <f ca="1">IFERROR(__xludf.DUMMYFUNCTION("""COMPUTED_VALUE"""),"Golf Verge")</f>
        <v>Golf Verge</v>
      </c>
      <c r="C10336" s="2" t="str">
        <f ca="1">IFERROR(__xludf.DUMMYFUNCTION("""COMPUTED_VALUE"""),"Cluster")</f>
        <v>Cluster</v>
      </c>
      <c r="D10336" s="2" t="str">
        <f ca="1">IFERROR(__xludf.DUMMYFUNCTION("""COMPUTED_VALUE"""),"Dubai&gt;Dubai South&gt;Emaar South&gt;Golf Verge")</f>
        <v>Dubai&gt;Dubai South&gt;Emaar South&gt;Golf Verge</v>
      </c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  <c r="V10336" s="2"/>
      <c r="W10336" s="2"/>
      <c r="X10336" s="2"/>
      <c r="Y10336" s="2"/>
      <c r="Z10336" s="2"/>
    </row>
    <row r="10337" spans="1:26" ht="16.5" x14ac:dyDescent="0.35">
      <c r="A10337" s="2" t="str">
        <f ca="1">IFERROR(__xludf.DUMMYFUNCTION("""COMPUTED_VALUE"""),"Dubai")</f>
        <v>Dubai</v>
      </c>
      <c r="B10337" s="2" t="str">
        <f ca="1">IFERROR(__xludf.DUMMYFUNCTION("""COMPUTED_VALUE"""),"Sakany")</f>
        <v>Sakany</v>
      </c>
      <c r="C10337" s="2" t="str">
        <f ca="1">IFERROR(__xludf.DUMMYFUNCTION("""COMPUTED_VALUE"""),"Neighbourhood")</f>
        <v>Neighbourhood</v>
      </c>
      <c r="D10337" s="2" t="str">
        <f ca="1">IFERROR(__xludf.DUMMYFUNCTION("""COMPUTED_VALUE"""),"Dubai&gt;Dubai South&gt;Aviation City&gt;Sakany")</f>
        <v>Dubai&gt;Dubai South&gt;Aviation City&gt;Sakany</v>
      </c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  <c r="V10337" s="2"/>
      <c r="W10337" s="2"/>
      <c r="X10337" s="2"/>
      <c r="Y10337" s="2"/>
      <c r="Z10337" s="2"/>
    </row>
    <row r="10338" spans="1:26" ht="16.5" x14ac:dyDescent="0.35">
      <c r="A10338" s="2" t="str">
        <f ca="1">IFERROR(__xludf.DUMMYFUNCTION("""COMPUTED_VALUE"""),"Dubai")</f>
        <v>Dubai</v>
      </c>
      <c r="B10338" s="2" t="str">
        <f ca="1">IFERROR(__xludf.DUMMYFUNCTION("""COMPUTED_VALUE"""),"Azizi Venice 9 Building B")</f>
        <v>Azizi Venice 9 Building B</v>
      </c>
      <c r="C10338" s="2" t="str">
        <f ca="1">IFERROR(__xludf.DUMMYFUNCTION("""COMPUTED_VALUE"""),"Building")</f>
        <v>Building</v>
      </c>
      <c r="D10338" s="2" t="str">
        <f ca="1">IFERROR(__xludf.DUMMYFUNCTION("""COMPUTED_VALUE"""),"Dubai&gt;Dubai South&gt;Azizi Venice&gt;Azizi Venice 9&gt;Azizi Venice 9 Building B")</f>
        <v>Dubai&gt;Dubai South&gt;Azizi Venice&gt;Azizi Venice 9&gt;Azizi Venice 9 Building B</v>
      </c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  <c r="V10338" s="2"/>
      <c r="W10338" s="2"/>
      <c r="X10338" s="2"/>
      <c r="Y10338" s="2"/>
      <c r="Z10338" s="2"/>
    </row>
    <row r="10339" spans="1:26" ht="16.5" x14ac:dyDescent="0.35">
      <c r="A10339" s="2" t="str">
        <f ca="1">IFERROR(__xludf.DUMMYFUNCTION("""COMPUTED_VALUE"""),"Dubai")</f>
        <v>Dubai</v>
      </c>
      <c r="B10339" s="2" t="str">
        <f ca="1">IFERROR(__xludf.DUMMYFUNCTION("""COMPUTED_VALUE"""),"Rayhan 1")</f>
        <v>Rayhan 1</v>
      </c>
      <c r="C10339" s="2" t="str">
        <f ca="1">IFERROR(__xludf.DUMMYFUNCTION("""COMPUTED_VALUE"""),"Neighbourhood")</f>
        <v>Neighbourhood</v>
      </c>
      <c r="D10339" s="2" t="str">
        <f ca="1">IFERROR(__xludf.DUMMYFUNCTION("""COMPUTED_VALUE"""),"Dubai&gt;Dubai South&gt;Waada&gt;Rayhan 1")</f>
        <v>Dubai&gt;Dubai South&gt;Waada&gt;Rayhan 1</v>
      </c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  <c r="U10339" s="2"/>
      <c r="V10339" s="2"/>
      <c r="W10339" s="2"/>
      <c r="X10339" s="2"/>
      <c r="Y10339" s="2"/>
      <c r="Z10339" s="2"/>
    </row>
    <row r="10340" spans="1:26" ht="16.5" x14ac:dyDescent="0.35">
      <c r="A10340" s="2" t="str">
        <f ca="1">IFERROR(__xludf.DUMMYFUNCTION("""COMPUTED_VALUE"""),"Dubai")</f>
        <v>Dubai</v>
      </c>
      <c r="B10340" s="2" t="str">
        <f ca="1">IFERROR(__xludf.DUMMYFUNCTION("""COMPUTED_VALUE"""),"Aga Khan Early Learning Centre")</f>
        <v>Aga Khan Early Learning Centre</v>
      </c>
      <c r="C10340" s="2" t="str">
        <f ca="1">IFERROR(__xludf.DUMMYFUNCTION("""COMPUTED_VALUE"""),"Nursery")</f>
        <v>Nursery</v>
      </c>
      <c r="D10340" s="2" t="str">
        <f ca="1">IFERROR(__xludf.DUMMYFUNCTION("""COMPUTED_VALUE"""),"Dubai&gt;Bur Dubai&gt;Oud Metha&gt;Aga Khan Early Learning Centre")</f>
        <v>Dubai&gt;Bur Dubai&gt;Oud Metha&gt;Aga Khan Early Learning Centre</v>
      </c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  <c r="V10340" s="2"/>
      <c r="W10340" s="2"/>
      <c r="X10340" s="2"/>
      <c r="Y10340" s="2"/>
      <c r="Z10340" s="2"/>
    </row>
    <row r="10341" spans="1:26" ht="16.5" x14ac:dyDescent="0.35">
      <c r="A10341" s="2" t="str">
        <f ca="1">IFERROR(__xludf.DUMMYFUNCTION("""COMPUTED_VALUE"""),"Dubai")</f>
        <v>Dubai</v>
      </c>
      <c r="B10341" s="2" t="str">
        <f ca="1">IFERROR(__xludf.DUMMYFUNCTION("""COMPUTED_VALUE"""),"ABA Residences")</f>
        <v>ABA Residences</v>
      </c>
      <c r="C10341" s="2" t="str">
        <f ca="1">IFERROR(__xludf.DUMMYFUNCTION("""COMPUTED_VALUE"""),"Building")</f>
        <v>Building</v>
      </c>
      <c r="D10341" s="2" t="str">
        <f ca="1">IFERROR(__xludf.DUMMYFUNCTION("""COMPUTED_VALUE"""),"Dubai&gt;Bur Dubai&gt;Oud Metha&gt;ABA Residences")</f>
        <v>Dubai&gt;Bur Dubai&gt;Oud Metha&gt;ABA Residences</v>
      </c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  <c r="V10341" s="2"/>
      <c r="W10341" s="2"/>
      <c r="X10341" s="2"/>
      <c r="Y10341" s="2"/>
      <c r="Z10341" s="2"/>
    </row>
    <row r="10342" spans="1:26" ht="16.5" x14ac:dyDescent="0.35">
      <c r="A10342" s="2" t="str">
        <f ca="1">IFERROR(__xludf.DUMMYFUNCTION("""COMPUTED_VALUE"""),"Dubai")</f>
        <v>Dubai</v>
      </c>
      <c r="B10342" s="2" t="str">
        <f ca="1">IFERROR(__xludf.DUMMYFUNCTION("""COMPUTED_VALUE"""),"Al Reffa Building")</f>
        <v>Al Reffa Building</v>
      </c>
      <c r="C10342" s="2" t="str">
        <f ca="1">IFERROR(__xludf.DUMMYFUNCTION("""COMPUTED_VALUE"""),"Building")</f>
        <v>Building</v>
      </c>
      <c r="D10342" s="2" t="str">
        <f ca="1">IFERROR(__xludf.DUMMYFUNCTION("""COMPUTED_VALUE"""),"Dubai&gt;Bur Dubai&gt;Al Raffa&gt;Al Reffa Building")</f>
        <v>Dubai&gt;Bur Dubai&gt;Al Raffa&gt;Al Reffa Building</v>
      </c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  <c r="V10342" s="2"/>
      <c r="W10342" s="2"/>
      <c r="X10342" s="2"/>
      <c r="Y10342" s="2"/>
      <c r="Z10342" s="2"/>
    </row>
    <row r="10343" spans="1:26" ht="16.5" x14ac:dyDescent="0.35">
      <c r="A10343" s="2" t="str">
        <f ca="1">IFERROR(__xludf.DUMMYFUNCTION("""COMPUTED_VALUE"""),"Dubai")</f>
        <v>Dubai</v>
      </c>
      <c r="B10343" s="2" t="str">
        <f ca="1">IFERROR(__xludf.DUMMYFUNCTION("""COMPUTED_VALUE"""),"Sony Building")</f>
        <v>Sony Building</v>
      </c>
      <c r="C10343" s="2" t="str">
        <f ca="1">IFERROR(__xludf.DUMMYFUNCTION("""COMPUTED_VALUE"""),"Building")</f>
        <v>Building</v>
      </c>
      <c r="D10343" s="2" t="str">
        <f ca="1">IFERROR(__xludf.DUMMYFUNCTION("""COMPUTED_VALUE"""),"Dubai&gt;Bur Dubai&gt;Al Raffa&gt;Sony Building")</f>
        <v>Dubai&gt;Bur Dubai&gt;Al Raffa&gt;Sony Building</v>
      </c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  <c r="V10343" s="2"/>
      <c r="W10343" s="2"/>
      <c r="X10343" s="2"/>
      <c r="Y10343" s="2"/>
      <c r="Z10343" s="2"/>
    </row>
    <row r="10344" spans="1:26" ht="16.5" x14ac:dyDescent="0.35">
      <c r="A10344" s="2" t="str">
        <f ca="1">IFERROR(__xludf.DUMMYFUNCTION("""COMPUTED_VALUE"""),"Dubai")</f>
        <v>Dubai</v>
      </c>
      <c r="B10344" s="2" t="str">
        <f ca="1">IFERROR(__xludf.DUMMYFUNCTION("""COMPUTED_VALUE"""),"Ajdan Residence")</f>
        <v>Ajdan Residence</v>
      </c>
      <c r="C10344" s="2" t="str">
        <f ca="1">IFERROR(__xludf.DUMMYFUNCTION("""COMPUTED_VALUE"""),"Building")</f>
        <v>Building</v>
      </c>
      <c r="D10344" s="2" t="str">
        <f ca="1">IFERROR(__xludf.DUMMYFUNCTION("""COMPUTED_VALUE"""),"Dubai&gt;Bur Dubai&gt;Al Mankhool&gt;Ajdan Residence")</f>
        <v>Dubai&gt;Bur Dubai&gt;Al Mankhool&gt;Ajdan Residence</v>
      </c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  <c r="V10344" s="2"/>
      <c r="W10344" s="2"/>
      <c r="X10344" s="2"/>
      <c r="Y10344" s="2"/>
      <c r="Z10344" s="2"/>
    </row>
    <row r="10345" spans="1:26" ht="16.5" x14ac:dyDescent="0.35">
      <c r="A10345" s="2" t="str">
        <f ca="1">IFERROR(__xludf.DUMMYFUNCTION("""COMPUTED_VALUE"""),"Dubai")</f>
        <v>Dubai</v>
      </c>
      <c r="B10345" s="2" t="str">
        <f ca="1">IFERROR(__xludf.DUMMYFUNCTION("""COMPUTED_VALUE"""),"Blue Waves Residence")</f>
        <v>Blue Waves Residence</v>
      </c>
      <c r="C10345" s="2" t="str">
        <f ca="1">IFERROR(__xludf.DUMMYFUNCTION("""COMPUTED_VALUE"""),"Building")</f>
        <v>Building</v>
      </c>
      <c r="D10345" s="2" t="str">
        <f ca="1">IFERROR(__xludf.DUMMYFUNCTION("""COMPUTED_VALUE"""),"Dubai&gt;Bur Dubai&gt;Al Mankhool&gt;Blue Waves Residence")</f>
        <v>Dubai&gt;Bur Dubai&gt;Al Mankhool&gt;Blue Waves Residence</v>
      </c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  <c r="V10345" s="2"/>
      <c r="W10345" s="2"/>
      <c r="X10345" s="2"/>
      <c r="Y10345" s="2"/>
      <c r="Z10345" s="2"/>
    </row>
    <row r="10346" spans="1:26" ht="16.5" x14ac:dyDescent="0.35">
      <c r="A10346" s="2" t="str">
        <f ca="1">IFERROR(__xludf.DUMMYFUNCTION("""COMPUTED_VALUE"""),"Dubai")</f>
        <v>Dubai</v>
      </c>
      <c r="B10346" s="2" t="str">
        <f ca="1">IFERROR(__xludf.DUMMYFUNCTION("""COMPUTED_VALUE"""),"The Waves Residence")</f>
        <v>The Waves Residence</v>
      </c>
      <c r="C10346" s="2" t="str">
        <f ca="1">IFERROR(__xludf.DUMMYFUNCTION("""COMPUTED_VALUE"""),"Building")</f>
        <v>Building</v>
      </c>
      <c r="D10346" s="2" t="str">
        <f ca="1">IFERROR(__xludf.DUMMYFUNCTION("""COMPUTED_VALUE"""),"Dubai&gt;Bur Dubai&gt;Al Mankhool&gt;The Waves Residence")</f>
        <v>Dubai&gt;Bur Dubai&gt;Al Mankhool&gt;The Waves Residence</v>
      </c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  <c r="V10346" s="2"/>
      <c r="W10346" s="2"/>
      <c r="X10346" s="2"/>
      <c r="Y10346" s="2"/>
      <c r="Z10346" s="2"/>
    </row>
    <row r="10347" spans="1:26" ht="16.5" x14ac:dyDescent="0.35">
      <c r="A10347" s="2" t="str">
        <f ca="1">IFERROR(__xludf.DUMMYFUNCTION("""COMPUTED_VALUE"""),"Dubai")</f>
        <v>Dubai</v>
      </c>
      <c r="B10347" s="2" t="str">
        <f ca="1">IFERROR(__xludf.DUMMYFUNCTION("""COMPUTED_VALUE"""),"Park Gate Residence B")</f>
        <v>Park Gate Residence B</v>
      </c>
      <c r="C10347" s="2" t="str">
        <f ca="1">IFERROR(__xludf.DUMMYFUNCTION("""COMPUTED_VALUE"""),"Building")</f>
        <v>Building</v>
      </c>
      <c r="D10347" s="2" t="str">
        <f ca="1">IFERROR(__xludf.DUMMYFUNCTION("""COMPUTED_VALUE"""),"Dubai&gt;Bur Dubai&gt;Al Kifaf&gt;Park Gate Residence&gt;Park Gate Residence B")</f>
        <v>Dubai&gt;Bur Dubai&gt;Al Kifaf&gt;Park Gate Residence&gt;Park Gate Residence B</v>
      </c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  <c r="V10347" s="2"/>
      <c r="W10347" s="2"/>
      <c r="X10347" s="2"/>
      <c r="Y10347" s="2"/>
      <c r="Z10347" s="2"/>
    </row>
    <row r="10348" spans="1:26" ht="16.5" x14ac:dyDescent="0.35">
      <c r="A10348" s="2" t="str">
        <f ca="1">IFERROR(__xludf.DUMMYFUNCTION("""COMPUTED_VALUE"""),"Dubai")</f>
        <v>Dubai</v>
      </c>
      <c r="B10348" s="2" t="str">
        <f ca="1">IFERROR(__xludf.DUMMYFUNCTION("""COMPUTED_VALUE"""),"Saeed Bin Thani Building")</f>
        <v>Saeed Bin Thani Building</v>
      </c>
      <c r="C10348" s="2" t="str">
        <f ca="1">IFERROR(__xludf.DUMMYFUNCTION("""COMPUTED_VALUE"""),"Building")</f>
        <v>Building</v>
      </c>
      <c r="D10348" s="2" t="str">
        <f ca="1">IFERROR(__xludf.DUMMYFUNCTION("""COMPUTED_VALUE"""),"Dubai&gt;Bur Dubai&gt;Umm Hurair&gt;Umm Hurair 1&gt;Saeed Bin Thani Building")</f>
        <v>Dubai&gt;Bur Dubai&gt;Umm Hurair&gt;Umm Hurair 1&gt;Saeed Bin Thani Building</v>
      </c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  <c r="V10348" s="2"/>
      <c r="W10348" s="2"/>
      <c r="X10348" s="2"/>
      <c r="Y10348" s="2"/>
      <c r="Z10348" s="2"/>
    </row>
    <row r="10349" spans="1:26" ht="16.5" x14ac:dyDescent="0.35">
      <c r="A10349" s="2" t="str">
        <f ca="1">IFERROR(__xludf.DUMMYFUNCTION("""COMPUTED_VALUE"""),"Dubai")</f>
        <v>Dubai</v>
      </c>
      <c r="B10349" s="2" t="str">
        <f ca="1">IFERROR(__xludf.DUMMYFUNCTION("""COMPUTED_VALUE"""),"Waqf Al Musalla Building")</f>
        <v>Waqf Al Musalla Building</v>
      </c>
      <c r="C10349" s="2" t="str">
        <f ca="1">IFERROR(__xludf.DUMMYFUNCTION("""COMPUTED_VALUE"""),"Building")</f>
        <v>Building</v>
      </c>
      <c r="D10349" s="2" t="str">
        <f ca="1">IFERROR(__xludf.DUMMYFUNCTION("""COMPUTED_VALUE"""),"Dubai&gt;Bur Dubai&gt;Al Souk Al Kabeer (Al Fahidi)&gt;Waqf Al Musalla Building")</f>
        <v>Dubai&gt;Bur Dubai&gt;Al Souk Al Kabeer (Al Fahidi)&gt;Waqf Al Musalla Building</v>
      </c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  <c r="V10349" s="2"/>
      <c r="W10349" s="2"/>
      <c r="X10349" s="2"/>
      <c r="Y10349" s="2"/>
      <c r="Z10349" s="2"/>
    </row>
    <row r="10350" spans="1:26" ht="16.5" x14ac:dyDescent="0.35">
      <c r="A10350" s="2" t="str">
        <f ca="1">IFERROR(__xludf.DUMMYFUNCTION("""COMPUTED_VALUE"""),"Dubai")</f>
        <v>Dubai</v>
      </c>
      <c r="B10350" s="2" t="str">
        <f ca="1">IFERROR(__xludf.DUMMYFUNCTION("""COMPUTED_VALUE"""),"Masaken Al Hamriya 01")</f>
        <v>Masaken Al Hamriya 01</v>
      </c>
      <c r="C10350" s="2" t="str">
        <f ca="1">IFERROR(__xludf.DUMMYFUNCTION("""COMPUTED_VALUE"""),"Building")</f>
        <v>Building</v>
      </c>
      <c r="D10350" s="2" t="str">
        <f ca="1">IFERROR(__xludf.DUMMYFUNCTION("""COMPUTED_VALUE"""),"Dubai&gt;Bur Dubai&gt;Al Hamriya&gt;Masaken Al Hamriya 01")</f>
        <v>Dubai&gt;Bur Dubai&gt;Al Hamriya&gt;Masaken Al Hamriya 01</v>
      </c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  <c r="V10350" s="2"/>
      <c r="W10350" s="2"/>
      <c r="X10350" s="2"/>
      <c r="Y10350" s="2"/>
      <c r="Z10350" s="2"/>
    </row>
    <row r="10351" spans="1:26" ht="16.5" x14ac:dyDescent="0.35">
      <c r="A10351" s="2" t="str">
        <f ca="1">IFERROR(__xludf.DUMMYFUNCTION("""COMPUTED_VALUE"""),"Dubai")</f>
        <v>Dubai</v>
      </c>
      <c r="B10351" s="2" t="str">
        <f ca="1">IFERROR(__xludf.DUMMYFUNCTION("""COMPUTED_VALUE"""),"DHCC Building 24")</f>
        <v>DHCC Building 24</v>
      </c>
      <c r="C10351" s="2" t="str">
        <f ca="1">IFERROR(__xludf.DUMMYFUNCTION("""COMPUTED_VALUE"""),"Building")</f>
        <v>Building</v>
      </c>
      <c r="D10351" s="2" t="str">
        <f ca="1">IFERROR(__xludf.DUMMYFUNCTION("""COMPUTED_VALUE"""),"Dubai&gt;Bur Dubai&gt;Dubai Healthcare City&gt;DHCC Building 24")</f>
        <v>Dubai&gt;Bur Dubai&gt;Dubai Healthcare City&gt;DHCC Building 24</v>
      </c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  <c r="U10351" s="2"/>
      <c r="V10351" s="2"/>
      <c r="W10351" s="2"/>
      <c r="X10351" s="2"/>
      <c r="Y10351" s="2"/>
      <c r="Z10351" s="2"/>
    </row>
    <row r="10352" spans="1:26" ht="16.5" x14ac:dyDescent="0.35">
      <c r="A10352" s="2" t="str">
        <f ca="1">IFERROR(__xludf.DUMMYFUNCTION("""COMPUTED_VALUE"""),"Dubai")</f>
        <v>Dubai</v>
      </c>
      <c r="B10352" s="2" t="str">
        <f ca="1">IFERROR(__xludf.DUMMYFUNCTION("""COMPUTED_VALUE"""),"Hillside")</f>
        <v>Hillside</v>
      </c>
      <c r="C10352" s="2" t="str">
        <f ca="1">IFERROR(__xludf.DUMMYFUNCTION("""COMPUTED_VALUE"""),"Neighbourhood")</f>
        <v>Neighbourhood</v>
      </c>
      <c r="D10352" s="2" t="str">
        <f ca="1">IFERROR(__xludf.DUMMYFUNCTION("""COMPUTED_VALUE"""),"Dubai&gt;Jumeirah Golf Estates&gt;Hillside")</f>
        <v>Dubai&gt;Jumeirah Golf Estates&gt;Hillside</v>
      </c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  <c r="V10352" s="2"/>
      <c r="W10352" s="2"/>
      <c r="X10352" s="2"/>
      <c r="Y10352" s="2"/>
      <c r="Z10352" s="2"/>
    </row>
    <row r="10353" spans="1:26" ht="16.5" x14ac:dyDescent="0.35">
      <c r="A10353" s="2" t="str">
        <f ca="1">IFERROR(__xludf.DUMMYFUNCTION("""COMPUTED_VALUE"""),"Dubai")</f>
        <v>Dubai</v>
      </c>
      <c r="B10353" s="2" t="str">
        <f ca="1">IFERROR(__xludf.DUMMYFUNCTION("""COMPUTED_VALUE"""),"Beach Vista")</f>
        <v>Beach Vista</v>
      </c>
      <c r="C10353" s="2" t="str">
        <f ca="1">IFERROR(__xludf.DUMMYFUNCTION("""COMPUTED_VALUE"""),"Cluster")</f>
        <v>Cluster</v>
      </c>
      <c r="D10353" s="2" t="str">
        <f ca="1">IFERROR(__xludf.DUMMYFUNCTION("""COMPUTED_VALUE"""),"Dubai&gt;Dubai Harbour&gt;Emaar Beachfront&gt;Beach Vista")</f>
        <v>Dubai&gt;Dubai Harbour&gt;Emaar Beachfront&gt;Beach Vista</v>
      </c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  <c r="V10353" s="2"/>
      <c r="W10353" s="2"/>
      <c r="X10353" s="2"/>
      <c r="Y10353" s="2"/>
      <c r="Z10353" s="2"/>
    </row>
    <row r="10354" spans="1:26" ht="16.5" x14ac:dyDescent="0.35">
      <c r="A10354" s="2" t="str">
        <f ca="1">IFERROR(__xludf.DUMMYFUNCTION("""COMPUTED_VALUE"""),"Dubai")</f>
        <v>Dubai</v>
      </c>
      <c r="B10354" s="2" t="str">
        <f ca="1">IFERROR(__xludf.DUMMYFUNCTION("""COMPUTED_VALUE"""),"Dubai Harbour Residences")</f>
        <v>Dubai Harbour Residences</v>
      </c>
      <c r="C10354" s="2" t="str">
        <f ca="1">IFERROR(__xludf.DUMMYFUNCTION("""COMPUTED_VALUE"""),"Cluster")</f>
        <v>Cluster</v>
      </c>
      <c r="D10354" s="2" t="str">
        <f ca="1">IFERROR(__xludf.DUMMYFUNCTION("""COMPUTED_VALUE"""),"Dubai&gt;Dubai Harbour&gt;Dubai Harbour Residences")</f>
        <v>Dubai&gt;Dubai Harbour&gt;Dubai Harbour Residences</v>
      </c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  <c r="V10354" s="2"/>
      <c r="W10354" s="2"/>
      <c r="X10354" s="2"/>
      <c r="Y10354" s="2"/>
      <c r="Z10354" s="2"/>
    </row>
    <row r="10355" spans="1:26" ht="16.5" x14ac:dyDescent="0.35">
      <c r="A10355" s="2" t="str">
        <f ca="1">IFERROR(__xludf.DUMMYFUNCTION("""COMPUTED_VALUE"""),"Dubai")</f>
        <v>Dubai</v>
      </c>
      <c r="B10355" s="2" t="str">
        <f ca="1">IFERROR(__xludf.DUMMYFUNCTION("""COMPUTED_VALUE"""),"Viridis Tower D")</f>
        <v>Viridis Tower D</v>
      </c>
      <c r="C10355" s="2" t="str">
        <f ca="1">IFERROR(__xludf.DUMMYFUNCTION("""COMPUTED_VALUE"""),"Building")</f>
        <v>Building</v>
      </c>
      <c r="D10355" s="2" t="str">
        <f ca="1">IFERROR(__xludf.DUMMYFUNCTION("""COMPUTED_VALUE"""),"Dubai&gt;DAMAC Hills 2 (Akoya by DAMAC)&gt;Viridis Residence and Hotel Apartments&gt;Viridis Tower D")</f>
        <v>Dubai&gt;DAMAC Hills 2 (Akoya by DAMAC)&gt;Viridis Residence and Hotel Apartments&gt;Viridis Tower D</v>
      </c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  <c r="V10355" s="2"/>
      <c r="W10355" s="2"/>
      <c r="X10355" s="2"/>
      <c r="Y10355" s="2"/>
      <c r="Z10355" s="2"/>
    </row>
    <row r="10356" spans="1:26" ht="16.5" x14ac:dyDescent="0.35">
      <c r="A10356" s="2" t="str">
        <f ca="1">IFERROR(__xludf.DUMMYFUNCTION("""COMPUTED_VALUE"""),"Dubai")</f>
        <v>Dubai</v>
      </c>
      <c r="B10356" s="2" t="str">
        <f ca="1">IFERROR(__xludf.DUMMYFUNCTION("""COMPUTED_VALUE"""),"Morocco Cluster")</f>
        <v>Morocco Cluster</v>
      </c>
      <c r="C10356" s="2" t="str">
        <f ca="1">IFERROR(__xludf.DUMMYFUNCTION("""COMPUTED_VALUE"""),"Neighbourhood")</f>
        <v>Neighbourhood</v>
      </c>
      <c r="D10356" s="2" t="str">
        <f ca="1">IFERROR(__xludf.DUMMYFUNCTION("""COMPUTED_VALUE"""),"Dubai&gt;International City&gt;Morocco Cluster")</f>
        <v>Dubai&gt;International City&gt;Morocco Cluster</v>
      </c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  <c r="V10356" s="2"/>
      <c r="W10356" s="2"/>
      <c r="X10356" s="2"/>
      <c r="Y10356" s="2"/>
      <c r="Z10356" s="2"/>
    </row>
    <row r="10357" spans="1:26" ht="16.5" x14ac:dyDescent="0.35">
      <c r="A10357" s="2" t="str">
        <f ca="1">IFERROR(__xludf.DUMMYFUNCTION("""COMPUTED_VALUE"""),"Dubai")</f>
        <v>Dubai</v>
      </c>
      <c r="B10357" s="2" t="str">
        <f ca="1">IFERROR(__xludf.DUMMYFUNCTION("""COMPUTED_VALUE"""),"G-08")</f>
        <v>G-08</v>
      </c>
      <c r="C10357" s="2" t="str">
        <f ca="1">IFERROR(__xludf.DUMMYFUNCTION("""COMPUTED_VALUE"""),"Building")</f>
        <v>Building</v>
      </c>
      <c r="D10357" s="2" t="str">
        <f ca="1">IFERROR(__xludf.DUMMYFUNCTION("""COMPUTED_VALUE"""),"Dubai&gt;International City&gt;Morocco Cluster&gt;G-08")</f>
        <v>Dubai&gt;International City&gt;Morocco Cluster&gt;G-08</v>
      </c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  <c r="V10357" s="2"/>
      <c r="W10357" s="2"/>
      <c r="X10357" s="2"/>
      <c r="Y10357" s="2"/>
      <c r="Z10357" s="2"/>
    </row>
    <row r="10358" spans="1:26" ht="16.5" x14ac:dyDescent="0.35">
      <c r="A10358" s="2" t="str">
        <f ca="1">IFERROR(__xludf.DUMMYFUNCTION("""COMPUTED_VALUE"""),"Dubai")</f>
        <v>Dubai</v>
      </c>
      <c r="B10358" s="2" t="str">
        <f ca="1">IFERROR(__xludf.DUMMYFUNCTION("""COMPUTED_VALUE"""),"A-06")</f>
        <v>A-06</v>
      </c>
      <c r="C10358" s="2" t="str">
        <f ca="1">IFERROR(__xludf.DUMMYFUNCTION("""COMPUTED_VALUE"""),"Building")</f>
        <v>Building</v>
      </c>
      <c r="D10358" s="2" t="str">
        <f ca="1">IFERROR(__xludf.DUMMYFUNCTION("""COMPUTED_VALUE"""),"Dubai&gt;International City&gt;China Cluster&gt;A-06")</f>
        <v>Dubai&gt;International City&gt;China Cluster&gt;A-06</v>
      </c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  <c r="V10358" s="2"/>
      <c r="W10358" s="2"/>
      <c r="X10358" s="2"/>
      <c r="Y10358" s="2"/>
      <c r="Z10358" s="2"/>
    </row>
    <row r="10359" spans="1:26" ht="16.5" x14ac:dyDescent="0.35">
      <c r="A10359" s="2" t="str">
        <f ca="1">IFERROR(__xludf.DUMMYFUNCTION("""COMPUTED_VALUE"""),"Dubai")</f>
        <v>Dubai</v>
      </c>
      <c r="B10359" s="2" t="str">
        <f ca="1">IFERROR(__xludf.DUMMYFUNCTION("""COMPUTED_VALUE"""),"C-13")</f>
        <v>C-13</v>
      </c>
      <c r="C10359" s="2" t="str">
        <f ca="1">IFERROR(__xludf.DUMMYFUNCTION("""COMPUTED_VALUE"""),"Building")</f>
        <v>Building</v>
      </c>
      <c r="D10359" s="2" t="str">
        <f ca="1">IFERROR(__xludf.DUMMYFUNCTION("""COMPUTED_VALUE"""),"Dubai&gt;International City&gt;China Cluster&gt;C-13")</f>
        <v>Dubai&gt;International City&gt;China Cluster&gt;C-13</v>
      </c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  <c r="V10359" s="2"/>
      <c r="W10359" s="2"/>
      <c r="X10359" s="2"/>
      <c r="Y10359" s="2"/>
      <c r="Z10359" s="2"/>
    </row>
    <row r="10360" spans="1:26" ht="16.5" x14ac:dyDescent="0.35">
      <c r="A10360" s="2" t="str">
        <f ca="1">IFERROR(__xludf.DUMMYFUNCTION("""COMPUTED_VALUE"""),"Dubai")</f>
        <v>Dubai</v>
      </c>
      <c r="B10360" s="2" t="str">
        <f ca="1">IFERROR(__xludf.DUMMYFUNCTION("""COMPUTED_VALUE"""),"H-04")</f>
        <v>H-04</v>
      </c>
      <c r="C10360" s="2" t="str">
        <f ca="1">IFERROR(__xludf.DUMMYFUNCTION("""COMPUTED_VALUE"""),"Building")</f>
        <v>Building</v>
      </c>
      <c r="D10360" s="2" t="str">
        <f ca="1">IFERROR(__xludf.DUMMYFUNCTION("""COMPUTED_VALUE"""),"Dubai&gt;International City&gt;China Cluster&gt;H-04")</f>
        <v>Dubai&gt;International City&gt;China Cluster&gt;H-04</v>
      </c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  <c r="U10360" s="2"/>
      <c r="V10360" s="2"/>
      <c r="W10360" s="2"/>
      <c r="X10360" s="2"/>
      <c r="Y10360" s="2"/>
      <c r="Z10360" s="2"/>
    </row>
    <row r="10361" spans="1:26" ht="16.5" x14ac:dyDescent="0.35">
      <c r="A10361" s="2" t="str">
        <f ca="1">IFERROR(__xludf.DUMMYFUNCTION("""COMPUTED_VALUE"""),"Dubai")</f>
        <v>Dubai</v>
      </c>
      <c r="B10361" s="2" t="str">
        <f ca="1">IFERROR(__xludf.DUMMYFUNCTION("""COMPUTED_VALUE"""),"S-04")</f>
        <v>S-04</v>
      </c>
      <c r="C10361" s="2" t="str">
        <f ca="1">IFERROR(__xludf.DUMMYFUNCTION("""COMPUTED_VALUE"""),"Building")</f>
        <v>Building</v>
      </c>
      <c r="D10361" s="2" t="str">
        <f ca="1">IFERROR(__xludf.DUMMYFUNCTION("""COMPUTED_VALUE"""),"Dubai&gt;International City&gt;Spain Cluster&gt;S-04")</f>
        <v>Dubai&gt;International City&gt;Spain Cluster&gt;S-04</v>
      </c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  <c r="V10361" s="2"/>
      <c r="W10361" s="2"/>
      <c r="X10361" s="2"/>
      <c r="Y10361" s="2"/>
      <c r="Z10361" s="2"/>
    </row>
    <row r="10362" spans="1:26" ht="16.5" x14ac:dyDescent="0.35">
      <c r="A10362" s="2" t="str">
        <f ca="1">IFERROR(__xludf.DUMMYFUNCTION("""COMPUTED_VALUE"""),"Dubai")</f>
        <v>Dubai</v>
      </c>
      <c r="B10362" s="2" t="str">
        <f ca="1">IFERROR(__xludf.DUMMYFUNCTION("""COMPUTED_VALUE"""),"U-16")</f>
        <v>U-16</v>
      </c>
      <c r="C10362" s="2" t="str">
        <f ca="1">IFERROR(__xludf.DUMMYFUNCTION("""COMPUTED_VALUE"""),"Building")</f>
        <v>Building</v>
      </c>
      <c r="D10362" s="2" t="str">
        <f ca="1">IFERROR(__xludf.DUMMYFUNCTION("""COMPUTED_VALUE"""),"Dubai&gt;International City&gt;Italy Cluster&gt;U-16")</f>
        <v>Dubai&gt;International City&gt;Italy Cluster&gt;U-16</v>
      </c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  <c r="V10362" s="2"/>
      <c r="W10362" s="2"/>
      <c r="X10362" s="2"/>
      <c r="Y10362" s="2"/>
      <c r="Z10362" s="2"/>
    </row>
    <row r="10363" spans="1:26" ht="16.5" x14ac:dyDescent="0.35">
      <c r="A10363" s="2" t="str">
        <f ca="1">IFERROR(__xludf.DUMMYFUNCTION("""COMPUTED_VALUE"""),"Dubai")</f>
        <v>Dubai</v>
      </c>
      <c r="B10363" s="2" t="str">
        <f ca="1">IFERROR(__xludf.DUMMYFUNCTION("""COMPUTED_VALUE"""),"V-22")</f>
        <v>V-22</v>
      </c>
      <c r="C10363" s="2" t="str">
        <f ca="1">IFERROR(__xludf.DUMMYFUNCTION("""COMPUTED_VALUE"""),"Building")</f>
        <v>Building</v>
      </c>
      <c r="D10363" s="2" t="str">
        <f ca="1">IFERROR(__xludf.DUMMYFUNCTION("""COMPUTED_VALUE"""),"Dubai&gt;International City&gt;Russia Cluster&gt;V-22")</f>
        <v>Dubai&gt;International City&gt;Russia Cluster&gt;V-22</v>
      </c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  <c r="V10363" s="2"/>
      <c r="W10363" s="2"/>
      <c r="X10363" s="2"/>
      <c r="Y10363" s="2"/>
      <c r="Z10363" s="2"/>
    </row>
    <row r="10364" spans="1:26" ht="16.5" x14ac:dyDescent="0.35">
      <c r="A10364" s="2" t="str">
        <f ca="1">IFERROR(__xludf.DUMMYFUNCTION("""COMPUTED_VALUE"""),"Dubai")</f>
        <v>Dubai</v>
      </c>
      <c r="B10364" s="2" t="str">
        <f ca="1">IFERROR(__xludf.DUMMYFUNCTION("""COMPUTED_VALUE"""),"N-13")</f>
        <v>N-13</v>
      </c>
      <c r="C10364" s="2" t="str">
        <f ca="1">IFERROR(__xludf.DUMMYFUNCTION("""COMPUTED_VALUE"""),"Building")</f>
        <v>Building</v>
      </c>
      <c r="D10364" s="2" t="str">
        <f ca="1">IFERROR(__xludf.DUMMYFUNCTION("""COMPUTED_VALUE"""),"Dubai&gt;International City&gt;Persia Cluster&gt;N-13")</f>
        <v>Dubai&gt;International City&gt;Persia Cluster&gt;N-13</v>
      </c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  <c r="V10364" s="2"/>
      <c r="W10364" s="2"/>
      <c r="X10364" s="2"/>
      <c r="Y10364" s="2"/>
      <c r="Z10364" s="2"/>
    </row>
    <row r="10365" spans="1:26" ht="16.5" x14ac:dyDescent="0.35">
      <c r="A10365" s="2" t="str">
        <f ca="1">IFERROR(__xludf.DUMMYFUNCTION("""COMPUTED_VALUE"""),"Dubai")</f>
        <v>Dubai</v>
      </c>
      <c r="B10365" s="2" t="str">
        <f ca="1">IFERROR(__xludf.DUMMYFUNCTION("""COMPUTED_VALUE"""),"EMR-13")</f>
        <v>EMR-13</v>
      </c>
      <c r="C10365" s="2" t="str">
        <f ca="1">IFERROR(__xludf.DUMMYFUNCTION("""COMPUTED_VALUE"""),"Building")</f>
        <v>Building</v>
      </c>
      <c r="D10365" s="2" t="str">
        <f ca="1">IFERROR(__xludf.DUMMYFUNCTION("""COMPUTED_VALUE"""),"Dubai&gt;International City&gt;Emirates Cluster&gt;EMR-13")</f>
        <v>Dubai&gt;International City&gt;Emirates Cluster&gt;EMR-13</v>
      </c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  <c r="V10365" s="2"/>
      <c r="W10365" s="2"/>
      <c r="X10365" s="2"/>
      <c r="Y10365" s="2"/>
      <c r="Z10365" s="2"/>
    </row>
    <row r="10366" spans="1:26" ht="16.5" x14ac:dyDescent="0.35">
      <c r="A10366" s="2" t="str">
        <f ca="1">IFERROR(__xludf.DUMMYFUNCTION("""COMPUTED_VALUE"""),"Dubai")</f>
        <v>Dubai</v>
      </c>
      <c r="B10366" s="2" t="str">
        <f ca="1">IFERROR(__xludf.DUMMYFUNCTION("""COMPUTED_VALUE"""),"X-20")</f>
        <v>X-20</v>
      </c>
      <c r="C10366" s="2" t="str">
        <f ca="1">IFERROR(__xludf.DUMMYFUNCTION("""COMPUTED_VALUE"""),"Building")</f>
        <v>Building</v>
      </c>
      <c r="D10366" s="2" t="str">
        <f ca="1">IFERROR(__xludf.DUMMYFUNCTION("""COMPUTED_VALUE"""),"Dubai&gt;International City&gt;England Cluster&gt;X-20")</f>
        <v>Dubai&gt;International City&gt;England Cluster&gt;X-20</v>
      </c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  <c r="U10366" s="2"/>
      <c r="V10366" s="2"/>
      <c r="W10366" s="2"/>
      <c r="X10366" s="2"/>
      <c r="Y10366" s="2"/>
      <c r="Z10366" s="2"/>
    </row>
    <row r="10367" spans="1:26" ht="16.5" x14ac:dyDescent="0.35">
      <c r="A10367" s="2" t="str">
        <f ca="1">IFERROR(__xludf.DUMMYFUNCTION("""COMPUTED_VALUE"""),"Dubai")</f>
        <v>Dubai</v>
      </c>
      <c r="B10367" s="2" t="str">
        <f ca="1">IFERROR(__xludf.DUMMYFUNCTION("""COMPUTED_VALUE"""),"Y-26")</f>
        <v>Y-26</v>
      </c>
      <c r="C10367" s="2" t="str">
        <f ca="1">IFERROR(__xludf.DUMMYFUNCTION("""COMPUTED_VALUE"""),"Building")</f>
        <v>Building</v>
      </c>
      <c r="D10367" s="2" t="str">
        <f ca="1">IFERROR(__xludf.DUMMYFUNCTION("""COMPUTED_VALUE"""),"Dubai&gt;International City&gt;England Cluster&gt;Y-26")</f>
        <v>Dubai&gt;International City&gt;England Cluster&gt;Y-26</v>
      </c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  <c r="V10367" s="2"/>
      <c r="W10367" s="2"/>
      <c r="X10367" s="2"/>
      <c r="Y10367" s="2"/>
      <c r="Z10367" s="2"/>
    </row>
    <row r="10368" spans="1:26" ht="16.5" x14ac:dyDescent="0.35">
      <c r="A10368" s="2" t="str">
        <f ca="1">IFERROR(__xludf.DUMMYFUNCTION("""COMPUTED_VALUE"""),"Dubai")</f>
        <v>Dubai</v>
      </c>
      <c r="B10368" s="2" t="str">
        <f ca="1">IFERROR(__xludf.DUMMYFUNCTION("""COMPUTED_VALUE"""),"Easy 18")</f>
        <v>Easy 18</v>
      </c>
      <c r="C10368" s="2" t="str">
        <f ca="1">IFERROR(__xludf.DUMMYFUNCTION("""COMPUTED_VALUE"""),"Building")</f>
        <v>Building</v>
      </c>
      <c r="D10368" s="2" t="str">
        <f ca="1">IFERROR(__xludf.DUMMYFUNCTION("""COMPUTED_VALUE"""),"Dubai&gt;International City&gt;International City Phase 2 (Warsan 4)&gt;Easy 18")</f>
        <v>Dubai&gt;International City&gt;International City Phase 2 (Warsan 4)&gt;Easy 18</v>
      </c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  <c r="V10368" s="2"/>
      <c r="W10368" s="2"/>
      <c r="X10368" s="2"/>
      <c r="Y10368" s="2"/>
      <c r="Z10368" s="2"/>
    </row>
    <row r="10369" spans="1:26" ht="16.5" x14ac:dyDescent="0.35">
      <c r="A10369" s="2" t="str">
        <f ca="1">IFERROR(__xludf.DUMMYFUNCTION("""COMPUTED_VALUE"""),"Dubai")</f>
        <v>Dubai</v>
      </c>
      <c r="B10369" s="2" t="str">
        <f ca="1">IFERROR(__xludf.DUMMYFUNCTION("""COMPUTED_VALUE"""),"Ost Tower")</f>
        <v>Ost Tower</v>
      </c>
      <c r="C10369" s="2" t="str">
        <f ca="1">IFERROR(__xludf.DUMMYFUNCTION("""COMPUTED_VALUE"""),"Building")</f>
        <v>Building</v>
      </c>
      <c r="D10369" s="2" t="str">
        <f ca="1">IFERROR(__xludf.DUMMYFUNCTION("""COMPUTED_VALUE"""),"Dubai&gt;International City&gt;International City Phase 2 (Warsan 4)&gt;Ost Tower")</f>
        <v>Dubai&gt;International City&gt;International City Phase 2 (Warsan 4)&gt;Ost Tower</v>
      </c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  <c r="V10369" s="2"/>
      <c r="W10369" s="2"/>
      <c r="X10369" s="2"/>
      <c r="Y10369" s="2"/>
      <c r="Z10369" s="2"/>
    </row>
    <row r="10370" spans="1:26" ht="16.5" x14ac:dyDescent="0.35">
      <c r="A10370" s="2" t="str">
        <f ca="1">IFERROR(__xludf.DUMMYFUNCTION("""COMPUTED_VALUE"""),"Dubai")</f>
        <v>Dubai</v>
      </c>
      <c r="B10370" s="2" t="str">
        <f ca="1">IFERROR(__xludf.DUMMYFUNCTION("""COMPUTED_VALUE"""),"Moonsa Residences")</f>
        <v>Moonsa Residences</v>
      </c>
      <c r="C10370" s="2" t="str">
        <f ca="1">IFERROR(__xludf.DUMMYFUNCTION("""COMPUTED_VALUE"""),"Building")</f>
        <v>Building</v>
      </c>
      <c r="D10370" s="2" t="str">
        <f ca="1">IFERROR(__xludf.DUMMYFUNCTION("""COMPUTED_VALUE"""),"Dubai&gt;International City&gt;International City Phase 2 (Warsan 4)&gt;Moonsa Residences")</f>
        <v>Dubai&gt;International City&gt;International City Phase 2 (Warsan 4)&gt;Moonsa Residences</v>
      </c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  <c r="V10370" s="2"/>
      <c r="W10370" s="2"/>
      <c r="X10370" s="2"/>
      <c r="Y10370" s="2"/>
      <c r="Z10370" s="2"/>
    </row>
    <row r="10371" spans="1:26" ht="16.5" x14ac:dyDescent="0.35">
      <c r="A10371" s="2" t="str">
        <f ca="1">IFERROR(__xludf.DUMMYFUNCTION("""COMPUTED_VALUE"""),"Dubai")</f>
        <v>Dubai</v>
      </c>
      <c r="B10371" s="2" t="str">
        <f ca="1">IFERROR(__xludf.DUMMYFUNCTION("""COMPUTED_VALUE"""),"Akasya South")</f>
        <v>Akasya South</v>
      </c>
      <c r="C10371" s="2" t="str">
        <f ca="1">IFERROR(__xludf.DUMMYFUNCTION("""COMPUTED_VALUE"""),"Building")</f>
        <v>Building</v>
      </c>
      <c r="D10371" s="2" t="str">
        <f ca="1">IFERROR(__xludf.DUMMYFUNCTION("""COMPUTED_VALUE"""),"Dubai&gt;International City&gt;International City Phase 2 (Warsan 4)&gt;Akasya&gt;Akasya South")</f>
        <v>Dubai&gt;International City&gt;International City Phase 2 (Warsan 4)&gt;Akasya&gt;Akasya South</v>
      </c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  <c r="V10371" s="2"/>
      <c r="W10371" s="2"/>
      <c r="X10371" s="2"/>
      <c r="Y10371" s="2"/>
      <c r="Z10371" s="2"/>
    </row>
    <row r="10372" spans="1:26" ht="16.5" x14ac:dyDescent="0.35">
      <c r="A10372" s="2" t="str">
        <f ca="1">IFERROR(__xludf.DUMMYFUNCTION("""COMPUTED_VALUE"""),"Dubai")</f>
        <v>Dubai</v>
      </c>
      <c r="B10372" s="2" t="str">
        <f ca="1">IFERROR(__xludf.DUMMYFUNCTION("""COMPUTED_VALUE"""),"Greenfield by Samana")</f>
        <v>Greenfield by Samana</v>
      </c>
      <c r="C10372" s="2" t="str">
        <f ca="1">IFERROR(__xludf.DUMMYFUNCTION("""COMPUTED_VALUE"""),"Building")</f>
        <v>Building</v>
      </c>
      <c r="D10372" s="2" t="str">
        <f ca="1">IFERROR(__xludf.DUMMYFUNCTION("""COMPUTED_VALUE"""),"Dubai&gt;International City&gt;International City Phase 2 (Warsan 4)&gt;Greenfield by Samana")</f>
        <v>Dubai&gt;International City&gt;International City Phase 2 (Warsan 4)&gt;Greenfield by Samana</v>
      </c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  <c r="V10372" s="2"/>
      <c r="W10372" s="2"/>
      <c r="X10372" s="2"/>
      <c r="Y10372" s="2"/>
      <c r="Z10372" s="2"/>
    </row>
    <row r="10373" spans="1:26" ht="16.5" x14ac:dyDescent="0.35">
      <c r="A10373" s="2" t="str">
        <f ca="1">IFERROR(__xludf.DUMMYFUNCTION("""COMPUTED_VALUE"""),"Dubai")</f>
        <v>Dubai</v>
      </c>
      <c r="B10373" s="2" t="str">
        <f ca="1">IFERROR(__xludf.DUMMYFUNCTION("""COMPUTED_VALUE"""),"Q-09")</f>
        <v>Q-09</v>
      </c>
      <c r="C10373" s="2" t="str">
        <f ca="1">IFERROR(__xludf.DUMMYFUNCTION("""COMPUTED_VALUE"""),"Building")</f>
        <v>Building</v>
      </c>
      <c r="D10373" s="2" t="str">
        <f ca="1">IFERROR(__xludf.DUMMYFUNCTION("""COMPUTED_VALUE"""),"Dubai&gt;International City&gt;France Cluster&gt;Q-09")</f>
        <v>Dubai&gt;International City&gt;France Cluster&gt;Q-09</v>
      </c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  <c r="V10373" s="2"/>
      <c r="W10373" s="2"/>
      <c r="X10373" s="2"/>
      <c r="Y10373" s="2"/>
      <c r="Z10373" s="2"/>
    </row>
    <row r="10374" spans="1:26" ht="16.5" x14ac:dyDescent="0.35">
      <c r="A10374" s="2" t="str">
        <f ca="1">IFERROR(__xludf.DUMMYFUNCTION("""COMPUTED_VALUE"""),"Dubai")</f>
        <v>Dubai</v>
      </c>
      <c r="B10374" s="2" t="str">
        <f ca="1">IFERROR(__xludf.DUMMYFUNCTION("""COMPUTED_VALUE"""),"R-04")</f>
        <v>R-04</v>
      </c>
      <c r="C10374" s="2" t="str">
        <f ca="1">IFERROR(__xludf.DUMMYFUNCTION("""COMPUTED_VALUE"""),"Building")</f>
        <v>Building</v>
      </c>
      <c r="D10374" s="2" t="str">
        <f ca="1">IFERROR(__xludf.DUMMYFUNCTION("""COMPUTED_VALUE"""),"Dubai&gt;International City&gt;France Cluster&gt;R-04")</f>
        <v>Dubai&gt;International City&gt;France Cluster&gt;R-04</v>
      </c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  <c r="V10374" s="2"/>
      <c r="W10374" s="2"/>
      <c r="X10374" s="2"/>
      <c r="Y10374" s="2"/>
      <c r="Z10374" s="2"/>
    </row>
    <row r="10375" spans="1:26" ht="16.5" x14ac:dyDescent="0.35">
      <c r="A10375" s="2" t="str">
        <f ca="1">IFERROR(__xludf.DUMMYFUNCTION("""COMPUTED_VALUE"""),"Dubai")</f>
        <v>Dubai</v>
      </c>
      <c r="B10375" s="2" t="str">
        <f ca="1">IFERROR(__xludf.DUMMYFUNCTION("""COMPUTED_VALUE"""),"Petalz by Danube Tower A")</f>
        <v>Petalz by Danube Tower A</v>
      </c>
      <c r="C10375" s="2" t="str">
        <f ca="1">IFERROR(__xludf.DUMMYFUNCTION("""COMPUTED_VALUE"""),"Building")</f>
        <v>Building</v>
      </c>
      <c r="D10375" s="2" t="str">
        <f ca="1">IFERROR(__xludf.DUMMYFUNCTION("""COMPUTED_VALUE"""),"Dubai&gt;International City&gt;Petalz by Danube&gt;Petalz by Danube Tower A")</f>
        <v>Dubai&gt;International City&gt;Petalz by Danube&gt;Petalz by Danube Tower A</v>
      </c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  <c r="V10375" s="2"/>
      <c r="W10375" s="2"/>
      <c r="X10375" s="2"/>
      <c r="Y10375" s="2"/>
      <c r="Z10375" s="2"/>
    </row>
    <row r="10376" spans="1:26" ht="16.5" x14ac:dyDescent="0.35">
      <c r="A10376" s="2" t="str">
        <f ca="1">IFERROR(__xludf.DUMMYFUNCTION("""COMPUTED_VALUE"""),"Dubai")</f>
        <v>Dubai</v>
      </c>
      <c r="B10376" s="2" t="str">
        <f ca="1">IFERROR(__xludf.DUMMYFUNCTION("""COMPUTED_VALUE"""),"CBD-B01")</f>
        <v>CBD-B01</v>
      </c>
      <c r="C10376" s="2" t="str">
        <f ca="1">IFERROR(__xludf.DUMMYFUNCTION("""COMPUTED_VALUE"""),"Building")</f>
        <v>Building</v>
      </c>
      <c r="D10376" s="2" t="str">
        <f ca="1">IFERROR(__xludf.DUMMYFUNCTION("""COMPUTED_VALUE"""),"Dubai&gt;International City&gt;Central Business District&gt;CBD-B01")</f>
        <v>Dubai&gt;International City&gt;Central Business District&gt;CBD-B01</v>
      </c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  <c r="U10376" s="2"/>
      <c r="V10376" s="2"/>
      <c r="W10376" s="2"/>
      <c r="X10376" s="2"/>
      <c r="Y10376" s="2"/>
      <c r="Z10376" s="2"/>
    </row>
    <row r="10377" spans="1:26" ht="16.5" x14ac:dyDescent="0.35">
      <c r="A10377" s="2" t="str">
        <f ca="1">IFERROR(__xludf.DUMMYFUNCTION("""COMPUTED_VALUE"""),"Dubai")</f>
        <v>Dubai</v>
      </c>
      <c r="B10377" s="2" t="str">
        <f ca="1">IFERROR(__xludf.DUMMYFUNCTION("""COMPUTED_VALUE"""),"Dubai Marina")</f>
        <v>Dubai Marina</v>
      </c>
      <c r="C10377" s="2" t="str">
        <f ca="1">IFERROR(__xludf.DUMMYFUNCTION("""COMPUTED_VALUE"""),"Neighbourhood")</f>
        <v>Neighbourhood</v>
      </c>
      <c r="D10377" s="2" t="str">
        <f ca="1">IFERROR(__xludf.DUMMYFUNCTION("""COMPUTED_VALUE"""),"Dubai&gt;Dubai Marina")</f>
        <v>Dubai&gt;Dubai Marina</v>
      </c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  <c r="V10377" s="2"/>
      <c r="W10377" s="2"/>
      <c r="X10377" s="2"/>
      <c r="Y10377" s="2"/>
      <c r="Z10377" s="2"/>
    </row>
    <row r="10378" spans="1:26" ht="16.5" x14ac:dyDescent="0.35">
      <c r="A10378" s="2" t="str">
        <f ca="1">IFERROR(__xludf.DUMMYFUNCTION("""COMPUTED_VALUE"""),"Dubai")</f>
        <v>Dubai</v>
      </c>
      <c r="B10378" s="2" t="str">
        <f ca="1">IFERROR(__xludf.DUMMYFUNCTION("""COMPUTED_VALUE"""),"Al Zarooni Building")</f>
        <v>Al Zarooni Building</v>
      </c>
      <c r="C10378" s="2" t="str">
        <f ca="1">IFERROR(__xludf.DUMMYFUNCTION("""COMPUTED_VALUE"""),"Cluster")</f>
        <v>Cluster</v>
      </c>
      <c r="D10378" s="2" t="str">
        <f ca="1">IFERROR(__xludf.DUMMYFUNCTION("""COMPUTED_VALUE"""),"Dubai&gt;Dubai Marina&gt;Al Zarooni Building")</f>
        <v>Dubai&gt;Dubai Marina&gt;Al Zarooni Building</v>
      </c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  <c r="V10378" s="2"/>
      <c r="W10378" s="2"/>
      <c r="X10378" s="2"/>
      <c r="Y10378" s="2"/>
      <c r="Z10378" s="2"/>
    </row>
    <row r="10379" spans="1:26" ht="16.5" x14ac:dyDescent="0.35">
      <c r="A10379" s="2" t="str">
        <f ca="1">IFERROR(__xludf.DUMMYFUNCTION("""COMPUTED_VALUE"""),"Dubai")</f>
        <v>Dubai</v>
      </c>
      <c r="B10379" s="2" t="str">
        <f ca="1">IFERROR(__xludf.DUMMYFUNCTION("""COMPUTED_VALUE"""),"The Zen")</f>
        <v>The Zen</v>
      </c>
      <c r="C10379" s="2" t="str">
        <f ca="1">IFERROR(__xludf.DUMMYFUNCTION("""COMPUTED_VALUE"""),"Building")</f>
        <v>Building</v>
      </c>
      <c r="D10379" s="2" t="str">
        <f ca="1">IFERROR(__xludf.DUMMYFUNCTION("""COMPUTED_VALUE"""),"Dubai&gt;Dubai Marina&gt;The Zen")</f>
        <v>Dubai&gt;Dubai Marina&gt;The Zen</v>
      </c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  <c r="V10379" s="2"/>
      <c r="W10379" s="2"/>
      <c r="X10379" s="2"/>
      <c r="Y10379" s="2"/>
      <c r="Z10379" s="2"/>
    </row>
    <row r="10380" spans="1:26" ht="16.5" x14ac:dyDescent="0.35">
      <c r="A10380" s="2" t="str">
        <f ca="1">IFERROR(__xludf.DUMMYFUNCTION("""COMPUTED_VALUE"""),"Dubai")</f>
        <v>Dubai</v>
      </c>
      <c r="B10380" s="2" t="str">
        <f ca="1">IFERROR(__xludf.DUMMYFUNCTION("""COMPUTED_VALUE"""),"Al Mass Villas")</f>
        <v>Al Mass Villas</v>
      </c>
      <c r="C10380" s="2" t="str">
        <f ca="1">IFERROR(__xludf.DUMMYFUNCTION("""COMPUTED_VALUE"""),"Neighbourhood")</f>
        <v>Neighbourhood</v>
      </c>
      <c r="D10380" s="2" t="str">
        <f ca="1">IFERROR(__xludf.DUMMYFUNCTION("""COMPUTED_VALUE"""),"Dubai&gt;Dubai Marina&gt;Dubai Marina Towers&gt;Al Mass Villas")</f>
        <v>Dubai&gt;Dubai Marina&gt;Dubai Marina Towers&gt;Al Mass Villas</v>
      </c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  <c r="V10380" s="2"/>
      <c r="W10380" s="2"/>
      <c r="X10380" s="2"/>
      <c r="Y10380" s="2"/>
      <c r="Z10380" s="2"/>
    </row>
    <row r="10381" spans="1:26" ht="16.5" x14ac:dyDescent="0.35">
      <c r="A10381" s="2" t="str">
        <f ca="1">IFERROR(__xludf.DUMMYFUNCTION("""COMPUTED_VALUE"""),"Dubai")</f>
        <v>Dubai</v>
      </c>
      <c r="B10381" s="2" t="str">
        <f ca="1">IFERROR(__xludf.DUMMYFUNCTION("""COMPUTED_VALUE"""),"Paloma")</f>
        <v>Paloma</v>
      </c>
      <c r="C10381" s="2" t="str">
        <f ca="1">IFERROR(__xludf.DUMMYFUNCTION("""COMPUTED_VALUE"""),"Building")</f>
        <v>Building</v>
      </c>
      <c r="D10381" s="2" t="str">
        <f ca="1">IFERROR(__xludf.DUMMYFUNCTION("""COMPUTED_VALUE"""),"Dubai&gt;Dubai Marina&gt;Marina Promenade&gt;Paloma")</f>
        <v>Dubai&gt;Dubai Marina&gt;Marina Promenade&gt;Paloma</v>
      </c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  <c r="V10381" s="2"/>
      <c r="W10381" s="2"/>
      <c r="X10381" s="2"/>
      <c r="Y10381" s="2"/>
      <c r="Z10381" s="2"/>
    </row>
    <row r="10382" spans="1:26" ht="16.5" x14ac:dyDescent="0.35">
      <c r="A10382" s="2" t="str">
        <f ca="1">IFERROR(__xludf.DUMMYFUNCTION("""COMPUTED_VALUE"""),"Dubai")</f>
        <v>Dubai</v>
      </c>
      <c r="B10382" s="2" t="str">
        <f ca="1">IFERROR(__xludf.DUMMYFUNCTION("""COMPUTED_VALUE"""),"Escan Marina Tower")</f>
        <v>Escan Marina Tower</v>
      </c>
      <c r="C10382" s="2" t="str">
        <f ca="1">IFERROR(__xludf.DUMMYFUNCTION("""COMPUTED_VALUE"""),"Building")</f>
        <v>Building</v>
      </c>
      <c r="D10382" s="2" t="str">
        <f ca="1">IFERROR(__xludf.DUMMYFUNCTION("""COMPUTED_VALUE"""),"Dubai&gt;Dubai Marina&gt;Escan Marina Tower")</f>
        <v>Dubai&gt;Dubai Marina&gt;Escan Marina Tower</v>
      </c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  <c r="V10382" s="2"/>
      <c r="W10382" s="2"/>
      <c r="X10382" s="2"/>
      <c r="Y10382" s="2"/>
      <c r="Z10382" s="2"/>
    </row>
    <row r="10383" spans="1:26" ht="16.5" x14ac:dyDescent="0.35">
      <c r="A10383" s="2" t="str">
        <f ca="1">IFERROR(__xludf.DUMMYFUNCTION("""COMPUTED_VALUE"""),"Dubai")</f>
        <v>Dubai</v>
      </c>
      <c r="B10383" s="2" t="str">
        <f ca="1">IFERROR(__xludf.DUMMYFUNCTION("""COMPUTED_VALUE"""),"The Westin Dubai Mina Seyahi")</f>
        <v>The Westin Dubai Mina Seyahi</v>
      </c>
      <c r="C10383" s="2" t="str">
        <f ca="1">IFERROR(__xludf.DUMMYFUNCTION("""COMPUTED_VALUE"""),"Building")</f>
        <v>Building</v>
      </c>
      <c r="D10383" s="2" t="str">
        <f ca="1">IFERROR(__xludf.DUMMYFUNCTION("""COMPUTED_VALUE"""),"Dubai&gt;Dubai Marina&gt;The Westin Dubai Mina Seyahi")</f>
        <v>Dubai&gt;Dubai Marina&gt;The Westin Dubai Mina Seyahi</v>
      </c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  <c r="V10383" s="2"/>
      <c r="W10383" s="2"/>
      <c r="X10383" s="2"/>
      <c r="Y10383" s="2"/>
      <c r="Z10383" s="2"/>
    </row>
    <row r="10384" spans="1:26" ht="16.5" x14ac:dyDescent="0.35">
      <c r="A10384" s="2" t="str">
        <f ca="1">IFERROR(__xludf.DUMMYFUNCTION("""COMPUTED_VALUE"""),"Dubai")</f>
        <v>Dubai</v>
      </c>
      <c r="B10384" s="2" t="str">
        <f ca="1">IFERROR(__xludf.DUMMYFUNCTION("""COMPUTED_VALUE"""),"The Residences at the Dubai Beach Edition Tower B")</f>
        <v>The Residences at the Dubai Beach Edition Tower B</v>
      </c>
      <c r="C10384" s="2" t="str">
        <f ca="1">IFERROR(__xludf.DUMMYFUNCTION("""COMPUTED_VALUE"""),"Building")</f>
        <v>Building</v>
      </c>
      <c r="D10384" s="2" t="str">
        <f ca="1">IFERROR(__xludf.DUMMYFUNCTION("""COMPUTED_VALUE"""),"Dubai&gt;Dubai Marina&gt;The Residences at the Dubai Beach Edition&gt;The Residences at the Dubai Beach Edition Tower B")</f>
        <v>Dubai&gt;Dubai Marina&gt;The Residences at the Dubai Beach Edition&gt;The Residences at the Dubai Beach Edition Tower B</v>
      </c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  <c r="V10384" s="2"/>
      <c r="W10384" s="2"/>
      <c r="X10384" s="2"/>
      <c r="Y10384" s="2"/>
      <c r="Z10384" s="2"/>
    </row>
    <row r="10385" spans="1:26" ht="16.5" x14ac:dyDescent="0.35">
      <c r="A10385" s="2" t="str">
        <f ca="1">IFERROR(__xludf.DUMMYFUNCTION("""COMPUTED_VALUE"""),"Dubai")</f>
        <v>Dubai</v>
      </c>
      <c r="B10385" s="2" t="str">
        <f ca="1">IFERROR(__xludf.DUMMYFUNCTION("""COMPUTED_VALUE"""),"Zahra Townhouses")</f>
        <v>Zahra Townhouses</v>
      </c>
      <c r="C10385" s="2" t="str">
        <f ca="1">IFERROR(__xludf.DUMMYFUNCTION("""COMPUTED_VALUE"""),"Neighbourhood")</f>
        <v>Neighbourhood</v>
      </c>
      <c r="D10385" s="2" t="str">
        <f ca="1">IFERROR(__xludf.DUMMYFUNCTION("""COMPUTED_VALUE"""),"Dubai&gt;Town Square&gt;Zahra Townhouses")</f>
        <v>Dubai&gt;Town Square&gt;Zahra Townhouses</v>
      </c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  <c r="U10385" s="2"/>
      <c r="V10385" s="2"/>
      <c r="W10385" s="2"/>
      <c r="X10385" s="2"/>
      <c r="Y10385" s="2"/>
      <c r="Z10385" s="2"/>
    </row>
    <row r="10386" spans="1:26" ht="16.5" x14ac:dyDescent="0.35">
      <c r="A10386" s="2" t="str">
        <f ca="1">IFERROR(__xludf.DUMMYFUNCTION("""COMPUTED_VALUE"""),"Dubai")</f>
        <v>Dubai</v>
      </c>
      <c r="B10386" s="2" t="str">
        <f ca="1">IFERROR(__xludf.DUMMYFUNCTION("""COMPUTED_VALUE"""),"The Regent")</f>
        <v>The Regent</v>
      </c>
      <c r="C10386" s="2" t="str">
        <f ca="1">IFERROR(__xludf.DUMMYFUNCTION("""COMPUTED_VALUE"""),"Building")</f>
        <v>Building</v>
      </c>
      <c r="D10386" s="2" t="str">
        <f ca="1">IFERROR(__xludf.DUMMYFUNCTION("""COMPUTED_VALUE"""),"Dubai&gt;Town Square&gt;The Regent")</f>
        <v>Dubai&gt;Town Square&gt;The Regent</v>
      </c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  <c r="V10386" s="2"/>
      <c r="W10386" s="2"/>
      <c r="X10386" s="2"/>
      <c r="Y10386" s="2"/>
      <c r="Z10386" s="2"/>
    </row>
    <row r="10387" spans="1:26" ht="16.5" x14ac:dyDescent="0.35">
      <c r="A10387" s="2" t="str">
        <f ca="1">IFERROR(__xludf.DUMMYFUNCTION("""COMPUTED_VALUE"""),"Dubai")</f>
        <v>Dubai</v>
      </c>
      <c r="B10387" s="2" t="str">
        <f ca="1">IFERROR(__xludf.DUMMYFUNCTION("""COMPUTED_VALUE"""),"Mira 5")</f>
        <v>Mira 5</v>
      </c>
      <c r="C10387" s="2" t="str">
        <f ca="1">IFERROR(__xludf.DUMMYFUNCTION("""COMPUTED_VALUE"""),"Neighbourhood")</f>
        <v>Neighbourhood</v>
      </c>
      <c r="D10387" s="2" t="str">
        <f ca="1">IFERROR(__xludf.DUMMYFUNCTION("""COMPUTED_VALUE"""),"Dubai&gt;Reem&gt;Mira&gt;Mira 5")</f>
        <v>Dubai&gt;Reem&gt;Mira&gt;Mira 5</v>
      </c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  <c r="V10387" s="2"/>
      <c r="W10387" s="2"/>
      <c r="X10387" s="2"/>
      <c r="Y10387" s="2"/>
      <c r="Z10387" s="2"/>
    </row>
    <row r="10388" spans="1:26" ht="16.5" x14ac:dyDescent="0.35">
      <c r="A10388" s="2" t="str">
        <f ca="1">IFERROR(__xludf.DUMMYFUNCTION("""COMPUTED_VALUE"""),"Dubai")</f>
        <v>Dubai</v>
      </c>
      <c r="B10388" s="2" t="str">
        <f ca="1">IFERROR(__xludf.DUMMYFUNCTION("""COMPUTED_VALUE"""),"5th Avenue")</f>
        <v>5th Avenue</v>
      </c>
      <c r="C10388" s="2" t="str">
        <f ca="1">IFERROR(__xludf.DUMMYFUNCTION("""COMPUTED_VALUE"""),"Building")</f>
        <v>Building</v>
      </c>
      <c r="D10388" s="2" t="str">
        <f ca="1">IFERROR(__xludf.DUMMYFUNCTION("""COMPUTED_VALUE"""),"Dubai&gt;Al Furjan&gt;5th Avenue")</f>
        <v>Dubai&gt;Al Furjan&gt;5th Avenue</v>
      </c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  <c r="V10388" s="2"/>
      <c r="W10388" s="2"/>
      <c r="X10388" s="2"/>
      <c r="Y10388" s="2"/>
      <c r="Z10388" s="2"/>
    </row>
    <row r="10389" spans="1:26" ht="16.5" x14ac:dyDescent="0.35">
      <c r="A10389" s="2" t="str">
        <f ca="1">IFERROR(__xludf.DUMMYFUNCTION("""COMPUTED_VALUE"""),"Dubai")</f>
        <v>Dubai</v>
      </c>
      <c r="B10389" s="2" t="str">
        <f ca="1">IFERROR(__xludf.DUMMYFUNCTION("""COMPUTED_VALUE"""),"Azizi Daisy")</f>
        <v>Azizi Daisy</v>
      </c>
      <c r="C10389" s="2" t="str">
        <f ca="1">IFERROR(__xludf.DUMMYFUNCTION("""COMPUTED_VALUE"""),"Building")</f>
        <v>Building</v>
      </c>
      <c r="D10389" s="2" t="str">
        <f ca="1">IFERROR(__xludf.DUMMYFUNCTION("""COMPUTED_VALUE"""),"Dubai&gt;Al Furjan&gt;Azizi Daisy")</f>
        <v>Dubai&gt;Al Furjan&gt;Azizi Daisy</v>
      </c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  <c r="V10389" s="2"/>
      <c r="W10389" s="2"/>
      <c r="X10389" s="2"/>
      <c r="Y10389" s="2"/>
      <c r="Z10389" s="2"/>
    </row>
    <row r="10390" spans="1:26" ht="16.5" x14ac:dyDescent="0.35">
      <c r="A10390" s="2" t="str">
        <f ca="1">IFERROR(__xludf.DUMMYFUNCTION("""COMPUTED_VALUE"""),"Dubai")</f>
        <v>Dubai</v>
      </c>
      <c r="B10390" s="2" t="str">
        <f ca="1">IFERROR(__xludf.DUMMYFUNCTION("""COMPUTED_VALUE"""),"Rose 13")</f>
        <v>Rose 13</v>
      </c>
      <c r="C10390" s="2" t="str">
        <f ca="1">IFERROR(__xludf.DUMMYFUNCTION("""COMPUTED_VALUE"""),"Building")</f>
        <v>Building</v>
      </c>
      <c r="D10390" s="2" t="str">
        <f ca="1">IFERROR(__xludf.DUMMYFUNCTION("""COMPUTED_VALUE"""),"Dubai&gt;Al Furjan&gt;Rose 13")</f>
        <v>Dubai&gt;Al Furjan&gt;Rose 13</v>
      </c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  <c r="V10390" s="2"/>
      <c r="W10390" s="2"/>
      <c r="X10390" s="2"/>
      <c r="Y10390" s="2"/>
      <c r="Z10390" s="2"/>
    </row>
    <row r="10391" spans="1:26" ht="16.5" x14ac:dyDescent="0.35">
      <c r="A10391" s="2" t="str">
        <f ca="1">IFERROR(__xludf.DUMMYFUNCTION("""COMPUTED_VALUE"""),"Dubai")</f>
        <v>Dubai</v>
      </c>
      <c r="B10391" s="2" t="str">
        <f ca="1">IFERROR(__xludf.DUMMYFUNCTION("""COMPUTED_VALUE"""),"Prime Townhouses")</f>
        <v>Prime Townhouses</v>
      </c>
      <c r="C10391" s="2" t="str">
        <f ca="1">IFERROR(__xludf.DUMMYFUNCTION("""COMPUTED_VALUE"""),"Neighbourhood")</f>
        <v>Neighbourhood</v>
      </c>
      <c r="D10391" s="2" t="str">
        <f ca="1">IFERROR(__xludf.DUMMYFUNCTION("""COMPUTED_VALUE"""),"Dubai&gt;Al Furjan&gt;Prime Townhouses")</f>
        <v>Dubai&gt;Al Furjan&gt;Prime Townhouses</v>
      </c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  <c r="V10391" s="2"/>
      <c r="W10391" s="2"/>
      <c r="X10391" s="2"/>
      <c r="Y10391" s="2"/>
      <c r="Z10391" s="2"/>
    </row>
    <row r="10392" spans="1:26" ht="16.5" x14ac:dyDescent="0.35">
      <c r="A10392" s="2" t="str">
        <f ca="1">IFERROR(__xludf.DUMMYFUNCTION("""COMPUTED_VALUE"""),"Dubai")</f>
        <v>Dubai</v>
      </c>
      <c r="B10392" s="2" t="str">
        <f ca="1">IFERROR(__xludf.DUMMYFUNCTION("""COMPUTED_VALUE"""),"Kingdom Gate")</f>
        <v>Kingdom Gate</v>
      </c>
      <c r="C10392" s="2" t="str">
        <f ca="1">IFERROR(__xludf.DUMMYFUNCTION("""COMPUTED_VALUE"""),"Building")</f>
        <v>Building</v>
      </c>
      <c r="D10392" s="2" t="str">
        <f ca="1">IFERROR(__xludf.DUMMYFUNCTION("""COMPUTED_VALUE"""),"Dubai&gt;Al Furjan&gt;Kingdom Gate")</f>
        <v>Dubai&gt;Al Furjan&gt;Kingdom Gate</v>
      </c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  <c r="V10392" s="2"/>
      <c r="W10392" s="2"/>
      <c r="X10392" s="2"/>
      <c r="Y10392" s="2"/>
      <c r="Z10392" s="2"/>
    </row>
    <row r="10393" spans="1:26" ht="16.5" x14ac:dyDescent="0.35">
      <c r="A10393" s="2" t="str">
        <f ca="1">IFERROR(__xludf.DUMMYFUNCTION("""COMPUTED_VALUE"""),"Dubai")</f>
        <v>Dubai</v>
      </c>
      <c r="B10393" s="2" t="str">
        <f ca="1">IFERROR(__xludf.DUMMYFUNCTION("""COMPUTED_VALUE"""),"Azizi Riviera 28")</f>
        <v>Azizi Riviera 28</v>
      </c>
      <c r="C10393" s="2" t="str">
        <f ca="1">IFERROR(__xludf.DUMMYFUNCTION("""COMPUTED_VALUE"""),"Building")</f>
        <v>Building</v>
      </c>
      <c r="D10393" s="2" t="str">
        <f ca="1">IFERROR(__xludf.DUMMYFUNCTION("""COMPUTED_VALUE"""),"Dubai&gt;Meydan City&gt;Meydan One&gt;Azizi Riviera&gt;Azizi Riviera 28")</f>
        <v>Dubai&gt;Meydan City&gt;Meydan One&gt;Azizi Riviera&gt;Azizi Riviera 28</v>
      </c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  <c r="V10393" s="2"/>
      <c r="W10393" s="2"/>
      <c r="X10393" s="2"/>
      <c r="Y10393" s="2"/>
      <c r="Z10393" s="2"/>
    </row>
    <row r="10394" spans="1:26" ht="16.5" x14ac:dyDescent="0.35">
      <c r="A10394" s="2" t="str">
        <f ca="1">IFERROR(__xludf.DUMMYFUNCTION("""COMPUTED_VALUE"""),"Dubai")</f>
        <v>Dubai</v>
      </c>
      <c r="B10394" s="2" t="str">
        <f ca="1">IFERROR(__xludf.DUMMYFUNCTION("""COMPUTED_VALUE"""),"Azizi Riviera 17")</f>
        <v>Azizi Riviera 17</v>
      </c>
      <c r="C10394" s="2" t="str">
        <f ca="1">IFERROR(__xludf.DUMMYFUNCTION("""COMPUTED_VALUE"""),"Building")</f>
        <v>Building</v>
      </c>
      <c r="D10394" s="2" t="str">
        <f ca="1">IFERROR(__xludf.DUMMYFUNCTION("""COMPUTED_VALUE"""),"Dubai&gt;Meydan City&gt;Meydan One&gt;Azizi Riviera&gt;Azizi Riviera 17")</f>
        <v>Dubai&gt;Meydan City&gt;Meydan One&gt;Azizi Riviera&gt;Azizi Riviera 17</v>
      </c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  <c r="V10394" s="2"/>
      <c r="W10394" s="2"/>
      <c r="X10394" s="2"/>
      <c r="Y10394" s="2"/>
      <c r="Z10394" s="2"/>
    </row>
    <row r="10395" spans="1:26" ht="16.5" x14ac:dyDescent="0.35">
      <c r="A10395" s="2" t="str">
        <f ca="1">IFERROR(__xludf.DUMMYFUNCTION("""COMPUTED_VALUE"""),"Dubai")</f>
        <v>Dubai</v>
      </c>
      <c r="B10395" s="2" t="str">
        <f ca="1">IFERROR(__xludf.DUMMYFUNCTION("""COMPUTED_VALUE"""),"Azizi Riviera 64")</f>
        <v>Azizi Riviera 64</v>
      </c>
      <c r="C10395" s="2" t="str">
        <f ca="1">IFERROR(__xludf.DUMMYFUNCTION("""COMPUTED_VALUE"""),"Building")</f>
        <v>Building</v>
      </c>
      <c r="D10395" s="2" t="str">
        <f ca="1">IFERROR(__xludf.DUMMYFUNCTION("""COMPUTED_VALUE"""),"Dubai&gt;Meydan City&gt;Meydan One&gt;Azizi Riviera&gt;Azizi Riviera 64")</f>
        <v>Dubai&gt;Meydan City&gt;Meydan One&gt;Azizi Riviera&gt;Azizi Riviera 64</v>
      </c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  <c r="U10395" s="2"/>
      <c r="V10395" s="2"/>
      <c r="W10395" s="2"/>
      <c r="X10395" s="2"/>
      <c r="Y10395" s="2"/>
      <c r="Z10395" s="2"/>
    </row>
    <row r="10396" spans="1:26" ht="16.5" x14ac:dyDescent="0.35">
      <c r="A10396" s="2" t="str">
        <f ca="1">IFERROR(__xludf.DUMMYFUNCTION("""COMPUTED_VALUE"""),"Dubai")</f>
        <v>Dubai</v>
      </c>
      <c r="B10396" s="2" t="str">
        <f ca="1">IFERROR(__xludf.DUMMYFUNCTION("""COMPUTED_VALUE"""),"Polo Residence C5")</f>
        <v>Polo Residence C5</v>
      </c>
      <c r="C10396" s="2" t="str">
        <f ca="1">IFERROR(__xludf.DUMMYFUNCTION("""COMPUTED_VALUE"""),"Building")</f>
        <v>Building</v>
      </c>
      <c r="D10396" s="2" t="str">
        <f ca="1">IFERROR(__xludf.DUMMYFUNCTION("""COMPUTED_VALUE"""),"Dubai&gt;Meydan City&gt;Meydan Avenue&gt;Polo Residence&gt;Polo Residence C5")</f>
        <v>Dubai&gt;Meydan City&gt;Meydan Avenue&gt;Polo Residence&gt;Polo Residence C5</v>
      </c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  <c r="V10396" s="2"/>
      <c r="W10396" s="2"/>
      <c r="X10396" s="2"/>
      <c r="Y10396" s="2"/>
      <c r="Z10396" s="2"/>
    </row>
    <row r="10397" spans="1:26" ht="16.5" x14ac:dyDescent="0.35">
      <c r="A10397" s="2" t="str">
        <f ca="1">IFERROR(__xludf.DUMMYFUNCTION("""COMPUTED_VALUE"""),"Dubai")</f>
        <v>Dubai</v>
      </c>
      <c r="B10397" s="2" t="str">
        <f ca="1">IFERROR(__xludf.DUMMYFUNCTION("""COMPUTED_VALUE"""),"Flamingo Lux Residence")</f>
        <v>Flamingo Lux Residence</v>
      </c>
      <c r="C10397" s="2" t="str">
        <f ca="1">IFERROR(__xludf.DUMMYFUNCTION("""COMPUTED_VALUE"""),"Building")</f>
        <v>Building</v>
      </c>
      <c r="D10397" s="2" t="str">
        <f ca="1">IFERROR(__xludf.DUMMYFUNCTION("""COMPUTED_VALUE"""),"Dubai&gt;Meydan City&gt;Meydan Avenue&gt;Flamingo Lux Residence")</f>
        <v>Dubai&gt;Meydan City&gt;Meydan Avenue&gt;Flamingo Lux Residence</v>
      </c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  <c r="V10397" s="2"/>
      <c r="W10397" s="2"/>
      <c r="X10397" s="2"/>
      <c r="Y10397" s="2"/>
      <c r="Z10397" s="2"/>
    </row>
    <row r="10398" spans="1:26" ht="16.5" x14ac:dyDescent="0.35">
      <c r="A10398" s="2" t="str">
        <f ca="1">IFERROR(__xludf.DUMMYFUNCTION("""COMPUTED_VALUE"""),"Dubai")</f>
        <v>Dubai</v>
      </c>
      <c r="B10398" s="2" t="str">
        <f ca="1">IFERROR(__xludf.DUMMYFUNCTION("""COMPUTED_VALUE"""),"Skai Residency")</f>
        <v>Skai Residency</v>
      </c>
      <c r="C10398" s="2" t="str">
        <f ca="1">IFERROR(__xludf.DUMMYFUNCTION("""COMPUTED_VALUE"""),"Building")</f>
        <v>Building</v>
      </c>
      <c r="D10398" s="2" t="str">
        <f ca="1">IFERROR(__xludf.DUMMYFUNCTION("""COMPUTED_VALUE"""),"Dubai&gt;The Greens&gt;Skai Residency")</f>
        <v>Dubai&gt;The Greens&gt;Skai Residency</v>
      </c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  <c r="V10398" s="2"/>
      <c r="W10398" s="2"/>
      <c r="X10398" s="2"/>
      <c r="Y10398" s="2"/>
      <c r="Z10398" s="2"/>
    </row>
    <row r="10399" spans="1:26" ht="16.5" x14ac:dyDescent="0.35">
      <c r="A10399" s="2" t="str">
        <f ca="1">IFERROR(__xludf.DUMMYFUNCTION("""COMPUTED_VALUE"""),"Dubai")</f>
        <v>Dubai</v>
      </c>
      <c r="B10399" s="2" t="str">
        <f ca="1">IFERROR(__xludf.DUMMYFUNCTION("""COMPUTED_VALUE"""),"Al Thayyal 4")</f>
        <v>Al Thayyal 4</v>
      </c>
      <c r="C10399" s="2" t="str">
        <f ca="1">IFERROR(__xludf.DUMMYFUNCTION("""COMPUTED_VALUE"""),"Building")</f>
        <v>Building</v>
      </c>
      <c r="D10399" s="2" t="str">
        <f ca="1">IFERROR(__xludf.DUMMYFUNCTION("""COMPUTED_VALUE"""),"Dubai&gt;The Greens&gt;Al Thayyal&gt;Al Thayyal 4")</f>
        <v>Dubai&gt;The Greens&gt;Al Thayyal&gt;Al Thayyal 4</v>
      </c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  <c r="V10399" s="2"/>
      <c r="W10399" s="2"/>
      <c r="X10399" s="2"/>
      <c r="Y10399" s="2"/>
      <c r="Z10399" s="2"/>
    </row>
    <row r="10400" spans="1:26" ht="16.5" x14ac:dyDescent="0.35">
      <c r="A10400" s="2" t="str">
        <f ca="1">IFERROR(__xludf.DUMMYFUNCTION("""COMPUTED_VALUE"""),"Dubai")</f>
        <v>Dubai</v>
      </c>
      <c r="B10400" s="2" t="str">
        <f ca="1">IFERROR(__xludf.DUMMYFUNCTION("""COMPUTED_VALUE"""),"Midtown")</f>
        <v>Midtown</v>
      </c>
      <c r="C10400" s="2" t="str">
        <f ca="1">IFERROR(__xludf.DUMMYFUNCTION("""COMPUTED_VALUE"""),"Neighbourhood")</f>
        <v>Neighbourhood</v>
      </c>
      <c r="D10400" s="2" t="str">
        <f ca="1">IFERROR(__xludf.DUMMYFUNCTION("""COMPUTED_VALUE"""),"Dubai&gt;Dubai Production City (IMPZ)&gt;Midtown")</f>
        <v>Dubai&gt;Dubai Production City (IMPZ)&gt;Midtown</v>
      </c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  <c r="V10400" s="2"/>
      <c r="W10400" s="2"/>
      <c r="X10400" s="2"/>
      <c r="Y10400" s="2"/>
      <c r="Z10400" s="2"/>
    </row>
    <row r="10401" spans="1:26" ht="16.5" x14ac:dyDescent="0.35">
      <c r="A10401" s="2" t="str">
        <f ca="1">IFERROR(__xludf.DUMMYFUNCTION("""COMPUTED_VALUE"""),"Dubai")</f>
        <v>Dubai</v>
      </c>
      <c r="B10401" s="2" t="str">
        <f ca="1">IFERROR(__xludf.DUMMYFUNCTION("""COMPUTED_VALUE"""),"The Crescent Tower C")</f>
        <v>The Crescent Tower C</v>
      </c>
      <c r="C10401" s="2" t="str">
        <f ca="1">IFERROR(__xludf.DUMMYFUNCTION("""COMPUTED_VALUE"""),"Building")</f>
        <v>Building</v>
      </c>
      <c r="D10401" s="2" t="str">
        <f ca="1">IFERROR(__xludf.DUMMYFUNCTION("""COMPUTED_VALUE"""),"Dubai&gt;Dubai Production City (IMPZ)&gt;The Crescent Towers&gt;The Crescent Tower C")</f>
        <v>Dubai&gt;Dubai Production City (IMPZ)&gt;The Crescent Towers&gt;The Crescent Tower C</v>
      </c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  <c r="V10401" s="2"/>
      <c r="W10401" s="2"/>
      <c r="X10401" s="2"/>
      <c r="Y10401" s="2"/>
      <c r="Z10401" s="2"/>
    </row>
    <row r="10402" spans="1:26" ht="16.5" x14ac:dyDescent="0.35">
      <c r="A10402" s="2" t="str">
        <f ca="1">IFERROR(__xludf.DUMMYFUNCTION("""COMPUTED_VALUE"""),"Dubai")</f>
        <v>Dubai</v>
      </c>
      <c r="B10402" s="2" t="str">
        <f ca="1">IFERROR(__xludf.DUMMYFUNCTION("""COMPUTED_VALUE"""),"MYKA Residence")</f>
        <v>MYKA Residence</v>
      </c>
      <c r="C10402" s="2" t="str">
        <f ca="1">IFERROR(__xludf.DUMMYFUNCTION("""COMPUTED_VALUE"""),"Building")</f>
        <v>Building</v>
      </c>
      <c r="D10402" s="2" t="str">
        <f ca="1">IFERROR(__xludf.DUMMYFUNCTION("""COMPUTED_VALUE"""),"Dubai&gt;Dubai Production City (IMPZ)&gt;MYKA Residence")</f>
        <v>Dubai&gt;Dubai Production City (IMPZ)&gt;MYKA Residence</v>
      </c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  <c r="V10402" s="2"/>
      <c r="W10402" s="2"/>
      <c r="X10402" s="2"/>
      <c r="Y10402" s="2"/>
      <c r="Z10402" s="2"/>
    </row>
    <row r="10403" spans="1:26" ht="16.5" x14ac:dyDescent="0.35">
      <c r="A10403" s="2" t="str">
        <f ca="1">IFERROR(__xludf.DUMMYFUNCTION("""COMPUTED_VALUE"""),"Dubai")</f>
        <v>Dubai</v>
      </c>
      <c r="B10403" s="2" t="str">
        <f ca="1">IFERROR(__xludf.DUMMYFUNCTION("""COMPUTED_VALUE"""),"ELM at Park Five")</f>
        <v>ELM at Park Five</v>
      </c>
      <c r="C10403" s="2" t="str">
        <f ca="1">IFERROR(__xludf.DUMMYFUNCTION("""COMPUTED_VALUE"""),"Building")</f>
        <v>Building</v>
      </c>
      <c r="D10403" s="2" t="str">
        <f ca="1">IFERROR(__xludf.DUMMYFUNCTION("""COMPUTED_VALUE"""),"Dubai&gt;Dubai Production City (IMPZ)&gt;Park Five by Deyaar&gt;ELM at Park Five")</f>
        <v>Dubai&gt;Dubai Production City (IMPZ)&gt;Park Five by Deyaar&gt;ELM at Park Five</v>
      </c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  <c r="V10403" s="2"/>
      <c r="W10403" s="2"/>
      <c r="X10403" s="2"/>
      <c r="Y10403" s="2"/>
      <c r="Z10403" s="2"/>
    </row>
    <row r="10404" spans="1:26" ht="16.5" x14ac:dyDescent="0.35">
      <c r="A10404" s="2" t="str">
        <f ca="1">IFERROR(__xludf.DUMMYFUNCTION("""COMPUTED_VALUE"""),"Dubai")</f>
        <v>Dubai</v>
      </c>
      <c r="B10404" s="2" t="str">
        <f ca="1">IFERROR(__xludf.DUMMYFUNCTION("""COMPUTED_VALUE"""),"International Humanitarian City")</f>
        <v>International Humanitarian City</v>
      </c>
      <c r="C10404" s="2" t="str">
        <f ca="1">IFERROR(__xludf.DUMMYFUNCTION("""COMPUTED_VALUE"""),"Cluster")</f>
        <v>Cluster</v>
      </c>
      <c r="D10404" s="2" t="str">
        <f ca="1">IFERROR(__xludf.DUMMYFUNCTION("""COMPUTED_VALUE"""),"Dubai&gt;Dubai Industrial City&gt;International Humanitarian City")</f>
        <v>Dubai&gt;Dubai Industrial City&gt;International Humanitarian City</v>
      </c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  <c r="V10404" s="2"/>
      <c r="W10404" s="2"/>
      <c r="X10404" s="2"/>
      <c r="Y10404" s="2"/>
      <c r="Z10404" s="2"/>
    </row>
    <row r="10405" spans="1:26" ht="16.5" x14ac:dyDescent="0.35">
      <c r="A10405" s="2" t="str">
        <f ca="1">IFERROR(__xludf.DUMMYFUNCTION("""COMPUTED_VALUE"""),"Dubai")</f>
        <v>Dubai</v>
      </c>
      <c r="B10405" s="2" t="str">
        <f ca="1">IFERROR(__xludf.DUMMYFUNCTION("""COMPUTED_VALUE"""),"Ruby II Building")</f>
        <v>Ruby II Building</v>
      </c>
      <c r="C10405" s="2" t="str">
        <f ca="1">IFERROR(__xludf.DUMMYFUNCTION("""COMPUTED_VALUE"""),"Building")</f>
        <v>Building</v>
      </c>
      <c r="D10405" s="2" t="str">
        <f ca="1">IFERROR(__xludf.DUMMYFUNCTION("""COMPUTED_VALUE"""),"Dubai&gt;Umm Al Sheif&gt;Ruby II Building")</f>
        <v>Dubai&gt;Umm Al Sheif&gt;Ruby II Building</v>
      </c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  <c r="V10405" s="2"/>
      <c r="W10405" s="2"/>
      <c r="X10405" s="2"/>
      <c r="Y10405" s="2"/>
      <c r="Z10405" s="2"/>
    </row>
    <row r="10406" spans="1:26" ht="16.5" x14ac:dyDescent="0.35">
      <c r="A10406" s="2" t="str">
        <f ca="1">IFERROR(__xludf.DUMMYFUNCTION("""COMPUTED_VALUE"""),"Dubai")</f>
        <v>Dubai</v>
      </c>
      <c r="B10406" s="2" t="str">
        <f ca="1">IFERROR(__xludf.DUMMYFUNCTION("""COMPUTED_VALUE"""),"Rixos Dubai Islands Hotel &amp; Residences")</f>
        <v>Rixos Dubai Islands Hotel &amp; Residences</v>
      </c>
      <c r="C10406" s="2" t="str">
        <f ca="1">IFERROR(__xludf.DUMMYFUNCTION("""COMPUTED_VALUE"""),"Neighbourhood")</f>
        <v>Neighbourhood</v>
      </c>
      <c r="D10406" s="2" t="str">
        <f ca="1">IFERROR(__xludf.DUMMYFUNCTION("""COMPUTED_VALUE"""),"Dubai&gt;Dubai Islands&gt;Rixos Dubai Islands Hotel &amp; Residences")</f>
        <v>Dubai&gt;Dubai Islands&gt;Rixos Dubai Islands Hotel &amp; Residences</v>
      </c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  <c r="V10406" s="2"/>
      <c r="W10406" s="2"/>
      <c r="X10406" s="2"/>
      <c r="Y10406" s="2"/>
      <c r="Z10406" s="2"/>
    </row>
    <row r="10407" spans="1:26" ht="16.5" x14ac:dyDescent="0.35">
      <c r="A10407" s="2" t="str">
        <f ca="1">IFERROR(__xludf.DUMMYFUNCTION("""COMPUTED_VALUE"""),"Dubai")</f>
        <v>Dubai</v>
      </c>
      <c r="B10407" s="2" t="str">
        <f ca="1">IFERROR(__xludf.DUMMYFUNCTION("""COMPUTED_VALUE"""),"Zephyra Residences")</f>
        <v>Zephyra Residences</v>
      </c>
      <c r="C10407" s="2" t="str">
        <f ca="1">IFERROR(__xludf.DUMMYFUNCTION("""COMPUTED_VALUE"""),"Building")</f>
        <v>Building</v>
      </c>
      <c r="D10407" s="2" t="str">
        <f ca="1">IFERROR(__xludf.DUMMYFUNCTION("""COMPUTED_VALUE"""),"Dubai&gt;Dubai Islands&gt;Zephyra Residences")</f>
        <v>Dubai&gt;Dubai Islands&gt;Zephyra Residences</v>
      </c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  <c r="U10407" s="2"/>
      <c r="V10407" s="2"/>
      <c r="W10407" s="2"/>
      <c r="X10407" s="2"/>
      <c r="Y10407" s="2"/>
      <c r="Z10407" s="2"/>
    </row>
    <row r="10408" spans="1:26" ht="16.5" x14ac:dyDescent="0.35">
      <c r="A10408" s="2" t="str">
        <f ca="1">IFERROR(__xludf.DUMMYFUNCTION("""COMPUTED_VALUE"""),"Dubai")</f>
        <v>Dubai</v>
      </c>
      <c r="B10408" s="2" t="str">
        <f ca="1">IFERROR(__xludf.DUMMYFUNCTION("""COMPUTED_VALUE"""),"Agua Residences")</f>
        <v>Agua Residences</v>
      </c>
      <c r="C10408" s="2" t="str">
        <f ca="1">IFERROR(__xludf.DUMMYFUNCTION("""COMPUTED_VALUE"""),"Cluster")</f>
        <v>Cluster</v>
      </c>
      <c r="D10408" s="2" t="str">
        <f ca="1">IFERROR(__xludf.DUMMYFUNCTION("""COMPUTED_VALUE"""),"Dubai&gt;Dubai Islands&gt;Agua Residences")</f>
        <v>Dubai&gt;Dubai Islands&gt;Agua Residences</v>
      </c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  <c r="V10408" s="2"/>
      <c r="W10408" s="2"/>
      <c r="X10408" s="2"/>
      <c r="Y10408" s="2"/>
      <c r="Z10408" s="2"/>
    </row>
    <row r="10409" spans="1:26" ht="16.5" x14ac:dyDescent="0.35">
      <c r="A10409" s="2" t="str">
        <f ca="1">IFERROR(__xludf.DUMMYFUNCTION("""COMPUTED_VALUE"""),"Dubai")</f>
        <v>Dubai</v>
      </c>
      <c r="B10409" s="2" t="str">
        <f ca="1">IFERROR(__xludf.DUMMYFUNCTION("""COMPUTED_VALUE"""),"Wellington Ocean Walk")</f>
        <v>Wellington Ocean Walk</v>
      </c>
      <c r="C10409" s="2" t="str">
        <f ca="1">IFERROR(__xludf.DUMMYFUNCTION("""COMPUTED_VALUE"""),"Building")</f>
        <v>Building</v>
      </c>
      <c r="D10409" s="2" t="str">
        <f ca="1">IFERROR(__xludf.DUMMYFUNCTION("""COMPUTED_VALUE"""),"Dubai&gt;Dubai Islands&gt;Wellington Ocean Walk")</f>
        <v>Dubai&gt;Dubai Islands&gt;Wellington Ocean Walk</v>
      </c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  <c r="V10409" s="2"/>
      <c r="W10409" s="2"/>
      <c r="X10409" s="2"/>
      <c r="Y10409" s="2"/>
      <c r="Z10409" s="2"/>
    </row>
    <row r="10410" spans="1:26" ht="16.5" x14ac:dyDescent="0.35">
      <c r="A10410" s="2" t="str">
        <f ca="1">IFERROR(__xludf.DUMMYFUNCTION("""COMPUTED_VALUE"""),"Dubai")</f>
        <v>Dubai</v>
      </c>
      <c r="B10410" s="2" t="str">
        <f ca="1">IFERROR(__xludf.DUMMYFUNCTION("""COMPUTED_VALUE"""),"Luminous Coastal Living")</f>
        <v>Luminous Coastal Living</v>
      </c>
      <c r="C10410" s="2" t="str">
        <f ca="1">IFERROR(__xludf.DUMMYFUNCTION("""COMPUTED_VALUE"""),"Building")</f>
        <v>Building</v>
      </c>
      <c r="D10410" s="2" t="str">
        <f ca="1">IFERROR(__xludf.DUMMYFUNCTION("""COMPUTED_VALUE"""),"Dubai&gt;Dubai Islands&gt;Luminous Coastal Living")</f>
        <v>Dubai&gt;Dubai Islands&gt;Luminous Coastal Living</v>
      </c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  <c r="V10410" s="2"/>
      <c r="W10410" s="2"/>
      <c r="X10410" s="2"/>
      <c r="Y10410" s="2"/>
      <c r="Z10410" s="2"/>
    </row>
    <row r="10411" spans="1:26" ht="16.5" x14ac:dyDescent="0.35">
      <c r="A10411" s="2" t="str">
        <f ca="1">IFERROR(__xludf.DUMMYFUNCTION("""COMPUTED_VALUE"""),"Dubai")</f>
        <v>Dubai</v>
      </c>
      <c r="B10411" s="2" t="str">
        <f ca="1">IFERROR(__xludf.DUMMYFUNCTION("""COMPUTED_VALUE"""),"Mayfair Nexus")</f>
        <v>Mayfair Nexus</v>
      </c>
      <c r="C10411" s="2" t="str">
        <f ca="1">IFERROR(__xludf.DUMMYFUNCTION("""COMPUTED_VALUE"""),"Building")</f>
        <v>Building</v>
      </c>
      <c r="D10411" s="2" t="str">
        <f ca="1">IFERROR(__xludf.DUMMYFUNCTION("""COMPUTED_VALUE"""),"Dubai&gt;Dubailand&gt;Dubai Lifestyle City&gt;Mayfair Nexus")</f>
        <v>Dubai&gt;Dubailand&gt;Dubai Lifestyle City&gt;Mayfair Nexus</v>
      </c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  <c r="V10411" s="2"/>
      <c r="W10411" s="2"/>
      <c r="X10411" s="2"/>
      <c r="Y10411" s="2"/>
      <c r="Z10411" s="2"/>
    </row>
    <row r="10412" spans="1:26" ht="16.5" x14ac:dyDescent="0.35">
      <c r="A10412" s="2" t="str">
        <f ca="1">IFERROR(__xludf.DUMMYFUNCTION("""COMPUTED_VALUE"""),"Dubai")</f>
        <v>Dubai</v>
      </c>
      <c r="B10412" s="2" t="str">
        <f ca="1">IFERROR(__xludf.DUMMYFUNCTION("""COMPUTED_VALUE"""),"Umm Nahad 3")</f>
        <v>Umm Nahad 3</v>
      </c>
      <c r="C10412" s="2" t="str">
        <f ca="1">IFERROR(__xludf.DUMMYFUNCTION("""COMPUTED_VALUE"""),"Neighbourhood")</f>
        <v>Neighbourhood</v>
      </c>
      <c r="D10412" s="2" t="str">
        <f ca="1">IFERROR(__xludf.DUMMYFUNCTION("""COMPUTED_VALUE"""),"Dubai&gt;Dubailand&gt;Umm Nahad 3")</f>
        <v>Dubai&gt;Dubailand&gt;Umm Nahad 3</v>
      </c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  <c r="V10412" s="2"/>
      <c r="W10412" s="2"/>
      <c r="X10412" s="2"/>
      <c r="Y10412" s="2"/>
      <c r="Z10412" s="2"/>
    </row>
    <row r="10413" spans="1:26" ht="16.5" x14ac:dyDescent="0.35">
      <c r="A10413" s="2" t="str">
        <f ca="1">IFERROR(__xludf.DUMMYFUNCTION("""COMPUTED_VALUE"""),"Dubai")</f>
        <v>Dubai</v>
      </c>
      <c r="B10413" s="2" t="str">
        <f ca="1">IFERROR(__xludf.DUMMYFUNCTION("""COMPUTED_VALUE"""),"World Trade Centre")</f>
        <v>World Trade Centre</v>
      </c>
      <c r="C10413" s="2" t="str">
        <f ca="1">IFERROR(__xludf.DUMMYFUNCTION("""COMPUTED_VALUE"""),"Neighbourhood")</f>
        <v>Neighbourhood</v>
      </c>
      <c r="D10413" s="2" t="str">
        <f ca="1">IFERROR(__xludf.DUMMYFUNCTION("""COMPUTED_VALUE"""),"Dubai&gt;World Trade Centre")</f>
        <v>Dubai&gt;World Trade Centre</v>
      </c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  <c r="V10413" s="2"/>
      <c r="W10413" s="2"/>
      <c r="X10413" s="2"/>
      <c r="Y10413" s="2"/>
      <c r="Z10413" s="2"/>
    </row>
    <row r="10414" spans="1:26" ht="16.5" x14ac:dyDescent="0.35">
      <c r="A10414" s="2" t="str">
        <f ca="1">IFERROR(__xludf.DUMMYFUNCTION("""COMPUTED_VALUE"""),"Dubai")</f>
        <v>Dubai</v>
      </c>
      <c r="B10414" s="2" t="str">
        <f ca="1">IFERROR(__xludf.DUMMYFUNCTION("""COMPUTED_VALUE"""),"Za'abeel 1")</f>
        <v>Za'abeel 1</v>
      </c>
      <c r="C10414" s="2" t="str">
        <f ca="1">IFERROR(__xludf.DUMMYFUNCTION("""COMPUTED_VALUE"""),"Neighbourhood")</f>
        <v>Neighbourhood</v>
      </c>
      <c r="D10414" s="2" t="str">
        <f ca="1">IFERROR(__xludf.DUMMYFUNCTION("""COMPUTED_VALUE"""),"Dubai&gt;Za'abeel&gt;Za'abeel 1")</f>
        <v>Dubai&gt;Za'abeel&gt;Za'abeel 1</v>
      </c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  <c r="V10414" s="2"/>
      <c r="W10414" s="2"/>
      <c r="X10414" s="2"/>
      <c r="Y10414" s="2"/>
      <c r="Z10414" s="2"/>
    </row>
    <row r="10415" spans="1:26" ht="16.5" x14ac:dyDescent="0.35">
      <c r="A10415" s="2" t="str">
        <f ca="1">IFERROR(__xludf.DUMMYFUNCTION("""COMPUTED_VALUE"""),"Dubai")</f>
        <v>Dubai</v>
      </c>
      <c r="B10415" s="2" t="str">
        <f ca="1">IFERROR(__xludf.DUMMYFUNCTION("""COMPUTED_VALUE"""),"Al Asmawi Commercial Building")</f>
        <v>Al Asmawi Commercial Building</v>
      </c>
      <c r="C10415" s="2" t="str">
        <f ca="1">IFERROR(__xludf.DUMMYFUNCTION("""COMPUTED_VALUE"""),"Building")</f>
        <v>Building</v>
      </c>
      <c r="D10415" s="2" t="str">
        <f ca="1">IFERROR(__xludf.DUMMYFUNCTION("""COMPUTED_VALUE"""),"Dubai&gt;Ras Al Khor&gt;Ras Al Khor Industrial&gt;Ras Al Khor Industrial 2&gt;Al Asmawi Commercial Building")</f>
        <v>Dubai&gt;Ras Al Khor&gt;Ras Al Khor Industrial&gt;Ras Al Khor Industrial 2&gt;Al Asmawi Commercial Building</v>
      </c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  <c r="V10415" s="2"/>
      <c r="W10415" s="2"/>
      <c r="X10415" s="2"/>
      <c r="Y10415" s="2"/>
      <c r="Z10415" s="2"/>
    </row>
    <row r="10416" spans="1:26" ht="16.5" x14ac:dyDescent="0.35">
      <c r="A10416" s="2" t="str">
        <f ca="1">IFERROR(__xludf.DUMMYFUNCTION("""COMPUTED_VALUE"""),"Dubai")</f>
        <v>Dubai</v>
      </c>
      <c r="B10416" s="2" t="str">
        <f ca="1">IFERROR(__xludf.DUMMYFUNCTION("""COMPUTED_VALUE"""),"Jumeirah International Nursery Ibn Batutta")</f>
        <v>Jumeirah International Nursery Ibn Batutta</v>
      </c>
      <c r="C10416" s="2" t="str">
        <f ca="1">IFERROR(__xludf.DUMMYFUNCTION("""COMPUTED_VALUE"""),"Nursery")</f>
        <v>Nursery</v>
      </c>
      <c r="D10416" s="2" t="str">
        <f ca="1">IFERROR(__xludf.DUMMYFUNCTION("""COMPUTED_VALUE"""),"Dubai&gt;Jebel Ali&gt;Jumeirah International Nursery Ibn Batutta")</f>
        <v>Dubai&gt;Jebel Ali&gt;Jumeirah International Nursery Ibn Batutta</v>
      </c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  <c r="V10416" s="2"/>
      <c r="W10416" s="2"/>
      <c r="X10416" s="2"/>
      <c r="Y10416" s="2"/>
      <c r="Z10416" s="2"/>
    </row>
    <row r="10417" spans="1:26" ht="16.5" x14ac:dyDescent="0.35">
      <c r="A10417" s="2" t="str">
        <f ca="1">IFERROR(__xludf.DUMMYFUNCTION("""COMPUTED_VALUE"""),"Dubai")</f>
        <v>Dubai</v>
      </c>
      <c r="B10417" s="2" t="str">
        <f ca="1">IFERROR(__xludf.DUMMYFUNCTION("""COMPUTED_VALUE"""),"Azizi Arian")</f>
        <v>Azizi Arian</v>
      </c>
      <c r="C10417" s="2" t="str">
        <f ca="1">IFERROR(__xludf.DUMMYFUNCTION("""COMPUTED_VALUE"""),"Building")</f>
        <v>Building</v>
      </c>
      <c r="D10417" s="2" t="str">
        <f ca="1">IFERROR(__xludf.DUMMYFUNCTION("""COMPUTED_VALUE"""),"Dubai&gt;Jebel Ali&gt;Downtown Jebel Ali&gt;Azizi Arian")</f>
        <v>Dubai&gt;Jebel Ali&gt;Downtown Jebel Ali&gt;Azizi Arian</v>
      </c>
      <c r="E10417" s="2"/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  <c r="V10417" s="2"/>
      <c r="W10417" s="2"/>
      <c r="X10417" s="2"/>
      <c r="Y10417" s="2"/>
      <c r="Z10417" s="2"/>
    </row>
    <row r="10418" spans="1:26" ht="16.5" x14ac:dyDescent="0.35">
      <c r="A10418" s="2" t="str">
        <f ca="1">IFERROR(__xludf.DUMMYFUNCTION("""COMPUTED_VALUE"""),"Dubai")</f>
        <v>Dubai</v>
      </c>
      <c r="B10418" s="2" t="str">
        <f ca="1">IFERROR(__xludf.DUMMYFUNCTION("""COMPUTED_VALUE"""),"Concord 5 Building")</f>
        <v>Concord 5 Building</v>
      </c>
      <c r="C10418" s="2" t="str">
        <f ca="1">IFERROR(__xludf.DUMMYFUNCTION("""COMPUTED_VALUE"""),"Building")</f>
        <v>Building</v>
      </c>
      <c r="D10418" s="2" t="str">
        <f ca="1">IFERROR(__xludf.DUMMYFUNCTION("""COMPUTED_VALUE"""),"Dubai&gt;Jebel Ali&gt;Concord 5 Building")</f>
        <v>Dubai&gt;Jebel Ali&gt;Concord 5 Building</v>
      </c>
      <c r="E10418" s="2"/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  <c r="V10418" s="2"/>
      <c r="W10418" s="2"/>
      <c r="X10418" s="2"/>
      <c r="Y10418" s="2"/>
      <c r="Z10418" s="2"/>
    </row>
    <row r="10419" spans="1:26" ht="16.5" x14ac:dyDescent="0.35">
      <c r="A10419" s="2" t="str">
        <f ca="1">IFERROR(__xludf.DUMMYFUNCTION("""COMPUTED_VALUE"""),"Dubai")</f>
        <v>Dubai</v>
      </c>
      <c r="B10419" s="2" t="str">
        <f ca="1">IFERROR(__xludf.DUMMYFUNCTION("""COMPUTED_VALUE"""),"Al Khair Building 1")</f>
        <v>Al Khair Building 1</v>
      </c>
      <c r="C10419" s="2" t="str">
        <f ca="1">IFERROR(__xludf.DUMMYFUNCTION("""COMPUTED_VALUE"""),"Building")</f>
        <v>Building</v>
      </c>
      <c r="D10419" s="2" t="str">
        <f ca="1">IFERROR(__xludf.DUMMYFUNCTION("""COMPUTED_VALUE"""),"Dubai&gt;Nad Al Hamar&gt;Al Khair Building 1")</f>
        <v>Dubai&gt;Nad Al Hamar&gt;Al Khair Building 1</v>
      </c>
      <c r="E10419" s="2"/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2"/>
      <c r="T10419" s="2"/>
      <c r="U10419" s="2"/>
      <c r="V10419" s="2"/>
      <c r="W10419" s="2"/>
      <c r="X10419" s="2"/>
      <c r="Y10419" s="2"/>
      <c r="Z10419" s="2"/>
    </row>
    <row r="10420" spans="1:26" ht="16.5" x14ac:dyDescent="0.35">
      <c r="A10420" s="2" t="str">
        <f ca="1">IFERROR(__xludf.DUMMYFUNCTION("""COMPUTED_VALUE"""),"Dubai")</f>
        <v>Dubai</v>
      </c>
      <c r="B10420" s="2" t="str">
        <f ca="1">IFERROR(__xludf.DUMMYFUNCTION("""COMPUTED_VALUE"""),"Al Murad Tower")</f>
        <v>Al Murad Tower</v>
      </c>
      <c r="C10420" s="2" t="str">
        <f ca="1">IFERROR(__xludf.DUMMYFUNCTION("""COMPUTED_VALUE"""),"Building")</f>
        <v>Building</v>
      </c>
      <c r="D10420" s="2" t="str">
        <f ca="1">IFERROR(__xludf.DUMMYFUNCTION("""COMPUTED_VALUE"""),"Dubai&gt;Al Barsha&gt;Al Barsha 1&gt;Al Murad Tower")</f>
        <v>Dubai&gt;Al Barsha&gt;Al Barsha 1&gt;Al Murad Tower</v>
      </c>
      <c r="E10420" s="2"/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  <c r="V10420" s="2"/>
      <c r="W10420" s="2"/>
      <c r="X10420" s="2"/>
      <c r="Y10420" s="2"/>
      <c r="Z10420" s="2"/>
    </row>
    <row r="10421" spans="1:26" ht="16.5" x14ac:dyDescent="0.35">
      <c r="A10421" s="2" t="str">
        <f ca="1">IFERROR(__xludf.DUMMYFUNCTION("""COMPUTED_VALUE"""),"Dubai")</f>
        <v>Dubai</v>
      </c>
      <c r="B10421" s="2" t="str">
        <f ca="1">IFERROR(__xludf.DUMMYFUNCTION("""COMPUTED_VALUE"""),"Al Sagr Plaza")</f>
        <v>Al Sagr Plaza</v>
      </c>
      <c r="C10421" s="2" t="str">
        <f ca="1">IFERROR(__xludf.DUMMYFUNCTION("""COMPUTED_VALUE"""),"Building")</f>
        <v>Building</v>
      </c>
      <c r="D10421" s="2" t="str">
        <f ca="1">IFERROR(__xludf.DUMMYFUNCTION("""COMPUTED_VALUE"""),"Dubai&gt;Al Barsha&gt;Al Barsha 1&gt;Al Sagr Plaza")</f>
        <v>Dubai&gt;Al Barsha&gt;Al Barsha 1&gt;Al Sagr Plaza</v>
      </c>
      <c r="E10421" s="2"/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  <c r="V10421" s="2"/>
      <c r="W10421" s="2"/>
      <c r="X10421" s="2"/>
      <c r="Y10421" s="2"/>
      <c r="Z10421" s="2"/>
    </row>
    <row r="10422" spans="1:26" ht="16.5" x14ac:dyDescent="0.35">
      <c r="A10422" s="2" t="str">
        <f ca="1">IFERROR(__xludf.DUMMYFUNCTION("""COMPUTED_VALUE"""),"Dubai")</f>
        <v>Dubai</v>
      </c>
      <c r="B10422" s="2" t="str">
        <f ca="1">IFERROR(__xludf.DUMMYFUNCTION("""COMPUTED_VALUE"""),"SBK Building 1")</f>
        <v>SBK Building 1</v>
      </c>
      <c r="C10422" s="2" t="str">
        <f ca="1">IFERROR(__xludf.DUMMYFUNCTION("""COMPUTED_VALUE"""),"Building")</f>
        <v>Building</v>
      </c>
      <c r="D10422" s="2" t="str">
        <f ca="1">IFERROR(__xludf.DUMMYFUNCTION("""COMPUTED_VALUE"""),"Dubai&gt;Al Barsha&gt;Al Barsha 1&gt;SBK Building 1")</f>
        <v>Dubai&gt;Al Barsha&gt;Al Barsha 1&gt;SBK Building 1</v>
      </c>
      <c r="E10422" s="2"/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  <c r="V10422" s="2"/>
      <c r="W10422" s="2"/>
      <c r="X10422" s="2"/>
      <c r="Y10422" s="2"/>
      <c r="Z10422" s="2"/>
    </row>
    <row r="10423" spans="1:26" ht="16.5" x14ac:dyDescent="0.35">
      <c r="A10423" s="2" t="str">
        <f ca="1">IFERROR(__xludf.DUMMYFUNCTION("""COMPUTED_VALUE"""),"Dubai")</f>
        <v>Dubai</v>
      </c>
      <c r="B10423" s="2" t="str">
        <f ca="1">IFERROR(__xludf.DUMMYFUNCTION("""COMPUTED_VALUE"""),"Faridooni Building")</f>
        <v>Faridooni Building</v>
      </c>
      <c r="C10423" s="2" t="str">
        <f ca="1">IFERROR(__xludf.DUMMYFUNCTION("""COMPUTED_VALUE"""),"Building")</f>
        <v>Building</v>
      </c>
      <c r="D10423" s="2" t="str">
        <f ca="1">IFERROR(__xludf.DUMMYFUNCTION("""COMPUTED_VALUE"""),"Dubai&gt;Al Barsha&gt;Al Barsha 1&gt;Faridooni Building")</f>
        <v>Dubai&gt;Al Barsha&gt;Al Barsha 1&gt;Faridooni Building</v>
      </c>
      <c r="E10423" s="2"/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  <c r="V10423" s="2"/>
      <c r="W10423" s="2"/>
      <c r="X10423" s="2"/>
      <c r="Y10423" s="2"/>
      <c r="Z10423" s="2"/>
    </row>
    <row r="10424" spans="1:26" ht="16.5" x14ac:dyDescent="0.35">
      <c r="A10424" s="2" t="str">
        <f ca="1">IFERROR(__xludf.DUMMYFUNCTION("""COMPUTED_VALUE"""),"Dubai")</f>
        <v>Dubai</v>
      </c>
      <c r="B10424" s="2" t="str">
        <f ca="1">IFERROR(__xludf.DUMMYFUNCTION("""COMPUTED_VALUE"""),"Al Khaimah Building II")</f>
        <v>Al Khaimah Building II</v>
      </c>
      <c r="C10424" s="2" t="str">
        <f ca="1">IFERROR(__xludf.DUMMYFUNCTION("""COMPUTED_VALUE"""),"Building")</f>
        <v>Building</v>
      </c>
      <c r="D10424" s="2" t="str">
        <f ca="1">IFERROR(__xludf.DUMMYFUNCTION("""COMPUTED_VALUE"""),"Dubai&gt;Al Barsha&gt;Al Barsha 1&gt;Al Khaimah Building II")</f>
        <v>Dubai&gt;Al Barsha&gt;Al Barsha 1&gt;Al Khaimah Building II</v>
      </c>
      <c r="E10424" s="2"/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  <c r="V10424" s="2"/>
      <c r="W10424" s="2"/>
      <c r="X10424" s="2"/>
      <c r="Y10424" s="2"/>
      <c r="Z10424" s="2"/>
    </row>
    <row r="10425" spans="1:26" ht="16.5" x14ac:dyDescent="0.35">
      <c r="A10425" s="2" t="str">
        <f ca="1">IFERROR(__xludf.DUMMYFUNCTION("""COMPUTED_VALUE"""),"Dubai")</f>
        <v>Dubai</v>
      </c>
      <c r="B10425" s="2" t="str">
        <f ca="1">IFERROR(__xludf.DUMMYFUNCTION("""COMPUTED_VALUE"""),"Dunes Residence")</f>
        <v>Dunes Residence</v>
      </c>
      <c r="C10425" s="2" t="str">
        <f ca="1">IFERROR(__xludf.DUMMYFUNCTION("""COMPUTED_VALUE"""),"Building")</f>
        <v>Building</v>
      </c>
      <c r="D10425" s="2" t="str">
        <f ca="1">IFERROR(__xludf.DUMMYFUNCTION("""COMPUTED_VALUE"""),"Dubai&gt;Al Barsha&gt;Al Barsha 1&gt;Dunes Residence")</f>
        <v>Dubai&gt;Al Barsha&gt;Al Barsha 1&gt;Dunes Residence</v>
      </c>
      <c r="E10425" s="2"/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  <c r="V10425" s="2"/>
      <c r="W10425" s="2"/>
      <c r="X10425" s="2"/>
      <c r="Y10425" s="2"/>
      <c r="Z10425" s="2"/>
    </row>
    <row r="10426" spans="1:26" ht="16.5" x14ac:dyDescent="0.35">
      <c r="A10426" s="2" t="str">
        <f ca="1">IFERROR(__xludf.DUMMYFUNCTION("""COMPUTED_VALUE"""),"Dubai")</f>
        <v>Dubai</v>
      </c>
      <c r="B10426" s="2" t="str">
        <f ca="1">IFERROR(__xludf.DUMMYFUNCTION("""COMPUTED_VALUE"""),"Al Mulla 2 Building")</f>
        <v>Al Mulla 2 Building</v>
      </c>
      <c r="C10426" s="2" t="str">
        <f ca="1">IFERROR(__xludf.DUMMYFUNCTION("""COMPUTED_VALUE"""),"Building")</f>
        <v>Building</v>
      </c>
      <c r="D10426" s="2" t="str">
        <f ca="1">IFERROR(__xludf.DUMMYFUNCTION("""COMPUTED_VALUE"""),"Dubai&gt;Al Barsha&gt;Al Barsha 1&gt;Al Mulla 2 Building")</f>
        <v>Dubai&gt;Al Barsha&gt;Al Barsha 1&gt;Al Mulla 2 Building</v>
      </c>
      <c r="E10426" s="2"/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2"/>
      <c r="T10426" s="2"/>
      <c r="U10426" s="2"/>
      <c r="V10426" s="2"/>
      <c r="W10426" s="2"/>
      <c r="X10426" s="2"/>
      <c r="Y10426" s="2"/>
      <c r="Z10426" s="2"/>
    </row>
    <row r="10427" spans="1:26" ht="16.5" x14ac:dyDescent="0.35">
      <c r="A10427" s="2" t="str">
        <f ca="1">IFERROR(__xludf.DUMMYFUNCTION("""COMPUTED_VALUE"""),"Dubai")</f>
        <v>Dubai</v>
      </c>
      <c r="B10427" s="2" t="str">
        <f ca="1">IFERROR(__xludf.DUMMYFUNCTION("""COMPUTED_VALUE"""),"Emerald A")</f>
        <v>Emerald A</v>
      </c>
      <c r="C10427" s="2" t="str">
        <f ca="1">IFERROR(__xludf.DUMMYFUNCTION("""COMPUTED_VALUE"""),"Building")</f>
        <v>Building</v>
      </c>
      <c r="D10427" s="2" t="str">
        <f ca="1">IFERROR(__xludf.DUMMYFUNCTION("""COMPUTED_VALUE"""),"Dubai&gt;Al Barsha&gt;Al Barsha 1&gt;Emerald A")</f>
        <v>Dubai&gt;Al Barsha&gt;Al Barsha 1&gt;Emerald A</v>
      </c>
      <c r="E10427" s="2"/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  <c r="V10427" s="2"/>
      <c r="W10427" s="2"/>
      <c r="X10427" s="2"/>
      <c r="Y10427" s="2"/>
      <c r="Z10427" s="2"/>
    </row>
    <row r="10428" spans="1:26" ht="16.5" x14ac:dyDescent="0.35">
      <c r="A10428" s="2" t="str">
        <f ca="1">IFERROR(__xludf.DUMMYFUNCTION("""COMPUTED_VALUE"""),"Dubai")</f>
        <v>Dubai</v>
      </c>
      <c r="B10428" s="2" t="str">
        <f ca="1">IFERROR(__xludf.DUMMYFUNCTION("""COMPUTED_VALUE"""),"Mayeka Ismail Abdulla Al Baqali Building")</f>
        <v>Mayeka Ismail Abdulla Al Baqali Building</v>
      </c>
      <c r="C10428" s="2" t="str">
        <f ca="1">IFERROR(__xludf.DUMMYFUNCTION("""COMPUTED_VALUE"""),"Building")</f>
        <v>Building</v>
      </c>
      <c r="D10428" s="2" t="str">
        <f ca="1">IFERROR(__xludf.DUMMYFUNCTION("""COMPUTED_VALUE"""),"Dubai&gt;Al Barsha&gt;Al Barsha 1&gt;Mayeka Ismail Abdulla Al Baqali Building")</f>
        <v>Dubai&gt;Al Barsha&gt;Al Barsha 1&gt;Mayeka Ismail Abdulla Al Baqali Building</v>
      </c>
      <c r="E10428" s="2"/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  <c r="V10428" s="2"/>
      <c r="W10428" s="2"/>
      <c r="X10428" s="2"/>
      <c r="Y10428" s="2"/>
      <c r="Z10428" s="2"/>
    </row>
    <row r="10429" spans="1:26" ht="16.5" x14ac:dyDescent="0.35">
      <c r="A10429" s="2" t="str">
        <f ca="1">IFERROR(__xludf.DUMMYFUNCTION("""COMPUTED_VALUE"""),"Dubai")</f>
        <v>Dubai</v>
      </c>
      <c r="B10429" s="2" t="str">
        <f ca="1">IFERROR(__xludf.DUMMYFUNCTION("""COMPUTED_VALUE"""),"Villa Ria")</f>
        <v>Villa Ria</v>
      </c>
      <c r="C10429" s="2" t="str">
        <f ca="1">IFERROR(__xludf.DUMMYFUNCTION("""COMPUTED_VALUE"""),"Neighbourhood")</f>
        <v>Neighbourhood</v>
      </c>
      <c r="D10429" s="2" t="str">
        <f ca="1">IFERROR(__xludf.DUMMYFUNCTION("""COMPUTED_VALUE"""),"Dubai&gt;Al Barsha&gt;Al Barsha 1&gt;Villa Ria")</f>
        <v>Dubai&gt;Al Barsha&gt;Al Barsha 1&gt;Villa Ria</v>
      </c>
      <c r="E10429" s="2"/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  <c r="V10429" s="2"/>
      <c r="W10429" s="2"/>
      <c r="X10429" s="2"/>
      <c r="Y10429" s="2"/>
      <c r="Z10429" s="2"/>
    </row>
    <row r="10430" spans="1:26" ht="16.5" x14ac:dyDescent="0.35">
      <c r="A10430" s="2" t="str">
        <f ca="1">IFERROR(__xludf.DUMMYFUNCTION("""COMPUTED_VALUE"""),"Dubai")</f>
        <v>Dubai</v>
      </c>
      <c r="B10430" s="2" t="str">
        <f ca="1">IFERROR(__xludf.DUMMYFUNCTION("""COMPUTED_VALUE"""),"Claren Tower 1")</f>
        <v>Claren Tower 1</v>
      </c>
      <c r="C10430" s="2" t="str">
        <f ca="1">IFERROR(__xludf.DUMMYFUNCTION("""COMPUTED_VALUE"""),"Building")</f>
        <v>Building</v>
      </c>
      <c r="D10430" s="2" t="str">
        <f ca="1">IFERROR(__xludf.DUMMYFUNCTION("""COMPUTED_VALUE"""),"Dubai&gt;Downtown Dubai&gt;Claren Towers&gt;Claren Tower 1")</f>
        <v>Dubai&gt;Downtown Dubai&gt;Claren Towers&gt;Claren Tower 1</v>
      </c>
      <c r="E10430" s="2"/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  <c r="V10430" s="2"/>
      <c r="W10430" s="2"/>
      <c r="X10430" s="2"/>
      <c r="Y10430" s="2"/>
      <c r="Z10430" s="2"/>
    </row>
    <row r="10431" spans="1:26" ht="16.5" x14ac:dyDescent="0.35">
      <c r="A10431" s="2" t="str">
        <f ca="1">IFERROR(__xludf.DUMMYFUNCTION("""COMPUTED_VALUE"""),"Dubai")</f>
        <v>Dubai</v>
      </c>
      <c r="B10431" s="2" t="str">
        <f ca="1">IFERROR(__xludf.DUMMYFUNCTION("""COMPUTED_VALUE"""),"Emaar Square Building 5")</f>
        <v>Emaar Square Building 5</v>
      </c>
      <c r="C10431" s="2" t="str">
        <f ca="1">IFERROR(__xludf.DUMMYFUNCTION("""COMPUTED_VALUE"""),"Building")</f>
        <v>Building</v>
      </c>
      <c r="D10431" s="2" t="str">
        <f ca="1">IFERROR(__xludf.DUMMYFUNCTION("""COMPUTED_VALUE"""),"Dubai&gt;Downtown Dubai&gt;Emaar Square&gt;Emaar Square Building 5")</f>
        <v>Dubai&gt;Downtown Dubai&gt;Emaar Square&gt;Emaar Square Building 5</v>
      </c>
      <c r="E10431" s="2"/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  <c r="V10431" s="2"/>
      <c r="W10431" s="2"/>
      <c r="X10431" s="2"/>
      <c r="Y10431" s="2"/>
      <c r="Z10431" s="2"/>
    </row>
    <row r="10432" spans="1:26" ht="16.5" x14ac:dyDescent="0.35">
      <c r="A10432" s="2" t="str">
        <f ca="1">IFERROR(__xludf.DUMMYFUNCTION("""COMPUTED_VALUE"""),"Dubai")</f>
        <v>Dubai</v>
      </c>
      <c r="B10432" s="2" t="str">
        <f ca="1">IFERROR(__xludf.DUMMYFUNCTION("""COMPUTED_VALUE"""),"Tajer Residence")</f>
        <v>Tajer Residence</v>
      </c>
      <c r="C10432" s="2" t="str">
        <f ca="1">IFERROR(__xludf.DUMMYFUNCTION("""COMPUTED_VALUE"""),"Building")</f>
        <v>Building</v>
      </c>
      <c r="D10432" s="2" t="str">
        <f ca="1">IFERROR(__xludf.DUMMYFUNCTION("""COMPUTED_VALUE"""),"Dubai&gt;Downtown Dubai&gt;The Old Town Island&gt;Tajer Residence")</f>
        <v>Dubai&gt;Downtown Dubai&gt;The Old Town Island&gt;Tajer Residence</v>
      </c>
      <c r="E10432" s="2"/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  <c r="V10432" s="2"/>
      <c r="W10432" s="2"/>
      <c r="X10432" s="2"/>
      <c r="Y10432" s="2"/>
      <c r="Z10432" s="2"/>
    </row>
    <row r="10433" spans="1:26" ht="16.5" x14ac:dyDescent="0.35">
      <c r="A10433" s="2" t="str">
        <f ca="1">IFERROR(__xludf.DUMMYFUNCTION("""COMPUTED_VALUE"""),"Dubai")</f>
        <v>Dubai</v>
      </c>
      <c r="B10433" s="2" t="str">
        <f ca="1">IFERROR(__xludf.DUMMYFUNCTION("""COMPUTED_VALUE"""),"DAMAC Maison Mall Street (The Signature)")</f>
        <v>DAMAC Maison Mall Street (The Signature)</v>
      </c>
      <c r="C10433" s="2" t="str">
        <f ca="1">IFERROR(__xludf.DUMMYFUNCTION("""COMPUTED_VALUE"""),"Building")</f>
        <v>Building</v>
      </c>
      <c r="D10433" s="2" t="str">
        <f ca="1">IFERROR(__xludf.DUMMYFUNCTION("""COMPUTED_VALUE"""),"Dubai&gt;Downtown Dubai&gt;DAMAC Maison Mall Street (The Signature)")</f>
        <v>Dubai&gt;Downtown Dubai&gt;DAMAC Maison Mall Street (The Signature)</v>
      </c>
      <c r="E10433" s="2"/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2"/>
      <c r="T10433" s="2"/>
      <c r="U10433" s="2"/>
      <c r="V10433" s="2"/>
      <c r="W10433" s="2"/>
      <c r="X10433" s="2"/>
      <c r="Y10433" s="2"/>
      <c r="Z10433" s="2"/>
    </row>
    <row r="10434" spans="1:26" ht="16.5" x14ac:dyDescent="0.35">
      <c r="A10434" s="2" t="str">
        <f ca="1">IFERROR(__xludf.DUMMYFUNCTION("""COMPUTED_VALUE"""),"Dubai")</f>
        <v>Dubai</v>
      </c>
      <c r="B10434" s="2" t="str">
        <f ca="1">IFERROR(__xludf.DUMMYFUNCTION("""COMPUTED_VALUE"""),"Reehan 3")</f>
        <v>Reehan 3</v>
      </c>
      <c r="C10434" s="2" t="str">
        <f ca="1">IFERROR(__xludf.DUMMYFUNCTION("""COMPUTED_VALUE"""),"Building")</f>
        <v>Building</v>
      </c>
      <c r="D10434" s="2" t="str">
        <f ca="1">IFERROR(__xludf.DUMMYFUNCTION("""COMPUTED_VALUE"""),"Dubai&gt;Downtown Dubai&gt;Old Town&gt;Reehan&gt;Reehan 3")</f>
        <v>Dubai&gt;Downtown Dubai&gt;Old Town&gt;Reehan&gt;Reehan 3</v>
      </c>
      <c r="E10434" s="2"/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  <c r="V10434" s="2"/>
      <c r="W10434" s="2"/>
      <c r="X10434" s="2"/>
      <c r="Y10434" s="2"/>
      <c r="Z10434" s="2"/>
    </row>
    <row r="10435" spans="1:26" ht="16.5" x14ac:dyDescent="0.35">
      <c r="A10435" s="2" t="str">
        <f ca="1">IFERROR(__xludf.DUMMYFUNCTION("""COMPUTED_VALUE"""),"Dubai")</f>
        <v>Dubai</v>
      </c>
      <c r="B10435" s="2" t="str">
        <f ca="1">IFERROR(__xludf.DUMMYFUNCTION("""COMPUTED_VALUE"""),"Kempinski Central Avenue Dubai")</f>
        <v>Kempinski Central Avenue Dubai</v>
      </c>
      <c r="C10435" s="2" t="str">
        <f ca="1">IFERROR(__xludf.DUMMYFUNCTION("""COMPUTED_VALUE"""),"Building")</f>
        <v>Building</v>
      </c>
      <c r="D10435" s="2" t="str">
        <f ca="1">IFERROR(__xludf.DUMMYFUNCTION("""COMPUTED_VALUE"""),"Dubai&gt;Downtown Dubai&gt;Kempinski Central Avenue Dubai")</f>
        <v>Dubai&gt;Downtown Dubai&gt;Kempinski Central Avenue Dubai</v>
      </c>
      <c r="E10435" s="2"/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  <c r="V10435" s="2"/>
      <c r="W10435" s="2"/>
      <c r="X10435" s="2"/>
      <c r="Y10435" s="2"/>
      <c r="Z10435" s="2"/>
    </row>
    <row r="10436" spans="1:26" ht="16.5" x14ac:dyDescent="0.35">
      <c r="A10436" s="2" t="str">
        <f ca="1">IFERROR(__xludf.DUMMYFUNCTION("""COMPUTED_VALUE"""),"Dubai")</f>
        <v>Dubai</v>
      </c>
      <c r="B10436" s="2" t="str">
        <f ca="1">IFERROR(__xludf.DUMMYFUNCTION("""COMPUTED_VALUE"""),"Burj Views C")</f>
        <v>Burj Views C</v>
      </c>
      <c r="C10436" s="2" t="str">
        <f ca="1">IFERROR(__xludf.DUMMYFUNCTION("""COMPUTED_VALUE"""),"Building")</f>
        <v>Building</v>
      </c>
      <c r="D10436" s="2" t="str">
        <f ca="1">IFERROR(__xludf.DUMMYFUNCTION("""COMPUTED_VALUE"""),"Dubai&gt;Downtown Dubai&gt;Burj Views&gt;Burj Views C")</f>
        <v>Dubai&gt;Downtown Dubai&gt;Burj Views&gt;Burj Views C</v>
      </c>
      <c r="E10436" s="2"/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  <c r="V10436" s="2"/>
      <c r="W10436" s="2"/>
      <c r="X10436" s="2"/>
      <c r="Y10436" s="2"/>
      <c r="Z10436" s="2"/>
    </row>
    <row r="10437" spans="1:26" ht="16.5" x14ac:dyDescent="0.35">
      <c r="A10437" s="2" t="str">
        <f ca="1">IFERROR(__xludf.DUMMYFUNCTION("""COMPUTED_VALUE"""),"Dubai")</f>
        <v>Dubai</v>
      </c>
      <c r="B10437" s="2" t="str">
        <f ca="1">IFERROR(__xludf.DUMMYFUNCTION("""COMPUTED_VALUE"""),"Mazaya 18")</f>
        <v>Mazaya 18</v>
      </c>
      <c r="C10437" s="2" t="str">
        <f ca="1">IFERROR(__xludf.DUMMYFUNCTION("""COMPUTED_VALUE"""),"Building")</f>
        <v>Building</v>
      </c>
      <c r="D10437" s="2" t="str">
        <f ca="1">IFERROR(__xludf.DUMMYFUNCTION("""COMPUTED_VALUE"""),"Dubai&gt;Liwan&gt;Queue Point&gt;Mazaya 18")</f>
        <v>Dubai&gt;Liwan&gt;Queue Point&gt;Mazaya 18</v>
      </c>
      <c r="E10437" s="2"/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  <c r="V10437" s="2"/>
      <c r="W10437" s="2"/>
      <c r="X10437" s="2"/>
      <c r="Y10437" s="2"/>
      <c r="Z10437" s="2"/>
    </row>
    <row r="10438" spans="1:26" ht="16.5" x14ac:dyDescent="0.35">
      <c r="A10438" s="2" t="str">
        <f ca="1">IFERROR(__xludf.DUMMYFUNCTION("""COMPUTED_VALUE"""),"Dubai")</f>
        <v>Dubai</v>
      </c>
      <c r="B10438" s="2" t="str">
        <f ca="1">IFERROR(__xludf.DUMMYFUNCTION("""COMPUTED_VALUE"""),"Vision 1")</f>
        <v>Vision 1</v>
      </c>
      <c r="C10438" s="2" t="str">
        <f ca="1">IFERROR(__xludf.DUMMYFUNCTION("""COMPUTED_VALUE"""),"Building")</f>
        <v>Building</v>
      </c>
      <c r="D10438" s="2" t="str">
        <f ca="1">IFERROR(__xludf.DUMMYFUNCTION("""COMPUTED_VALUE"""),"Dubai&gt;Liwan&gt;Queue Point&gt;Vision 1")</f>
        <v>Dubai&gt;Liwan&gt;Queue Point&gt;Vision 1</v>
      </c>
      <c r="E10438" s="2"/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  <c r="V10438" s="2"/>
      <c r="W10438" s="2"/>
      <c r="X10438" s="2"/>
      <c r="Y10438" s="2"/>
      <c r="Z10438" s="2"/>
    </row>
    <row r="10439" spans="1:26" ht="16.5" x14ac:dyDescent="0.35">
      <c r="A10439" s="2" t="str">
        <f ca="1">IFERROR(__xludf.DUMMYFUNCTION("""COMPUTED_VALUE"""),"Dubai")</f>
        <v>Dubai</v>
      </c>
      <c r="B10439" s="2" t="str">
        <f ca="1">IFERROR(__xludf.DUMMYFUNCTION("""COMPUTED_VALUE"""),"Chubby Cheeks Mankhool")</f>
        <v>Chubby Cheeks Mankhool</v>
      </c>
      <c r="C10439" s="2" t="str">
        <f ca="1">IFERROR(__xludf.DUMMYFUNCTION("""COMPUTED_VALUE"""),"Nursery")</f>
        <v>Nursery</v>
      </c>
      <c r="D10439" s="2" t="str">
        <f ca="1">IFERROR(__xludf.DUMMYFUNCTION("""COMPUTED_VALUE"""),"Dubai&gt;Al Jafiliya&gt;Chubby Cheeks Mankhool")</f>
        <v>Dubai&gt;Al Jafiliya&gt;Chubby Cheeks Mankhool</v>
      </c>
      <c r="E10439" s="2"/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  <c r="V10439" s="2"/>
      <c r="W10439" s="2"/>
      <c r="X10439" s="2"/>
      <c r="Y10439" s="2"/>
      <c r="Z10439" s="2"/>
    </row>
    <row r="10440" spans="1:26" ht="16.5" x14ac:dyDescent="0.35">
      <c r="A10440" s="2" t="str">
        <f ca="1">IFERROR(__xludf.DUMMYFUNCTION("""COMPUTED_VALUE"""),"Dubai")</f>
        <v>Dubai</v>
      </c>
      <c r="B10440" s="2" t="str">
        <f ca="1">IFERROR(__xludf.DUMMYFUNCTION("""COMPUTED_VALUE"""),"The Gate Village")</f>
        <v>The Gate Village</v>
      </c>
      <c r="C10440" s="2" t="str">
        <f ca="1">IFERROR(__xludf.DUMMYFUNCTION("""COMPUTED_VALUE"""),"Cluster")</f>
        <v>Cluster</v>
      </c>
      <c r="D10440" s="2" t="str">
        <f ca="1">IFERROR(__xludf.DUMMYFUNCTION("""COMPUTED_VALUE"""),"Dubai&gt;DIFC&gt;The Gate Village")</f>
        <v>Dubai&gt;DIFC&gt;The Gate Village</v>
      </c>
      <c r="E10440" s="2"/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  <c r="V10440" s="2"/>
      <c r="W10440" s="2"/>
      <c r="X10440" s="2"/>
      <c r="Y10440" s="2"/>
      <c r="Z10440" s="2"/>
    </row>
    <row r="10441" spans="1:26" ht="16.5" x14ac:dyDescent="0.35">
      <c r="A10441" s="2" t="str">
        <f ca="1">IFERROR(__xludf.DUMMYFUNCTION("""COMPUTED_VALUE"""),"Dubai")</f>
        <v>Dubai</v>
      </c>
      <c r="B10441" s="2" t="str">
        <f ca="1">IFERROR(__xludf.DUMMYFUNCTION("""COMPUTED_VALUE"""),"British Orchard Nursery Al Twar")</f>
        <v>British Orchard Nursery Al Twar</v>
      </c>
      <c r="C10441" s="2" t="str">
        <f ca="1">IFERROR(__xludf.DUMMYFUNCTION("""COMPUTED_VALUE"""),"Nursery")</f>
        <v>Nursery</v>
      </c>
      <c r="D10441" s="2" t="str">
        <f ca="1">IFERROR(__xludf.DUMMYFUNCTION("""COMPUTED_VALUE"""),"Dubai&gt;Al Twar&gt;British Orchard Nursery Al Twar")</f>
        <v>Dubai&gt;Al Twar&gt;British Orchard Nursery Al Twar</v>
      </c>
      <c r="E10441" s="2"/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  <c r="V10441" s="2"/>
      <c r="W10441" s="2"/>
      <c r="X10441" s="2"/>
      <c r="Y10441" s="2"/>
      <c r="Z10441" s="2"/>
    </row>
    <row r="10442" spans="1:26" ht="16.5" x14ac:dyDescent="0.35">
      <c r="A10442" s="2" t="str">
        <f ca="1">IFERROR(__xludf.DUMMYFUNCTION("""COMPUTED_VALUE"""),"Dubai")</f>
        <v>Dubai</v>
      </c>
      <c r="B10442" s="2" t="str">
        <f ca="1">IFERROR(__xludf.DUMMYFUNCTION("""COMPUTED_VALUE"""),"Sharjah American International School, Dubai")</f>
        <v>Sharjah American International School, Dubai</v>
      </c>
      <c r="C10442" s="2" t="str">
        <f ca="1">IFERROR(__xludf.DUMMYFUNCTION("""COMPUTED_VALUE"""),"School")</f>
        <v>School</v>
      </c>
      <c r="D10442" s="2" t="str">
        <f ca="1">IFERROR(__xludf.DUMMYFUNCTION("""COMPUTED_VALUE"""),"Dubai&gt;Al Warqaa&gt;Al Warqaa 1&gt;Sharjah American International School, Dubai")</f>
        <v>Dubai&gt;Al Warqaa&gt;Al Warqaa 1&gt;Sharjah American International School, Dubai</v>
      </c>
      <c r="E10442" s="2"/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  <c r="V10442" s="2"/>
      <c r="W10442" s="2"/>
      <c r="X10442" s="2"/>
      <c r="Y10442" s="2"/>
      <c r="Z10442" s="2"/>
    </row>
    <row r="10443" spans="1:26" ht="16.5" x14ac:dyDescent="0.35">
      <c r="A10443" s="2" t="str">
        <f ca="1">IFERROR(__xludf.DUMMYFUNCTION("""COMPUTED_VALUE"""),"Dubai")</f>
        <v>Dubai</v>
      </c>
      <c r="B10443" s="2" t="str">
        <f ca="1">IFERROR(__xludf.DUMMYFUNCTION("""COMPUTED_VALUE"""),"Al Warqaa Building")</f>
        <v>Al Warqaa Building</v>
      </c>
      <c r="C10443" s="2" t="str">
        <f ca="1">IFERROR(__xludf.DUMMYFUNCTION("""COMPUTED_VALUE"""),"Building")</f>
        <v>Building</v>
      </c>
      <c r="D10443" s="2" t="str">
        <f ca="1">IFERROR(__xludf.DUMMYFUNCTION("""COMPUTED_VALUE"""),"Dubai&gt;Al Warqaa&gt;Al Warqaa 1&gt;Al Warqaa Building")</f>
        <v>Dubai&gt;Al Warqaa&gt;Al Warqaa 1&gt;Al Warqaa Building</v>
      </c>
      <c r="E10443" s="2"/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  <c r="V10443" s="2"/>
      <c r="W10443" s="2"/>
      <c r="X10443" s="2"/>
      <c r="Y10443" s="2"/>
      <c r="Z10443" s="2"/>
    </row>
    <row r="10444" spans="1:26" ht="16.5" x14ac:dyDescent="0.35">
      <c r="A10444" s="2" t="str">
        <f ca="1">IFERROR(__xludf.DUMMYFUNCTION("""COMPUTED_VALUE"""),"Dubai")</f>
        <v>Dubai</v>
      </c>
      <c r="B10444" s="2" t="str">
        <f ca="1">IFERROR(__xludf.DUMMYFUNCTION("""COMPUTED_VALUE"""),"Sajaya 5")</f>
        <v>Sajaya 5</v>
      </c>
      <c r="C10444" s="2" t="str">
        <f ca="1">IFERROR(__xludf.DUMMYFUNCTION("""COMPUTED_VALUE"""),"Building")</f>
        <v>Building</v>
      </c>
      <c r="D10444" s="2" t="str">
        <f ca="1">IFERROR(__xludf.DUMMYFUNCTION("""COMPUTED_VALUE"""),"Dubai&gt;Al Warqaa&gt;Al Warqaa 1&gt;Sajaya 5")</f>
        <v>Dubai&gt;Al Warqaa&gt;Al Warqaa 1&gt;Sajaya 5</v>
      </c>
      <c r="E10444" s="2"/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  <c r="V10444" s="2"/>
      <c r="W10444" s="2"/>
      <c r="X10444" s="2"/>
      <c r="Y10444" s="2"/>
      <c r="Z10444" s="2"/>
    </row>
    <row r="10445" spans="1:26" ht="16.5" x14ac:dyDescent="0.35">
      <c r="A10445" s="2" t="str">
        <f ca="1">IFERROR(__xludf.DUMMYFUNCTION("""COMPUTED_VALUE"""),"Dubai")</f>
        <v>Dubai</v>
      </c>
      <c r="B10445" s="2" t="str">
        <f ca="1">IFERROR(__xludf.DUMMYFUNCTION("""COMPUTED_VALUE"""),"Mansoor Ahmad Faqhi Nezad Building")</f>
        <v>Mansoor Ahmad Faqhi Nezad Building</v>
      </c>
      <c r="C10445" s="2" t="str">
        <f ca="1">IFERROR(__xludf.DUMMYFUNCTION("""COMPUTED_VALUE"""),"Building")</f>
        <v>Building</v>
      </c>
      <c r="D10445" s="2" t="str">
        <f ca="1">IFERROR(__xludf.DUMMYFUNCTION("""COMPUTED_VALUE"""),"Dubai&gt;Al Warqaa&gt;Al Warqaa 1&gt;Mansoor Ahmad Faqhi Nezad Building")</f>
        <v>Dubai&gt;Al Warqaa&gt;Al Warqaa 1&gt;Mansoor Ahmad Faqhi Nezad Building</v>
      </c>
      <c r="E10445" s="2"/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2"/>
      <c r="T10445" s="2"/>
      <c r="U10445" s="2"/>
      <c r="V10445" s="2"/>
      <c r="W10445" s="2"/>
      <c r="X10445" s="2"/>
      <c r="Y10445" s="2"/>
      <c r="Z10445" s="2"/>
    </row>
    <row r="10446" spans="1:26" ht="16.5" x14ac:dyDescent="0.35">
      <c r="A10446" s="2" t="str">
        <f ca="1">IFERROR(__xludf.DUMMYFUNCTION("""COMPUTED_VALUE"""),"Dubai")</f>
        <v>Dubai</v>
      </c>
      <c r="B10446" s="2" t="str">
        <f ca="1">IFERROR(__xludf.DUMMYFUNCTION("""COMPUTED_VALUE"""),"Mazaya Business Avenue BB-1")</f>
        <v>Mazaya Business Avenue BB-1</v>
      </c>
      <c r="C10446" s="2" t="str">
        <f ca="1">IFERROR(__xludf.DUMMYFUNCTION("""COMPUTED_VALUE"""),"Building")</f>
        <v>Building</v>
      </c>
      <c r="D10446" s="2" t="str">
        <f ca="1">IFERROR(__xludf.DUMMYFUNCTION("""COMPUTED_VALUE"""),"Dubai&gt;Jumeirah Lake Towers (JLT)&gt;Mazaya Business Avenue&gt;Mazaya Business Avenue BB-1")</f>
        <v>Dubai&gt;Jumeirah Lake Towers (JLT)&gt;Mazaya Business Avenue&gt;Mazaya Business Avenue BB-1</v>
      </c>
      <c r="E10446" s="2"/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  <c r="V10446" s="2"/>
      <c r="W10446" s="2"/>
      <c r="X10446" s="2"/>
      <c r="Y10446" s="2"/>
      <c r="Z10446" s="2"/>
    </row>
    <row r="10447" spans="1:26" ht="16.5" x14ac:dyDescent="0.35">
      <c r="A10447" s="2" t="str">
        <f ca="1">IFERROR(__xludf.DUMMYFUNCTION("""COMPUTED_VALUE"""),"Dubai")</f>
        <v>Dubai</v>
      </c>
      <c r="B10447" s="2" t="str">
        <f ca="1">IFERROR(__xludf.DUMMYFUNCTION("""COMPUTED_VALUE"""),"JLT Cluster H")</f>
        <v>JLT Cluster H</v>
      </c>
      <c r="C10447" s="2" t="str">
        <f ca="1">IFERROR(__xludf.DUMMYFUNCTION("""COMPUTED_VALUE"""),"Cluster")</f>
        <v>Cluster</v>
      </c>
      <c r="D10447" s="2" t="str">
        <f ca="1">IFERROR(__xludf.DUMMYFUNCTION("""COMPUTED_VALUE"""),"Dubai&gt;Jumeirah Lake Towers (JLT)&gt;JLT Cluster H")</f>
        <v>Dubai&gt;Jumeirah Lake Towers (JLT)&gt;JLT Cluster H</v>
      </c>
      <c r="E10447" s="2"/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  <c r="V10447" s="2"/>
      <c r="W10447" s="2"/>
      <c r="X10447" s="2"/>
      <c r="Y10447" s="2"/>
      <c r="Z10447" s="2"/>
    </row>
    <row r="10448" spans="1:26" ht="16.5" x14ac:dyDescent="0.35">
      <c r="A10448" s="2" t="str">
        <f ca="1">IFERROR(__xludf.DUMMYFUNCTION("""COMPUTED_VALUE"""),"Dubai")</f>
        <v>Dubai</v>
      </c>
      <c r="B10448" s="2" t="str">
        <f ca="1">IFERROR(__xludf.DUMMYFUNCTION("""COMPUTED_VALUE"""),"Reef Tower")</f>
        <v>Reef Tower</v>
      </c>
      <c r="C10448" s="2" t="str">
        <f ca="1">IFERROR(__xludf.DUMMYFUNCTION("""COMPUTED_VALUE"""),"Building")</f>
        <v>Building</v>
      </c>
      <c r="D10448" s="2" t="str">
        <f ca="1">IFERROR(__xludf.DUMMYFUNCTION("""COMPUTED_VALUE"""),"Dubai&gt;Jumeirah Lake Towers (JLT)&gt;JLT Cluster O&gt;Reef Tower")</f>
        <v>Dubai&gt;Jumeirah Lake Towers (JLT)&gt;JLT Cluster O&gt;Reef Tower</v>
      </c>
      <c r="E10448" s="2"/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  <c r="V10448" s="2"/>
      <c r="W10448" s="2"/>
      <c r="X10448" s="2"/>
      <c r="Y10448" s="2"/>
      <c r="Z10448" s="2"/>
    </row>
    <row r="10449" spans="1:26" ht="16.5" x14ac:dyDescent="0.35">
      <c r="A10449" s="2" t="str">
        <f ca="1">IFERROR(__xludf.DUMMYFUNCTION("""COMPUTED_VALUE"""),"Dubai")</f>
        <v>Dubai</v>
      </c>
      <c r="B10449" s="2" t="str">
        <f ca="1">IFERROR(__xludf.DUMMYFUNCTION("""COMPUTED_VALUE"""),"JLT Cluster W")</f>
        <v>JLT Cluster W</v>
      </c>
      <c r="C10449" s="2" t="str">
        <f ca="1">IFERROR(__xludf.DUMMYFUNCTION("""COMPUTED_VALUE"""),"Cluster")</f>
        <v>Cluster</v>
      </c>
      <c r="D10449" s="2" t="str">
        <f ca="1">IFERROR(__xludf.DUMMYFUNCTION("""COMPUTED_VALUE"""),"Dubai&gt;Jumeirah Lake Towers (JLT)&gt;JLT Cluster W")</f>
        <v>Dubai&gt;Jumeirah Lake Towers (JLT)&gt;JLT Cluster W</v>
      </c>
      <c r="E10449" s="2"/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  <c r="V10449" s="2"/>
      <c r="W10449" s="2"/>
      <c r="X10449" s="2"/>
      <c r="Y10449" s="2"/>
      <c r="Z10449" s="2"/>
    </row>
    <row r="10450" spans="1:26" ht="16.5" x14ac:dyDescent="0.35">
      <c r="A10450" s="2" t="str">
        <f ca="1">IFERROR(__xludf.DUMMYFUNCTION("""COMPUTED_VALUE"""),"Dubai")</f>
        <v>Dubai</v>
      </c>
      <c r="B10450" s="2" t="str">
        <f ca="1">IFERROR(__xludf.DUMMYFUNCTION("""COMPUTED_VALUE"""),"Viewz 1 by Danube")</f>
        <v>Viewz 1 by Danube</v>
      </c>
      <c r="C10450" s="2" t="str">
        <f ca="1">IFERROR(__xludf.DUMMYFUNCTION("""COMPUTED_VALUE"""),"Building")</f>
        <v>Building</v>
      </c>
      <c r="D10450" s="2" t="str">
        <f ca="1">IFERROR(__xludf.DUMMYFUNCTION("""COMPUTED_VALUE"""),"Dubai&gt;Jumeirah Lake Towers (JLT)&gt;Viewz by Danube&gt;Viewz 1 by Danube")</f>
        <v>Dubai&gt;Jumeirah Lake Towers (JLT)&gt;Viewz by Danube&gt;Viewz 1 by Danube</v>
      </c>
      <c r="E10450" s="2"/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  <c r="V10450" s="2"/>
      <c r="W10450" s="2"/>
      <c r="X10450" s="2"/>
      <c r="Y10450" s="2"/>
      <c r="Z10450" s="2"/>
    </row>
    <row r="10451" spans="1:26" ht="16.5" x14ac:dyDescent="0.35">
      <c r="A10451" s="2" t="str">
        <f ca="1">IFERROR(__xludf.DUMMYFUNCTION("""COMPUTED_VALUE"""),"Dubai")</f>
        <v>Dubai</v>
      </c>
      <c r="B10451" s="2" t="str">
        <f ca="1">IFERROR(__xludf.DUMMYFUNCTION("""COMPUTED_VALUE"""),"Camelia")</f>
        <v>Camelia</v>
      </c>
      <c r="C10451" s="2" t="str">
        <f ca="1">IFERROR(__xludf.DUMMYFUNCTION("""COMPUTED_VALUE"""),"Neighbourhood")</f>
        <v>Neighbourhood</v>
      </c>
      <c r="D10451" s="2" t="str">
        <f ca="1">IFERROR(__xludf.DUMMYFUNCTION("""COMPUTED_VALUE"""),"Dubai&gt;Arabian Ranches 2&gt;Camelia")</f>
        <v>Dubai&gt;Arabian Ranches 2&gt;Camelia</v>
      </c>
      <c r="E10451" s="2"/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2"/>
      <c r="T10451" s="2"/>
      <c r="U10451" s="2"/>
      <c r="V10451" s="2"/>
      <c r="W10451" s="2"/>
      <c r="X10451" s="2"/>
      <c r="Y10451" s="2"/>
      <c r="Z10451" s="2"/>
    </row>
    <row r="10452" spans="1:26" ht="16.5" x14ac:dyDescent="0.35">
      <c r="A10452" s="2" t="str">
        <f ca="1">IFERROR(__xludf.DUMMYFUNCTION("""COMPUTED_VALUE"""),"Dubai")</f>
        <v>Dubai</v>
      </c>
      <c r="B10452" s="2" t="str">
        <f ca="1">IFERROR(__xludf.DUMMYFUNCTION("""COMPUTED_VALUE"""),"Lulu Residence")</f>
        <v>Lulu Residence</v>
      </c>
      <c r="C10452" s="2" t="str">
        <f ca="1">IFERROR(__xludf.DUMMYFUNCTION("""COMPUTED_VALUE"""),"Building")</f>
        <v>Building</v>
      </c>
      <c r="D10452" s="2" t="str">
        <f ca="1">IFERROR(__xludf.DUMMYFUNCTION("""COMPUTED_VALUE"""),"Dubai&gt;Al Satwa&gt;Jumeirah Garden City&gt;Lulu Residence")</f>
        <v>Dubai&gt;Al Satwa&gt;Jumeirah Garden City&gt;Lulu Residence</v>
      </c>
      <c r="E10452" s="2"/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  <c r="V10452" s="2"/>
      <c r="W10452" s="2"/>
      <c r="X10452" s="2"/>
      <c r="Y10452" s="2"/>
      <c r="Z10452" s="2"/>
    </row>
    <row r="10453" spans="1:26" ht="16.5" x14ac:dyDescent="0.35">
      <c r="A10453" s="2" t="str">
        <f ca="1">IFERROR(__xludf.DUMMYFUNCTION("""COMPUTED_VALUE"""),"Dubai")</f>
        <v>Dubai</v>
      </c>
      <c r="B10453" s="2" t="str">
        <f ca="1">IFERROR(__xludf.DUMMYFUNCTION("""COMPUTED_VALUE"""),"Saleh Residence 3")</f>
        <v>Saleh Residence 3</v>
      </c>
      <c r="C10453" s="2" t="str">
        <f ca="1">IFERROR(__xludf.DUMMYFUNCTION("""COMPUTED_VALUE"""),"Building")</f>
        <v>Building</v>
      </c>
      <c r="D10453" s="2" t="str">
        <f ca="1">IFERROR(__xludf.DUMMYFUNCTION("""COMPUTED_VALUE"""),"Dubai&gt;Al Satwa&gt;Jumeirah Garden City&gt;Saleh Residence 3")</f>
        <v>Dubai&gt;Al Satwa&gt;Jumeirah Garden City&gt;Saleh Residence 3</v>
      </c>
      <c r="E10453" s="2"/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  <c r="V10453" s="2"/>
      <c r="W10453" s="2"/>
      <c r="X10453" s="2"/>
      <c r="Y10453" s="2"/>
      <c r="Z10453" s="2"/>
    </row>
    <row r="10454" spans="1:26" ht="16.5" x14ac:dyDescent="0.35">
      <c r="A10454" s="2" t="str">
        <f ca="1">IFERROR(__xludf.DUMMYFUNCTION("""COMPUTED_VALUE"""),"Dubai")</f>
        <v>Dubai</v>
      </c>
      <c r="B10454" s="2" t="str">
        <f ca="1">IFERROR(__xludf.DUMMYFUNCTION("""COMPUTED_VALUE"""),"Jumeirah Garden Building 5")</f>
        <v>Jumeirah Garden Building 5</v>
      </c>
      <c r="C10454" s="2" t="str">
        <f ca="1">IFERROR(__xludf.DUMMYFUNCTION("""COMPUTED_VALUE"""),"Building")</f>
        <v>Building</v>
      </c>
      <c r="D10454" s="2" t="str">
        <f ca="1">IFERROR(__xludf.DUMMYFUNCTION("""COMPUTED_VALUE"""),"Dubai&gt;Al Satwa&gt;Jumeirah Garden City&gt;Jumeirah Garden Building 5")</f>
        <v>Dubai&gt;Al Satwa&gt;Jumeirah Garden City&gt;Jumeirah Garden Building 5</v>
      </c>
      <c r="E10454" s="2"/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  <c r="V10454" s="2"/>
      <c r="W10454" s="2"/>
      <c r="X10454" s="2"/>
      <c r="Y10454" s="2"/>
      <c r="Z10454" s="2"/>
    </row>
    <row r="10455" spans="1:26" ht="16.5" x14ac:dyDescent="0.35">
      <c r="A10455" s="2" t="str">
        <f ca="1">IFERROR(__xludf.DUMMYFUNCTION("""COMPUTED_VALUE"""),"Dubai")</f>
        <v>Dubai</v>
      </c>
      <c r="B10455" s="2" t="str">
        <f ca="1">IFERROR(__xludf.DUMMYFUNCTION("""COMPUTED_VALUE"""),"Purvanchal Triana Residences")</f>
        <v>Purvanchal Triana Residences</v>
      </c>
      <c r="C10455" s="2" t="str">
        <f ca="1">IFERROR(__xludf.DUMMYFUNCTION("""COMPUTED_VALUE"""),"Building")</f>
        <v>Building</v>
      </c>
      <c r="D10455" s="2" t="str">
        <f ca="1">IFERROR(__xludf.DUMMYFUNCTION("""COMPUTED_VALUE"""),"Dubai&gt;Al Satwa&gt;Jumeirah Garden City&gt;Purvanchal Triana Residences")</f>
        <v>Dubai&gt;Al Satwa&gt;Jumeirah Garden City&gt;Purvanchal Triana Residences</v>
      </c>
      <c r="E10455" s="2"/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  <c r="V10455" s="2"/>
      <c r="W10455" s="2"/>
      <c r="X10455" s="2"/>
      <c r="Y10455" s="2"/>
      <c r="Z10455" s="2"/>
    </row>
    <row r="10456" spans="1:26" ht="16.5" x14ac:dyDescent="0.35">
      <c r="A10456" s="2" t="str">
        <f ca="1">IFERROR(__xludf.DUMMYFUNCTION("""COMPUTED_VALUE"""),"Dubai")</f>
        <v>Dubai</v>
      </c>
      <c r="B10456" s="2" t="str">
        <f ca="1">IFERROR(__xludf.DUMMYFUNCTION("""COMPUTED_VALUE"""),"Cluster 1")</f>
        <v>Cluster 1</v>
      </c>
      <c r="C10456" s="2" t="str">
        <f ca="1">IFERROR(__xludf.DUMMYFUNCTION("""COMPUTED_VALUE"""),"Neighbourhood")</f>
        <v>Neighbourhood</v>
      </c>
      <c r="D10456" s="2" t="str">
        <f ca="1">IFERROR(__xludf.DUMMYFUNCTION("""COMPUTED_VALUE"""),"Dubai&gt;The Sustainable City&gt;Cluster 1")</f>
        <v>Dubai&gt;The Sustainable City&gt;Cluster 1</v>
      </c>
      <c r="E10456" s="2"/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  <c r="V10456" s="2"/>
      <c r="W10456" s="2"/>
      <c r="X10456" s="2"/>
      <c r="Y10456" s="2"/>
      <c r="Z10456" s="2"/>
    </row>
    <row r="10457" spans="1:26" ht="16.5" x14ac:dyDescent="0.35">
      <c r="A10457" s="2" t="str">
        <f ca="1">IFERROR(__xludf.DUMMYFUNCTION("""COMPUTED_VALUE"""),"Dubai")</f>
        <v>Dubai</v>
      </c>
      <c r="B10457" s="2" t="str">
        <f ca="1">IFERROR(__xludf.DUMMYFUNCTION("""COMPUTED_VALUE"""),"Building 154")</f>
        <v>Building 154</v>
      </c>
      <c r="C10457" s="2" t="str">
        <f ca="1">IFERROR(__xludf.DUMMYFUNCTION("""COMPUTED_VALUE"""),"Building")</f>
        <v>Building</v>
      </c>
      <c r="D10457" s="2" t="str">
        <f ca="1">IFERROR(__xludf.DUMMYFUNCTION("""COMPUTED_VALUE"""),"Dubai&gt;Discovery Gardens&gt;Contemporary&gt;Building 154")</f>
        <v>Dubai&gt;Discovery Gardens&gt;Contemporary&gt;Building 154</v>
      </c>
      <c r="E10457" s="2"/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  <c r="V10457" s="2"/>
      <c r="W10457" s="2"/>
      <c r="X10457" s="2"/>
      <c r="Y10457" s="2"/>
      <c r="Z10457" s="2"/>
    </row>
    <row r="10458" spans="1:26" ht="16.5" x14ac:dyDescent="0.35">
      <c r="A10458" s="2" t="str">
        <f ca="1">IFERROR(__xludf.DUMMYFUNCTION("""COMPUTED_VALUE"""),"Dubai")</f>
        <v>Dubai</v>
      </c>
      <c r="B10458" s="2" t="str">
        <f ca="1">IFERROR(__xludf.DUMMYFUNCTION("""COMPUTED_VALUE"""),"Building 254")</f>
        <v>Building 254</v>
      </c>
      <c r="C10458" s="2" t="str">
        <f ca="1">IFERROR(__xludf.DUMMYFUNCTION("""COMPUTED_VALUE"""),"Building")</f>
        <v>Building</v>
      </c>
      <c r="D10458" s="2" t="str">
        <f ca="1">IFERROR(__xludf.DUMMYFUNCTION("""COMPUTED_VALUE"""),"Dubai&gt;Discovery Gardens&gt;Mesoamerican&gt;Building 254")</f>
        <v>Dubai&gt;Discovery Gardens&gt;Mesoamerican&gt;Building 254</v>
      </c>
      <c r="E10458" s="2"/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2"/>
      <c r="T10458" s="2"/>
      <c r="U10458" s="2"/>
      <c r="V10458" s="2"/>
      <c r="W10458" s="2"/>
      <c r="X10458" s="2"/>
      <c r="Y10458" s="2"/>
      <c r="Z10458" s="2"/>
    </row>
    <row r="10459" spans="1:26" ht="16.5" x14ac:dyDescent="0.35">
      <c r="A10459" s="2" t="str">
        <f ca="1">IFERROR(__xludf.DUMMYFUNCTION("""COMPUTED_VALUE"""),"Dubai")</f>
        <v>Dubai</v>
      </c>
      <c r="B10459" s="2" t="str">
        <f ca="1">IFERROR(__xludf.DUMMYFUNCTION("""COMPUTED_VALUE"""),"Building 234")</f>
        <v>Building 234</v>
      </c>
      <c r="C10459" s="2" t="str">
        <f ca="1">IFERROR(__xludf.DUMMYFUNCTION("""COMPUTED_VALUE"""),"Building")</f>
        <v>Building</v>
      </c>
      <c r="D10459" s="2" t="str">
        <f ca="1">IFERROR(__xludf.DUMMYFUNCTION("""COMPUTED_VALUE"""),"Dubai&gt;Discovery Gardens&gt;Mogul&gt;Building 234")</f>
        <v>Dubai&gt;Discovery Gardens&gt;Mogul&gt;Building 234</v>
      </c>
      <c r="E10459" s="2"/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  <c r="V10459" s="2"/>
      <c r="W10459" s="2"/>
      <c r="X10459" s="2"/>
      <c r="Y10459" s="2"/>
      <c r="Z10459" s="2"/>
    </row>
    <row r="10460" spans="1:26" ht="16.5" x14ac:dyDescent="0.35">
      <c r="A10460" s="2" t="str">
        <f ca="1">IFERROR(__xludf.DUMMYFUNCTION("""COMPUTED_VALUE"""),"Dubai")</f>
        <v>Dubai</v>
      </c>
      <c r="B10460" s="2" t="str">
        <f ca="1">IFERROR(__xludf.DUMMYFUNCTION("""COMPUTED_VALUE"""),"Building 17")</f>
        <v>Building 17</v>
      </c>
      <c r="C10460" s="2" t="str">
        <f ca="1">IFERROR(__xludf.DUMMYFUNCTION("""COMPUTED_VALUE"""),"Building")</f>
        <v>Building</v>
      </c>
      <c r="D10460" s="2" t="str">
        <f ca="1">IFERROR(__xludf.DUMMYFUNCTION("""COMPUTED_VALUE"""),"Dubai&gt;Discovery Gardens&gt;Zen Cluster&gt;Building 17")</f>
        <v>Dubai&gt;Discovery Gardens&gt;Zen Cluster&gt;Building 17</v>
      </c>
      <c r="E10460" s="2"/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  <c r="V10460" s="2"/>
      <c r="W10460" s="2"/>
      <c r="X10460" s="2"/>
      <c r="Y10460" s="2"/>
      <c r="Z10460" s="2"/>
    </row>
    <row r="10461" spans="1:26" ht="16.5" x14ac:dyDescent="0.35">
      <c r="A10461" s="2" t="str">
        <f ca="1">IFERROR(__xludf.DUMMYFUNCTION("""COMPUTED_VALUE"""),"Dubai")</f>
        <v>Dubai</v>
      </c>
      <c r="B10461" s="2" t="str">
        <f ca="1">IFERROR(__xludf.DUMMYFUNCTION("""COMPUTED_VALUE"""),"Building 91")</f>
        <v>Building 91</v>
      </c>
      <c r="C10461" s="2" t="str">
        <f ca="1">IFERROR(__xludf.DUMMYFUNCTION("""COMPUTED_VALUE"""),"Building")</f>
        <v>Building</v>
      </c>
      <c r="D10461" s="2" t="str">
        <f ca="1">IFERROR(__xludf.DUMMYFUNCTION("""COMPUTED_VALUE"""),"Dubai&gt;Discovery Gardens&gt;Mediterranean&gt;Building 91")</f>
        <v>Dubai&gt;Discovery Gardens&gt;Mediterranean&gt;Building 91</v>
      </c>
      <c r="E10461" s="2"/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  <c r="V10461" s="2"/>
      <c r="W10461" s="2"/>
      <c r="X10461" s="2"/>
      <c r="Y10461" s="2"/>
      <c r="Z10461" s="2"/>
    </row>
    <row r="10462" spans="1:26" ht="16.5" x14ac:dyDescent="0.35">
      <c r="A10462" s="2" t="str">
        <f ca="1">IFERROR(__xludf.DUMMYFUNCTION("""COMPUTED_VALUE"""),"Dubai")</f>
        <v>Dubai</v>
      </c>
      <c r="B10462" s="2" t="str">
        <f ca="1">IFERROR(__xludf.DUMMYFUNCTION("""COMPUTED_VALUE"""),"Building 59")</f>
        <v>Building 59</v>
      </c>
      <c r="C10462" s="2" t="str">
        <f ca="1">IFERROR(__xludf.DUMMYFUNCTION("""COMPUTED_VALUE"""),"Building")</f>
        <v>Building</v>
      </c>
      <c r="D10462" s="2" t="str">
        <f ca="1">IFERROR(__xludf.DUMMYFUNCTION("""COMPUTED_VALUE"""),"Dubai&gt;Discovery Gardens&gt;Mediterranean&gt;Building 59")</f>
        <v>Dubai&gt;Discovery Gardens&gt;Mediterranean&gt;Building 59</v>
      </c>
      <c r="E10462" s="2"/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2"/>
      <c r="T10462" s="2"/>
      <c r="U10462" s="2"/>
      <c r="V10462" s="2"/>
      <c r="W10462" s="2"/>
      <c r="X10462" s="2"/>
      <c r="Y10462" s="2"/>
      <c r="Z10462" s="2"/>
    </row>
    <row r="10463" spans="1:26" ht="16.5" x14ac:dyDescent="0.35">
      <c r="A10463" s="2" t="str">
        <f ca="1">IFERROR(__xludf.DUMMYFUNCTION("""COMPUTED_VALUE"""),"Dubai")</f>
        <v>Dubai</v>
      </c>
      <c r="B10463" s="2" t="str">
        <f ca="1">IFERROR(__xludf.DUMMYFUNCTION("""COMPUTED_VALUE"""),"Beverly Gardens")</f>
        <v>Beverly Gardens</v>
      </c>
      <c r="C10463" s="2" t="str">
        <f ca="1">IFERROR(__xludf.DUMMYFUNCTION("""COMPUTED_VALUE"""),"Building")</f>
        <v>Building</v>
      </c>
      <c r="D10463" s="2" t="str">
        <f ca="1">IFERROR(__xludf.DUMMYFUNCTION("""COMPUTED_VALUE"""),"Dubai&gt;Discovery Gardens&gt;Beverly Gardens")</f>
        <v>Dubai&gt;Discovery Gardens&gt;Beverly Gardens</v>
      </c>
      <c r="E10463" s="2"/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  <c r="V10463" s="2"/>
      <c r="W10463" s="2"/>
      <c r="X10463" s="2"/>
      <c r="Y10463" s="2"/>
      <c r="Z10463" s="2"/>
    </row>
    <row r="10464" spans="1:26" ht="16.5" x14ac:dyDescent="0.35">
      <c r="A10464" s="2" t="str">
        <f ca="1">IFERROR(__xludf.DUMMYFUNCTION("""COMPUTED_VALUE"""),"Dubai")</f>
        <v>Dubai</v>
      </c>
      <c r="B10464" s="2" t="str">
        <f ca="1">IFERROR(__xludf.DUMMYFUNCTION("""COMPUTED_VALUE"""),"Al Sultana")</f>
        <v>Al Sultana</v>
      </c>
      <c r="C10464" s="2" t="str">
        <f ca="1">IFERROR(__xludf.DUMMYFUNCTION("""COMPUTED_VALUE"""),"Building")</f>
        <v>Building</v>
      </c>
      <c r="D10464" s="2" t="str">
        <f ca="1">IFERROR(__xludf.DUMMYFUNCTION("""COMPUTED_VALUE"""),"Dubai&gt;Palm Jumeirah&gt;Shoreline Apartments&gt;Al Sultana")</f>
        <v>Dubai&gt;Palm Jumeirah&gt;Shoreline Apartments&gt;Al Sultana</v>
      </c>
      <c r="E10464" s="2"/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  <c r="V10464" s="2"/>
      <c r="W10464" s="2"/>
      <c r="X10464" s="2"/>
      <c r="Y10464" s="2"/>
      <c r="Z10464" s="2"/>
    </row>
    <row r="10465" spans="1:26" ht="16.5" x14ac:dyDescent="0.35">
      <c r="A10465" s="2" t="str">
        <f ca="1">IFERROR(__xludf.DUMMYFUNCTION("""COMPUTED_VALUE"""),"Dubai")</f>
        <v>Dubai</v>
      </c>
      <c r="B10465" s="2" t="str">
        <f ca="1">IFERROR(__xludf.DUMMYFUNCTION("""COMPUTED_VALUE"""),"Signature Villas Palm Jumeirah")</f>
        <v>Signature Villas Palm Jumeirah</v>
      </c>
      <c r="C10465" s="2" t="str">
        <f ca="1">IFERROR(__xludf.DUMMYFUNCTION("""COMPUTED_VALUE"""),"Cluster")</f>
        <v>Cluster</v>
      </c>
      <c r="D10465" s="2" t="str">
        <f ca="1">IFERROR(__xludf.DUMMYFUNCTION("""COMPUTED_VALUE"""),"Dubai&gt;Palm Jumeirah&gt;Signature Villas Palm Jumeirah")</f>
        <v>Dubai&gt;Palm Jumeirah&gt;Signature Villas Palm Jumeirah</v>
      </c>
      <c r="E10465" s="2"/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  <c r="V10465" s="2"/>
      <c r="W10465" s="2"/>
      <c r="X10465" s="2"/>
      <c r="Y10465" s="2"/>
      <c r="Z10465" s="2"/>
    </row>
    <row r="10466" spans="1:26" ht="16.5" x14ac:dyDescent="0.35">
      <c r="A10466" s="2" t="str">
        <f ca="1">IFERROR(__xludf.DUMMYFUNCTION("""COMPUTED_VALUE"""),"Dubai")</f>
        <v>Dubai</v>
      </c>
      <c r="B10466" s="2" t="str">
        <f ca="1">IFERROR(__xludf.DUMMYFUNCTION("""COMPUTED_VALUE"""),"Palm Views West")</f>
        <v>Palm Views West</v>
      </c>
      <c r="C10466" s="2" t="str">
        <f ca="1">IFERROR(__xludf.DUMMYFUNCTION("""COMPUTED_VALUE"""),"Building")</f>
        <v>Building</v>
      </c>
      <c r="D10466" s="2" t="str">
        <f ca="1">IFERROR(__xludf.DUMMYFUNCTION("""COMPUTED_VALUE"""),"Dubai&gt;Palm Jumeirah&gt;Palm Views&gt;Palm Views West")</f>
        <v>Dubai&gt;Palm Jumeirah&gt;Palm Views&gt;Palm Views West</v>
      </c>
      <c r="E10466" s="2"/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2"/>
      <c r="T10466" s="2"/>
      <c r="U10466" s="2"/>
      <c r="V10466" s="2"/>
      <c r="W10466" s="2"/>
      <c r="X10466" s="2"/>
      <c r="Y10466" s="2"/>
      <c r="Z10466" s="2"/>
    </row>
    <row r="10467" spans="1:26" ht="16.5" x14ac:dyDescent="0.35">
      <c r="A10467" s="2" t="str">
        <f ca="1">IFERROR(__xludf.DUMMYFUNCTION("""COMPUTED_VALUE"""),"Dubai")</f>
        <v>Dubai</v>
      </c>
      <c r="B10467" s="2" t="str">
        <f ca="1">IFERROR(__xludf.DUMMYFUNCTION("""COMPUTED_VALUE"""),"Vitalia by Pinnacle")</f>
        <v>Vitalia by Pinnacle</v>
      </c>
      <c r="C10467" s="2" t="str">
        <f ca="1">IFERROR(__xludf.DUMMYFUNCTION("""COMPUTED_VALUE"""),"Building")</f>
        <v>Building</v>
      </c>
      <c r="D10467" s="2" t="str">
        <f ca="1">IFERROR(__xludf.DUMMYFUNCTION("""COMPUTED_VALUE"""),"Dubai&gt;Palm Jumeirah&gt;The Crescent&gt;Vitalia by Pinnacle")</f>
        <v>Dubai&gt;Palm Jumeirah&gt;The Crescent&gt;Vitalia by Pinnacle</v>
      </c>
      <c r="E10467" s="2"/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  <c r="V10467" s="2"/>
      <c r="W10467" s="2"/>
      <c r="X10467" s="2"/>
      <c r="Y10467" s="2"/>
      <c r="Z10467" s="2"/>
    </row>
    <row r="10468" spans="1:26" ht="16.5" x14ac:dyDescent="0.35">
      <c r="A10468" s="2" t="str">
        <f ca="1">IFERROR(__xludf.DUMMYFUNCTION("""COMPUTED_VALUE"""),"Dubai")</f>
        <v>Dubai</v>
      </c>
      <c r="B10468" s="2" t="str">
        <f ca="1">IFERROR(__xludf.DUMMYFUNCTION("""COMPUTED_VALUE"""),"Royal Amwaj Residences")</f>
        <v>Royal Amwaj Residences</v>
      </c>
      <c r="C10468" s="2" t="str">
        <f ca="1">IFERROR(__xludf.DUMMYFUNCTION("""COMPUTED_VALUE"""),"Cluster")</f>
        <v>Cluster</v>
      </c>
      <c r="D10468" s="2" t="str">
        <f ca="1">IFERROR(__xludf.DUMMYFUNCTION("""COMPUTED_VALUE"""),"Dubai&gt;Palm Jumeirah&gt;Royal Amwaj Residences")</f>
        <v>Dubai&gt;Palm Jumeirah&gt;Royal Amwaj Residences</v>
      </c>
      <c r="E10468" s="2"/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2"/>
      <c r="T10468" s="2"/>
      <c r="U10468" s="2"/>
      <c r="V10468" s="2"/>
      <c r="W10468" s="2"/>
      <c r="X10468" s="2"/>
      <c r="Y10468" s="2"/>
      <c r="Z10468" s="2"/>
    </row>
    <row r="10469" spans="1:26" ht="16.5" x14ac:dyDescent="0.35">
      <c r="A10469" s="2" t="str">
        <f ca="1">IFERROR(__xludf.DUMMYFUNCTION("""COMPUTED_VALUE"""),"Dubai")</f>
        <v>Dubai</v>
      </c>
      <c r="B10469" s="2" t="str">
        <f ca="1">IFERROR(__xludf.DUMMYFUNCTION("""COMPUTED_VALUE"""),"Oceana Aegean")</f>
        <v>Oceana Aegean</v>
      </c>
      <c r="C10469" s="2" t="str">
        <f ca="1">IFERROR(__xludf.DUMMYFUNCTION("""COMPUTED_VALUE"""),"Building")</f>
        <v>Building</v>
      </c>
      <c r="D10469" s="2" t="str">
        <f ca="1">IFERROR(__xludf.DUMMYFUNCTION("""COMPUTED_VALUE"""),"Dubai&gt;Palm Jumeirah&gt;Oceana&gt;Oceana Aegean")</f>
        <v>Dubai&gt;Palm Jumeirah&gt;Oceana&gt;Oceana Aegean</v>
      </c>
      <c r="E10469" s="2"/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  <c r="V10469" s="2"/>
      <c r="W10469" s="2"/>
      <c r="X10469" s="2"/>
      <c r="Y10469" s="2"/>
      <c r="Z10469" s="2"/>
    </row>
    <row r="10470" spans="1:26" ht="16.5" x14ac:dyDescent="0.35">
      <c r="A10470" s="2" t="str">
        <f ca="1">IFERROR(__xludf.DUMMYFUNCTION("""COMPUTED_VALUE"""),"Dubai")</f>
        <v>Dubai</v>
      </c>
      <c r="B10470" s="2" t="str">
        <f ca="1">IFERROR(__xludf.DUMMYFUNCTION("""COMPUTED_VALUE"""),"Al Rimmal Residence")</f>
        <v>Al Rimmal Residence</v>
      </c>
      <c r="C10470" s="2" t="str">
        <f ca="1">IFERROR(__xludf.DUMMYFUNCTION("""COMPUTED_VALUE"""),"Cluster")</f>
        <v>Cluster</v>
      </c>
      <c r="D10470" s="2" t="str">
        <f ca="1">IFERROR(__xludf.DUMMYFUNCTION("""COMPUTED_VALUE"""),"Dubai&gt;Al Jaddaf&gt;Al Rimmal Residence")</f>
        <v>Dubai&gt;Al Jaddaf&gt;Al Rimmal Residence</v>
      </c>
      <c r="E10470" s="2"/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2"/>
      <c r="T10470" s="2"/>
      <c r="U10470" s="2"/>
      <c r="V10470" s="2"/>
      <c r="W10470" s="2"/>
      <c r="X10470" s="2"/>
      <c r="Y10470" s="2"/>
      <c r="Z10470" s="2"/>
    </row>
    <row r="10471" spans="1:26" ht="16.5" x14ac:dyDescent="0.35">
      <c r="A10471" s="2" t="str">
        <f ca="1">IFERROR(__xludf.DUMMYFUNCTION("""COMPUTED_VALUE"""),"Dubai")</f>
        <v>Dubai</v>
      </c>
      <c r="B10471" s="2" t="str">
        <f ca="1">IFERROR(__xludf.DUMMYFUNCTION("""COMPUTED_VALUE"""),"Keturah Resort by MAG")</f>
        <v>Keturah Resort by MAG</v>
      </c>
      <c r="C10471" s="2" t="str">
        <f ca="1">IFERROR(__xludf.DUMMYFUNCTION("""COMPUTED_VALUE"""),"Neighbourhood")</f>
        <v>Neighbourhood</v>
      </c>
      <c r="D10471" s="2" t="str">
        <f ca="1">IFERROR(__xludf.DUMMYFUNCTION("""COMPUTED_VALUE"""),"Dubai&gt;Al Jaddaf&gt;Dubai Healthcare City Phase 2&gt;Keturah Resort by MAG")</f>
        <v>Dubai&gt;Al Jaddaf&gt;Dubai Healthcare City Phase 2&gt;Keturah Resort by MAG</v>
      </c>
      <c r="E10471" s="2"/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  <c r="V10471" s="2"/>
      <c r="W10471" s="2"/>
      <c r="X10471" s="2"/>
      <c r="Y10471" s="2"/>
      <c r="Z10471" s="2"/>
    </row>
    <row r="10472" spans="1:26" ht="16.5" x14ac:dyDescent="0.35">
      <c r="A10472" s="2" t="str">
        <f ca="1">IFERROR(__xludf.DUMMYFUNCTION("""COMPUTED_VALUE"""),"Dubai")</f>
        <v>Dubai</v>
      </c>
      <c r="B10472" s="2" t="str">
        <f ca="1">IFERROR(__xludf.DUMMYFUNCTION("""COMPUTED_VALUE"""),"Al Jaddaf Rotana Suite Hotel")</f>
        <v>Al Jaddaf Rotana Suite Hotel</v>
      </c>
      <c r="C10472" s="2" t="str">
        <f ca="1">IFERROR(__xludf.DUMMYFUNCTION("""COMPUTED_VALUE"""),"Building")</f>
        <v>Building</v>
      </c>
      <c r="D10472" s="2" t="str">
        <f ca="1">IFERROR(__xludf.DUMMYFUNCTION("""COMPUTED_VALUE"""),"Dubai&gt;Al Jaddaf&gt;Al Jaddaf Rotana Suite Hotel")</f>
        <v>Dubai&gt;Al Jaddaf&gt;Al Jaddaf Rotana Suite Hotel</v>
      </c>
      <c r="E10472" s="2"/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  <c r="V10472" s="2"/>
      <c r="W10472" s="2"/>
      <c r="X10472" s="2"/>
      <c r="Y10472" s="2"/>
      <c r="Z10472" s="2"/>
    </row>
    <row r="10473" spans="1:26" ht="16.5" x14ac:dyDescent="0.35">
      <c r="A10473" s="2" t="str">
        <f ca="1">IFERROR(__xludf.DUMMYFUNCTION("""COMPUTED_VALUE"""),"Dubai")</f>
        <v>Dubai</v>
      </c>
      <c r="B10473" s="2" t="str">
        <f ca="1">IFERROR(__xludf.DUMMYFUNCTION("""COMPUTED_VALUE"""),"Bin Haider Building")</f>
        <v>Bin Haider Building</v>
      </c>
      <c r="C10473" s="2" t="str">
        <f ca="1">IFERROR(__xludf.DUMMYFUNCTION("""COMPUTED_VALUE"""),"Building")</f>
        <v>Building</v>
      </c>
      <c r="D10473" s="2" t="str">
        <f ca="1">IFERROR(__xludf.DUMMYFUNCTION("""COMPUTED_VALUE"""),"Dubai&gt;Al Jaddaf&gt;Bin Haider Building")</f>
        <v>Dubai&gt;Al Jaddaf&gt;Bin Haider Building</v>
      </c>
      <c r="E10473" s="2"/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  <c r="V10473" s="2"/>
      <c r="W10473" s="2"/>
      <c r="X10473" s="2"/>
      <c r="Y10473" s="2"/>
      <c r="Z10473" s="2"/>
    </row>
    <row r="10474" spans="1:26" ht="16.5" x14ac:dyDescent="0.35">
      <c r="A10474" s="2" t="str">
        <f ca="1">IFERROR(__xludf.DUMMYFUNCTION("""COMPUTED_VALUE"""),"Dubai")</f>
        <v>Dubai</v>
      </c>
      <c r="B10474" s="2" t="str">
        <f ca="1">IFERROR(__xludf.DUMMYFUNCTION("""COMPUTED_VALUE"""),"The Coral Collection")</f>
        <v>The Coral Collection</v>
      </c>
      <c r="C10474" s="2" t="str">
        <f ca="1">IFERROR(__xludf.DUMMYFUNCTION("""COMPUTED_VALUE"""),"Neighbourhood")</f>
        <v>Neighbourhood</v>
      </c>
      <c r="D10474" s="2" t="str">
        <f ca="1">IFERROR(__xludf.DUMMYFUNCTION("""COMPUTED_VALUE"""),"Dubai&gt;Palm Jebel Ali&gt;Frond M&gt;The Coral Collection")</f>
        <v>Dubai&gt;Palm Jebel Ali&gt;Frond M&gt;The Coral Collection</v>
      </c>
      <c r="E10474" s="2"/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2"/>
      <c r="T10474" s="2"/>
      <c r="U10474" s="2"/>
      <c r="V10474" s="2"/>
      <c r="W10474" s="2"/>
      <c r="X10474" s="2"/>
      <c r="Y10474" s="2"/>
      <c r="Z10474" s="2"/>
    </row>
    <row r="10475" spans="1:26" ht="16.5" x14ac:dyDescent="0.35">
      <c r="A10475" s="2" t="str">
        <f ca="1">IFERROR(__xludf.DUMMYFUNCTION("""COMPUTED_VALUE"""),"Dubai")</f>
        <v>Dubai</v>
      </c>
      <c r="B10475" s="2" t="str">
        <f ca="1">IFERROR(__xludf.DUMMYFUNCTION("""COMPUTED_VALUE"""),"Science Park Residence")</f>
        <v>Science Park Residence</v>
      </c>
      <c r="C10475" s="2" t="str">
        <f ca="1">IFERROR(__xludf.DUMMYFUNCTION("""COMPUTED_VALUE"""),"Building")</f>
        <v>Building</v>
      </c>
      <c r="D10475" s="2" t="str">
        <f ca="1">IFERROR(__xludf.DUMMYFUNCTION("""COMPUTED_VALUE"""),"Dubai&gt;Dubai Science Park&gt;Science Park Residence")</f>
        <v>Dubai&gt;Dubai Science Park&gt;Science Park Residence</v>
      </c>
      <c r="E10475" s="2"/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  <c r="V10475" s="2"/>
      <c r="W10475" s="2"/>
      <c r="X10475" s="2"/>
      <c r="Y10475" s="2"/>
      <c r="Z10475" s="2"/>
    </row>
    <row r="10476" spans="1:26" ht="16.5" x14ac:dyDescent="0.35">
      <c r="A10476" s="2" t="str">
        <f ca="1">IFERROR(__xludf.DUMMYFUNCTION("""COMPUTED_VALUE"""),"Dubai")</f>
        <v>Dubai</v>
      </c>
      <c r="B10476" s="2" t="str">
        <f ca="1">IFERROR(__xludf.DUMMYFUNCTION("""COMPUTED_VALUE"""),"The Springs 5")</f>
        <v>The Springs 5</v>
      </c>
      <c r="C10476" s="2" t="str">
        <f ca="1">IFERROR(__xludf.DUMMYFUNCTION("""COMPUTED_VALUE"""),"Neighbourhood")</f>
        <v>Neighbourhood</v>
      </c>
      <c r="D10476" s="2" t="str">
        <f ca="1">IFERROR(__xludf.DUMMYFUNCTION("""COMPUTED_VALUE"""),"Dubai&gt;The Springs&gt;The Springs 5")</f>
        <v>Dubai&gt;The Springs&gt;The Springs 5</v>
      </c>
      <c r="E10476" s="2"/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2"/>
      <c r="T10476" s="2"/>
      <c r="U10476" s="2"/>
      <c r="V10476" s="2"/>
      <c r="W10476" s="2"/>
      <c r="X10476" s="2"/>
      <c r="Y10476" s="2"/>
      <c r="Z10476" s="2"/>
    </row>
    <row r="10477" spans="1:26" ht="16.5" x14ac:dyDescent="0.35">
      <c r="A10477" s="2" t="str">
        <f ca="1">IFERROR(__xludf.DUMMYFUNCTION("""COMPUTED_VALUE"""),"Dubai")</f>
        <v>Dubai</v>
      </c>
      <c r="B10477" s="2" t="str">
        <f ca="1">IFERROR(__xludf.DUMMYFUNCTION("""COMPUTED_VALUE"""),"Hillside Residences 2 Building E")</f>
        <v>Hillside Residences 2 Building E</v>
      </c>
      <c r="C10477" s="2" t="str">
        <f ca="1">IFERROR(__xludf.DUMMYFUNCTION("""COMPUTED_VALUE"""),"Building")</f>
        <v>Building</v>
      </c>
      <c r="D10477" s="2" t="str">
        <f ca="1">IFERROR(__xludf.DUMMYFUNCTION("""COMPUTED_VALUE"""),"Dubai&gt;Wasl Gate&gt;Hillside Residences&gt;Hillside Residences 2&gt;Hillside Residences 2 Building E")</f>
        <v>Dubai&gt;Wasl Gate&gt;Hillside Residences&gt;Hillside Residences 2&gt;Hillside Residences 2 Building E</v>
      </c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  <c r="V10477" s="2"/>
      <c r="W10477" s="2"/>
      <c r="X10477" s="2"/>
      <c r="Y10477" s="2"/>
      <c r="Z10477" s="2"/>
    </row>
    <row r="10478" spans="1:26" ht="16.5" x14ac:dyDescent="0.35">
      <c r="A10478" s="2" t="str">
        <f ca="1">IFERROR(__xludf.DUMMYFUNCTION("""COMPUTED_VALUE"""),"Dubai")</f>
        <v>Dubai</v>
      </c>
      <c r="B10478" s="2" t="str">
        <f ca="1">IFERROR(__xludf.DUMMYFUNCTION("""COMPUTED_VALUE"""),"Al Telal 25")</f>
        <v>Al Telal 25</v>
      </c>
      <c r="C10478" s="2" t="str">
        <f ca="1">IFERROR(__xludf.DUMMYFUNCTION("""COMPUTED_VALUE"""),"Building")</f>
        <v>Building</v>
      </c>
      <c r="D10478" s="2" t="str">
        <f ca="1">IFERROR(__xludf.DUMMYFUNCTION("""COMPUTED_VALUE"""),"Dubai&gt;Nad Al Sheba&gt;Nad Al Sheba 1&gt;Nad Al Sheba Gardens&gt;Nad Al Sheba Gardens 1&gt;Al Telal 25")</f>
        <v>Dubai&gt;Nad Al Sheba&gt;Nad Al Sheba 1&gt;Nad Al Sheba Gardens&gt;Nad Al Sheba Gardens 1&gt;Al Telal 25</v>
      </c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  <c r="V10478" s="2"/>
      <c r="W10478" s="2"/>
      <c r="X10478" s="2"/>
      <c r="Y10478" s="2"/>
      <c r="Z10478" s="2"/>
    </row>
    <row r="10479" spans="1:26" ht="16.5" x14ac:dyDescent="0.35">
      <c r="A10479" s="2" t="str">
        <f ca="1">IFERROR(__xludf.DUMMYFUNCTION("""COMPUTED_VALUE"""),"Dubai")</f>
        <v>Dubai</v>
      </c>
      <c r="B10479" s="2" t="str">
        <f ca="1">IFERROR(__xludf.DUMMYFUNCTION("""COMPUTED_VALUE"""),"Sands Abir")</f>
        <v>Sands Abir</v>
      </c>
      <c r="C10479" s="2" t="str">
        <f ca="1">IFERROR(__xludf.DUMMYFUNCTION("""COMPUTED_VALUE"""),"Building")</f>
        <v>Building</v>
      </c>
      <c r="D10479" s="2" t="str">
        <f ca="1">IFERROR(__xludf.DUMMYFUNCTION("""COMPUTED_VALUE"""),"Dubai&gt;Dubai Internet City&gt;Sands Abir")</f>
        <v>Dubai&gt;Dubai Internet City&gt;Sands Abir</v>
      </c>
      <c r="E10479" s="2"/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2"/>
      <c r="T10479" s="2"/>
      <c r="U10479" s="2"/>
      <c r="V10479" s="2"/>
      <c r="W10479" s="2"/>
      <c r="X10479" s="2"/>
      <c r="Y10479" s="2"/>
      <c r="Z10479" s="2"/>
    </row>
    <row r="10480" spans="1:26" ht="16.5" x14ac:dyDescent="0.35">
      <c r="A10480" s="2" t="str">
        <f ca="1">IFERROR(__xludf.DUMMYFUNCTION("""COMPUTED_VALUE"""),"Dubai")</f>
        <v>Dubai</v>
      </c>
      <c r="B10480" s="2" t="str">
        <f ca="1">IFERROR(__xludf.DUMMYFUNCTION("""COMPUTED_VALUE"""),"DIC 17")</f>
        <v>DIC 17</v>
      </c>
      <c r="C10480" s="2" t="str">
        <f ca="1">IFERROR(__xludf.DUMMYFUNCTION("""COMPUTED_VALUE"""),"Building")</f>
        <v>Building</v>
      </c>
      <c r="D10480" s="2" t="str">
        <f ca="1">IFERROR(__xludf.DUMMYFUNCTION("""COMPUTED_VALUE"""),"Dubai&gt;Dubai Internet City&gt;DIC&gt;DIC 17")</f>
        <v>Dubai&gt;Dubai Internet City&gt;DIC&gt;DIC 17</v>
      </c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  <c r="V10480" s="2"/>
      <c r="W10480" s="2"/>
      <c r="X10480" s="2"/>
      <c r="Y10480" s="2"/>
      <c r="Z10480" s="2"/>
    </row>
    <row r="10481" spans="1:26" ht="16.5" x14ac:dyDescent="0.35">
      <c r="A10481" s="2" t="str">
        <f ca="1">IFERROR(__xludf.DUMMYFUNCTION("""COMPUTED_VALUE"""),"Dubai")</f>
        <v>Dubai</v>
      </c>
      <c r="B10481" s="2" t="str">
        <f ca="1">IFERROR(__xludf.DUMMYFUNCTION("""COMPUTED_VALUE"""),"Bliss 2")</f>
        <v>Bliss 2</v>
      </c>
      <c r="C10481" s="2" t="str">
        <f ca="1">IFERROR(__xludf.DUMMYFUNCTION("""COMPUTED_VALUE"""),"Neighbourhood")</f>
        <v>Neighbourhood</v>
      </c>
      <c r="D10481" s="2" t="str">
        <f ca="1">IFERROR(__xludf.DUMMYFUNCTION("""COMPUTED_VALUE"""),"Dubai&gt;Arabian Ranches 3&gt;Bliss 2")</f>
        <v>Dubai&gt;Arabian Ranches 3&gt;Bliss 2</v>
      </c>
      <c r="E10481" s="2"/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2"/>
      <c r="T10481" s="2"/>
      <c r="U10481" s="2"/>
      <c r="V10481" s="2"/>
      <c r="W10481" s="2"/>
      <c r="X10481" s="2"/>
      <c r="Y10481" s="2"/>
      <c r="Z10481" s="2"/>
    </row>
    <row r="10482" spans="1:26" ht="16.5" x14ac:dyDescent="0.35">
      <c r="A10482" s="2" t="str">
        <f ca="1">IFERROR(__xludf.DUMMYFUNCTION("""COMPUTED_VALUE"""),"Dubai")</f>
        <v>Dubai</v>
      </c>
      <c r="B10482" s="2" t="str">
        <f ca="1">IFERROR(__xludf.DUMMYFUNCTION("""COMPUTED_VALUE"""),"Avonlea")</f>
        <v>Avonlea</v>
      </c>
      <c r="C10482" s="2" t="str">
        <f ca="1">IFERROR(__xludf.DUMMYFUNCTION("""COMPUTED_VALUE"""),"Cluster")</f>
        <v>Cluster</v>
      </c>
      <c r="D10482" s="2" t="str">
        <f ca="1">IFERROR(__xludf.DUMMYFUNCTION("""COMPUTED_VALUE"""),"Dubai&gt;Mina Rashid&gt;Avonlea")</f>
        <v>Dubai&gt;Mina Rashid&gt;Avonlea</v>
      </c>
      <c r="E10482" s="2"/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  <c r="V10482" s="2"/>
      <c r="W10482" s="2"/>
      <c r="X10482" s="2"/>
      <c r="Y10482" s="2"/>
      <c r="Z10482" s="2"/>
    </row>
    <row r="10483" spans="1:26" ht="16.5" x14ac:dyDescent="0.35">
      <c r="A10483" s="2" t="str">
        <f ca="1">IFERROR(__xludf.DUMMYFUNCTION("""COMPUTED_VALUE"""),"Dubai")</f>
        <v>Dubai</v>
      </c>
      <c r="B10483" s="2" t="str">
        <f ca="1">IFERROR(__xludf.DUMMYFUNCTION("""COMPUTED_VALUE"""),"Fior 2")</f>
        <v>Fior 2</v>
      </c>
      <c r="C10483" s="2" t="str">
        <f ca="1">IFERROR(__xludf.DUMMYFUNCTION("""COMPUTED_VALUE"""),"Building")</f>
        <v>Building</v>
      </c>
      <c r="D10483" s="2" t="str">
        <f ca="1">IFERROR(__xludf.DUMMYFUNCTION("""COMPUTED_VALUE"""),"Dubai&gt;Mina Rashid&gt;Fior 2")</f>
        <v>Dubai&gt;Mina Rashid&gt;Fior 2</v>
      </c>
      <c r="E10483" s="2"/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2"/>
      <c r="T10483" s="2"/>
      <c r="U10483" s="2"/>
      <c r="V10483" s="2"/>
      <c r="W10483" s="2"/>
      <c r="X10483" s="2"/>
      <c r="Y10483" s="2"/>
      <c r="Z10483" s="2"/>
    </row>
    <row r="10484" spans="1:26" ht="16.5" x14ac:dyDescent="0.35">
      <c r="A10484" s="2" t="str">
        <f ca="1">IFERROR(__xludf.DUMMYFUNCTION("""COMPUTED_VALUE"""),"Dubai")</f>
        <v>Dubai</v>
      </c>
      <c r="B10484" s="2" t="str">
        <f ca="1">IFERROR(__xludf.DUMMYFUNCTION("""COMPUTED_VALUE"""),"Velora 2")</f>
        <v>Velora 2</v>
      </c>
      <c r="C10484" s="2" t="str">
        <f ca="1">IFERROR(__xludf.DUMMYFUNCTION("""COMPUTED_VALUE"""),"Neighbourhood")</f>
        <v>Neighbourhood</v>
      </c>
      <c r="D10484" s="2" t="str">
        <f ca="1">IFERROR(__xludf.DUMMYFUNCTION("""COMPUTED_VALUE"""),"Dubai&gt;The Valley by Emaar&gt;Velora 2")</f>
        <v>Dubai&gt;The Valley by Emaar&gt;Velora 2</v>
      </c>
      <c r="E10484" s="2"/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  <c r="V10484" s="2"/>
      <c r="W10484" s="2"/>
      <c r="X10484" s="2"/>
      <c r="Y10484" s="2"/>
      <c r="Z10484" s="2"/>
    </row>
    <row r="10485" spans="1:26" ht="16.5" x14ac:dyDescent="0.35">
      <c r="A10485" s="2" t="str">
        <f ca="1">IFERROR(__xludf.DUMMYFUNCTION("""COMPUTED_VALUE"""),"Dubai")</f>
        <v>Dubai</v>
      </c>
      <c r="B10485" s="2" t="str">
        <f ca="1">IFERROR(__xludf.DUMMYFUNCTION("""COMPUTED_VALUE"""),"Saheel 3")</f>
        <v>Saheel 3</v>
      </c>
      <c r="C10485" s="2" t="str">
        <f ca="1">IFERROR(__xludf.DUMMYFUNCTION("""COMPUTED_VALUE"""),"Neighbourhood")</f>
        <v>Neighbourhood</v>
      </c>
      <c r="D10485" s="2" t="str">
        <f ca="1">IFERROR(__xludf.DUMMYFUNCTION("""COMPUTED_VALUE"""),"Dubai&gt;Arabian Ranches&gt;Saheel&gt;Saheel 3")</f>
        <v>Dubai&gt;Arabian Ranches&gt;Saheel&gt;Saheel 3</v>
      </c>
      <c r="E10485" s="2"/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  <c r="V10485" s="2"/>
      <c r="W10485" s="2"/>
      <c r="X10485" s="2"/>
      <c r="Y10485" s="2"/>
      <c r="Z10485" s="2"/>
    </row>
    <row r="10486" spans="1:26" ht="16.5" x14ac:dyDescent="0.35">
      <c r="A10486" s="2" t="str">
        <f ca="1">IFERROR(__xludf.DUMMYFUNCTION("""COMPUTED_VALUE"""),"Dubai")</f>
        <v>Dubai</v>
      </c>
      <c r="B10486" s="2" t="str">
        <f ca="1">IFERROR(__xludf.DUMMYFUNCTION("""COMPUTED_VALUE"""),"The Gardens Building 109")</f>
        <v>The Gardens Building 109</v>
      </c>
      <c r="C10486" s="2" t="str">
        <f ca="1">IFERROR(__xludf.DUMMYFUNCTION("""COMPUTED_VALUE"""),"Building")</f>
        <v>Building</v>
      </c>
      <c r="D10486" s="2" t="str">
        <f ca="1">IFERROR(__xludf.DUMMYFUNCTION("""COMPUTED_VALUE"""),"Dubai&gt;The Gardens&gt;The Gardens Building 109")</f>
        <v>Dubai&gt;The Gardens&gt;The Gardens Building 109</v>
      </c>
      <c r="E10486" s="2"/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  <c r="V10486" s="2"/>
      <c r="W10486" s="2"/>
      <c r="X10486" s="2"/>
      <c r="Y10486" s="2"/>
      <c r="Z10486" s="2"/>
    </row>
    <row r="10487" spans="1:26" ht="16.5" x14ac:dyDescent="0.35">
      <c r="A10487" s="2" t="str">
        <f ca="1">IFERROR(__xludf.DUMMYFUNCTION("""COMPUTED_VALUE"""),"Dubai")</f>
        <v>Dubai</v>
      </c>
      <c r="B10487" s="2" t="str">
        <f ca="1">IFERROR(__xludf.DUMMYFUNCTION("""COMPUTED_VALUE"""),"The Gardens Building 83")</f>
        <v>The Gardens Building 83</v>
      </c>
      <c r="C10487" s="2" t="str">
        <f ca="1">IFERROR(__xludf.DUMMYFUNCTION("""COMPUTED_VALUE"""),"Building")</f>
        <v>Building</v>
      </c>
      <c r="D10487" s="2" t="str">
        <f ca="1">IFERROR(__xludf.DUMMYFUNCTION("""COMPUTED_VALUE"""),"Dubai&gt;The Gardens&gt;The Gardens Building 83")</f>
        <v>Dubai&gt;The Gardens&gt;The Gardens Building 83</v>
      </c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  <c r="U10487" s="2"/>
      <c r="V10487" s="2"/>
      <c r="W10487" s="2"/>
      <c r="X10487" s="2"/>
      <c r="Y10487" s="2"/>
      <c r="Z10487" s="2"/>
    </row>
    <row r="10488" spans="1:26" ht="16.5" x14ac:dyDescent="0.35">
      <c r="A10488" s="2" t="str">
        <f ca="1">IFERROR(__xludf.DUMMYFUNCTION("""COMPUTED_VALUE"""),"Dubai")</f>
        <v>Dubai</v>
      </c>
      <c r="B10488" s="2" t="str">
        <f ca="1">IFERROR(__xludf.DUMMYFUNCTION("""COMPUTED_VALUE"""),"The Gardens Building 116")</f>
        <v>The Gardens Building 116</v>
      </c>
      <c r="C10488" s="2" t="str">
        <f ca="1">IFERROR(__xludf.DUMMYFUNCTION("""COMPUTED_VALUE"""),"Building")</f>
        <v>Building</v>
      </c>
      <c r="D10488" s="2" t="str">
        <f ca="1">IFERROR(__xludf.DUMMYFUNCTION("""COMPUTED_VALUE"""),"Dubai&gt;The Gardens&gt;The Gardens Building 116")</f>
        <v>Dubai&gt;The Gardens&gt;The Gardens Building 116</v>
      </c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  <c r="V10488" s="2"/>
      <c r="W10488" s="2"/>
      <c r="X10488" s="2"/>
      <c r="Y10488" s="2"/>
      <c r="Z10488" s="2"/>
    </row>
    <row r="10489" spans="1:26" ht="16.5" x14ac:dyDescent="0.35">
      <c r="A10489" s="2" t="str">
        <f ca="1">IFERROR(__xludf.DUMMYFUNCTION("""COMPUTED_VALUE"""),"Dubai")</f>
        <v>Dubai</v>
      </c>
      <c r="B10489" s="2" t="str">
        <f ca="1">IFERROR(__xludf.DUMMYFUNCTION("""COMPUTED_VALUE"""),"The Gardens Building 29")</f>
        <v>The Gardens Building 29</v>
      </c>
      <c r="C10489" s="2" t="str">
        <f ca="1">IFERROR(__xludf.DUMMYFUNCTION("""COMPUTED_VALUE"""),"Building")</f>
        <v>Building</v>
      </c>
      <c r="D10489" s="2" t="str">
        <f ca="1">IFERROR(__xludf.DUMMYFUNCTION("""COMPUTED_VALUE"""),"Dubai&gt;The Gardens&gt;The Gardens Building 29")</f>
        <v>Dubai&gt;The Gardens&gt;The Gardens Building 29</v>
      </c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  <c r="V10489" s="2"/>
      <c r="W10489" s="2"/>
      <c r="X10489" s="2"/>
      <c r="Y10489" s="2"/>
      <c r="Z10489" s="2"/>
    </row>
    <row r="10490" spans="1:26" ht="16.5" x14ac:dyDescent="0.35">
      <c r="A10490" s="2" t="str">
        <f ca="1">IFERROR(__xludf.DUMMYFUNCTION("""COMPUTED_VALUE"""),"Dubai")</f>
        <v>Dubai</v>
      </c>
      <c r="B10490" s="2" t="str">
        <f ca="1">IFERROR(__xludf.DUMMYFUNCTION("""COMPUTED_VALUE"""),"Al Mamzar")</f>
        <v>Al Mamzar</v>
      </c>
      <c r="C10490" s="2" t="str">
        <f ca="1">IFERROR(__xludf.DUMMYFUNCTION("""COMPUTED_VALUE"""),"Neighbourhood")</f>
        <v>Neighbourhood</v>
      </c>
      <c r="D10490" s="2" t="str">
        <f ca="1">IFERROR(__xludf.DUMMYFUNCTION("""COMPUTED_VALUE"""),"Dubai&gt;Al Mamzar")</f>
        <v>Dubai&gt;Al Mamzar</v>
      </c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  <c r="U10490" s="2"/>
      <c r="V10490" s="2"/>
      <c r="W10490" s="2"/>
      <c r="X10490" s="2"/>
      <c r="Y10490" s="2"/>
      <c r="Z10490" s="2"/>
    </row>
    <row r="10491" spans="1:26" ht="16.5" x14ac:dyDescent="0.35">
      <c r="A10491" s="2" t="str">
        <f ca="1">IFERROR(__xludf.DUMMYFUNCTION("""COMPUTED_VALUE"""),"Dubai")</f>
        <v>Dubai</v>
      </c>
      <c r="B10491" s="2" t="str">
        <f ca="1">IFERROR(__xludf.DUMMYFUNCTION("""COMPUTED_VALUE"""),"Al Mamzar 1030")</f>
        <v>Al Mamzar 1030</v>
      </c>
      <c r="C10491" s="2" t="str">
        <f ca="1">IFERROR(__xludf.DUMMYFUNCTION("""COMPUTED_VALUE"""),"Building")</f>
        <v>Building</v>
      </c>
      <c r="D10491" s="2" t="str">
        <f ca="1">IFERROR(__xludf.DUMMYFUNCTION("""COMPUTED_VALUE"""),"Dubai&gt;Al Mamzar&gt;Al Mamzar 1030")</f>
        <v>Dubai&gt;Al Mamzar&gt;Al Mamzar 1030</v>
      </c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  <c r="V10491" s="2"/>
      <c r="W10491" s="2"/>
      <c r="X10491" s="2"/>
      <c r="Y10491" s="2"/>
      <c r="Z10491" s="2"/>
    </row>
    <row r="10492" spans="1:26" ht="16.5" x14ac:dyDescent="0.35">
      <c r="A10492" s="2" t="str">
        <f ca="1">IFERROR(__xludf.DUMMYFUNCTION("""COMPUTED_VALUE"""),"Dubai")</f>
        <v>Dubai</v>
      </c>
      <c r="B10492" s="2" t="str">
        <f ca="1">IFERROR(__xludf.DUMMYFUNCTION("""COMPUTED_VALUE"""),"The Oxford School, Dubai")</f>
        <v>The Oxford School, Dubai</v>
      </c>
      <c r="C10492" s="2" t="str">
        <f ca="1">IFERROR(__xludf.DUMMYFUNCTION("""COMPUTED_VALUE"""),"School")</f>
        <v>School</v>
      </c>
      <c r="D10492" s="2" t="str">
        <f ca="1">IFERROR(__xludf.DUMMYFUNCTION("""COMPUTED_VALUE"""),"Dubai&gt;Muhaisnah&gt;Muhaisnah 4&gt;The Oxford School, Dubai")</f>
        <v>Dubai&gt;Muhaisnah&gt;Muhaisnah 4&gt;The Oxford School, Dubai</v>
      </c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  <c r="V10492" s="2"/>
      <c r="W10492" s="2"/>
      <c r="X10492" s="2"/>
      <c r="Y10492" s="2"/>
      <c r="Z10492" s="2"/>
    </row>
    <row r="10493" spans="1:26" ht="16.5" x14ac:dyDescent="0.35">
      <c r="A10493" s="2" t="str">
        <f ca="1">IFERROR(__xludf.DUMMYFUNCTION("""COMPUTED_VALUE"""),"Dubai")</f>
        <v>Dubai</v>
      </c>
      <c r="B10493" s="2" t="str">
        <f ca="1">IFERROR(__xludf.DUMMYFUNCTION("""COMPUTED_VALUE"""),"Wasl Building R446")</f>
        <v>Wasl Building R446</v>
      </c>
      <c r="C10493" s="2" t="str">
        <f ca="1">IFERROR(__xludf.DUMMYFUNCTION("""COMPUTED_VALUE"""),"Cluster")</f>
        <v>Cluster</v>
      </c>
      <c r="D10493" s="2" t="str">
        <f ca="1">IFERROR(__xludf.DUMMYFUNCTION("""COMPUTED_VALUE"""),"Dubai&gt;Muhaisnah&gt;Muhaisnah 4&gt;Wasl Building R446")</f>
        <v>Dubai&gt;Muhaisnah&gt;Muhaisnah 4&gt;Wasl Building R446</v>
      </c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  <c r="V10493" s="2"/>
      <c r="W10493" s="2"/>
      <c r="X10493" s="2"/>
      <c r="Y10493" s="2"/>
      <c r="Z10493" s="2"/>
    </row>
    <row r="10494" spans="1:26" ht="16.5" x14ac:dyDescent="0.35">
      <c r="A10494" s="2" t="str">
        <f ca="1">IFERROR(__xludf.DUMMYFUNCTION("""COMPUTED_VALUE"""),"Dubai")</f>
        <v>Dubai</v>
      </c>
      <c r="B10494" s="2" t="str">
        <f ca="1">IFERROR(__xludf.DUMMYFUNCTION("""COMPUTED_VALUE"""),"Al Fattan Sky Tower 1")</f>
        <v>Al Fattan Sky Tower 1</v>
      </c>
      <c r="C10494" s="2" t="str">
        <f ca="1">IFERROR(__xludf.DUMMYFUNCTION("""COMPUTED_VALUE"""),"Building")</f>
        <v>Building</v>
      </c>
      <c r="D10494" s="2" t="str">
        <f ca="1">IFERROR(__xludf.DUMMYFUNCTION("""COMPUTED_VALUE"""),"Dubai&gt;Umm Ramool&gt;Al Fattan Sky Towers&gt;Al Fattan Sky Tower 1")</f>
        <v>Dubai&gt;Umm Ramool&gt;Al Fattan Sky Towers&gt;Al Fattan Sky Tower 1</v>
      </c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  <c r="U10494" s="2"/>
      <c r="V10494" s="2"/>
      <c r="W10494" s="2"/>
      <c r="X10494" s="2"/>
      <c r="Y10494" s="2"/>
      <c r="Z10494" s="2"/>
    </row>
    <row r="10495" spans="1:26" ht="16.5" x14ac:dyDescent="0.35">
      <c r="A10495" s="2" t="str">
        <f ca="1">IFERROR(__xludf.DUMMYFUNCTION("""COMPUTED_VALUE"""),"Dubai")</f>
        <v>Dubai</v>
      </c>
      <c r="B10495" s="2" t="str">
        <f ca="1">IFERROR(__xludf.DUMMYFUNCTION("""COMPUTED_VALUE"""),"2020 Building")</f>
        <v>2020 Building</v>
      </c>
      <c r="C10495" s="2" t="str">
        <f ca="1">IFERROR(__xludf.DUMMYFUNCTION("""COMPUTED_VALUE"""),"Building")</f>
        <v>Building</v>
      </c>
      <c r="D10495" s="2" t="str">
        <f ca="1">IFERROR(__xludf.DUMMYFUNCTION("""COMPUTED_VALUE"""),"Dubai&gt;Sheikh Zayed Road&gt;2020 Building")</f>
        <v>Dubai&gt;Sheikh Zayed Road&gt;2020 Building</v>
      </c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  <c r="V10495" s="2"/>
      <c r="W10495" s="2"/>
      <c r="X10495" s="2"/>
      <c r="Y10495" s="2"/>
      <c r="Z10495" s="2"/>
    </row>
    <row r="10496" spans="1:26" ht="16.5" x14ac:dyDescent="0.35">
      <c r="A10496" s="2" t="str">
        <f ca="1">IFERROR(__xludf.DUMMYFUNCTION("""COMPUTED_VALUE"""),"Dubai")</f>
        <v>Dubai</v>
      </c>
      <c r="B10496" s="2" t="str">
        <f ca="1">IFERROR(__xludf.DUMMYFUNCTION("""COMPUTED_VALUE"""),"Shangri-La Hotel")</f>
        <v>Shangri-La Hotel</v>
      </c>
      <c r="C10496" s="2" t="str">
        <f ca="1">IFERROR(__xludf.DUMMYFUNCTION("""COMPUTED_VALUE"""),"Building")</f>
        <v>Building</v>
      </c>
      <c r="D10496" s="2" t="str">
        <f ca="1">IFERROR(__xludf.DUMMYFUNCTION("""COMPUTED_VALUE"""),"Dubai&gt;Sheikh Zayed Road&gt;Shangri-La Hotel")</f>
        <v>Dubai&gt;Sheikh Zayed Road&gt;Shangri-La Hotel</v>
      </c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  <c r="V10496" s="2"/>
      <c r="W10496" s="2"/>
      <c r="X10496" s="2"/>
      <c r="Y10496" s="2"/>
      <c r="Z10496" s="2"/>
    </row>
    <row r="10497" spans="1:26" ht="16.5" x14ac:dyDescent="0.35">
      <c r="A10497" s="2" t="str">
        <f ca="1">IFERROR(__xludf.DUMMYFUNCTION("""COMPUTED_VALUE"""),"Dubai")</f>
        <v>Dubai</v>
      </c>
      <c r="B10497" s="2" t="str">
        <f ca="1">IFERROR(__xludf.DUMMYFUNCTION("""COMPUTED_VALUE"""),"Mardoof Building")</f>
        <v>Mardoof Building</v>
      </c>
      <c r="C10497" s="2" t="str">
        <f ca="1">IFERROR(__xludf.DUMMYFUNCTION("""COMPUTED_VALUE"""),"Building")</f>
        <v>Building</v>
      </c>
      <c r="D10497" s="2" t="str">
        <f ca="1">IFERROR(__xludf.DUMMYFUNCTION("""COMPUTED_VALUE"""),"Dubai&gt;Sheikh Zayed Road&gt;Mardoof Building")</f>
        <v>Dubai&gt;Sheikh Zayed Road&gt;Mardoof Building</v>
      </c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  <c r="V10497" s="2"/>
      <c r="W10497" s="2"/>
      <c r="X10497" s="2"/>
      <c r="Y10497" s="2"/>
      <c r="Z10497" s="2"/>
    </row>
    <row r="10498" spans="1:26" ht="16.5" x14ac:dyDescent="0.35">
      <c r="A10498" s="2" t="str">
        <f ca="1">IFERROR(__xludf.DUMMYFUNCTION("""COMPUTED_VALUE"""),"Dubai")</f>
        <v>Dubai</v>
      </c>
      <c r="B10498" s="2" t="str">
        <f ca="1">IFERROR(__xludf.DUMMYFUNCTION("""COMPUTED_VALUE"""),"Al Diyar Building")</f>
        <v>Al Diyar Building</v>
      </c>
      <c r="C10498" s="2" t="str">
        <f ca="1">IFERROR(__xludf.DUMMYFUNCTION("""COMPUTED_VALUE"""),"Building")</f>
        <v>Building</v>
      </c>
      <c r="D10498" s="2" t="str">
        <f ca="1">IFERROR(__xludf.DUMMYFUNCTION("""COMPUTED_VALUE"""),"Dubai&gt;Sheikh Zayed Road&gt;Al Diyar Building")</f>
        <v>Dubai&gt;Sheikh Zayed Road&gt;Al Diyar Building</v>
      </c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  <c r="U10498" s="2"/>
      <c r="V10498" s="2"/>
      <c r="W10498" s="2"/>
      <c r="X10498" s="2"/>
      <c r="Y10498" s="2"/>
      <c r="Z10498" s="2"/>
    </row>
    <row r="10499" spans="1:26" ht="16.5" x14ac:dyDescent="0.35">
      <c r="A10499" s="2" t="str">
        <f ca="1">IFERROR(__xludf.DUMMYFUNCTION("""COMPUTED_VALUE"""),"Dubai")</f>
        <v>Dubai</v>
      </c>
      <c r="B10499" s="2" t="str">
        <f ca="1">IFERROR(__xludf.DUMMYFUNCTION("""COMPUTED_VALUE"""),"Al Khayyal Building 105")</f>
        <v>Al Khayyal Building 105</v>
      </c>
      <c r="C10499" s="2" t="str">
        <f ca="1">IFERROR(__xludf.DUMMYFUNCTION("""COMPUTED_VALUE"""),"Building")</f>
        <v>Building</v>
      </c>
      <c r="D10499" s="2" t="str">
        <f ca="1">IFERROR(__xludf.DUMMYFUNCTION("""COMPUTED_VALUE"""),"Dubai&gt;Al Karama&gt;Al Khayyal Building 105")</f>
        <v>Dubai&gt;Al Karama&gt;Al Khayyal Building 105</v>
      </c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  <c r="V10499" s="2"/>
      <c r="W10499" s="2"/>
      <c r="X10499" s="2"/>
      <c r="Y10499" s="2"/>
      <c r="Z10499" s="2"/>
    </row>
    <row r="10500" spans="1:26" ht="16.5" x14ac:dyDescent="0.35">
      <c r="A10500" s="2" t="str">
        <f ca="1">IFERROR(__xludf.DUMMYFUNCTION("""COMPUTED_VALUE"""),"Dubai")</f>
        <v>Dubai</v>
      </c>
      <c r="B10500" s="2" t="str">
        <f ca="1">IFERROR(__xludf.DUMMYFUNCTION("""COMPUTED_VALUE"""),"Building 30")</f>
        <v>Building 30</v>
      </c>
      <c r="C10500" s="2" t="str">
        <f ca="1">IFERROR(__xludf.DUMMYFUNCTION("""COMPUTED_VALUE"""),"Building")</f>
        <v>Building</v>
      </c>
      <c r="D10500" s="2" t="str">
        <f ca="1">IFERROR(__xludf.DUMMYFUNCTION("""COMPUTED_VALUE"""),"Dubai&gt;Al Karama&gt;Karam Pioneer Buildings&gt;Building 30")</f>
        <v>Dubai&gt;Al Karama&gt;Karam Pioneer Buildings&gt;Building 30</v>
      </c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  <c r="V10500" s="2"/>
      <c r="W10500" s="2"/>
      <c r="X10500" s="2"/>
      <c r="Y10500" s="2"/>
      <c r="Z10500" s="2"/>
    </row>
    <row r="10501" spans="1:26" ht="16.5" x14ac:dyDescent="0.35">
      <c r="A10501" s="2" t="str">
        <f ca="1">IFERROR(__xludf.DUMMYFUNCTION("""COMPUTED_VALUE"""),"Dubai")</f>
        <v>Dubai</v>
      </c>
      <c r="B10501" s="2" t="str">
        <f ca="1">IFERROR(__xludf.DUMMYFUNCTION("""COMPUTED_VALUE"""),"Karama Shopping Complex - B")</f>
        <v>Karama Shopping Complex - B</v>
      </c>
      <c r="C10501" s="2" t="str">
        <f ca="1">IFERROR(__xludf.DUMMYFUNCTION("""COMPUTED_VALUE"""),"Building")</f>
        <v>Building</v>
      </c>
      <c r="D10501" s="2" t="str">
        <f ca="1">IFERROR(__xludf.DUMMYFUNCTION("""COMPUTED_VALUE"""),"Dubai&gt;Al Karama&gt;Karama Shopping Complex&gt;Karama Shopping Complex - B")</f>
        <v>Dubai&gt;Al Karama&gt;Karama Shopping Complex&gt;Karama Shopping Complex - B</v>
      </c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  <c r="V10501" s="2"/>
      <c r="W10501" s="2"/>
      <c r="X10501" s="2"/>
      <c r="Y10501" s="2"/>
      <c r="Z10501" s="2"/>
    </row>
    <row r="10502" spans="1:26" ht="16.5" x14ac:dyDescent="0.35">
      <c r="A10502" s="2" t="str">
        <f ca="1">IFERROR(__xludf.DUMMYFUNCTION("""COMPUTED_VALUE"""),"Dubai")</f>
        <v>Dubai</v>
      </c>
      <c r="B10502" s="2" t="str">
        <f ca="1">IFERROR(__xludf.DUMMYFUNCTION("""COMPUTED_VALUE"""),"Sharaf DG Building Karama")</f>
        <v>Sharaf DG Building Karama</v>
      </c>
      <c r="C10502" s="2" t="str">
        <f ca="1">IFERROR(__xludf.DUMMYFUNCTION("""COMPUTED_VALUE"""),"Building")</f>
        <v>Building</v>
      </c>
      <c r="D10502" s="2" t="str">
        <f ca="1">IFERROR(__xludf.DUMMYFUNCTION("""COMPUTED_VALUE"""),"Dubai&gt;Al Karama&gt;Sharaf DG Building Karama")</f>
        <v>Dubai&gt;Al Karama&gt;Sharaf DG Building Karama</v>
      </c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  <c r="U10502" s="2"/>
      <c r="V10502" s="2"/>
      <c r="W10502" s="2"/>
      <c r="X10502" s="2"/>
      <c r="Y10502" s="2"/>
      <c r="Z10502" s="2"/>
    </row>
    <row r="10503" spans="1:26" ht="16.5" x14ac:dyDescent="0.35">
      <c r="A10503" s="2" t="str">
        <f ca="1">IFERROR(__xludf.DUMMYFUNCTION("""COMPUTED_VALUE"""),"Dubai")</f>
        <v>Dubai</v>
      </c>
      <c r="B10503" s="2" t="str">
        <f ca="1">IFERROR(__xludf.DUMMYFUNCTION("""COMPUTED_VALUE"""),"Al Mabrooka 1")</f>
        <v>Al Mabrooka 1</v>
      </c>
      <c r="C10503" s="2" t="str">
        <f ca="1">IFERROR(__xludf.DUMMYFUNCTION("""COMPUTED_VALUE"""),"Cluster")</f>
        <v>Cluster</v>
      </c>
      <c r="D10503" s="2" t="str">
        <f ca="1">IFERROR(__xludf.DUMMYFUNCTION("""COMPUTED_VALUE"""),"Dubai&gt;Al Karama&gt;Al Mabrooka 1")</f>
        <v>Dubai&gt;Al Karama&gt;Al Mabrooka 1</v>
      </c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  <c r="V10503" s="2"/>
      <c r="W10503" s="2"/>
      <c r="X10503" s="2"/>
      <c r="Y10503" s="2"/>
      <c r="Z10503" s="2"/>
    </row>
    <row r="10504" spans="1:26" ht="16.5" x14ac:dyDescent="0.35">
      <c r="A10504" s="2" t="str">
        <f ca="1">IFERROR(__xludf.DUMMYFUNCTION("""COMPUTED_VALUE"""),"Dubai")</f>
        <v>Dubai</v>
      </c>
      <c r="B10504" s="2" t="str">
        <f ca="1">IFERROR(__xludf.DUMMYFUNCTION("""COMPUTED_VALUE"""),"Al Durah Building")</f>
        <v>Al Durah Building</v>
      </c>
      <c r="C10504" s="2" t="str">
        <f ca="1">IFERROR(__xludf.DUMMYFUNCTION("""COMPUTED_VALUE"""),"Building")</f>
        <v>Building</v>
      </c>
      <c r="D10504" s="2" t="str">
        <f ca="1">IFERROR(__xludf.DUMMYFUNCTION("""COMPUTED_VALUE"""),"Dubai&gt;Al Karama&gt;Al Durah Building")</f>
        <v>Dubai&gt;Al Karama&gt;Al Durah Building</v>
      </c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  <c r="V10504" s="2"/>
      <c r="W10504" s="2"/>
      <c r="X10504" s="2"/>
      <c r="Y10504" s="2"/>
      <c r="Z10504" s="2"/>
    </row>
    <row r="10505" spans="1:26" ht="16.5" x14ac:dyDescent="0.35">
      <c r="A10505" s="2" t="str">
        <f ca="1">IFERROR(__xludf.DUMMYFUNCTION("""COMPUTED_VALUE"""),"Dubai")</f>
        <v>Dubai</v>
      </c>
      <c r="B10505" s="2" t="str">
        <f ca="1">IFERROR(__xludf.DUMMYFUNCTION("""COMPUTED_VALUE"""),"Al Kifaf 1")</f>
        <v>Al Kifaf 1</v>
      </c>
      <c r="C10505" s="2" t="str">
        <f ca="1">IFERROR(__xludf.DUMMYFUNCTION("""COMPUTED_VALUE"""),"Building")</f>
        <v>Building</v>
      </c>
      <c r="D10505" s="2" t="str">
        <f ca="1">IFERROR(__xludf.DUMMYFUNCTION("""COMPUTED_VALUE"""),"Dubai&gt;Al Karama&gt;Al Kifaf 1")</f>
        <v>Dubai&gt;Al Karama&gt;Al Kifaf 1</v>
      </c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  <c r="V10505" s="2"/>
      <c r="W10505" s="2"/>
      <c r="X10505" s="2"/>
      <c r="Y10505" s="2"/>
      <c r="Z10505" s="2"/>
    </row>
    <row r="10506" spans="1:26" ht="16.5" x14ac:dyDescent="0.35">
      <c r="A10506" s="2" t="str">
        <f ca="1">IFERROR(__xludf.DUMMYFUNCTION("""COMPUTED_VALUE"""),"Dubai")</f>
        <v>Dubai</v>
      </c>
      <c r="B10506" s="2" t="str">
        <f ca="1">IFERROR(__xludf.DUMMYFUNCTION("""COMPUTED_VALUE"""),"Al Shafar Bin Abdulah Building")</f>
        <v>Al Shafar Bin Abdulah Building</v>
      </c>
      <c r="C10506" s="2" t="str">
        <f ca="1">IFERROR(__xludf.DUMMYFUNCTION("""COMPUTED_VALUE"""),"Building")</f>
        <v>Building</v>
      </c>
      <c r="D10506" s="2" t="str">
        <f ca="1">IFERROR(__xludf.DUMMYFUNCTION("""COMPUTED_VALUE"""),"Dubai&gt;Al Karama&gt;Al Shafar Bin Abdulah Building")</f>
        <v>Dubai&gt;Al Karama&gt;Al Shafar Bin Abdulah Building</v>
      </c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  <c r="U10506" s="2"/>
      <c r="V10506" s="2"/>
      <c r="W10506" s="2"/>
      <c r="X10506" s="2"/>
      <c r="Y10506" s="2"/>
      <c r="Z10506" s="2"/>
    </row>
    <row r="10507" spans="1:26" ht="16.5" x14ac:dyDescent="0.35">
      <c r="A10507" s="2" t="str">
        <f ca="1">IFERROR(__xludf.DUMMYFUNCTION("""COMPUTED_VALUE"""),"Dubai")</f>
        <v>Dubai</v>
      </c>
      <c r="B10507" s="2" t="str">
        <f ca="1">IFERROR(__xludf.DUMMYFUNCTION("""COMPUTED_VALUE"""),"Al Kharbash")</f>
        <v>Al Kharbash</v>
      </c>
      <c r="C10507" s="2" t="str">
        <f ca="1">IFERROR(__xludf.DUMMYFUNCTION("""COMPUTED_VALUE"""),"Building")</f>
        <v>Building</v>
      </c>
      <c r="D10507" s="2" t="str">
        <f ca="1">IFERROR(__xludf.DUMMYFUNCTION("""COMPUTED_VALUE"""),"Dubai&gt;Al Karama&gt;Al Kharbash")</f>
        <v>Dubai&gt;Al Karama&gt;Al Kharbash</v>
      </c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  <c r="V10507" s="2"/>
      <c r="W10507" s="2"/>
      <c r="X10507" s="2"/>
      <c r="Y10507" s="2"/>
      <c r="Z10507" s="2"/>
    </row>
    <row r="10508" spans="1:26" ht="16.5" x14ac:dyDescent="0.35">
      <c r="A10508" s="2" t="str">
        <f ca="1">IFERROR(__xludf.DUMMYFUNCTION("""COMPUTED_VALUE"""),"Dubai")</f>
        <v>Dubai</v>
      </c>
      <c r="B10508" s="2" t="str">
        <f ca="1">IFERROR(__xludf.DUMMYFUNCTION("""COMPUTED_VALUE"""),"Al Wasl R366 Block B")</f>
        <v>Al Wasl R366 Block B</v>
      </c>
      <c r="C10508" s="2" t="str">
        <f ca="1">IFERROR(__xludf.DUMMYFUNCTION("""COMPUTED_VALUE"""),"Building")</f>
        <v>Building</v>
      </c>
      <c r="D10508" s="2" t="str">
        <f ca="1">IFERROR(__xludf.DUMMYFUNCTION("""COMPUTED_VALUE"""),"Dubai&gt;Al Karama&gt;Al Wasl R366 Block B")</f>
        <v>Dubai&gt;Al Karama&gt;Al Wasl R366 Block B</v>
      </c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  <c r="V10508" s="2"/>
      <c r="W10508" s="2"/>
      <c r="X10508" s="2"/>
      <c r="Y10508" s="2"/>
      <c r="Z10508" s="2"/>
    </row>
    <row r="10509" spans="1:26" ht="16.5" x14ac:dyDescent="0.35">
      <c r="A10509" s="2" t="str">
        <f ca="1">IFERROR(__xludf.DUMMYFUNCTION("""COMPUTED_VALUE"""),"Dubai")</f>
        <v>Dubai</v>
      </c>
      <c r="B10509" s="2" t="str">
        <f ca="1">IFERROR(__xludf.DUMMYFUNCTION("""COMPUTED_VALUE"""),"Al Wasl Building R341")</f>
        <v>Al Wasl Building R341</v>
      </c>
      <c r="C10509" s="2" t="str">
        <f ca="1">IFERROR(__xludf.DUMMYFUNCTION("""COMPUTED_VALUE"""),"Building")</f>
        <v>Building</v>
      </c>
      <c r="D10509" s="2" t="str">
        <f ca="1">IFERROR(__xludf.DUMMYFUNCTION("""COMPUTED_VALUE"""),"Dubai&gt;Al Karama&gt;Al Wasl Building R341")</f>
        <v>Dubai&gt;Al Karama&gt;Al Wasl Building R341</v>
      </c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  <c r="U10509" s="2"/>
      <c r="V10509" s="2"/>
      <c r="W10509" s="2"/>
      <c r="X10509" s="2"/>
      <c r="Y10509" s="2"/>
      <c r="Z10509" s="2"/>
    </row>
    <row r="10510" spans="1:26" ht="16.5" x14ac:dyDescent="0.35">
      <c r="A10510" s="2" t="str">
        <f ca="1">IFERROR(__xludf.DUMMYFUNCTION("""COMPUTED_VALUE"""),"Dubai")</f>
        <v>Dubai</v>
      </c>
      <c r="B10510" s="2" t="str">
        <f ca="1">IFERROR(__xludf.DUMMYFUNCTION("""COMPUTED_VALUE"""),"Grayton House")</f>
        <v>Grayton House</v>
      </c>
      <c r="C10510" s="2" t="str">
        <f ca="1">IFERROR(__xludf.DUMMYFUNCTION("""COMPUTED_VALUE"""),"Building")</f>
        <v>Building</v>
      </c>
      <c r="D10510" s="2" t="str">
        <f ca="1">IFERROR(__xludf.DUMMYFUNCTION("""COMPUTED_VALUE"""),"Dubai&gt;Culture Village (Jaddaf Waterfront)&gt;Grayton House")</f>
        <v>Dubai&gt;Culture Village (Jaddaf Waterfront)&gt;Grayton House</v>
      </c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  <c r="V10510" s="2"/>
      <c r="W10510" s="2"/>
      <c r="X10510" s="2"/>
      <c r="Y10510" s="2"/>
      <c r="Z10510" s="2"/>
    </row>
    <row r="10511" spans="1:26" ht="16.5" x14ac:dyDescent="0.35">
      <c r="A10511" s="2" t="str">
        <f ca="1">IFERROR(__xludf.DUMMYFUNCTION("""COMPUTED_VALUE"""),"Dubai")</f>
        <v>Dubai</v>
      </c>
      <c r="B10511" s="2" t="str">
        <f ca="1">IFERROR(__xludf.DUMMYFUNCTION("""COMPUTED_VALUE"""),"Lumiere Heights")</f>
        <v>Lumiere Heights</v>
      </c>
      <c r="C10511" s="2" t="str">
        <f ca="1">IFERROR(__xludf.DUMMYFUNCTION("""COMPUTED_VALUE"""),"Building")</f>
        <v>Building</v>
      </c>
      <c r="D10511" s="2" t="str">
        <f ca="1">IFERROR(__xludf.DUMMYFUNCTION("""COMPUTED_VALUE"""),"Dubai&gt;Culture Village (Jaddaf Waterfront)&gt;Lumiere Heights")</f>
        <v>Dubai&gt;Culture Village (Jaddaf Waterfront)&gt;Lumiere Heights</v>
      </c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  <c r="V10511" s="2"/>
      <c r="W10511" s="2"/>
      <c r="X10511" s="2"/>
      <c r="Y10511" s="2"/>
      <c r="Z10511" s="2"/>
    </row>
    <row r="10512" spans="1:26" ht="16.5" x14ac:dyDescent="0.35">
      <c r="A10512" s="2" t="str">
        <f ca="1">IFERROR(__xludf.DUMMYFUNCTION("""COMPUTED_VALUE"""),"Dubai")</f>
        <v>Dubai</v>
      </c>
      <c r="B10512" s="2" t="str">
        <f ca="1">IFERROR(__xludf.DUMMYFUNCTION("""COMPUTED_VALUE"""),"Rahaal Building 1")</f>
        <v>Rahaal Building 1</v>
      </c>
      <c r="C10512" s="2" t="str">
        <f ca="1">IFERROR(__xludf.DUMMYFUNCTION("""COMPUTED_VALUE"""),"Building")</f>
        <v>Building</v>
      </c>
      <c r="D10512" s="2" t="str">
        <f ca="1">IFERROR(__xludf.DUMMYFUNCTION("""COMPUTED_VALUE"""),"Dubai&gt;Umm Suqeim&gt;Madinat Jumeirah Living&gt;Rahaal&gt;Rahaal Building 1")</f>
        <v>Dubai&gt;Umm Suqeim&gt;Madinat Jumeirah Living&gt;Rahaal&gt;Rahaal Building 1</v>
      </c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  <c r="U10512" s="2"/>
      <c r="V10512" s="2"/>
      <c r="W10512" s="2"/>
      <c r="X10512" s="2"/>
      <c r="Y10512" s="2"/>
      <c r="Z10512" s="2"/>
    </row>
    <row r="10513" spans="1:26" ht="16.5" x14ac:dyDescent="0.35">
      <c r="A10513" s="2" t="str">
        <f ca="1">IFERROR(__xludf.DUMMYFUNCTION("""COMPUTED_VALUE"""),"Dubai")</f>
        <v>Dubai</v>
      </c>
      <c r="B10513" s="2" t="str">
        <f ca="1">IFERROR(__xludf.DUMMYFUNCTION("""COMPUTED_VALUE"""),"Riwa")</f>
        <v>Riwa</v>
      </c>
      <c r="C10513" s="2" t="str">
        <f ca="1">IFERROR(__xludf.DUMMYFUNCTION("""COMPUTED_VALUE"""),"Cluster")</f>
        <v>Cluster</v>
      </c>
      <c r="D10513" s="2" t="str">
        <f ca="1">IFERROR(__xludf.DUMMYFUNCTION("""COMPUTED_VALUE"""),"Dubai&gt;Umm Suqeim&gt;Madinat Jumeirah Living&gt;Riwa")</f>
        <v>Dubai&gt;Umm Suqeim&gt;Madinat Jumeirah Living&gt;Riwa</v>
      </c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  <c r="V10513" s="2"/>
      <c r="W10513" s="2"/>
      <c r="X10513" s="2"/>
      <c r="Y10513" s="2"/>
      <c r="Z10513" s="2"/>
    </row>
    <row r="10514" spans="1:26" ht="16.5" x14ac:dyDescent="0.35">
      <c r="A10514" s="2" t="str">
        <f ca="1">IFERROR(__xludf.DUMMYFUNCTION("""COMPUTED_VALUE"""),"Dubai")</f>
        <v>Dubai</v>
      </c>
      <c r="B10514" s="2" t="str">
        <f ca="1">IFERROR(__xludf.DUMMYFUNCTION("""COMPUTED_VALUE"""),"City of Arabia")</f>
        <v>City of Arabia</v>
      </c>
      <c r="C10514" s="2" t="str">
        <f ca="1">IFERROR(__xludf.DUMMYFUNCTION("""COMPUTED_VALUE"""),"Neighbourhood")</f>
        <v>Neighbourhood</v>
      </c>
      <c r="D10514" s="2" t="str">
        <f ca="1">IFERROR(__xludf.DUMMYFUNCTION("""COMPUTED_VALUE"""),"Dubai&gt;City of Arabia")</f>
        <v>Dubai&gt;City of Arabia</v>
      </c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  <c r="V10514" s="2"/>
      <c r="W10514" s="2"/>
      <c r="X10514" s="2"/>
      <c r="Y10514" s="2"/>
      <c r="Z10514" s="2"/>
    </row>
    <row r="10515" spans="1:26" ht="16.5" x14ac:dyDescent="0.35">
      <c r="A10515" s="2" t="str">
        <f ca="1">IFERROR(__xludf.DUMMYFUNCTION("""COMPUTED_VALUE"""),"Dubai")</f>
        <v>Dubai</v>
      </c>
      <c r="B10515" s="2" t="str">
        <f ca="1">IFERROR(__xludf.DUMMYFUNCTION("""COMPUTED_VALUE"""),"Fikri Building")</f>
        <v>Fikri Building</v>
      </c>
      <c r="C10515" s="2" t="str">
        <f ca="1">IFERROR(__xludf.DUMMYFUNCTION("""COMPUTED_VALUE"""),"Building")</f>
        <v>Building</v>
      </c>
      <c r="D10515" s="2" t="str">
        <f ca="1">IFERROR(__xludf.DUMMYFUNCTION("""COMPUTED_VALUE"""),"Dubai&gt;Al Badaa&gt;Fikri Building")</f>
        <v>Dubai&gt;Al Badaa&gt;Fikri Building</v>
      </c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  <c r="V10515" s="2"/>
      <c r="W10515" s="2"/>
      <c r="X10515" s="2"/>
      <c r="Y10515" s="2"/>
      <c r="Z10515" s="2"/>
    </row>
    <row r="10516" spans="1:26" ht="16.5" x14ac:dyDescent="0.35">
      <c r="A10516" s="2" t="str">
        <f ca="1">IFERROR(__xludf.DUMMYFUNCTION("""COMPUTED_VALUE"""),"Dubai")</f>
        <v>Dubai</v>
      </c>
      <c r="B10516" s="2" t="str">
        <f ca="1">IFERROR(__xludf.DUMMYFUNCTION("""COMPUTED_VALUE"""),"Maryam Building")</f>
        <v>Maryam Building</v>
      </c>
      <c r="C10516" s="2" t="str">
        <f ca="1">IFERROR(__xludf.DUMMYFUNCTION("""COMPUTED_VALUE"""),"Building")</f>
        <v>Building</v>
      </c>
      <c r="D10516" s="2" t="str">
        <f ca="1">IFERROR(__xludf.DUMMYFUNCTION("""COMPUTED_VALUE"""),"Dubai&gt;Al Badaa&gt;Maryam Building")</f>
        <v>Dubai&gt;Al Badaa&gt;Maryam Building</v>
      </c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  <c r="U10516" s="2"/>
      <c r="V10516" s="2"/>
      <c r="W10516" s="2"/>
      <c r="X10516" s="2"/>
      <c r="Y10516" s="2"/>
      <c r="Z10516" s="2"/>
    </row>
    <row r="10517" spans="1:26" ht="16.5" x14ac:dyDescent="0.35">
      <c r="A10517" s="2" t="str">
        <f ca="1">IFERROR(__xludf.DUMMYFUNCTION("""COMPUTED_VALUE"""),"Dubai")</f>
        <v>Dubai</v>
      </c>
      <c r="B10517" s="2" t="str">
        <f ca="1">IFERROR(__xludf.DUMMYFUNCTION("""COMPUTED_VALUE"""),"Alphabet Street Nursery")</f>
        <v>Alphabet Street Nursery</v>
      </c>
      <c r="C10517" s="2" t="str">
        <f ca="1">IFERROR(__xludf.DUMMYFUNCTION("""COMPUTED_VALUE"""),"Nursery")</f>
        <v>Nursery</v>
      </c>
      <c r="D10517" s="2" t="str">
        <f ca="1">IFERROR(__xludf.DUMMYFUNCTION("""COMPUTED_VALUE"""),"Dubai&gt;Al Manara&gt;Alphabet Street Nursery")</f>
        <v>Dubai&gt;Al Manara&gt;Alphabet Street Nursery</v>
      </c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  <c r="V10517" s="2"/>
      <c r="W10517" s="2"/>
      <c r="X10517" s="2"/>
      <c r="Y10517" s="2"/>
      <c r="Z10517" s="2"/>
    </row>
    <row r="10518" spans="1:26" ht="16.5" x14ac:dyDescent="0.35">
      <c r="A10518" s="2" t="str">
        <f ca="1">IFERROR(__xludf.DUMMYFUNCTION("""COMPUTED_VALUE"""),"Dubai")</f>
        <v>Dubai</v>
      </c>
      <c r="B10518" s="2" t="str">
        <f ca="1">IFERROR(__xludf.DUMMYFUNCTION("""COMPUTED_VALUE"""),"The Myriad")</f>
        <v>The Myriad</v>
      </c>
      <c r="C10518" s="2" t="str">
        <f ca="1">IFERROR(__xludf.DUMMYFUNCTION("""COMPUTED_VALUE"""),"Building")</f>
        <v>Building</v>
      </c>
      <c r="D10518" s="2" t="str">
        <f ca="1">IFERROR(__xludf.DUMMYFUNCTION("""COMPUTED_VALUE"""),"Dubai&gt;Academic City&gt;The Myriad")</f>
        <v>Dubai&gt;Academic City&gt;The Myriad</v>
      </c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  <c r="V10518" s="2"/>
      <c r="W10518" s="2"/>
      <c r="X10518" s="2"/>
      <c r="Y10518" s="2"/>
      <c r="Z10518" s="2"/>
    </row>
    <row r="10519" spans="1:26" ht="16.5" x14ac:dyDescent="0.35">
      <c r="A10519" s="2" t="str">
        <f ca="1">IFERROR(__xludf.DUMMYFUNCTION("""COMPUTED_VALUE"""),"Dubai")</f>
        <v>Dubai</v>
      </c>
      <c r="B10519" s="2" t="str">
        <f ca="1">IFERROR(__xludf.DUMMYFUNCTION("""COMPUTED_VALUE"""),"Building 3")</f>
        <v>Building 3</v>
      </c>
      <c r="C10519" s="2" t="str">
        <f ca="1">IFERROR(__xludf.DUMMYFUNCTION("""COMPUTED_VALUE"""),"Building")</f>
        <v>Building</v>
      </c>
      <c r="D10519" s="2" t="str">
        <f ca="1">IFERROR(__xludf.DUMMYFUNCTION("""COMPUTED_VALUE"""),"Dubai&gt;Dubai Design District&gt;Building 3")</f>
        <v>Dubai&gt;Dubai Design District&gt;Building 3</v>
      </c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  <c r="V10519" s="2"/>
      <c r="W10519" s="2"/>
      <c r="X10519" s="2"/>
      <c r="Y10519" s="2"/>
      <c r="Z10519" s="2"/>
    </row>
    <row r="10520" spans="1:26" ht="16.5" x14ac:dyDescent="0.35">
      <c r="A10520" s="2" t="str">
        <f ca="1">IFERROR(__xludf.DUMMYFUNCTION("""COMPUTED_VALUE"""),"Dubai")</f>
        <v>Dubai</v>
      </c>
      <c r="B10520" s="2" t="str">
        <f ca="1">IFERROR(__xludf.DUMMYFUNCTION("""COMPUTED_VALUE"""),"Al Wasl Block D")</f>
        <v>Al Wasl Block D</v>
      </c>
      <c r="C10520" s="2" t="str">
        <f ca="1">IFERROR(__xludf.DUMMYFUNCTION("""COMPUTED_VALUE"""),"Building")</f>
        <v>Building</v>
      </c>
      <c r="D10520" s="2" t="str">
        <f ca="1">IFERROR(__xludf.DUMMYFUNCTION("""COMPUTED_VALUE"""),"Dubai&gt;Al Hudaiba&gt;Al Wasl Block D")</f>
        <v>Dubai&gt;Al Hudaiba&gt;Al Wasl Block D</v>
      </c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  <c r="V10520" s="2"/>
      <c r="W10520" s="2"/>
      <c r="X10520" s="2"/>
      <c r="Y10520" s="2"/>
      <c r="Z10520" s="2"/>
    </row>
    <row r="10521" spans="1:26" ht="16.5" x14ac:dyDescent="0.35">
      <c r="A10521" s="2" t="str">
        <f ca="1">IFERROR(__xludf.DUMMYFUNCTION("""COMPUTED_VALUE"""),"Dubai")</f>
        <v>Dubai</v>
      </c>
      <c r="B10521" s="2" t="str">
        <f ca="1">IFERROR(__xludf.DUMMYFUNCTION("""COMPUTED_VALUE"""),"Al Dyafa Building")</f>
        <v>Al Dyafa Building</v>
      </c>
      <c r="C10521" s="2" t="str">
        <f ca="1">IFERROR(__xludf.DUMMYFUNCTION("""COMPUTED_VALUE"""),"Building")</f>
        <v>Building</v>
      </c>
      <c r="D10521" s="2" t="str">
        <f ca="1">IFERROR(__xludf.DUMMYFUNCTION("""COMPUTED_VALUE"""),"Dubai&gt;Al Hudaiba&gt;Al Dyafa Building")</f>
        <v>Dubai&gt;Al Hudaiba&gt;Al Dyafa Building</v>
      </c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  <c r="U10521" s="2"/>
      <c r="V10521" s="2"/>
      <c r="W10521" s="2"/>
      <c r="X10521" s="2"/>
      <c r="Y10521" s="2"/>
      <c r="Z10521" s="2"/>
    </row>
    <row r="10522" spans="1:26" ht="16.5" x14ac:dyDescent="0.35">
      <c r="A10522" s="2" t="str">
        <f ca="1">IFERROR(__xludf.DUMMYFUNCTION("""COMPUTED_VALUE"""),"Dubai")</f>
        <v>Dubai</v>
      </c>
      <c r="B10522" s="2" t="str">
        <f ca="1">IFERROR(__xludf.DUMMYFUNCTION("""COMPUTED_VALUE"""),"Al Wasl House")</f>
        <v>Al Wasl House</v>
      </c>
      <c r="C10522" s="2" t="str">
        <f ca="1">IFERROR(__xludf.DUMMYFUNCTION("""COMPUTED_VALUE"""),"Building")</f>
        <v>Building</v>
      </c>
      <c r="D10522" s="2" t="str">
        <f ca="1">IFERROR(__xludf.DUMMYFUNCTION("""COMPUTED_VALUE"""),"Dubai&gt;Jumeirah&gt;Jumeirah 1&gt;Al Wasl House")</f>
        <v>Dubai&gt;Jumeirah&gt;Jumeirah 1&gt;Al Wasl House</v>
      </c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  <c r="V10522" s="2"/>
      <c r="W10522" s="2"/>
      <c r="X10522" s="2"/>
      <c r="Y10522" s="2"/>
      <c r="Z10522" s="2"/>
    </row>
    <row r="10523" spans="1:26" ht="16.5" x14ac:dyDescent="0.35">
      <c r="A10523" s="2" t="str">
        <f ca="1">IFERROR(__xludf.DUMMYFUNCTION("""COMPUTED_VALUE"""),"Dubai")</f>
        <v>Dubai</v>
      </c>
      <c r="B10523" s="2" t="str">
        <f ca="1">IFERROR(__xludf.DUMMYFUNCTION("""COMPUTED_VALUE"""),"The Rings")</f>
        <v>The Rings</v>
      </c>
      <c r="C10523" s="2" t="str">
        <f ca="1">IFERROR(__xludf.DUMMYFUNCTION("""COMPUTED_VALUE"""),"Building")</f>
        <v>Building</v>
      </c>
      <c r="D10523" s="2" t="str">
        <f ca="1">IFERROR(__xludf.DUMMYFUNCTION("""COMPUTED_VALUE"""),"Dubai&gt;Jumeirah&gt;Jumeirah 2&gt;The Rings")</f>
        <v>Dubai&gt;Jumeirah&gt;Jumeirah 2&gt;The Rings</v>
      </c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  <c r="U10523" s="2"/>
      <c r="V10523" s="2"/>
      <c r="W10523" s="2"/>
      <c r="X10523" s="2"/>
      <c r="Y10523" s="2"/>
      <c r="Z10523" s="2"/>
    </row>
    <row r="10524" spans="1:26" ht="16.5" x14ac:dyDescent="0.35">
      <c r="A10524" s="2" t="str">
        <f ca="1">IFERROR(__xludf.DUMMYFUNCTION("""COMPUTED_VALUE"""),"Dubai")</f>
        <v>Dubai</v>
      </c>
      <c r="B10524" s="2" t="str">
        <f ca="1">IFERROR(__xludf.DUMMYFUNCTION("""COMPUTED_VALUE"""),"La Sirene Tower 2")</f>
        <v>La Sirene Tower 2</v>
      </c>
      <c r="C10524" s="2" t="str">
        <f ca="1">IFERROR(__xludf.DUMMYFUNCTION("""COMPUTED_VALUE"""),"Building")</f>
        <v>Building</v>
      </c>
      <c r="D10524" s="2" t="str">
        <f ca="1">IFERROR(__xludf.DUMMYFUNCTION("""COMPUTED_VALUE"""),"Dubai&gt;Jumeirah&gt;La Mer&gt;Port de La Mer&gt;La Sirene&gt;La Sirene Tower 2")</f>
        <v>Dubai&gt;Jumeirah&gt;La Mer&gt;Port de La Mer&gt;La Sirene&gt;La Sirene Tower 2</v>
      </c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  <c r="V10524" s="2"/>
      <c r="W10524" s="2"/>
      <c r="X10524" s="2"/>
      <c r="Y10524" s="2"/>
      <c r="Z10524" s="2"/>
    </row>
    <row r="10525" spans="1:26" ht="16.5" x14ac:dyDescent="0.35">
      <c r="A10525" s="2" t="str">
        <f ca="1">IFERROR(__xludf.DUMMYFUNCTION("""COMPUTED_VALUE"""),"Dubai")</f>
        <v>Dubai</v>
      </c>
      <c r="B10525" s="2" t="str">
        <f ca="1">IFERROR(__xludf.DUMMYFUNCTION("""COMPUTED_VALUE"""),"Harbour Views 1")</f>
        <v>Harbour Views 1</v>
      </c>
      <c r="C10525" s="2" t="str">
        <f ca="1">IFERROR(__xludf.DUMMYFUNCTION("""COMPUTED_VALUE"""),"Building")</f>
        <v>Building</v>
      </c>
      <c r="D10525" s="2" t="str">
        <f ca="1">IFERROR(__xludf.DUMMYFUNCTION("""COMPUTED_VALUE"""),"Dubai&gt;Dubai Creek Harbour&gt;Harbour Views&gt;Harbour Views 1")</f>
        <v>Dubai&gt;Dubai Creek Harbour&gt;Harbour Views&gt;Harbour Views 1</v>
      </c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  <c r="V10525" s="2"/>
      <c r="W10525" s="2"/>
      <c r="X10525" s="2"/>
      <c r="Y10525" s="2"/>
      <c r="Z10525" s="2"/>
    </row>
    <row r="10526" spans="1:26" ht="16.5" x14ac:dyDescent="0.35">
      <c r="A10526" s="2" t="str">
        <f ca="1">IFERROR(__xludf.DUMMYFUNCTION("""COMPUTED_VALUE"""),"Dubai")</f>
        <v>Dubai</v>
      </c>
      <c r="B10526" s="2" t="str">
        <f ca="1">IFERROR(__xludf.DUMMYFUNCTION("""COMPUTED_VALUE"""),"Sunset 1")</f>
        <v>Sunset 1</v>
      </c>
      <c r="C10526" s="2" t="str">
        <f ca="1">IFERROR(__xludf.DUMMYFUNCTION("""COMPUTED_VALUE"""),"Building")</f>
        <v>Building</v>
      </c>
      <c r="D10526" s="2" t="str">
        <f ca="1">IFERROR(__xludf.DUMMYFUNCTION("""COMPUTED_VALUE"""),"Dubai&gt;Dubai Creek Harbour&gt;Sunset at Creek Beach&gt;Sunset 1")</f>
        <v>Dubai&gt;Dubai Creek Harbour&gt;Sunset at Creek Beach&gt;Sunset 1</v>
      </c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  <c r="V10526" s="2"/>
      <c r="W10526" s="2"/>
      <c r="X10526" s="2"/>
      <c r="Y10526" s="2"/>
      <c r="Z10526" s="2"/>
    </row>
    <row r="10527" spans="1:26" ht="16.5" x14ac:dyDescent="0.35">
      <c r="A10527" s="2" t="str">
        <f ca="1">IFERROR(__xludf.DUMMYFUNCTION("""COMPUTED_VALUE"""),"Dubai")</f>
        <v>Dubai</v>
      </c>
      <c r="B10527" s="2" t="str">
        <f ca="1">IFERROR(__xludf.DUMMYFUNCTION("""COMPUTED_VALUE"""),"Rosewater at Creek Beach Building 3")</f>
        <v>Rosewater at Creek Beach Building 3</v>
      </c>
      <c r="C10527" s="2" t="str">
        <f ca="1">IFERROR(__xludf.DUMMYFUNCTION("""COMPUTED_VALUE"""),"Building")</f>
        <v>Building</v>
      </c>
      <c r="D10527" s="2" t="str">
        <f ca="1">IFERROR(__xludf.DUMMYFUNCTION("""COMPUTED_VALUE"""),"Dubai&gt;Dubai Creek Harbour&gt;Rosewater at Creek Beach&gt;Rosewater at Creek Beach Building 3")</f>
        <v>Dubai&gt;Dubai Creek Harbour&gt;Rosewater at Creek Beach&gt;Rosewater at Creek Beach Building 3</v>
      </c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  <c r="U10527" s="2"/>
      <c r="V10527" s="2"/>
      <c r="W10527" s="2"/>
      <c r="X10527" s="2"/>
      <c r="Y10527" s="2"/>
      <c r="Z10527" s="2"/>
    </row>
    <row r="10528" spans="1:26" ht="16.5" x14ac:dyDescent="0.35">
      <c r="A10528" s="2" t="str">
        <f ca="1">IFERROR(__xludf.DUMMYFUNCTION("""COMPUTED_VALUE"""),"Dubai")</f>
        <v>Dubai</v>
      </c>
      <c r="B10528" s="2" t="str">
        <f ca="1">IFERROR(__xludf.DUMMYFUNCTION("""COMPUTED_VALUE"""),"Cedar at Creek Beach Building 1")</f>
        <v>Cedar at Creek Beach Building 1</v>
      </c>
      <c r="C10528" s="2" t="str">
        <f ca="1">IFERROR(__xludf.DUMMYFUNCTION("""COMPUTED_VALUE"""),"Building")</f>
        <v>Building</v>
      </c>
      <c r="D10528" s="2" t="str">
        <f ca="1">IFERROR(__xludf.DUMMYFUNCTION("""COMPUTED_VALUE"""),"Dubai&gt;Dubai Creek Harbour&gt;Cedar at Creek Beach&gt;Cedar at Creek Beach Building 1")</f>
        <v>Dubai&gt;Dubai Creek Harbour&gt;Cedar at Creek Beach&gt;Cedar at Creek Beach Building 1</v>
      </c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  <c r="V10528" s="2"/>
      <c r="W10528" s="2"/>
      <c r="X10528" s="2"/>
      <c r="Y10528" s="2"/>
      <c r="Z10528" s="2"/>
    </row>
    <row r="10529" spans="1:26" ht="16.5" x14ac:dyDescent="0.35">
      <c r="A10529" s="2" t="str">
        <f ca="1">IFERROR(__xludf.DUMMYFUNCTION("""COMPUTED_VALUE"""),"Dubai")</f>
        <v>Dubai</v>
      </c>
      <c r="B10529" s="2" t="str">
        <f ca="1">IFERROR(__xludf.DUMMYFUNCTION("""COMPUTED_VALUE"""),"Altus Tower 2")</f>
        <v>Altus Tower 2</v>
      </c>
      <c r="C10529" s="2" t="str">
        <f ca="1">IFERROR(__xludf.DUMMYFUNCTION("""COMPUTED_VALUE"""),"Building")</f>
        <v>Building</v>
      </c>
      <c r="D10529" s="2" t="str">
        <f ca="1">IFERROR(__xludf.DUMMYFUNCTION("""COMPUTED_VALUE"""),"Dubai&gt;Dubai Creek Harbour&gt;Altus&gt;Altus Tower 2")</f>
        <v>Dubai&gt;Dubai Creek Harbour&gt;Altus&gt;Altus Tower 2</v>
      </c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  <c r="V10529" s="2"/>
      <c r="W10529" s="2"/>
      <c r="X10529" s="2"/>
      <c r="Y10529" s="2"/>
      <c r="Z10529" s="2"/>
    </row>
    <row r="10530" spans="1:26" ht="16.5" x14ac:dyDescent="0.35">
      <c r="A10530" s="2" t="str">
        <f ca="1">IFERROR(__xludf.DUMMYFUNCTION("""COMPUTED_VALUE"""),"Dubai")</f>
        <v>Dubai</v>
      </c>
      <c r="B10530" s="2" t="str">
        <f ca="1">IFERROR(__xludf.DUMMYFUNCTION("""COMPUTED_VALUE"""),"MiNC Apartments")</f>
        <v>MiNC Apartments</v>
      </c>
      <c r="C10530" s="2" t="str">
        <f ca="1">IFERROR(__xludf.DUMMYFUNCTION("""COMPUTED_VALUE"""),"Building")</f>
        <v>Building</v>
      </c>
      <c r="D10530" s="2" t="str">
        <f ca="1">IFERROR(__xludf.DUMMYFUNCTION("""COMPUTED_VALUE"""),"Dubai&gt;Barsha Heights (Tecom)&gt;MiNC Apartments")</f>
        <v>Dubai&gt;Barsha Heights (Tecom)&gt;MiNC Apartments</v>
      </c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  <c r="U10530" s="2"/>
      <c r="V10530" s="2"/>
      <c r="W10530" s="2"/>
      <c r="X10530" s="2"/>
      <c r="Y10530" s="2"/>
      <c r="Z10530" s="2"/>
    </row>
    <row r="10531" spans="1:26" ht="16.5" x14ac:dyDescent="0.35">
      <c r="A10531" s="2" t="str">
        <f ca="1">IFERROR(__xludf.DUMMYFUNCTION("""COMPUTED_VALUE"""),"Dubai")</f>
        <v>Dubai</v>
      </c>
      <c r="B10531" s="2" t="str">
        <f ca="1">IFERROR(__xludf.DUMMYFUNCTION("""COMPUTED_VALUE"""),"API Tecom Residency")</f>
        <v>API Tecom Residency</v>
      </c>
      <c r="C10531" s="2" t="str">
        <f ca="1">IFERROR(__xludf.DUMMYFUNCTION("""COMPUTED_VALUE"""),"Building")</f>
        <v>Building</v>
      </c>
      <c r="D10531" s="2" t="str">
        <f ca="1">IFERROR(__xludf.DUMMYFUNCTION("""COMPUTED_VALUE"""),"Dubai&gt;Barsha Heights (Tecom)&gt;API Tecom Residency")</f>
        <v>Dubai&gt;Barsha Heights (Tecom)&gt;API Tecom Residency</v>
      </c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  <c r="V10531" s="2"/>
      <c r="W10531" s="2"/>
      <c r="X10531" s="2"/>
      <c r="Y10531" s="2"/>
      <c r="Z10531" s="2"/>
    </row>
    <row r="10532" spans="1:26" ht="16.5" x14ac:dyDescent="0.35">
      <c r="A10532" s="2" t="str">
        <f ca="1">IFERROR(__xludf.DUMMYFUNCTION("""COMPUTED_VALUE"""),"Dubai")</f>
        <v>Dubai</v>
      </c>
      <c r="B10532" s="2" t="str">
        <f ca="1">IFERROR(__xludf.DUMMYFUNCTION("""COMPUTED_VALUE"""),"Grand Millennium Hotel")</f>
        <v>Grand Millennium Hotel</v>
      </c>
      <c r="C10532" s="2" t="str">
        <f ca="1">IFERROR(__xludf.DUMMYFUNCTION("""COMPUTED_VALUE"""),"Building")</f>
        <v>Building</v>
      </c>
      <c r="D10532" s="2" t="str">
        <f ca="1">IFERROR(__xludf.DUMMYFUNCTION("""COMPUTED_VALUE"""),"Dubai&gt;Barsha Heights (Tecom)&gt;Grand Millennium Hotel")</f>
        <v>Dubai&gt;Barsha Heights (Tecom)&gt;Grand Millennium Hotel</v>
      </c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  <c r="V10532" s="2"/>
      <c r="W10532" s="2"/>
      <c r="X10532" s="2"/>
      <c r="Y10532" s="2"/>
      <c r="Z10532" s="2"/>
    </row>
    <row r="10533" spans="1:26" ht="16.5" x14ac:dyDescent="0.35">
      <c r="A10533" s="2" t="str">
        <f ca="1">IFERROR(__xludf.DUMMYFUNCTION("""COMPUTED_VALUE"""),"Dubai")</f>
        <v>Dubai</v>
      </c>
      <c r="B10533" s="2" t="str">
        <f ca="1">IFERROR(__xludf.DUMMYFUNCTION("""COMPUTED_VALUE"""),"Icon Tower")</f>
        <v>Icon Tower</v>
      </c>
      <c r="C10533" s="2" t="str">
        <f ca="1">IFERROR(__xludf.DUMMYFUNCTION("""COMPUTED_VALUE"""),"Building")</f>
        <v>Building</v>
      </c>
      <c r="D10533" s="2" t="str">
        <f ca="1">IFERROR(__xludf.DUMMYFUNCTION("""COMPUTED_VALUE"""),"Dubai&gt;Barsha Heights (Tecom)&gt;Icon Tower")</f>
        <v>Dubai&gt;Barsha Heights (Tecom)&gt;Icon Tower</v>
      </c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  <c r="V10533" s="2"/>
      <c r="W10533" s="2"/>
      <c r="X10533" s="2"/>
      <c r="Y10533" s="2"/>
      <c r="Z10533" s="2"/>
    </row>
    <row r="10534" spans="1:26" ht="16.5" x14ac:dyDescent="0.35">
      <c r="A10534" s="2" t="str">
        <f ca="1">IFERROR(__xludf.DUMMYFUNCTION("""COMPUTED_VALUE"""),"Dubai")</f>
        <v>Dubai</v>
      </c>
      <c r="B10534" s="2" t="str">
        <f ca="1">IFERROR(__xludf.DUMMYFUNCTION("""COMPUTED_VALUE"""),"Terraced Apartment 3A")</f>
        <v>Terraced Apartment 3A</v>
      </c>
      <c r="C10534" s="2" t="str">
        <f ca="1">IFERROR(__xludf.DUMMYFUNCTION("""COMPUTED_VALUE"""),"Building")</f>
        <v>Building</v>
      </c>
      <c r="D10534" s="2" t="str">
        <f ca="1">IFERROR(__xludf.DUMMYFUNCTION("""COMPUTED_VALUE"""),"Dubai&gt;Motor City&gt;Green Community (Motor City)&gt;Terraced Apartments&gt;Terraced Apartment 3A")</f>
        <v>Dubai&gt;Motor City&gt;Green Community (Motor City)&gt;Terraced Apartments&gt;Terraced Apartment 3A</v>
      </c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  <c r="U10534" s="2"/>
      <c r="V10534" s="2"/>
      <c r="W10534" s="2"/>
      <c r="X10534" s="2"/>
      <c r="Y10534" s="2"/>
      <c r="Z10534" s="2"/>
    </row>
    <row r="10535" spans="1:26" ht="16.5" x14ac:dyDescent="0.35">
      <c r="A10535" s="2" t="str">
        <f ca="1">IFERROR(__xludf.DUMMYFUNCTION("""COMPUTED_VALUE"""),"Dubai")</f>
        <v>Dubai</v>
      </c>
      <c r="B10535" s="2" t="str">
        <f ca="1">IFERROR(__xludf.DUMMYFUNCTION("""COMPUTED_VALUE"""),"Barton House 1")</f>
        <v>Barton House 1</v>
      </c>
      <c r="C10535" s="2" t="str">
        <f ca="1">IFERROR(__xludf.DUMMYFUNCTION("""COMPUTED_VALUE"""),"Building")</f>
        <v>Building</v>
      </c>
      <c r="D10535" s="2" t="str">
        <f ca="1">IFERROR(__xludf.DUMMYFUNCTION("""COMPUTED_VALUE"""),"Dubai&gt;Motor City&gt;Uptown Motor City&gt;Barton House&gt;Barton House 1")</f>
        <v>Dubai&gt;Motor City&gt;Uptown Motor City&gt;Barton House&gt;Barton House 1</v>
      </c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  <c r="V10535" s="2"/>
      <c r="W10535" s="2"/>
      <c r="X10535" s="2"/>
      <c r="Y10535" s="2"/>
      <c r="Z10535" s="2"/>
    </row>
    <row r="10536" spans="1:26" ht="16.5" x14ac:dyDescent="0.35">
      <c r="A10536" s="2" t="str">
        <f ca="1">IFERROR(__xludf.DUMMYFUNCTION("""COMPUTED_VALUE"""),"Dubai")</f>
        <v>Dubai</v>
      </c>
      <c r="B10536" s="2" t="str">
        <f ca="1">IFERROR(__xludf.DUMMYFUNCTION("""COMPUTED_VALUE"""),"Dickens Circus 3")</f>
        <v>Dickens Circus 3</v>
      </c>
      <c r="C10536" s="2" t="str">
        <f ca="1">IFERROR(__xludf.DUMMYFUNCTION("""COMPUTED_VALUE"""),"Building")</f>
        <v>Building</v>
      </c>
      <c r="D10536" s="2" t="str">
        <f ca="1">IFERROR(__xludf.DUMMYFUNCTION("""COMPUTED_VALUE"""),"Dubai&gt;Motor City&gt;Uptown Motor City&gt;Dickens Circus&gt;Dickens Circus 3")</f>
        <v>Dubai&gt;Motor City&gt;Uptown Motor City&gt;Dickens Circus&gt;Dickens Circus 3</v>
      </c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  <c r="V10536" s="2"/>
      <c r="W10536" s="2"/>
      <c r="X10536" s="2"/>
      <c r="Y10536" s="2"/>
      <c r="Z10536" s="2"/>
    </row>
    <row r="10537" spans="1:26" ht="16.5" x14ac:dyDescent="0.35">
      <c r="A10537" s="2" t="str">
        <f ca="1">IFERROR(__xludf.DUMMYFUNCTION("""COMPUTED_VALUE"""),"Dubai")</f>
        <v>Dubai</v>
      </c>
      <c r="B10537" s="2" t="str">
        <f ca="1">IFERROR(__xludf.DUMMYFUNCTION("""COMPUTED_VALUE"""),"Takaya")</f>
        <v>Takaya</v>
      </c>
      <c r="C10537" s="2" t="str">
        <f ca="1">IFERROR(__xludf.DUMMYFUNCTION("""COMPUTED_VALUE"""),"Cluster")</f>
        <v>Cluster</v>
      </c>
      <c r="D10537" s="2" t="str">
        <f ca="1">IFERROR(__xludf.DUMMYFUNCTION("""COMPUTED_VALUE"""),"Dubai&gt;Motor City&gt;Takaya")</f>
        <v>Dubai&gt;Motor City&gt;Takaya</v>
      </c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  <c r="V10537" s="2"/>
      <c r="W10537" s="2"/>
      <c r="X10537" s="2"/>
      <c r="Y10537" s="2"/>
      <c r="Z10537" s="2"/>
    </row>
    <row r="10538" spans="1:26" ht="16.5" x14ac:dyDescent="0.35">
      <c r="A10538" s="2" t="str">
        <f ca="1">IFERROR(__xludf.DUMMYFUNCTION("""COMPUTED_VALUE"""),"Dubai")</f>
        <v>Dubai</v>
      </c>
      <c r="B10538" s="2" t="str">
        <f ca="1">IFERROR(__xludf.DUMMYFUNCTION("""COMPUTED_VALUE"""),"Sidra Tower")</f>
        <v>Sidra Tower</v>
      </c>
      <c r="C10538" s="2" t="str">
        <f ca="1">IFERROR(__xludf.DUMMYFUNCTION("""COMPUTED_VALUE"""),"Building")</f>
        <v>Building</v>
      </c>
      <c r="D10538" s="2" t="str">
        <f ca="1">IFERROR(__xludf.DUMMYFUNCTION("""COMPUTED_VALUE"""),"Dubai&gt;Al Sufouh&gt;Al Sufouh 1&gt;Sidra Tower")</f>
        <v>Dubai&gt;Al Sufouh&gt;Al Sufouh 1&gt;Sidra Tower</v>
      </c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  <c r="U10538" s="2"/>
      <c r="V10538" s="2"/>
      <c r="W10538" s="2"/>
      <c r="X10538" s="2"/>
      <c r="Y10538" s="2"/>
      <c r="Z10538" s="2"/>
    </row>
    <row r="10539" spans="1:26" ht="16.5" x14ac:dyDescent="0.35">
      <c r="A10539" s="2" t="str">
        <f ca="1">IFERROR(__xludf.DUMMYFUNCTION("""COMPUTED_VALUE"""),"Dubai")</f>
        <v>Dubai</v>
      </c>
      <c r="B10539" s="2" t="str">
        <f ca="1">IFERROR(__xludf.DUMMYFUNCTION("""COMPUTED_VALUE"""),"Boutique Office 1")</f>
        <v>Boutique Office 1</v>
      </c>
      <c r="C10539" s="2" t="str">
        <f ca="1">IFERROR(__xludf.DUMMYFUNCTION("""COMPUTED_VALUE"""),"Building")</f>
        <v>Building</v>
      </c>
      <c r="D10539" s="2" t="str">
        <f ca="1">IFERROR(__xludf.DUMMYFUNCTION("""COMPUTED_VALUE"""),"Dubai&gt;Al Sufouh&gt;Al Sufouh 2&gt;Boutique Offices&gt;Boutique Office 1")</f>
        <v>Dubai&gt;Al Sufouh&gt;Al Sufouh 2&gt;Boutique Offices&gt;Boutique Office 1</v>
      </c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  <c r="V10539" s="2"/>
      <c r="W10539" s="2"/>
      <c r="X10539" s="2"/>
      <c r="Y10539" s="2"/>
      <c r="Z10539" s="2"/>
    </row>
    <row r="10540" spans="1:26" ht="16.5" x14ac:dyDescent="0.35">
      <c r="A10540" s="2" t="str">
        <f ca="1">IFERROR(__xludf.DUMMYFUNCTION("""COMPUTED_VALUE"""),"Dubai")</f>
        <v>Dubai</v>
      </c>
      <c r="B10540" s="2" t="str">
        <f ca="1">IFERROR(__xludf.DUMMYFUNCTION("""COMPUTED_VALUE"""),"Festival Tower")</f>
        <v>Festival Tower</v>
      </c>
      <c r="C10540" s="2" t="str">
        <f ca="1">IFERROR(__xludf.DUMMYFUNCTION("""COMPUTED_VALUE"""),"Building")</f>
        <v>Building</v>
      </c>
      <c r="D10540" s="2" t="str">
        <f ca="1">IFERROR(__xludf.DUMMYFUNCTION("""COMPUTED_VALUE"""),"Dubai&gt;Dubai Festival City&gt;Festival Tower")</f>
        <v>Dubai&gt;Dubai Festival City&gt;Festival Tower</v>
      </c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  <c r="V10540" s="2"/>
      <c r="W10540" s="2"/>
      <c r="X10540" s="2"/>
      <c r="Y10540" s="2"/>
      <c r="Z10540" s="2"/>
    </row>
    <row r="10541" spans="1:26" ht="16.5" x14ac:dyDescent="0.35">
      <c r="A10541" s="2" t="str">
        <f ca="1">IFERROR(__xludf.DUMMYFUNCTION("""COMPUTED_VALUE"""),"Dubai")</f>
        <v>Dubai</v>
      </c>
      <c r="B10541" s="2" t="str">
        <f ca="1">IFERROR(__xludf.DUMMYFUNCTION("""COMPUTED_VALUE"""),"Index Holding")</f>
        <v>Index Holding</v>
      </c>
      <c r="C10541" s="2" t="str">
        <f ca="1">IFERROR(__xludf.DUMMYFUNCTION("""COMPUTED_VALUE"""),"Building")</f>
        <v>Building</v>
      </c>
      <c r="D10541" s="2" t="str">
        <f ca="1">IFERROR(__xludf.DUMMYFUNCTION("""COMPUTED_VALUE"""),"Dubai&gt;Dubai Festival City&gt;Index Holding")</f>
        <v>Dubai&gt;Dubai Festival City&gt;Index Holding</v>
      </c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  <c r="V10541" s="2"/>
      <c r="W10541" s="2"/>
      <c r="X10541" s="2"/>
      <c r="Y10541" s="2"/>
      <c r="Z10541" s="2"/>
    </row>
    <row r="10542" spans="1:26" ht="16.5" x14ac:dyDescent="0.35">
      <c r="A10542" s="2" t="str">
        <f ca="1">IFERROR(__xludf.DUMMYFUNCTION("""COMPUTED_VALUE"""),"Dubai")</f>
        <v>Dubai</v>
      </c>
      <c r="B10542" s="2" t="str">
        <f ca="1">IFERROR(__xludf.DUMMYFUNCTION("""COMPUTED_VALUE"""),"Golf Promenade 5A")</f>
        <v>Golf Promenade 5A</v>
      </c>
      <c r="C10542" s="2" t="str">
        <f ca="1">IFERROR(__xludf.DUMMYFUNCTION("""COMPUTED_VALUE"""),"Building")</f>
        <v>Building</v>
      </c>
      <c r="D10542" s="2" t="str">
        <f ca="1">IFERROR(__xludf.DUMMYFUNCTION("""COMPUTED_VALUE"""),"Dubai&gt;DAMAC Hills&gt;Golf Town&gt;Golf Promenade&gt;Golf Promenade 5&gt;Golf Promenade 5A")</f>
        <v>Dubai&gt;DAMAC Hills&gt;Golf Town&gt;Golf Promenade&gt;Golf Promenade 5&gt;Golf Promenade 5A</v>
      </c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  <c r="U10542" s="2"/>
      <c r="V10542" s="2"/>
      <c r="W10542" s="2"/>
      <c r="X10542" s="2"/>
      <c r="Y10542" s="2"/>
      <c r="Z10542" s="2"/>
    </row>
    <row r="10543" spans="1:26" ht="16.5" x14ac:dyDescent="0.35">
      <c r="A10543" s="2" t="str">
        <f ca="1">IFERROR(__xludf.DUMMYFUNCTION("""COMPUTED_VALUE"""),"Dubai")</f>
        <v>Dubai</v>
      </c>
      <c r="B10543" s="2" t="str">
        <f ca="1">IFERROR(__xludf.DUMMYFUNCTION("""COMPUTED_VALUE"""),"Veneto")</f>
        <v>Veneto</v>
      </c>
      <c r="C10543" s="2" t="str">
        <f ca="1">IFERROR(__xludf.DUMMYFUNCTION("""COMPUTED_VALUE"""),"Neighbourhood")</f>
        <v>Neighbourhood</v>
      </c>
      <c r="D10543" s="2" t="str">
        <f ca="1">IFERROR(__xludf.DUMMYFUNCTION("""COMPUTED_VALUE"""),"Dubai&gt;DAMAC Hills&gt;Veneto")</f>
        <v>Dubai&gt;DAMAC Hills&gt;Veneto</v>
      </c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  <c r="V10543" s="2"/>
      <c r="W10543" s="2"/>
      <c r="X10543" s="2"/>
      <c r="Y10543" s="2"/>
      <c r="Z10543" s="2"/>
    </row>
    <row r="10544" spans="1:26" ht="16.5" x14ac:dyDescent="0.35">
      <c r="A10544" s="2" t="str">
        <f ca="1">IFERROR(__xludf.DUMMYFUNCTION("""COMPUTED_VALUE"""),"Dubai")</f>
        <v>Dubai</v>
      </c>
      <c r="B10544" s="2" t="str">
        <f ca="1">IFERROR(__xludf.DUMMYFUNCTION("""COMPUTED_VALUE"""),"Utopia 2")</f>
        <v>Utopia 2</v>
      </c>
      <c r="C10544" s="2" t="str">
        <f ca="1">IFERROR(__xludf.DUMMYFUNCTION("""COMPUTED_VALUE"""),"Neighbourhood")</f>
        <v>Neighbourhood</v>
      </c>
      <c r="D10544" s="2" t="str">
        <f ca="1">IFERROR(__xludf.DUMMYFUNCTION("""COMPUTED_VALUE"""),"Dubai&gt;DAMAC Hills&gt;Utopia 2")</f>
        <v>Dubai&gt;DAMAC Hills&gt;Utopia 2</v>
      </c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  <c r="V10544" s="2"/>
      <c r="W10544" s="2"/>
      <c r="X10544" s="2"/>
      <c r="Y10544" s="2"/>
      <c r="Z10544" s="2"/>
    </row>
    <row r="10545" spans="1:26" ht="16.5" x14ac:dyDescent="0.35">
      <c r="A10545" s="2" t="str">
        <f ca="1">IFERROR(__xludf.DUMMYFUNCTION("""COMPUTED_VALUE"""),"Dubai")</f>
        <v>Dubai</v>
      </c>
      <c r="B10545" s="2" t="str">
        <f ca="1">IFERROR(__xludf.DUMMYFUNCTION("""COMPUTED_VALUE"""),"Al Hudaiba Awards Building")</f>
        <v>Al Hudaiba Awards Building</v>
      </c>
      <c r="C10545" s="2" t="str">
        <f ca="1">IFERROR(__xludf.DUMMYFUNCTION("""COMPUTED_VALUE"""),"Cluster")</f>
        <v>Cluster</v>
      </c>
      <c r="D10545" s="2" t="str">
        <f ca="1">IFERROR(__xludf.DUMMYFUNCTION("""COMPUTED_VALUE"""),"Dubai&gt;Al Mina&gt;Al Hudaiba Awards Building")</f>
        <v>Dubai&gt;Al Mina&gt;Al Hudaiba Awards Building</v>
      </c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  <c r="V10545" s="2"/>
      <c r="W10545" s="2"/>
      <c r="X10545" s="2"/>
      <c r="Y10545" s="2"/>
      <c r="Z10545" s="2"/>
    </row>
    <row r="10546" spans="1:26" ht="16.5" x14ac:dyDescent="0.35">
      <c r="A10546" s="2" t="str">
        <f ca="1">IFERROR(__xludf.DUMMYFUNCTION("""COMPUTED_VALUE"""),"Dubai")</f>
        <v>Dubai</v>
      </c>
      <c r="B10546" s="2" t="str">
        <f ca="1">IFERROR(__xludf.DUMMYFUNCTION("""COMPUTED_VALUE"""),"Oceanz 2")</f>
        <v>Oceanz 2</v>
      </c>
      <c r="C10546" s="2" t="str">
        <f ca="1">IFERROR(__xludf.DUMMYFUNCTION("""COMPUTED_VALUE"""),"Building")</f>
        <v>Building</v>
      </c>
      <c r="D10546" s="2" t="str">
        <f ca="1">IFERROR(__xludf.DUMMYFUNCTION("""COMPUTED_VALUE"""),"Dubai&gt;Dubai Maritime City&gt;Oceanz by Danube&gt;Oceanz 2")</f>
        <v>Dubai&gt;Dubai Maritime City&gt;Oceanz by Danube&gt;Oceanz 2</v>
      </c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  <c r="U10546" s="2"/>
      <c r="V10546" s="2"/>
      <c r="W10546" s="2"/>
      <c r="X10546" s="2"/>
      <c r="Y10546" s="2"/>
      <c r="Z10546" s="2"/>
    </row>
    <row r="10547" spans="1:26" ht="16.5" x14ac:dyDescent="0.35">
      <c r="A10547" s="2" t="str">
        <f ca="1">IFERROR(__xludf.DUMMYFUNCTION("""COMPUTED_VALUE"""),"Dubai")</f>
        <v>Dubai</v>
      </c>
      <c r="B10547" s="2" t="str">
        <f ca="1">IFERROR(__xludf.DUMMYFUNCTION("""COMPUTED_VALUE"""),"Kanyon by Beyond")</f>
        <v>Kanyon by Beyond</v>
      </c>
      <c r="C10547" s="2" t="str">
        <f ca="1">IFERROR(__xludf.DUMMYFUNCTION("""COMPUTED_VALUE"""),"Building")</f>
        <v>Building</v>
      </c>
      <c r="D10547" s="2" t="str">
        <f ca="1">IFERROR(__xludf.DUMMYFUNCTION("""COMPUTED_VALUE"""),"Dubai&gt;Dubai Maritime City&gt;Kanyon by Beyond")</f>
        <v>Dubai&gt;Dubai Maritime City&gt;Kanyon by Beyond</v>
      </c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  <c r="V10547" s="2"/>
      <c r="W10547" s="2"/>
      <c r="X10547" s="2"/>
      <c r="Y10547" s="2"/>
      <c r="Z10547" s="2"/>
    </row>
    <row r="10548" spans="1:26" ht="16.5" x14ac:dyDescent="0.35">
      <c r="A10548" s="2" t="str">
        <f ca="1">IFERROR(__xludf.DUMMYFUNCTION("""COMPUTED_VALUE"""),"Dubai")</f>
        <v>Dubai</v>
      </c>
      <c r="B10548" s="2" t="str">
        <f ca="1">IFERROR(__xludf.DUMMYFUNCTION("""COMPUTED_VALUE"""),"The Fairways East")</f>
        <v>The Fairways East</v>
      </c>
      <c r="C10548" s="2" t="str">
        <f ca="1">IFERROR(__xludf.DUMMYFUNCTION("""COMPUTED_VALUE"""),"Building")</f>
        <v>Building</v>
      </c>
      <c r="D10548" s="2" t="str">
        <f ca="1">IFERROR(__xludf.DUMMYFUNCTION("""COMPUTED_VALUE"""),"Dubai&gt;The Views&gt;The Fairways&gt;The Fairways East")</f>
        <v>Dubai&gt;The Views&gt;The Fairways&gt;The Fairways East</v>
      </c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  <c r="V10548" s="2"/>
      <c r="W10548" s="2"/>
      <c r="X10548" s="2"/>
      <c r="Y10548" s="2"/>
      <c r="Z10548" s="2"/>
    </row>
    <row r="10549" spans="1:26" ht="16.5" x14ac:dyDescent="0.35">
      <c r="A10549" s="2" t="str">
        <f ca="1">IFERROR(__xludf.DUMMYFUNCTION("""COMPUTED_VALUE"""),"Dubai")</f>
        <v>Dubai</v>
      </c>
      <c r="B10549" s="2" t="str">
        <f ca="1">IFERROR(__xludf.DUMMYFUNCTION("""COMPUTED_VALUE"""),"Al Khail Gate Phase 1")</f>
        <v>Al Khail Gate Phase 1</v>
      </c>
      <c r="C10549" s="2" t="str">
        <f ca="1">IFERROR(__xludf.DUMMYFUNCTION("""COMPUTED_VALUE"""),"Neighbourhood")</f>
        <v>Neighbourhood</v>
      </c>
      <c r="D10549" s="2" t="str">
        <f ca="1">IFERROR(__xludf.DUMMYFUNCTION("""COMPUTED_VALUE"""),"Dubai&gt;Al Quoz&gt;Al Quoz Industrial Area&gt;Al Quoz Industrial Area 2&gt;Al Khail Gate&gt;Al Khail Gate Phase 1")</f>
        <v>Dubai&gt;Al Quoz&gt;Al Quoz Industrial Area&gt;Al Quoz Industrial Area 2&gt;Al Khail Gate&gt;Al Khail Gate Phase 1</v>
      </c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  <c r="V10549" s="2"/>
      <c r="W10549" s="2"/>
      <c r="X10549" s="2"/>
      <c r="Y10549" s="2"/>
      <c r="Z10549" s="2"/>
    </row>
    <row r="10550" spans="1:26" ht="16.5" x14ac:dyDescent="0.35">
      <c r="A10550" s="2" t="str">
        <f ca="1">IFERROR(__xludf.DUMMYFUNCTION("""COMPUTED_VALUE"""),"Dubai")</f>
        <v>Dubai</v>
      </c>
      <c r="B10550" s="2" t="str">
        <f ca="1">IFERROR(__xludf.DUMMYFUNCTION("""COMPUTED_VALUE"""),"RNA Resources Building")</f>
        <v>RNA Resources Building</v>
      </c>
      <c r="C10550" s="2" t="str">
        <f ca="1">IFERROR(__xludf.DUMMYFUNCTION("""COMPUTED_VALUE"""),"Building")</f>
        <v>Building</v>
      </c>
      <c r="D10550" s="2" t="str">
        <f ca="1">IFERROR(__xludf.DUMMYFUNCTION("""COMPUTED_VALUE"""),"Dubai&gt;Al Quoz&gt;Al Quoz 3&gt;RNA Resources Building")</f>
        <v>Dubai&gt;Al Quoz&gt;Al Quoz 3&gt;RNA Resources Building</v>
      </c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  <c r="U10550" s="2"/>
      <c r="V10550" s="2"/>
      <c r="W10550" s="2"/>
      <c r="X10550" s="2"/>
      <c r="Y10550" s="2"/>
      <c r="Z10550" s="2"/>
    </row>
    <row r="10551" spans="1:26" ht="16.5" x14ac:dyDescent="0.35">
      <c r="A10551" s="2" t="str">
        <f ca="1">IFERROR(__xludf.DUMMYFUNCTION("""COMPUTED_VALUE"""),"Dubai")</f>
        <v>Dubai</v>
      </c>
      <c r="B10551" s="2" t="str">
        <f ca="1">IFERROR(__xludf.DUMMYFUNCTION("""COMPUTED_VALUE"""),"Al Khail Heights Building 11B")</f>
        <v>Al Khail Heights Building 11B</v>
      </c>
      <c r="C10551" s="2" t="str">
        <f ca="1">IFERROR(__xludf.DUMMYFUNCTION("""COMPUTED_VALUE"""),"Building")</f>
        <v>Building</v>
      </c>
      <c r="D10551" s="2" t="str">
        <f ca="1">IFERROR(__xludf.DUMMYFUNCTION("""COMPUTED_VALUE"""),"Dubai&gt;Al Quoz&gt;Al Quoz 4&gt;Al Khail Heights&gt;Al Khail Heights Building 11B")</f>
        <v>Dubai&gt;Al Quoz&gt;Al Quoz 4&gt;Al Khail Heights&gt;Al Khail Heights Building 11B</v>
      </c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  <c r="V10551" s="2"/>
      <c r="W10551" s="2"/>
      <c r="X10551" s="2"/>
      <c r="Y10551" s="2"/>
      <c r="Z10551" s="2"/>
    </row>
    <row r="10552" spans="1:26" ht="16.5" x14ac:dyDescent="0.35">
      <c r="A10552" s="2" t="str">
        <f ca="1">IFERROR(__xludf.DUMMYFUNCTION("""COMPUTED_VALUE"""),"Dubai")</f>
        <v>Dubai</v>
      </c>
      <c r="B10552" s="2" t="str">
        <f ca="1">IFERROR(__xludf.DUMMYFUNCTION("""COMPUTED_VALUE"""),"Sapphire Residence")</f>
        <v>Sapphire Residence</v>
      </c>
      <c r="C10552" s="2" t="str">
        <f ca="1">IFERROR(__xludf.DUMMYFUNCTION("""COMPUTED_VALUE"""),"Building")</f>
        <v>Building</v>
      </c>
      <c r="D10552" s="2" t="str">
        <f ca="1">IFERROR(__xludf.DUMMYFUNCTION("""COMPUTED_VALUE"""),"Dubai&gt;Dubai Silicon Oasis (DSO)&gt;Sapphire Residence")</f>
        <v>Dubai&gt;Dubai Silicon Oasis (DSO)&gt;Sapphire Residence</v>
      </c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  <c r="U10552" s="2"/>
      <c r="V10552" s="2"/>
      <c r="W10552" s="2"/>
      <c r="X10552" s="2"/>
      <c r="Y10552" s="2"/>
      <c r="Z10552" s="2"/>
    </row>
    <row r="10553" spans="1:26" ht="16.5" x14ac:dyDescent="0.35">
      <c r="A10553" s="2" t="str">
        <f ca="1">IFERROR(__xludf.DUMMYFUNCTION("""COMPUTED_VALUE"""),"Dubai")</f>
        <v>Dubai</v>
      </c>
      <c r="B10553" s="2" t="str">
        <f ca="1">IFERROR(__xludf.DUMMYFUNCTION("""COMPUTED_VALUE"""),"Blue Star Building")</f>
        <v>Blue Star Building</v>
      </c>
      <c r="C10553" s="2" t="str">
        <f ca="1">IFERROR(__xludf.DUMMYFUNCTION("""COMPUTED_VALUE"""),"Building")</f>
        <v>Building</v>
      </c>
      <c r="D10553" s="2" t="str">
        <f ca="1">IFERROR(__xludf.DUMMYFUNCTION("""COMPUTED_VALUE"""),"Dubai&gt;Dubai Silicon Oasis (DSO)&gt;Blue Star Building")</f>
        <v>Dubai&gt;Dubai Silicon Oasis (DSO)&gt;Blue Star Building</v>
      </c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  <c r="V10553" s="2"/>
      <c r="W10553" s="2"/>
      <c r="X10553" s="2"/>
      <c r="Y10553" s="2"/>
      <c r="Z10553" s="2"/>
    </row>
    <row r="10554" spans="1:26" ht="16.5" x14ac:dyDescent="0.35">
      <c r="A10554" s="2" t="str">
        <f ca="1">IFERROR(__xludf.DUMMYFUNCTION("""COMPUTED_VALUE"""),"Dubai")</f>
        <v>Dubai</v>
      </c>
      <c r="B10554" s="2" t="str">
        <f ca="1">IFERROR(__xludf.DUMMYFUNCTION("""COMPUTED_VALUE"""),"Silicon Star")</f>
        <v>Silicon Star</v>
      </c>
      <c r="C10554" s="2" t="str">
        <f ca="1">IFERROR(__xludf.DUMMYFUNCTION("""COMPUTED_VALUE"""),"Building")</f>
        <v>Building</v>
      </c>
      <c r="D10554" s="2" t="str">
        <f ca="1">IFERROR(__xludf.DUMMYFUNCTION("""COMPUTED_VALUE"""),"Dubai&gt;Dubai Silicon Oasis (DSO)&gt;Silicon Star")</f>
        <v>Dubai&gt;Dubai Silicon Oasis (DSO)&gt;Silicon Star</v>
      </c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  <c r="V10554" s="2"/>
      <c r="W10554" s="2"/>
      <c r="X10554" s="2"/>
      <c r="Y10554" s="2"/>
      <c r="Z10554" s="2"/>
    </row>
    <row r="10555" spans="1:26" ht="16.5" x14ac:dyDescent="0.35">
      <c r="A10555" s="2" t="str">
        <f ca="1">IFERROR(__xludf.DUMMYFUNCTION("""COMPUTED_VALUE"""),"Dubai")</f>
        <v>Dubai</v>
      </c>
      <c r="B10555" s="2" t="str">
        <f ca="1">IFERROR(__xludf.DUMMYFUNCTION("""COMPUTED_VALUE"""),"Binghatti Horizons")</f>
        <v>Binghatti Horizons</v>
      </c>
      <c r="C10555" s="2" t="str">
        <f ca="1">IFERROR(__xludf.DUMMYFUNCTION("""COMPUTED_VALUE"""),"Building")</f>
        <v>Building</v>
      </c>
      <c r="D10555" s="2" t="str">
        <f ca="1">IFERROR(__xludf.DUMMYFUNCTION("""COMPUTED_VALUE"""),"Dubai&gt;Dubai Silicon Oasis (DSO)&gt;Binghatti Horizons")</f>
        <v>Dubai&gt;Dubai Silicon Oasis (DSO)&gt;Binghatti Horizons</v>
      </c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  <c r="V10555" s="2"/>
      <c r="W10555" s="2"/>
      <c r="X10555" s="2"/>
      <c r="Y10555" s="2"/>
      <c r="Z10555" s="2"/>
    </row>
    <row r="10556" spans="1:26" ht="16.5" x14ac:dyDescent="0.35">
      <c r="A10556" s="2" t="str">
        <f ca="1">IFERROR(__xludf.DUMMYFUNCTION("""COMPUTED_VALUE"""),"Dubai")</f>
        <v>Dubai</v>
      </c>
      <c r="B10556" s="2" t="str">
        <f ca="1">IFERROR(__xludf.DUMMYFUNCTION("""COMPUTED_VALUE"""),"Axis 3")</f>
        <v>Axis 3</v>
      </c>
      <c r="C10556" s="2" t="str">
        <f ca="1">IFERROR(__xludf.DUMMYFUNCTION("""COMPUTED_VALUE"""),"Building")</f>
        <v>Building</v>
      </c>
      <c r="D10556" s="2" t="str">
        <f ca="1">IFERROR(__xludf.DUMMYFUNCTION("""COMPUTED_VALUE"""),"Dubai&gt;Dubai Silicon Oasis (DSO)&gt;Axis Residences&gt;Axis 3")</f>
        <v>Dubai&gt;Dubai Silicon Oasis (DSO)&gt;Axis Residences&gt;Axis 3</v>
      </c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  <c r="U10556" s="2"/>
      <c r="V10556" s="2"/>
      <c r="W10556" s="2"/>
      <c r="X10556" s="2"/>
      <c r="Y10556" s="2"/>
      <c r="Z10556" s="2"/>
    </row>
    <row r="10557" spans="1:26" ht="16.5" x14ac:dyDescent="0.35">
      <c r="A10557" s="2" t="str">
        <f ca="1">IFERROR(__xludf.DUMMYFUNCTION("""COMPUTED_VALUE"""),"Dubai")</f>
        <v>Dubai</v>
      </c>
      <c r="B10557" s="2" t="str">
        <f ca="1">IFERROR(__xludf.DUMMYFUNCTION("""COMPUTED_VALUE"""),"Silicon Star 2 Building")</f>
        <v>Silicon Star 2 Building</v>
      </c>
      <c r="C10557" s="2" t="str">
        <f ca="1">IFERROR(__xludf.DUMMYFUNCTION("""COMPUTED_VALUE"""),"Building")</f>
        <v>Building</v>
      </c>
      <c r="D10557" s="2" t="str">
        <f ca="1">IFERROR(__xludf.DUMMYFUNCTION("""COMPUTED_VALUE"""),"Dubai&gt;Dubai Silicon Oasis (DSO)&gt;Silicon Star 2 Building")</f>
        <v>Dubai&gt;Dubai Silicon Oasis (DSO)&gt;Silicon Star 2 Building</v>
      </c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  <c r="V10557" s="2"/>
      <c r="W10557" s="2"/>
      <c r="X10557" s="2"/>
      <c r="Y10557" s="2"/>
      <c r="Z10557" s="2"/>
    </row>
    <row r="10558" spans="1:26" ht="16.5" x14ac:dyDescent="0.35">
      <c r="A10558" s="2" t="str">
        <f ca="1">IFERROR(__xludf.DUMMYFUNCTION("""COMPUTED_VALUE"""),"Dubai")</f>
        <v>Dubai</v>
      </c>
      <c r="B10558" s="2" t="str">
        <f ca="1">IFERROR(__xludf.DUMMYFUNCTION("""COMPUTED_VALUE"""),"Ashjar D1")</f>
        <v>Ashjar D1</v>
      </c>
      <c r="C10558" s="2" t="str">
        <f ca="1">IFERROR(__xludf.DUMMYFUNCTION("""COMPUTED_VALUE"""),"Building")</f>
        <v>Building</v>
      </c>
      <c r="D10558" s="2" t="str">
        <f ca="1">IFERROR(__xludf.DUMMYFUNCTION("""COMPUTED_VALUE"""),"Dubai&gt;Al Barari&gt;Ashjar&gt;Ashjar D1")</f>
        <v>Dubai&gt;Al Barari&gt;Ashjar&gt;Ashjar D1</v>
      </c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  <c r="V10558" s="2"/>
      <c r="W10558" s="2"/>
      <c r="X10558" s="2"/>
      <c r="Y10558" s="2"/>
      <c r="Z10558" s="2"/>
    </row>
    <row r="10559" spans="1:26" ht="16.5" x14ac:dyDescent="0.35">
      <c r="A10559" s="2" t="str">
        <f ca="1">IFERROR(__xludf.DUMMYFUNCTION("""COMPUTED_VALUE"""),"Dubai")</f>
        <v>Dubai</v>
      </c>
      <c r="B10559" s="2" t="str">
        <f ca="1">IFERROR(__xludf.DUMMYFUNCTION("""COMPUTED_VALUE"""),"Jasmine Leaf 4")</f>
        <v>Jasmine Leaf 4</v>
      </c>
      <c r="C10559" s="2" t="str">
        <f ca="1">IFERROR(__xludf.DUMMYFUNCTION("""COMPUTED_VALUE"""),"Neighbourhood")</f>
        <v>Neighbourhood</v>
      </c>
      <c r="D10559" s="2" t="str">
        <f ca="1">IFERROR(__xludf.DUMMYFUNCTION("""COMPUTED_VALUE"""),"Dubai&gt;Al Barari&gt;The Residences&gt;Jasmine Leaf&gt;Jasmine Leaf 4")</f>
        <v>Dubai&gt;Al Barari&gt;The Residences&gt;Jasmine Leaf&gt;Jasmine Leaf 4</v>
      </c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  <c r="V10559" s="2"/>
      <c r="W10559" s="2"/>
      <c r="X10559" s="2"/>
      <c r="Y10559" s="2"/>
      <c r="Z10559" s="2"/>
    </row>
    <row r="10560" spans="1:26" ht="16.5" x14ac:dyDescent="0.35">
      <c r="A10560" s="2" t="str">
        <f ca="1">IFERROR(__xludf.DUMMYFUNCTION("""COMPUTED_VALUE"""),"Dubai")</f>
        <v>Dubai</v>
      </c>
      <c r="B10560" s="2" t="str">
        <f ca="1">IFERROR(__xludf.DUMMYFUNCTION("""COMPUTED_VALUE"""),"Kent Nursery Dubai")</f>
        <v>Kent Nursery Dubai</v>
      </c>
      <c r="C10560" s="2" t="str">
        <f ca="1">IFERROR(__xludf.DUMMYFUNCTION("""COMPUTED_VALUE"""),"Nursery")</f>
        <v>Nursery</v>
      </c>
      <c r="D10560" s="2" t="str">
        <f ca="1">IFERROR(__xludf.DUMMYFUNCTION("""COMPUTED_VALUE"""),"Dubai&gt;Mohammed Bin Rashid City&gt;District 11&gt;Kent Nursery Dubai")</f>
        <v>Dubai&gt;Mohammed Bin Rashid City&gt;District 11&gt;Kent Nursery Dubai</v>
      </c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  <c r="U10560" s="2"/>
      <c r="V10560" s="2"/>
      <c r="W10560" s="2"/>
      <c r="X10560" s="2"/>
      <c r="Y10560" s="2"/>
      <c r="Z10560" s="2"/>
    </row>
    <row r="10561" spans="1:26" ht="16.5" x14ac:dyDescent="0.35">
      <c r="A10561" s="2" t="str">
        <f ca="1">IFERROR(__xludf.DUMMYFUNCTION("""COMPUTED_VALUE"""),"Dubai")</f>
        <v>Dubai</v>
      </c>
      <c r="B10561" s="2" t="str">
        <f ca="1">IFERROR(__xludf.DUMMYFUNCTION("""COMPUTED_VALUE"""),"High Best Tower")</f>
        <v>High Best Tower</v>
      </c>
      <c r="C10561" s="2" t="str">
        <f ca="1">IFERROR(__xludf.DUMMYFUNCTION("""COMPUTED_VALUE"""),"Building")</f>
        <v>Building</v>
      </c>
      <c r="D10561" s="2" t="str">
        <f ca="1">IFERROR(__xludf.DUMMYFUNCTION("""COMPUTED_VALUE"""),"Dubai&gt;Mohammed Bin Rashid City&gt;District 11&gt;High Best Tower")</f>
        <v>Dubai&gt;Mohammed Bin Rashid City&gt;District 11&gt;High Best Tower</v>
      </c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  <c r="V10561" s="2"/>
      <c r="W10561" s="2"/>
      <c r="X10561" s="2"/>
      <c r="Y10561" s="2"/>
      <c r="Z10561" s="2"/>
    </row>
    <row r="10562" spans="1:26" ht="16.5" x14ac:dyDescent="0.35">
      <c r="A10562" s="2" t="str">
        <f ca="1">IFERROR(__xludf.DUMMYFUNCTION("""COMPUTED_VALUE"""),"Dubai")</f>
        <v>Dubai</v>
      </c>
      <c r="B10562" s="2" t="str">
        <f ca="1">IFERROR(__xludf.DUMMYFUNCTION("""COMPUTED_VALUE"""),"Residences 24")</f>
        <v>Residences 24</v>
      </c>
      <c r="C10562" s="2" t="str">
        <f ca="1">IFERROR(__xludf.DUMMYFUNCTION("""COMPUTED_VALUE"""),"Building")</f>
        <v>Building</v>
      </c>
      <c r="D10562" s="2" t="str">
        <f ca="1">IFERROR(__xludf.DUMMYFUNCTION("""COMPUTED_VALUE"""),"Dubai&gt;Mohammed Bin Rashid City&gt;District One&gt;The Residences at District One&gt;Residences 24")</f>
        <v>Dubai&gt;Mohammed Bin Rashid City&gt;District One&gt;The Residences at District One&gt;Residences 24</v>
      </c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  <c r="U10562" s="2"/>
      <c r="V10562" s="2"/>
      <c r="W10562" s="2"/>
      <c r="X10562" s="2"/>
      <c r="Y10562" s="2"/>
      <c r="Z10562" s="2"/>
    </row>
    <row r="10563" spans="1:26" ht="16.5" x14ac:dyDescent="0.35">
      <c r="A10563" s="2" t="str">
        <f ca="1">IFERROR(__xludf.DUMMYFUNCTION("""COMPUTED_VALUE"""),"Dubai")</f>
        <v>Dubai</v>
      </c>
      <c r="B10563" s="2" t="str">
        <f ca="1">IFERROR(__xludf.DUMMYFUNCTION("""COMPUTED_VALUE"""),"The Pulse")</f>
        <v>The Pulse</v>
      </c>
      <c r="C10563" s="2" t="str">
        <f ca="1">IFERROR(__xludf.DUMMYFUNCTION("""COMPUTED_VALUE"""),"Neighbourhood")</f>
        <v>Neighbourhood</v>
      </c>
      <c r="D10563" s="2" t="str">
        <f ca="1">IFERROR(__xludf.DUMMYFUNCTION("""COMPUTED_VALUE"""),"Dubai&gt;Dubai South&gt;Residential District&gt;The Pulse")</f>
        <v>Dubai&gt;Dubai South&gt;Residential District&gt;The Pulse</v>
      </c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  <c r="V10563" s="2"/>
      <c r="W10563" s="2"/>
      <c r="X10563" s="2"/>
      <c r="Y10563" s="2"/>
      <c r="Z10563" s="2"/>
    </row>
    <row r="10564" spans="1:26" ht="16.5" x14ac:dyDescent="0.35">
      <c r="A10564" s="2" t="str">
        <f ca="1">IFERROR(__xludf.DUMMYFUNCTION("""COMPUTED_VALUE"""),"Dubai")</f>
        <v>Dubai</v>
      </c>
      <c r="B10564" s="2" t="str">
        <f ca="1">IFERROR(__xludf.DUMMYFUNCTION("""COMPUTED_VALUE"""),"MAG 525")</f>
        <v>MAG 525</v>
      </c>
      <c r="C10564" s="2" t="str">
        <f ca="1">IFERROR(__xludf.DUMMYFUNCTION("""COMPUTED_VALUE"""),"Building")</f>
        <v>Building</v>
      </c>
      <c r="D10564" s="2" t="str">
        <f ca="1">IFERROR(__xludf.DUMMYFUNCTION("""COMPUTED_VALUE"""),"Dubai&gt;Dubai South&gt;Residential District&gt;MAG 5 Boulevard&gt;MAG 525")</f>
        <v>Dubai&gt;Dubai South&gt;Residential District&gt;MAG 5 Boulevard&gt;MAG 525</v>
      </c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  <c r="U10564" s="2"/>
      <c r="V10564" s="2"/>
      <c r="W10564" s="2"/>
      <c r="X10564" s="2"/>
      <c r="Y10564" s="2"/>
      <c r="Z10564" s="2"/>
    </row>
    <row r="10565" spans="1:26" ht="16.5" x14ac:dyDescent="0.35">
      <c r="A10565" s="2" t="str">
        <f ca="1">IFERROR(__xludf.DUMMYFUNCTION("""COMPUTED_VALUE"""),"Dubai")</f>
        <v>Dubai</v>
      </c>
      <c r="B10565" s="2" t="str">
        <f ca="1">IFERROR(__xludf.DUMMYFUNCTION("""COMPUTED_VALUE"""),"Cresswell Residences")</f>
        <v>Cresswell Residences</v>
      </c>
      <c r="C10565" s="2" t="str">
        <f ca="1">IFERROR(__xludf.DUMMYFUNCTION("""COMPUTED_VALUE"""),"Building")</f>
        <v>Building</v>
      </c>
      <c r="D10565" s="2" t="str">
        <f ca="1">IFERROR(__xludf.DUMMYFUNCTION("""COMPUTED_VALUE"""),"Dubai&gt;Dubai South&gt;Residential District&gt;Cresswell Residences")</f>
        <v>Dubai&gt;Dubai South&gt;Residential District&gt;Cresswell Residences</v>
      </c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  <c r="V10565" s="2"/>
      <c r="W10565" s="2"/>
      <c r="X10565" s="2"/>
      <c r="Y10565" s="2"/>
      <c r="Z10565" s="2"/>
    </row>
    <row r="10566" spans="1:26" ht="16.5" x14ac:dyDescent="0.35">
      <c r="A10566" s="2" t="str">
        <f ca="1">IFERROR(__xludf.DUMMYFUNCTION("""COMPUTED_VALUE"""),"Dubai")</f>
        <v>Dubai</v>
      </c>
      <c r="B10566" s="2" t="str">
        <f ca="1">IFERROR(__xludf.DUMMYFUNCTION("""COMPUTED_VALUE"""),"Racemosa")</f>
        <v>Racemosa</v>
      </c>
      <c r="C10566" s="2" t="str">
        <f ca="1">IFERROR(__xludf.DUMMYFUNCTION("""COMPUTED_VALUE"""),"Building")</f>
        <v>Building</v>
      </c>
      <c r="D10566" s="2" t="str">
        <f ca="1">IFERROR(__xludf.DUMMYFUNCTION("""COMPUTED_VALUE"""),"Dubai&gt;Dubai South&gt;Residential District&gt;Racemosa")</f>
        <v>Dubai&gt;Dubai South&gt;Residential District&gt;Racemosa</v>
      </c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  <c r="U10566" s="2"/>
      <c r="V10566" s="2"/>
      <c r="W10566" s="2"/>
      <c r="X10566" s="2"/>
      <c r="Y10566" s="2"/>
      <c r="Z10566" s="2"/>
    </row>
    <row r="10567" spans="1:26" ht="16.5" x14ac:dyDescent="0.35">
      <c r="A10567" s="2" t="str">
        <f ca="1">IFERROR(__xludf.DUMMYFUNCTION("""COMPUTED_VALUE"""),"Dubai")</f>
        <v>Dubai</v>
      </c>
      <c r="B10567" s="2" t="str">
        <f ca="1">IFERROR(__xludf.DUMMYFUNCTION("""COMPUTED_VALUE"""),"Expo Golf Villas 5 (Greenviews 2)")</f>
        <v>Expo Golf Villas 5 (Greenviews 2)</v>
      </c>
      <c r="C10567" s="2" t="str">
        <f ca="1">IFERROR(__xludf.DUMMYFUNCTION("""COMPUTED_VALUE"""),"Neighbourhood")</f>
        <v>Neighbourhood</v>
      </c>
      <c r="D10567" s="2" t="str">
        <f ca="1">IFERROR(__xludf.DUMMYFUNCTION("""COMPUTED_VALUE"""),"Dubai&gt;Dubai South&gt;Emaar South&gt;Expo Golf Villas&gt;Expo Golf Villas 5 (Greenviews 2)")</f>
        <v>Dubai&gt;Dubai South&gt;Emaar South&gt;Expo Golf Villas&gt;Expo Golf Villas 5 (Greenviews 2)</v>
      </c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  <c r="V10567" s="2"/>
      <c r="W10567" s="2"/>
      <c r="X10567" s="2"/>
      <c r="Y10567" s="2"/>
      <c r="Z10567" s="2"/>
    </row>
    <row r="10568" spans="1:26" ht="16.5" x14ac:dyDescent="0.35">
      <c r="A10568" s="2" t="str">
        <f ca="1">IFERROR(__xludf.DUMMYFUNCTION("""COMPUTED_VALUE"""),"Dubai")</f>
        <v>Dubai</v>
      </c>
      <c r="B10568" s="2" t="str">
        <f ca="1">IFERROR(__xludf.DUMMYFUNCTION("""COMPUTED_VALUE"""),"Golf Verge Building A")</f>
        <v>Golf Verge Building A</v>
      </c>
      <c r="C10568" s="2" t="str">
        <f ca="1">IFERROR(__xludf.DUMMYFUNCTION("""COMPUTED_VALUE"""),"Building")</f>
        <v>Building</v>
      </c>
      <c r="D10568" s="2" t="str">
        <f ca="1">IFERROR(__xludf.DUMMYFUNCTION("""COMPUTED_VALUE"""),"Dubai&gt;Dubai South&gt;Emaar South&gt;Golf Verge&gt;Golf Verge Building A")</f>
        <v>Dubai&gt;Dubai South&gt;Emaar South&gt;Golf Verge&gt;Golf Verge Building A</v>
      </c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  <c r="U10568" s="2"/>
      <c r="V10568" s="2"/>
      <c r="W10568" s="2"/>
      <c r="X10568" s="2"/>
      <c r="Y10568" s="2"/>
      <c r="Z10568" s="2"/>
    </row>
    <row r="10569" spans="1:26" ht="16.5" x14ac:dyDescent="0.35">
      <c r="A10569" s="2" t="str">
        <f ca="1">IFERROR(__xludf.DUMMYFUNCTION("""COMPUTED_VALUE"""),"Dubai")</f>
        <v>Dubai</v>
      </c>
      <c r="B10569" s="2" t="str">
        <f ca="1">IFERROR(__xludf.DUMMYFUNCTION("""COMPUTED_VALUE"""),"ADI Building")</f>
        <v>ADI Building</v>
      </c>
      <c r="C10569" s="2" t="str">
        <f ca="1">IFERROR(__xludf.DUMMYFUNCTION("""COMPUTED_VALUE"""),"Building")</f>
        <v>Building</v>
      </c>
      <c r="D10569" s="2" t="str">
        <f ca="1">IFERROR(__xludf.DUMMYFUNCTION("""COMPUTED_VALUE"""),"Dubai&gt;Dubai South&gt;ADI Building")</f>
        <v>Dubai&gt;Dubai South&gt;ADI Building</v>
      </c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  <c r="V10569" s="2"/>
      <c r="W10569" s="2"/>
      <c r="X10569" s="2"/>
      <c r="Y10569" s="2"/>
      <c r="Z10569" s="2"/>
    </row>
    <row r="10570" spans="1:26" ht="16.5" x14ac:dyDescent="0.35">
      <c r="A10570" s="2" t="str">
        <f ca="1">IFERROR(__xludf.DUMMYFUNCTION("""COMPUTED_VALUE"""),"Dubai")</f>
        <v>Dubai</v>
      </c>
      <c r="B10570" s="2" t="str">
        <f ca="1">IFERROR(__xludf.DUMMYFUNCTION("""COMPUTED_VALUE"""),"Azizi Venice 10")</f>
        <v>Azizi Venice 10</v>
      </c>
      <c r="C10570" s="2" t="str">
        <f ca="1">IFERROR(__xludf.DUMMYFUNCTION("""COMPUTED_VALUE"""),"Cluster")</f>
        <v>Cluster</v>
      </c>
      <c r="D10570" s="2" t="str">
        <f ca="1">IFERROR(__xludf.DUMMYFUNCTION("""COMPUTED_VALUE"""),"Dubai&gt;Dubai South&gt;Azizi Venice&gt;Azizi Venice 10")</f>
        <v>Dubai&gt;Dubai South&gt;Azizi Venice&gt;Azizi Venice 10</v>
      </c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  <c r="U10570" s="2"/>
      <c r="V10570" s="2"/>
      <c r="W10570" s="2"/>
      <c r="X10570" s="2"/>
      <c r="Y10570" s="2"/>
      <c r="Z10570" s="2"/>
    </row>
    <row r="10571" spans="1:26" ht="16.5" x14ac:dyDescent="0.35">
      <c r="A10571" s="2" t="str">
        <f ca="1">IFERROR(__xludf.DUMMYFUNCTION("""COMPUTED_VALUE"""),"Dubai")</f>
        <v>Dubai</v>
      </c>
      <c r="B10571" s="2" t="str">
        <f ca="1">IFERROR(__xludf.DUMMYFUNCTION("""COMPUTED_VALUE"""),"Altura")</f>
        <v>Altura</v>
      </c>
      <c r="C10571" s="2" t="str">
        <f ca="1">IFERROR(__xludf.DUMMYFUNCTION("""COMPUTED_VALUE"""),"Neighbourhood")</f>
        <v>Neighbourhood</v>
      </c>
      <c r="D10571" s="2" t="str">
        <f ca="1">IFERROR(__xludf.DUMMYFUNCTION("""COMPUTED_VALUE"""),"Dubai&gt;Dubai South&gt;Waada&gt;Altura")</f>
        <v>Dubai&gt;Dubai South&gt;Waada&gt;Altura</v>
      </c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  <c r="V10571" s="2"/>
      <c r="W10571" s="2"/>
      <c r="X10571" s="2"/>
      <c r="Y10571" s="2"/>
      <c r="Z10571" s="2"/>
    </row>
    <row r="10572" spans="1:26" ht="16.5" x14ac:dyDescent="0.35">
      <c r="A10572" s="2" t="str">
        <f ca="1">IFERROR(__xludf.DUMMYFUNCTION("""COMPUTED_VALUE"""),"Dubai")</f>
        <v>Dubai</v>
      </c>
      <c r="B10572" s="2" t="str">
        <f ca="1">IFERROR(__xludf.DUMMYFUNCTION("""COMPUTED_VALUE"""),"Glendale International School Oud Metha")</f>
        <v>Glendale International School Oud Metha</v>
      </c>
      <c r="C10572" s="2" t="str">
        <f ca="1">IFERROR(__xludf.DUMMYFUNCTION("""COMPUTED_VALUE"""),"School")</f>
        <v>School</v>
      </c>
      <c r="D10572" s="2" t="str">
        <f ca="1">IFERROR(__xludf.DUMMYFUNCTION("""COMPUTED_VALUE"""),"Dubai&gt;Bur Dubai&gt;Oud Metha&gt;Glendale International School Oud Metha")</f>
        <v>Dubai&gt;Bur Dubai&gt;Oud Metha&gt;Glendale International School Oud Metha</v>
      </c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  <c r="V10572" s="2"/>
      <c r="W10572" s="2"/>
      <c r="X10572" s="2"/>
      <c r="Y10572" s="2"/>
      <c r="Z10572" s="2"/>
    </row>
    <row r="10573" spans="1:26" ht="16.5" x14ac:dyDescent="0.35">
      <c r="A10573" s="2" t="str">
        <f ca="1">IFERROR(__xludf.DUMMYFUNCTION("""COMPUTED_VALUE"""),"Dubai")</f>
        <v>Dubai</v>
      </c>
      <c r="B10573" s="2" t="str">
        <f ca="1">IFERROR(__xludf.DUMMYFUNCTION("""COMPUTED_VALUE"""),"Bin Khedia Building")</f>
        <v>Bin Khedia Building</v>
      </c>
      <c r="C10573" s="2" t="str">
        <f ca="1">IFERROR(__xludf.DUMMYFUNCTION("""COMPUTED_VALUE"""),"Building")</f>
        <v>Building</v>
      </c>
      <c r="D10573" s="2" t="str">
        <f ca="1">IFERROR(__xludf.DUMMYFUNCTION("""COMPUTED_VALUE"""),"Dubai&gt;Bur Dubai&gt;Oud Metha&gt;Bin Khedia Building")</f>
        <v>Dubai&gt;Bur Dubai&gt;Oud Metha&gt;Bin Khedia Building</v>
      </c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  <c r="V10573" s="2"/>
      <c r="W10573" s="2"/>
      <c r="X10573" s="2"/>
      <c r="Y10573" s="2"/>
      <c r="Z10573" s="2"/>
    </row>
    <row r="10574" spans="1:26" ht="16.5" x14ac:dyDescent="0.35">
      <c r="A10574" s="2" t="str">
        <f ca="1">IFERROR(__xludf.DUMMYFUNCTION("""COMPUTED_VALUE"""),"Dubai")</f>
        <v>Dubai</v>
      </c>
      <c r="B10574" s="2" t="str">
        <f ca="1">IFERROR(__xludf.DUMMYFUNCTION("""COMPUTED_VALUE"""),"Maples II Lootah Building")</f>
        <v>Maples II Lootah Building</v>
      </c>
      <c r="C10574" s="2" t="str">
        <f ca="1">IFERROR(__xludf.DUMMYFUNCTION("""COMPUTED_VALUE"""),"Building")</f>
        <v>Building</v>
      </c>
      <c r="D10574" s="2" t="str">
        <f ca="1">IFERROR(__xludf.DUMMYFUNCTION("""COMPUTED_VALUE"""),"Dubai&gt;Bur Dubai&gt;Al Raffa&gt;Maples II Lootah Building")</f>
        <v>Dubai&gt;Bur Dubai&gt;Al Raffa&gt;Maples II Lootah Building</v>
      </c>
      <c r="E10574" s="2"/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2"/>
      <c r="T10574" s="2"/>
      <c r="U10574" s="2"/>
      <c r="V10574" s="2"/>
      <c r="W10574" s="2"/>
      <c r="X10574" s="2"/>
      <c r="Y10574" s="2"/>
      <c r="Z10574" s="2"/>
    </row>
    <row r="10575" spans="1:26" ht="16.5" x14ac:dyDescent="0.35">
      <c r="A10575" s="2" t="str">
        <f ca="1">IFERROR(__xludf.DUMMYFUNCTION("""COMPUTED_VALUE"""),"Dubai")</f>
        <v>Dubai</v>
      </c>
      <c r="B10575" s="2" t="str">
        <f ca="1">IFERROR(__xludf.DUMMYFUNCTION("""COMPUTED_VALUE"""),"Rais Hassan Saadi Building 2")</f>
        <v>Rais Hassan Saadi Building 2</v>
      </c>
      <c r="C10575" s="2" t="str">
        <f ca="1">IFERROR(__xludf.DUMMYFUNCTION("""COMPUTED_VALUE"""),"Building")</f>
        <v>Building</v>
      </c>
      <c r="D10575" s="2" t="str">
        <f ca="1">IFERROR(__xludf.DUMMYFUNCTION("""COMPUTED_VALUE"""),"Dubai&gt;Bur Dubai&gt;Al Raffa&gt;Rais Hassan Saadi Building 2")</f>
        <v>Dubai&gt;Bur Dubai&gt;Al Raffa&gt;Rais Hassan Saadi Building 2</v>
      </c>
      <c r="E10575" s="2"/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  <c r="V10575" s="2"/>
      <c r="W10575" s="2"/>
      <c r="X10575" s="2"/>
      <c r="Y10575" s="2"/>
      <c r="Z10575" s="2"/>
    </row>
    <row r="10576" spans="1:26" ht="16.5" x14ac:dyDescent="0.35">
      <c r="A10576" s="2" t="str">
        <f ca="1">IFERROR(__xludf.DUMMYFUNCTION("""COMPUTED_VALUE"""),"Dubai")</f>
        <v>Dubai</v>
      </c>
      <c r="B10576" s="2" t="str">
        <f ca="1">IFERROR(__xludf.DUMMYFUNCTION("""COMPUTED_VALUE"""),"Rose 1 Building")</f>
        <v>Rose 1 Building</v>
      </c>
      <c r="C10576" s="2" t="str">
        <f ca="1">IFERROR(__xludf.DUMMYFUNCTION("""COMPUTED_VALUE"""),"Building")</f>
        <v>Building</v>
      </c>
      <c r="D10576" s="2" t="str">
        <f ca="1">IFERROR(__xludf.DUMMYFUNCTION("""COMPUTED_VALUE"""),"Dubai&gt;Bur Dubai&gt;Al Mankhool&gt;Rose 1 Building")</f>
        <v>Dubai&gt;Bur Dubai&gt;Al Mankhool&gt;Rose 1 Building</v>
      </c>
      <c r="E10576" s="2"/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  <c r="V10576" s="2"/>
      <c r="W10576" s="2"/>
      <c r="X10576" s="2"/>
      <c r="Y10576" s="2"/>
      <c r="Z10576" s="2"/>
    </row>
    <row r="10577" spans="1:26" ht="16.5" x14ac:dyDescent="0.35">
      <c r="A10577" s="2" t="str">
        <f ca="1">IFERROR(__xludf.DUMMYFUNCTION("""COMPUTED_VALUE"""),"Dubai")</f>
        <v>Dubai</v>
      </c>
      <c r="B10577" s="2" t="str">
        <f ca="1">IFERROR(__xludf.DUMMYFUNCTION("""COMPUTED_VALUE"""),"Al Waha Building")</f>
        <v>Al Waha Building</v>
      </c>
      <c r="C10577" s="2" t="str">
        <f ca="1">IFERROR(__xludf.DUMMYFUNCTION("""COMPUTED_VALUE"""),"Building")</f>
        <v>Building</v>
      </c>
      <c r="D10577" s="2" t="str">
        <f ca="1">IFERROR(__xludf.DUMMYFUNCTION("""COMPUTED_VALUE"""),"Dubai&gt;Bur Dubai&gt;Al Mankhool&gt;Al Waha Building")</f>
        <v>Dubai&gt;Bur Dubai&gt;Al Mankhool&gt;Al Waha Building</v>
      </c>
      <c r="E10577" s="2"/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  <c r="V10577" s="2"/>
      <c r="W10577" s="2"/>
      <c r="X10577" s="2"/>
      <c r="Y10577" s="2"/>
      <c r="Z10577" s="2"/>
    </row>
    <row r="10578" spans="1:26" ht="16.5" x14ac:dyDescent="0.35">
      <c r="A10578" s="2" t="str">
        <f ca="1">IFERROR(__xludf.DUMMYFUNCTION("""COMPUTED_VALUE"""),"Dubai")</f>
        <v>Dubai</v>
      </c>
      <c r="B10578" s="2" t="str">
        <f ca="1">IFERROR(__xludf.DUMMYFUNCTION("""COMPUTED_VALUE"""),"Al Fardan Building")</f>
        <v>Al Fardan Building</v>
      </c>
      <c r="C10578" s="2" t="str">
        <f ca="1">IFERROR(__xludf.DUMMYFUNCTION("""COMPUTED_VALUE"""),"Building")</f>
        <v>Building</v>
      </c>
      <c r="D10578" s="2" t="str">
        <f ca="1">IFERROR(__xludf.DUMMYFUNCTION("""COMPUTED_VALUE"""),"Dubai&gt;Bur Dubai&gt;Al Mankhool&gt;Al Fardan Building")</f>
        <v>Dubai&gt;Bur Dubai&gt;Al Mankhool&gt;Al Fardan Building</v>
      </c>
      <c r="E10578" s="2"/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2"/>
      <c r="T10578" s="2"/>
      <c r="U10578" s="2"/>
      <c r="V10578" s="2"/>
      <c r="W10578" s="2"/>
      <c r="X10578" s="2"/>
      <c r="Y10578" s="2"/>
      <c r="Z10578" s="2"/>
    </row>
    <row r="10579" spans="1:26" ht="16.5" x14ac:dyDescent="0.35">
      <c r="A10579" s="2" t="str">
        <f ca="1">IFERROR(__xludf.DUMMYFUNCTION("""COMPUTED_VALUE"""),"Dubai")</f>
        <v>Dubai</v>
      </c>
      <c r="B10579" s="2" t="str">
        <f ca="1">IFERROR(__xludf.DUMMYFUNCTION("""COMPUTED_VALUE"""),"Park Gate Residence C")</f>
        <v>Park Gate Residence C</v>
      </c>
      <c r="C10579" s="2" t="str">
        <f ca="1">IFERROR(__xludf.DUMMYFUNCTION("""COMPUTED_VALUE"""),"Building")</f>
        <v>Building</v>
      </c>
      <c r="D10579" s="2" t="str">
        <f ca="1">IFERROR(__xludf.DUMMYFUNCTION("""COMPUTED_VALUE"""),"Dubai&gt;Bur Dubai&gt;Al Kifaf&gt;Park Gate Residence&gt;Park Gate Residence C")</f>
        <v>Dubai&gt;Bur Dubai&gt;Al Kifaf&gt;Park Gate Residence&gt;Park Gate Residence C</v>
      </c>
      <c r="E10579" s="2"/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  <c r="V10579" s="2"/>
      <c r="W10579" s="2"/>
      <c r="X10579" s="2"/>
      <c r="Y10579" s="2"/>
      <c r="Z10579" s="2"/>
    </row>
    <row r="10580" spans="1:26" ht="16.5" x14ac:dyDescent="0.35">
      <c r="A10580" s="2" t="str">
        <f ca="1">IFERROR(__xludf.DUMMYFUNCTION("""COMPUTED_VALUE"""),"Dubai")</f>
        <v>Dubai</v>
      </c>
      <c r="B10580" s="2" t="str">
        <f ca="1">IFERROR(__xludf.DUMMYFUNCTION("""COMPUTED_VALUE"""),"Residence 0123")</f>
        <v>Residence 0123</v>
      </c>
      <c r="C10580" s="2" t="str">
        <f ca="1">IFERROR(__xludf.DUMMYFUNCTION("""COMPUTED_VALUE"""),"Building")</f>
        <v>Building</v>
      </c>
      <c r="D10580" s="2" t="str">
        <f ca="1">IFERROR(__xludf.DUMMYFUNCTION("""COMPUTED_VALUE"""),"Dubai&gt;Bur Dubai&gt;Umm Hurair&gt;Umm Hurair 1&gt;Residence 0123")</f>
        <v>Dubai&gt;Bur Dubai&gt;Umm Hurair&gt;Umm Hurair 1&gt;Residence 0123</v>
      </c>
      <c r="E10580" s="2"/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  <c r="V10580" s="2"/>
      <c r="W10580" s="2"/>
      <c r="X10580" s="2"/>
      <c r="Y10580" s="2"/>
      <c r="Z10580" s="2"/>
    </row>
    <row r="10581" spans="1:26" ht="16.5" x14ac:dyDescent="0.35">
      <c r="A10581" s="2" t="str">
        <f ca="1">IFERROR(__xludf.DUMMYFUNCTION("""COMPUTED_VALUE"""),"Dubai")</f>
        <v>Dubai</v>
      </c>
      <c r="B10581" s="2" t="str">
        <f ca="1">IFERROR(__xludf.DUMMYFUNCTION("""COMPUTED_VALUE"""),"Shaikha Hamda Thani Juma Al Maktoum Building")</f>
        <v>Shaikha Hamda Thani Juma Al Maktoum Building</v>
      </c>
      <c r="C10581" s="2" t="str">
        <f ca="1">IFERROR(__xludf.DUMMYFUNCTION("""COMPUTED_VALUE"""),"Building")</f>
        <v>Building</v>
      </c>
      <c r="D10581" s="2" t="str">
        <f ca="1">IFERROR(__xludf.DUMMYFUNCTION("""COMPUTED_VALUE"""),"Dubai&gt;Bur Dubai&gt;Al Souk Al Kabeer (Al Fahidi)&gt;Shaikha Hamda Thani Juma Al Maktoum Building")</f>
        <v>Dubai&gt;Bur Dubai&gt;Al Souk Al Kabeer (Al Fahidi)&gt;Shaikha Hamda Thani Juma Al Maktoum Building</v>
      </c>
      <c r="E10581" s="2"/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  <c r="V10581" s="2"/>
      <c r="W10581" s="2"/>
      <c r="X10581" s="2"/>
      <c r="Y10581" s="2"/>
      <c r="Z10581" s="2"/>
    </row>
    <row r="10582" spans="1:26" ht="16.5" x14ac:dyDescent="0.35">
      <c r="A10582" s="2" t="str">
        <f ca="1">IFERROR(__xludf.DUMMYFUNCTION("""COMPUTED_VALUE"""),"Dubai")</f>
        <v>Dubai</v>
      </c>
      <c r="B10582" s="2" t="str">
        <f ca="1">IFERROR(__xludf.DUMMYFUNCTION("""COMPUTED_VALUE"""),"Masaken Al Hamriya 02")</f>
        <v>Masaken Al Hamriya 02</v>
      </c>
      <c r="C10582" s="2" t="str">
        <f ca="1">IFERROR(__xludf.DUMMYFUNCTION("""COMPUTED_VALUE"""),"Building")</f>
        <v>Building</v>
      </c>
      <c r="D10582" s="2" t="str">
        <f ca="1">IFERROR(__xludf.DUMMYFUNCTION("""COMPUTED_VALUE"""),"Dubai&gt;Bur Dubai&gt;Al Hamriya&gt;Masaken Al Hamriya 02")</f>
        <v>Dubai&gt;Bur Dubai&gt;Al Hamriya&gt;Masaken Al Hamriya 02</v>
      </c>
      <c r="E10582" s="2"/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2"/>
      <c r="T10582" s="2"/>
      <c r="U10582" s="2"/>
      <c r="V10582" s="2"/>
      <c r="W10582" s="2"/>
      <c r="X10582" s="2"/>
      <c r="Y10582" s="2"/>
      <c r="Z10582" s="2"/>
    </row>
    <row r="10583" spans="1:26" ht="16.5" x14ac:dyDescent="0.35">
      <c r="A10583" s="2" t="str">
        <f ca="1">IFERROR(__xludf.DUMMYFUNCTION("""COMPUTED_VALUE"""),"Dubai")</f>
        <v>Dubai</v>
      </c>
      <c r="B10583" s="2" t="str">
        <f ca="1">IFERROR(__xludf.DUMMYFUNCTION("""COMPUTED_VALUE"""),"Creek Heights")</f>
        <v>Creek Heights</v>
      </c>
      <c r="C10583" s="2" t="str">
        <f ca="1">IFERROR(__xludf.DUMMYFUNCTION("""COMPUTED_VALUE"""),"Building")</f>
        <v>Building</v>
      </c>
      <c r="D10583" s="2" t="str">
        <f ca="1">IFERROR(__xludf.DUMMYFUNCTION("""COMPUTED_VALUE"""),"Dubai&gt;Bur Dubai&gt;Dubai Healthcare City&gt;Creek Heights")</f>
        <v>Dubai&gt;Bur Dubai&gt;Dubai Healthcare City&gt;Creek Heights</v>
      </c>
      <c r="E10583" s="2"/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  <c r="V10583" s="2"/>
      <c r="W10583" s="2"/>
      <c r="X10583" s="2"/>
      <c r="Y10583" s="2"/>
      <c r="Z10583" s="2"/>
    </row>
    <row r="10584" spans="1:26" ht="16.5" x14ac:dyDescent="0.35">
      <c r="A10584" s="2" t="str">
        <f ca="1">IFERROR(__xludf.DUMMYFUNCTION("""COMPUTED_VALUE"""),"Dubai")</f>
        <v>Dubai</v>
      </c>
      <c r="B10584" s="2" t="str">
        <f ca="1">IFERROR(__xludf.DUMMYFUNCTION("""COMPUTED_VALUE"""),"DAMAC Royal Golf Boutique Villas")</f>
        <v>DAMAC Royal Golf Boutique Villas</v>
      </c>
      <c r="C10584" s="2" t="str">
        <f ca="1">IFERROR(__xludf.DUMMYFUNCTION("""COMPUTED_VALUE"""),"Neighbourhood")</f>
        <v>Neighbourhood</v>
      </c>
      <c r="D10584" s="2" t="str">
        <f ca="1">IFERROR(__xludf.DUMMYFUNCTION("""COMPUTED_VALUE"""),"Dubai&gt;Jumeirah Golf Estates&gt;DAMAC Royal Golf Boutique Villas")</f>
        <v>Dubai&gt;Jumeirah Golf Estates&gt;DAMAC Royal Golf Boutique Villas</v>
      </c>
      <c r="E10584" s="2"/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  <c r="V10584" s="2"/>
      <c r="W10584" s="2"/>
      <c r="X10584" s="2"/>
      <c r="Y10584" s="2"/>
      <c r="Z10584" s="2"/>
    </row>
    <row r="10585" spans="1:26" ht="16.5" x14ac:dyDescent="0.35">
      <c r="A10585" s="2" t="str">
        <f ca="1">IFERROR(__xludf.DUMMYFUNCTION("""COMPUTED_VALUE"""),"Dubai")</f>
        <v>Dubai</v>
      </c>
      <c r="B10585" s="2" t="str">
        <f ca="1">IFERROR(__xludf.DUMMYFUNCTION("""COMPUTED_VALUE"""),"Beach Vista 1")</f>
        <v>Beach Vista 1</v>
      </c>
      <c r="C10585" s="2" t="str">
        <f ca="1">IFERROR(__xludf.DUMMYFUNCTION("""COMPUTED_VALUE"""),"Building")</f>
        <v>Building</v>
      </c>
      <c r="D10585" s="2" t="str">
        <f ca="1">IFERROR(__xludf.DUMMYFUNCTION("""COMPUTED_VALUE"""),"Dubai&gt;Dubai Harbour&gt;Emaar Beachfront&gt;Beach Vista&gt;Beach Vista 1")</f>
        <v>Dubai&gt;Dubai Harbour&gt;Emaar Beachfront&gt;Beach Vista&gt;Beach Vista 1</v>
      </c>
      <c r="E10585" s="2"/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  <c r="V10585" s="2"/>
      <c r="W10585" s="2"/>
      <c r="X10585" s="2"/>
      <c r="Y10585" s="2"/>
      <c r="Z10585" s="2"/>
    </row>
    <row r="10586" spans="1:26" ht="16.5" x14ac:dyDescent="0.35">
      <c r="A10586" s="2" t="str">
        <f ca="1">IFERROR(__xludf.DUMMYFUNCTION("""COMPUTED_VALUE"""),"Dubai")</f>
        <v>Dubai</v>
      </c>
      <c r="B10586" s="2" t="str">
        <f ca="1">IFERROR(__xludf.DUMMYFUNCTION("""COMPUTED_VALUE"""),"Dubai Harbour Residences (Area 1)")</f>
        <v>Dubai Harbour Residences (Area 1)</v>
      </c>
      <c r="C10586" s="2" t="str">
        <f ca="1">IFERROR(__xludf.DUMMYFUNCTION("""COMPUTED_VALUE"""),"Building")</f>
        <v>Building</v>
      </c>
      <c r="D10586" s="2" t="str">
        <f ca="1">IFERROR(__xludf.DUMMYFUNCTION("""COMPUTED_VALUE"""),"Dubai&gt;Dubai Harbour&gt;Dubai Harbour Residences&gt;Dubai Harbour Residences (Area 1)")</f>
        <v>Dubai&gt;Dubai Harbour&gt;Dubai Harbour Residences&gt;Dubai Harbour Residences (Area 1)</v>
      </c>
      <c r="E10586" s="2"/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2"/>
      <c r="T10586" s="2"/>
      <c r="U10586" s="2"/>
      <c r="V10586" s="2"/>
      <c r="W10586" s="2"/>
      <c r="X10586" s="2"/>
      <c r="Y10586" s="2"/>
      <c r="Z10586" s="2"/>
    </row>
    <row r="10587" spans="1:26" ht="16.5" x14ac:dyDescent="0.35">
      <c r="A10587" s="2" t="str">
        <f ca="1">IFERROR(__xludf.DUMMYFUNCTION("""COMPUTED_VALUE"""),"Dubai")</f>
        <v>Dubai</v>
      </c>
      <c r="B10587" s="2" t="str">
        <f ca="1">IFERROR(__xludf.DUMMYFUNCTION("""COMPUTED_VALUE"""),"Vardon")</f>
        <v>Vardon</v>
      </c>
      <c r="C10587" s="2" t="str">
        <f ca="1">IFERROR(__xludf.DUMMYFUNCTION("""COMPUTED_VALUE"""),"Neighbourhood")</f>
        <v>Neighbourhood</v>
      </c>
      <c r="D10587" s="2" t="str">
        <f ca="1">IFERROR(__xludf.DUMMYFUNCTION("""COMPUTED_VALUE"""),"Dubai&gt;DAMAC Hills 2 (Akoya by DAMAC)&gt;Vardon")</f>
        <v>Dubai&gt;DAMAC Hills 2 (Akoya by DAMAC)&gt;Vardon</v>
      </c>
      <c r="E10587" s="2"/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  <c r="V10587" s="2"/>
      <c r="W10587" s="2"/>
      <c r="X10587" s="2"/>
      <c r="Y10587" s="2"/>
      <c r="Z10587" s="2"/>
    </row>
    <row r="10588" spans="1:26" ht="16.5" x14ac:dyDescent="0.35">
      <c r="A10588" s="2" t="str">
        <f ca="1">IFERROR(__xludf.DUMMYFUNCTION("""COMPUTED_VALUE"""),"Dubai")</f>
        <v>Dubai</v>
      </c>
      <c r="B10588" s="2" t="str">
        <f ca="1">IFERROR(__xludf.DUMMYFUNCTION("""COMPUTED_VALUE"""),"J-07")</f>
        <v>J-07</v>
      </c>
      <c r="C10588" s="2" t="str">
        <f ca="1">IFERROR(__xludf.DUMMYFUNCTION("""COMPUTED_VALUE"""),"Building")</f>
        <v>Building</v>
      </c>
      <c r="D10588" s="2" t="str">
        <f ca="1">IFERROR(__xludf.DUMMYFUNCTION("""COMPUTED_VALUE"""),"Dubai&gt;International City&gt;Morocco Cluster&gt;J-07")</f>
        <v>Dubai&gt;International City&gt;Morocco Cluster&gt;J-07</v>
      </c>
      <c r="E10588" s="2"/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  <c r="V10588" s="2"/>
      <c r="W10588" s="2"/>
      <c r="X10588" s="2"/>
      <c r="Y10588" s="2"/>
      <c r="Z10588" s="2"/>
    </row>
    <row r="10589" spans="1:26" ht="16.5" x14ac:dyDescent="0.35">
      <c r="A10589" s="2" t="str">
        <f ca="1">IFERROR(__xludf.DUMMYFUNCTION("""COMPUTED_VALUE"""),"Dubai")</f>
        <v>Dubai</v>
      </c>
      <c r="B10589" s="2" t="str">
        <f ca="1">IFERROR(__xludf.DUMMYFUNCTION("""COMPUTED_VALUE"""),"Warsan Village")</f>
        <v>Warsan Village</v>
      </c>
      <c r="C10589" s="2" t="str">
        <f ca="1">IFERROR(__xludf.DUMMYFUNCTION("""COMPUTED_VALUE"""),"Neighbourhood")</f>
        <v>Neighbourhood</v>
      </c>
      <c r="D10589" s="2" t="str">
        <f ca="1">IFERROR(__xludf.DUMMYFUNCTION("""COMPUTED_VALUE"""),"Dubai&gt;International City&gt;Warsan Village")</f>
        <v>Dubai&gt;International City&gt;Warsan Village</v>
      </c>
      <c r="E10589" s="2"/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  <c r="V10589" s="2"/>
      <c r="W10589" s="2"/>
      <c r="X10589" s="2"/>
      <c r="Y10589" s="2"/>
      <c r="Z10589" s="2"/>
    </row>
    <row r="10590" spans="1:26" ht="16.5" x14ac:dyDescent="0.35">
      <c r="A10590" s="2" t="str">
        <f ca="1">IFERROR(__xludf.DUMMYFUNCTION("""COMPUTED_VALUE"""),"Dubai")</f>
        <v>Dubai</v>
      </c>
      <c r="B10590" s="2" t="str">
        <f ca="1">IFERROR(__xludf.DUMMYFUNCTION("""COMPUTED_VALUE"""),"A-07")</f>
        <v>A-07</v>
      </c>
      <c r="C10590" s="2" t="str">
        <f ca="1">IFERROR(__xludf.DUMMYFUNCTION("""COMPUTED_VALUE"""),"Building")</f>
        <v>Building</v>
      </c>
      <c r="D10590" s="2" t="str">
        <f ca="1">IFERROR(__xludf.DUMMYFUNCTION("""COMPUTED_VALUE"""),"Dubai&gt;International City&gt;China Cluster&gt;A-07")</f>
        <v>Dubai&gt;International City&gt;China Cluster&gt;A-07</v>
      </c>
      <c r="E10590" s="2"/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2"/>
      <c r="T10590" s="2"/>
      <c r="U10590" s="2"/>
      <c r="V10590" s="2"/>
      <c r="W10590" s="2"/>
      <c r="X10590" s="2"/>
      <c r="Y10590" s="2"/>
      <c r="Z10590" s="2"/>
    </row>
    <row r="10591" spans="1:26" ht="16.5" x14ac:dyDescent="0.35">
      <c r="A10591" s="2" t="str">
        <f ca="1">IFERROR(__xludf.DUMMYFUNCTION("""COMPUTED_VALUE"""),"Dubai")</f>
        <v>Dubai</v>
      </c>
      <c r="B10591" s="2" t="str">
        <f ca="1">IFERROR(__xludf.DUMMYFUNCTION("""COMPUTED_VALUE"""),"C-14")</f>
        <v>C-14</v>
      </c>
      <c r="C10591" s="2" t="str">
        <f ca="1">IFERROR(__xludf.DUMMYFUNCTION("""COMPUTED_VALUE"""),"Building")</f>
        <v>Building</v>
      </c>
      <c r="D10591" s="2" t="str">
        <f ca="1">IFERROR(__xludf.DUMMYFUNCTION("""COMPUTED_VALUE"""),"Dubai&gt;International City&gt;China Cluster&gt;C-14")</f>
        <v>Dubai&gt;International City&gt;China Cluster&gt;C-14</v>
      </c>
      <c r="E10591" s="2"/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  <c r="V10591" s="2"/>
      <c r="W10591" s="2"/>
      <c r="X10591" s="2"/>
      <c r="Y10591" s="2"/>
      <c r="Z10591" s="2"/>
    </row>
    <row r="10592" spans="1:26" ht="16.5" x14ac:dyDescent="0.35">
      <c r="A10592" s="2" t="str">
        <f ca="1">IFERROR(__xludf.DUMMYFUNCTION("""COMPUTED_VALUE"""),"Dubai")</f>
        <v>Dubai</v>
      </c>
      <c r="B10592" s="2" t="str">
        <f ca="1">IFERROR(__xludf.DUMMYFUNCTION("""COMPUTED_VALUE"""),"H-05")</f>
        <v>H-05</v>
      </c>
      <c r="C10592" s="2" t="str">
        <f ca="1">IFERROR(__xludf.DUMMYFUNCTION("""COMPUTED_VALUE"""),"Building")</f>
        <v>Building</v>
      </c>
      <c r="D10592" s="2" t="str">
        <f ca="1">IFERROR(__xludf.DUMMYFUNCTION("""COMPUTED_VALUE"""),"Dubai&gt;International City&gt;China Cluster&gt;H-05")</f>
        <v>Dubai&gt;International City&gt;China Cluster&gt;H-05</v>
      </c>
      <c r="E10592" s="2"/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  <c r="V10592" s="2"/>
      <c r="W10592" s="2"/>
      <c r="X10592" s="2"/>
      <c r="Y10592" s="2"/>
      <c r="Z10592" s="2"/>
    </row>
    <row r="10593" spans="1:26" ht="16.5" x14ac:dyDescent="0.35">
      <c r="A10593" s="2" t="str">
        <f ca="1">IFERROR(__xludf.DUMMYFUNCTION("""COMPUTED_VALUE"""),"Dubai")</f>
        <v>Dubai</v>
      </c>
      <c r="B10593" s="2" t="str">
        <f ca="1">IFERROR(__xludf.DUMMYFUNCTION("""COMPUTED_VALUE"""),"S-17")</f>
        <v>S-17</v>
      </c>
      <c r="C10593" s="2" t="str">
        <f ca="1">IFERROR(__xludf.DUMMYFUNCTION("""COMPUTED_VALUE"""),"Building")</f>
        <v>Building</v>
      </c>
      <c r="D10593" s="2" t="str">
        <f ca="1">IFERROR(__xludf.DUMMYFUNCTION("""COMPUTED_VALUE"""),"Dubai&gt;International City&gt;Spain Cluster&gt;S-17")</f>
        <v>Dubai&gt;International City&gt;Spain Cluster&gt;S-17</v>
      </c>
      <c r="E10593" s="2"/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2"/>
      <c r="T10593" s="2"/>
      <c r="U10593" s="2"/>
      <c r="V10593" s="2"/>
      <c r="W10593" s="2"/>
      <c r="X10593" s="2"/>
      <c r="Y10593" s="2"/>
      <c r="Z10593" s="2"/>
    </row>
    <row r="10594" spans="1:26" ht="16.5" x14ac:dyDescent="0.35">
      <c r="A10594" s="2" t="str">
        <f ca="1">IFERROR(__xludf.DUMMYFUNCTION("""COMPUTED_VALUE"""),"Dubai")</f>
        <v>Dubai</v>
      </c>
      <c r="B10594" s="2" t="str">
        <f ca="1">IFERROR(__xludf.DUMMYFUNCTION("""COMPUTED_VALUE"""),"U-17")</f>
        <v>U-17</v>
      </c>
      <c r="C10594" s="2" t="str">
        <f ca="1">IFERROR(__xludf.DUMMYFUNCTION("""COMPUTED_VALUE"""),"Building")</f>
        <v>Building</v>
      </c>
      <c r="D10594" s="2" t="str">
        <f ca="1">IFERROR(__xludf.DUMMYFUNCTION("""COMPUTED_VALUE"""),"Dubai&gt;International City&gt;Italy Cluster&gt;U-17")</f>
        <v>Dubai&gt;International City&gt;Italy Cluster&gt;U-17</v>
      </c>
      <c r="E10594" s="2"/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  <c r="V10594" s="2"/>
      <c r="W10594" s="2"/>
      <c r="X10594" s="2"/>
      <c r="Y10594" s="2"/>
      <c r="Z10594" s="2"/>
    </row>
    <row r="10595" spans="1:26" ht="16.5" x14ac:dyDescent="0.35">
      <c r="A10595" s="2" t="str">
        <f ca="1">IFERROR(__xludf.DUMMYFUNCTION("""COMPUTED_VALUE"""),"Dubai")</f>
        <v>Dubai</v>
      </c>
      <c r="B10595" s="2" t="str">
        <f ca="1">IFERROR(__xludf.DUMMYFUNCTION("""COMPUTED_VALUE"""),"V-23")</f>
        <v>V-23</v>
      </c>
      <c r="C10595" s="2" t="str">
        <f ca="1">IFERROR(__xludf.DUMMYFUNCTION("""COMPUTED_VALUE"""),"Building")</f>
        <v>Building</v>
      </c>
      <c r="D10595" s="2" t="str">
        <f ca="1">IFERROR(__xludf.DUMMYFUNCTION("""COMPUTED_VALUE"""),"Dubai&gt;International City&gt;Russia Cluster&gt;V-23")</f>
        <v>Dubai&gt;International City&gt;Russia Cluster&gt;V-23</v>
      </c>
      <c r="E10595" s="2"/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  <c r="V10595" s="2"/>
      <c r="W10595" s="2"/>
      <c r="X10595" s="2"/>
      <c r="Y10595" s="2"/>
      <c r="Z10595" s="2"/>
    </row>
    <row r="10596" spans="1:26" ht="16.5" x14ac:dyDescent="0.35">
      <c r="A10596" s="2" t="str">
        <f ca="1">IFERROR(__xludf.DUMMYFUNCTION("""COMPUTED_VALUE"""),"Dubai")</f>
        <v>Dubai</v>
      </c>
      <c r="B10596" s="2" t="str">
        <f ca="1">IFERROR(__xludf.DUMMYFUNCTION("""COMPUTED_VALUE"""),"O-03")</f>
        <v>O-03</v>
      </c>
      <c r="C10596" s="2" t="str">
        <f ca="1">IFERROR(__xludf.DUMMYFUNCTION("""COMPUTED_VALUE"""),"Building")</f>
        <v>Building</v>
      </c>
      <c r="D10596" s="2" t="str">
        <f ca="1">IFERROR(__xludf.DUMMYFUNCTION("""COMPUTED_VALUE"""),"Dubai&gt;International City&gt;Persia Cluster&gt;O-03")</f>
        <v>Dubai&gt;International City&gt;Persia Cluster&gt;O-03</v>
      </c>
      <c r="E10596" s="2"/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  <c r="V10596" s="2"/>
      <c r="W10596" s="2"/>
      <c r="X10596" s="2"/>
      <c r="Y10596" s="2"/>
      <c r="Z10596" s="2"/>
    </row>
    <row r="10597" spans="1:26" ht="16.5" x14ac:dyDescent="0.35">
      <c r="A10597" s="2" t="str">
        <f ca="1">IFERROR(__xludf.DUMMYFUNCTION("""COMPUTED_VALUE"""),"Dubai")</f>
        <v>Dubai</v>
      </c>
      <c r="B10597" s="2" t="str">
        <f ca="1">IFERROR(__xludf.DUMMYFUNCTION("""COMPUTED_VALUE"""),"EMR-12")</f>
        <v>EMR-12</v>
      </c>
      <c r="C10597" s="2" t="str">
        <f ca="1">IFERROR(__xludf.DUMMYFUNCTION("""COMPUTED_VALUE"""),"Building")</f>
        <v>Building</v>
      </c>
      <c r="D10597" s="2" t="str">
        <f ca="1">IFERROR(__xludf.DUMMYFUNCTION("""COMPUTED_VALUE"""),"Dubai&gt;International City&gt;Emirates Cluster&gt;EMR-12")</f>
        <v>Dubai&gt;International City&gt;Emirates Cluster&gt;EMR-12</v>
      </c>
      <c r="E10597" s="2"/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2"/>
      <c r="T10597" s="2"/>
      <c r="U10597" s="2"/>
      <c r="V10597" s="2"/>
      <c r="W10597" s="2"/>
      <c r="X10597" s="2"/>
      <c r="Y10597" s="2"/>
      <c r="Z10597" s="2"/>
    </row>
    <row r="10598" spans="1:26" ht="16.5" x14ac:dyDescent="0.35">
      <c r="A10598" s="2" t="str">
        <f ca="1">IFERROR(__xludf.DUMMYFUNCTION("""COMPUTED_VALUE"""),"Dubai")</f>
        <v>Dubai</v>
      </c>
      <c r="B10598" s="2" t="str">
        <f ca="1">IFERROR(__xludf.DUMMYFUNCTION("""COMPUTED_VALUE"""),"X-21")</f>
        <v>X-21</v>
      </c>
      <c r="C10598" s="2" t="str">
        <f ca="1">IFERROR(__xludf.DUMMYFUNCTION("""COMPUTED_VALUE"""),"Building")</f>
        <v>Building</v>
      </c>
      <c r="D10598" s="2" t="str">
        <f ca="1">IFERROR(__xludf.DUMMYFUNCTION("""COMPUTED_VALUE"""),"Dubai&gt;International City&gt;England Cluster&gt;X-21")</f>
        <v>Dubai&gt;International City&gt;England Cluster&gt;X-21</v>
      </c>
      <c r="E10598" s="2"/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  <c r="V10598" s="2"/>
      <c r="W10598" s="2"/>
      <c r="X10598" s="2"/>
      <c r="Y10598" s="2"/>
      <c r="Z10598" s="2"/>
    </row>
    <row r="10599" spans="1:26" ht="16.5" x14ac:dyDescent="0.35">
      <c r="A10599" s="2" t="str">
        <f ca="1">IFERROR(__xludf.DUMMYFUNCTION("""COMPUTED_VALUE"""),"Dubai")</f>
        <v>Dubai</v>
      </c>
      <c r="B10599" s="2" t="str">
        <f ca="1">IFERROR(__xludf.DUMMYFUNCTION("""COMPUTED_VALUE"""),"Z-01")</f>
        <v>Z-01</v>
      </c>
      <c r="C10599" s="2" t="str">
        <f ca="1">IFERROR(__xludf.DUMMYFUNCTION("""COMPUTED_VALUE"""),"Building")</f>
        <v>Building</v>
      </c>
      <c r="D10599" s="2" t="str">
        <f ca="1">IFERROR(__xludf.DUMMYFUNCTION("""COMPUTED_VALUE"""),"Dubai&gt;International City&gt;England Cluster&gt;Z-01")</f>
        <v>Dubai&gt;International City&gt;England Cluster&gt;Z-01</v>
      </c>
      <c r="E10599" s="2"/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  <c r="V10599" s="2"/>
      <c r="W10599" s="2"/>
      <c r="X10599" s="2"/>
      <c r="Y10599" s="2"/>
      <c r="Z10599" s="2"/>
    </row>
    <row r="10600" spans="1:26" ht="16.5" x14ac:dyDescent="0.35">
      <c r="A10600" s="2" t="str">
        <f ca="1">IFERROR(__xludf.DUMMYFUNCTION("""COMPUTED_VALUE"""),"Dubai")</f>
        <v>Dubai</v>
      </c>
      <c r="B10600" s="2" t="str">
        <f ca="1">IFERROR(__xludf.DUMMYFUNCTION("""COMPUTED_VALUE"""),"Ost Tower 4")</f>
        <v>Ost Tower 4</v>
      </c>
      <c r="C10600" s="2" t="str">
        <f ca="1">IFERROR(__xludf.DUMMYFUNCTION("""COMPUTED_VALUE"""),"Building")</f>
        <v>Building</v>
      </c>
      <c r="D10600" s="2" t="str">
        <f ca="1">IFERROR(__xludf.DUMMYFUNCTION("""COMPUTED_VALUE"""),"Dubai&gt;International City&gt;International City Phase 2 (Warsan 4)&gt;Ost Tower 4")</f>
        <v>Dubai&gt;International City&gt;International City Phase 2 (Warsan 4)&gt;Ost Tower 4</v>
      </c>
      <c r="E10600" s="2"/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  <c r="V10600" s="2"/>
      <c r="W10600" s="2"/>
      <c r="X10600" s="2"/>
      <c r="Y10600" s="2"/>
      <c r="Z10600" s="2"/>
    </row>
    <row r="10601" spans="1:26" ht="16.5" x14ac:dyDescent="0.35">
      <c r="A10601" s="2" t="str">
        <f ca="1">IFERROR(__xludf.DUMMYFUNCTION("""COMPUTED_VALUE"""),"Dubai")</f>
        <v>Dubai</v>
      </c>
      <c r="B10601" s="2" t="str">
        <f ca="1">IFERROR(__xludf.DUMMYFUNCTION("""COMPUTED_VALUE"""),"Al Towaza")</f>
        <v>Al Towaza</v>
      </c>
      <c r="C10601" s="2" t="str">
        <f ca="1">IFERROR(__xludf.DUMMYFUNCTION("""COMPUTED_VALUE"""),"Building")</f>
        <v>Building</v>
      </c>
      <c r="D10601" s="2" t="str">
        <f ca="1">IFERROR(__xludf.DUMMYFUNCTION("""COMPUTED_VALUE"""),"Dubai&gt;International City&gt;International City Phase 2 (Warsan 4)&gt;Al Towaza")</f>
        <v>Dubai&gt;International City&gt;International City Phase 2 (Warsan 4)&gt;Al Towaza</v>
      </c>
      <c r="E10601" s="2"/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2"/>
      <c r="T10601" s="2"/>
      <c r="U10601" s="2"/>
      <c r="V10601" s="2"/>
      <c r="W10601" s="2"/>
      <c r="X10601" s="2"/>
      <c r="Y10601" s="2"/>
      <c r="Z10601" s="2"/>
    </row>
    <row r="10602" spans="1:26" ht="16.5" x14ac:dyDescent="0.35">
      <c r="A10602" s="2" t="str">
        <f ca="1">IFERROR(__xludf.DUMMYFUNCTION("""COMPUTED_VALUE"""),"Dubai")</f>
        <v>Dubai</v>
      </c>
      <c r="B10602" s="2" t="str">
        <f ca="1">IFERROR(__xludf.DUMMYFUNCTION("""COMPUTED_VALUE"""),"HZ Residences 4")</f>
        <v>HZ Residences 4</v>
      </c>
      <c r="C10602" s="2" t="str">
        <f ca="1">IFERROR(__xludf.DUMMYFUNCTION("""COMPUTED_VALUE"""),"Building")</f>
        <v>Building</v>
      </c>
      <c r="D10602" s="2" t="str">
        <f ca="1">IFERROR(__xludf.DUMMYFUNCTION("""COMPUTED_VALUE"""),"Dubai&gt;International City&gt;International City Phase 2 (Warsan 4)&gt;HZ Residences 4")</f>
        <v>Dubai&gt;International City&gt;International City Phase 2 (Warsan 4)&gt;HZ Residences 4</v>
      </c>
      <c r="E10602" s="2"/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  <c r="V10602" s="2"/>
      <c r="W10602" s="2"/>
      <c r="X10602" s="2"/>
      <c r="Y10602" s="2"/>
      <c r="Z10602" s="2"/>
    </row>
    <row r="10603" spans="1:26" ht="16.5" x14ac:dyDescent="0.35">
      <c r="A10603" s="2" t="str">
        <f ca="1">IFERROR(__xludf.DUMMYFUNCTION("""COMPUTED_VALUE"""),"Dubai")</f>
        <v>Dubai</v>
      </c>
      <c r="B10603" s="2" t="str">
        <f ca="1">IFERROR(__xludf.DUMMYFUNCTION("""COMPUTED_VALUE"""),"Kyomi Residences")</f>
        <v>Kyomi Residences</v>
      </c>
      <c r="C10603" s="2" t="str">
        <f ca="1">IFERROR(__xludf.DUMMYFUNCTION("""COMPUTED_VALUE"""),"Building")</f>
        <v>Building</v>
      </c>
      <c r="D10603" s="2" t="str">
        <f ca="1">IFERROR(__xludf.DUMMYFUNCTION("""COMPUTED_VALUE"""),"Dubai&gt;International City&gt;International City Phase 2 (Warsan 4)&gt;Kyomi Residences")</f>
        <v>Dubai&gt;International City&gt;International City Phase 2 (Warsan 4)&gt;Kyomi Residences</v>
      </c>
      <c r="E10603" s="2"/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2"/>
      <c r="T10603" s="2"/>
      <c r="U10603" s="2"/>
      <c r="V10603" s="2"/>
      <c r="W10603" s="2"/>
      <c r="X10603" s="2"/>
      <c r="Y10603" s="2"/>
      <c r="Z10603" s="2"/>
    </row>
    <row r="10604" spans="1:26" ht="16.5" x14ac:dyDescent="0.35">
      <c r="A10604" s="2" t="str">
        <f ca="1">IFERROR(__xludf.DUMMYFUNCTION("""COMPUTED_VALUE"""),"Dubai")</f>
        <v>Dubai</v>
      </c>
      <c r="B10604" s="2" t="str">
        <f ca="1">IFERROR(__xludf.DUMMYFUNCTION("""COMPUTED_VALUE"""),"Nest")</f>
        <v>Nest</v>
      </c>
      <c r="C10604" s="2" t="str">
        <f ca="1">IFERROR(__xludf.DUMMYFUNCTION("""COMPUTED_VALUE"""),"Building")</f>
        <v>Building</v>
      </c>
      <c r="D10604" s="2" t="str">
        <f ca="1">IFERROR(__xludf.DUMMYFUNCTION("""COMPUTED_VALUE"""),"Dubai&gt;International City&gt;International City Phase 2 (Warsan 4)&gt;Nest")</f>
        <v>Dubai&gt;International City&gt;International City Phase 2 (Warsan 4)&gt;Nest</v>
      </c>
      <c r="E10604" s="2"/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  <c r="V10604" s="2"/>
      <c r="W10604" s="2"/>
      <c r="X10604" s="2"/>
      <c r="Y10604" s="2"/>
      <c r="Z10604" s="2"/>
    </row>
    <row r="10605" spans="1:26" ht="16.5" x14ac:dyDescent="0.35">
      <c r="A10605" s="2" t="str">
        <f ca="1">IFERROR(__xludf.DUMMYFUNCTION("""COMPUTED_VALUE"""),"Dubai")</f>
        <v>Dubai</v>
      </c>
      <c r="B10605" s="2" t="str">
        <f ca="1">IFERROR(__xludf.DUMMYFUNCTION("""COMPUTED_VALUE"""),"P-19")</f>
        <v>P-19</v>
      </c>
      <c r="C10605" s="2" t="str">
        <f ca="1">IFERROR(__xludf.DUMMYFUNCTION("""COMPUTED_VALUE"""),"Building")</f>
        <v>Building</v>
      </c>
      <c r="D10605" s="2" t="str">
        <f ca="1">IFERROR(__xludf.DUMMYFUNCTION("""COMPUTED_VALUE"""),"Dubai&gt;International City&gt;France Cluster&gt;P-19")</f>
        <v>Dubai&gt;International City&gt;France Cluster&gt;P-19</v>
      </c>
      <c r="E10605" s="2"/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  <c r="V10605" s="2"/>
      <c r="W10605" s="2"/>
      <c r="X10605" s="2"/>
      <c r="Y10605" s="2"/>
      <c r="Z10605" s="2"/>
    </row>
    <row r="10606" spans="1:26" ht="16.5" x14ac:dyDescent="0.35">
      <c r="A10606" s="2" t="str">
        <f ca="1">IFERROR(__xludf.DUMMYFUNCTION("""COMPUTED_VALUE"""),"Dubai")</f>
        <v>Dubai</v>
      </c>
      <c r="B10606" s="2" t="str">
        <f ca="1">IFERROR(__xludf.DUMMYFUNCTION("""COMPUTED_VALUE"""),"R-05")</f>
        <v>R-05</v>
      </c>
      <c r="C10606" s="2" t="str">
        <f ca="1">IFERROR(__xludf.DUMMYFUNCTION("""COMPUTED_VALUE"""),"Building")</f>
        <v>Building</v>
      </c>
      <c r="D10606" s="2" t="str">
        <f ca="1">IFERROR(__xludf.DUMMYFUNCTION("""COMPUTED_VALUE"""),"Dubai&gt;International City&gt;France Cluster&gt;R-05")</f>
        <v>Dubai&gt;International City&gt;France Cluster&gt;R-05</v>
      </c>
      <c r="E10606" s="2"/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  <c r="V10606" s="2"/>
      <c r="W10606" s="2"/>
      <c r="X10606" s="2"/>
      <c r="Y10606" s="2"/>
      <c r="Z10606" s="2"/>
    </row>
    <row r="10607" spans="1:26" ht="16.5" x14ac:dyDescent="0.35">
      <c r="A10607" s="2" t="str">
        <f ca="1">IFERROR(__xludf.DUMMYFUNCTION("""COMPUTED_VALUE"""),"Dubai")</f>
        <v>Dubai</v>
      </c>
      <c r="B10607" s="2" t="str">
        <f ca="1">IFERROR(__xludf.DUMMYFUNCTION("""COMPUTED_VALUE"""),"Petalz by Danube Tower B")</f>
        <v>Petalz by Danube Tower B</v>
      </c>
      <c r="C10607" s="2" t="str">
        <f ca="1">IFERROR(__xludf.DUMMYFUNCTION("""COMPUTED_VALUE"""),"Building")</f>
        <v>Building</v>
      </c>
      <c r="D10607" s="2" t="str">
        <f ca="1">IFERROR(__xludf.DUMMYFUNCTION("""COMPUTED_VALUE"""),"Dubai&gt;International City&gt;Petalz by Danube&gt;Petalz by Danube Tower B")</f>
        <v>Dubai&gt;International City&gt;Petalz by Danube&gt;Petalz by Danube Tower B</v>
      </c>
      <c r="E10607" s="2"/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2"/>
      <c r="T10607" s="2"/>
      <c r="U10607" s="2"/>
      <c r="V10607" s="2"/>
      <c r="W10607" s="2"/>
      <c r="X10607" s="2"/>
      <c r="Y10607" s="2"/>
      <c r="Z10607" s="2"/>
    </row>
    <row r="10608" spans="1:26" ht="16.5" x14ac:dyDescent="0.35">
      <c r="A10608" s="2" t="str">
        <f ca="1">IFERROR(__xludf.DUMMYFUNCTION("""COMPUTED_VALUE"""),"Dubai")</f>
        <v>Dubai</v>
      </c>
      <c r="B10608" s="2" t="str">
        <f ca="1">IFERROR(__xludf.DUMMYFUNCTION("""COMPUTED_VALUE"""),"CBD-D02")</f>
        <v>CBD-D02</v>
      </c>
      <c r="C10608" s="2" t="str">
        <f ca="1">IFERROR(__xludf.DUMMYFUNCTION("""COMPUTED_VALUE"""),"Building")</f>
        <v>Building</v>
      </c>
      <c r="D10608" s="2" t="str">
        <f ca="1">IFERROR(__xludf.DUMMYFUNCTION("""COMPUTED_VALUE"""),"Dubai&gt;International City&gt;Central Business District&gt;CBD-D02")</f>
        <v>Dubai&gt;International City&gt;Central Business District&gt;CBD-D02</v>
      </c>
      <c r="E10608" s="2"/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  <c r="V10608" s="2"/>
      <c r="W10608" s="2"/>
      <c r="X10608" s="2"/>
      <c r="Y10608" s="2"/>
      <c r="Z10608" s="2"/>
    </row>
    <row r="10609" spans="1:26" ht="16.5" x14ac:dyDescent="0.35">
      <c r="A10609" s="2" t="str">
        <f ca="1">IFERROR(__xludf.DUMMYFUNCTION("""COMPUTED_VALUE"""),"Dubai")</f>
        <v>Dubai</v>
      </c>
      <c r="B10609" s="2" t="str">
        <f ca="1">IFERROR(__xludf.DUMMYFUNCTION("""COMPUTED_VALUE"""),"Chubby Cheeks Dubai Marina")</f>
        <v>Chubby Cheeks Dubai Marina</v>
      </c>
      <c r="C10609" s="2" t="str">
        <f ca="1">IFERROR(__xludf.DUMMYFUNCTION("""COMPUTED_VALUE"""),"Nursery")</f>
        <v>Nursery</v>
      </c>
      <c r="D10609" s="2" t="str">
        <f ca="1">IFERROR(__xludf.DUMMYFUNCTION("""COMPUTED_VALUE"""),"Dubai&gt;Dubai Marina&gt;Chubby Cheeks Dubai Marina")</f>
        <v>Dubai&gt;Dubai Marina&gt;Chubby Cheeks Dubai Marina</v>
      </c>
      <c r="E10609" s="2"/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  <c r="V10609" s="2"/>
      <c r="W10609" s="2"/>
      <c r="X10609" s="2"/>
      <c r="Y10609" s="2"/>
      <c r="Z10609" s="2"/>
    </row>
    <row r="10610" spans="1:26" ht="16.5" x14ac:dyDescent="0.35">
      <c r="A10610" s="2" t="str">
        <f ca="1">IFERROR(__xludf.DUMMYFUNCTION("""COMPUTED_VALUE"""),"Dubai")</f>
        <v>Dubai</v>
      </c>
      <c r="B10610" s="2" t="str">
        <f ca="1">IFERROR(__xludf.DUMMYFUNCTION("""COMPUTED_VALUE"""),"Al Zarooni Building A")</f>
        <v>Al Zarooni Building A</v>
      </c>
      <c r="C10610" s="2" t="str">
        <f ca="1">IFERROR(__xludf.DUMMYFUNCTION("""COMPUTED_VALUE"""),"Building")</f>
        <v>Building</v>
      </c>
      <c r="D10610" s="2" t="str">
        <f ca="1">IFERROR(__xludf.DUMMYFUNCTION("""COMPUTED_VALUE"""),"Dubai&gt;Dubai Marina&gt;Al Zarooni Building&gt;Al Zarooni Building A")</f>
        <v>Dubai&gt;Dubai Marina&gt;Al Zarooni Building&gt;Al Zarooni Building A</v>
      </c>
      <c r="E10610" s="2"/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  <c r="V10610" s="2"/>
      <c r="W10610" s="2"/>
      <c r="X10610" s="2"/>
      <c r="Y10610" s="2"/>
      <c r="Z10610" s="2"/>
    </row>
    <row r="10611" spans="1:26" ht="16.5" x14ac:dyDescent="0.35">
      <c r="A10611" s="2" t="str">
        <f ca="1">IFERROR(__xludf.DUMMYFUNCTION("""COMPUTED_VALUE"""),"Dubai")</f>
        <v>Dubai</v>
      </c>
      <c r="B10611" s="2" t="str">
        <f ca="1">IFERROR(__xludf.DUMMYFUNCTION("""COMPUTED_VALUE"""),"Al Areifi Marina")</f>
        <v>Al Areifi Marina</v>
      </c>
      <c r="C10611" s="2" t="str">
        <f ca="1">IFERROR(__xludf.DUMMYFUNCTION("""COMPUTED_VALUE"""),"Building")</f>
        <v>Building</v>
      </c>
      <c r="D10611" s="2" t="str">
        <f ca="1">IFERROR(__xludf.DUMMYFUNCTION("""COMPUTED_VALUE"""),"Dubai&gt;Dubai Marina&gt;Al Areifi Marina")</f>
        <v>Dubai&gt;Dubai Marina&gt;Al Areifi Marina</v>
      </c>
      <c r="E10611" s="2"/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2"/>
      <c r="T10611" s="2"/>
      <c r="U10611" s="2"/>
      <c r="V10611" s="2"/>
      <c r="W10611" s="2"/>
      <c r="X10611" s="2"/>
      <c r="Y10611" s="2"/>
      <c r="Z10611" s="2"/>
    </row>
    <row r="10612" spans="1:26" ht="16.5" x14ac:dyDescent="0.35">
      <c r="A10612" s="2" t="str">
        <f ca="1">IFERROR(__xludf.DUMMYFUNCTION("""COMPUTED_VALUE"""),"Dubai")</f>
        <v>Dubai</v>
      </c>
      <c r="B10612" s="2" t="str">
        <f ca="1">IFERROR(__xludf.DUMMYFUNCTION("""COMPUTED_VALUE"""),"Al Murjan Tower")</f>
        <v>Al Murjan Tower</v>
      </c>
      <c r="C10612" s="2" t="str">
        <f ca="1">IFERROR(__xludf.DUMMYFUNCTION("""COMPUTED_VALUE"""),"Building")</f>
        <v>Building</v>
      </c>
      <c r="D10612" s="2" t="str">
        <f ca="1">IFERROR(__xludf.DUMMYFUNCTION("""COMPUTED_VALUE"""),"Dubai&gt;Dubai Marina&gt;Dubai Marina Towers&gt;Al Murjan Tower")</f>
        <v>Dubai&gt;Dubai Marina&gt;Dubai Marina Towers&gt;Al Murjan Tower</v>
      </c>
      <c r="E10612" s="2"/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  <c r="V10612" s="2"/>
      <c r="W10612" s="2"/>
      <c r="X10612" s="2"/>
      <c r="Y10612" s="2"/>
      <c r="Z10612" s="2"/>
    </row>
    <row r="10613" spans="1:26" ht="16.5" x14ac:dyDescent="0.35">
      <c r="A10613" s="2" t="str">
        <f ca="1">IFERROR(__xludf.DUMMYFUNCTION("""COMPUTED_VALUE"""),"Dubai")</f>
        <v>Dubai</v>
      </c>
      <c r="B10613" s="2" t="str">
        <f ca="1">IFERROR(__xludf.DUMMYFUNCTION("""COMPUTED_VALUE"""),"Shemara")</f>
        <v>Shemara</v>
      </c>
      <c r="C10613" s="2" t="str">
        <f ca="1">IFERROR(__xludf.DUMMYFUNCTION("""COMPUTED_VALUE"""),"Building")</f>
        <v>Building</v>
      </c>
      <c r="D10613" s="2" t="str">
        <f ca="1">IFERROR(__xludf.DUMMYFUNCTION("""COMPUTED_VALUE"""),"Dubai&gt;Dubai Marina&gt;Marina Promenade&gt;Shemara")</f>
        <v>Dubai&gt;Dubai Marina&gt;Marina Promenade&gt;Shemara</v>
      </c>
      <c r="E10613" s="2"/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2"/>
      <c r="T10613" s="2"/>
      <c r="U10613" s="2"/>
      <c r="V10613" s="2"/>
      <c r="W10613" s="2"/>
      <c r="X10613" s="2"/>
      <c r="Y10613" s="2"/>
      <c r="Z10613" s="2"/>
    </row>
    <row r="10614" spans="1:26" ht="16.5" x14ac:dyDescent="0.35">
      <c r="A10614" s="2" t="str">
        <f ca="1">IFERROR(__xludf.DUMMYFUNCTION("""COMPUTED_VALUE"""),"Dubai")</f>
        <v>Dubai</v>
      </c>
      <c r="B10614" s="2" t="str">
        <f ca="1">IFERROR(__xludf.DUMMYFUNCTION("""COMPUTED_VALUE"""),"Iris Blue")</f>
        <v>Iris Blue</v>
      </c>
      <c r="C10614" s="2" t="str">
        <f ca="1">IFERROR(__xludf.DUMMYFUNCTION("""COMPUTED_VALUE"""),"Building")</f>
        <v>Building</v>
      </c>
      <c r="D10614" s="2" t="str">
        <f ca="1">IFERROR(__xludf.DUMMYFUNCTION("""COMPUTED_VALUE"""),"Dubai&gt;Dubai Marina&gt;Iris Blue")</f>
        <v>Dubai&gt;Dubai Marina&gt;Iris Blue</v>
      </c>
      <c r="E10614" s="2"/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  <c r="V10614" s="2"/>
      <c r="W10614" s="2"/>
      <c r="X10614" s="2"/>
      <c r="Y10614" s="2"/>
      <c r="Z10614" s="2"/>
    </row>
    <row r="10615" spans="1:26" ht="16.5" x14ac:dyDescent="0.35">
      <c r="A10615" s="2" t="str">
        <f ca="1">IFERROR(__xludf.DUMMYFUNCTION("""COMPUTED_VALUE"""),"Dubai")</f>
        <v>Dubai</v>
      </c>
      <c r="B10615" s="2" t="str">
        <f ca="1">IFERROR(__xludf.DUMMYFUNCTION("""COMPUTED_VALUE"""),"ARY Marina View Villas")</f>
        <v>ARY Marina View Villas</v>
      </c>
      <c r="C10615" s="2" t="str">
        <f ca="1">IFERROR(__xludf.DUMMYFUNCTION("""COMPUTED_VALUE"""),"Neighbourhood")</f>
        <v>Neighbourhood</v>
      </c>
      <c r="D10615" s="2" t="str">
        <f ca="1">IFERROR(__xludf.DUMMYFUNCTION("""COMPUTED_VALUE"""),"Dubai&gt;Dubai Marina&gt;ARY Marina View Villas")</f>
        <v>Dubai&gt;Dubai Marina&gt;ARY Marina View Villas</v>
      </c>
      <c r="E10615" s="2"/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2"/>
      <c r="T10615" s="2"/>
      <c r="U10615" s="2"/>
      <c r="V10615" s="2"/>
      <c r="W10615" s="2"/>
      <c r="X10615" s="2"/>
      <c r="Y10615" s="2"/>
      <c r="Z10615" s="2"/>
    </row>
    <row r="10616" spans="1:26" ht="16.5" x14ac:dyDescent="0.35">
      <c r="A10616" s="2" t="str">
        <f ca="1">IFERROR(__xludf.DUMMYFUNCTION("""COMPUTED_VALUE"""),"Dubai")</f>
        <v>Dubai</v>
      </c>
      <c r="B10616" s="2" t="str">
        <f ca="1">IFERROR(__xludf.DUMMYFUNCTION("""COMPUTED_VALUE"""),"The Residences at the Dubai Beach Edition Tower C")</f>
        <v>The Residences at the Dubai Beach Edition Tower C</v>
      </c>
      <c r="C10616" s="2" t="str">
        <f ca="1">IFERROR(__xludf.DUMMYFUNCTION("""COMPUTED_VALUE"""),"Building")</f>
        <v>Building</v>
      </c>
      <c r="D10616" s="2" t="str">
        <f ca="1">IFERROR(__xludf.DUMMYFUNCTION("""COMPUTED_VALUE"""),"Dubai&gt;Dubai Marina&gt;The Residences at the Dubai Beach Edition&gt;The Residences at the Dubai Beach Edition Tower C")</f>
        <v>Dubai&gt;Dubai Marina&gt;The Residences at the Dubai Beach Edition&gt;The Residences at the Dubai Beach Edition Tower C</v>
      </c>
      <c r="E10616" s="2"/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  <c r="V10616" s="2"/>
      <c r="W10616" s="2"/>
      <c r="X10616" s="2"/>
      <c r="Y10616" s="2"/>
      <c r="Z10616" s="2"/>
    </row>
    <row r="10617" spans="1:26" ht="16.5" x14ac:dyDescent="0.35">
      <c r="A10617" s="2" t="str">
        <f ca="1">IFERROR(__xludf.DUMMYFUNCTION("""COMPUTED_VALUE"""),"Dubai")</f>
        <v>Dubai</v>
      </c>
      <c r="B10617" s="2" t="str">
        <f ca="1">IFERROR(__xludf.DUMMYFUNCTION("""COMPUTED_VALUE"""),"UNA Apartments")</f>
        <v>UNA Apartments</v>
      </c>
      <c r="C10617" s="2" t="str">
        <f ca="1">IFERROR(__xludf.DUMMYFUNCTION("""COMPUTED_VALUE"""),"Building")</f>
        <v>Building</v>
      </c>
      <c r="D10617" s="2" t="str">
        <f ca="1">IFERROR(__xludf.DUMMYFUNCTION("""COMPUTED_VALUE"""),"Dubai&gt;Town Square&gt;UNA Apartments")</f>
        <v>Dubai&gt;Town Square&gt;UNA Apartments</v>
      </c>
      <c r="E10617" s="2"/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  <c r="V10617" s="2"/>
      <c r="W10617" s="2"/>
      <c r="X10617" s="2"/>
      <c r="Y10617" s="2"/>
      <c r="Z10617" s="2"/>
    </row>
    <row r="10618" spans="1:26" ht="16.5" x14ac:dyDescent="0.35">
      <c r="A10618" s="2" t="str">
        <f ca="1">IFERROR(__xludf.DUMMYFUNCTION("""COMPUTED_VALUE"""),"Dubai")</f>
        <v>Dubai</v>
      </c>
      <c r="B10618" s="2" t="str">
        <f ca="1">IFERROR(__xludf.DUMMYFUNCTION("""COMPUTED_VALUE"""),"Holland Gardens")</f>
        <v>Holland Gardens</v>
      </c>
      <c r="C10618" s="2" t="str">
        <f ca="1">IFERROR(__xludf.DUMMYFUNCTION("""COMPUTED_VALUE"""),"Building")</f>
        <v>Building</v>
      </c>
      <c r="D10618" s="2" t="str">
        <f ca="1">IFERROR(__xludf.DUMMYFUNCTION("""COMPUTED_VALUE"""),"Dubai&gt;Town Square&gt;Holland Gardens")</f>
        <v>Dubai&gt;Town Square&gt;Holland Gardens</v>
      </c>
      <c r="E10618" s="2"/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  <c r="V10618" s="2"/>
      <c r="W10618" s="2"/>
      <c r="X10618" s="2"/>
      <c r="Y10618" s="2"/>
      <c r="Z10618" s="2"/>
    </row>
    <row r="10619" spans="1:26" ht="16.5" x14ac:dyDescent="0.35">
      <c r="A10619" s="2" t="str">
        <f ca="1">IFERROR(__xludf.DUMMYFUNCTION("""COMPUTED_VALUE"""),"Dubai")</f>
        <v>Dubai</v>
      </c>
      <c r="B10619" s="2" t="str">
        <f ca="1">IFERROR(__xludf.DUMMYFUNCTION("""COMPUTED_VALUE"""),"Mira 2")</f>
        <v>Mira 2</v>
      </c>
      <c r="C10619" s="2" t="str">
        <f ca="1">IFERROR(__xludf.DUMMYFUNCTION("""COMPUTED_VALUE"""),"Neighbourhood")</f>
        <v>Neighbourhood</v>
      </c>
      <c r="D10619" s="2" t="str">
        <f ca="1">IFERROR(__xludf.DUMMYFUNCTION("""COMPUTED_VALUE"""),"Dubai&gt;Reem&gt;Mira&gt;Mira 2")</f>
        <v>Dubai&gt;Reem&gt;Mira&gt;Mira 2</v>
      </c>
      <c r="E10619" s="2"/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2"/>
      <c r="T10619" s="2"/>
      <c r="U10619" s="2"/>
      <c r="V10619" s="2"/>
      <c r="W10619" s="2"/>
      <c r="X10619" s="2"/>
      <c r="Y10619" s="2"/>
      <c r="Z10619" s="2"/>
    </row>
    <row r="10620" spans="1:26" ht="16.5" x14ac:dyDescent="0.35">
      <c r="A10620" s="2" t="str">
        <f ca="1">IFERROR(__xludf.DUMMYFUNCTION("""COMPUTED_VALUE"""),"Dubai")</f>
        <v>Dubai</v>
      </c>
      <c r="B10620" s="2" t="str">
        <f ca="1">IFERROR(__xludf.DUMMYFUNCTION("""COMPUTED_VALUE"""),"Murano Townhouse")</f>
        <v>Murano Townhouse</v>
      </c>
      <c r="C10620" s="2" t="str">
        <f ca="1">IFERROR(__xludf.DUMMYFUNCTION("""COMPUTED_VALUE"""),"Neighbourhood")</f>
        <v>Neighbourhood</v>
      </c>
      <c r="D10620" s="2" t="str">
        <f ca="1">IFERROR(__xludf.DUMMYFUNCTION("""COMPUTED_VALUE"""),"Dubai&gt;Al Furjan&gt;Murano Townhouse")</f>
        <v>Dubai&gt;Al Furjan&gt;Murano Townhouse</v>
      </c>
      <c r="E10620" s="2"/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  <c r="V10620" s="2"/>
      <c r="W10620" s="2"/>
      <c r="X10620" s="2"/>
      <c r="Y10620" s="2"/>
      <c r="Z10620" s="2"/>
    </row>
    <row r="10621" spans="1:26" ht="16.5" x14ac:dyDescent="0.35">
      <c r="A10621" s="2" t="str">
        <f ca="1">IFERROR(__xludf.DUMMYFUNCTION("""COMPUTED_VALUE"""),"Dubai")</f>
        <v>Dubai</v>
      </c>
      <c r="B10621" s="2" t="str">
        <f ca="1">IFERROR(__xludf.DUMMYFUNCTION("""COMPUTED_VALUE"""),"Starz by Danube")</f>
        <v>Starz by Danube</v>
      </c>
      <c r="C10621" s="2" t="str">
        <f ca="1">IFERROR(__xludf.DUMMYFUNCTION("""COMPUTED_VALUE"""),"Cluster")</f>
        <v>Cluster</v>
      </c>
      <c r="D10621" s="2" t="str">
        <f ca="1">IFERROR(__xludf.DUMMYFUNCTION("""COMPUTED_VALUE"""),"Dubai&gt;Al Furjan&gt;Starz by Danube")</f>
        <v>Dubai&gt;Al Furjan&gt;Starz by Danube</v>
      </c>
      <c r="E10621" s="2"/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  <c r="V10621" s="2"/>
      <c r="W10621" s="2"/>
      <c r="X10621" s="2"/>
      <c r="Y10621" s="2"/>
      <c r="Z10621" s="2"/>
    </row>
    <row r="10622" spans="1:26" ht="16.5" x14ac:dyDescent="0.35">
      <c r="A10622" s="2" t="str">
        <f ca="1">IFERROR(__xludf.DUMMYFUNCTION("""COMPUTED_VALUE"""),"Dubai")</f>
        <v>Dubai</v>
      </c>
      <c r="B10622" s="2" t="str">
        <f ca="1">IFERROR(__xludf.DUMMYFUNCTION("""COMPUTED_VALUE"""),"Azizi Amber")</f>
        <v>Azizi Amber</v>
      </c>
      <c r="C10622" s="2" t="str">
        <f ca="1">IFERROR(__xludf.DUMMYFUNCTION("""COMPUTED_VALUE"""),"Building")</f>
        <v>Building</v>
      </c>
      <c r="D10622" s="2" t="str">
        <f ca="1">IFERROR(__xludf.DUMMYFUNCTION("""COMPUTED_VALUE"""),"Dubai&gt;Al Furjan&gt;Azizi Amber")</f>
        <v>Dubai&gt;Al Furjan&gt;Azizi Amber</v>
      </c>
      <c r="E10622" s="2"/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  <c r="V10622" s="2"/>
      <c r="W10622" s="2"/>
      <c r="X10622" s="2"/>
      <c r="Y10622" s="2"/>
      <c r="Z10622" s="2"/>
    </row>
    <row r="10623" spans="1:26" ht="16.5" x14ac:dyDescent="0.35">
      <c r="A10623" s="2" t="str">
        <f ca="1">IFERROR(__xludf.DUMMYFUNCTION("""COMPUTED_VALUE"""),"Dubai")</f>
        <v>Dubai</v>
      </c>
      <c r="B10623" s="2" t="str">
        <f ca="1">IFERROR(__xludf.DUMMYFUNCTION("""COMPUTED_VALUE"""),"Pristine by Zoya")</f>
        <v>Pristine by Zoya</v>
      </c>
      <c r="C10623" s="2" t="str">
        <f ca="1">IFERROR(__xludf.DUMMYFUNCTION("""COMPUTED_VALUE"""),"Building")</f>
        <v>Building</v>
      </c>
      <c r="D10623" s="2" t="str">
        <f ca="1">IFERROR(__xludf.DUMMYFUNCTION("""COMPUTED_VALUE"""),"Dubai&gt;Al Furjan&gt;Pristine by Zoya")</f>
        <v>Dubai&gt;Al Furjan&gt;Pristine by Zoya</v>
      </c>
      <c r="E10623" s="2"/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2"/>
      <c r="T10623" s="2"/>
      <c r="U10623" s="2"/>
      <c r="V10623" s="2"/>
      <c r="W10623" s="2"/>
      <c r="X10623" s="2"/>
      <c r="Y10623" s="2"/>
      <c r="Z10623" s="2"/>
    </row>
    <row r="10624" spans="1:26" ht="16.5" x14ac:dyDescent="0.35">
      <c r="A10624" s="2" t="str">
        <f ca="1">IFERROR(__xludf.DUMMYFUNCTION("""COMPUTED_VALUE"""),"Dubai")</f>
        <v>Dubai</v>
      </c>
      <c r="B10624" s="2" t="str">
        <f ca="1">IFERROR(__xludf.DUMMYFUNCTION("""COMPUTED_VALUE"""),"Maison Cannelle Residences by Casa Moderna")</f>
        <v>Maison Cannelle Residences by Casa Moderna</v>
      </c>
      <c r="C10624" s="2" t="str">
        <f ca="1">IFERROR(__xludf.DUMMYFUNCTION("""COMPUTED_VALUE"""),"Building")</f>
        <v>Building</v>
      </c>
      <c r="D10624" s="2" t="str">
        <f ca="1">IFERROR(__xludf.DUMMYFUNCTION("""COMPUTED_VALUE"""),"Dubai&gt;Al Furjan&gt;Maison Cannelle Residences by Casa Moderna")</f>
        <v>Dubai&gt;Al Furjan&gt;Maison Cannelle Residences by Casa Moderna</v>
      </c>
      <c r="E10624" s="2"/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  <c r="V10624" s="2"/>
      <c r="W10624" s="2"/>
      <c r="X10624" s="2"/>
      <c r="Y10624" s="2"/>
      <c r="Z10624" s="2"/>
    </row>
    <row r="10625" spans="1:26" ht="16.5" x14ac:dyDescent="0.35">
      <c r="A10625" s="2" t="str">
        <f ca="1">IFERROR(__xludf.DUMMYFUNCTION("""COMPUTED_VALUE"""),"Dubai")</f>
        <v>Dubai</v>
      </c>
      <c r="B10625" s="2" t="str">
        <f ca="1">IFERROR(__xludf.DUMMYFUNCTION("""COMPUTED_VALUE"""),"Azizi Riviera 34")</f>
        <v>Azizi Riviera 34</v>
      </c>
      <c r="C10625" s="2" t="str">
        <f ca="1">IFERROR(__xludf.DUMMYFUNCTION("""COMPUTED_VALUE"""),"Building")</f>
        <v>Building</v>
      </c>
      <c r="D10625" s="2" t="str">
        <f ca="1">IFERROR(__xludf.DUMMYFUNCTION("""COMPUTED_VALUE"""),"Dubai&gt;Meydan City&gt;Meydan One&gt;Azizi Riviera&gt;Azizi Riviera 34")</f>
        <v>Dubai&gt;Meydan City&gt;Meydan One&gt;Azizi Riviera&gt;Azizi Riviera 34</v>
      </c>
      <c r="E10625" s="2"/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  <c r="V10625" s="2"/>
      <c r="W10625" s="2"/>
      <c r="X10625" s="2"/>
      <c r="Y10625" s="2"/>
      <c r="Z10625" s="2"/>
    </row>
    <row r="10626" spans="1:26" ht="16.5" x14ac:dyDescent="0.35">
      <c r="A10626" s="2" t="str">
        <f ca="1">IFERROR(__xludf.DUMMYFUNCTION("""COMPUTED_VALUE"""),"Dubai")</f>
        <v>Dubai</v>
      </c>
      <c r="B10626" s="2" t="str">
        <f ca="1">IFERROR(__xludf.DUMMYFUNCTION("""COMPUTED_VALUE"""),"Azizi Riviera 22")</f>
        <v>Azizi Riviera 22</v>
      </c>
      <c r="C10626" s="2" t="str">
        <f ca="1">IFERROR(__xludf.DUMMYFUNCTION("""COMPUTED_VALUE"""),"Building")</f>
        <v>Building</v>
      </c>
      <c r="D10626" s="2" t="str">
        <f ca="1">IFERROR(__xludf.DUMMYFUNCTION("""COMPUTED_VALUE"""),"Dubai&gt;Meydan City&gt;Meydan One&gt;Azizi Riviera&gt;Azizi Riviera 22")</f>
        <v>Dubai&gt;Meydan City&gt;Meydan One&gt;Azizi Riviera&gt;Azizi Riviera 22</v>
      </c>
      <c r="E10626" s="2"/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  <c r="V10626" s="2"/>
      <c r="W10626" s="2"/>
      <c r="X10626" s="2"/>
      <c r="Y10626" s="2"/>
      <c r="Z10626" s="2"/>
    </row>
    <row r="10627" spans="1:26" ht="16.5" x14ac:dyDescent="0.35">
      <c r="A10627" s="2" t="str">
        <f ca="1">IFERROR(__xludf.DUMMYFUNCTION("""COMPUTED_VALUE"""),"Dubai")</f>
        <v>Dubai</v>
      </c>
      <c r="B10627" s="2" t="str">
        <f ca="1">IFERROR(__xludf.DUMMYFUNCTION("""COMPUTED_VALUE"""),"Azizi Riviera 66")</f>
        <v>Azizi Riviera 66</v>
      </c>
      <c r="C10627" s="2" t="str">
        <f ca="1">IFERROR(__xludf.DUMMYFUNCTION("""COMPUTED_VALUE"""),"Building")</f>
        <v>Building</v>
      </c>
      <c r="D10627" s="2" t="str">
        <f ca="1">IFERROR(__xludf.DUMMYFUNCTION("""COMPUTED_VALUE"""),"Dubai&gt;Meydan City&gt;Meydan One&gt;Azizi Riviera&gt;Azizi Riviera 66")</f>
        <v>Dubai&gt;Meydan City&gt;Meydan One&gt;Azizi Riviera&gt;Azizi Riviera 66</v>
      </c>
      <c r="E10627" s="2"/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  <c r="V10627" s="2"/>
      <c r="W10627" s="2"/>
      <c r="X10627" s="2"/>
      <c r="Y10627" s="2"/>
      <c r="Z10627" s="2"/>
    </row>
    <row r="10628" spans="1:26" ht="16.5" x14ac:dyDescent="0.35">
      <c r="A10628" s="2" t="str">
        <f ca="1">IFERROR(__xludf.DUMMYFUNCTION("""COMPUTED_VALUE"""),"Dubai")</f>
        <v>Dubai</v>
      </c>
      <c r="B10628" s="2" t="str">
        <f ca="1">IFERROR(__xludf.DUMMYFUNCTION("""COMPUTED_VALUE"""),"Polo Residence C6")</f>
        <v>Polo Residence C6</v>
      </c>
      <c r="C10628" s="2" t="str">
        <f ca="1">IFERROR(__xludf.DUMMYFUNCTION("""COMPUTED_VALUE"""),"Building")</f>
        <v>Building</v>
      </c>
      <c r="D10628" s="2" t="str">
        <f ca="1">IFERROR(__xludf.DUMMYFUNCTION("""COMPUTED_VALUE"""),"Dubai&gt;Meydan City&gt;Meydan Avenue&gt;Polo Residence&gt;Polo Residence C6")</f>
        <v>Dubai&gt;Meydan City&gt;Meydan Avenue&gt;Polo Residence&gt;Polo Residence C6</v>
      </c>
      <c r="E10628" s="2"/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  <c r="V10628" s="2"/>
      <c r="W10628" s="2"/>
      <c r="X10628" s="2"/>
      <c r="Y10628" s="2"/>
      <c r="Z10628" s="2"/>
    </row>
    <row r="10629" spans="1:26" ht="16.5" x14ac:dyDescent="0.35">
      <c r="A10629" s="2" t="str">
        <f ca="1">IFERROR(__xludf.DUMMYFUNCTION("""COMPUTED_VALUE"""),"Dubai")</f>
        <v>Dubai</v>
      </c>
      <c r="B10629" s="2" t="str">
        <f ca="1">IFERROR(__xludf.DUMMYFUNCTION("""COMPUTED_VALUE"""),"Sama Meydan")</f>
        <v>Sama Meydan</v>
      </c>
      <c r="C10629" s="2" t="str">
        <f ca="1">IFERROR(__xludf.DUMMYFUNCTION("""COMPUTED_VALUE"""),"Building")</f>
        <v>Building</v>
      </c>
      <c r="D10629" s="2" t="str">
        <f ca="1">IFERROR(__xludf.DUMMYFUNCTION("""COMPUTED_VALUE"""),"Dubai&gt;Meydan City&gt;Meydan Avenue&gt;Sama Meydan")</f>
        <v>Dubai&gt;Meydan City&gt;Meydan Avenue&gt;Sama Meydan</v>
      </c>
      <c r="E10629" s="2"/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2"/>
      <c r="T10629" s="2"/>
      <c r="U10629" s="2"/>
      <c r="V10629" s="2"/>
      <c r="W10629" s="2"/>
      <c r="X10629" s="2"/>
      <c r="Y10629" s="2"/>
      <c r="Z10629" s="2"/>
    </row>
    <row r="10630" spans="1:26" ht="16.5" x14ac:dyDescent="0.35">
      <c r="A10630" s="2" t="str">
        <f ca="1">IFERROR(__xludf.DUMMYFUNCTION("""COMPUTED_VALUE"""),"Dubai")</f>
        <v>Dubai</v>
      </c>
      <c r="B10630" s="2" t="str">
        <f ca="1">IFERROR(__xludf.DUMMYFUNCTION("""COMPUTED_VALUE"""),"The Onyx")</f>
        <v>The Onyx</v>
      </c>
      <c r="C10630" s="2" t="str">
        <f ca="1">IFERROR(__xludf.DUMMYFUNCTION("""COMPUTED_VALUE"""),"Cluster")</f>
        <v>Cluster</v>
      </c>
      <c r="D10630" s="2" t="str">
        <f ca="1">IFERROR(__xludf.DUMMYFUNCTION("""COMPUTED_VALUE"""),"Dubai&gt;The Greens&gt;The Onyx")</f>
        <v>Dubai&gt;The Greens&gt;The Onyx</v>
      </c>
      <c r="E10630" s="2"/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  <c r="V10630" s="2"/>
      <c r="W10630" s="2"/>
      <c r="X10630" s="2"/>
      <c r="Y10630" s="2"/>
      <c r="Z10630" s="2"/>
    </row>
    <row r="10631" spans="1:26" ht="16.5" x14ac:dyDescent="0.35">
      <c r="A10631" s="2" t="str">
        <f ca="1">IFERROR(__xludf.DUMMYFUNCTION("""COMPUTED_VALUE"""),"Dubai")</f>
        <v>Dubai</v>
      </c>
      <c r="B10631" s="2" t="str">
        <f ca="1">IFERROR(__xludf.DUMMYFUNCTION("""COMPUTED_VALUE"""),"Al Thayyal 1")</f>
        <v>Al Thayyal 1</v>
      </c>
      <c r="C10631" s="2" t="str">
        <f ca="1">IFERROR(__xludf.DUMMYFUNCTION("""COMPUTED_VALUE"""),"Building")</f>
        <v>Building</v>
      </c>
      <c r="D10631" s="2" t="str">
        <f ca="1">IFERROR(__xludf.DUMMYFUNCTION("""COMPUTED_VALUE"""),"Dubai&gt;The Greens&gt;Al Thayyal&gt;Al Thayyal 1")</f>
        <v>Dubai&gt;The Greens&gt;Al Thayyal&gt;Al Thayyal 1</v>
      </c>
      <c r="E10631" s="2"/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2"/>
      <c r="T10631" s="2"/>
      <c r="U10631" s="2"/>
      <c r="V10631" s="2"/>
      <c r="W10631" s="2"/>
      <c r="X10631" s="2"/>
      <c r="Y10631" s="2"/>
      <c r="Z10631" s="2"/>
    </row>
    <row r="10632" spans="1:26" ht="16.5" x14ac:dyDescent="0.35">
      <c r="A10632" s="2" t="str">
        <f ca="1">IFERROR(__xludf.DUMMYFUNCTION("""COMPUTED_VALUE"""),"Dubai")</f>
        <v>Dubai</v>
      </c>
      <c r="B10632" s="2" t="str">
        <f ca="1">IFERROR(__xludf.DUMMYFUNCTION("""COMPUTED_VALUE"""),"Noor District")</f>
        <v>Noor District</v>
      </c>
      <c r="C10632" s="2" t="str">
        <f ca="1">IFERROR(__xludf.DUMMYFUNCTION("""COMPUTED_VALUE"""),"Neighbourhood")</f>
        <v>Neighbourhood</v>
      </c>
      <c r="D10632" s="2" t="str">
        <f ca="1">IFERROR(__xludf.DUMMYFUNCTION("""COMPUTED_VALUE"""),"Dubai&gt;Dubai Production City (IMPZ)&gt;Midtown&gt;Noor District")</f>
        <v>Dubai&gt;Dubai Production City (IMPZ)&gt;Midtown&gt;Noor District</v>
      </c>
      <c r="E10632" s="2"/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  <c r="V10632" s="2"/>
      <c r="W10632" s="2"/>
      <c r="X10632" s="2"/>
      <c r="Y10632" s="2"/>
      <c r="Z10632" s="2"/>
    </row>
    <row r="10633" spans="1:26" ht="16.5" x14ac:dyDescent="0.35">
      <c r="A10633" s="2" t="str">
        <f ca="1">IFERROR(__xludf.DUMMYFUNCTION("""COMPUTED_VALUE"""),"Dubai")</f>
        <v>Dubai</v>
      </c>
      <c r="B10633" s="2" t="str">
        <f ca="1">IFERROR(__xludf.DUMMYFUNCTION("""COMPUTED_VALUE"""),"The Crescent Tower B")</f>
        <v>The Crescent Tower B</v>
      </c>
      <c r="C10633" s="2" t="str">
        <f ca="1">IFERROR(__xludf.DUMMYFUNCTION("""COMPUTED_VALUE"""),"Building")</f>
        <v>Building</v>
      </c>
      <c r="D10633" s="2" t="str">
        <f ca="1">IFERROR(__xludf.DUMMYFUNCTION("""COMPUTED_VALUE"""),"Dubai&gt;Dubai Production City (IMPZ)&gt;The Crescent Towers&gt;The Crescent Tower B")</f>
        <v>Dubai&gt;Dubai Production City (IMPZ)&gt;The Crescent Towers&gt;The Crescent Tower B</v>
      </c>
      <c r="E10633" s="2"/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  <c r="V10633" s="2"/>
      <c r="W10633" s="2"/>
      <c r="X10633" s="2"/>
      <c r="Y10633" s="2"/>
      <c r="Z10633" s="2"/>
    </row>
    <row r="10634" spans="1:26" ht="16.5" x14ac:dyDescent="0.35">
      <c r="A10634" s="2" t="str">
        <f ca="1">IFERROR(__xludf.DUMMYFUNCTION("""COMPUTED_VALUE"""),"Dubai")</f>
        <v>Dubai</v>
      </c>
      <c r="B10634" s="2" t="str">
        <f ca="1">IFERROR(__xludf.DUMMYFUNCTION("""COMPUTED_VALUE"""),"Zaytouna Residence")</f>
        <v>Zaytouna Residence</v>
      </c>
      <c r="C10634" s="2" t="str">
        <f ca="1">IFERROR(__xludf.DUMMYFUNCTION("""COMPUTED_VALUE"""),"Building")</f>
        <v>Building</v>
      </c>
      <c r="D10634" s="2" t="str">
        <f ca="1">IFERROR(__xludf.DUMMYFUNCTION("""COMPUTED_VALUE"""),"Dubai&gt;Dubai Production City (IMPZ)&gt;Zaytouna Residence")</f>
        <v>Dubai&gt;Dubai Production City (IMPZ)&gt;Zaytouna Residence</v>
      </c>
      <c r="E10634" s="2"/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  <c r="V10634" s="2"/>
      <c r="W10634" s="2"/>
      <c r="X10634" s="2"/>
      <c r="Y10634" s="2"/>
      <c r="Z10634" s="2"/>
    </row>
    <row r="10635" spans="1:26" ht="16.5" x14ac:dyDescent="0.35">
      <c r="A10635" s="2" t="str">
        <f ca="1">IFERROR(__xludf.DUMMYFUNCTION("""COMPUTED_VALUE"""),"Dubai")</f>
        <v>Dubai</v>
      </c>
      <c r="B10635" s="2" t="str">
        <f ca="1">IFERROR(__xludf.DUMMYFUNCTION("""COMPUTED_VALUE"""),"Neem at Park Five")</f>
        <v>Neem at Park Five</v>
      </c>
      <c r="C10635" s="2" t="str">
        <f ca="1">IFERROR(__xludf.DUMMYFUNCTION("""COMPUTED_VALUE"""),"Building")</f>
        <v>Building</v>
      </c>
      <c r="D10635" s="2" t="str">
        <f ca="1">IFERROR(__xludf.DUMMYFUNCTION("""COMPUTED_VALUE"""),"Dubai&gt;Dubai Production City (IMPZ)&gt;Park Five by Deyaar&gt;Neem at Park Five")</f>
        <v>Dubai&gt;Dubai Production City (IMPZ)&gt;Park Five by Deyaar&gt;Neem at Park Five</v>
      </c>
      <c r="E10635" s="2"/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  <c r="V10635" s="2"/>
      <c r="W10635" s="2"/>
      <c r="X10635" s="2"/>
      <c r="Y10635" s="2"/>
      <c r="Z10635" s="2"/>
    </row>
    <row r="10636" spans="1:26" ht="16.5" x14ac:dyDescent="0.35">
      <c r="A10636" s="2" t="str">
        <f ca="1">IFERROR(__xludf.DUMMYFUNCTION("""COMPUTED_VALUE"""),"Dubai")</f>
        <v>Dubai</v>
      </c>
      <c r="B10636" s="2" t="str">
        <f ca="1">IFERROR(__xludf.DUMMYFUNCTION("""COMPUTED_VALUE"""),"Building 1")</f>
        <v>Building 1</v>
      </c>
      <c r="C10636" s="2" t="str">
        <f ca="1">IFERROR(__xludf.DUMMYFUNCTION("""COMPUTED_VALUE"""),"Building")</f>
        <v>Building</v>
      </c>
      <c r="D10636" s="2" t="str">
        <f ca="1">IFERROR(__xludf.DUMMYFUNCTION("""COMPUTED_VALUE"""),"Dubai&gt;Dubai Industrial City&gt;International Humanitarian City&gt;Building 1")</f>
        <v>Dubai&gt;Dubai Industrial City&gt;International Humanitarian City&gt;Building 1</v>
      </c>
      <c r="E10636" s="2"/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  <c r="V10636" s="2"/>
      <c r="W10636" s="2"/>
      <c r="X10636" s="2"/>
      <c r="Y10636" s="2"/>
      <c r="Z10636" s="2"/>
    </row>
    <row r="10637" spans="1:26" ht="16.5" x14ac:dyDescent="0.35">
      <c r="A10637" s="2" t="str">
        <f ca="1">IFERROR(__xludf.DUMMYFUNCTION("""COMPUTED_VALUE"""),"Dubai")</f>
        <v>Dubai</v>
      </c>
      <c r="B10637" s="2" t="str">
        <f ca="1">IFERROR(__xludf.DUMMYFUNCTION("""COMPUTED_VALUE"""),"API 1000")</f>
        <v>API 1000</v>
      </c>
      <c r="C10637" s="2" t="str">
        <f ca="1">IFERROR(__xludf.DUMMYFUNCTION("""COMPUTED_VALUE"""),"Building")</f>
        <v>Building</v>
      </c>
      <c r="D10637" s="2" t="str">
        <f ca="1">IFERROR(__xludf.DUMMYFUNCTION("""COMPUTED_VALUE"""),"Dubai&gt;Umm Al Sheif&gt;API 1000")</f>
        <v>Dubai&gt;Umm Al Sheif&gt;API 1000</v>
      </c>
      <c r="E10637" s="2"/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2"/>
      <c r="T10637" s="2"/>
      <c r="U10637" s="2"/>
      <c r="V10637" s="2"/>
      <c r="W10637" s="2"/>
      <c r="X10637" s="2"/>
      <c r="Y10637" s="2"/>
      <c r="Z10637" s="2"/>
    </row>
    <row r="10638" spans="1:26" ht="16.5" x14ac:dyDescent="0.35">
      <c r="A10638" s="2" t="str">
        <f ca="1">IFERROR(__xludf.DUMMYFUNCTION("""COMPUTED_VALUE"""),"Dubai")</f>
        <v>Dubai</v>
      </c>
      <c r="B10638" s="2" t="str">
        <f ca="1">IFERROR(__xludf.DUMMYFUNCTION("""COMPUTED_VALUE"""),"Beach Residences Dubai Islands")</f>
        <v>Beach Residences Dubai Islands</v>
      </c>
      <c r="C10638" s="2" t="str">
        <f ca="1">IFERROR(__xludf.DUMMYFUNCTION("""COMPUTED_VALUE"""),"Building")</f>
        <v>Building</v>
      </c>
      <c r="D10638" s="2" t="str">
        <f ca="1">IFERROR(__xludf.DUMMYFUNCTION("""COMPUTED_VALUE"""),"Dubai&gt;Dubai Islands&gt;Rixos Dubai Islands Hotel &amp; Residences&gt;Beach Residences Dubai Islands")</f>
        <v>Dubai&gt;Dubai Islands&gt;Rixos Dubai Islands Hotel &amp; Residences&gt;Beach Residences Dubai Islands</v>
      </c>
      <c r="E10638" s="2"/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  <c r="V10638" s="2"/>
      <c r="W10638" s="2"/>
      <c r="X10638" s="2"/>
      <c r="Y10638" s="2"/>
      <c r="Z10638" s="2"/>
    </row>
    <row r="10639" spans="1:26" ht="16.5" x14ac:dyDescent="0.35">
      <c r="A10639" s="2" t="str">
        <f ca="1">IFERROR(__xludf.DUMMYFUNCTION("""COMPUTED_VALUE"""),"Dubai")</f>
        <v>Dubai</v>
      </c>
      <c r="B10639" s="2" t="str">
        <f ca="1">IFERROR(__xludf.DUMMYFUNCTION("""COMPUTED_VALUE"""),"Ocean Pearl 2")</f>
        <v>Ocean Pearl 2</v>
      </c>
      <c r="C10639" s="2" t="str">
        <f ca="1">IFERROR(__xludf.DUMMYFUNCTION("""COMPUTED_VALUE"""),"Building")</f>
        <v>Building</v>
      </c>
      <c r="D10639" s="2" t="str">
        <f ca="1">IFERROR(__xludf.DUMMYFUNCTION("""COMPUTED_VALUE"""),"Dubai&gt;Dubai Islands&gt;Ocean Pearl 2")</f>
        <v>Dubai&gt;Dubai Islands&gt;Ocean Pearl 2</v>
      </c>
      <c r="E10639" s="2"/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  <c r="V10639" s="2"/>
      <c r="W10639" s="2"/>
      <c r="X10639" s="2"/>
      <c r="Y10639" s="2"/>
      <c r="Z10639" s="2"/>
    </row>
    <row r="10640" spans="1:26" ht="16.5" x14ac:dyDescent="0.35">
      <c r="A10640" s="2" t="str">
        <f ca="1">IFERROR(__xludf.DUMMYFUNCTION("""COMPUTED_VALUE"""),"Dubai")</f>
        <v>Dubai</v>
      </c>
      <c r="B10640" s="2" t="str">
        <f ca="1">IFERROR(__xludf.DUMMYFUNCTION("""COMPUTED_VALUE"""),"Agua Residences Tower 1")</f>
        <v>Agua Residences Tower 1</v>
      </c>
      <c r="C10640" s="2" t="str">
        <f ca="1">IFERROR(__xludf.DUMMYFUNCTION("""COMPUTED_VALUE"""),"Building")</f>
        <v>Building</v>
      </c>
      <c r="D10640" s="2" t="str">
        <f ca="1">IFERROR(__xludf.DUMMYFUNCTION("""COMPUTED_VALUE"""),"Dubai&gt;Dubai Islands&gt;Agua Residences&gt;Agua Residences Tower 1")</f>
        <v>Dubai&gt;Dubai Islands&gt;Agua Residences&gt;Agua Residences Tower 1</v>
      </c>
      <c r="E10640" s="2"/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  <c r="V10640" s="2"/>
      <c r="W10640" s="2"/>
      <c r="X10640" s="2"/>
      <c r="Y10640" s="2"/>
      <c r="Z10640" s="2"/>
    </row>
    <row r="10641" spans="1:26" ht="16.5" x14ac:dyDescent="0.35">
      <c r="A10641" s="2" t="str">
        <f ca="1">IFERROR(__xludf.DUMMYFUNCTION("""COMPUTED_VALUE"""),"Dubai")</f>
        <v>Dubai</v>
      </c>
      <c r="B10641" s="2" t="str">
        <f ca="1">IFERROR(__xludf.DUMMYFUNCTION("""COMPUTED_VALUE"""),"Samana Ocean Bay")</f>
        <v>Samana Ocean Bay</v>
      </c>
      <c r="C10641" s="2" t="str">
        <f ca="1">IFERROR(__xludf.DUMMYFUNCTION("""COMPUTED_VALUE"""),"Building")</f>
        <v>Building</v>
      </c>
      <c r="D10641" s="2" t="str">
        <f ca="1">IFERROR(__xludf.DUMMYFUNCTION("""COMPUTED_VALUE"""),"Dubai&gt;Dubai Islands&gt;Samana Ocean Bay")</f>
        <v>Dubai&gt;Dubai Islands&gt;Samana Ocean Bay</v>
      </c>
      <c r="E10641" s="2"/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2"/>
      <c r="T10641" s="2"/>
      <c r="U10641" s="2"/>
      <c r="V10641" s="2"/>
      <c r="W10641" s="2"/>
      <c r="X10641" s="2"/>
      <c r="Y10641" s="2"/>
      <c r="Z10641" s="2"/>
    </row>
    <row r="10642" spans="1:26" ht="16.5" x14ac:dyDescent="0.35">
      <c r="A10642" s="2" t="str">
        <f ca="1">IFERROR(__xludf.DUMMYFUNCTION("""COMPUTED_VALUE"""),"Dubai")</f>
        <v>Dubai</v>
      </c>
      <c r="B10642" s="2" t="str">
        <f ca="1">IFERROR(__xludf.DUMMYFUNCTION("""COMPUTED_VALUE"""),"241 Waterside")</f>
        <v>241 Waterside</v>
      </c>
      <c r="C10642" s="2" t="str">
        <f ca="1">IFERROR(__xludf.DUMMYFUNCTION("""COMPUTED_VALUE"""),"Building")</f>
        <v>Building</v>
      </c>
      <c r="D10642" s="2" t="str">
        <f ca="1">IFERROR(__xludf.DUMMYFUNCTION("""COMPUTED_VALUE"""),"Dubai&gt;Dubai Islands&gt;241 Waterside")</f>
        <v>Dubai&gt;Dubai Islands&gt;241 Waterside</v>
      </c>
      <c r="E10642" s="2"/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  <c r="V10642" s="2"/>
      <c r="W10642" s="2"/>
      <c r="X10642" s="2"/>
      <c r="Y10642" s="2"/>
      <c r="Z10642" s="2"/>
    </row>
    <row r="10643" spans="1:26" ht="16.5" x14ac:dyDescent="0.35">
      <c r="A10643" s="2" t="str">
        <f ca="1">IFERROR(__xludf.DUMMYFUNCTION("""COMPUTED_VALUE"""),"Dubai")</f>
        <v>Dubai</v>
      </c>
      <c r="B10643" s="2" t="str">
        <f ca="1">IFERROR(__xludf.DUMMYFUNCTION("""COMPUTED_VALUE"""),"Rukan")</f>
        <v>Rukan</v>
      </c>
      <c r="C10643" s="2" t="str">
        <f ca="1">IFERROR(__xludf.DUMMYFUNCTION("""COMPUTED_VALUE"""),"Neighbourhood")</f>
        <v>Neighbourhood</v>
      </c>
      <c r="D10643" s="2" t="str">
        <f ca="1">IFERROR(__xludf.DUMMYFUNCTION("""COMPUTED_VALUE"""),"Dubai&gt;Dubailand&gt;Rukan")</f>
        <v>Dubai&gt;Dubailand&gt;Rukan</v>
      </c>
      <c r="E10643" s="2"/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2"/>
      <c r="T10643" s="2"/>
      <c r="U10643" s="2"/>
      <c r="V10643" s="2"/>
      <c r="W10643" s="2"/>
      <c r="X10643" s="2"/>
      <c r="Y10643" s="2"/>
      <c r="Z10643" s="2"/>
    </row>
    <row r="10644" spans="1:26" ht="16.5" x14ac:dyDescent="0.35">
      <c r="A10644" s="2" t="str">
        <f ca="1">IFERROR(__xludf.DUMMYFUNCTION("""COMPUTED_VALUE"""),"Dubai")</f>
        <v>Dubai</v>
      </c>
      <c r="B10644" s="2" t="str">
        <f ca="1">IFERROR(__xludf.DUMMYFUNCTION("""COMPUTED_VALUE"""),"Paradise Hills")</f>
        <v>Paradise Hills</v>
      </c>
      <c r="C10644" s="2" t="str">
        <f ca="1">IFERROR(__xludf.DUMMYFUNCTION("""COMPUTED_VALUE"""),"Neighbourhood")</f>
        <v>Neighbourhood</v>
      </c>
      <c r="D10644" s="2" t="str">
        <f ca="1">IFERROR(__xludf.DUMMYFUNCTION("""COMPUTED_VALUE"""),"Dubai&gt;Dubailand&gt;Paradise Hills")</f>
        <v>Dubai&gt;Dubailand&gt;Paradise Hills</v>
      </c>
      <c r="E10644" s="2"/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  <c r="V10644" s="2"/>
      <c r="W10644" s="2"/>
      <c r="X10644" s="2"/>
      <c r="Y10644" s="2"/>
      <c r="Z10644" s="2"/>
    </row>
    <row r="10645" spans="1:26" ht="16.5" x14ac:dyDescent="0.35">
      <c r="A10645" s="2" t="str">
        <f ca="1">IFERROR(__xludf.DUMMYFUNCTION("""COMPUTED_VALUE"""),"Dubai")</f>
        <v>Dubai</v>
      </c>
      <c r="B10645" s="2" t="str">
        <f ca="1">IFERROR(__xludf.DUMMYFUNCTION("""COMPUTED_VALUE"""),"Crescent English High School")</f>
        <v>Crescent English High School</v>
      </c>
      <c r="C10645" s="2" t="str">
        <f ca="1">IFERROR(__xludf.DUMMYFUNCTION("""COMPUTED_VALUE"""),"School")</f>
        <v>School</v>
      </c>
      <c r="D10645" s="2" t="str">
        <f ca="1">IFERROR(__xludf.DUMMYFUNCTION("""COMPUTED_VALUE"""),"Dubai&gt;Al Qusais&gt;Al Qusais Residential Area&gt;Al Qusais 1&gt;Crescent English High School")</f>
        <v>Dubai&gt;Al Qusais&gt;Al Qusais Residential Area&gt;Al Qusais 1&gt;Crescent English High School</v>
      </c>
      <c r="E10645" s="2"/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  <c r="V10645" s="2"/>
      <c r="W10645" s="2"/>
      <c r="X10645" s="2"/>
      <c r="Y10645" s="2"/>
      <c r="Z10645" s="2"/>
    </row>
    <row r="10646" spans="1:26" ht="16.5" x14ac:dyDescent="0.35">
      <c r="A10646" s="2" t="str">
        <f ca="1">IFERROR(__xludf.DUMMYFUNCTION("""COMPUTED_VALUE"""),"Dubai")</f>
        <v>Dubai</v>
      </c>
      <c r="B10646" s="2" t="str">
        <f ca="1">IFERROR(__xludf.DUMMYFUNCTION("""COMPUTED_VALUE"""),"Golden Tower")</f>
        <v>Golden Tower</v>
      </c>
      <c r="C10646" s="2" t="str">
        <f ca="1">IFERROR(__xludf.DUMMYFUNCTION("""COMPUTED_VALUE"""),"Building")</f>
        <v>Building</v>
      </c>
      <c r="D10646" s="2" t="str">
        <f ca="1">IFERROR(__xludf.DUMMYFUNCTION("""COMPUTED_VALUE"""),"Dubai&gt;Al Qusais&gt;Al Qusais Residential Area&gt;Al Qusais 1&gt;Golden Tower")</f>
        <v>Dubai&gt;Al Qusais&gt;Al Qusais Residential Area&gt;Al Qusais 1&gt;Golden Tower</v>
      </c>
      <c r="E10646" s="2"/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  <c r="V10646" s="2"/>
      <c r="W10646" s="2"/>
      <c r="X10646" s="2"/>
      <c r="Y10646" s="2"/>
      <c r="Z10646" s="2"/>
    </row>
    <row r="10647" spans="1:26" ht="16.5" x14ac:dyDescent="0.35">
      <c r="A10647" s="2" t="str">
        <f ca="1">IFERROR(__xludf.DUMMYFUNCTION("""COMPUTED_VALUE"""),"Dubai")</f>
        <v>Dubai</v>
      </c>
      <c r="B10647" s="2" t="str">
        <f ca="1">IFERROR(__xludf.DUMMYFUNCTION("""COMPUTED_VALUE"""),"Mansoor Faqihi Building")</f>
        <v>Mansoor Faqihi Building</v>
      </c>
      <c r="C10647" s="2" t="str">
        <f ca="1">IFERROR(__xludf.DUMMYFUNCTION("""COMPUTED_VALUE"""),"Building")</f>
        <v>Building</v>
      </c>
      <c r="D10647" s="2" t="str">
        <f ca="1">IFERROR(__xludf.DUMMYFUNCTION("""COMPUTED_VALUE"""),"Dubai&gt;Al Qusais&gt;Al Qusais Industrial Area&gt;Al Qusais Industrial 5&gt;Mansoor Faqihi Building")</f>
        <v>Dubai&gt;Al Qusais&gt;Al Qusais Industrial Area&gt;Al Qusais Industrial 5&gt;Mansoor Faqihi Building</v>
      </c>
      <c r="E10647" s="2"/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2"/>
      <c r="T10647" s="2"/>
      <c r="U10647" s="2"/>
      <c r="V10647" s="2"/>
      <c r="W10647" s="2"/>
      <c r="X10647" s="2"/>
      <c r="Y10647" s="2"/>
      <c r="Z10647" s="2"/>
    </row>
    <row r="10648" spans="1:26" ht="16.5" x14ac:dyDescent="0.35">
      <c r="A10648" s="2" t="str">
        <f ca="1">IFERROR(__xludf.DUMMYFUNCTION("""COMPUTED_VALUE"""),"Dubai")</f>
        <v>Dubai</v>
      </c>
      <c r="B10648" s="2" t="str">
        <f ca="1">IFERROR(__xludf.DUMMYFUNCTION("""COMPUTED_VALUE"""),"GEMS Wellington Academy, Al Khail")</f>
        <v>GEMS Wellington Academy, Al Khail</v>
      </c>
      <c r="C10648" s="2" t="str">
        <f ca="1">IFERROR(__xludf.DUMMYFUNCTION("""COMPUTED_VALUE"""),"School")</f>
        <v>School</v>
      </c>
      <c r="D10648" s="2" t="str">
        <f ca="1">IFERROR(__xludf.DUMMYFUNCTION("""COMPUTED_VALUE"""),"Dubai&gt;Dubai Hills Estate&gt;GEMS Wellington Academy, Al Khail")</f>
        <v>Dubai&gt;Dubai Hills Estate&gt;GEMS Wellington Academy, Al Khail</v>
      </c>
      <c r="E10648" s="2"/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  <c r="V10648" s="2"/>
      <c r="W10648" s="2"/>
      <c r="X10648" s="2"/>
      <c r="Y10648" s="2"/>
      <c r="Z10648" s="2"/>
    </row>
    <row r="10649" spans="1:26" ht="16.5" x14ac:dyDescent="0.35">
      <c r="A10649" s="2" t="str">
        <f ca="1">IFERROR(__xludf.DUMMYFUNCTION("""COMPUTED_VALUE"""),"Dubai")</f>
        <v>Dubai</v>
      </c>
      <c r="B10649" s="2" t="str">
        <f ca="1">IFERROR(__xludf.DUMMYFUNCTION("""COMPUTED_VALUE"""),"Park Point")</f>
        <v>Park Point</v>
      </c>
      <c r="C10649" s="2" t="str">
        <f ca="1">IFERROR(__xludf.DUMMYFUNCTION("""COMPUTED_VALUE"""),"Cluster")</f>
        <v>Cluster</v>
      </c>
      <c r="D10649" s="2" t="str">
        <f ca="1">IFERROR(__xludf.DUMMYFUNCTION("""COMPUTED_VALUE"""),"Dubai&gt;Dubai Hills Estate&gt;Park Point")</f>
        <v>Dubai&gt;Dubai Hills Estate&gt;Park Point</v>
      </c>
      <c r="E10649" s="2"/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2"/>
      <c r="T10649" s="2"/>
      <c r="U10649" s="2"/>
      <c r="V10649" s="2"/>
      <c r="W10649" s="2"/>
      <c r="X10649" s="2"/>
      <c r="Y10649" s="2"/>
      <c r="Z10649" s="2"/>
    </row>
    <row r="10650" spans="1:26" ht="16.5" x14ac:dyDescent="0.35">
      <c r="A10650" s="2" t="str">
        <f ca="1">IFERROR(__xludf.DUMMYFUNCTION("""COMPUTED_VALUE"""),"Dubai")</f>
        <v>Dubai</v>
      </c>
      <c r="B10650" s="2" t="str">
        <f ca="1">IFERROR(__xludf.DUMMYFUNCTION("""COMPUTED_VALUE"""),"Collective Tower 2")</f>
        <v>Collective Tower 2</v>
      </c>
      <c r="C10650" s="2" t="str">
        <f ca="1">IFERROR(__xludf.DUMMYFUNCTION("""COMPUTED_VALUE"""),"Building")</f>
        <v>Building</v>
      </c>
      <c r="D10650" s="2" t="str">
        <f ca="1">IFERROR(__xludf.DUMMYFUNCTION("""COMPUTED_VALUE"""),"Dubai&gt;Dubai Hills Estate&gt;Collective&gt;Collective Tower 2")</f>
        <v>Dubai&gt;Dubai Hills Estate&gt;Collective&gt;Collective Tower 2</v>
      </c>
      <c r="E10650" s="2"/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  <c r="V10650" s="2"/>
      <c r="W10650" s="2"/>
      <c r="X10650" s="2"/>
      <c r="Y10650" s="2"/>
      <c r="Z10650" s="2"/>
    </row>
    <row r="10651" spans="1:26" ht="16.5" x14ac:dyDescent="0.35">
      <c r="A10651" s="2" t="str">
        <f ca="1">IFERROR(__xludf.DUMMYFUNCTION("""COMPUTED_VALUE"""),"Dubai")</f>
        <v>Dubai</v>
      </c>
      <c r="B10651" s="2" t="str">
        <f ca="1">IFERROR(__xludf.DUMMYFUNCTION("""COMPUTED_VALUE"""),"Golf Residences by Fortimo")</f>
        <v>Golf Residences by Fortimo</v>
      </c>
      <c r="C10651" s="2" t="str">
        <f ca="1">IFERROR(__xludf.DUMMYFUNCTION("""COMPUTED_VALUE"""),"Building")</f>
        <v>Building</v>
      </c>
      <c r="D10651" s="2" t="str">
        <f ca="1">IFERROR(__xludf.DUMMYFUNCTION("""COMPUTED_VALUE"""),"Dubai&gt;Dubai Hills Estate&gt;Golf Residences by Fortimo")</f>
        <v>Dubai&gt;Dubai Hills Estate&gt;Golf Residences by Fortimo</v>
      </c>
      <c r="E10651" s="2"/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  <c r="V10651" s="2"/>
      <c r="W10651" s="2"/>
      <c r="X10651" s="2"/>
      <c r="Y10651" s="2"/>
      <c r="Z10651" s="2"/>
    </row>
    <row r="10652" spans="1:26" ht="16.5" x14ac:dyDescent="0.35">
      <c r="A10652" s="2" t="str">
        <f ca="1">IFERROR(__xludf.DUMMYFUNCTION("""COMPUTED_VALUE"""),"Dubai")</f>
        <v>Dubai</v>
      </c>
      <c r="B10652" s="2" t="str">
        <f ca="1">IFERROR(__xludf.DUMMYFUNCTION("""COMPUTED_VALUE"""),"Club Place Tower C")</f>
        <v>Club Place Tower C</v>
      </c>
      <c r="C10652" s="2" t="str">
        <f ca="1">IFERROR(__xludf.DUMMYFUNCTION("""COMPUTED_VALUE"""),"Building")</f>
        <v>Building</v>
      </c>
      <c r="D10652" s="2" t="str">
        <f ca="1">IFERROR(__xludf.DUMMYFUNCTION("""COMPUTED_VALUE"""),"Dubai&gt;Dubai Hills Estate&gt;Club Place&gt;Club Place Tower C")</f>
        <v>Dubai&gt;Dubai Hills Estate&gt;Club Place&gt;Club Place Tower C</v>
      </c>
      <c r="E10652" s="2"/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  <c r="V10652" s="2"/>
      <c r="W10652" s="2"/>
      <c r="X10652" s="2"/>
      <c r="Y10652" s="2"/>
      <c r="Z10652" s="2"/>
    </row>
    <row r="10653" spans="1:26" ht="16.5" x14ac:dyDescent="0.35">
      <c r="A10653" s="2" t="str">
        <f ca="1">IFERROR(__xludf.DUMMYFUNCTION("""COMPUTED_VALUE"""),"Dubai")</f>
        <v>Dubai</v>
      </c>
      <c r="B10653" s="2" t="str">
        <f ca="1">IFERROR(__xludf.DUMMYFUNCTION("""COMPUTED_VALUE"""),"Al Yousuf Building")</f>
        <v>Al Yousuf Building</v>
      </c>
      <c r="C10653" s="2" t="str">
        <f ca="1">IFERROR(__xludf.DUMMYFUNCTION("""COMPUTED_VALUE"""),"Building")</f>
        <v>Building</v>
      </c>
      <c r="D10653" s="2" t="str">
        <f ca="1">IFERROR(__xludf.DUMMYFUNCTION("""COMPUTED_VALUE"""),"Dubai&gt;Deira&gt;Al Muraqqabat&gt;Al Yousuf Building")</f>
        <v>Dubai&gt;Deira&gt;Al Muraqqabat&gt;Al Yousuf Building</v>
      </c>
      <c r="E10653" s="2"/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2"/>
      <c r="T10653" s="2"/>
      <c r="U10653" s="2"/>
      <c r="V10653" s="2"/>
      <c r="W10653" s="2"/>
      <c r="X10653" s="2"/>
      <c r="Y10653" s="2"/>
      <c r="Z10653" s="2"/>
    </row>
    <row r="10654" spans="1:26" ht="16.5" x14ac:dyDescent="0.35">
      <c r="A10654" s="2" t="str">
        <f ca="1">IFERROR(__xludf.DUMMYFUNCTION("""COMPUTED_VALUE"""),"Dubai")</f>
        <v>Dubai</v>
      </c>
      <c r="B10654" s="2" t="str">
        <f ca="1">IFERROR(__xludf.DUMMYFUNCTION("""COMPUTED_VALUE"""),"Bayt Al Muraqqabat 01")</f>
        <v>Bayt Al Muraqqabat 01</v>
      </c>
      <c r="C10654" s="2" t="str">
        <f ca="1">IFERROR(__xludf.DUMMYFUNCTION("""COMPUTED_VALUE"""),"Building")</f>
        <v>Building</v>
      </c>
      <c r="D10654" s="2" t="str">
        <f ca="1">IFERROR(__xludf.DUMMYFUNCTION("""COMPUTED_VALUE"""),"Dubai&gt;Deira&gt;Al Muraqqabat&gt;Bayt Al Muraqqabat 01")</f>
        <v>Dubai&gt;Deira&gt;Al Muraqqabat&gt;Bayt Al Muraqqabat 01</v>
      </c>
      <c r="E10654" s="2"/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  <c r="V10654" s="2"/>
      <c r="W10654" s="2"/>
      <c r="X10654" s="2"/>
      <c r="Y10654" s="2"/>
      <c r="Z10654" s="2"/>
    </row>
    <row r="10655" spans="1:26" ht="16.5" x14ac:dyDescent="0.35">
      <c r="A10655" s="2" t="str">
        <f ca="1">IFERROR(__xludf.DUMMYFUNCTION("""COMPUTED_VALUE"""),"Dubai")</f>
        <v>Dubai</v>
      </c>
      <c r="B10655" s="2" t="str">
        <f ca="1">IFERROR(__xludf.DUMMYFUNCTION("""COMPUTED_VALUE"""),"Emaar Tower A")</f>
        <v>Emaar Tower A</v>
      </c>
      <c r="C10655" s="2" t="str">
        <f ca="1">IFERROR(__xludf.DUMMYFUNCTION("""COMPUTED_VALUE"""),"Building")</f>
        <v>Building</v>
      </c>
      <c r="D10655" s="2" t="str">
        <f ca="1">IFERROR(__xludf.DUMMYFUNCTION("""COMPUTED_VALUE"""),"Dubai&gt;Deira&gt;Riggat Al Buteen&gt;Emaar Towers&gt;Emaar Tower A")</f>
        <v>Dubai&gt;Deira&gt;Riggat Al Buteen&gt;Emaar Towers&gt;Emaar Tower A</v>
      </c>
      <c r="E10655" s="2"/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  <c r="V10655" s="2"/>
      <c r="W10655" s="2"/>
      <c r="X10655" s="2"/>
      <c r="Y10655" s="2"/>
      <c r="Z10655" s="2"/>
    </row>
    <row r="10656" spans="1:26" ht="16.5" x14ac:dyDescent="0.35">
      <c r="A10656" s="2" t="str">
        <f ca="1">IFERROR(__xludf.DUMMYFUNCTION("""COMPUTED_VALUE"""),"Dubai")</f>
        <v>Dubai</v>
      </c>
      <c r="B10656" s="2" t="str">
        <f ca="1">IFERROR(__xludf.DUMMYFUNCTION("""COMPUTED_VALUE"""),"Abu Hail Residence A")</f>
        <v>Abu Hail Residence A</v>
      </c>
      <c r="C10656" s="2" t="str">
        <f ca="1">IFERROR(__xludf.DUMMYFUNCTION("""COMPUTED_VALUE"""),"Building")</f>
        <v>Building</v>
      </c>
      <c r="D10656" s="2" t="str">
        <f ca="1">IFERROR(__xludf.DUMMYFUNCTION("""COMPUTED_VALUE"""),"Dubai&gt;Deira&gt;Hor Al Anz&gt;Abu Hail Residence A")</f>
        <v>Dubai&gt;Deira&gt;Hor Al Anz&gt;Abu Hail Residence A</v>
      </c>
      <c r="E10656" s="2"/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  <c r="V10656" s="2"/>
      <c r="W10656" s="2"/>
      <c r="X10656" s="2"/>
      <c r="Y10656" s="2"/>
      <c r="Z10656" s="2"/>
    </row>
    <row r="10657" spans="1:26" ht="16.5" x14ac:dyDescent="0.35">
      <c r="A10657" s="2" t="str">
        <f ca="1">IFERROR(__xludf.DUMMYFUNCTION("""COMPUTED_VALUE"""),"Dubai")</f>
        <v>Dubai</v>
      </c>
      <c r="B10657" s="2" t="str">
        <f ca="1">IFERROR(__xludf.DUMMYFUNCTION("""COMPUTED_VALUE"""),"Abdullah Kamber Business Center")</f>
        <v>Abdullah Kamber Business Center</v>
      </c>
      <c r="C10657" s="2" t="str">
        <f ca="1">IFERROR(__xludf.DUMMYFUNCTION("""COMPUTED_VALUE"""),"Building")</f>
        <v>Building</v>
      </c>
      <c r="D10657" s="2" t="str">
        <f ca="1">IFERROR(__xludf.DUMMYFUNCTION("""COMPUTED_VALUE"""),"Dubai&gt;Deira&gt;Hor Al Anz&gt;Abdullah Kamber Business Center")</f>
        <v>Dubai&gt;Deira&gt;Hor Al Anz&gt;Abdullah Kamber Business Center</v>
      </c>
      <c r="E10657" s="2"/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2"/>
      <c r="U10657" s="2"/>
      <c r="V10657" s="2"/>
      <c r="W10657" s="2"/>
      <c r="X10657" s="2"/>
      <c r="Y10657" s="2"/>
      <c r="Z10657" s="2"/>
    </row>
    <row r="10658" spans="1:26" ht="16.5" x14ac:dyDescent="0.35">
      <c r="A10658" s="2" t="str">
        <f ca="1">IFERROR(__xludf.DUMMYFUNCTION("""COMPUTED_VALUE"""),"Dubai")</f>
        <v>Dubai</v>
      </c>
      <c r="B10658" s="2" t="str">
        <f ca="1">IFERROR(__xludf.DUMMYFUNCTION("""COMPUTED_VALUE"""),"Technic Building")</f>
        <v>Technic Building</v>
      </c>
      <c r="C10658" s="2" t="str">
        <f ca="1">IFERROR(__xludf.DUMMYFUNCTION("""COMPUTED_VALUE"""),"Building")</f>
        <v>Building</v>
      </c>
      <c r="D10658" s="2" t="str">
        <f ca="1">IFERROR(__xludf.DUMMYFUNCTION("""COMPUTED_VALUE"""),"Dubai&gt;Deira&gt;Al Muteena&gt;Technic Building")</f>
        <v>Dubai&gt;Deira&gt;Al Muteena&gt;Technic Building</v>
      </c>
      <c r="E10658" s="2"/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  <c r="V10658" s="2"/>
      <c r="W10658" s="2"/>
      <c r="X10658" s="2"/>
      <c r="Y10658" s="2"/>
      <c r="Z10658" s="2"/>
    </row>
    <row r="10659" spans="1:26" ht="16.5" x14ac:dyDescent="0.35">
      <c r="A10659" s="2" t="str">
        <f ca="1">IFERROR(__xludf.DUMMYFUNCTION("""COMPUTED_VALUE"""),"Dubai")</f>
        <v>Dubai</v>
      </c>
      <c r="B10659" s="2" t="str">
        <f ca="1">IFERROR(__xludf.DUMMYFUNCTION("""COMPUTED_VALUE"""),"Shaikh Rashid Building")</f>
        <v>Shaikh Rashid Building</v>
      </c>
      <c r="C10659" s="2" t="str">
        <f ca="1">IFERROR(__xludf.DUMMYFUNCTION("""COMPUTED_VALUE"""),"Building")</f>
        <v>Building</v>
      </c>
      <c r="D10659" s="2" t="str">
        <f ca="1">IFERROR(__xludf.DUMMYFUNCTION("""COMPUTED_VALUE"""),"Dubai&gt;Deira&gt;Al Rigga&gt;Shaikh Rashid Building")</f>
        <v>Dubai&gt;Deira&gt;Al Rigga&gt;Shaikh Rashid Building</v>
      </c>
      <c r="E10659" s="2"/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2"/>
      <c r="T10659" s="2"/>
      <c r="U10659" s="2"/>
      <c r="V10659" s="2"/>
      <c r="W10659" s="2"/>
      <c r="X10659" s="2"/>
      <c r="Y10659" s="2"/>
      <c r="Z10659" s="2"/>
    </row>
    <row r="10660" spans="1:26" ht="16.5" x14ac:dyDescent="0.35">
      <c r="A10660" s="2" t="str">
        <f ca="1">IFERROR(__xludf.DUMMYFUNCTION("""COMPUTED_VALUE"""),"Dubai")</f>
        <v>Dubai</v>
      </c>
      <c r="B10660" s="2" t="str">
        <f ca="1">IFERROR(__xludf.DUMMYFUNCTION("""COMPUTED_VALUE"""),"Moza Plaza")</f>
        <v>Moza Plaza</v>
      </c>
      <c r="C10660" s="2" t="str">
        <f ca="1">IFERROR(__xludf.DUMMYFUNCTION("""COMPUTED_VALUE"""),"Cluster")</f>
        <v>Cluster</v>
      </c>
      <c r="D10660" s="2" t="str">
        <f ca="1">IFERROR(__xludf.DUMMYFUNCTION("""COMPUTED_VALUE"""),"Dubai&gt;Deira&gt;Deira Enrichment Project&gt;Moza Plaza")</f>
        <v>Dubai&gt;Deira&gt;Deira Enrichment Project&gt;Moza Plaza</v>
      </c>
      <c r="E10660" s="2"/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  <c r="V10660" s="2"/>
      <c r="W10660" s="2"/>
      <c r="X10660" s="2"/>
      <c r="Y10660" s="2"/>
      <c r="Z10660" s="2"/>
    </row>
    <row r="10661" spans="1:26" ht="16.5" x14ac:dyDescent="0.35">
      <c r="A10661" s="2" t="str">
        <f ca="1">IFERROR(__xludf.DUMMYFUNCTION("""COMPUTED_VALUE"""),"Dubai")</f>
        <v>Dubai</v>
      </c>
      <c r="B10661" s="2" t="str">
        <f ca="1">IFERROR(__xludf.DUMMYFUNCTION("""COMPUTED_VALUE"""),"A S B Building")</f>
        <v>A S B Building</v>
      </c>
      <c r="C10661" s="2" t="str">
        <f ca="1">IFERROR(__xludf.DUMMYFUNCTION("""COMPUTED_VALUE"""),"Building")</f>
        <v>Building</v>
      </c>
      <c r="D10661" s="2" t="str">
        <f ca="1">IFERROR(__xludf.DUMMYFUNCTION("""COMPUTED_VALUE"""),"Dubai&gt;Deira&gt;Naif&gt;A S B Building")</f>
        <v>Dubai&gt;Deira&gt;Naif&gt;A S B Building</v>
      </c>
      <c r="E10661" s="2"/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  <c r="V10661" s="2"/>
      <c r="W10661" s="2"/>
      <c r="X10661" s="2"/>
      <c r="Y10661" s="2"/>
      <c r="Z10661" s="2"/>
    </row>
    <row r="10662" spans="1:26" ht="16.5" x14ac:dyDescent="0.35">
      <c r="A10662" s="2" t="str">
        <f ca="1">IFERROR(__xludf.DUMMYFUNCTION("""COMPUTED_VALUE"""),"Dubai")</f>
        <v>Dubai</v>
      </c>
      <c r="B10662" s="2" t="str">
        <f ca="1">IFERROR(__xludf.DUMMYFUNCTION("""COMPUTED_VALUE"""),"Al Rimal NAF145")</f>
        <v>Al Rimal NAF145</v>
      </c>
      <c r="C10662" s="2" t="str">
        <f ca="1">IFERROR(__xludf.DUMMYFUNCTION("""COMPUTED_VALUE"""),"Building")</f>
        <v>Building</v>
      </c>
      <c r="D10662" s="2" t="str">
        <f ca="1">IFERROR(__xludf.DUMMYFUNCTION("""COMPUTED_VALUE"""),"Dubai&gt;Deira&gt;Naif&gt;Al Rimal NAF145")</f>
        <v>Dubai&gt;Deira&gt;Naif&gt;Al Rimal NAF145</v>
      </c>
      <c r="E10662" s="2"/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  <c r="V10662" s="2"/>
      <c r="W10662" s="2"/>
      <c r="X10662" s="2"/>
      <c r="Y10662" s="2"/>
      <c r="Z10662" s="2"/>
    </row>
    <row r="10663" spans="1:26" ht="16.5" x14ac:dyDescent="0.35">
      <c r="A10663" s="2" t="str">
        <f ca="1">IFERROR(__xludf.DUMMYFUNCTION("""COMPUTED_VALUE"""),"Dubai")</f>
        <v>Dubai</v>
      </c>
      <c r="B10663" s="2" t="str">
        <f ca="1">IFERROR(__xludf.DUMMYFUNCTION("""COMPUTED_VALUE"""),"Eid Mohammad Rashid Bin Turkeya Falasi Building")</f>
        <v>Eid Mohammad Rashid Bin Turkeya Falasi Building</v>
      </c>
      <c r="C10663" s="2" t="str">
        <f ca="1">IFERROR(__xludf.DUMMYFUNCTION("""COMPUTED_VALUE"""),"Building")</f>
        <v>Building</v>
      </c>
      <c r="D10663" s="2" t="str">
        <f ca="1">IFERROR(__xludf.DUMMYFUNCTION("""COMPUTED_VALUE"""),"Dubai&gt;Deira&gt;Al Murar&gt;Eid Mohammad Rashid Bin Turkeya Falasi Building")</f>
        <v>Dubai&gt;Deira&gt;Al Murar&gt;Eid Mohammad Rashid Bin Turkeya Falasi Building</v>
      </c>
      <c r="E10663" s="2"/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2"/>
      <c r="T10663" s="2"/>
      <c r="U10663" s="2"/>
      <c r="V10663" s="2"/>
      <c r="W10663" s="2"/>
      <c r="X10663" s="2"/>
      <c r="Y10663" s="2"/>
      <c r="Z10663" s="2"/>
    </row>
    <row r="10664" spans="1:26" ht="16.5" x14ac:dyDescent="0.35">
      <c r="A10664" s="2" t="str">
        <f ca="1">IFERROR(__xludf.DUMMYFUNCTION("""COMPUTED_VALUE"""),"Dubai")</f>
        <v>Dubai</v>
      </c>
      <c r="B10664" s="2" t="str">
        <f ca="1">IFERROR(__xludf.DUMMYFUNCTION("""COMPUTED_VALUE"""),"Al Sabkha 94")</f>
        <v>Al Sabkha 94</v>
      </c>
      <c r="C10664" s="2" t="str">
        <f ca="1">IFERROR(__xludf.DUMMYFUNCTION("""COMPUTED_VALUE"""),"Building")</f>
        <v>Building</v>
      </c>
      <c r="D10664" s="2" t="str">
        <f ca="1">IFERROR(__xludf.DUMMYFUNCTION("""COMPUTED_VALUE"""),"Dubai&gt;Deira&gt;Al Sabkha&gt;Al Sabkha 94")</f>
        <v>Dubai&gt;Deira&gt;Al Sabkha&gt;Al Sabkha 94</v>
      </c>
      <c r="E10664" s="2"/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  <c r="V10664" s="2"/>
      <c r="W10664" s="2"/>
      <c r="X10664" s="2"/>
      <c r="Y10664" s="2"/>
      <c r="Z10664" s="2"/>
    </row>
    <row r="10665" spans="1:26" ht="16.5" x14ac:dyDescent="0.35">
      <c r="A10665" s="2" t="str">
        <f ca="1">IFERROR(__xludf.DUMMYFUNCTION("""COMPUTED_VALUE"""),"Dubai")</f>
        <v>Dubai</v>
      </c>
      <c r="B10665" s="2" t="str">
        <f ca="1">IFERROR(__xludf.DUMMYFUNCTION("""COMPUTED_VALUE"""),"Nouf Tower")</f>
        <v>Nouf Tower</v>
      </c>
      <c r="C10665" s="2" t="str">
        <f ca="1">IFERROR(__xludf.DUMMYFUNCTION("""COMPUTED_VALUE"""),"Building")</f>
        <v>Building</v>
      </c>
      <c r="D10665" s="2" t="str">
        <f ca="1">IFERROR(__xludf.DUMMYFUNCTION("""COMPUTED_VALUE"""),"Dubai&gt;Deira&gt;Port Saeed&gt;Nouf Tower")</f>
        <v>Dubai&gt;Deira&gt;Port Saeed&gt;Nouf Tower</v>
      </c>
      <c r="E10665" s="2"/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  <c r="V10665" s="2"/>
      <c r="W10665" s="2"/>
      <c r="X10665" s="2"/>
      <c r="Y10665" s="2"/>
      <c r="Z10665" s="2"/>
    </row>
    <row r="10666" spans="1:26" ht="16.5" x14ac:dyDescent="0.35">
      <c r="A10666" s="2" t="str">
        <f ca="1">IFERROR(__xludf.DUMMYFUNCTION("""COMPUTED_VALUE"""),"Dubai")</f>
        <v>Dubai</v>
      </c>
      <c r="B10666" s="2" t="str">
        <f ca="1">IFERROR(__xludf.DUMMYFUNCTION("""COMPUTED_VALUE"""),"Al Deyafa Apartments")</f>
        <v>Al Deyafa Apartments</v>
      </c>
      <c r="C10666" s="2" t="str">
        <f ca="1">IFERROR(__xludf.DUMMYFUNCTION("""COMPUTED_VALUE"""),"Building")</f>
        <v>Building</v>
      </c>
      <c r="D10666" s="2" t="str">
        <f ca="1">IFERROR(__xludf.DUMMYFUNCTION("""COMPUTED_VALUE"""),"Dubai&gt;Deira&gt;Port Saeed&gt;Al Deyafa Apartments")</f>
        <v>Dubai&gt;Deira&gt;Port Saeed&gt;Al Deyafa Apartments</v>
      </c>
      <c r="E10666" s="2"/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  <c r="V10666" s="2"/>
      <c r="W10666" s="2"/>
      <c r="X10666" s="2"/>
      <c r="Y10666" s="2"/>
      <c r="Z10666" s="2"/>
    </row>
    <row r="10667" spans="1:26" ht="16.5" x14ac:dyDescent="0.35">
      <c r="A10667" s="2" t="str">
        <f ca="1">IFERROR(__xludf.DUMMYFUNCTION("""COMPUTED_VALUE"""),"Dubai")</f>
        <v>Dubai</v>
      </c>
      <c r="B10667" s="2" t="str">
        <f ca="1">IFERROR(__xludf.DUMMYFUNCTION("""COMPUTED_VALUE"""),"Executive Bay Tower Podium")</f>
        <v>Executive Bay Tower Podium</v>
      </c>
      <c r="C10667" s="2" t="str">
        <f ca="1">IFERROR(__xludf.DUMMYFUNCTION("""COMPUTED_VALUE"""),"Building")</f>
        <v>Building</v>
      </c>
      <c r="D10667" s="2" t="str">
        <f ca="1">IFERROR(__xludf.DUMMYFUNCTION("""COMPUTED_VALUE"""),"Dubai&gt;Business Bay&gt;The Executive Bay&gt;Executive Bay Tower Podium")</f>
        <v>Dubai&gt;Business Bay&gt;The Executive Bay&gt;Executive Bay Tower Podium</v>
      </c>
      <c r="E10667" s="2"/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2"/>
      <c r="T10667" s="2"/>
      <c r="U10667" s="2"/>
      <c r="V10667" s="2"/>
      <c r="W10667" s="2"/>
      <c r="X10667" s="2"/>
      <c r="Y10667" s="2"/>
      <c r="Z10667" s="2"/>
    </row>
    <row r="10668" spans="1:26" ht="16.5" x14ac:dyDescent="0.35">
      <c r="A10668" s="2" t="str">
        <f ca="1">IFERROR(__xludf.DUMMYFUNCTION("""COMPUTED_VALUE"""),"Dubai")</f>
        <v>Dubai</v>
      </c>
      <c r="B10668" s="2" t="str">
        <f ca="1">IFERROR(__xludf.DUMMYFUNCTION("""COMPUTED_VALUE"""),"Executive Tower M (West Heights 1)")</f>
        <v>Executive Tower M (West Heights 1)</v>
      </c>
      <c r="C10668" s="2" t="str">
        <f ca="1">IFERROR(__xludf.DUMMYFUNCTION("""COMPUTED_VALUE"""),"Building")</f>
        <v>Building</v>
      </c>
      <c r="D10668" s="2" t="str">
        <f ca="1">IFERROR(__xludf.DUMMYFUNCTION("""COMPUTED_VALUE"""),"Dubai&gt;Business Bay&gt;Executive Towers&gt;Executive Tower M (West Heights 1)")</f>
        <v>Dubai&gt;Business Bay&gt;Executive Towers&gt;Executive Tower M (West Heights 1)</v>
      </c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  <c r="V10668" s="2"/>
      <c r="W10668" s="2"/>
      <c r="X10668" s="2"/>
      <c r="Y10668" s="2"/>
      <c r="Z10668" s="2"/>
    </row>
    <row r="10669" spans="1:26" ht="16.5" x14ac:dyDescent="0.35">
      <c r="A10669" s="2" t="str">
        <f ca="1">IFERROR(__xludf.DUMMYFUNCTION("""COMPUTED_VALUE"""),"Dubai")</f>
        <v>Dubai</v>
      </c>
      <c r="B10669" s="2" t="str">
        <f ca="1">IFERROR(__xludf.DUMMYFUNCTION("""COMPUTED_VALUE"""),"Anantara Downtown Hotel")</f>
        <v>Anantara Downtown Hotel</v>
      </c>
      <c r="C10669" s="2" t="str">
        <f ca="1">IFERROR(__xludf.DUMMYFUNCTION("""COMPUTED_VALUE"""),"Building")</f>
        <v>Building</v>
      </c>
      <c r="D10669" s="2" t="str">
        <f ca="1">IFERROR(__xludf.DUMMYFUNCTION("""COMPUTED_VALUE"""),"Dubai&gt;Business Bay&gt;Anantara Downtown Towers&gt;Anantara Downtown Hotel")</f>
        <v>Dubai&gt;Business Bay&gt;Anantara Downtown Towers&gt;Anantara Downtown Hotel</v>
      </c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  <c r="V10669" s="2"/>
      <c r="W10669" s="2"/>
      <c r="X10669" s="2"/>
      <c r="Y10669" s="2"/>
      <c r="Z10669" s="2"/>
    </row>
    <row r="10670" spans="1:26" ht="16.5" x14ac:dyDescent="0.35">
      <c r="A10670" s="2" t="str">
        <f ca="1">IFERROR(__xludf.DUMMYFUNCTION("""COMPUTED_VALUE"""),"Dubai")</f>
        <v>Dubai</v>
      </c>
      <c r="B10670" s="2" t="str">
        <f ca="1">IFERROR(__xludf.DUMMYFUNCTION("""COMPUTED_VALUE"""),"Churchill Residence")</f>
        <v>Churchill Residence</v>
      </c>
      <c r="C10670" s="2" t="str">
        <f ca="1">IFERROR(__xludf.DUMMYFUNCTION("""COMPUTED_VALUE"""),"Building")</f>
        <v>Building</v>
      </c>
      <c r="D10670" s="2" t="str">
        <f ca="1">IFERROR(__xludf.DUMMYFUNCTION("""COMPUTED_VALUE"""),"Dubai&gt;Business Bay&gt;Churchill Towers&gt;Churchill Residence")</f>
        <v>Dubai&gt;Business Bay&gt;Churchill Towers&gt;Churchill Residence</v>
      </c>
      <c r="E10670" s="2"/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  <c r="V10670" s="2"/>
      <c r="W10670" s="2"/>
      <c r="X10670" s="2"/>
      <c r="Y10670" s="2"/>
      <c r="Z10670" s="2"/>
    </row>
    <row r="10671" spans="1:26" ht="16.5" x14ac:dyDescent="0.35">
      <c r="A10671" s="2" t="str">
        <f ca="1">IFERROR(__xludf.DUMMYFUNCTION("""COMPUTED_VALUE"""),"Dubai")</f>
        <v>Dubai</v>
      </c>
      <c r="B10671" s="2" t="str">
        <f ca="1">IFERROR(__xludf.DUMMYFUNCTION("""COMPUTED_VALUE"""),"Fairview Residency")</f>
        <v>Fairview Residency</v>
      </c>
      <c r="C10671" s="2" t="str">
        <f ca="1">IFERROR(__xludf.DUMMYFUNCTION("""COMPUTED_VALUE"""),"Building")</f>
        <v>Building</v>
      </c>
      <c r="D10671" s="2" t="str">
        <f ca="1">IFERROR(__xludf.DUMMYFUNCTION("""COMPUTED_VALUE"""),"Dubai&gt;Business Bay&gt;Fairview Residency")</f>
        <v>Dubai&gt;Business Bay&gt;Fairview Residency</v>
      </c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2"/>
      <c r="T10671" s="2"/>
      <c r="U10671" s="2"/>
      <c r="V10671" s="2"/>
      <c r="W10671" s="2"/>
      <c r="X10671" s="2"/>
      <c r="Y10671" s="2"/>
      <c r="Z10671" s="2"/>
    </row>
    <row r="10672" spans="1:26" ht="16.5" x14ac:dyDescent="0.35">
      <c r="A10672" s="2" t="str">
        <f ca="1">IFERROR(__xludf.DUMMYFUNCTION("""COMPUTED_VALUE"""),"Dubai")</f>
        <v>Dubai</v>
      </c>
      <c r="B10672" s="2" t="str">
        <f ca="1">IFERROR(__xludf.DUMMYFUNCTION("""COMPUTED_VALUE"""),"Escape Tower")</f>
        <v>Escape Tower</v>
      </c>
      <c r="C10672" s="2" t="str">
        <f ca="1">IFERROR(__xludf.DUMMYFUNCTION("""COMPUTED_VALUE"""),"Building")</f>
        <v>Building</v>
      </c>
      <c r="D10672" s="2" t="str">
        <f ca="1">IFERROR(__xludf.DUMMYFUNCTION("""COMPUTED_VALUE"""),"Dubai&gt;Business Bay&gt;Escape Tower")</f>
        <v>Dubai&gt;Business Bay&gt;Escape Tower</v>
      </c>
      <c r="E10672" s="2"/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  <c r="V10672" s="2"/>
      <c r="W10672" s="2"/>
      <c r="X10672" s="2"/>
      <c r="Y10672" s="2"/>
      <c r="Z10672" s="2"/>
    </row>
    <row r="10673" spans="1:26" ht="16.5" x14ac:dyDescent="0.35">
      <c r="A10673" s="2" t="str">
        <f ca="1">IFERROR(__xludf.DUMMYFUNCTION("""COMPUTED_VALUE"""),"Dubai")</f>
        <v>Dubai</v>
      </c>
      <c r="B10673" s="2" t="str">
        <f ca="1">IFERROR(__xludf.DUMMYFUNCTION("""COMPUTED_VALUE"""),"Prime Tower")</f>
        <v>Prime Tower</v>
      </c>
      <c r="C10673" s="2" t="str">
        <f ca="1">IFERROR(__xludf.DUMMYFUNCTION("""COMPUTED_VALUE"""),"Building")</f>
        <v>Building</v>
      </c>
      <c r="D10673" s="2" t="str">
        <f ca="1">IFERROR(__xludf.DUMMYFUNCTION("""COMPUTED_VALUE"""),"Dubai&gt;Business Bay&gt;Prime Tower")</f>
        <v>Dubai&gt;Business Bay&gt;Prime Tower</v>
      </c>
      <c r="E10673" s="2"/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  <c r="V10673" s="2"/>
      <c r="W10673" s="2"/>
      <c r="X10673" s="2"/>
      <c r="Y10673" s="2"/>
      <c r="Z10673" s="2"/>
    </row>
    <row r="10674" spans="1:26" ht="16.5" x14ac:dyDescent="0.35">
      <c r="A10674" s="2" t="str">
        <f ca="1">IFERROR(__xludf.DUMMYFUNCTION("""COMPUTED_VALUE"""),"Dubai")</f>
        <v>Dubai</v>
      </c>
      <c r="B10674" s="2" t="str">
        <f ca="1">IFERROR(__xludf.DUMMYFUNCTION("""COMPUTED_VALUE"""),"Royal Regency")</f>
        <v>Royal Regency</v>
      </c>
      <c r="C10674" s="2" t="str">
        <f ca="1">IFERROR(__xludf.DUMMYFUNCTION("""COMPUTED_VALUE"""),"Building")</f>
        <v>Building</v>
      </c>
      <c r="D10674" s="2" t="str">
        <f ca="1">IFERROR(__xludf.DUMMYFUNCTION("""COMPUTED_VALUE"""),"Dubai&gt;Business Bay&gt;Royal Regency")</f>
        <v>Dubai&gt;Business Bay&gt;Royal Regency</v>
      </c>
      <c r="E10674" s="2"/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  <c r="V10674" s="2"/>
      <c r="W10674" s="2"/>
      <c r="X10674" s="2"/>
      <c r="Y10674" s="2"/>
      <c r="Z10674" s="2"/>
    </row>
    <row r="10675" spans="1:26" ht="16.5" x14ac:dyDescent="0.35">
      <c r="A10675" s="2" t="str">
        <f ca="1">IFERROR(__xludf.DUMMYFUNCTION("""COMPUTED_VALUE"""),"Dubai")</f>
        <v>Dubai</v>
      </c>
      <c r="B10675" s="2" t="str">
        <f ca="1">IFERROR(__xludf.DUMMYFUNCTION("""COMPUTED_VALUE"""),"Royal Regency Suites Tower 2")</f>
        <v>Royal Regency Suites Tower 2</v>
      </c>
      <c r="C10675" s="2" t="str">
        <f ca="1">IFERROR(__xludf.DUMMYFUNCTION("""COMPUTED_VALUE"""),"Building")</f>
        <v>Building</v>
      </c>
      <c r="D10675" s="2" t="str">
        <f ca="1">IFERROR(__xludf.DUMMYFUNCTION("""COMPUTED_VALUE"""),"Dubai&gt;Business Bay&gt;Royal Regency Suites&gt;Royal Regency Suites Tower 2")</f>
        <v>Dubai&gt;Business Bay&gt;Royal Regency Suites&gt;Royal Regency Suites Tower 2</v>
      </c>
      <c r="E10675" s="2"/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2"/>
      <c r="T10675" s="2"/>
      <c r="U10675" s="2"/>
      <c r="V10675" s="2"/>
      <c r="W10675" s="2"/>
      <c r="X10675" s="2"/>
      <c r="Y10675" s="2"/>
      <c r="Z10675" s="2"/>
    </row>
    <row r="10676" spans="1:26" ht="16.5" x14ac:dyDescent="0.35">
      <c r="A10676" s="2" t="str">
        <f ca="1">IFERROR(__xludf.DUMMYFUNCTION("""COMPUTED_VALUE"""),"Dubai")</f>
        <v>Dubai</v>
      </c>
      <c r="B10676" s="2" t="str">
        <f ca="1">IFERROR(__xludf.DUMMYFUNCTION("""COMPUTED_VALUE"""),"Jumeirah Village Triangle (JVT)")</f>
        <v>Jumeirah Village Triangle (JVT)</v>
      </c>
      <c r="C10676" s="2" t="str">
        <f ca="1">IFERROR(__xludf.DUMMYFUNCTION("""COMPUTED_VALUE"""),"Neighbourhood")</f>
        <v>Neighbourhood</v>
      </c>
      <c r="D10676" s="2" t="str">
        <f ca="1">IFERROR(__xludf.DUMMYFUNCTION("""COMPUTED_VALUE"""),"Dubai&gt;Jumeirah Village Triangle (JVT)")</f>
        <v>Dubai&gt;Jumeirah Village Triangle (JVT)</v>
      </c>
      <c r="E10676" s="2"/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  <c r="V10676" s="2"/>
      <c r="W10676" s="2"/>
      <c r="X10676" s="2"/>
      <c r="Y10676" s="2"/>
      <c r="Z10676" s="2"/>
    </row>
    <row r="10677" spans="1:26" ht="16.5" x14ac:dyDescent="0.35">
      <c r="A10677" s="2" t="str">
        <f ca="1">IFERROR(__xludf.DUMMYFUNCTION("""COMPUTED_VALUE"""),"Dubai")</f>
        <v>Dubai</v>
      </c>
      <c r="B10677" s="2" t="str">
        <f ca="1">IFERROR(__xludf.DUMMYFUNCTION("""COMPUTED_VALUE"""),"District 8G")</f>
        <v>District 8G</v>
      </c>
      <c r="C10677" s="2" t="str">
        <f ca="1">IFERROR(__xludf.DUMMYFUNCTION("""COMPUTED_VALUE"""),"Neighbourhood")</f>
        <v>Neighbourhood</v>
      </c>
      <c r="D10677" s="2" t="str">
        <f ca="1">IFERROR(__xludf.DUMMYFUNCTION("""COMPUTED_VALUE"""),"Dubai&gt;Jumeirah Village Triangle (JVT)&gt;JVT District 8&gt;District 8G")</f>
        <v>Dubai&gt;Jumeirah Village Triangle (JVT)&gt;JVT District 8&gt;District 8G</v>
      </c>
      <c r="E10677" s="2"/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  <c r="V10677" s="2"/>
      <c r="W10677" s="2"/>
      <c r="X10677" s="2"/>
      <c r="Y10677" s="2"/>
      <c r="Z10677" s="2"/>
    </row>
    <row r="10678" spans="1:26" ht="16.5" x14ac:dyDescent="0.35">
      <c r="A10678" s="2" t="str">
        <f ca="1">IFERROR(__xludf.DUMMYFUNCTION("""COMPUTED_VALUE"""),"Dubai")</f>
        <v>Dubai</v>
      </c>
      <c r="B10678" s="2" t="str">
        <f ca="1">IFERROR(__xludf.DUMMYFUNCTION("""COMPUTED_VALUE"""),"Al Jawhara Tower")</f>
        <v>Al Jawhara Tower</v>
      </c>
      <c r="C10678" s="2" t="str">
        <f ca="1">IFERROR(__xludf.DUMMYFUNCTION("""COMPUTED_VALUE"""),"Building")</f>
        <v>Building</v>
      </c>
      <c r="D10678" s="2" t="str">
        <f ca="1">IFERROR(__xludf.DUMMYFUNCTION("""COMPUTED_VALUE"""),"Dubai&gt;Jumeirah Village Triangle (JVT)&gt;JVT District 2&gt;Al Jawhara Tower")</f>
        <v>Dubai&gt;Jumeirah Village Triangle (JVT)&gt;JVT District 2&gt;Al Jawhara Tower</v>
      </c>
      <c r="E10678" s="2"/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  <c r="V10678" s="2"/>
      <c r="W10678" s="2"/>
      <c r="X10678" s="2"/>
      <c r="Y10678" s="2"/>
      <c r="Z10678" s="2"/>
    </row>
    <row r="10679" spans="1:26" ht="16.5" x14ac:dyDescent="0.35">
      <c r="A10679" s="2" t="str">
        <f ca="1">IFERROR(__xludf.DUMMYFUNCTION("""COMPUTED_VALUE"""),"Dubai")</f>
        <v>Dubai</v>
      </c>
      <c r="B10679" s="2" t="str">
        <f ca="1">IFERROR(__xludf.DUMMYFUNCTION("""COMPUTED_VALUE"""),"Las Flores Residences")</f>
        <v>Las Flores Residences</v>
      </c>
      <c r="C10679" s="2" t="str">
        <f ca="1">IFERROR(__xludf.DUMMYFUNCTION("""COMPUTED_VALUE"""),"Building")</f>
        <v>Building</v>
      </c>
      <c r="D10679" s="2" t="str">
        <f ca="1">IFERROR(__xludf.DUMMYFUNCTION("""COMPUTED_VALUE"""),"Dubai&gt;Jumeirah Village Triangle (JVT)&gt;JVT District 7&gt;Las Flores Residences")</f>
        <v>Dubai&gt;Jumeirah Village Triangle (JVT)&gt;JVT District 7&gt;Las Flores Residences</v>
      </c>
      <c r="E10679" s="2"/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  <c r="V10679" s="2"/>
      <c r="W10679" s="2"/>
      <c r="X10679" s="2"/>
      <c r="Y10679" s="2"/>
      <c r="Z10679" s="2"/>
    </row>
    <row r="10680" spans="1:26" ht="16.5" x14ac:dyDescent="0.35">
      <c r="A10680" s="2" t="str">
        <f ca="1">IFERROR(__xludf.DUMMYFUNCTION("""COMPUTED_VALUE"""),"Dubai")</f>
        <v>Dubai</v>
      </c>
      <c r="B10680" s="2" t="str">
        <f ca="1">IFERROR(__xludf.DUMMYFUNCTION("""COMPUTED_VALUE"""),"ELAR1S Axis")</f>
        <v>ELAR1S Axis</v>
      </c>
      <c r="C10680" s="2" t="str">
        <f ca="1">IFERROR(__xludf.DUMMYFUNCTION("""COMPUTED_VALUE"""),"Building")</f>
        <v>Building</v>
      </c>
      <c r="D10680" s="2" t="str">
        <f ca="1">IFERROR(__xludf.DUMMYFUNCTION("""COMPUTED_VALUE"""),"Dubai&gt;Jumeirah Village Triangle (JVT)&gt;JVT District 1&gt;ELAR1S Axis")</f>
        <v>Dubai&gt;Jumeirah Village Triangle (JVT)&gt;JVT District 1&gt;ELAR1S Axis</v>
      </c>
      <c r="E10680" s="2"/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  <c r="V10680" s="2"/>
      <c r="W10680" s="2"/>
      <c r="X10680" s="2"/>
      <c r="Y10680" s="2"/>
      <c r="Z10680" s="2"/>
    </row>
    <row r="10681" spans="1:26" ht="16.5" x14ac:dyDescent="0.35">
      <c r="A10681" s="2" t="str">
        <f ca="1">IFERROR(__xludf.DUMMYFUNCTION("""COMPUTED_VALUE"""),"Dubai")</f>
        <v>Dubai</v>
      </c>
      <c r="B10681" s="2" t="str">
        <f ca="1">IFERROR(__xludf.DUMMYFUNCTION("""COMPUTED_VALUE"""),"Golden Wood Views")</f>
        <v>Golden Wood Views</v>
      </c>
      <c r="C10681" s="2" t="str">
        <f ca="1">IFERROR(__xludf.DUMMYFUNCTION("""COMPUTED_VALUE"""),"Building")</f>
        <v>Building</v>
      </c>
      <c r="D10681" s="2" t="str">
        <f ca="1">IFERROR(__xludf.DUMMYFUNCTION("""COMPUTED_VALUE"""),"Dubai&gt;Jumeirah Village Triangle (JVT)&gt;JVT District 3&gt;Golden Wood Views")</f>
        <v>Dubai&gt;Jumeirah Village Triangle (JVT)&gt;JVT District 3&gt;Golden Wood Views</v>
      </c>
      <c r="E10681" s="2"/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2"/>
      <c r="T10681" s="2"/>
      <c r="U10681" s="2"/>
      <c r="V10681" s="2"/>
      <c r="W10681" s="2"/>
      <c r="X10681" s="2"/>
      <c r="Y10681" s="2"/>
      <c r="Z10681" s="2"/>
    </row>
    <row r="10682" spans="1:26" ht="16.5" x14ac:dyDescent="0.35">
      <c r="A10682" s="2" t="str">
        <f ca="1">IFERROR(__xludf.DUMMYFUNCTION("""COMPUTED_VALUE"""),"Dubai")</f>
        <v>Dubai</v>
      </c>
      <c r="B10682" s="2" t="str">
        <f ca="1">IFERROR(__xludf.DUMMYFUNCTION("""COMPUTED_VALUE"""),"Al Ramth 23")</f>
        <v>Al Ramth 23</v>
      </c>
      <c r="C10682" s="2" t="str">
        <f ca="1">IFERROR(__xludf.DUMMYFUNCTION("""COMPUTED_VALUE"""),"Building")</f>
        <v>Building</v>
      </c>
      <c r="D10682" s="2" t="str">
        <f ca="1">IFERROR(__xludf.DUMMYFUNCTION("""COMPUTED_VALUE"""),"Dubai&gt;Remraam&gt;Al Ramth&gt;Al Ramth 23")</f>
        <v>Dubai&gt;Remraam&gt;Al Ramth&gt;Al Ramth 23</v>
      </c>
      <c r="E10682" s="2"/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  <c r="V10682" s="2"/>
      <c r="W10682" s="2"/>
      <c r="X10682" s="2"/>
      <c r="Y10682" s="2"/>
      <c r="Z10682" s="2"/>
    </row>
    <row r="10683" spans="1:26" ht="16.5" x14ac:dyDescent="0.35">
      <c r="A10683" s="2" t="str">
        <f ca="1">IFERROR(__xludf.DUMMYFUNCTION("""COMPUTED_VALUE"""),"Dubai")</f>
        <v>Dubai</v>
      </c>
      <c r="B10683" s="2" t="str">
        <f ca="1">IFERROR(__xludf.DUMMYFUNCTION("""COMPUTED_VALUE"""),"Al Ramth 27")</f>
        <v>Al Ramth 27</v>
      </c>
      <c r="C10683" s="2" t="str">
        <f ca="1">IFERROR(__xludf.DUMMYFUNCTION("""COMPUTED_VALUE"""),"Building")</f>
        <v>Building</v>
      </c>
      <c r="D10683" s="2" t="str">
        <f ca="1">IFERROR(__xludf.DUMMYFUNCTION("""COMPUTED_VALUE"""),"Dubai&gt;Remraam&gt;Al Ramth&gt;Al Ramth 27")</f>
        <v>Dubai&gt;Remraam&gt;Al Ramth&gt;Al Ramth 27</v>
      </c>
      <c r="E10683" s="2"/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  <c r="V10683" s="2"/>
      <c r="W10683" s="2"/>
      <c r="X10683" s="2"/>
      <c r="Y10683" s="2"/>
      <c r="Z10683" s="2"/>
    </row>
    <row r="10684" spans="1:26" ht="16.5" x14ac:dyDescent="0.35">
      <c r="A10684" s="2" t="str">
        <f ca="1">IFERROR(__xludf.DUMMYFUNCTION("""COMPUTED_VALUE"""),"Dubai")</f>
        <v>Dubai</v>
      </c>
      <c r="B10684" s="2" t="str">
        <f ca="1">IFERROR(__xludf.DUMMYFUNCTION("""COMPUTED_VALUE"""),"Al Thamam 61")</f>
        <v>Al Thamam 61</v>
      </c>
      <c r="C10684" s="2" t="str">
        <f ca="1">IFERROR(__xludf.DUMMYFUNCTION("""COMPUTED_VALUE"""),"Building")</f>
        <v>Building</v>
      </c>
      <c r="D10684" s="2" t="str">
        <f ca="1">IFERROR(__xludf.DUMMYFUNCTION("""COMPUTED_VALUE"""),"Dubai&gt;Remraam&gt;Al Thamam&gt;Al Thamam 61")</f>
        <v>Dubai&gt;Remraam&gt;Al Thamam&gt;Al Thamam 61</v>
      </c>
      <c r="E10684" s="2"/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2"/>
      <c r="T10684" s="2"/>
      <c r="U10684" s="2"/>
      <c r="V10684" s="2"/>
      <c r="W10684" s="2"/>
      <c r="X10684" s="2"/>
      <c r="Y10684" s="2"/>
      <c r="Z10684" s="2"/>
    </row>
    <row r="10685" spans="1:26" ht="16.5" x14ac:dyDescent="0.35">
      <c r="A10685" s="2" t="str">
        <f ca="1">IFERROR(__xludf.DUMMYFUNCTION("""COMPUTED_VALUE"""),"Dubai")</f>
        <v>Dubai</v>
      </c>
      <c r="B10685" s="2" t="str">
        <f ca="1">IFERROR(__xludf.DUMMYFUNCTION("""COMPUTED_VALUE"""),"The East Crest")</f>
        <v>The East Crest</v>
      </c>
      <c r="C10685" s="2" t="str">
        <f ca="1">IFERROR(__xludf.DUMMYFUNCTION("""COMPUTED_VALUE"""),"Building")</f>
        <v>Building</v>
      </c>
      <c r="D10685" s="2" t="str">
        <f ca="1">IFERROR(__xludf.DUMMYFUNCTION("""COMPUTED_VALUE"""),"Dubai&gt;Jumeirah Village Circle (JVC)&gt;JVC District 17&gt;The East Crest")</f>
        <v>Dubai&gt;Jumeirah Village Circle (JVC)&gt;JVC District 17&gt;The East Crest</v>
      </c>
      <c r="E10685" s="2"/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  <c r="V10685" s="2"/>
      <c r="W10685" s="2"/>
      <c r="X10685" s="2"/>
      <c r="Y10685" s="2"/>
      <c r="Z10685" s="2"/>
    </row>
    <row r="10686" spans="1:26" ht="16.5" x14ac:dyDescent="0.35">
      <c r="A10686" s="2" t="str">
        <f ca="1">IFERROR(__xludf.DUMMYFUNCTION("""COMPUTED_VALUE"""),"Dubai")</f>
        <v>Dubai</v>
      </c>
      <c r="B10686" s="2" t="str">
        <f ca="1">IFERROR(__xludf.DUMMYFUNCTION("""COMPUTED_VALUE"""),"Serena Residence")</f>
        <v>Serena Residence</v>
      </c>
      <c r="C10686" s="2" t="str">
        <f ca="1">IFERROR(__xludf.DUMMYFUNCTION("""COMPUTED_VALUE"""),"Building")</f>
        <v>Building</v>
      </c>
      <c r="D10686" s="2" t="str">
        <f ca="1">IFERROR(__xludf.DUMMYFUNCTION("""COMPUTED_VALUE"""),"Dubai&gt;Jumeirah Village Circle (JVC)&gt;JVC District 12&gt;Serena Residence")</f>
        <v>Dubai&gt;Jumeirah Village Circle (JVC)&gt;JVC District 12&gt;Serena Residence</v>
      </c>
      <c r="E10686" s="2"/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  <c r="V10686" s="2"/>
      <c r="W10686" s="2"/>
      <c r="X10686" s="2"/>
      <c r="Y10686" s="2"/>
      <c r="Z10686" s="2"/>
    </row>
    <row r="10687" spans="1:26" ht="16.5" x14ac:dyDescent="0.35">
      <c r="A10687" s="2" t="str">
        <f ca="1">IFERROR(__xludf.DUMMYFUNCTION("""COMPUTED_VALUE"""),"Dubai")</f>
        <v>Dubai</v>
      </c>
      <c r="B10687" s="2" t="str">
        <f ca="1">IFERROR(__xludf.DUMMYFUNCTION("""COMPUTED_VALUE"""),"Novem 2")</f>
        <v>Novem 2</v>
      </c>
      <c r="C10687" s="2" t="str">
        <f ca="1">IFERROR(__xludf.DUMMYFUNCTION("""COMPUTED_VALUE"""),"Building")</f>
        <v>Building</v>
      </c>
      <c r="D10687" s="2" t="str">
        <f ca="1">IFERROR(__xludf.DUMMYFUNCTION("""COMPUTED_VALUE"""),"Dubai&gt;Jumeirah Village Circle (JVC)&gt;JVC District 12&gt;Novem 2")</f>
        <v>Dubai&gt;Jumeirah Village Circle (JVC)&gt;JVC District 12&gt;Novem 2</v>
      </c>
      <c r="E10687" s="2"/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  <c r="V10687" s="2"/>
      <c r="W10687" s="2"/>
      <c r="X10687" s="2"/>
      <c r="Y10687" s="2"/>
      <c r="Z10687" s="2"/>
    </row>
    <row r="10688" spans="1:26" ht="16.5" x14ac:dyDescent="0.35">
      <c r="A10688" s="2" t="str">
        <f ca="1">IFERROR(__xludf.DUMMYFUNCTION("""COMPUTED_VALUE"""),"Dubai")</f>
        <v>Dubai</v>
      </c>
      <c r="B10688" s="2" t="str">
        <f ca="1">IFERROR(__xludf.DUMMYFUNCTION("""COMPUTED_VALUE"""),"Yellow Townhouses")</f>
        <v>Yellow Townhouses</v>
      </c>
      <c r="C10688" s="2" t="str">
        <f ca="1">IFERROR(__xludf.DUMMYFUNCTION("""COMPUTED_VALUE"""),"Neighbourhood")</f>
        <v>Neighbourhood</v>
      </c>
      <c r="D10688" s="2" t="str">
        <f ca="1">IFERROR(__xludf.DUMMYFUNCTION("""COMPUTED_VALUE"""),"Dubai&gt;Jumeirah Village Circle (JVC)&gt;JVC District 12&gt;Yellow Townhouses")</f>
        <v>Dubai&gt;Jumeirah Village Circle (JVC)&gt;JVC District 12&gt;Yellow Townhouses</v>
      </c>
      <c r="E10688" s="2"/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2"/>
      <c r="T10688" s="2"/>
      <c r="U10688" s="2"/>
      <c r="V10688" s="2"/>
      <c r="W10688" s="2"/>
      <c r="X10688" s="2"/>
      <c r="Y10688" s="2"/>
      <c r="Z10688" s="2"/>
    </row>
    <row r="10689" spans="1:26" ht="16.5" x14ac:dyDescent="0.35">
      <c r="A10689" s="2" t="str">
        <f ca="1">IFERROR(__xludf.DUMMYFUNCTION("""COMPUTED_VALUE"""),"Dubai")</f>
        <v>Dubai</v>
      </c>
      <c r="B10689" s="2" t="str">
        <f ca="1">IFERROR(__xludf.DUMMYFUNCTION("""COMPUTED_VALUE"""),"Plaza Residences Block B")</f>
        <v>Plaza Residences Block B</v>
      </c>
      <c r="C10689" s="2" t="str">
        <f ca="1">IFERROR(__xludf.DUMMYFUNCTION("""COMPUTED_VALUE"""),"Building")</f>
        <v>Building</v>
      </c>
      <c r="D10689" s="2" t="str">
        <f ca="1">IFERROR(__xludf.DUMMYFUNCTION("""COMPUTED_VALUE"""),"Dubai&gt;Jumeirah Village Circle (JVC)&gt;JVC District 13&gt;Plaza Residences&gt;Plaza Residences Block B")</f>
        <v>Dubai&gt;Jumeirah Village Circle (JVC)&gt;JVC District 13&gt;Plaza Residences&gt;Plaza Residences Block B</v>
      </c>
      <c r="E10689" s="2"/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  <c r="V10689" s="2"/>
      <c r="W10689" s="2"/>
      <c r="X10689" s="2"/>
      <c r="Y10689" s="2"/>
      <c r="Z10689" s="2"/>
    </row>
    <row r="10690" spans="1:26" ht="16.5" x14ac:dyDescent="0.35">
      <c r="A10690" s="2" t="str">
        <f ca="1">IFERROR(__xludf.DUMMYFUNCTION("""COMPUTED_VALUE"""),"Dubai")</f>
        <v>Dubai</v>
      </c>
      <c r="B10690" s="2" t="str">
        <f ca="1">IFERROR(__xludf.DUMMYFUNCTION("""COMPUTED_VALUE"""),"The Square Tower")</f>
        <v>The Square Tower</v>
      </c>
      <c r="C10690" s="2" t="str">
        <f ca="1">IFERROR(__xludf.DUMMYFUNCTION("""COMPUTED_VALUE"""),"Building")</f>
        <v>Building</v>
      </c>
      <c r="D10690" s="2" t="str">
        <f ca="1">IFERROR(__xludf.DUMMYFUNCTION("""COMPUTED_VALUE"""),"Dubai&gt;Jumeirah Village Circle (JVC)&gt;JVC District 13&gt;The Square Tower")</f>
        <v>Dubai&gt;Jumeirah Village Circle (JVC)&gt;JVC District 13&gt;The Square Tower</v>
      </c>
      <c r="E10690" s="2"/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  <c r="V10690" s="2"/>
      <c r="W10690" s="2"/>
      <c r="X10690" s="2"/>
      <c r="Y10690" s="2"/>
      <c r="Z10690" s="2"/>
    </row>
    <row r="10691" spans="1:26" ht="16.5" x14ac:dyDescent="0.35">
      <c r="A10691" s="2" t="str">
        <f ca="1">IFERROR(__xludf.DUMMYFUNCTION("""COMPUTED_VALUE"""),"Dubai")</f>
        <v>Dubai</v>
      </c>
      <c r="B10691" s="2" t="str">
        <f ca="1">IFERROR(__xludf.DUMMYFUNCTION("""COMPUTED_VALUE"""),"Almaan 101")</f>
        <v>Almaan 101</v>
      </c>
      <c r="C10691" s="2" t="str">
        <f ca="1">IFERROR(__xludf.DUMMYFUNCTION("""COMPUTED_VALUE"""),"Building")</f>
        <v>Building</v>
      </c>
      <c r="D10691" s="2" t="str">
        <f ca="1">IFERROR(__xludf.DUMMYFUNCTION("""COMPUTED_VALUE"""),"Dubai&gt;Jumeirah Village Circle (JVC)&gt;JVC District 13&gt;Almaan 101")</f>
        <v>Dubai&gt;Jumeirah Village Circle (JVC)&gt;JVC District 13&gt;Almaan 101</v>
      </c>
      <c r="E10691" s="2"/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  <c r="V10691" s="2"/>
      <c r="W10691" s="2"/>
      <c r="X10691" s="2"/>
      <c r="Y10691" s="2"/>
      <c r="Z10691" s="2"/>
    </row>
    <row r="10692" spans="1:26" ht="16.5" x14ac:dyDescent="0.35">
      <c r="A10692" s="2" t="str">
        <f ca="1">IFERROR(__xludf.DUMMYFUNCTION("""COMPUTED_VALUE"""),"Dubai")</f>
        <v>Dubai</v>
      </c>
      <c r="B10692" s="2" t="str">
        <f ca="1">IFERROR(__xludf.DUMMYFUNCTION("""COMPUTED_VALUE"""),"Skyhills Residence 3")</f>
        <v>Skyhills Residence 3</v>
      </c>
      <c r="C10692" s="2" t="str">
        <f ca="1">IFERROR(__xludf.DUMMYFUNCTION("""COMPUTED_VALUE"""),"Building")</f>
        <v>Building</v>
      </c>
      <c r="D10692" s="2" t="str">
        <f ca="1">IFERROR(__xludf.DUMMYFUNCTION("""COMPUTED_VALUE"""),"Dubai&gt;Jumeirah Village Circle (JVC)&gt;JVC District 18&gt;Skyhills Residence 3")</f>
        <v>Dubai&gt;Jumeirah Village Circle (JVC)&gt;JVC District 18&gt;Skyhills Residence 3</v>
      </c>
      <c r="E10692" s="2"/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2"/>
      <c r="T10692" s="2"/>
      <c r="U10692" s="2"/>
      <c r="V10692" s="2"/>
      <c r="W10692" s="2"/>
      <c r="X10692" s="2"/>
      <c r="Y10692" s="2"/>
      <c r="Z10692" s="2"/>
    </row>
    <row r="10693" spans="1:26" ht="16.5" x14ac:dyDescent="0.35">
      <c r="A10693" s="2" t="str">
        <f ca="1">IFERROR(__xludf.DUMMYFUNCTION("""COMPUTED_VALUE"""),"Dubai")</f>
        <v>Dubai</v>
      </c>
      <c r="B10693" s="2" t="str">
        <f ca="1">IFERROR(__xludf.DUMMYFUNCTION("""COMPUTED_VALUE"""),"La Riviera Apartments")</f>
        <v>La Riviera Apartments</v>
      </c>
      <c r="C10693" s="2" t="str">
        <f ca="1">IFERROR(__xludf.DUMMYFUNCTION("""COMPUTED_VALUE"""),"Building")</f>
        <v>Building</v>
      </c>
      <c r="D10693" s="2" t="str">
        <f ca="1">IFERROR(__xludf.DUMMYFUNCTION("""COMPUTED_VALUE"""),"Dubai&gt;Jumeirah Village Circle (JVC)&gt;JVC District 10&gt;La Riviera Apartments")</f>
        <v>Dubai&gt;Jumeirah Village Circle (JVC)&gt;JVC District 10&gt;La Riviera Apartments</v>
      </c>
      <c r="E10693" s="2"/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  <c r="V10693" s="2"/>
      <c r="W10693" s="2"/>
      <c r="X10693" s="2"/>
      <c r="Y10693" s="2"/>
      <c r="Z10693" s="2"/>
    </row>
    <row r="10694" spans="1:26" ht="16.5" x14ac:dyDescent="0.35">
      <c r="A10694" s="2" t="str">
        <f ca="1">IFERROR(__xludf.DUMMYFUNCTION("""COMPUTED_VALUE"""),"Dubai")</f>
        <v>Dubai</v>
      </c>
      <c r="B10694" s="2" t="str">
        <f ca="1">IFERROR(__xludf.DUMMYFUNCTION("""COMPUTED_VALUE"""),"Serenity Lakes 2")</f>
        <v>Serenity Lakes 2</v>
      </c>
      <c r="C10694" s="2" t="str">
        <f ca="1">IFERROR(__xludf.DUMMYFUNCTION("""COMPUTED_VALUE"""),"Building")</f>
        <v>Building</v>
      </c>
      <c r="D10694" s="2" t="str">
        <f ca="1">IFERROR(__xludf.DUMMYFUNCTION("""COMPUTED_VALUE"""),"Dubai&gt;Jumeirah Village Circle (JVC)&gt;JVC District 10&gt;Serenity Lakes 2")</f>
        <v>Dubai&gt;Jumeirah Village Circle (JVC)&gt;JVC District 10&gt;Serenity Lakes 2</v>
      </c>
      <c r="E10694" s="2"/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  <c r="V10694" s="2"/>
      <c r="W10694" s="2"/>
      <c r="X10694" s="2"/>
      <c r="Y10694" s="2"/>
      <c r="Z10694" s="2"/>
    </row>
    <row r="10695" spans="1:26" ht="16.5" x14ac:dyDescent="0.35">
      <c r="A10695" s="2" t="str">
        <f ca="1">IFERROR(__xludf.DUMMYFUNCTION("""COMPUTED_VALUE"""),"Dubai")</f>
        <v>Dubai</v>
      </c>
      <c r="B10695" s="2" t="str">
        <f ca="1">IFERROR(__xludf.DUMMYFUNCTION("""COMPUTED_VALUE"""),"Serenity Lakes 5")</f>
        <v>Serenity Lakes 5</v>
      </c>
      <c r="C10695" s="2" t="str">
        <f ca="1">IFERROR(__xludf.DUMMYFUNCTION("""COMPUTED_VALUE"""),"Building")</f>
        <v>Building</v>
      </c>
      <c r="D10695" s="2" t="str">
        <f ca="1">IFERROR(__xludf.DUMMYFUNCTION("""COMPUTED_VALUE"""),"Dubai&gt;Jumeirah Village Circle (JVC)&gt;JVC District 10&gt;Serenity Lakes 5")</f>
        <v>Dubai&gt;Jumeirah Village Circle (JVC)&gt;JVC District 10&gt;Serenity Lakes 5</v>
      </c>
      <c r="E10695" s="2"/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  <c r="V10695" s="2"/>
      <c r="W10695" s="2"/>
      <c r="X10695" s="2"/>
      <c r="Y10695" s="2"/>
      <c r="Z10695" s="2"/>
    </row>
    <row r="10696" spans="1:26" ht="16.5" x14ac:dyDescent="0.35">
      <c r="A10696" s="2" t="str">
        <f ca="1">IFERROR(__xludf.DUMMYFUNCTION("""COMPUTED_VALUE"""),"Dubai")</f>
        <v>Dubai</v>
      </c>
      <c r="B10696" s="2" t="str">
        <f ca="1">IFERROR(__xludf.DUMMYFUNCTION("""COMPUTED_VALUE"""),"La Riviera Estate Block C")</f>
        <v>La Riviera Estate Block C</v>
      </c>
      <c r="C10696" s="2" t="str">
        <f ca="1">IFERROR(__xludf.DUMMYFUNCTION("""COMPUTED_VALUE"""),"Neighbourhood")</f>
        <v>Neighbourhood</v>
      </c>
      <c r="D10696" s="2" t="str">
        <f ca="1">IFERROR(__xludf.DUMMYFUNCTION("""COMPUTED_VALUE"""),"Dubai&gt;Jumeirah Village Circle (JVC)&gt;JVC District 10&gt;La Riviera Estate Block C")</f>
        <v>Dubai&gt;Jumeirah Village Circle (JVC)&gt;JVC District 10&gt;La Riviera Estate Block C</v>
      </c>
      <c r="E10696" s="2"/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2"/>
      <c r="T10696" s="2"/>
      <c r="U10696" s="2"/>
      <c r="V10696" s="2"/>
      <c r="W10696" s="2"/>
      <c r="X10696" s="2"/>
      <c r="Y10696" s="2"/>
      <c r="Z10696" s="2"/>
    </row>
    <row r="10697" spans="1:26" ht="16.5" x14ac:dyDescent="0.35">
      <c r="A10697" s="2" t="str">
        <f ca="1">IFERROR(__xludf.DUMMYFUNCTION("""COMPUTED_VALUE"""),"Dubai")</f>
        <v>Dubai</v>
      </c>
      <c r="B10697" s="2" t="str">
        <f ca="1">IFERROR(__xludf.DUMMYFUNCTION("""COMPUTED_VALUE"""),"Circle Villas")</f>
        <v>Circle Villas</v>
      </c>
      <c r="C10697" s="2" t="str">
        <f ca="1">IFERROR(__xludf.DUMMYFUNCTION("""COMPUTED_VALUE"""),"Neighbourhood")</f>
        <v>Neighbourhood</v>
      </c>
      <c r="D10697" s="2" t="str">
        <f ca="1">IFERROR(__xludf.DUMMYFUNCTION("""COMPUTED_VALUE"""),"Dubai&gt;Jumeirah Village Circle (JVC)&gt;Circle Villas")</f>
        <v>Dubai&gt;Jumeirah Village Circle (JVC)&gt;Circle Villas</v>
      </c>
      <c r="E10697" s="2"/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  <c r="V10697" s="2"/>
      <c r="W10697" s="2"/>
      <c r="X10697" s="2"/>
      <c r="Y10697" s="2"/>
      <c r="Z10697" s="2"/>
    </row>
    <row r="10698" spans="1:26" ht="16.5" x14ac:dyDescent="0.35">
      <c r="A10698" s="2" t="str">
        <f ca="1">IFERROR(__xludf.DUMMYFUNCTION("""COMPUTED_VALUE"""),"Dubai")</f>
        <v>Dubai</v>
      </c>
      <c r="B10698" s="2" t="str">
        <f ca="1">IFERROR(__xludf.DUMMYFUNCTION("""COMPUTED_VALUE"""),"Bloom Heights 2")</f>
        <v>Bloom Heights 2</v>
      </c>
      <c r="C10698" s="2" t="str">
        <f ca="1">IFERROR(__xludf.DUMMYFUNCTION("""COMPUTED_VALUE"""),"Building")</f>
        <v>Building</v>
      </c>
      <c r="D10698" s="2" t="str">
        <f ca="1">IFERROR(__xludf.DUMMYFUNCTION("""COMPUTED_VALUE"""),"Dubai&gt;Jumeirah Village Circle (JVC)&gt;JVC District 15&gt;Bloom Heights&gt;Bloom Heights 2")</f>
        <v>Dubai&gt;Jumeirah Village Circle (JVC)&gt;JVC District 15&gt;Bloom Heights&gt;Bloom Heights 2</v>
      </c>
      <c r="E10698" s="2"/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  <c r="V10698" s="2"/>
      <c r="W10698" s="2"/>
      <c r="X10698" s="2"/>
      <c r="Y10698" s="2"/>
      <c r="Z10698" s="2"/>
    </row>
    <row r="10699" spans="1:26" ht="16.5" x14ac:dyDescent="0.35">
      <c r="A10699" s="2" t="str">
        <f ca="1">IFERROR(__xludf.DUMMYFUNCTION("""COMPUTED_VALUE"""),"Dubai")</f>
        <v>Dubai</v>
      </c>
      <c r="B10699" s="2" t="str">
        <f ca="1">IFERROR(__xludf.DUMMYFUNCTION("""COMPUTED_VALUE"""),"Alfal Residence")</f>
        <v>Alfal Residence</v>
      </c>
      <c r="C10699" s="2" t="str">
        <f ca="1">IFERROR(__xludf.DUMMYFUNCTION("""COMPUTED_VALUE"""),"Building")</f>
        <v>Building</v>
      </c>
      <c r="D10699" s="2" t="str">
        <f ca="1">IFERROR(__xludf.DUMMYFUNCTION("""COMPUTED_VALUE"""),"Dubai&gt;Jumeirah Village Circle (JVC)&gt;JVC District 15&gt;Alfal Residence")</f>
        <v>Dubai&gt;Jumeirah Village Circle (JVC)&gt;JVC District 15&gt;Alfal Residence</v>
      </c>
      <c r="E10699" s="2"/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  <c r="V10699" s="2"/>
      <c r="W10699" s="2"/>
      <c r="X10699" s="2"/>
      <c r="Y10699" s="2"/>
      <c r="Z10699" s="2"/>
    </row>
    <row r="10700" spans="1:26" ht="16.5" x14ac:dyDescent="0.35">
      <c r="A10700" s="2" t="str">
        <f ca="1">IFERROR(__xludf.DUMMYFUNCTION("""COMPUTED_VALUE"""),"Dubai")</f>
        <v>Dubai</v>
      </c>
      <c r="B10700" s="2" t="str">
        <f ca="1">IFERROR(__xludf.DUMMYFUNCTION("""COMPUTED_VALUE"""),"Fortunato Townhouses")</f>
        <v>Fortunato Townhouses</v>
      </c>
      <c r="C10700" s="2" t="str">
        <f ca="1">IFERROR(__xludf.DUMMYFUNCTION("""COMPUTED_VALUE"""),"Neighbourhood")</f>
        <v>Neighbourhood</v>
      </c>
      <c r="D10700" s="2" t="str">
        <f ca="1">IFERROR(__xludf.DUMMYFUNCTION("""COMPUTED_VALUE"""),"Dubai&gt;Jumeirah Village Circle (JVC)&gt;JVC District 11&gt;Fortunato Townhouses")</f>
        <v>Dubai&gt;Jumeirah Village Circle (JVC)&gt;JVC District 11&gt;Fortunato Townhouses</v>
      </c>
      <c r="E10700" s="2"/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2"/>
      <c r="T10700" s="2"/>
      <c r="U10700" s="2"/>
      <c r="V10700" s="2"/>
      <c r="W10700" s="2"/>
      <c r="X10700" s="2"/>
      <c r="Y10700" s="2"/>
      <c r="Z10700" s="2"/>
    </row>
    <row r="10701" spans="1:26" ht="16.5" x14ac:dyDescent="0.35">
      <c r="A10701" s="2" t="str">
        <f ca="1">IFERROR(__xludf.DUMMYFUNCTION("""COMPUTED_VALUE"""),"Dubai")</f>
        <v>Dubai</v>
      </c>
      <c r="B10701" s="2" t="str">
        <f ca="1">IFERROR(__xludf.DUMMYFUNCTION("""COMPUTED_VALUE"""),"Maimoon Gardens Podium")</f>
        <v>Maimoon Gardens Podium</v>
      </c>
      <c r="C10701" s="2" t="str">
        <f ca="1">IFERROR(__xludf.DUMMYFUNCTION("""COMPUTED_VALUE"""),"Building")</f>
        <v>Building</v>
      </c>
      <c r="D10701" s="2" t="str">
        <f ca="1">IFERROR(__xludf.DUMMYFUNCTION("""COMPUTED_VALUE"""),"Dubai&gt;Jumeirah Village Circle (JVC)&gt;JVC District 11&gt;Maimoon Gardens&gt;Maimoon Gardens Podium")</f>
        <v>Dubai&gt;Jumeirah Village Circle (JVC)&gt;JVC District 11&gt;Maimoon Gardens&gt;Maimoon Gardens Podium</v>
      </c>
      <c r="E10701" s="2"/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  <c r="V10701" s="2"/>
      <c r="W10701" s="2"/>
      <c r="X10701" s="2"/>
      <c r="Y10701" s="2"/>
      <c r="Z10701" s="2"/>
    </row>
    <row r="10702" spans="1:26" ht="16.5" x14ac:dyDescent="0.35">
      <c r="A10702" s="2" t="str">
        <f ca="1">IFERROR(__xludf.DUMMYFUNCTION("""COMPUTED_VALUE"""),"Dubai")</f>
        <v>Dubai</v>
      </c>
      <c r="B10702" s="2" t="str">
        <f ca="1">IFERROR(__xludf.DUMMYFUNCTION("""COMPUTED_VALUE"""),"Diamond Views 4 Villas A")</f>
        <v>Diamond Views 4 Villas A</v>
      </c>
      <c r="C10702" s="2" t="str">
        <f ca="1">IFERROR(__xludf.DUMMYFUNCTION("""COMPUTED_VALUE"""),"Neighbourhood")</f>
        <v>Neighbourhood</v>
      </c>
      <c r="D10702" s="2" t="str">
        <f ca="1">IFERROR(__xludf.DUMMYFUNCTION("""COMPUTED_VALUE"""),"Dubai&gt;Jumeirah Village Circle (JVC)&gt;JVC District 11&gt;Diamond Views 4 Villas A")</f>
        <v>Dubai&gt;Jumeirah Village Circle (JVC)&gt;JVC District 11&gt;Diamond Views 4 Villas A</v>
      </c>
      <c r="E10702" s="2"/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  <c r="V10702" s="2"/>
      <c r="W10702" s="2"/>
      <c r="X10702" s="2"/>
      <c r="Y10702" s="2"/>
      <c r="Z10702" s="2"/>
    </row>
    <row r="10703" spans="1:26" ht="16.5" x14ac:dyDescent="0.35">
      <c r="A10703" s="2" t="str">
        <f ca="1">IFERROR(__xludf.DUMMYFUNCTION("""COMPUTED_VALUE"""),"Dubai")</f>
        <v>Dubai</v>
      </c>
      <c r="B10703" s="2" t="str">
        <f ca="1">IFERROR(__xludf.DUMMYFUNCTION("""COMPUTED_VALUE"""),"Magnolia 1")</f>
        <v>Magnolia 1</v>
      </c>
      <c r="C10703" s="2" t="str">
        <f ca="1">IFERROR(__xludf.DUMMYFUNCTION("""COMPUTED_VALUE"""),"Building")</f>
        <v>Building</v>
      </c>
      <c r="D10703" s="2" t="str">
        <f ca="1">IFERROR(__xludf.DUMMYFUNCTION("""COMPUTED_VALUE"""),"Dubai&gt;Jumeirah Village Circle (JVC)&gt;JVC District 14&gt;Emirates Gardens 2&gt;Magnolia 1")</f>
        <v>Dubai&gt;Jumeirah Village Circle (JVC)&gt;JVC District 14&gt;Emirates Gardens 2&gt;Magnolia 1</v>
      </c>
      <c r="E10703" s="2"/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  <c r="V10703" s="2"/>
      <c r="W10703" s="2"/>
      <c r="X10703" s="2"/>
      <c r="Y10703" s="2"/>
      <c r="Z10703" s="2"/>
    </row>
    <row r="10704" spans="1:26" ht="16.5" x14ac:dyDescent="0.35">
      <c r="A10704" s="2" t="str">
        <f ca="1">IFERROR(__xludf.DUMMYFUNCTION("""COMPUTED_VALUE"""),"Dubai")</f>
        <v>Dubai</v>
      </c>
      <c r="B10704" s="2" t="str">
        <f ca="1">IFERROR(__xludf.DUMMYFUNCTION("""COMPUTED_VALUE"""),"The Residence IV")</f>
        <v>The Residence IV</v>
      </c>
      <c r="C10704" s="2" t="str">
        <f ca="1">IFERROR(__xludf.DUMMYFUNCTION("""COMPUTED_VALUE"""),"Building")</f>
        <v>Building</v>
      </c>
      <c r="D10704" s="2" t="str">
        <f ca="1">IFERROR(__xludf.DUMMYFUNCTION("""COMPUTED_VALUE"""),"Dubai&gt;Jumeirah Village Circle (JVC)&gt;JVC District 14&gt;The Residence IV")</f>
        <v>Dubai&gt;Jumeirah Village Circle (JVC)&gt;JVC District 14&gt;The Residence IV</v>
      </c>
      <c r="E10704" s="2"/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2"/>
      <c r="T10704" s="2"/>
      <c r="U10704" s="2"/>
      <c r="V10704" s="2"/>
      <c r="W10704" s="2"/>
      <c r="X10704" s="2"/>
      <c r="Y10704" s="2"/>
      <c r="Z10704" s="2"/>
    </row>
    <row r="10705" spans="1:26" ht="16.5" x14ac:dyDescent="0.35">
      <c r="A10705" s="2" t="str">
        <f ca="1">IFERROR(__xludf.DUMMYFUNCTION("""COMPUTED_VALUE"""),"Dubai")</f>
        <v>Dubai</v>
      </c>
      <c r="B10705" s="2" t="str">
        <f ca="1">IFERROR(__xludf.DUMMYFUNCTION("""COMPUTED_VALUE"""),"99 Park Place")</f>
        <v>99 Park Place</v>
      </c>
      <c r="C10705" s="2" t="str">
        <f ca="1">IFERROR(__xludf.DUMMYFUNCTION("""COMPUTED_VALUE"""),"Building")</f>
        <v>Building</v>
      </c>
      <c r="D10705" s="2" t="str">
        <f ca="1">IFERROR(__xludf.DUMMYFUNCTION("""COMPUTED_VALUE"""),"Dubai&gt;Jumeirah Village Circle (JVC)&gt;JVC District 14&gt;99 Park Place")</f>
        <v>Dubai&gt;Jumeirah Village Circle (JVC)&gt;JVC District 14&gt;99 Park Place</v>
      </c>
      <c r="E10705" s="2"/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  <c r="V10705" s="2"/>
      <c r="W10705" s="2"/>
      <c r="X10705" s="2"/>
      <c r="Y10705" s="2"/>
      <c r="Z10705" s="2"/>
    </row>
    <row r="10706" spans="1:26" ht="16.5" x14ac:dyDescent="0.35">
      <c r="A10706" s="2" t="str">
        <f ca="1">IFERROR(__xludf.DUMMYFUNCTION("""COMPUTED_VALUE"""),"Dubai")</f>
        <v>Dubai</v>
      </c>
      <c r="B10706" s="2" t="str">
        <f ca="1">IFERROR(__xludf.DUMMYFUNCTION("""COMPUTED_VALUE"""),"Sondos Orchid")</f>
        <v>Sondos Orchid</v>
      </c>
      <c r="C10706" s="2" t="str">
        <f ca="1">IFERROR(__xludf.DUMMYFUNCTION("""COMPUTED_VALUE"""),"Building")</f>
        <v>Building</v>
      </c>
      <c r="D10706" s="2" t="str">
        <f ca="1">IFERROR(__xludf.DUMMYFUNCTION("""COMPUTED_VALUE"""),"Dubai&gt;Dubai Land Residence Complex&gt;Sondos Orchid")</f>
        <v>Dubai&gt;Dubai Land Residence Complex&gt;Sondos Orchid</v>
      </c>
      <c r="E10706" s="2"/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  <c r="V10706" s="2"/>
      <c r="W10706" s="2"/>
      <c r="X10706" s="2"/>
      <c r="Y10706" s="2"/>
      <c r="Z10706" s="2"/>
    </row>
    <row r="10707" spans="1:26" ht="16.5" x14ac:dyDescent="0.35">
      <c r="A10707" s="2" t="str">
        <f ca="1">IFERROR(__xludf.DUMMYFUNCTION("""COMPUTED_VALUE"""),"Dubai")</f>
        <v>Dubai</v>
      </c>
      <c r="B10707" s="2" t="str">
        <f ca="1">IFERROR(__xludf.DUMMYFUNCTION("""COMPUTED_VALUE"""),"K1 Building")</f>
        <v>K1 Building</v>
      </c>
      <c r="C10707" s="2" t="str">
        <f ca="1">IFERROR(__xludf.DUMMYFUNCTION("""COMPUTED_VALUE"""),"Building")</f>
        <v>Building</v>
      </c>
      <c r="D10707" s="2" t="str">
        <f ca="1">IFERROR(__xludf.DUMMYFUNCTION("""COMPUTED_VALUE"""),"Dubai&gt;Dubai Land Residence Complex&gt;K1 Building")</f>
        <v>Dubai&gt;Dubai Land Residence Complex&gt;K1 Building</v>
      </c>
      <c r="E10707" s="2"/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  <c r="V10707" s="2"/>
      <c r="W10707" s="2"/>
      <c r="X10707" s="2"/>
      <c r="Y10707" s="2"/>
      <c r="Z10707" s="2"/>
    </row>
    <row r="10708" spans="1:26" ht="16.5" x14ac:dyDescent="0.35">
      <c r="A10708" s="2" t="str">
        <f ca="1">IFERROR(__xludf.DUMMYFUNCTION("""COMPUTED_VALUE"""),"Dubai")</f>
        <v>Dubai</v>
      </c>
      <c r="B10708" s="2" t="str">
        <f ca="1">IFERROR(__xludf.DUMMYFUNCTION("""COMPUTED_VALUE"""),"Time 1 Building")</f>
        <v>Time 1 Building</v>
      </c>
      <c r="C10708" s="2" t="str">
        <f ca="1">IFERROR(__xludf.DUMMYFUNCTION("""COMPUTED_VALUE"""),"Building")</f>
        <v>Building</v>
      </c>
      <c r="D10708" s="2" t="str">
        <f ca="1">IFERROR(__xludf.DUMMYFUNCTION("""COMPUTED_VALUE"""),"Dubai&gt;Dubai Land Residence Complex&gt;Time 1 Building")</f>
        <v>Dubai&gt;Dubai Land Residence Complex&gt;Time 1 Building</v>
      </c>
      <c r="E10708" s="2"/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2"/>
      <c r="T10708" s="2"/>
      <c r="U10708" s="2"/>
      <c r="V10708" s="2"/>
      <c r="W10708" s="2"/>
      <c r="X10708" s="2"/>
      <c r="Y10708" s="2"/>
      <c r="Z10708" s="2"/>
    </row>
    <row r="10709" spans="1:26" ht="16.5" x14ac:dyDescent="0.35">
      <c r="A10709" s="2" t="str">
        <f ca="1">IFERROR(__xludf.DUMMYFUNCTION("""COMPUTED_VALUE"""),"Dubai")</f>
        <v>Dubai</v>
      </c>
      <c r="B10709" s="2" t="str">
        <f ca="1">IFERROR(__xludf.DUMMYFUNCTION("""COMPUTED_VALUE"""),"Cove Edition Residence 4 by Imtiaz")</f>
        <v>Cove Edition Residence 4 by Imtiaz</v>
      </c>
      <c r="C10709" s="2" t="str">
        <f ca="1">IFERROR(__xludf.DUMMYFUNCTION("""COMPUTED_VALUE"""),"Building")</f>
        <v>Building</v>
      </c>
      <c r="D10709" s="2" t="str">
        <f ca="1">IFERROR(__xludf.DUMMYFUNCTION("""COMPUTED_VALUE"""),"Dubai&gt;Dubai Land Residence Complex&gt;Cove Edition Residence 4 by Imtiaz")</f>
        <v>Dubai&gt;Dubai Land Residence Complex&gt;Cove Edition Residence 4 by Imtiaz</v>
      </c>
      <c r="E10709" s="2"/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  <c r="V10709" s="2"/>
      <c r="W10709" s="2"/>
      <c r="X10709" s="2"/>
      <c r="Y10709" s="2"/>
      <c r="Z10709" s="2"/>
    </row>
    <row r="10710" spans="1:26" ht="16.5" x14ac:dyDescent="0.35">
      <c r="A10710" s="2" t="str">
        <f ca="1">IFERROR(__xludf.DUMMYFUNCTION("""COMPUTED_VALUE"""),"Dubai")</f>
        <v>Dubai</v>
      </c>
      <c r="B10710" s="2" t="str">
        <f ca="1">IFERROR(__xludf.DUMMYFUNCTION("""COMPUTED_VALUE"""),"Celesto Tower")</f>
        <v>Celesto Tower</v>
      </c>
      <c r="C10710" s="2" t="str">
        <f ca="1">IFERROR(__xludf.DUMMYFUNCTION("""COMPUTED_VALUE"""),"Building")</f>
        <v>Building</v>
      </c>
      <c r="D10710" s="2" t="str">
        <f ca="1">IFERROR(__xludf.DUMMYFUNCTION("""COMPUTED_VALUE"""),"Dubai&gt;Dubai Land Residence Complex&gt;Celesto Tower")</f>
        <v>Dubai&gt;Dubai Land Residence Complex&gt;Celesto Tower</v>
      </c>
      <c r="E10710" s="2"/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  <c r="V10710" s="2"/>
      <c r="W10710" s="2"/>
      <c r="X10710" s="2"/>
      <c r="Y10710" s="2"/>
      <c r="Z10710" s="2"/>
    </row>
    <row r="10711" spans="1:26" ht="16.5" x14ac:dyDescent="0.35">
      <c r="A10711" s="2" t="str">
        <f ca="1">IFERROR(__xludf.DUMMYFUNCTION("""COMPUTED_VALUE"""),"Dubai")</f>
        <v>Dubai</v>
      </c>
      <c r="B10711" s="2" t="str">
        <f ca="1">IFERROR(__xludf.DUMMYFUNCTION("""COMPUTED_VALUE"""),"Mirdif Tulip")</f>
        <v>Mirdif Tulip</v>
      </c>
      <c r="C10711" s="2" t="str">
        <f ca="1">IFERROR(__xludf.DUMMYFUNCTION("""COMPUTED_VALUE"""),"Building")</f>
        <v>Building</v>
      </c>
      <c r="D10711" s="2" t="str">
        <f ca="1">IFERROR(__xludf.DUMMYFUNCTION("""COMPUTED_VALUE"""),"Dubai&gt;Mirdif&gt;Mirdif Tulip")</f>
        <v>Dubai&gt;Mirdif&gt;Mirdif Tulip</v>
      </c>
      <c r="E10711" s="2"/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  <c r="V10711" s="2"/>
      <c r="W10711" s="2"/>
      <c r="X10711" s="2"/>
      <c r="Y10711" s="2"/>
      <c r="Z10711" s="2"/>
    </row>
    <row r="10712" spans="1:26" ht="16.5" x14ac:dyDescent="0.35">
      <c r="A10712" s="2" t="str">
        <f ca="1">IFERROR(__xludf.DUMMYFUNCTION("""COMPUTED_VALUE"""),"Dubai")</f>
        <v>Dubai</v>
      </c>
      <c r="B10712" s="2" t="str">
        <f ca="1">IFERROR(__xludf.DUMMYFUNCTION("""COMPUTED_VALUE"""),"Al Sarab Building")</f>
        <v>Al Sarab Building</v>
      </c>
      <c r="C10712" s="2" t="str">
        <f ca="1">IFERROR(__xludf.DUMMYFUNCTION("""COMPUTED_VALUE"""),"Building")</f>
        <v>Building</v>
      </c>
      <c r="D10712" s="2" t="str">
        <f ca="1">IFERROR(__xludf.DUMMYFUNCTION("""COMPUTED_VALUE"""),"Dubai&gt;Mirdif&gt;Al Sarab Building")</f>
        <v>Dubai&gt;Mirdif&gt;Al Sarab Building</v>
      </c>
      <c r="E10712" s="2"/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2"/>
      <c r="T10712" s="2"/>
      <c r="U10712" s="2"/>
      <c r="V10712" s="2"/>
      <c r="W10712" s="2"/>
      <c r="X10712" s="2"/>
      <c r="Y10712" s="2"/>
      <c r="Z10712" s="2"/>
    </row>
    <row r="10713" spans="1:26" ht="16.5" x14ac:dyDescent="0.35">
      <c r="A10713" s="2" t="str">
        <f ca="1">IFERROR(__xludf.DUMMYFUNCTION("""COMPUTED_VALUE"""),"Dubai")</f>
        <v>Dubai</v>
      </c>
      <c r="B10713" s="2" t="str">
        <f ca="1">IFERROR(__xludf.DUMMYFUNCTION("""COMPUTED_VALUE"""),"Ghadeer 2")</f>
        <v>Ghadeer 2</v>
      </c>
      <c r="C10713" s="2" t="str">
        <f ca="1">IFERROR(__xludf.DUMMYFUNCTION("""COMPUTED_VALUE"""),"Neighbourhood")</f>
        <v>Neighbourhood</v>
      </c>
      <c r="D10713" s="2" t="str">
        <f ca="1">IFERROR(__xludf.DUMMYFUNCTION("""COMPUTED_VALUE"""),"Dubai&gt;The Lakes&gt;Ghadeer&gt;Ghadeer 2")</f>
        <v>Dubai&gt;The Lakes&gt;Ghadeer&gt;Ghadeer 2</v>
      </c>
      <c r="E10713" s="2"/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  <c r="V10713" s="2"/>
      <c r="W10713" s="2"/>
      <c r="X10713" s="2"/>
      <c r="Y10713" s="2"/>
      <c r="Z10713" s="2"/>
    </row>
    <row r="10714" spans="1:26" ht="16.5" x14ac:dyDescent="0.35">
      <c r="A10714" s="2" t="str">
        <f ca="1">IFERROR(__xludf.DUMMYFUNCTION("""COMPUTED_VALUE"""),"Dubai")</f>
        <v>Dubai</v>
      </c>
      <c r="B10714" s="2" t="str">
        <f ca="1">IFERROR(__xludf.DUMMYFUNCTION("""COMPUTED_VALUE"""),"Al Garhoud Block G")</f>
        <v>Al Garhoud Block G</v>
      </c>
      <c r="C10714" s="2" t="str">
        <f ca="1">IFERROR(__xludf.DUMMYFUNCTION("""COMPUTED_VALUE"""),"Building")</f>
        <v>Building</v>
      </c>
      <c r="D10714" s="2" t="str">
        <f ca="1">IFERROR(__xludf.DUMMYFUNCTION("""COMPUTED_VALUE"""),"Dubai&gt;Al Garhoud&gt;Al Garhoud Block G")</f>
        <v>Dubai&gt;Al Garhoud&gt;Al Garhoud Block G</v>
      </c>
      <c r="E10714" s="2"/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2"/>
      <c r="T10714" s="2"/>
      <c r="U10714" s="2"/>
      <c r="V10714" s="2"/>
      <c r="W10714" s="2"/>
      <c r="X10714" s="2"/>
      <c r="Y10714" s="2"/>
      <c r="Z10714" s="2"/>
    </row>
    <row r="10715" spans="1:26" ht="16.5" x14ac:dyDescent="0.35">
      <c r="A10715" s="2" t="str">
        <f ca="1">IFERROR(__xludf.DUMMYFUNCTION("""COMPUTED_VALUE"""),"Dubai")</f>
        <v>Dubai</v>
      </c>
      <c r="B10715" s="2" t="str">
        <f ca="1">IFERROR(__xludf.DUMMYFUNCTION("""COMPUTED_VALUE"""),"Saraya Avenue")</f>
        <v>Saraya Avenue</v>
      </c>
      <c r="C10715" s="2" t="str">
        <f ca="1">IFERROR(__xludf.DUMMYFUNCTION("""COMPUTED_VALUE"""),"Building")</f>
        <v>Building</v>
      </c>
      <c r="D10715" s="2" t="str">
        <f ca="1">IFERROR(__xludf.DUMMYFUNCTION("""COMPUTED_VALUE"""),"Dubai&gt;Al Garhoud&gt;Saraya Avenue")</f>
        <v>Dubai&gt;Al Garhoud&gt;Saraya Avenue</v>
      </c>
      <c r="E10715" s="2"/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  <c r="V10715" s="2"/>
      <c r="W10715" s="2"/>
      <c r="X10715" s="2"/>
      <c r="Y10715" s="2"/>
      <c r="Z10715" s="2"/>
    </row>
    <row r="10716" spans="1:26" ht="16.5" x14ac:dyDescent="0.35">
      <c r="A10716" s="2" t="str">
        <f ca="1">IFERROR(__xludf.DUMMYFUNCTION("""COMPUTED_VALUE"""),"Dubai")</f>
        <v>Dubai</v>
      </c>
      <c r="B10716" s="2" t="str">
        <f ca="1">IFERROR(__xludf.DUMMYFUNCTION("""COMPUTED_VALUE"""),"Dubai International Airport Road")</f>
        <v>Dubai International Airport Road</v>
      </c>
      <c r="C10716" s="2" t="str">
        <f ca="1">IFERROR(__xludf.DUMMYFUNCTION("""COMPUTED_VALUE"""),"Neighbourhood")</f>
        <v>Neighbourhood</v>
      </c>
      <c r="D10716" s="2" t="str">
        <f ca="1">IFERROR(__xludf.DUMMYFUNCTION("""COMPUTED_VALUE"""),"Dubai&gt;Al Garhoud&gt;Dubai International Airport Road")</f>
        <v>Dubai&gt;Al Garhoud&gt;Dubai International Airport Road</v>
      </c>
      <c r="E10716" s="2"/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  <c r="V10716" s="2"/>
      <c r="W10716" s="2"/>
      <c r="X10716" s="2"/>
      <c r="Y10716" s="2"/>
      <c r="Z10716" s="2"/>
    </row>
    <row r="10717" spans="1:26" ht="16.5" x14ac:dyDescent="0.35">
      <c r="A10717" s="2" t="str">
        <f ca="1">IFERROR(__xludf.DUMMYFUNCTION("""COMPUTED_VALUE"""),"Dubai")</f>
        <v>Dubai</v>
      </c>
      <c r="B10717" s="2" t="str">
        <f ca="1">IFERROR(__xludf.DUMMYFUNCTION("""COMPUTED_VALUE"""),"Cluster 34")</f>
        <v>Cluster 34</v>
      </c>
      <c r="C10717" s="2" t="str">
        <f ca="1">IFERROR(__xludf.DUMMYFUNCTION("""COMPUTED_VALUE"""),"Neighbourhood")</f>
        <v>Neighbourhood</v>
      </c>
      <c r="D10717" s="2" t="str">
        <f ca="1">IFERROR(__xludf.DUMMYFUNCTION("""COMPUTED_VALUE"""),"Dubai&gt;Jumeirah Islands&gt;Cluster 34")</f>
        <v>Dubai&gt;Jumeirah Islands&gt;Cluster 34</v>
      </c>
      <c r="E10717" s="2"/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  <c r="V10717" s="2"/>
      <c r="W10717" s="2"/>
      <c r="X10717" s="2"/>
      <c r="Y10717" s="2"/>
      <c r="Z10717" s="2"/>
    </row>
    <row r="10718" spans="1:26" ht="16.5" x14ac:dyDescent="0.35">
      <c r="A10718" s="2" t="str">
        <f ca="1">IFERROR(__xludf.DUMMYFUNCTION("""COMPUTED_VALUE"""),"Dubai")</f>
        <v>Dubai</v>
      </c>
      <c r="B10718" s="2" t="str">
        <f ca="1">IFERROR(__xludf.DUMMYFUNCTION("""COMPUTED_VALUE"""),"Garden West Apartments E")</f>
        <v>Garden West Apartments E</v>
      </c>
      <c r="C10718" s="2" t="str">
        <f ca="1">IFERROR(__xludf.DUMMYFUNCTION("""COMPUTED_VALUE"""),"Building")</f>
        <v>Building</v>
      </c>
      <c r="D10718" s="2" t="str">
        <f ca="1">IFERROR(__xludf.DUMMYFUNCTION("""COMPUTED_VALUE"""),"Dubai&gt;Green Community&gt;Garden West Apartments&gt;Garden West Apartments E")</f>
        <v>Dubai&gt;Green Community&gt;Garden West Apartments&gt;Garden West Apartments E</v>
      </c>
      <c r="E10718" s="2"/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2"/>
      <c r="T10718" s="2"/>
      <c r="U10718" s="2"/>
      <c r="V10718" s="2"/>
      <c r="W10718" s="2"/>
      <c r="X10718" s="2"/>
      <c r="Y10718" s="2"/>
      <c r="Z10718" s="2"/>
    </row>
    <row r="10719" spans="1:26" ht="16.5" x14ac:dyDescent="0.35">
      <c r="A10719" s="2" t="str">
        <f ca="1">IFERROR(__xludf.DUMMYFUNCTION("""COMPUTED_VALUE"""),"Dubai")</f>
        <v>Dubai</v>
      </c>
      <c r="B10719" s="2" t="str">
        <f ca="1">IFERROR(__xludf.DUMMYFUNCTION("""COMPUTED_VALUE"""),"Terrace Apartments D")</f>
        <v>Terrace Apartments D</v>
      </c>
      <c r="C10719" s="2" t="str">
        <f ca="1">IFERROR(__xludf.DUMMYFUNCTION("""COMPUTED_VALUE"""),"Building")</f>
        <v>Building</v>
      </c>
      <c r="D10719" s="2" t="str">
        <f ca="1">IFERROR(__xludf.DUMMYFUNCTION("""COMPUTED_VALUE"""),"Dubai&gt;Green Community&gt;Green Community East&gt;Terrace Apartments&gt;Terrace Apartments D")</f>
        <v>Dubai&gt;Green Community&gt;Green Community East&gt;Terrace Apartments&gt;Terrace Apartments D</v>
      </c>
      <c r="E10719" s="2"/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  <c r="V10719" s="2"/>
      <c r="W10719" s="2"/>
      <c r="X10719" s="2"/>
      <c r="Y10719" s="2"/>
      <c r="Z10719" s="2"/>
    </row>
    <row r="10720" spans="1:26" ht="16.5" x14ac:dyDescent="0.35">
      <c r="A10720" s="2" t="str">
        <f ca="1">IFERROR(__xludf.DUMMYFUNCTION("""COMPUTED_VALUE"""),"Dubai")</f>
        <v>Dubai</v>
      </c>
      <c r="B10720" s="2" t="str">
        <f ca="1">IFERROR(__xludf.DUMMYFUNCTION("""COMPUTED_VALUE"""),"Renaissance School, Dubai Sports City")</f>
        <v>Renaissance School, Dubai Sports City</v>
      </c>
      <c r="C10720" s="2" t="str">
        <f ca="1">IFERROR(__xludf.DUMMYFUNCTION("""COMPUTED_VALUE"""),"School")</f>
        <v>School</v>
      </c>
      <c r="D10720" s="2" t="str">
        <f ca="1">IFERROR(__xludf.DUMMYFUNCTION("""COMPUTED_VALUE"""),"Dubai&gt;Dubai Sports City&gt;Renaissance School, Dubai Sports City")</f>
        <v>Dubai&gt;Dubai Sports City&gt;Renaissance School, Dubai Sports City</v>
      </c>
      <c r="E10720" s="2"/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  <c r="V10720" s="2"/>
      <c r="W10720" s="2"/>
      <c r="X10720" s="2"/>
      <c r="Y10720" s="2"/>
      <c r="Z10720" s="2"/>
    </row>
    <row r="10721" spans="1:26" ht="16.5" x14ac:dyDescent="0.35">
      <c r="A10721" s="2" t="str">
        <f ca="1">IFERROR(__xludf.DUMMYFUNCTION("""COMPUTED_VALUE"""),"Dubai")</f>
        <v>Dubai</v>
      </c>
      <c r="B10721" s="2" t="str">
        <f ca="1">IFERROR(__xludf.DUMMYFUNCTION("""COMPUTED_VALUE"""),"Najma Tower A")</f>
        <v>Najma Tower A</v>
      </c>
      <c r="C10721" s="2" t="str">
        <f ca="1">IFERROR(__xludf.DUMMYFUNCTION("""COMPUTED_VALUE"""),"Building")</f>
        <v>Building</v>
      </c>
      <c r="D10721" s="2" t="str">
        <f ca="1">IFERROR(__xludf.DUMMYFUNCTION("""COMPUTED_VALUE"""),"Dubai&gt;Dubai Sports City&gt;Najma Tower A")</f>
        <v>Dubai&gt;Dubai Sports City&gt;Najma Tower A</v>
      </c>
      <c r="E10721" s="2"/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2"/>
      <c r="T10721" s="2"/>
      <c r="U10721" s="2"/>
      <c r="V10721" s="2"/>
      <c r="W10721" s="2"/>
      <c r="X10721" s="2"/>
      <c r="Y10721" s="2"/>
      <c r="Z10721" s="2"/>
    </row>
    <row r="10722" spans="1:26" ht="16.5" x14ac:dyDescent="0.35">
      <c r="A10722" s="2" t="str">
        <f ca="1">IFERROR(__xludf.DUMMYFUNCTION("""COMPUTED_VALUE"""),"Dubai")</f>
        <v>Dubai</v>
      </c>
      <c r="B10722" s="2" t="str">
        <f ca="1">IFERROR(__xludf.DUMMYFUNCTION("""COMPUTED_VALUE"""),"Hub Canal 1")</f>
        <v>Hub Canal 1</v>
      </c>
      <c r="C10722" s="2" t="str">
        <f ca="1">IFERROR(__xludf.DUMMYFUNCTION("""COMPUTED_VALUE"""),"Building")</f>
        <v>Building</v>
      </c>
      <c r="D10722" s="2" t="str">
        <f ca="1">IFERROR(__xludf.DUMMYFUNCTION("""COMPUTED_VALUE"""),"Dubai&gt;Dubai Sports City&gt;Hub Canal 1")</f>
        <v>Dubai&gt;Dubai Sports City&gt;Hub Canal 1</v>
      </c>
      <c r="E10722" s="2"/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  <c r="V10722" s="2"/>
      <c r="W10722" s="2"/>
      <c r="X10722" s="2"/>
      <c r="Y10722" s="2"/>
      <c r="Z10722" s="2"/>
    </row>
    <row r="10723" spans="1:26" ht="16.5" x14ac:dyDescent="0.35">
      <c r="A10723" s="2" t="str">
        <f ca="1">IFERROR(__xludf.DUMMYFUNCTION("""COMPUTED_VALUE"""),"Dubai")</f>
        <v>Dubai</v>
      </c>
      <c r="B10723" s="2" t="str">
        <f ca="1">IFERROR(__xludf.DUMMYFUNCTION("""COMPUTED_VALUE"""),"Wembley Tower")</f>
        <v>Wembley Tower</v>
      </c>
      <c r="C10723" s="2" t="str">
        <f ca="1">IFERROR(__xludf.DUMMYFUNCTION("""COMPUTED_VALUE"""),"Building")</f>
        <v>Building</v>
      </c>
      <c r="D10723" s="2" t="str">
        <f ca="1">IFERROR(__xludf.DUMMYFUNCTION("""COMPUTED_VALUE"""),"Dubai&gt;Dubai Sports City&gt;Wembley Tower")</f>
        <v>Dubai&gt;Dubai Sports City&gt;Wembley Tower</v>
      </c>
      <c r="E10723" s="2"/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  <c r="V10723" s="2"/>
      <c r="W10723" s="2"/>
      <c r="X10723" s="2"/>
      <c r="Y10723" s="2"/>
      <c r="Z10723" s="2"/>
    </row>
    <row r="10724" spans="1:26" ht="16.5" x14ac:dyDescent="0.35">
      <c r="A10724" s="2" t="str">
        <f ca="1">IFERROR(__xludf.DUMMYFUNCTION("""COMPUTED_VALUE"""),"Dubai")</f>
        <v>Dubai</v>
      </c>
      <c r="B10724" s="2" t="str">
        <f ca="1">IFERROR(__xludf.DUMMYFUNCTION("""COMPUTED_VALUE"""),"Al Nahda (Dubai)")</f>
        <v>Al Nahda (Dubai)</v>
      </c>
      <c r="C10724" s="2" t="str">
        <f ca="1">IFERROR(__xludf.DUMMYFUNCTION("""COMPUTED_VALUE"""),"Neighbourhood")</f>
        <v>Neighbourhood</v>
      </c>
      <c r="D10724" s="2" t="str">
        <f ca="1">IFERROR(__xludf.DUMMYFUNCTION("""COMPUTED_VALUE"""),"Dubai&gt;Al Nahda (Dubai)")</f>
        <v>Dubai&gt;Al Nahda (Dubai)</v>
      </c>
      <c r="E10724" s="2"/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  <c r="V10724" s="2"/>
      <c r="W10724" s="2"/>
      <c r="X10724" s="2"/>
      <c r="Y10724" s="2"/>
      <c r="Z10724" s="2"/>
    </row>
    <row r="10725" spans="1:26" ht="16.5" x14ac:dyDescent="0.35">
      <c r="A10725" s="2" t="str">
        <f ca="1">IFERROR(__xludf.DUMMYFUNCTION("""COMPUTED_VALUE"""),"Dubai")</f>
        <v>Dubai</v>
      </c>
      <c r="B10725" s="2" t="str">
        <f ca="1">IFERROR(__xludf.DUMMYFUNCTION("""COMPUTED_VALUE"""),"Smark 4")</f>
        <v>Smark 4</v>
      </c>
      <c r="C10725" s="2" t="str">
        <f ca="1">IFERROR(__xludf.DUMMYFUNCTION("""COMPUTED_VALUE"""),"Building")</f>
        <v>Building</v>
      </c>
      <c r="D10725" s="2" t="str">
        <f ca="1">IFERROR(__xludf.DUMMYFUNCTION("""COMPUTED_VALUE"""),"Dubai&gt;Al Nahda (Dubai)&gt;Al Nahda 1&gt;Smark 4")</f>
        <v>Dubai&gt;Al Nahda (Dubai)&gt;Al Nahda 1&gt;Smark 4</v>
      </c>
      <c r="E10725" s="2"/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2"/>
      <c r="T10725" s="2"/>
      <c r="U10725" s="2"/>
      <c r="V10725" s="2"/>
      <c r="W10725" s="2"/>
      <c r="X10725" s="2"/>
      <c r="Y10725" s="2"/>
      <c r="Z10725" s="2"/>
    </row>
    <row r="10726" spans="1:26" ht="16.5" x14ac:dyDescent="0.35">
      <c r="A10726" s="2" t="str">
        <f ca="1">IFERROR(__xludf.DUMMYFUNCTION("""COMPUTED_VALUE"""),"Dubai")</f>
        <v>Dubai</v>
      </c>
      <c r="B10726" s="2" t="str">
        <f ca="1">IFERROR(__xludf.DUMMYFUNCTION("""COMPUTED_VALUE"""),"Blue 1 Building")</f>
        <v>Blue 1 Building</v>
      </c>
      <c r="C10726" s="2" t="str">
        <f ca="1">IFERROR(__xludf.DUMMYFUNCTION("""COMPUTED_VALUE"""),"Building")</f>
        <v>Building</v>
      </c>
      <c r="D10726" s="2" t="str">
        <f ca="1">IFERROR(__xludf.DUMMYFUNCTION("""COMPUTED_VALUE"""),"Dubai&gt;Al Nahda (Dubai)&gt;Al Nahda 2&gt;Blue 1 Building")</f>
        <v>Dubai&gt;Al Nahda (Dubai)&gt;Al Nahda 2&gt;Blue 1 Building</v>
      </c>
      <c r="E10726" s="2"/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  <c r="V10726" s="2"/>
      <c r="W10726" s="2"/>
      <c r="X10726" s="2"/>
      <c r="Y10726" s="2"/>
      <c r="Z10726" s="2"/>
    </row>
    <row r="10727" spans="1:26" ht="16.5" x14ac:dyDescent="0.35">
      <c r="A10727" s="2" t="str">
        <f ca="1">IFERROR(__xludf.DUMMYFUNCTION("""COMPUTED_VALUE"""),"Dubai")</f>
        <v>Dubai</v>
      </c>
      <c r="B10727" s="2" t="str">
        <f ca="1">IFERROR(__xludf.DUMMYFUNCTION("""COMPUTED_VALUE"""),"Al Thamer Building")</f>
        <v>Al Thamer Building</v>
      </c>
      <c r="C10727" s="2" t="str">
        <f ca="1">IFERROR(__xludf.DUMMYFUNCTION("""COMPUTED_VALUE"""),"Building")</f>
        <v>Building</v>
      </c>
      <c r="D10727" s="2" t="str">
        <f ca="1">IFERROR(__xludf.DUMMYFUNCTION("""COMPUTED_VALUE"""),"Dubai&gt;Al Nahda (Dubai)&gt;Al Nahda 2&gt;Al Thamer Building")</f>
        <v>Dubai&gt;Al Nahda (Dubai)&gt;Al Nahda 2&gt;Al Thamer Building</v>
      </c>
      <c r="E10727" s="2"/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  <c r="V10727" s="2"/>
      <c r="W10727" s="2"/>
      <c r="X10727" s="2"/>
      <c r="Y10727" s="2"/>
      <c r="Z10727" s="2"/>
    </row>
    <row r="10728" spans="1:26" ht="16.5" x14ac:dyDescent="0.35">
      <c r="A10728" s="2" t="str">
        <f ca="1">IFERROR(__xludf.DUMMYFUNCTION("""COMPUTED_VALUE"""),"Dubai")</f>
        <v>Dubai</v>
      </c>
      <c r="B10728" s="2" t="str">
        <f ca="1">IFERROR(__xludf.DUMMYFUNCTION("""COMPUTED_VALUE"""),"Platinum Business Center")</f>
        <v>Platinum Business Center</v>
      </c>
      <c r="C10728" s="2" t="str">
        <f ca="1">IFERROR(__xludf.DUMMYFUNCTION("""COMPUTED_VALUE"""),"Building")</f>
        <v>Building</v>
      </c>
      <c r="D10728" s="2" t="str">
        <f ca="1">IFERROR(__xludf.DUMMYFUNCTION("""COMPUTED_VALUE"""),"Dubai&gt;Al Nahda (Dubai)&gt;Al Nahda 2&gt;Platinum Business Center")</f>
        <v>Dubai&gt;Al Nahda (Dubai)&gt;Al Nahda 2&gt;Platinum Business Center</v>
      </c>
      <c r="E10728" s="2"/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  <c r="V10728" s="2"/>
      <c r="W10728" s="2"/>
      <c r="X10728" s="2"/>
      <c r="Y10728" s="2"/>
      <c r="Z10728" s="2"/>
    </row>
    <row r="10729" spans="1:26" ht="16.5" x14ac:dyDescent="0.35">
      <c r="A10729" s="2" t="str">
        <f ca="1">IFERROR(__xludf.DUMMYFUNCTION("""COMPUTED_VALUE"""),"Dubai")</f>
        <v>Dubai</v>
      </c>
      <c r="B10729" s="2" t="str">
        <f ca="1">IFERROR(__xludf.DUMMYFUNCTION("""COMPUTED_VALUE"""),"Saeed Hamad Saeed Melhoof  Building")</f>
        <v>Saeed Hamad Saeed Melhoof  Building</v>
      </c>
      <c r="C10729" s="2" t="str">
        <f ca="1">IFERROR(__xludf.DUMMYFUNCTION("""COMPUTED_VALUE"""),"Building")</f>
        <v>Building</v>
      </c>
      <c r="D10729" s="2" t="str">
        <f ca="1">IFERROR(__xludf.DUMMYFUNCTION("""COMPUTED_VALUE"""),"Dubai&gt;Al Nahda (Dubai)&gt;Al Nahda 2&gt;Saeed Hamad Saeed Melhoof  Building")</f>
        <v>Dubai&gt;Al Nahda (Dubai)&gt;Al Nahda 2&gt;Saeed Hamad Saeed Melhoof  Building</v>
      </c>
      <c r="E10729" s="2"/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2"/>
      <c r="T10729" s="2"/>
      <c r="U10729" s="2"/>
      <c r="V10729" s="2"/>
      <c r="W10729" s="2"/>
      <c r="X10729" s="2"/>
      <c r="Y10729" s="2"/>
      <c r="Z10729" s="2"/>
    </row>
    <row r="10730" spans="1:26" ht="16.5" x14ac:dyDescent="0.35">
      <c r="A10730" s="2" t="str">
        <f ca="1">IFERROR(__xludf.DUMMYFUNCTION("""COMPUTED_VALUE"""),"Dubai")</f>
        <v>Dubai</v>
      </c>
      <c r="B10730" s="2" t="str">
        <f ca="1">IFERROR(__xludf.DUMMYFUNCTION("""COMPUTED_VALUE"""),"District 1")</f>
        <v>District 1</v>
      </c>
      <c r="C10730" s="2" t="str">
        <f ca="1">IFERROR(__xludf.DUMMYFUNCTION("""COMPUTED_VALUE"""),"Neighbourhood")</f>
        <v>Neighbourhood</v>
      </c>
      <c r="D10730" s="2" t="str">
        <f ca="1">IFERROR(__xludf.DUMMYFUNCTION("""COMPUTED_VALUE"""),"Dubai&gt;Jumeirah Park&gt;District 1")</f>
        <v>Dubai&gt;Jumeirah Park&gt;District 1</v>
      </c>
      <c r="E10730" s="2"/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  <c r="V10730" s="2"/>
      <c r="W10730" s="2"/>
      <c r="X10730" s="2"/>
      <c r="Y10730" s="2"/>
      <c r="Z10730" s="2"/>
    </row>
    <row r="10731" spans="1:26" ht="16.5" x14ac:dyDescent="0.35">
      <c r="A10731" s="2" t="str">
        <f ca="1">IFERROR(__xludf.DUMMYFUNCTION("""COMPUTED_VALUE"""),"Dubai")</f>
        <v>Dubai</v>
      </c>
      <c r="B10731" s="2" t="str">
        <f ca="1">IFERROR(__xludf.DUMMYFUNCTION("""COMPUTED_VALUE"""),"Ibiza")</f>
        <v>Ibiza</v>
      </c>
      <c r="C10731" s="2" t="str">
        <f ca="1">IFERROR(__xludf.DUMMYFUNCTION("""COMPUTED_VALUE"""),"Neighbourhood")</f>
        <v>Neighbourhood</v>
      </c>
      <c r="D10731" s="2" t="str">
        <f ca="1">IFERROR(__xludf.DUMMYFUNCTION("""COMPUTED_VALUE"""),"Dubai&gt;DAMAC Lagoons&gt;Ibiza")</f>
        <v>Dubai&gt;DAMAC Lagoons&gt;Ibiza</v>
      </c>
      <c r="E10731" s="2"/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  <c r="V10731" s="2"/>
      <c r="W10731" s="2"/>
      <c r="X10731" s="2"/>
      <c r="Y10731" s="2"/>
      <c r="Z10731" s="2"/>
    </row>
    <row r="10732" spans="1:26" ht="16.5" x14ac:dyDescent="0.35">
      <c r="A10732" s="2" t="str">
        <f ca="1">IFERROR(__xludf.DUMMYFUNCTION("""COMPUTED_VALUE"""),"Dubai")</f>
        <v>Dubai</v>
      </c>
      <c r="B10732" s="2" t="str">
        <f ca="1">IFERROR(__xludf.DUMMYFUNCTION("""COMPUTED_VALUE"""),"Blue Tower")</f>
        <v>Blue Tower</v>
      </c>
      <c r="C10732" s="2" t="str">
        <f ca="1">IFERROR(__xludf.DUMMYFUNCTION("""COMPUTED_VALUE"""),"Building")</f>
        <v>Building</v>
      </c>
      <c r="D10732" s="2" t="str">
        <f ca="1">IFERROR(__xludf.DUMMYFUNCTION("""COMPUTED_VALUE"""),"Dubai&gt;Liwan 2&gt;Blue Tower")</f>
        <v>Dubai&gt;Liwan 2&gt;Blue Tower</v>
      </c>
      <c r="E10732" s="2"/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2"/>
      <c r="T10732" s="2"/>
      <c r="U10732" s="2"/>
      <c r="V10732" s="2"/>
      <c r="W10732" s="2"/>
      <c r="X10732" s="2"/>
      <c r="Y10732" s="2"/>
      <c r="Z10732" s="2"/>
    </row>
    <row r="10733" spans="1:26" ht="16.5" x14ac:dyDescent="0.35">
      <c r="A10733" s="2" t="str">
        <f ca="1">IFERROR(__xludf.DUMMYFUNCTION("""COMPUTED_VALUE"""),"Dubai")</f>
        <v>Dubai</v>
      </c>
      <c r="B10733" s="2" t="str">
        <f ca="1">IFERROR(__xludf.DUMMYFUNCTION("""COMPUTED_VALUE"""),"Zahra Building")</f>
        <v>Zahra Building</v>
      </c>
      <c r="C10733" s="2" t="str">
        <f ca="1">IFERROR(__xludf.DUMMYFUNCTION("""COMPUTED_VALUE"""),"Building")</f>
        <v>Building</v>
      </c>
      <c r="D10733" s="2" t="str">
        <f ca="1">IFERROR(__xludf.DUMMYFUNCTION("""COMPUTED_VALUE"""),"Dubai&gt;Liwan 2&gt;Zahra Building")</f>
        <v>Dubai&gt;Liwan 2&gt;Zahra Building</v>
      </c>
      <c r="E10733" s="2"/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  <c r="V10733" s="2"/>
      <c r="W10733" s="2"/>
      <c r="X10733" s="2"/>
      <c r="Y10733" s="2"/>
      <c r="Z10733" s="2"/>
    </row>
    <row r="10734" spans="1:26" ht="16.5" x14ac:dyDescent="0.35">
      <c r="A10734" s="2" t="str">
        <f ca="1">IFERROR(__xludf.DUMMYFUNCTION("""COMPUTED_VALUE"""),"Dubai")</f>
        <v>Dubai</v>
      </c>
      <c r="B10734" s="2" t="str">
        <f ca="1">IFERROR(__xludf.DUMMYFUNCTION("""COMPUTED_VALUE"""),"Centurion Residence Tower A")</f>
        <v>Centurion Residence Tower A</v>
      </c>
      <c r="C10734" s="2" t="str">
        <f ca="1">IFERROR(__xludf.DUMMYFUNCTION("""COMPUTED_VALUE"""),"Building")</f>
        <v>Building</v>
      </c>
      <c r="D10734" s="2" t="str">
        <f ca="1">IFERROR(__xludf.DUMMYFUNCTION("""COMPUTED_VALUE"""),"Dubai&gt;Dubai Investment Park (DIP)&gt;Centurion Residences&gt;Centurion Residence Tower A")</f>
        <v>Dubai&gt;Dubai Investment Park (DIP)&gt;Centurion Residences&gt;Centurion Residence Tower A</v>
      </c>
      <c r="E10734" s="2"/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  <c r="V10734" s="2"/>
      <c r="W10734" s="2"/>
      <c r="X10734" s="2"/>
      <c r="Y10734" s="2"/>
      <c r="Z10734" s="2"/>
    </row>
    <row r="10735" spans="1:26" ht="16.5" x14ac:dyDescent="0.35">
      <c r="A10735" s="2" t="str">
        <f ca="1">IFERROR(__xludf.DUMMYFUNCTION("""COMPUTED_VALUE"""),"Dubai")</f>
        <v>Dubai</v>
      </c>
      <c r="B10735" s="2" t="str">
        <f ca="1">IFERROR(__xludf.DUMMYFUNCTION("""COMPUTED_VALUE"""),"The 7even Block C")</f>
        <v>The 7even Block C</v>
      </c>
      <c r="C10735" s="2" t="str">
        <f ca="1">IFERROR(__xludf.DUMMYFUNCTION("""COMPUTED_VALUE"""),"Building")</f>
        <v>Building</v>
      </c>
      <c r="D10735" s="2" t="str">
        <f ca="1">IFERROR(__xludf.DUMMYFUNCTION("""COMPUTED_VALUE"""),"Dubai&gt;Dubai Investment Park (DIP)&gt;Dubai Investment Park 1&gt;The 7even&gt;The 7even Block C")</f>
        <v>Dubai&gt;Dubai Investment Park (DIP)&gt;Dubai Investment Park 1&gt;The 7even&gt;The 7even Block C</v>
      </c>
      <c r="E10735" s="2"/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  <c r="V10735" s="2"/>
      <c r="W10735" s="2"/>
      <c r="X10735" s="2"/>
      <c r="Y10735" s="2"/>
      <c r="Z10735" s="2"/>
    </row>
    <row r="10736" spans="1:26" ht="16.5" x14ac:dyDescent="0.35">
      <c r="A10736" s="2" t="str">
        <f ca="1">IFERROR(__xludf.DUMMYFUNCTION("""COMPUTED_VALUE"""),"Dubai")</f>
        <v>Dubai</v>
      </c>
      <c r="B10736" s="2" t="str">
        <f ca="1">IFERROR(__xludf.DUMMYFUNCTION("""COMPUTED_VALUE"""),"Palmon FZE G")</f>
        <v>Palmon FZE G</v>
      </c>
      <c r="C10736" s="2" t="str">
        <f ca="1">IFERROR(__xludf.DUMMYFUNCTION("""COMPUTED_VALUE"""),"Building")</f>
        <v>Building</v>
      </c>
      <c r="D10736" s="2" t="str">
        <f ca="1">IFERROR(__xludf.DUMMYFUNCTION("""COMPUTED_VALUE"""),"Dubai&gt;Dubai Investment Park (DIP)&gt;Dubai Investment Park 1&gt;Palmon Group FZCO Accommodation&gt;Palmon FZE G")</f>
        <v>Dubai&gt;Dubai Investment Park (DIP)&gt;Dubai Investment Park 1&gt;Palmon Group FZCO Accommodation&gt;Palmon FZE G</v>
      </c>
      <c r="E10736" s="2"/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2"/>
      <c r="T10736" s="2"/>
      <c r="U10736" s="2"/>
      <c r="V10736" s="2"/>
      <c r="W10736" s="2"/>
      <c r="X10736" s="2"/>
      <c r="Y10736" s="2"/>
      <c r="Z10736" s="2"/>
    </row>
    <row r="10737" spans="1:26" ht="16.5" x14ac:dyDescent="0.35">
      <c r="A10737" s="2" t="str">
        <f ca="1">IFERROR(__xludf.DUMMYFUNCTION("""COMPUTED_VALUE"""),"Dubai")</f>
        <v>Dubai</v>
      </c>
      <c r="B10737" s="2" t="str">
        <f ca="1">IFERROR(__xludf.DUMMYFUNCTION("""COMPUTED_VALUE"""),"Al Sondos Apartments Block E")</f>
        <v>Al Sondos Apartments Block E</v>
      </c>
      <c r="C10737" s="2" t="str">
        <f ca="1">IFERROR(__xludf.DUMMYFUNCTION("""COMPUTED_VALUE"""),"Building")</f>
        <v>Building</v>
      </c>
      <c r="D10737" s="2" t="str">
        <f ca="1">IFERROR(__xludf.DUMMYFUNCTION("""COMPUTED_VALUE"""),"Dubai&gt;Dubai Investment Park (DIP)&gt;Al Sondos Apartments&gt;Al Sondos Apartments Block E")</f>
        <v>Dubai&gt;Dubai Investment Park (DIP)&gt;Al Sondos Apartments&gt;Al Sondos Apartments Block E</v>
      </c>
      <c r="E10737" s="2"/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  <c r="V10737" s="2"/>
      <c r="W10737" s="2"/>
      <c r="X10737" s="2"/>
      <c r="Y10737" s="2"/>
      <c r="Z10737" s="2"/>
    </row>
    <row r="10738" spans="1:26" ht="16.5" x14ac:dyDescent="0.35">
      <c r="A10738" s="2" t="str">
        <f ca="1">IFERROR(__xludf.DUMMYFUNCTION("""COMPUTED_VALUE"""),"Dubai")</f>
        <v>Dubai</v>
      </c>
      <c r="B10738" s="2" t="str">
        <f ca="1">IFERROR(__xludf.DUMMYFUNCTION("""COMPUTED_VALUE"""),"B7")</f>
        <v>B7</v>
      </c>
      <c r="C10738" s="2" t="str">
        <f ca="1">IFERROR(__xludf.DUMMYFUNCTION("""COMPUTED_VALUE"""),"Building")</f>
        <v>Building</v>
      </c>
      <c r="D10738" s="2" t="str">
        <f ca="1">IFERROR(__xludf.DUMMYFUNCTION("""COMPUTED_VALUE"""),"Dubai&gt;Dubai Investment Park (DIP)&gt;Dubai Investment Park 2&gt;Dunes Village&gt;B7")</f>
        <v>Dubai&gt;Dubai Investment Park (DIP)&gt;Dubai Investment Park 2&gt;Dunes Village&gt;B7</v>
      </c>
      <c r="E10738" s="2"/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  <c r="V10738" s="2"/>
      <c r="W10738" s="2"/>
      <c r="X10738" s="2"/>
      <c r="Y10738" s="2"/>
      <c r="Z10738" s="2"/>
    </row>
    <row r="10739" spans="1:26" ht="16.5" x14ac:dyDescent="0.35">
      <c r="A10739" s="2" t="str">
        <f ca="1">IFERROR(__xludf.DUMMYFUNCTION("""COMPUTED_VALUE"""),"Dubai")</f>
        <v>Dubai</v>
      </c>
      <c r="B10739" s="2" t="str">
        <f ca="1">IFERROR(__xludf.DUMMYFUNCTION("""COMPUTED_VALUE"""),"Al Reem Tower")</f>
        <v>Al Reem Tower</v>
      </c>
      <c r="C10739" s="2" t="str">
        <f ca="1">IFERROR(__xludf.DUMMYFUNCTION("""COMPUTED_VALUE"""),"Building")</f>
        <v>Building</v>
      </c>
      <c r="D10739" s="2" t="str">
        <f ca="1">IFERROR(__xludf.DUMMYFUNCTION("""COMPUTED_VALUE"""),"Dubai&gt;Dubai Investment Park (DIP)&gt;Al Reem Tower")</f>
        <v>Dubai&gt;Dubai Investment Park (DIP)&gt;Al Reem Tower</v>
      </c>
      <c r="E10739" s="2"/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  <c r="V10739" s="2"/>
      <c r="W10739" s="2"/>
      <c r="X10739" s="2"/>
      <c r="Y10739" s="2"/>
      <c r="Z10739" s="2"/>
    </row>
    <row r="10740" spans="1:26" ht="16.5" x14ac:dyDescent="0.35">
      <c r="A10740" s="2" t="str">
        <f ca="1">IFERROR(__xludf.DUMMYFUNCTION("""COMPUTED_VALUE"""),"Dubai")</f>
        <v>Dubai</v>
      </c>
      <c r="B10740" s="2" t="str">
        <f ca="1">IFERROR(__xludf.DUMMYFUNCTION("""COMPUTED_VALUE"""),"Azure 2")</f>
        <v>Azure 2</v>
      </c>
      <c r="C10740" s="2" t="str">
        <f ca="1">IFERROR(__xludf.DUMMYFUNCTION("""COMPUTED_VALUE"""),"Building")</f>
        <v>Building</v>
      </c>
      <c r="D10740" s="2" t="str">
        <f ca="1">IFERROR(__xludf.DUMMYFUNCTION("""COMPUTED_VALUE"""),"Dubai&gt;Dubai Investment Park (DIP)&gt;DAMAC Riverside&gt;Riverside Views&gt;Azure 2")</f>
        <v>Dubai&gt;Dubai Investment Park (DIP)&gt;DAMAC Riverside&gt;Riverside Views&gt;Azure 2</v>
      </c>
      <c r="E10740" s="2"/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2"/>
      <c r="T10740" s="2"/>
      <c r="U10740" s="2"/>
      <c r="V10740" s="2"/>
      <c r="W10740" s="2"/>
      <c r="X10740" s="2"/>
      <c r="Y10740" s="2"/>
      <c r="Z10740" s="2"/>
    </row>
    <row r="10741" spans="1:26" ht="16.5" x14ac:dyDescent="0.35">
      <c r="A10741" s="2" t="str">
        <f ca="1">IFERROR(__xludf.DUMMYFUNCTION("""COMPUTED_VALUE"""),"Dubai")</f>
        <v>Dubai</v>
      </c>
      <c r="B10741" s="2" t="str">
        <f ca="1">IFERROR(__xludf.DUMMYFUNCTION("""COMPUTED_VALUE"""),"The 50")</f>
        <v>The 50</v>
      </c>
      <c r="C10741" s="2" t="str">
        <f ca="1">IFERROR(__xludf.DUMMYFUNCTION("""COMPUTED_VALUE"""),"Building")</f>
        <v>Building</v>
      </c>
      <c r="D10741" s="2" t="str">
        <f ca="1">IFERROR(__xludf.DUMMYFUNCTION("""COMPUTED_VALUE"""),"Dubai&gt;Majan&gt;The 50")</f>
        <v>Dubai&gt;Majan&gt;The 50</v>
      </c>
      <c r="E10741" s="2"/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  <c r="V10741" s="2"/>
      <c r="W10741" s="2"/>
      <c r="X10741" s="2"/>
      <c r="Y10741" s="2"/>
      <c r="Z10741" s="2"/>
    </row>
    <row r="10742" spans="1:26" ht="16.5" x14ac:dyDescent="0.35">
      <c r="A10742" s="2" t="str">
        <f ca="1">IFERROR(__xludf.DUMMYFUNCTION("""COMPUTED_VALUE"""),"Dubai")</f>
        <v>Dubai</v>
      </c>
      <c r="B10742" s="2" t="str">
        <f ca="1">IFERROR(__xludf.DUMMYFUNCTION("""COMPUTED_VALUE"""),"Sarab 1 Building")</f>
        <v>Sarab 1 Building</v>
      </c>
      <c r="C10742" s="2" t="str">
        <f ca="1">IFERROR(__xludf.DUMMYFUNCTION("""COMPUTED_VALUE"""),"Building")</f>
        <v>Building</v>
      </c>
      <c r="D10742" s="2" t="str">
        <f ca="1">IFERROR(__xludf.DUMMYFUNCTION("""COMPUTED_VALUE"""),"Dubai&gt;Majan&gt;Sarab 1 Building")</f>
        <v>Dubai&gt;Majan&gt;Sarab 1 Building</v>
      </c>
      <c r="E10742" s="2"/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2"/>
      <c r="T10742" s="2"/>
      <c r="U10742" s="2"/>
      <c r="V10742" s="2"/>
      <c r="W10742" s="2"/>
      <c r="X10742" s="2"/>
      <c r="Y10742" s="2"/>
      <c r="Z10742" s="2"/>
    </row>
    <row r="10743" spans="1:26" ht="16.5" x14ac:dyDescent="0.35">
      <c r="A10743" s="2" t="str">
        <f ca="1">IFERROR(__xludf.DUMMYFUNCTION("""COMPUTED_VALUE"""),"Dubai")</f>
        <v>Dubai</v>
      </c>
      <c r="B10743" s="2" t="str">
        <f ca="1">IFERROR(__xludf.DUMMYFUNCTION("""COMPUTED_VALUE"""),"Mangrove 2")</f>
        <v>Mangrove 2</v>
      </c>
      <c r="C10743" s="2" t="str">
        <f ca="1">IFERROR(__xludf.DUMMYFUNCTION("""COMPUTED_VALUE"""),"Building")</f>
        <v>Building</v>
      </c>
      <c r="D10743" s="2" t="str">
        <f ca="1">IFERROR(__xludf.DUMMYFUNCTION("""COMPUTED_VALUE"""),"Dubai&gt;Majan&gt;Mangrove 2")</f>
        <v>Dubai&gt;Majan&gt;Mangrove 2</v>
      </c>
      <c r="E10743" s="2"/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  <c r="V10743" s="2"/>
      <c r="W10743" s="2"/>
      <c r="X10743" s="2"/>
      <c r="Y10743" s="2"/>
      <c r="Z10743" s="2"/>
    </row>
    <row r="10744" spans="1:26" ht="16.5" x14ac:dyDescent="0.35">
      <c r="A10744" s="2" t="str">
        <f ca="1">IFERROR(__xludf.DUMMYFUNCTION("""COMPUTED_VALUE"""),"Dubai")</f>
        <v>Dubai</v>
      </c>
      <c r="B10744" s="2" t="str">
        <f ca="1">IFERROR(__xludf.DUMMYFUNCTION("""COMPUTED_VALUE"""),"330 Riverside Crescent")</f>
        <v>330 Riverside Crescent</v>
      </c>
      <c r="C10744" s="2" t="str">
        <f ca="1">IFERROR(__xludf.DUMMYFUNCTION("""COMPUTED_VALUE"""),"Building")</f>
        <v>Building</v>
      </c>
      <c r="D10744" s="2" t="str">
        <f ca="1">IFERROR(__xludf.DUMMYFUNCTION("""COMPUTED_VALUE"""),"Dubai&gt;Sobha Hartland 2&gt;Riverside Crescent&gt;330 Riverside Crescent")</f>
        <v>Dubai&gt;Sobha Hartland 2&gt;Riverside Crescent&gt;330 Riverside Crescent</v>
      </c>
      <c r="E10744" s="2"/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  <c r="V10744" s="2"/>
      <c r="W10744" s="2"/>
      <c r="X10744" s="2"/>
      <c r="Y10744" s="2"/>
      <c r="Z10744" s="2"/>
    </row>
    <row r="10745" spans="1:26" ht="16.5" x14ac:dyDescent="0.35">
      <c r="A10745" s="2" t="str">
        <f ca="1">IFERROR(__xludf.DUMMYFUNCTION("""COMPUTED_VALUE"""),"Dubai")</f>
        <v>Dubai</v>
      </c>
      <c r="B10745" s="2" t="str">
        <f ca="1">IFERROR(__xludf.DUMMYFUNCTION("""COMPUTED_VALUE"""),"GHAPH Studio")</f>
        <v>GHAPH Studio</v>
      </c>
      <c r="C10745" s="2" t="str">
        <f ca="1">IFERROR(__xludf.DUMMYFUNCTION("""COMPUTED_VALUE"""),"Building")</f>
        <v>Building</v>
      </c>
      <c r="D10745" s="2" t="str">
        <f ca="1">IFERROR(__xludf.DUMMYFUNCTION("""COMPUTED_VALUE"""),"Dubai&gt;Dubai Studio City&gt;GHAPH Studio")</f>
        <v>Dubai&gt;Dubai Studio City&gt;GHAPH Studio</v>
      </c>
      <c r="E10745" s="2"/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  <c r="V10745" s="2"/>
      <c r="W10745" s="2"/>
      <c r="X10745" s="2"/>
      <c r="Y10745" s="2"/>
      <c r="Z10745" s="2"/>
    </row>
    <row r="10746" spans="1:26" ht="16.5" x14ac:dyDescent="0.35">
      <c r="A10746" s="2" t="str">
        <f ca="1">IFERROR(__xludf.DUMMYFUNCTION("""COMPUTED_VALUE"""),"Dubai")</f>
        <v>Dubai</v>
      </c>
      <c r="B10746" s="2" t="str">
        <f ca="1">IFERROR(__xludf.DUMMYFUNCTION("""COMPUTED_VALUE"""),"Divine Residencia")</f>
        <v>Divine Residencia</v>
      </c>
      <c r="C10746" s="2" t="str">
        <f ca="1">IFERROR(__xludf.DUMMYFUNCTION("""COMPUTED_VALUE"""),"Building")</f>
        <v>Building</v>
      </c>
      <c r="D10746" s="2" t="str">
        <f ca="1">IFERROR(__xludf.DUMMYFUNCTION("""COMPUTED_VALUE"""),"Dubai&gt;Dubai Studio City&gt;Divine Residencia")</f>
        <v>Dubai&gt;Dubai Studio City&gt;Divine Residencia</v>
      </c>
      <c r="E10746" s="2"/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2"/>
      <c r="T10746" s="2"/>
      <c r="U10746" s="2"/>
      <c r="V10746" s="2"/>
      <c r="W10746" s="2"/>
      <c r="X10746" s="2"/>
      <c r="Y10746" s="2"/>
      <c r="Z10746" s="2"/>
    </row>
    <row r="10747" spans="1:26" ht="16.5" x14ac:dyDescent="0.35">
      <c r="A10747" s="2" t="str">
        <f ca="1">IFERROR(__xludf.DUMMYFUNCTION("""COMPUTED_VALUE"""),"Dubai")</f>
        <v>Dubai</v>
      </c>
      <c r="B10747" s="2" t="str">
        <f ca="1">IFERROR(__xludf.DUMMYFUNCTION("""COMPUTED_VALUE"""),"One Park Avenue")</f>
        <v>One Park Avenue</v>
      </c>
      <c r="C10747" s="2" t="str">
        <f ca="1">IFERROR(__xludf.DUMMYFUNCTION("""COMPUTED_VALUE"""),"Building")</f>
        <v>Building</v>
      </c>
      <c r="D10747" s="2" t="str">
        <f ca="1">IFERROR(__xludf.DUMMYFUNCTION("""COMPUTED_VALUE"""),"Dubai&gt;Sobha Hartland&gt;One Park Avenue")</f>
        <v>Dubai&gt;Sobha Hartland&gt;One Park Avenue</v>
      </c>
      <c r="E10747" s="2"/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  <c r="V10747" s="2"/>
      <c r="W10747" s="2"/>
      <c r="X10747" s="2"/>
      <c r="Y10747" s="2"/>
      <c r="Z10747" s="2"/>
    </row>
    <row r="10748" spans="1:26" ht="16.5" x14ac:dyDescent="0.35">
      <c r="A10748" s="2" t="str">
        <f ca="1">IFERROR(__xludf.DUMMYFUNCTION("""COMPUTED_VALUE"""),"Dubai")</f>
        <v>Dubai</v>
      </c>
      <c r="B10748" s="2" t="str">
        <f ca="1">IFERROR(__xludf.DUMMYFUNCTION("""COMPUTED_VALUE"""),"Sobha One Tower E")</f>
        <v>Sobha One Tower E</v>
      </c>
      <c r="C10748" s="2" t="str">
        <f ca="1">IFERROR(__xludf.DUMMYFUNCTION("""COMPUTED_VALUE"""),"Building")</f>
        <v>Building</v>
      </c>
      <c r="D10748" s="2" t="str">
        <f ca="1">IFERROR(__xludf.DUMMYFUNCTION("""COMPUTED_VALUE"""),"Dubai&gt;Sobha Hartland&gt;Sobha One&gt;Sobha One Tower E")</f>
        <v>Dubai&gt;Sobha Hartland&gt;Sobha One&gt;Sobha One Tower E</v>
      </c>
      <c r="E10748" s="2"/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  <c r="V10748" s="2"/>
      <c r="W10748" s="2"/>
      <c r="X10748" s="2"/>
      <c r="Y10748" s="2"/>
      <c r="Z10748" s="2"/>
    </row>
    <row r="10749" spans="1:26" ht="16.5" x14ac:dyDescent="0.35">
      <c r="A10749" s="2" t="str">
        <f ca="1">IFERROR(__xludf.DUMMYFUNCTION("""COMPUTED_VALUE"""),"Dubai")</f>
        <v>Dubai</v>
      </c>
      <c r="B10749" s="2" t="str">
        <f ca="1">IFERROR(__xludf.DUMMYFUNCTION("""COMPUTED_VALUE"""),"Building 2A")</f>
        <v>Building 2A</v>
      </c>
      <c r="C10749" s="2" t="str">
        <f ca="1">IFERROR(__xludf.DUMMYFUNCTION("""COMPUTED_VALUE"""),"Building")</f>
        <v>Building</v>
      </c>
      <c r="D10749" s="2" t="str">
        <f ca="1">IFERROR(__xludf.DUMMYFUNCTION("""COMPUTED_VALUE"""),"Dubai&gt;Expo City&gt;Expo Village&gt;Residences 2&gt;Building 2A")</f>
        <v>Dubai&gt;Expo City&gt;Expo Village&gt;Residences 2&gt;Building 2A</v>
      </c>
      <c r="E10749" s="2"/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  <c r="V10749" s="2"/>
      <c r="W10749" s="2"/>
      <c r="X10749" s="2"/>
      <c r="Y10749" s="2"/>
      <c r="Z10749" s="2"/>
    </row>
    <row r="10750" spans="1:26" ht="16.5" x14ac:dyDescent="0.35">
      <c r="A10750" s="2" t="str">
        <f ca="1">IFERROR(__xludf.DUMMYFUNCTION("""COMPUTED_VALUE"""),"Dubai")</f>
        <v>Dubai</v>
      </c>
      <c r="B10750" s="2" t="str">
        <f ca="1">IFERROR(__xludf.DUMMYFUNCTION("""COMPUTED_VALUE"""),"Terra Heights Building 2")</f>
        <v>Terra Heights Building 2</v>
      </c>
      <c r="C10750" s="2" t="str">
        <f ca="1">IFERROR(__xludf.DUMMYFUNCTION("""COMPUTED_VALUE"""),"Building")</f>
        <v>Building</v>
      </c>
      <c r="D10750" s="2" t="str">
        <f ca="1">IFERROR(__xludf.DUMMYFUNCTION("""COMPUTED_VALUE"""),"Dubai&gt;Expo City&gt;Terra Heights&gt;Terra Heights Building 2")</f>
        <v>Dubai&gt;Expo City&gt;Terra Heights&gt;Terra Heights Building 2</v>
      </c>
      <c r="E10750" s="2"/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2"/>
      <c r="T10750" s="2"/>
      <c r="U10750" s="2"/>
      <c r="V10750" s="2"/>
      <c r="W10750" s="2"/>
      <c r="X10750" s="2"/>
      <c r="Y10750" s="2"/>
      <c r="Z10750" s="2"/>
    </row>
    <row r="10751" spans="1:26" ht="16.5" x14ac:dyDescent="0.35">
      <c r="A10751" s="2" t="str">
        <f ca="1">IFERROR(__xludf.DUMMYFUNCTION("""COMPUTED_VALUE"""),"Dubai")</f>
        <v>Dubai</v>
      </c>
      <c r="B10751" s="2" t="str">
        <f ca="1">IFERROR(__xludf.DUMMYFUNCTION("""COMPUTED_VALUE"""),"Forest")</f>
        <v>Forest</v>
      </c>
      <c r="C10751" s="2" t="str">
        <f ca="1">IFERROR(__xludf.DUMMYFUNCTION("""COMPUTED_VALUE"""),"Building")</f>
        <v>Building</v>
      </c>
      <c r="D10751" s="2" t="str">
        <f ca="1">IFERROR(__xludf.DUMMYFUNCTION("""COMPUTED_VALUE"""),"Dubai&gt;Haven by Aldar&gt;Verdes by Haven&gt;Forest")</f>
        <v>Dubai&gt;Haven by Aldar&gt;Verdes by Haven&gt;Forest</v>
      </c>
      <c r="E10751" s="2"/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  <c r="V10751" s="2"/>
      <c r="W10751" s="2"/>
      <c r="X10751" s="2"/>
      <c r="Y10751" s="2"/>
      <c r="Z10751" s="2"/>
    </row>
    <row r="10752" spans="1:26" ht="16.5" x14ac:dyDescent="0.35">
      <c r="A10752" s="2" t="str">
        <f ca="1">IFERROR(__xludf.DUMMYFUNCTION("""COMPUTED_VALUE"""),"Dubai")</f>
        <v>Dubai</v>
      </c>
      <c r="B10752" s="2" t="str">
        <f ca="1">IFERROR(__xludf.DUMMYFUNCTION("""COMPUTED_VALUE"""),"Al Wohoosh")</f>
        <v>Al Wohoosh</v>
      </c>
      <c r="C10752" s="2" t="str">
        <f ca="1">IFERROR(__xludf.DUMMYFUNCTION("""COMPUTED_VALUE"""),"Neighbourhood")</f>
        <v>Neighbourhood</v>
      </c>
      <c r="D10752" s="2" t="str">
        <f ca="1">IFERROR(__xludf.DUMMYFUNCTION("""COMPUTED_VALUE"""),"Dubai&gt;Al Wohoosh")</f>
        <v>Dubai&gt;Al Wohoosh</v>
      </c>
      <c r="E10752" s="2"/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  <c r="V10752" s="2"/>
      <c r="W10752" s="2"/>
      <c r="X10752" s="2"/>
      <c r="Y10752" s="2"/>
      <c r="Z10752" s="2"/>
    </row>
    <row r="10753" spans="1:26" ht="16.5" x14ac:dyDescent="0.35">
      <c r="A10753" s="2" t="str">
        <f ca="1">IFERROR(__xludf.DUMMYFUNCTION("""COMPUTED_VALUE"""),"Dubai")</f>
        <v>Dubai</v>
      </c>
      <c r="B10753" s="2" t="str">
        <f ca="1">IFERROR(__xludf.DUMMYFUNCTION("""COMPUTED_VALUE"""),"Serra Building 4")</f>
        <v>Serra Building 4</v>
      </c>
      <c r="C10753" s="2" t="str">
        <f ca="1">IFERROR(__xludf.DUMMYFUNCTION("""COMPUTED_VALUE"""),"Building")</f>
        <v>Building</v>
      </c>
      <c r="D10753" s="2" t="str">
        <f ca="1">IFERROR(__xludf.DUMMYFUNCTION("""COMPUTED_VALUE"""),"Dubai&gt;Ghaf Woods&gt;Serra&gt;Serra Building 4")</f>
        <v>Dubai&gt;Ghaf Woods&gt;Serra&gt;Serra Building 4</v>
      </c>
      <c r="E10753" s="2"/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  <c r="V10753" s="2"/>
      <c r="W10753" s="2"/>
      <c r="X10753" s="2"/>
      <c r="Y10753" s="2"/>
      <c r="Z10753" s="2"/>
    </row>
    <row r="10754" spans="1:26" ht="16.5" x14ac:dyDescent="0.35">
      <c r="A10754" s="2" t="str">
        <f ca="1">IFERROR(__xludf.DUMMYFUNCTION("""COMPUTED_VALUE"""),"Dubai")</f>
        <v>Dubai</v>
      </c>
      <c r="B10754" s="2" t="str">
        <f ca="1">IFERROR(__xludf.DUMMYFUNCTION("""COMPUTED_VALUE"""),"Maldives 1")</f>
        <v>Maldives 1</v>
      </c>
      <c r="C10754" s="2" t="str">
        <f ca="1">IFERROR(__xludf.DUMMYFUNCTION("""COMPUTED_VALUE"""),"Neighbourhood")</f>
        <v>Neighbourhood</v>
      </c>
      <c r="D10754" s="2" t="str">
        <f ca="1">IFERROR(__xludf.DUMMYFUNCTION("""COMPUTED_VALUE"""),"Dubai&gt;DAMAC Islands&gt;Maldives 1")</f>
        <v>Dubai&gt;DAMAC Islands&gt;Maldives 1</v>
      </c>
      <c r="E10754" s="2"/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  <c r="V10754" s="2"/>
      <c r="W10754" s="2"/>
      <c r="X10754" s="2"/>
      <c r="Y10754" s="2"/>
      <c r="Z10754" s="2"/>
    </row>
    <row r="10755" spans="1:26" ht="16.5" x14ac:dyDescent="0.35">
      <c r="A10755" s="2" t="str">
        <f ca="1">IFERROR(__xludf.DUMMYFUNCTION("""COMPUTED_VALUE"""),"Dubai")</f>
        <v>Dubai</v>
      </c>
      <c r="B10755" s="2" t="str">
        <f ca="1">IFERROR(__xludf.DUMMYFUNCTION("""COMPUTED_VALUE"""),"Delta Hotels by Marriott Jumeirah Beach")</f>
        <v>Delta Hotels by Marriott Jumeirah Beach</v>
      </c>
      <c r="C10755" s="2" t="str">
        <f ca="1">IFERROR(__xludf.DUMMYFUNCTION("""COMPUTED_VALUE"""),"Building")</f>
        <v>Building</v>
      </c>
      <c r="D10755" s="2" t="str">
        <f ca="1">IFERROR(__xludf.DUMMYFUNCTION("""COMPUTED_VALUE"""),"Dubai&gt;Jumeirah Beach Residence (JBR)&gt;Delta Hotels by Marriott Jumeirah Beach")</f>
        <v>Dubai&gt;Jumeirah Beach Residence (JBR)&gt;Delta Hotels by Marriott Jumeirah Beach</v>
      </c>
      <c r="E10755" s="2"/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  <c r="V10755" s="2"/>
      <c r="W10755" s="2"/>
      <c r="X10755" s="2"/>
      <c r="Y10755" s="2"/>
      <c r="Z10755" s="2"/>
    </row>
    <row r="10756" spans="1:26" ht="16.5" x14ac:dyDescent="0.35">
      <c r="A10756" s="2" t="str">
        <f ca="1">IFERROR(__xludf.DUMMYFUNCTION("""COMPUTED_VALUE"""),"Dubai")</f>
        <v>Dubai</v>
      </c>
      <c r="B10756" s="2" t="str">
        <f ca="1">IFERROR(__xludf.DUMMYFUNCTION("""COMPUTED_VALUE"""),"Sadaf 5")</f>
        <v>Sadaf 5</v>
      </c>
      <c r="C10756" s="2" t="str">
        <f ca="1">IFERROR(__xludf.DUMMYFUNCTION("""COMPUTED_VALUE"""),"Building")</f>
        <v>Building</v>
      </c>
      <c r="D10756" s="2" t="str">
        <f ca="1">IFERROR(__xludf.DUMMYFUNCTION("""COMPUTED_VALUE"""),"Dubai&gt;Jumeirah Beach Residence (JBR)&gt;Sadaf&gt;Sadaf 5")</f>
        <v>Dubai&gt;Jumeirah Beach Residence (JBR)&gt;Sadaf&gt;Sadaf 5</v>
      </c>
      <c r="E10756" s="2"/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2"/>
      <c r="T10756" s="2"/>
      <c r="U10756" s="2"/>
      <c r="V10756" s="2"/>
      <c r="W10756" s="2"/>
      <c r="X10756" s="2"/>
      <c r="Y10756" s="2"/>
      <c r="Z10756" s="2"/>
    </row>
    <row r="10757" spans="1:26" ht="16.5" x14ac:dyDescent="0.35">
      <c r="A10757" s="2" t="str">
        <f ca="1">IFERROR(__xludf.DUMMYFUNCTION("""COMPUTED_VALUE"""),"Dubai")</f>
        <v>Dubai</v>
      </c>
      <c r="B10757" s="2" t="str">
        <f ca="1">IFERROR(__xludf.DUMMYFUNCTION("""COMPUTED_VALUE"""),"Parkway by Prestige One")</f>
        <v>Parkway by Prestige One</v>
      </c>
      <c r="C10757" s="2" t="str">
        <f ca="1">IFERROR(__xludf.DUMMYFUNCTION("""COMPUTED_VALUE"""),"Building")</f>
        <v>Building</v>
      </c>
      <c r="D10757" s="2" t="str">
        <f ca="1">IFERROR(__xludf.DUMMYFUNCTION("""COMPUTED_VALUE"""),"Dubai&gt;Meydan Horizon&gt;Parkway by Prestige One")</f>
        <v>Dubai&gt;Meydan Horizon&gt;Parkway by Prestige One</v>
      </c>
      <c r="E10757" s="2"/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  <c r="V10757" s="2"/>
      <c r="W10757" s="2"/>
      <c r="X10757" s="2"/>
      <c r="Y10757" s="2"/>
      <c r="Z10757" s="2"/>
    </row>
    <row r="10758" spans="1:26" ht="16.5" x14ac:dyDescent="0.35">
      <c r="A10758" s="2" t="str">
        <f ca="1">IFERROR(__xludf.DUMMYFUNCTION("""COMPUTED_VALUE"""),"Dubai")</f>
        <v>Dubai</v>
      </c>
      <c r="B10758" s="2" t="str">
        <f ca="1">IFERROR(__xludf.DUMMYFUNCTION("""COMPUTED_VALUE"""),"Westfield Nursery")</f>
        <v>Westfield Nursery</v>
      </c>
      <c r="C10758" s="2" t="str">
        <f ca="1">IFERROR(__xludf.DUMMYFUNCTION("""COMPUTED_VALUE"""),"Nursery")</f>
        <v>Nursery</v>
      </c>
      <c r="D10758" s="2" t="str">
        <f ca="1">IFERROR(__xludf.DUMMYFUNCTION("""COMPUTED_VALUE"""),"Dubai&gt;Al Wasl&gt;Westfield Nursery")</f>
        <v>Dubai&gt;Al Wasl&gt;Westfield Nursery</v>
      </c>
      <c r="E10758" s="2"/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2"/>
      <c r="T10758" s="2"/>
      <c r="U10758" s="2"/>
      <c r="V10758" s="2"/>
      <c r="W10758" s="2"/>
      <c r="X10758" s="2"/>
      <c r="Y10758" s="2"/>
      <c r="Z10758" s="2"/>
    </row>
    <row r="10759" spans="1:26" ht="16.5" x14ac:dyDescent="0.35">
      <c r="A10759" s="2" t="str">
        <f ca="1">IFERROR(__xludf.DUMMYFUNCTION("""COMPUTED_VALUE"""),"Dubai")</f>
        <v>Dubai</v>
      </c>
      <c r="B10759" s="2" t="str">
        <f ca="1">IFERROR(__xludf.DUMMYFUNCTION("""COMPUTED_VALUE"""),"Building 12")</f>
        <v>Building 12</v>
      </c>
      <c r="C10759" s="2" t="str">
        <f ca="1">IFERROR(__xludf.DUMMYFUNCTION("""COMPUTED_VALUE"""),"Building")</f>
        <v>Building</v>
      </c>
      <c r="D10759" s="2" t="str">
        <f ca="1">IFERROR(__xludf.DUMMYFUNCTION("""COMPUTED_VALUE"""),"Dubai&gt;Al Wasl&gt;City Walk&gt;Building 12")</f>
        <v>Dubai&gt;Al Wasl&gt;City Walk&gt;Building 12</v>
      </c>
      <c r="E10759" s="2"/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  <c r="V10759" s="2"/>
      <c r="W10759" s="2"/>
      <c r="X10759" s="2"/>
      <c r="Y10759" s="2"/>
      <c r="Z10759" s="2"/>
    </row>
    <row r="10760" spans="1:26" ht="16.5" x14ac:dyDescent="0.35">
      <c r="A10760" s="2" t="str">
        <f ca="1">IFERROR(__xludf.DUMMYFUNCTION("""COMPUTED_VALUE"""),"Dubai")</f>
        <v>Dubai</v>
      </c>
      <c r="B10760" s="2" t="str">
        <f ca="1">IFERROR(__xludf.DUMMYFUNCTION("""COMPUTED_VALUE"""),"Building 14")</f>
        <v>Building 14</v>
      </c>
      <c r="C10760" s="2" t="str">
        <f ca="1">IFERROR(__xludf.DUMMYFUNCTION("""COMPUTED_VALUE"""),"Building")</f>
        <v>Building</v>
      </c>
      <c r="D10760" s="2" t="str">
        <f ca="1">IFERROR(__xludf.DUMMYFUNCTION("""COMPUTED_VALUE"""),"Dubai&gt;Al Wasl&gt;City Walk&gt;Building 14")</f>
        <v>Dubai&gt;Al Wasl&gt;City Walk&gt;Building 14</v>
      </c>
      <c r="E10760" s="2"/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  <c r="V10760" s="2"/>
      <c r="W10760" s="2"/>
      <c r="X10760" s="2"/>
      <c r="Y10760" s="2"/>
      <c r="Z10760" s="2"/>
    </row>
    <row r="10761" spans="1:26" ht="16.5" x14ac:dyDescent="0.35">
      <c r="A10761" s="2" t="str">
        <f ca="1">IFERROR(__xludf.DUMMYFUNCTION("""COMPUTED_VALUE"""),"Dubai")</f>
        <v>Dubai</v>
      </c>
      <c r="B10761" s="2" t="str">
        <f ca="1">IFERROR(__xludf.DUMMYFUNCTION("""COMPUTED_VALUE"""),"Canal Front Residences 4")</f>
        <v>Canal Front Residences 4</v>
      </c>
      <c r="C10761" s="2" t="str">
        <f ca="1">IFERROR(__xludf.DUMMYFUNCTION("""COMPUTED_VALUE"""),"Building")</f>
        <v>Building</v>
      </c>
      <c r="D10761" s="2" t="str">
        <f ca="1">IFERROR(__xludf.DUMMYFUNCTION("""COMPUTED_VALUE"""),"Dubai&gt;Al Wasl&gt;Canal Front Residences&gt;Canal Front Residences 4")</f>
        <v>Dubai&gt;Al Wasl&gt;Canal Front Residences&gt;Canal Front Residences 4</v>
      </c>
      <c r="E10761" s="2"/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  <c r="V10761" s="2"/>
      <c r="W10761" s="2"/>
      <c r="X10761" s="2"/>
      <c r="Y10761" s="2"/>
      <c r="Z10761" s="2"/>
    </row>
    <row r="10762" spans="1:26" ht="16.5" x14ac:dyDescent="0.35">
      <c r="A10762" s="2" t="str">
        <f ca="1">IFERROR(__xludf.DUMMYFUNCTION("""COMPUTED_VALUE"""),"Dubai")</f>
        <v>Dubai</v>
      </c>
      <c r="B10762" s="2" t="str">
        <f ca="1">IFERROR(__xludf.DUMMYFUNCTION("""COMPUTED_VALUE"""),"ONE CASA")</f>
        <v>ONE CASA</v>
      </c>
      <c r="C10762" s="2" t="str">
        <f ca="1">IFERROR(__xludf.DUMMYFUNCTION("""COMPUTED_VALUE"""),"Building")</f>
        <v>Building</v>
      </c>
      <c r="D10762" s="2" t="str">
        <f ca="1">IFERROR(__xludf.DUMMYFUNCTION("""COMPUTED_VALUE"""),"Dubai&gt;Al Wasl&gt;ONE CASA")</f>
        <v>Dubai&gt;Al Wasl&gt;ONE CASA</v>
      </c>
      <c r="E10762" s="2"/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2"/>
      <c r="T10762" s="2"/>
      <c r="U10762" s="2"/>
      <c r="V10762" s="2"/>
      <c r="W10762" s="2"/>
      <c r="X10762" s="2"/>
      <c r="Y10762" s="2"/>
      <c r="Z10762" s="2"/>
    </row>
    <row r="10763" spans="1:26" ht="16.5" x14ac:dyDescent="0.35">
      <c r="A10763" s="2" t="str">
        <f ca="1">IFERROR(__xludf.DUMMYFUNCTION("""COMPUTED_VALUE"""),"Dubai")</f>
        <v>Dubai</v>
      </c>
      <c r="B10763" s="2" t="str">
        <f ca="1">IFERROR(__xludf.DUMMYFUNCTION("""COMPUTED_VALUE"""),"Al Sayyah Residence")</f>
        <v>Al Sayyah Residence</v>
      </c>
      <c r="C10763" s="2" t="str">
        <f ca="1">IFERROR(__xludf.DUMMYFUNCTION("""COMPUTED_VALUE"""),"Cluster")</f>
        <v>Cluster</v>
      </c>
      <c r="D10763" s="2" t="str">
        <f ca="1">IFERROR(__xludf.DUMMYFUNCTION("""COMPUTED_VALUE"""),"Dubai&gt;Arjan&gt;Al Sayyah Residence")</f>
        <v>Dubai&gt;Arjan&gt;Al Sayyah Residence</v>
      </c>
      <c r="E10763" s="2"/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  <c r="V10763" s="2"/>
      <c r="W10763" s="2"/>
      <c r="X10763" s="2"/>
      <c r="Y10763" s="2"/>
      <c r="Z10763" s="2"/>
    </row>
    <row r="10764" spans="1:26" ht="16.5" x14ac:dyDescent="0.35">
      <c r="A10764" s="2" t="str">
        <f ca="1">IFERROR(__xludf.DUMMYFUNCTION("""COMPUTED_VALUE"""),"Dubai")</f>
        <v>Dubai</v>
      </c>
      <c r="B10764" s="2" t="str">
        <f ca="1">IFERROR(__xludf.DUMMYFUNCTION("""COMPUTED_VALUE"""),"Sunrise Legend")</f>
        <v>Sunrise Legend</v>
      </c>
      <c r="C10764" s="2" t="str">
        <f ca="1">IFERROR(__xludf.DUMMYFUNCTION("""COMPUTED_VALUE"""),"Building")</f>
        <v>Building</v>
      </c>
      <c r="D10764" s="2" t="str">
        <f ca="1">IFERROR(__xludf.DUMMYFUNCTION("""COMPUTED_VALUE"""),"Dubai&gt;Arjan&gt;Sunrise Legend")</f>
        <v>Dubai&gt;Arjan&gt;Sunrise Legend</v>
      </c>
      <c r="E10764" s="2"/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  <c r="V10764" s="2"/>
      <c r="W10764" s="2"/>
      <c r="X10764" s="2"/>
      <c r="Y10764" s="2"/>
      <c r="Z10764" s="2"/>
    </row>
    <row r="10765" spans="1:26" ht="16.5" x14ac:dyDescent="0.35">
      <c r="A10765" s="2" t="str">
        <f ca="1">IFERROR(__xludf.DUMMYFUNCTION("""COMPUTED_VALUE"""),"Dubai")</f>
        <v>Dubai</v>
      </c>
      <c r="B10765" s="2" t="str">
        <f ca="1">IFERROR(__xludf.DUMMYFUNCTION("""COMPUTED_VALUE"""),"Al Amir Building")</f>
        <v>Al Amir Building</v>
      </c>
      <c r="C10765" s="2" t="str">
        <f ca="1">IFERROR(__xludf.DUMMYFUNCTION("""COMPUTED_VALUE"""),"Building")</f>
        <v>Building</v>
      </c>
      <c r="D10765" s="2" t="str">
        <f ca="1">IFERROR(__xludf.DUMMYFUNCTION("""COMPUTED_VALUE"""),"Dubai&gt;Arjan&gt;Al Amir Building")</f>
        <v>Dubai&gt;Arjan&gt;Al Amir Building</v>
      </c>
      <c r="E10765" s="2"/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  <c r="V10765" s="2"/>
      <c r="W10765" s="2"/>
      <c r="X10765" s="2"/>
      <c r="Y10765" s="2"/>
      <c r="Z10765" s="2"/>
    </row>
    <row r="10766" spans="1:26" ht="16.5" x14ac:dyDescent="0.35">
      <c r="A10766" s="2" t="str">
        <f ca="1">IFERROR(__xludf.DUMMYFUNCTION("""COMPUTED_VALUE"""),"Dubai")</f>
        <v>Dubai</v>
      </c>
      <c r="B10766" s="2" t="str">
        <f ca="1">IFERROR(__xludf.DUMMYFUNCTION("""COMPUTED_VALUE"""),"Elevate by Prescott")</f>
        <v>Elevate by Prescott</v>
      </c>
      <c r="C10766" s="2" t="str">
        <f ca="1">IFERROR(__xludf.DUMMYFUNCTION("""COMPUTED_VALUE"""),"Building")</f>
        <v>Building</v>
      </c>
      <c r="D10766" s="2" t="str">
        <f ca="1">IFERROR(__xludf.DUMMYFUNCTION("""COMPUTED_VALUE"""),"Dubai&gt;Arjan&gt;Elevate by Prescott")</f>
        <v>Dubai&gt;Arjan&gt;Elevate by Prescott</v>
      </c>
      <c r="E10766" s="2"/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2"/>
      <c r="T10766" s="2"/>
      <c r="U10766" s="2"/>
      <c r="V10766" s="2"/>
      <c r="W10766" s="2"/>
      <c r="X10766" s="2"/>
      <c r="Y10766" s="2"/>
      <c r="Z10766" s="2"/>
    </row>
    <row r="10767" spans="1:26" ht="16.5" x14ac:dyDescent="0.35">
      <c r="A10767" s="2" t="str">
        <f ca="1">IFERROR(__xludf.DUMMYFUNCTION("""COMPUTED_VALUE"""),"Dubai")</f>
        <v>Dubai</v>
      </c>
      <c r="B10767" s="2" t="str">
        <f ca="1">IFERROR(__xludf.DUMMYFUNCTION("""COMPUTED_VALUE"""),"The Central Downtown Tower A")</f>
        <v>The Central Downtown Tower A</v>
      </c>
      <c r="C10767" s="2" t="str">
        <f ca="1">IFERROR(__xludf.DUMMYFUNCTION("""COMPUTED_VALUE"""),"Building")</f>
        <v>Building</v>
      </c>
      <c r="D10767" s="2" t="str">
        <f ca="1">IFERROR(__xludf.DUMMYFUNCTION("""COMPUTED_VALUE"""),"Dubai&gt;Arjan&gt;The Central Downtown&gt;The Central Downtown Tower A")</f>
        <v>Dubai&gt;Arjan&gt;The Central Downtown&gt;The Central Downtown Tower A</v>
      </c>
      <c r="E10767" s="2"/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  <c r="V10767" s="2"/>
      <c r="W10767" s="2"/>
      <c r="X10767" s="2"/>
      <c r="Y10767" s="2"/>
      <c r="Z10767" s="2"/>
    </row>
    <row r="10768" spans="1:26" ht="16.5" x14ac:dyDescent="0.35">
      <c r="A10768" s="2" t="str">
        <f ca="1">IFERROR(__xludf.DUMMYFUNCTION("""COMPUTED_VALUE"""),"Dubai")</f>
        <v>Dubai</v>
      </c>
      <c r="B10768" s="2" t="str">
        <f ca="1">IFERROR(__xludf.DUMMYFUNCTION("""COMPUTED_VALUE"""),"Bond Enclave")</f>
        <v>Bond Enclave</v>
      </c>
      <c r="C10768" s="2" t="str">
        <f ca="1">IFERROR(__xludf.DUMMYFUNCTION("""COMPUTED_VALUE"""),"Building")</f>
        <v>Building</v>
      </c>
      <c r="D10768" s="2" t="str">
        <f ca="1">IFERROR(__xludf.DUMMYFUNCTION("""COMPUTED_VALUE"""),"Dubai&gt;Arjan&gt;Bond Enclave")</f>
        <v>Dubai&gt;Arjan&gt;Bond Enclave</v>
      </c>
      <c r="E10768" s="2"/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2"/>
      <c r="T10768" s="2"/>
      <c r="U10768" s="2"/>
      <c r="V10768" s="2"/>
      <c r="W10768" s="2"/>
      <c r="X10768" s="2"/>
      <c r="Y10768" s="2"/>
      <c r="Z10768" s="2"/>
    </row>
    <row r="10769" spans="1:26" ht="16.5" x14ac:dyDescent="0.35">
      <c r="A10769" s="2" t="str">
        <f ca="1">IFERROR(__xludf.DUMMYFUNCTION("""COMPUTED_VALUE"""),"Dubai")</f>
        <v>Dubai</v>
      </c>
      <c r="B10769" s="2" t="str">
        <f ca="1">IFERROR(__xludf.DUMMYFUNCTION("""COMPUTED_VALUE"""),"Jumeirah International Nursery Al Safa")</f>
        <v>Jumeirah International Nursery Al Safa</v>
      </c>
      <c r="C10769" s="2" t="str">
        <f ca="1">IFERROR(__xludf.DUMMYFUNCTION("""COMPUTED_VALUE"""),"Nursery")</f>
        <v>Nursery</v>
      </c>
      <c r="D10769" s="2" t="str">
        <f ca="1">IFERROR(__xludf.DUMMYFUNCTION("""COMPUTED_VALUE"""),"Dubai&gt;Al Safa&gt;Al Safa 1&gt;Jumeirah International Nursery Al Safa")</f>
        <v>Dubai&gt;Al Safa&gt;Al Safa 1&gt;Jumeirah International Nursery Al Safa</v>
      </c>
      <c r="E10769" s="2"/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  <c r="V10769" s="2"/>
      <c r="W10769" s="2"/>
      <c r="X10769" s="2"/>
      <c r="Y10769" s="2"/>
      <c r="Z10769" s="2"/>
    </row>
    <row r="10770" spans="1:26" ht="16.5" x14ac:dyDescent="0.35">
      <c r="A10770" s="2" t="str">
        <f ca="1">IFERROR(__xludf.DUMMYFUNCTION("""COMPUTED_VALUE"""),"Dubai")</f>
        <v>Dubai</v>
      </c>
      <c r="B10770" s="2" t="str">
        <f ca="1">IFERROR(__xludf.DUMMYFUNCTION("""COMPUTED_VALUE"""),"Atlas Business Center")</f>
        <v>Atlas Business Center</v>
      </c>
      <c r="C10770" s="2" t="str">
        <f ca="1">IFERROR(__xludf.DUMMYFUNCTION("""COMPUTED_VALUE"""),"Building")</f>
        <v>Building</v>
      </c>
      <c r="D10770" s="2" t="str">
        <f ca="1">IFERROR(__xludf.DUMMYFUNCTION("""COMPUTED_VALUE"""),"Dubai&gt;Dubai Media City&gt;Atlas Business Center")</f>
        <v>Dubai&gt;Dubai Media City&gt;Atlas Business Center</v>
      </c>
      <c r="E10770" s="2"/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2"/>
      <c r="T10770" s="2"/>
      <c r="U10770" s="2"/>
      <c r="V10770" s="2"/>
      <c r="W10770" s="2"/>
      <c r="X10770" s="2"/>
      <c r="Y10770" s="2"/>
      <c r="Z10770" s="2"/>
    </row>
    <row r="10771" spans="1:26" ht="16.5" x14ac:dyDescent="0.35">
      <c r="A10771" s="2" t="str">
        <f ca="1">IFERROR(__xludf.DUMMYFUNCTION("""COMPUTED_VALUE"""),"Abu Dhabi")</f>
        <v>Abu Dhabi</v>
      </c>
      <c r="B10771" s="2" t="str">
        <f ca="1">IFERROR(__xludf.DUMMYFUNCTION("""COMPUTED_VALUE"""),"Al Mamoura")</f>
        <v>Al Mamoura</v>
      </c>
      <c r="C10771" s="2" t="str">
        <f ca="1">IFERROR(__xludf.DUMMYFUNCTION("""COMPUTED_VALUE"""),"Building")</f>
        <v>Building</v>
      </c>
      <c r="D10771" s="2" t="str">
        <f ca="1">IFERROR(__xludf.DUMMYFUNCTION("""COMPUTED_VALUE"""),"Abu Dhabi&gt;Al Nahyan&gt;Al Mamoura")</f>
        <v>Abu Dhabi&gt;Al Nahyan&gt;Al Mamoura</v>
      </c>
      <c r="E10771" s="2"/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  <c r="V10771" s="2"/>
      <c r="W10771" s="2"/>
      <c r="X10771" s="2"/>
      <c r="Y10771" s="2"/>
      <c r="Z10771" s="2"/>
    </row>
    <row r="10772" spans="1:26" ht="16.5" x14ac:dyDescent="0.35">
      <c r="A10772" s="2" t="str">
        <f ca="1">IFERROR(__xludf.DUMMYFUNCTION("""COMPUTED_VALUE"""),"Abu Dhabi")</f>
        <v>Abu Dhabi</v>
      </c>
      <c r="B10772" s="2" t="str">
        <f ca="1">IFERROR(__xludf.DUMMYFUNCTION("""COMPUTED_VALUE"""),"InterContinental Abu Dhabi")</f>
        <v>InterContinental Abu Dhabi</v>
      </c>
      <c r="C10772" s="2" t="str">
        <f ca="1">IFERROR(__xludf.DUMMYFUNCTION("""COMPUTED_VALUE"""),"Building")</f>
        <v>Building</v>
      </c>
      <c r="D10772" s="2" t="str">
        <f ca="1">IFERROR(__xludf.DUMMYFUNCTION("""COMPUTED_VALUE"""),"Abu Dhabi&gt;Al Bateen&gt;InterContinental Abu Dhabi")</f>
        <v>Abu Dhabi&gt;Al Bateen&gt;InterContinental Abu Dhabi</v>
      </c>
      <c r="E10772" s="2"/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  <c r="V10772" s="2"/>
      <c r="W10772" s="2"/>
      <c r="X10772" s="2"/>
      <c r="Y10772" s="2"/>
      <c r="Z10772" s="2"/>
    </row>
    <row r="10773" spans="1:26" ht="16.5" x14ac:dyDescent="0.35">
      <c r="A10773" s="2" t="str">
        <f ca="1">IFERROR(__xludf.DUMMYFUNCTION("""COMPUTED_VALUE"""),"Abu Dhabi")</f>
        <v>Abu Dhabi</v>
      </c>
      <c r="B10773" s="2" t="str">
        <f ca="1">IFERROR(__xludf.DUMMYFUNCTION("""COMPUTED_VALUE"""),"Mina Tower")</f>
        <v>Mina Tower</v>
      </c>
      <c r="C10773" s="2"/>
      <c r="D10773" s="2" t="str">
        <f ca="1">IFERROR(__xludf.DUMMYFUNCTION("""COMPUTED_VALUE"""),"Abu Dhabi&gt;Tourist Club Area (TCA)&gt;Mina Road&gt;Mina Tower")</f>
        <v>Abu Dhabi&gt;Tourist Club Area (TCA)&gt;Mina Road&gt;Mina Tower</v>
      </c>
      <c r="E10773" s="2"/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  <c r="V10773" s="2"/>
      <c r="W10773" s="2"/>
      <c r="X10773" s="2"/>
      <c r="Y10773" s="2"/>
      <c r="Z10773" s="2"/>
    </row>
    <row r="10774" spans="1:26" ht="16.5" x14ac:dyDescent="0.35">
      <c r="A10774" s="2" t="str">
        <f ca="1">IFERROR(__xludf.DUMMYFUNCTION("""COMPUTED_VALUE"""),"Abu Dhabi")</f>
        <v>Abu Dhabi</v>
      </c>
      <c r="B10774" s="2" t="str">
        <f ca="1">IFERROR(__xludf.DUMMYFUNCTION("""COMPUTED_VALUE"""),"Al Manal Tower")</f>
        <v>Al Manal Tower</v>
      </c>
      <c r="C10774" s="2" t="str">
        <f ca="1">IFERROR(__xludf.DUMMYFUNCTION("""COMPUTED_VALUE"""),"Building")</f>
        <v>Building</v>
      </c>
      <c r="D10774" s="2" t="str">
        <f ca="1">IFERROR(__xludf.DUMMYFUNCTION("""COMPUTED_VALUE"""),"Abu Dhabi&gt;Al Zahiyah&gt;Al Manal Tower")</f>
        <v>Abu Dhabi&gt;Al Zahiyah&gt;Al Manal Tower</v>
      </c>
      <c r="E10774" s="2"/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  <c r="V10774" s="2"/>
      <c r="W10774" s="2"/>
      <c r="X10774" s="2"/>
      <c r="Y10774" s="2"/>
      <c r="Z10774" s="2"/>
    </row>
    <row r="10775" spans="1:26" ht="16.5" x14ac:dyDescent="0.35">
      <c r="A10775" s="2" t="str">
        <f ca="1">IFERROR(__xludf.DUMMYFUNCTION("""COMPUTED_VALUE"""),"Abu Dhabi")</f>
        <v>Abu Dhabi</v>
      </c>
      <c r="B10775" s="2" t="str">
        <f ca="1">IFERROR(__xludf.DUMMYFUNCTION("""COMPUTED_VALUE"""),"W47")</f>
        <v>W47</v>
      </c>
      <c r="C10775" s="2" t="str">
        <f ca="1">IFERROR(__xludf.DUMMYFUNCTION("""COMPUTED_VALUE"""),"Neighbourhood")</f>
        <v>Neighbourhood</v>
      </c>
      <c r="D10775" s="2" t="str">
        <f ca="1">IFERROR(__xludf.DUMMYFUNCTION("""COMPUTED_VALUE"""),"Abu Dhabi&gt;Al Mushrif&gt;W47")</f>
        <v>Abu Dhabi&gt;Al Mushrif&gt;W47</v>
      </c>
      <c r="E10775" s="2"/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  <c r="V10775" s="2"/>
      <c r="W10775" s="2"/>
      <c r="X10775" s="2"/>
      <c r="Y10775" s="2"/>
      <c r="Z10775" s="2"/>
    </row>
    <row r="10776" spans="1:26" ht="16.5" x14ac:dyDescent="0.35">
      <c r="A10776" s="2" t="str">
        <f ca="1">IFERROR(__xludf.DUMMYFUNCTION("""COMPUTED_VALUE"""),"Abu Dhabi")</f>
        <v>Abu Dhabi</v>
      </c>
      <c r="B10776" s="2" t="str">
        <f ca="1">IFERROR(__xludf.DUMMYFUNCTION("""COMPUTED_VALUE"""),"Bab Al Qasr Hotel")</f>
        <v>Bab Al Qasr Hotel</v>
      </c>
      <c r="C10776" s="2"/>
      <c r="D10776" s="2" t="str">
        <f ca="1">IFERROR(__xludf.DUMMYFUNCTION("""COMPUTED_VALUE"""),"Abu Dhabi&gt;Corniche Area&gt;Bab Al Qasr Hotel")</f>
        <v>Abu Dhabi&gt;Corniche Area&gt;Bab Al Qasr Hotel</v>
      </c>
      <c r="E10776" s="2"/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  <c r="V10776" s="2"/>
      <c r="W10776" s="2"/>
      <c r="X10776" s="2"/>
      <c r="Y10776" s="2"/>
      <c r="Z10776" s="2"/>
    </row>
    <row r="10777" spans="1:26" ht="16.5" x14ac:dyDescent="0.35">
      <c r="A10777" s="2" t="str">
        <f ca="1">IFERROR(__xludf.DUMMYFUNCTION("""COMPUTED_VALUE"""),"Abu Dhabi")</f>
        <v>Abu Dhabi</v>
      </c>
      <c r="B10777" s="2" t="str">
        <f ca="1">IFERROR(__xludf.DUMMYFUNCTION("""COMPUTED_VALUE"""),"Bawabat Al Sharq Block 1")</f>
        <v>Bawabat Al Sharq Block 1</v>
      </c>
      <c r="C10777" s="2" t="str">
        <f ca="1">IFERROR(__xludf.DUMMYFUNCTION("""COMPUTED_VALUE"""),"Building")</f>
        <v>Building</v>
      </c>
      <c r="D10777" s="2" t="str">
        <f ca="1">IFERROR(__xludf.DUMMYFUNCTION("""COMPUTED_VALUE"""),"Abu Dhabi&gt;Baniyas&gt;Bawabat Al Sharq&gt;Bawabat Al Sharq Block 1")</f>
        <v>Abu Dhabi&gt;Baniyas&gt;Bawabat Al Sharq&gt;Bawabat Al Sharq Block 1</v>
      </c>
      <c r="E10777" s="2"/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  <c r="V10777" s="2"/>
      <c r="W10777" s="2"/>
      <c r="X10777" s="2"/>
      <c r="Y10777" s="2"/>
      <c r="Z10777" s="2"/>
    </row>
    <row r="10778" spans="1:26" ht="16.5" x14ac:dyDescent="0.35">
      <c r="A10778" s="2" t="str">
        <f ca="1">IFERROR(__xludf.DUMMYFUNCTION("""COMPUTED_VALUE"""),"Abu Dhabi")</f>
        <v>Abu Dhabi</v>
      </c>
      <c r="B10778" s="2" t="str">
        <f ca="1">IFERROR(__xludf.DUMMYFUNCTION("""COMPUTED_VALUE"""),"Bab Al Qasr Resort Residence 18")</f>
        <v>Bab Al Qasr Resort Residence 18</v>
      </c>
      <c r="C10778" s="2" t="str">
        <f ca="1">IFERROR(__xludf.DUMMYFUNCTION("""COMPUTED_VALUE"""),"Building")</f>
        <v>Building</v>
      </c>
      <c r="D10778" s="2" t="str">
        <f ca="1">IFERROR(__xludf.DUMMYFUNCTION("""COMPUTED_VALUE"""),"Abu Dhabi&gt;Masdar City&gt;Bab Al Qasr Resort Residences&gt;Bab Al Qasr Resort Residence 18")</f>
        <v>Abu Dhabi&gt;Masdar City&gt;Bab Al Qasr Resort Residences&gt;Bab Al Qasr Resort Residence 18</v>
      </c>
      <c r="E10778" s="2"/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2"/>
      <c r="T10778" s="2"/>
      <c r="U10778" s="2"/>
      <c r="V10778" s="2"/>
      <c r="W10778" s="2"/>
      <c r="X10778" s="2"/>
      <c r="Y10778" s="2"/>
      <c r="Z10778" s="2"/>
    </row>
    <row r="10779" spans="1:26" ht="16.5" x14ac:dyDescent="0.35">
      <c r="A10779" s="2" t="str">
        <f ca="1">IFERROR(__xludf.DUMMYFUNCTION("""COMPUTED_VALUE"""),"Abu Dhabi")</f>
        <v>Abu Dhabi</v>
      </c>
      <c r="B10779" s="2" t="str">
        <f ca="1">IFERROR(__xludf.DUMMYFUNCTION("""COMPUTED_VALUE"""),"Hanging Garden Tower")</f>
        <v>Hanging Garden Tower</v>
      </c>
      <c r="C10779" s="2" t="str">
        <f ca="1">IFERROR(__xludf.DUMMYFUNCTION("""COMPUTED_VALUE"""),"Building")</f>
        <v>Building</v>
      </c>
      <c r="D10779" s="2" t="str">
        <f ca="1">IFERROR(__xludf.DUMMYFUNCTION("""COMPUTED_VALUE"""),"Abu Dhabi&gt;Al Danah&gt;Hanging Garden Tower")</f>
        <v>Abu Dhabi&gt;Al Danah&gt;Hanging Garden Tower</v>
      </c>
      <c r="E10779" s="2"/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  <c r="V10779" s="2"/>
      <c r="W10779" s="2"/>
      <c r="X10779" s="2"/>
      <c r="Y10779" s="2"/>
      <c r="Z10779" s="2"/>
    </row>
    <row r="10780" spans="1:26" ht="16.5" x14ac:dyDescent="0.35">
      <c r="A10780" s="2" t="str">
        <f ca="1">IFERROR(__xludf.DUMMYFUNCTION("""COMPUTED_VALUE"""),"Abu Dhabi")</f>
        <v>Abu Dhabi</v>
      </c>
      <c r="B10780" s="2" t="str">
        <f ca="1">IFERROR(__xludf.DUMMYFUNCTION("""COMPUTED_VALUE"""),"Bloom Central Residential")</f>
        <v>Bloom Central Residential</v>
      </c>
      <c r="C10780" s="2" t="str">
        <f ca="1">IFERROR(__xludf.DUMMYFUNCTION("""COMPUTED_VALUE"""),"Building")</f>
        <v>Building</v>
      </c>
      <c r="D10780" s="2" t="str">
        <f ca="1">IFERROR(__xludf.DUMMYFUNCTION("""COMPUTED_VALUE"""),"Abu Dhabi&gt;Al Tibbiya&gt;Bloom Central&gt;Bloom Central Residential")</f>
        <v>Abu Dhabi&gt;Al Tibbiya&gt;Bloom Central&gt;Bloom Central Residential</v>
      </c>
      <c r="E10780" s="2"/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  <c r="V10780" s="2"/>
      <c r="W10780" s="2"/>
      <c r="X10780" s="2"/>
      <c r="Y10780" s="2"/>
      <c r="Z10780" s="2"/>
    </row>
    <row r="10781" spans="1:26" ht="16.5" x14ac:dyDescent="0.35">
      <c r="A10781" s="2" t="str">
        <f ca="1">IFERROR(__xludf.DUMMYFUNCTION("""COMPUTED_VALUE"""),"Abu Dhabi")</f>
        <v>Abu Dhabi</v>
      </c>
      <c r="B10781" s="2" t="str">
        <f ca="1">IFERROR(__xludf.DUMMYFUNCTION("""COMPUTED_VALUE"""),"Modern Private School")</f>
        <v>Modern Private School</v>
      </c>
      <c r="C10781" s="2" t="str">
        <f ca="1">IFERROR(__xludf.DUMMYFUNCTION("""COMPUTED_VALUE"""),"School")</f>
        <v>School</v>
      </c>
      <c r="D10781" s="2" t="str">
        <f ca="1">IFERROR(__xludf.DUMMYFUNCTION("""COMPUTED_VALUE"""),"Abu Dhabi&gt;Shakhbout City&gt;Modern Private School")</f>
        <v>Abu Dhabi&gt;Shakhbout City&gt;Modern Private School</v>
      </c>
      <c r="E10781" s="2"/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  <c r="V10781" s="2"/>
      <c r="W10781" s="2"/>
      <c r="X10781" s="2"/>
      <c r="Y10781" s="2"/>
      <c r="Z10781" s="2"/>
    </row>
    <row r="10782" spans="1:26" ht="16.5" x14ac:dyDescent="0.35">
      <c r="A10782" s="2" t="str">
        <f ca="1">IFERROR(__xludf.DUMMYFUNCTION("""COMPUTED_VALUE"""),"Abu Dhabi")</f>
        <v>Abu Dhabi</v>
      </c>
      <c r="B10782" s="2" t="str">
        <f ca="1">IFERROR(__xludf.DUMMYFUNCTION("""COMPUTED_VALUE"""),"MSH31")</f>
        <v>MSH31</v>
      </c>
      <c r="C10782" s="2" t="str">
        <f ca="1">IFERROR(__xludf.DUMMYFUNCTION("""COMPUTED_VALUE"""),"Neighbourhood")</f>
        <v>Neighbourhood</v>
      </c>
      <c r="D10782" s="2" t="str">
        <f ca="1">IFERROR(__xludf.DUMMYFUNCTION("""COMPUTED_VALUE"""),"Abu Dhabi&gt;Shakhbout City&gt;MSH31")</f>
        <v>Abu Dhabi&gt;Shakhbout City&gt;MSH31</v>
      </c>
      <c r="E10782" s="2"/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2"/>
      <c r="T10782" s="2"/>
      <c r="U10782" s="2"/>
      <c r="V10782" s="2"/>
      <c r="W10782" s="2"/>
      <c r="X10782" s="2"/>
      <c r="Y10782" s="2"/>
      <c r="Z10782" s="2"/>
    </row>
    <row r="10783" spans="1:26" ht="16.5" x14ac:dyDescent="0.35">
      <c r="A10783" s="2" t="str">
        <f ca="1">IFERROR(__xludf.DUMMYFUNCTION("""COMPUTED_VALUE"""),"Abu Dhabi")</f>
        <v>Abu Dhabi</v>
      </c>
      <c r="B10783" s="2" t="str">
        <f ca="1">IFERROR(__xludf.DUMMYFUNCTION("""COMPUTED_VALUE"""),"Sheikh Khalifa Bin Zayed Arab Pakistan School, Abu Dhabi")</f>
        <v>Sheikh Khalifa Bin Zayed Arab Pakistan School, Abu Dhabi</v>
      </c>
      <c r="C10783" s="2" t="str">
        <f ca="1">IFERROR(__xludf.DUMMYFUNCTION("""COMPUTED_VALUE"""),"School")</f>
        <v>School</v>
      </c>
      <c r="D10783" s="2" t="str">
        <f ca="1">IFERROR(__xludf.DUMMYFUNCTION("""COMPUTED_VALUE"""),"Abu Dhabi&gt;Hadbat Al Zaafran&gt;Sheikh Khalifa Bin Zayed Arab Pakistan School, Abu Dhabi")</f>
        <v>Abu Dhabi&gt;Hadbat Al Zaafran&gt;Sheikh Khalifa Bin Zayed Arab Pakistan School, Abu Dhabi</v>
      </c>
      <c r="E10783" s="2"/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  <c r="V10783" s="2"/>
      <c r="W10783" s="2"/>
      <c r="X10783" s="2"/>
      <c r="Y10783" s="2"/>
      <c r="Z10783" s="2"/>
    </row>
    <row r="10784" spans="1:26" ht="16.5" x14ac:dyDescent="0.35">
      <c r="A10784" s="2" t="str">
        <f ca="1">IFERROR(__xludf.DUMMYFUNCTION("""COMPUTED_VALUE"""),"Abu Dhabi")</f>
        <v>Abu Dhabi</v>
      </c>
      <c r="B10784" s="2" t="str">
        <f ca="1">IFERROR(__xludf.DUMMYFUNCTION("""COMPUTED_VALUE"""),"Ruwais Private School, Abu Dhabi")</f>
        <v>Ruwais Private School, Abu Dhabi</v>
      </c>
      <c r="C10784" s="2" t="str">
        <f ca="1">IFERROR(__xludf.DUMMYFUNCTION("""COMPUTED_VALUE"""),"School")</f>
        <v>School</v>
      </c>
      <c r="D10784" s="2" t="str">
        <f ca="1">IFERROR(__xludf.DUMMYFUNCTION("""COMPUTED_VALUE"""),"Abu Dhabi&gt;Al Ruwais Industrial City&gt;Ruwais Private School, Abu Dhabi")</f>
        <v>Abu Dhabi&gt;Al Ruwais Industrial City&gt;Ruwais Private School, Abu Dhabi</v>
      </c>
      <c r="E10784" s="2"/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  <c r="V10784" s="2"/>
      <c r="W10784" s="2"/>
      <c r="X10784" s="2"/>
      <c r="Y10784" s="2"/>
      <c r="Z10784" s="2"/>
    </row>
    <row r="10785" spans="1:26" ht="16.5" x14ac:dyDescent="0.35">
      <c r="A10785" s="2" t="str">
        <f ca="1">IFERROR(__xludf.DUMMYFUNCTION("""COMPUTED_VALUE"""),"Abu Dhabi")</f>
        <v>Abu Dhabi</v>
      </c>
      <c r="B10785" s="2" t="str">
        <f ca="1">IFERROR(__xludf.DUMMYFUNCTION("""COMPUTED_VALUE"""),"Toledo")</f>
        <v>Toledo</v>
      </c>
      <c r="C10785" s="2" t="str">
        <f ca="1">IFERROR(__xludf.DUMMYFUNCTION("""COMPUTED_VALUE"""),"Neighbourhood")</f>
        <v>Neighbourhood</v>
      </c>
      <c r="D10785" s="2" t="str">
        <f ca="1">IFERROR(__xludf.DUMMYFUNCTION("""COMPUTED_VALUE"""),"Abu Dhabi&gt;Zayed City&gt;Bloom Living&gt;Toledo")</f>
        <v>Abu Dhabi&gt;Zayed City&gt;Bloom Living&gt;Toledo</v>
      </c>
      <c r="E10785" s="2"/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  <c r="V10785" s="2"/>
      <c r="W10785" s="2"/>
      <c r="X10785" s="2"/>
      <c r="Y10785" s="2"/>
      <c r="Z10785" s="2"/>
    </row>
    <row r="10786" spans="1:26" ht="16.5" x14ac:dyDescent="0.35">
      <c r="A10786" s="2" t="str">
        <f ca="1">IFERROR(__xludf.DUMMYFUNCTION("""COMPUTED_VALUE"""),"Abu Dhabi")</f>
        <v>Abu Dhabi</v>
      </c>
      <c r="B10786" s="2" t="str">
        <f ca="1">IFERROR(__xludf.DUMMYFUNCTION("""COMPUTED_VALUE"""),"Global Tower")</f>
        <v>Global Tower</v>
      </c>
      <c r="C10786" s="2" t="str">
        <f ca="1">IFERROR(__xludf.DUMMYFUNCTION("""COMPUTED_VALUE"""),"Building")</f>
        <v>Building</v>
      </c>
      <c r="D10786" s="2" t="str">
        <f ca="1">IFERROR(__xludf.DUMMYFUNCTION("""COMPUTED_VALUE"""),"Abu Dhabi&gt;Electra Street&gt;Global Tower")</f>
        <v>Abu Dhabi&gt;Electra Street&gt;Global Tower</v>
      </c>
      <c r="E10786" s="2"/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2"/>
      <c r="T10786" s="2"/>
      <c r="U10786" s="2"/>
      <c r="V10786" s="2"/>
      <c r="W10786" s="2"/>
      <c r="X10786" s="2"/>
      <c r="Y10786" s="2"/>
      <c r="Z10786" s="2"/>
    </row>
    <row r="10787" spans="1:26" ht="16.5" x14ac:dyDescent="0.35">
      <c r="A10787" s="2" t="str">
        <f ca="1">IFERROR(__xludf.DUMMYFUNCTION("""COMPUTED_VALUE"""),"Abu Dhabi")</f>
        <v>Abu Dhabi</v>
      </c>
      <c r="B10787" s="2" t="str">
        <f ca="1">IFERROR(__xludf.DUMMYFUNCTION("""COMPUTED_VALUE"""),"Al Noor Tower")</f>
        <v>Al Noor Tower</v>
      </c>
      <c r="C10787" s="2" t="str">
        <f ca="1">IFERROR(__xludf.DUMMYFUNCTION("""COMPUTED_VALUE"""),"Building")</f>
        <v>Building</v>
      </c>
      <c r="D10787" s="2" t="str">
        <f ca="1">IFERROR(__xludf.DUMMYFUNCTION("""COMPUTED_VALUE"""),"Abu Dhabi&gt;Al Reem Island&gt;Al Noor Tower")</f>
        <v>Abu Dhabi&gt;Al Reem Island&gt;Al Noor Tower</v>
      </c>
      <c r="E10787" s="2"/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  <c r="V10787" s="2"/>
      <c r="W10787" s="2"/>
      <c r="X10787" s="2"/>
      <c r="Y10787" s="2"/>
      <c r="Z10787" s="2"/>
    </row>
    <row r="10788" spans="1:26" ht="16.5" x14ac:dyDescent="0.35">
      <c r="A10788" s="2" t="str">
        <f ca="1">IFERROR(__xludf.DUMMYFUNCTION("""COMPUTED_VALUE"""),"Abu Dhabi")</f>
        <v>Abu Dhabi</v>
      </c>
      <c r="B10788" s="2" t="str">
        <f ca="1">IFERROR(__xludf.DUMMYFUNCTION("""COMPUTED_VALUE"""),"Solitaire Tower")</f>
        <v>Solitaire Tower</v>
      </c>
      <c r="C10788" s="2" t="str">
        <f ca="1">IFERROR(__xludf.DUMMYFUNCTION("""COMPUTED_VALUE"""),"Building")</f>
        <v>Building</v>
      </c>
      <c r="D10788" s="2" t="str">
        <f ca="1">IFERROR(__xludf.DUMMYFUNCTION("""COMPUTED_VALUE"""),"Abu Dhabi&gt;Al Reem Island&gt;Najmat Abu Dhabi&gt;Solitaire Tower")</f>
        <v>Abu Dhabi&gt;Al Reem Island&gt;Najmat Abu Dhabi&gt;Solitaire Tower</v>
      </c>
      <c r="E10788" s="2"/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  <c r="V10788" s="2"/>
      <c r="W10788" s="2"/>
      <c r="X10788" s="2"/>
      <c r="Y10788" s="2"/>
      <c r="Z10788" s="2"/>
    </row>
    <row r="10789" spans="1:26" ht="16.5" x14ac:dyDescent="0.35">
      <c r="A10789" s="2" t="str">
        <f ca="1">IFERROR(__xludf.DUMMYFUNCTION("""COMPUTED_VALUE"""),"Abu Dhabi")</f>
        <v>Abu Dhabi</v>
      </c>
      <c r="B10789" s="2" t="str">
        <f ca="1">IFERROR(__xludf.DUMMYFUNCTION("""COMPUTED_VALUE"""),"Panoramic Heights")</f>
        <v>Panoramic Heights</v>
      </c>
      <c r="C10789" s="2" t="str">
        <f ca="1">IFERROR(__xludf.DUMMYFUNCTION("""COMPUTED_VALUE"""),"Building")</f>
        <v>Building</v>
      </c>
      <c r="D10789" s="2" t="str">
        <f ca="1">IFERROR(__xludf.DUMMYFUNCTION("""COMPUTED_VALUE"""),"Abu Dhabi&gt;Al Reem Island&gt;Marina Square&gt;Panoramic Heights")</f>
        <v>Abu Dhabi&gt;Al Reem Island&gt;Marina Square&gt;Panoramic Heights</v>
      </c>
      <c r="E10789" s="2"/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  <c r="V10789" s="2"/>
      <c r="W10789" s="2"/>
      <c r="X10789" s="2"/>
      <c r="Y10789" s="2"/>
      <c r="Z10789" s="2"/>
    </row>
    <row r="10790" spans="1:26" ht="16.5" x14ac:dyDescent="0.35">
      <c r="A10790" s="2" t="str">
        <f ca="1">IFERROR(__xludf.DUMMYFUNCTION("""COMPUTED_VALUE"""),"Abu Dhabi")</f>
        <v>Abu Dhabi</v>
      </c>
      <c r="B10790" s="2" t="str">
        <f ca="1">IFERROR(__xludf.DUMMYFUNCTION("""COMPUTED_VALUE"""),"The Bridges")</f>
        <v>The Bridges</v>
      </c>
      <c r="C10790" s="2" t="str">
        <f ca="1">IFERROR(__xludf.DUMMYFUNCTION("""COMPUTED_VALUE"""),"Building")</f>
        <v>Building</v>
      </c>
      <c r="D10790" s="2" t="str">
        <f ca="1">IFERROR(__xludf.DUMMYFUNCTION("""COMPUTED_VALUE"""),"Abu Dhabi&gt;Al Reem Island&gt;Shams Abu Dhabi&gt;The Bridges")</f>
        <v>Abu Dhabi&gt;Al Reem Island&gt;Shams Abu Dhabi&gt;The Bridges</v>
      </c>
      <c r="E10790" s="2"/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2"/>
      <c r="T10790" s="2"/>
      <c r="U10790" s="2"/>
      <c r="V10790" s="2"/>
      <c r="W10790" s="2"/>
      <c r="X10790" s="2"/>
      <c r="Y10790" s="2"/>
      <c r="Z10790" s="2"/>
    </row>
    <row r="10791" spans="1:26" ht="16.5" x14ac:dyDescent="0.35">
      <c r="A10791" s="2" t="str">
        <f ca="1">IFERROR(__xludf.DUMMYFUNCTION("""COMPUTED_VALUE"""),"Abu Dhabi")</f>
        <v>Abu Dhabi</v>
      </c>
      <c r="B10791" s="2" t="str">
        <f ca="1">IFERROR(__xludf.DUMMYFUNCTION("""COMPUTED_VALUE"""),"Radiant Elite Tower")</f>
        <v>Radiant Elite Tower</v>
      </c>
      <c r="C10791" s="2" t="str">
        <f ca="1">IFERROR(__xludf.DUMMYFUNCTION("""COMPUTED_VALUE"""),"Building")</f>
        <v>Building</v>
      </c>
      <c r="D10791" s="2" t="str">
        <f ca="1">IFERROR(__xludf.DUMMYFUNCTION("""COMPUTED_VALUE"""),"Abu Dhabi&gt;Al Reem Island&gt;Shams Abu Dhabi&gt;Radiant Elite Tower")</f>
        <v>Abu Dhabi&gt;Al Reem Island&gt;Shams Abu Dhabi&gt;Radiant Elite Tower</v>
      </c>
      <c r="E10791" s="2"/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  <c r="V10791" s="2"/>
      <c r="W10791" s="2"/>
      <c r="X10791" s="2"/>
      <c r="Y10791" s="2"/>
      <c r="Z10791" s="2"/>
    </row>
    <row r="10792" spans="1:26" ht="16.5" x14ac:dyDescent="0.35">
      <c r="A10792" s="2" t="str">
        <f ca="1">IFERROR(__xludf.DUMMYFUNCTION("""COMPUTED_VALUE"""),"Abu Dhabi")</f>
        <v>Abu Dhabi</v>
      </c>
      <c r="B10792" s="2" t="str">
        <f ca="1">IFERROR(__xludf.DUMMYFUNCTION("""COMPUTED_VALUE"""),"Onyx Tower")</f>
        <v>Onyx Tower</v>
      </c>
      <c r="C10792" s="2" t="str">
        <f ca="1">IFERROR(__xludf.DUMMYFUNCTION("""COMPUTED_VALUE"""),"Building")</f>
        <v>Building</v>
      </c>
      <c r="D10792" s="2" t="str">
        <f ca="1">IFERROR(__xludf.DUMMYFUNCTION("""COMPUTED_VALUE"""),"Abu Dhabi&gt;Al Reem Island&gt;Onyx Tower")</f>
        <v>Abu Dhabi&gt;Al Reem Island&gt;Onyx Tower</v>
      </c>
      <c r="E10792" s="2"/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  <c r="V10792" s="2"/>
      <c r="W10792" s="2"/>
      <c r="X10792" s="2"/>
      <c r="Y10792" s="2"/>
      <c r="Z10792" s="2"/>
    </row>
    <row r="10793" spans="1:26" ht="16.5" x14ac:dyDescent="0.35">
      <c r="A10793" s="2" t="str">
        <f ca="1">IFERROR(__xludf.DUMMYFUNCTION("""COMPUTED_VALUE"""),"Abu Dhabi")</f>
        <v>Abu Dhabi</v>
      </c>
      <c r="B10793" s="2" t="str">
        <f ca="1">IFERROR(__xludf.DUMMYFUNCTION("""COMPUTED_VALUE"""),"North Bay")</f>
        <v>North Bay</v>
      </c>
      <c r="C10793" s="2" t="str">
        <f ca="1">IFERROR(__xludf.DUMMYFUNCTION("""COMPUTED_VALUE"""),"Neighbourhood")</f>
        <v>Neighbourhood</v>
      </c>
      <c r="D10793" s="2" t="str">
        <f ca="1">IFERROR(__xludf.DUMMYFUNCTION("""COMPUTED_VALUE"""),"Abu Dhabi&gt;Al Reem Island&gt;Reem Hills&gt;North Bay")</f>
        <v>Abu Dhabi&gt;Al Reem Island&gt;Reem Hills&gt;North Bay</v>
      </c>
      <c r="E10793" s="2"/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  <c r="V10793" s="2"/>
      <c r="W10793" s="2"/>
      <c r="X10793" s="2"/>
      <c r="Y10793" s="2"/>
      <c r="Z10793" s="2"/>
    </row>
    <row r="10794" spans="1:26" ht="16.5" x14ac:dyDescent="0.35">
      <c r="A10794" s="2" t="str">
        <f ca="1">IFERROR(__xludf.DUMMYFUNCTION("""COMPUTED_VALUE"""),"Abu Dhabi")</f>
        <v>Abu Dhabi</v>
      </c>
      <c r="B10794" s="2" t="str">
        <f ca="1">IFERROR(__xludf.DUMMYFUNCTION("""COMPUTED_VALUE"""),"Hamdan Tower")</f>
        <v>Hamdan Tower</v>
      </c>
      <c r="C10794" s="2" t="str">
        <f ca="1">IFERROR(__xludf.DUMMYFUNCTION("""COMPUTED_VALUE"""),"Building")</f>
        <v>Building</v>
      </c>
      <c r="D10794" s="2" t="str">
        <f ca="1">IFERROR(__xludf.DUMMYFUNCTION("""COMPUTED_VALUE"""),"Abu Dhabi&gt;Hamdan Street&gt;Hamdan Tower")</f>
        <v>Abu Dhabi&gt;Hamdan Street&gt;Hamdan Tower</v>
      </c>
      <c r="E10794" s="2"/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  <c r="V10794" s="2"/>
      <c r="W10794" s="2"/>
      <c r="X10794" s="2"/>
      <c r="Y10794" s="2"/>
      <c r="Z10794" s="2"/>
    </row>
    <row r="10795" spans="1:26" ht="16.5" x14ac:dyDescent="0.35">
      <c r="A10795" s="2" t="str">
        <f ca="1">IFERROR(__xludf.DUMMYFUNCTION("""COMPUTED_VALUE"""),"Abu Dhabi")</f>
        <v>Abu Dhabi</v>
      </c>
      <c r="B10795" s="2" t="str">
        <f ca="1">IFERROR(__xludf.DUMMYFUNCTION("""COMPUTED_VALUE"""),"Khalidiya Village")</f>
        <v>Khalidiya Village</v>
      </c>
      <c r="C10795" s="2" t="str">
        <f ca="1">IFERROR(__xludf.DUMMYFUNCTION("""COMPUTED_VALUE"""),"Neighbourhood")</f>
        <v>Neighbourhood</v>
      </c>
      <c r="D10795" s="2" t="str">
        <f ca="1">IFERROR(__xludf.DUMMYFUNCTION("""COMPUTED_VALUE"""),"Abu Dhabi&gt;Al Khalidiyah&gt;Khalidiya Village")</f>
        <v>Abu Dhabi&gt;Al Khalidiyah&gt;Khalidiya Village</v>
      </c>
      <c r="E10795" s="2"/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  <c r="V10795" s="2"/>
      <c r="W10795" s="2"/>
      <c r="X10795" s="2"/>
      <c r="Y10795" s="2"/>
      <c r="Z10795" s="2"/>
    </row>
    <row r="10796" spans="1:26" ht="16.5" x14ac:dyDescent="0.35">
      <c r="A10796" s="2" t="str">
        <f ca="1">IFERROR(__xludf.DUMMYFUNCTION("""COMPUTED_VALUE"""),"Abu Dhabi")</f>
        <v>Abu Dhabi</v>
      </c>
      <c r="B10796" s="2" t="str">
        <f ca="1">IFERROR(__xludf.DUMMYFUNCTION("""COMPUTED_VALUE"""),"Al Jimi Avenue")</f>
        <v>Al Jimi Avenue</v>
      </c>
      <c r="C10796" s="2" t="str">
        <f ca="1">IFERROR(__xludf.DUMMYFUNCTION("""COMPUTED_VALUE"""),"Building")</f>
        <v>Building</v>
      </c>
      <c r="D10796" s="2" t="str">
        <f ca="1">IFERROR(__xludf.DUMMYFUNCTION("""COMPUTED_VALUE"""),"Abu Dhabi&gt;Al Khalidiyah&gt;Al Jimi Avenue")</f>
        <v>Abu Dhabi&gt;Al Khalidiyah&gt;Al Jimi Avenue</v>
      </c>
      <c r="E10796" s="2"/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  <c r="V10796" s="2"/>
      <c r="W10796" s="2"/>
      <c r="X10796" s="2"/>
      <c r="Y10796" s="2"/>
      <c r="Z10796" s="2"/>
    </row>
    <row r="10797" spans="1:26" ht="16.5" x14ac:dyDescent="0.35">
      <c r="A10797" s="2" t="str">
        <f ca="1">IFERROR(__xludf.DUMMYFUNCTION("""COMPUTED_VALUE"""),"Abu Dhabi")</f>
        <v>Abu Dhabi</v>
      </c>
      <c r="B10797" s="2" t="str">
        <f ca="1">IFERROR(__xludf.DUMMYFUNCTION("""COMPUTED_VALUE"""),"Lailak")</f>
        <v>Lailak</v>
      </c>
      <c r="C10797" s="2" t="str">
        <f ca="1">IFERROR(__xludf.DUMMYFUNCTION("""COMPUTED_VALUE"""),"Neighbourhood")</f>
        <v>Neighbourhood</v>
      </c>
      <c r="D10797" s="2" t="str">
        <f ca="1">IFERROR(__xludf.DUMMYFUNCTION("""COMPUTED_VALUE"""),"Abu Dhabi&gt;Khalifa City&gt;Golf Gardens&gt;Lailak")</f>
        <v>Abu Dhabi&gt;Khalifa City&gt;Golf Gardens&gt;Lailak</v>
      </c>
      <c r="E10797" s="2"/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  <c r="V10797" s="2"/>
      <c r="W10797" s="2"/>
      <c r="X10797" s="2"/>
      <c r="Y10797" s="2"/>
      <c r="Z10797" s="2"/>
    </row>
    <row r="10798" spans="1:26" ht="16.5" x14ac:dyDescent="0.35">
      <c r="A10798" s="2" t="str">
        <f ca="1">IFERROR(__xludf.DUMMYFUNCTION("""COMPUTED_VALUE"""),"Abu Dhabi")</f>
        <v>Abu Dhabi</v>
      </c>
      <c r="B10798" s="2" t="str">
        <f ca="1">IFERROR(__xludf.DUMMYFUNCTION("""COMPUTED_VALUE"""),"Vision Twin Towers")</f>
        <v>Vision Twin Towers</v>
      </c>
      <c r="C10798" s="2" t="str">
        <f ca="1">IFERROR(__xludf.DUMMYFUNCTION("""COMPUTED_VALUE"""),"Cluster")</f>
        <v>Cluster</v>
      </c>
      <c r="D10798" s="2" t="str">
        <f ca="1">IFERROR(__xludf.DUMMYFUNCTION("""COMPUTED_VALUE"""),"Abu Dhabi&gt;Al Markaziya&gt;Vision Twin Towers")</f>
        <v>Abu Dhabi&gt;Al Markaziya&gt;Vision Twin Towers</v>
      </c>
      <c r="E10798" s="2"/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2"/>
      <c r="U10798" s="2"/>
      <c r="V10798" s="2"/>
      <c r="W10798" s="2"/>
      <c r="X10798" s="2"/>
      <c r="Y10798" s="2"/>
      <c r="Z10798" s="2"/>
    </row>
    <row r="10799" spans="1:26" ht="16.5" x14ac:dyDescent="0.35">
      <c r="A10799" s="2" t="str">
        <f ca="1">IFERROR(__xludf.DUMMYFUNCTION("""COMPUTED_VALUE"""),"Abu Dhabi")</f>
        <v>Abu Dhabi</v>
      </c>
      <c r="B10799" s="2" t="str">
        <f ca="1">IFERROR(__xludf.DUMMYFUNCTION("""COMPUTED_VALUE"""),"Uptown Hotel Apartments Abu Dhabi")</f>
        <v>Uptown Hotel Apartments Abu Dhabi</v>
      </c>
      <c r="C10799" s="2" t="str">
        <f ca="1">IFERROR(__xludf.DUMMYFUNCTION("""COMPUTED_VALUE"""),"Building")</f>
        <v>Building</v>
      </c>
      <c r="D10799" s="2" t="str">
        <f ca="1">IFERROR(__xludf.DUMMYFUNCTION("""COMPUTED_VALUE"""),"Abu Dhabi&gt;Al Markaziya&gt;Uptown Hotel Apartments Abu Dhabi")</f>
        <v>Abu Dhabi&gt;Al Markaziya&gt;Uptown Hotel Apartments Abu Dhabi</v>
      </c>
      <c r="E10799" s="2"/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  <c r="V10799" s="2"/>
      <c r="W10799" s="2"/>
      <c r="X10799" s="2"/>
      <c r="Y10799" s="2"/>
      <c r="Z10799" s="2"/>
    </row>
    <row r="10800" spans="1:26" ht="16.5" x14ac:dyDescent="0.35">
      <c r="A10800" s="2" t="str">
        <f ca="1">IFERROR(__xludf.DUMMYFUNCTION("""COMPUTED_VALUE"""),"Abu Dhabi")</f>
        <v>Abu Dhabi</v>
      </c>
      <c r="B10800" s="2" t="str">
        <f ca="1">IFERROR(__xludf.DUMMYFUNCTION("""COMPUTED_VALUE"""),"The Dunes")</f>
        <v>The Dunes</v>
      </c>
      <c r="C10800" s="2" t="str">
        <f ca="1">IFERROR(__xludf.DUMMYFUNCTION("""COMPUTED_VALUE"""),"Neighbourhood")</f>
        <v>Neighbourhood</v>
      </c>
      <c r="D10800" s="2" t="str">
        <f ca="1">IFERROR(__xludf.DUMMYFUNCTION("""COMPUTED_VALUE"""),"Abu Dhabi&gt;Saadiyat Island&gt;Saadiyat Reserve&gt;The Dunes")</f>
        <v>Abu Dhabi&gt;Saadiyat Island&gt;Saadiyat Reserve&gt;The Dunes</v>
      </c>
      <c r="E10800" s="2"/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  <c r="V10800" s="2"/>
      <c r="W10800" s="2"/>
      <c r="X10800" s="2"/>
      <c r="Y10800" s="2"/>
      <c r="Z10800" s="2"/>
    </row>
    <row r="10801" spans="1:26" ht="16.5" x14ac:dyDescent="0.35">
      <c r="A10801" s="2" t="str">
        <f ca="1">IFERROR(__xludf.DUMMYFUNCTION("""COMPUTED_VALUE"""),"Abu Dhabi")</f>
        <v>Abu Dhabi</v>
      </c>
      <c r="B10801" s="2" t="str">
        <f ca="1">IFERROR(__xludf.DUMMYFUNCTION("""COMPUTED_VALUE"""),"Mandarin Oriental The Residences Tower 1")</f>
        <v>Mandarin Oriental The Residences Tower 1</v>
      </c>
      <c r="C10801" s="2" t="str">
        <f ca="1">IFERROR(__xludf.DUMMYFUNCTION("""COMPUTED_VALUE"""),"Building")</f>
        <v>Building</v>
      </c>
      <c r="D10801" s="2" t="str">
        <f ca="1">IFERROR(__xludf.DUMMYFUNCTION("""COMPUTED_VALUE"""),"Abu Dhabi&gt;Saadiyat Island&gt;Saadiyat Cultural District&gt;Mandarin Oriental The Residences&gt;Mandarin Oriental The Residences Tower 1")</f>
        <v>Abu Dhabi&gt;Saadiyat Island&gt;Saadiyat Cultural District&gt;Mandarin Oriental The Residences&gt;Mandarin Oriental The Residences Tower 1</v>
      </c>
      <c r="E10801" s="2"/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  <c r="V10801" s="2"/>
      <c r="W10801" s="2"/>
      <c r="X10801" s="2"/>
      <c r="Y10801" s="2"/>
      <c r="Z10801" s="2"/>
    </row>
    <row r="10802" spans="1:26" ht="16.5" x14ac:dyDescent="0.35">
      <c r="A10802" s="2" t="str">
        <f ca="1">IFERROR(__xludf.DUMMYFUNCTION("""COMPUTED_VALUE"""),"Abu Dhabi")</f>
        <v>Abu Dhabi</v>
      </c>
      <c r="B10802" s="2" t="str">
        <f ca="1">IFERROR(__xludf.DUMMYFUNCTION("""COMPUTED_VALUE"""),"Shore Building")</f>
        <v>Shore Building</v>
      </c>
      <c r="C10802" s="2" t="str">
        <f ca="1">IFERROR(__xludf.DUMMYFUNCTION("""COMPUTED_VALUE"""),"Building")</f>
        <v>Building</v>
      </c>
      <c r="D10802" s="2" t="str">
        <f ca="1">IFERROR(__xludf.DUMMYFUNCTION("""COMPUTED_VALUE"""),"Abu Dhabi&gt;Saadiyat Island&gt;Saadiyat Beach&gt;The Pearl Residences&gt;Shore Building")</f>
        <v>Abu Dhabi&gt;Saadiyat Island&gt;Saadiyat Beach&gt;The Pearl Residences&gt;Shore Building</v>
      </c>
      <c r="E10802" s="2"/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2"/>
      <c r="T10802" s="2"/>
      <c r="U10802" s="2"/>
      <c r="V10802" s="2"/>
      <c r="W10802" s="2"/>
      <c r="X10802" s="2"/>
      <c r="Y10802" s="2"/>
      <c r="Z10802" s="2"/>
    </row>
    <row r="10803" spans="1:26" ht="16.5" x14ac:dyDescent="0.35">
      <c r="A10803" s="2" t="str">
        <f ca="1">IFERROR(__xludf.DUMMYFUNCTION("""COMPUTED_VALUE"""),"Abu Dhabi")</f>
        <v>Abu Dhabi</v>
      </c>
      <c r="B10803" s="2" t="str">
        <f ca="1">IFERROR(__xludf.DUMMYFUNCTION("""COMPUTED_VALUE"""),"Al Amirah Building")</f>
        <v>Al Amirah Building</v>
      </c>
      <c r="C10803" s="2" t="str">
        <f ca="1">IFERROR(__xludf.DUMMYFUNCTION("""COMPUTED_VALUE"""),"Building")</f>
        <v>Building</v>
      </c>
      <c r="D10803" s="2" t="str">
        <f ca="1">IFERROR(__xludf.DUMMYFUNCTION("""COMPUTED_VALUE"""),"Abu Dhabi&gt;Al Raha Beach&gt;Al Amirah Building")</f>
        <v>Abu Dhabi&gt;Al Raha Beach&gt;Al Amirah Building</v>
      </c>
      <c r="E10803" s="2"/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  <c r="V10803" s="2"/>
      <c r="W10803" s="2"/>
      <c r="X10803" s="2"/>
      <c r="Y10803" s="2"/>
      <c r="Z10803" s="2"/>
    </row>
    <row r="10804" spans="1:26" ht="16.5" x14ac:dyDescent="0.35">
      <c r="A10804" s="2" t="str">
        <f ca="1">IFERROR(__xludf.DUMMYFUNCTION("""COMPUTED_VALUE"""),"Abu Dhabi")</f>
        <v>Abu Dhabi</v>
      </c>
      <c r="B10804" s="2" t="str">
        <f ca="1">IFERROR(__xludf.DUMMYFUNCTION("""COMPUTED_VALUE"""),"Al Zeina Building B")</f>
        <v>Al Zeina Building B</v>
      </c>
      <c r="C10804" s="2" t="str">
        <f ca="1">IFERROR(__xludf.DUMMYFUNCTION("""COMPUTED_VALUE"""),"Building")</f>
        <v>Building</v>
      </c>
      <c r="D10804" s="2" t="str">
        <f ca="1">IFERROR(__xludf.DUMMYFUNCTION("""COMPUTED_VALUE"""),"Abu Dhabi&gt;Al Raha Beach&gt;Al Zeina&gt;Al Zeina Building B")</f>
        <v>Abu Dhabi&gt;Al Raha Beach&gt;Al Zeina&gt;Al Zeina Building B</v>
      </c>
      <c r="E10804" s="2"/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  <c r="V10804" s="2"/>
      <c r="W10804" s="2"/>
      <c r="X10804" s="2"/>
      <c r="Y10804" s="2"/>
      <c r="Z10804" s="2"/>
    </row>
    <row r="10805" spans="1:26" ht="16.5" x14ac:dyDescent="0.35">
      <c r="A10805" s="2" t="str">
        <f ca="1">IFERROR(__xludf.DUMMYFUNCTION("""COMPUTED_VALUE"""),"Abu Dhabi")</f>
        <v>Abu Dhabi</v>
      </c>
      <c r="B10805" s="2" t="str">
        <f ca="1">IFERROR(__xludf.DUMMYFUNCTION("""COMPUTED_VALUE"""),"Dolphin Towers")</f>
        <v>Dolphin Towers</v>
      </c>
      <c r="C10805" s="2" t="str">
        <f ca="1">IFERROR(__xludf.DUMMYFUNCTION("""COMPUTED_VALUE"""),"Building")</f>
        <v>Building</v>
      </c>
      <c r="D10805" s="2" t="str">
        <f ca="1">IFERROR(__xludf.DUMMYFUNCTION("""COMPUTED_VALUE"""),"Abu Dhabi&gt;Al Raha Beach&gt;Dolphin Towers")</f>
        <v>Abu Dhabi&gt;Al Raha Beach&gt;Dolphin Towers</v>
      </c>
      <c r="E10805" s="2"/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  <c r="V10805" s="2"/>
      <c r="W10805" s="2"/>
      <c r="X10805" s="2"/>
      <c r="Y10805" s="2"/>
      <c r="Z10805" s="2"/>
    </row>
    <row r="10806" spans="1:26" ht="16.5" x14ac:dyDescent="0.35">
      <c r="A10806" s="2" t="str">
        <f ca="1">IFERROR(__xludf.DUMMYFUNCTION("""COMPUTED_VALUE"""),"Abu Dhabi")</f>
        <v>Abu Dhabi</v>
      </c>
      <c r="B10806" s="2" t="str">
        <f ca="1">IFERROR(__xludf.DUMMYFUNCTION("""COMPUTED_VALUE"""),"RBW6-19")</f>
        <v>RBW6-19</v>
      </c>
      <c r="C10806" s="2" t="str">
        <f ca="1">IFERROR(__xludf.DUMMYFUNCTION("""COMPUTED_VALUE"""),"Building")</f>
        <v>Building</v>
      </c>
      <c r="D10806" s="2" t="str">
        <f ca="1">IFERROR(__xludf.DUMMYFUNCTION("""COMPUTED_VALUE"""),"Abu Dhabi&gt;Al Raha Beach&gt;RBW6-19")</f>
        <v>Abu Dhabi&gt;Al Raha Beach&gt;RBW6-19</v>
      </c>
      <c r="E10806" s="2"/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2"/>
      <c r="T10806" s="2"/>
      <c r="U10806" s="2"/>
      <c r="V10806" s="2"/>
      <c r="W10806" s="2"/>
      <c r="X10806" s="2"/>
      <c r="Y10806" s="2"/>
      <c r="Z10806" s="2"/>
    </row>
    <row r="10807" spans="1:26" ht="16.5" x14ac:dyDescent="0.35">
      <c r="A10807" s="2" t="str">
        <f ca="1">IFERROR(__xludf.DUMMYFUNCTION("""COMPUTED_VALUE"""),"Abu Dhabi")</f>
        <v>Abu Dhabi</v>
      </c>
      <c r="B10807" s="2" t="str">
        <f ca="1">IFERROR(__xludf.DUMMYFUNCTION("""COMPUTED_VALUE"""),"Darwish Tower")</f>
        <v>Darwish Tower</v>
      </c>
      <c r="C10807" s="2" t="str">
        <f ca="1">IFERROR(__xludf.DUMMYFUNCTION("""COMPUTED_VALUE"""),"Building")</f>
        <v>Building</v>
      </c>
      <c r="D10807" s="2" t="str">
        <f ca="1">IFERROR(__xludf.DUMMYFUNCTION("""COMPUTED_VALUE"""),"Abu Dhabi&gt;Danet Abu Dhabi&gt;Darwish Tower")</f>
        <v>Abu Dhabi&gt;Danet Abu Dhabi&gt;Darwish Tower</v>
      </c>
      <c r="E10807" s="2"/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  <c r="V10807" s="2"/>
      <c r="W10807" s="2"/>
      <c r="X10807" s="2"/>
      <c r="Y10807" s="2"/>
      <c r="Z10807" s="2"/>
    </row>
    <row r="10808" spans="1:26" ht="16.5" x14ac:dyDescent="0.35">
      <c r="A10808" s="2" t="str">
        <f ca="1">IFERROR(__xludf.DUMMYFUNCTION("""COMPUTED_VALUE"""),"Abu Dhabi")</f>
        <v>Abu Dhabi</v>
      </c>
      <c r="B10808" s="2" t="str">
        <f ca="1">IFERROR(__xludf.DUMMYFUNCTION("""COMPUTED_VALUE"""),"British International School Abu Dhabi")</f>
        <v>British International School Abu Dhabi</v>
      </c>
      <c r="C10808" s="2" t="str">
        <f ca="1">IFERROR(__xludf.DUMMYFUNCTION("""COMPUTED_VALUE"""),"School")</f>
        <v>School</v>
      </c>
      <c r="D10808" s="2" t="str">
        <f ca="1">IFERROR(__xludf.DUMMYFUNCTION("""COMPUTED_VALUE"""),"Abu Dhabi&gt;Mohamed Bin Zayed City&gt;British International School Abu Dhabi")</f>
        <v>Abu Dhabi&gt;Mohamed Bin Zayed City&gt;British International School Abu Dhabi</v>
      </c>
      <c r="E10808" s="2"/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2"/>
      <c r="T10808" s="2"/>
      <c r="U10808" s="2"/>
      <c r="V10808" s="2"/>
      <c r="W10808" s="2"/>
      <c r="X10808" s="2"/>
      <c r="Y10808" s="2"/>
      <c r="Z10808" s="2"/>
    </row>
    <row r="10809" spans="1:26" ht="16.5" x14ac:dyDescent="0.35">
      <c r="A10809" s="2" t="str">
        <f ca="1">IFERROR(__xludf.DUMMYFUNCTION("""COMPUTED_VALUE"""),"Abu Dhabi")</f>
        <v>Abu Dhabi</v>
      </c>
      <c r="B10809" s="2" t="str">
        <f ca="1">IFERROR(__xludf.DUMMYFUNCTION("""COMPUTED_VALUE"""),"Zone 23")</f>
        <v>Zone 23</v>
      </c>
      <c r="C10809" s="2" t="str">
        <f ca="1">IFERROR(__xludf.DUMMYFUNCTION("""COMPUTED_VALUE"""),"Neighbourhood")</f>
        <v>Neighbourhood</v>
      </c>
      <c r="D10809" s="2" t="str">
        <f ca="1">IFERROR(__xludf.DUMMYFUNCTION("""COMPUTED_VALUE"""),"Abu Dhabi&gt;Mohamed Bin Zayed City&gt;Zone 23")</f>
        <v>Abu Dhabi&gt;Mohamed Bin Zayed City&gt;Zone 23</v>
      </c>
      <c r="E10809" s="2"/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  <c r="V10809" s="2"/>
      <c r="W10809" s="2"/>
      <c r="X10809" s="2"/>
      <c r="Y10809" s="2"/>
      <c r="Z10809" s="2"/>
    </row>
    <row r="10810" spans="1:26" ht="16.5" x14ac:dyDescent="0.35">
      <c r="A10810" s="2" t="str">
        <f ca="1">IFERROR(__xludf.DUMMYFUNCTION("""COMPUTED_VALUE"""),"Abu Dhabi")</f>
        <v>Abu Dhabi</v>
      </c>
      <c r="B10810" s="2" t="str">
        <f ca="1">IFERROR(__xludf.DUMMYFUNCTION("""COMPUTED_VALUE"""),"Zone 35")</f>
        <v>Zone 35</v>
      </c>
      <c r="C10810" s="2" t="str">
        <f ca="1">IFERROR(__xludf.DUMMYFUNCTION("""COMPUTED_VALUE"""),"Neighbourhood")</f>
        <v>Neighbourhood</v>
      </c>
      <c r="D10810" s="2" t="str">
        <f ca="1">IFERROR(__xludf.DUMMYFUNCTION("""COMPUTED_VALUE"""),"Abu Dhabi&gt;Mohamed Bin Zayed City&gt;Zone 35")</f>
        <v>Abu Dhabi&gt;Mohamed Bin Zayed City&gt;Zone 35</v>
      </c>
      <c r="E10810" s="2"/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  <c r="V10810" s="2"/>
      <c r="W10810" s="2"/>
      <c r="X10810" s="2"/>
      <c r="Y10810" s="2"/>
      <c r="Z10810" s="2"/>
    </row>
    <row r="10811" spans="1:26" ht="16.5" x14ac:dyDescent="0.35">
      <c r="A10811" s="2" t="str">
        <f ca="1">IFERROR(__xludf.DUMMYFUNCTION("""COMPUTED_VALUE"""),"Abu Dhabi")</f>
        <v>Abu Dhabi</v>
      </c>
      <c r="B10811" s="2" t="str">
        <f ca="1">IFERROR(__xludf.DUMMYFUNCTION("""COMPUTED_VALUE"""),"Building 11")</f>
        <v>Building 11</v>
      </c>
      <c r="C10811" s="2" t="str">
        <f ca="1">IFERROR(__xludf.DUMMYFUNCTION("""COMPUTED_VALUE"""),"Building")</f>
        <v>Building</v>
      </c>
      <c r="D10811" s="2" t="str">
        <f ca="1">IFERROR(__xludf.DUMMYFUNCTION("""COMPUTED_VALUE"""),"Abu Dhabi&gt;Al Reef&gt;Al Reef Downtown&gt;Building 11")</f>
        <v>Abu Dhabi&gt;Al Reef&gt;Al Reef Downtown&gt;Building 11</v>
      </c>
      <c r="E10811" s="2"/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  <c r="V10811" s="2"/>
      <c r="W10811" s="2"/>
      <c r="X10811" s="2"/>
      <c r="Y10811" s="2"/>
      <c r="Z10811" s="2"/>
    </row>
    <row r="10812" spans="1:26" ht="16.5" x14ac:dyDescent="0.35">
      <c r="A10812" s="2" t="str">
        <f ca="1">IFERROR(__xludf.DUMMYFUNCTION("""COMPUTED_VALUE"""),"Abu Dhabi")</f>
        <v>Abu Dhabi</v>
      </c>
      <c r="B10812" s="2" t="str">
        <f ca="1">IFERROR(__xludf.DUMMYFUNCTION("""COMPUTED_VALUE"""),"Zone 7")</f>
        <v>Zone 7</v>
      </c>
      <c r="C10812" s="2" t="str">
        <f ca="1">IFERROR(__xludf.DUMMYFUNCTION("""COMPUTED_VALUE"""),"Neighbourhood")</f>
        <v>Neighbourhood</v>
      </c>
      <c r="D10812" s="2" t="str">
        <f ca="1">IFERROR(__xludf.DUMMYFUNCTION("""COMPUTED_VALUE"""),"Abu Dhabi&gt;Hydra Village&gt;Zone 7")</f>
        <v>Abu Dhabi&gt;Hydra Village&gt;Zone 7</v>
      </c>
      <c r="E10812" s="2"/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2"/>
      <c r="T10812" s="2"/>
      <c r="U10812" s="2"/>
      <c r="V10812" s="2"/>
      <c r="W10812" s="2"/>
      <c r="X10812" s="2"/>
      <c r="Y10812" s="2"/>
      <c r="Z10812" s="2"/>
    </row>
    <row r="10813" spans="1:26" ht="16.5" x14ac:dyDescent="0.35">
      <c r="A10813" s="2" t="str">
        <f ca="1">IFERROR(__xludf.DUMMYFUNCTION("""COMPUTED_VALUE"""),"Abu Dhabi")</f>
        <v>Abu Dhabi</v>
      </c>
      <c r="B10813" s="2" t="str">
        <f ca="1">IFERROR(__xludf.DUMMYFUNCTION("""COMPUTED_VALUE"""),"Alia Tower")</f>
        <v>Alia Tower</v>
      </c>
      <c r="C10813" s="2" t="str">
        <f ca="1">IFERROR(__xludf.DUMMYFUNCTION("""COMPUTED_VALUE"""),"Building")</f>
        <v>Building</v>
      </c>
      <c r="D10813" s="2" t="str">
        <f ca="1">IFERROR(__xludf.DUMMYFUNCTION("""COMPUTED_VALUE"""),"Abu Dhabi&gt;Sheikh Khalifa Bin Zayed Street&gt;Alia Tower")</f>
        <v>Abu Dhabi&gt;Sheikh Khalifa Bin Zayed Street&gt;Alia Tower</v>
      </c>
      <c r="E10813" s="2"/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  <c r="V10813" s="2"/>
      <c r="W10813" s="2"/>
      <c r="X10813" s="2"/>
      <c r="Y10813" s="2"/>
      <c r="Z10813" s="2"/>
    </row>
    <row r="10814" spans="1:26" ht="16.5" x14ac:dyDescent="0.35">
      <c r="A10814" s="2" t="str">
        <f ca="1">IFERROR(__xludf.DUMMYFUNCTION("""COMPUTED_VALUE"""),"Abu Dhabi")</f>
        <v>Abu Dhabi</v>
      </c>
      <c r="B10814" s="2" t="str">
        <f ca="1">IFERROR(__xludf.DUMMYFUNCTION("""COMPUTED_VALUE"""),"Zayed Military City Tower 4")</f>
        <v>Zayed Military City Tower 4</v>
      </c>
      <c r="C10814" s="2" t="str">
        <f ca="1">IFERROR(__xludf.DUMMYFUNCTION("""COMPUTED_VALUE"""),"Building")</f>
        <v>Building</v>
      </c>
      <c r="D10814" s="2" t="str">
        <f ca="1">IFERROR(__xludf.DUMMYFUNCTION("""COMPUTED_VALUE"""),"Abu Dhabi&gt;Zayed Military City&gt;Zayed Military City Tower 4")</f>
        <v>Abu Dhabi&gt;Zayed Military City&gt;Zayed Military City Tower 4</v>
      </c>
      <c r="E10814" s="2"/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  <c r="V10814" s="2"/>
      <c r="W10814" s="2"/>
      <c r="X10814" s="2"/>
      <c r="Y10814" s="2"/>
      <c r="Z10814" s="2"/>
    </row>
    <row r="10815" spans="1:26" ht="16.5" x14ac:dyDescent="0.35">
      <c r="A10815" s="2" t="str">
        <f ca="1">IFERROR(__xludf.DUMMYFUNCTION("""COMPUTED_VALUE"""),"Abu Dhabi")</f>
        <v>Abu Dhabi</v>
      </c>
      <c r="B10815" s="2" t="str">
        <f ca="1">IFERROR(__xludf.DUMMYFUNCTION("""COMPUTED_VALUE"""),"Ansam 2")</f>
        <v>Ansam 2</v>
      </c>
      <c r="C10815" s="2" t="str">
        <f ca="1">IFERROR(__xludf.DUMMYFUNCTION("""COMPUTED_VALUE"""),"Building")</f>
        <v>Building</v>
      </c>
      <c r="D10815" s="2" t="str">
        <f ca="1">IFERROR(__xludf.DUMMYFUNCTION("""COMPUTED_VALUE"""),"Abu Dhabi&gt;Yas Island&gt;Ansam&gt;Ansam 2")</f>
        <v>Abu Dhabi&gt;Yas Island&gt;Ansam&gt;Ansam 2</v>
      </c>
      <c r="E10815" s="2"/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2"/>
      <c r="T10815" s="2"/>
      <c r="U10815" s="2"/>
      <c r="V10815" s="2"/>
      <c r="W10815" s="2"/>
      <c r="X10815" s="2"/>
      <c r="Y10815" s="2"/>
      <c r="Z10815" s="2"/>
    </row>
    <row r="10816" spans="1:26" ht="16.5" x14ac:dyDescent="0.35">
      <c r="A10816" s="2" t="str">
        <f ca="1">IFERROR(__xludf.DUMMYFUNCTION("""COMPUTED_VALUE"""),"Abu Dhabi")</f>
        <v>Abu Dhabi</v>
      </c>
      <c r="B10816" s="2" t="str">
        <f ca="1">IFERROR(__xludf.DUMMYFUNCTION("""COMPUTED_VALUE"""),"Apartments 2")</f>
        <v>Apartments 2</v>
      </c>
      <c r="C10816" s="2" t="str">
        <f ca="1">IFERROR(__xludf.DUMMYFUNCTION("""COMPUTED_VALUE"""),"Building")</f>
        <v>Building</v>
      </c>
      <c r="D10816" s="2" t="str">
        <f ca="1">IFERROR(__xludf.DUMMYFUNCTION("""COMPUTED_VALUE"""),"Abu Dhabi&gt;Yas Island&gt;Yas Golf Collection&gt;Apartments 2")</f>
        <v>Abu Dhabi&gt;Yas Island&gt;Yas Golf Collection&gt;Apartments 2</v>
      </c>
      <c r="E10816" s="2"/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  <c r="V10816" s="2"/>
      <c r="W10816" s="2"/>
      <c r="X10816" s="2"/>
      <c r="Y10816" s="2"/>
      <c r="Z10816" s="2"/>
    </row>
    <row r="10817" spans="1:26" ht="16.5" x14ac:dyDescent="0.35">
      <c r="A10817" s="2" t="str">
        <f ca="1">IFERROR(__xludf.DUMMYFUNCTION("""COMPUTED_VALUE"""),"Abu Dhabi")</f>
        <v>Abu Dhabi</v>
      </c>
      <c r="B10817" s="2" t="str">
        <f ca="1">IFERROR(__xludf.DUMMYFUNCTION("""COMPUTED_VALUE"""),"Nawayef Village Townhouses")</f>
        <v>Nawayef Village Townhouses</v>
      </c>
      <c r="C10817" s="2" t="str">
        <f ca="1">IFERROR(__xludf.DUMMYFUNCTION("""COMPUTED_VALUE"""),"Neighbourhood")</f>
        <v>Neighbourhood</v>
      </c>
      <c r="D10817" s="2" t="str">
        <f ca="1">IFERROR(__xludf.DUMMYFUNCTION("""COMPUTED_VALUE"""),"Abu Dhabi&gt;Al Hudayriat Island&gt;Nawayef Village Townhouses")</f>
        <v>Abu Dhabi&gt;Al Hudayriat Island&gt;Nawayef Village Townhouses</v>
      </c>
      <c r="E10817" s="2"/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2"/>
      <c r="T10817" s="2"/>
      <c r="U10817" s="2"/>
      <c r="V10817" s="2"/>
      <c r="W10817" s="2"/>
      <c r="X10817" s="2"/>
      <c r="Y10817" s="2"/>
      <c r="Z10817" s="2"/>
    </row>
    <row r="10818" spans="1:26" ht="16.5" x14ac:dyDescent="0.35">
      <c r="A10818" s="2" t="str">
        <f ca="1">IFERROR(__xludf.DUMMYFUNCTION("""COMPUTED_VALUE"""),"Abu Dhabi")</f>
        <v>Abu Dhabi</v>
      </c>
      <c r="B10818" s="2" t="str">
        <f ca="1">IFERROR(__xludf.DUMMYFUNCTION("""COMPUTED_VALUE"""),"Al Masaood Warehouse")</f>
        <v>Al Masaood Warehouse</v>
      </c>
      <c r="C10818" s="2" t="str">
        <f ca="1">IFERROR(__xludf.DUMMYFUNCTION("""COMPUTED_VALUE"""),"Building")</f>
        <v>Building</v>
      </c>
      <c r="D10818" s="2" t="str">
        <f ca="1">IFERROR(__xludf.DUMMYFUNCTION("""COMPUTED_VALUE"""),"Abu Dhabi&gt;Mussafah&gt;Mussafah Industrial Area&gt;Al Masaood Warehouse")</f>
        <v>Abu Dhabi&gt;Mussafah&gt;Mussafah Industrial Area&gt;Al Masaood Warehouse</v>
      </c>
      <c r="E10818" s="2"/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  <c r="V10818" s="2"/>
      <c r="W10818" s="2"/>
      <c r="X10818" s="2"/>
      <c r="Y10818" s="2"/>
      <c r="Z10818" s="2"/>
    </row>
    <row r="10819" spans="1:26" ht="16.5" x14ac:dyDescent="0.35">
      <c r="A10819" s="2" t="str">
        <f ca="1">IFERROR(__xludf.DUMMYFUNCTION("""COMPUTED_VALUE"""),"Ajman")</f>
        <v>Ajman</v>
      </c>
      <c r="B10819" s="2" t="str">
        <f ca="1">IFERROR(__xludf.DUMMYFUNCTION("""COMPUTED_VALUE"""),"Arosa Building")</f>
        <v>Arosa Building</v>
      </c>
      <c r="C10819" s="2" t="str">
        <f ca="1">IFERROR(__xludf.DUMMYFUNCTION("""COMPUTED_VALUE"""),"Building")</f>
        <v>Building</v>
      </c>
      <c r="D10819" s="2" t="str">
        <f ca="1">IFERROR(__xludf.DUMMYFUNCTION("""COMPUTED_VALUE"""),"Ajman&gt;Al Tallah 2&gt;Arosa Building")</f>
        <v>Ajman&gt;Al Tallah 2&gt;Arosa Building</v>
      </c>
      <c r="E10819" s="2"/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  <c r="V10819" s="2"/>
      <c r="W10819" s="2"/>
      <c r="X10819" s="2"/>
      <c r="Y10819" s="2"/>
      <c r="Z10819" s="2"/>
    </row>
    <row r="10820" spans="1:26" ht="16.5" x14ac:dyDescent="0.35">
      <c r="A10820" s="2" t="str">
        <f ca="1">IFERROR(__xludf.DUMMYFUNCTION("""COMPUTED_VALUE"""),"Ajman")</f>
        <v>Ajman</v>
      </c>
      <c r="B10820" s="2" t="str">
        <f ca="1">IFERROR(__xludf.DUMMYFUNCTION("""COMPUTED_VALUE"""),"Crystal Residency")</f>
        <v>Crystal Residency</v>
      </c>
      <c r="C10820" s="2" t="str">
        <f ca="1">IFERROR(__xludf.DUMMYFUNCTION("""COMPUTED_VALUE"""),"Building")</f>
        <v>Building</v>
      </c>
      <c r="D10820" s="2" t="str">
        <f ca="1">IFERROR(__xludf.DUMMYFUNCTION("""COMPUTED_VALUE"""),"Ajman&gt;Emirates City&gt;Crystal Residency")</f>
        <v>Ajman&gt;Emirates City&gt;Crystal Residency</v>
      </c>
      <c r="E10820" s="2"/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  <c r="V10820" s="2"/>
      <c r="W10820" s="2"/>
      <c r="X10820" s="2"/>
      <c r="Y10820" s="2"/>
      <c r="Z10820" s="2"/>
    </row>
    <row r="10821" spans="1:26" ht="16.5" x14ac:dyDescent="0.35">
      <c r="A10821" s="2" t="str">
        <f ca="1">IFERROR(__xludf.DUMMYFUNCTION("""COMPUTED_VALUE"""),"Ajman")</f>
        <v>Ajman</v>
      </c>
      <c r="B10821" s="2" t="str">
        <f ca="1">IFERROR(__xludf.DUMMYFUNCTION("""COMPUTED_VALUE"""),"Al Rashed Tower 1")</f>
        <v>Al Rashed Tower 1</v>
      </c>
      <c r="C10821" s="2"/>
      <c r="D10821" s="2" t="str">
        <f ca="1">IFERROR(__xludf.DUMMYFUNCTION("""COMPUTED_VALUE"""),"Ajman&gt;Emirates City&gt;Al Rashed Tower&gt;Al Rashed Tower 1")</f>
        <v>Ajman&gt;Emirates City&gt;Al Rashed Tower&gt;Al Rashed Tower 1</v>
      </c>
      <c r="E10821" s="2"/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2"/>
      <c r="U10821" s="2"/>
      <c r="V10821" s="2"/>
      <c r="W10821" s="2"/>
      <c r="X10821" s="2"/>
      <c r="Y10821" s="2"/>
      <c r="Z10821" s="2"/>
    </row>
    <row r="10822" spans="1:26" ht="16.5" x14ac:dyDescent="0.35">
      <c r="A10822" s="2" t="str">
        <f ca="1">IFERROR(__xludf.DUMMYFUNCTION("""COMPUTED_VALUE"""),"Ajman")</f>
        <v>Ajman</v>
      </c>
      <c r="B10822" s="2" t="str">
        <f ca="1">IFERROR(__xludf.DUMMYFUNCTION("""COMPUTED_VALUE"""),"Ajman American Private School")</f>
        <v>Ajman American Private School</v>
      </c>
      <c r="C10822" s="2" t="str">
        <f ca="1">IFERROR(__xludf.DUMMYFUNCTION("""COMPUTED_VALUE"""),"School")</f>
        <v>School</v>
      </c>
      <c r="D10822" s="2" t="str">
        <f ca="1">IFERROR(__xludf.DUMMYFUNCTION("""COMPUTED_VALUE"""),"Ajman&gt;Al Jurf&gt;Al Jurf 1&gt;Ajman American Private School")</f>
        <v>Ajman&gt;Al Jurf&gt;Al Jurf 1&gt;Ajman American Private School</v>
      </c>
      <c r="E10822" s="2"/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  <c r="V10822" s="2"/>
      <c r="W10822" s="2"/>
      <c r="X10822" s="2"/>
      <c r="Y10822" s="2"/>
      <c r="Z10822" s="2"/>
    </row>
    <row r="10823" spans="1:26" ht="16.5" x14ac:dyDescent="0.35">
      <c r="A10823" s="2" t="str">
        <f ca="1">IFERROR(__xludf.DUMMYFUNCTION("""COMPUTED_VALUE"""),"Ajman")</f>
        <v>Ajman</v>
      </c>
      <c r="B10823" s="2" t="str">
        <f ca="1">IFERROR(__xludf.DUMMYFUNCTION("""COMPUTED_VALUE"""),"Al Shaali Tower")</f>
        <v>Al Shaali Tower</v>
      </c>
      <c r="C10823" s="2" t="str">
        <f ca="1">IFERROR(__xludf.DUMMYFUNCTION("""COMPUTED_VALUE"""),"Building")</f>
        <v>Building</v>
      </c>
      <c r="D10823" s="2" t="str">
        <f ca="1">IFERROR(__xludf.DUMMYFUNCTION("""COMPUTED_VALUE"""),"Ajman&gt;Al Rumaila&gt;Al Shaali Tower")</f>
        <v>Ajman&gt;Al Rumaila&gt;Al Shaali Tower</v>
      </c>
      <c r="E10823" s="2"/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  <c r="V10823" s="2"/>
      <c r="W10823" s="2"/>
      <c r="X10823" s="2"/>
      <c r="Y10823" s="2"/>
      <c r="Z10823" s="2"/>
    </row>
    <row r="10824" spans="1:26" ht="16.5" x14ac:dyDescent="0.35">
      <c r="A10824" s="2" t="str">
        <f ca="1">IFERROR(__xludf.DUMMYFUNCTION("""COMPUTED_VALUE"""),"Ajman")</f>
        <v>Ajman</v>
      </c>
      <c r="B10824" s="2" t="str">
        <f ca="1">IFERROR(__xludf.DUMMYFUNCTION("""COMPUTED_VALUE"""),"Al Eman Building")</f>
        <v>Al Eman Building</v>
      </c>
      <c r="C10824" s="2" t="str">
        <f ca="1">IFERROR(__xludf.DUMMYFUNCTION("""COMPUTED_VALUE"""),"Building")</f>
        <v>Building</v>
      </c>
      <c r="D10824" s="2" t="str">
        <f ca="1">IFERROR(__xludf.DUMMYFUNCTION("""COMPUTED_VALUE"""),"Ajman&gt;Al Rashidiya&gt;Al Rashidiya 3&gt;Al Eman Building")</f>
        <v>Ajman&gt;Al Rashidiya&gt;Al Rashidiya 3&gt;Al Eman Building</v>
      </c>
      <c r="E10824" s="2"/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  <c r="V10824" s="2"/>
      <c r="W10824" s="2"/>
      <c r="X10824" s="2"/>
      <c r="Y10824" s="2"/>
      <c r="Z10824" s="2"/>
    </row>
    <row r="10825" spans="1:26" ht="16.5" x14ac:dyDescent="0.35">
      <c r="A10825" s="2" t="str">
        <f ca="1">IFERROR(__xludf.DUMMYFUNCTION("""COMPUTED_VALUE"""),"Ajman")</f>
        <v>Ajman</v>
      </c>
      <c r="B10825" s="2" t="str">
        <f ca="1">IFERROR(__xludf.DUMMYFUNCTION("""COMPUTED_VALUE"""),"Nakheel Building")</f>
        <v>Nakheel Building</v>
      </c>
      <c r="C10825" s="2" t="str">
        <f ca="1">IFERROR(__xludf.DUMMYFUNCTION("""COMPUTED_VALUE"""),"Building")</f>
        <v>Building</v>
      </c>
      <c r="D10825" s="2" t="str">
        <f ca="1">IFERROR(__xludf.DUMMYFUNCTION("""COMPUTED_VALUE"""),"Ajman&gt;Al Rawda&gt;Al Rawda 1&gt;Nakheel Building")</f>
        <v>Ajman&gt;Al Rawda&gt;Al Rawda 1&gt;Nakheel Building</v>
      </c>
      <c r="E10825" s="2"/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  <c r="V10825" s="2"/>
      <c r="W10825" s="2"/>
      <c r="X10825" s="2"/>
      <c r="Y10825" s="2"/>
      <c r="Z10825" s="2"/>
    </row>
    <row r="10826" spans="1:26" ht="16.5" x14ac:dyDescent="0.35">
      <c r="A10826" s="2" t="str">
        <f ca="1">IFERROR(__xludf.DUMMYFUNCTION("""COMPUTED_VALUE"""),"Ajman")</f>
        <v>Ajman</v>
      </c>
      <c r="B10826" s="2" t="str">
        <f ca="1">IFERROR(__xludf.DUMMYFUNCTION("""COMPUTED_VALUE"""),"Piano Tower")</f>
        <v>Piano Tower</v>
      </c>
      <c r="C10826" s="2"/>
      <c r="D10826" s="2" t="str">
        <f ca="1">IFERROR(__xludf.DUMMYFUNCTION("""COMPUTED_VALUE"""),"Ajman&gt;Ain Ajman&gt;Piano Tower")</f>
        <v>Ajman&gt;Ain Ajman&gt;Piano Tower</v>
      </c>
      <c r="E10826" s="2"/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  <c r="V10826" s="2"/>
      <c r="W10826" s="2"/>
      <c r="X10826" s="2"/>
      <c r="Y10826" s="2"/>
      <c r="Z10826" s="2"/>
    </row>
    <row r="10827" spans="1:26" ht="16.5" x14ac:dyDescent="0.35">
      <c r="A10827" s="2" t="str">
        <f ca="1">IFERROR(__xludf.DUMMYFUNCTION("""COMPUTED_VALUE"""),"Ajman")</f>
        <v>Ajman</v>
      </c>
      <c r="B10827" s="2" t="str">
        <f ca="1">IFERROR(__xludf.DUMMYFUNCTION("""COMPUTED_VALUE"""),"Konig Tower")</f>
        <v>Konig Tower</v>
      </c>
      <c r="C10827" s="2" t="str">
        <f ca="1">IFERROR(__xludf.DUMMYFUNCTION("""COMPUTED_VALUE"""),"Building")</f>
        <v>Building</v>
      </c>
      <c r="D10827" s="2" t="str">
        <f ca="1">IFERROR(__xludf.DUMMYFUNCTION("""COMPUTED_VALUE"""),"Ajman&gt;Marmooka City&gt;Konig Tower")</f>
        <v>Ajman&gt;Marmooka City&gt;Konig Tower</v>
      </c>
      <c r="E10827" s="2"/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2"/>
      <c r="T10827" s="2"/>
      <c r="U10827" s="2"/>
      <c r="V10827" s="2"/>
      <c r="W10827" s="2"/>
      <c r="X10827" s="2"/>
      <c r="Y10827" s="2"/>
      <c r="Z10827" s="2"/>
    </row>
    <row r="10828" spans="1:26" ht="16.5" x14ac:dyDescent="0.35">
      <c r="A10828" s="2" t="str">
        <f ca="1">IFERROR(__xludf.DUMMYFUNCTION("""COMPUTED_VALUE"""),"Ajman")</f>
        <v>Ajman</v>
      </c>
      <c r="B10828" s="2" t="str">
        <f ca="1">IFERROR(__xludf.DUMMYFUNCTION("""COMPUTED_VALUE"""),"Creekside Residence")</f>
        <v>Creekside Residence</v>
      </c>
      <c r="C10828" s="2" t="str">
        <f ca="1">IFERROR(__xludf.DUMMYFUNCTION("""COMPUTED_VALUE"""),"Building")</f>
        <v>Building</v>
      </c>
      <c r="D10828" s="2" t="str">
        <f ca="1">IFERROR(__xludf.DUMMYFUNCTION("""COMPUTED_VALUE"""),"Ajman&gt;Al Zorah&gt;Creekside Residence")</f>
        <v>Ajman&gt;Al Zorah&gt;Creekside Residence</v>
      </c>
      <c r="E10828" s="2"/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  <c r="V10828" s="2"/>
      <c r="W10828" s="2"/>
      <c r="X10828" s="2"/>
      <c r="Y10828" s="2"/>
      <c r="Z10828" s="2"/>
    </row>
    <row r="10829" spans="1:26" ht="16.5" x14ac:dyDescent="0.35">
      <c r="A10829" s="2" t="str">
        <f ca="1">IFERROR(__xludf.DUMMYFUNCTION("""COMPUTED_VALUE"""),"Ajman")</f>
        <v>Ajman</v>
      </c>
      <c r="B10829" s="2" t="str">
        <f ca="1">IFERROR(__xludf.DUMMYFUNCTION("""COMPUTED_VALUE"""),"Savannah Heights")</f>
        <v>Savannah Heights</v>
      </c>
      <c r="C10829" s="2" t="str">
        <f ca="1">IFERROR(__xludf.DUMMYFUNCTION("""COMPUTED_VALUE"""),"Building")</f>
        <v>Building</v>
      </c>
      <c r="D10829" s="2" t="str">
        <f ca="1">IFERROR(__xludf.DUMMYFUNCTION("""COMPUTED_VALUE"""),"Ajman&gt;Al Humaid City&gt;Savannah Heights")</f>
        <v>Ajman&gt;Al Humaid City&gt;Savannah Heights</v>
      </c>
      <c r="E10829" s="2"/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2"/>
      <c r="T10829" s="2"/>
      <c r="U10829" s="2"/>
      <c r="V10829" s="2"/>
      <c r="W10829" s="2"/>
      <c r="X10829" s="2"/>
      <c r="Y10829" s="2"/>
      <c r="Z10829" s="2"/>
    </row>
    <row r="10830" spans="1:26" ht="16.5" x14ac:dyDescent="0.35">
      <c r="A10830" s="2" t="str">
        <f ca="1">IFERROR(__xludf.DUMMYFUNCTION("""COMPUTED_VALUE"""),"Ajman")</f>
        <v>Ajman</v>
      </c>
      <c r="B10830" s="2" t="str">
        <f ca="1">IFERROR(__xludf.DUMMYFUNCTION("""COMPUTED_VALUE"""),"Pearl Residence 1")</f>
        <v>Pearl Residence 1</v>
      </c>
      <c r="C10830" s="2"/>
      <c r="D10830" s="2" t="str">
        <f ca="1">IFERROR(__xludf.DUMMYFUNCTION("""COMPUTED_VALUE"""),"Ajman&gt;Al Nuaimiya&gt;Pearl Residence 1")</f>
        <v>Ajman&gt;Al Nuaimiya&gt;Pearl Residence 1</v>
      </c>
      <c r="E10830" s="2"/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  <c r="V10830" s="2"/>
      <c r="W10830" s="2"/>
      <c r="X10830" s="2"/>
      <c r="Y10830" s="2"/>
      <c r="Z10830" s="2"/>
    </row>
    <row r="10831" spans="1:26" ht="16.5" x14ac:dyDescent="0.35">
      <c r="A10831" s="2" t="str">
        <f ca="1">IFERROR(__xludf.DUMMYFUNCTION("""COMPUTED_VALUE"""),"Ajman")</f>
        <v>Ajman</v>
      </c>
      <c r="B10831" s="2" t="str">
        <f ca="1">IFERROR(__xludf.DUMMYFUNCTION("""COMPUTED_VALUE"""),"Al Noor Building")</f>
        <v>Al Noor Building</v>
      </c>
      <c r="C10831" s="2"/>
      <c r="D10831" s="2" t="str">
        <f ca="1">IFERROR(__xludf.DUMMYFUNCTION("""COMPUTED_VALUE"""),"Ajman&gt;Al Nuaimiya&gt;Al Nuaimiya 2&gt;Al Noor Building")</f>
        <v>Ajman&gt;Al Nuaimiya&gt;Al Nuaimiya 2&gt;Al Noor Building</v>
      </c>
      <c r="E10831" s="2"/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  <c r="V10831" s="2"/>
      <c r="W10831" s="2"/>
      <c r="X10831" s="2"/>
      <c r="Y10831" s="2"/>
      <c r="Z10831" s="2"/>
    </row>
    <row r="10832" spans="1:26" ht="16.5" x14ac:dyDescent="0.35">
      <c r="A10832" s="2" t="str">
        <f ca="1">IFERROR(__xludf.DUMMYFUNCTION("""COMPUTED_VALUE"""),"Sharjah")</f>
        <v>Sharjah</v>
      </c>
      <c r="B10832" s="2" t="str">
        <f ca="1">IFERROR(__xludf.DUMMYFUNCTION("""COMPUTED_VALUE"""),"Sahara Tower 1")</f>
        <v>Sahara Tower 1</v>
      </c>
      <c r="C10832" s="2"/>
      <c r="D10832" s="2" t="str">
        <f ca="1">IFERROR(__xludf.DUMMYFUNCTION("""COMPUTED_VALUE"""),"Sharjah&gt;Al Nahda (Sharjah)&gt;Sahara Towers&gt;Sahara Tower 1")</f>
        <v>Sharjah&gt;Al Nahda (Sharjah)&gt;Sahara Towers&gt;Sahara Tower 1</v>
      </c>
      <c r="E10832" s="2"/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  <c r="V10832" s="2"/>
      <c r="W10832" s="2"/>
      <c r="X10832" s="2"/>
      <c r="Y10832" s="2"/>
      <c r="Z10832" s="2"/>
    </row>
    <row r="10833" spans="1:26" ht="16.5" x14ac:dyDescent="0.35">
      <c r="A10833" s="2" t="str">
        <f ca="1">IFERROR(__xludf.DUMMYFUNCTION("""COMPUTED_VALUE"""),"Sharjah")</f>
        <v>Sharjah</v>
      </c>
      <c r="B10833" s="2" t="str">
        <f ca="1">IFERROR(__xludf.DUMMYFUNCTION("""COMPUTED_VALUE"""),"Al Wazir Building")</f>
        <v>Al Wazir Building</v>
      </c>
      <c r="C10833" s="2"/>
      <c r="D10833" s="2" t="str">
        <f ca="1">IFERROR(__xludf.DUMMYFUNCTION("""COMPUTED_VALUE"""),"Sharjah&gt;Al Nahda (Sharjah)&gt;Al Wazir Building")</f>
        <v>Sharjah&gt;Al Nahda (Sharjah)&gt;Al Wazir Building</v>
      </c>
      <c r="E10833" s="2"/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2"/>
      <c r="T10833" s="2"/>
      <c r="U10833" s="2"/>
      <c r="V10833" s="2"/>
      <c r="W10833" s="2"/>
      <c r="X10833" s="2"/>
      <c r="Y10833" s="2"/>
      <c r="Z10833" s="2"/>
    </row>
    <row r="10834" spans="1:26" ht="16.5" x14ac:dyDescent="0.35">
      <c r="A10834" s="2" t="str">
        <f ca="1">IFERROR(__xludf.DUMMYFUNCTION("""COMPUTED_VALUE"""),"Sharjah")</f>
        <v>Sharjah</v>
      </c>
      <c r="B10834" s="2" t="str">
        <f ca="1">IFERROR(__xludf.DUMMYFUNCTION("""COMPUTED_VALUE"""),"Abdullah Hussain Building")</f>
        <v>Abdullah Hussain Building</v>
      </c>
      <c r="C10834" s="2"/>
      <c r="D10834" s="2" t="str">
        <f ca="1">IFERROR(__xludf.DUMMYFUNCTION("""COMPUTED_VALUE"""),"Sharjah&gt;Al Nahda (Sharjah)&gt;Abdullah Hussain Building")</f>
        <v>Sharjah&gt;Al Nahda (Sharjah)&gt;Abdullah Hussain Building</v>
      </c>
      <c r="E10834" s="2"/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  <c r="V10834" s="2"/>
      <c r="W10834" s="2"/>
      <c r="X10834" s="2"/>
      <c r="Y10834" s="2"/>
      <c r="Z10834" s="2"/>
    </row>
    <row r="10835" spans="1:26" ht="16.5" x14ac:dyDescent="0.35">
      <c r="A10835" s="2" t="str">
        <f ca="1">IFERROR(__xludf.DUMMYFUNCTION("""COMPUTED_VALUE"""),"Sharjah")</f>
        <v>Sharjah</v>
      </c>
      <c r="B10835" s="2" t="str">
        <f ca="1">IFERROR(__xludf.DUMMYFUNCTION("""COMPUTED_VALUE"""),"Hafez House")</f>
        <v>Hafez House</v>
      </c>
      <c r="C10835" s="2" t="str">
        <f ca="1">IFERROR(__xludf.DUMMYFUNCTION("""COMPUTED_VALUE"""),"Building")</f>
        <v>Building</v>
      </c>
      <c r="D10835" s="2" t="str">
        <f ca="1">IFERROR(__xludf.DUMMYFUNCTION("""COMPUTED_VALUE"""),"Sharjah&gt;Al Nahda (Sharjah)&gt;Hafez House")</f>
        <v>Sharjah&gt;Al Nahda (Sharjah)&gt;Hafez House</v>
      </c>
      <c r="E10835" s="2"/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2"/>
      <c r="T10835" s="2"/>
      <c r="U10835" s="2"/>
      <c r="V10835" s="2"/>
      <c r="W10835" s="2"/>
      <c r="X10835" s="2"/>
      <c r="Y10835" s="2"/>
      <c r="Z10835" s="2"/>
    </row>
    <row r="10836" spans="1:26" ht="16.5" x14ac:dyDescent="0.35">
      <c r="A10836" s="2" t="str">
        <f ca="1">IFERROR(__xludf.DUMMYFUNCTION("""COMPUTED_VALUE"""),"Sharjah")</f>
        <v>Sharjah</v>
      </c>
      <c r="B10836" s="2" t="str">
        <f ca="1">IFERROR(__xludf.DUMMYFUNCTION("""COMPUTED_VALUE"""),"Andalusia Tower 2")</f>
        <v>Andalusia Tower 2</v>
      </c>
      <c r="C10836" s="2" t="str">
        <f ca="1">IFERROR(__xludf.DUMMYFUNCTION("""COMPUTED_VALUE"""),"Building")</f>
        <v>Building</v>
      </c>
      <c r="D10836" s="2" t="str">
        <f ca="1">IFERROR(__xludf.DUMMYFUNCTION("""COMPUTED_VALUE"""),"Sharjah&gt;Al Nahda (Sharjah)&gt;Andalusia Tower 2")</f>
        <v>Sharjah&gt;Al Nahda (Sharjah)&gt;Andalusia Tower 2</v>
      </c>
      <c r="E10836" s="2"/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  <c r="V10836" s="2"/>
      <c r="W10836" s="2"/>
      <c r="X10836" s="2"/>
      <c r="Y10836" s="2"/>
      <c r="Z10836" s="2"/>
    </row>
    <row r="10837" spans="1:26" ht="16.5" x14ac:dyDescent="0.35">
      <c r="A10837" s="2" t="str">
        <f ca="1">IFERROR(__xludf.DUMMYFUNCTION("""COMPUTED_VALUE"""),"Sharjah")</f>
        <v>Sharjah</v>
      </c>
      <c r="B10837" s="2" t="str">
        <f ca="1">IFERROR(__xludf.DUMMYFUNCTION("""COMPUTED_VALUE"""),"Mattar Residence")</f>
        <v>Mattar Residence</v>
      </c>
      <c r="C10837" s="2" t="str">
        <f ca="1">IFERROR(__xludf.DUMMYFUNCTION("""COMPUTED_VALUE"""),"Building")</f>
        <v>Building</v>
      </c>
      <c r="D10837" s="2" t="str">
        <f ca="1">IFERROR(__xludf.DUMMYFUNCTION("""COMPUTED_VALUE"""),"Sharjah&gt;Khor Fakkan&gt;Al Burdi&gt;Mattar Residence")</f>
        <v>Sharjah&gt;Khor Fakkan&gt;Al Burdi&gt;Mattar Residence</v>
      </c>
      <c r="E10837" s="2"/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2"/>
      <c r="T10837" s="2"/>
      <c r="U10837" s="2"/>
      <c r="V10837" s="2"/>
      <c r="W10837" s="2"/>
      <c r="X10837" s="2"/>
      <c r="Y10837" s="2"/>
      <c r="Z10837" s="2"/>
    </row>
    <row r="10838" spans="1:26" ht="16.5" x14ac:dyDescent="0.35">
      <c r="A10838" s="2" t="str">
        <f ca="1">IFERROR(__xludf.DUMMYFUNCTION("""COMPUTED_VALUE"""),"Sharjah")</f>
        <v>Sharjah</v>
      </c>
      <c r="B10838" s="2" t="str">
        <f ca="1">IFERROR(__xludf.DUMMYFUNCTION("""COMPUTED_VALUE"""),"Nest 7")</f>
        <v>Nest 7</v>
      </c>
      <c r="C10838" s="2" t="str">
        <f ca="1">IFERROR(__xludf.DUMMYFUNCTION("""COMPUTED_VALUE"""),"Building")</f>
        <v>Building</v>
      </c>
      <c r="D10838" s="2" t="str">
        <f ca="1">IFERROR(__xludf.DUMMYFUNCTION("""COMPUTED_VALUE"""),"Sharjah&gt;Aljada&gt;Nest Student Accommodation&gt;Nest 7")</f>
        <v>Sharjah&gt;Aljada&gt;Nest Student Accommodation&gt;Nest 7</v>
      </c>
      <c r="E10838" s="2"/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  <c r="V10838" s="2"/>
      <c r="W10838" s="2"/>
      <c r="X10838" s="2"/>
      <c r="Y10838" s="2"/>
      <c r="Z10838" s="2"/>
    </row>
    <row r="10839" spans="1:26" ht="16.5" x14ac:dyDescent="0.35">
      <c r="A10839" s="2" t="str">
        <f ca="1">IFERROR(__xludf.DUMMYFUNCTION("""COMPUTED_VALUE"""),"Sharjah")</f>
        <v>Sharjah</v>
      </c>
      <c r="B10839" s="2" t="str">
        <f ca="1">IFERROR(__xludf.DUMMYFUNCTION("""COMPUTED_VALUE"""),"The Gate 3")</f>
        <v>The Gate 3</v>
      </c>
      <c r="C10839" s="2" t="str">
        <f ca="1">IFERROR(__xludf.DUMMYFUNCTION("""COMPUTED_VALUE"""),"Building")</f>
        <v>Building</v>
      </c>
      <c r="D10839" s="2" t="str">
        <f ca="1">IFERROR(__xludf.DUMMYFUNCTION("""COMPUTED_VALUE"""),"Sharjah&gt;Aljada&gt;The Gate&gt;The Gate 3")</f>
        <v>Sharjah&gt;Aljada&gt;The Gate&gt;The Gate 3</v>
      </c>
      <c r="E10839" s="2"/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2"/>
      <c r="T10839" s="2"/>
      <c r="U10839" s="2"/>
      <c r="V10839" s="2"/>
      <c r="W10839" s="2"/>
      <c r="X10839" s="2"/>
      <c r="Y10839" s="2"/>
      <c r="Z10839" s="2"/>
    </row>
    <row r="10840" spans="1:26" ht="16.5" x14ac:dyDescent="0.35">
      <c r="A10840" s="2" t="str">
        <f ca="1">IFERROR(__xludf.DUMMYFUNCTION("""COMPUTED_VALUE"""),"Sharjah")</f>
        <v>Sharjah</v>
      </c>
      <c r="B10840" s="2" t="str">
        <f ca="1">IFERROR(__xludf.DUMMYFUNCTION("""COMPUTED_VALUE"""),"The Gate 5")</f>
        <v>The Gate 5</v>
      </c>
      <c r="C10840" s="2" t="str">
        <f ca="1">IFERROR(__xludf.DUMMYFUNCTION("""COMPUTED_VALUE"""),"Building")</f>
        <v>Building</v>
      </c>
      <c r="D10840" s="2" t="str">
        <f ca="1">IFERROR(__xludf.DUMMYFUNCTION("""COMPUTED_VALUE"""),"Sharjah&gt;Aljada&gt;The Gate 5")</f>
        <v>Sharjah&gt;Aljada&gt;The Gate 5</v>
      </c>
      <c r="E10840" s="2"/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  <c r="V10840" s="2"/>
      <c r="W10840" s="2"/>
      <c r="X10840" s="2"/>
      <c r="Y10840" s="2"/>
      <c r="Z10840" s="2"/>
    </row>
    <row r="10841" spans="1:26" ht="16.5" x14ac:dyDescent="0.35">
      <c r="A10841" s="2" t="str">
        <f ca="1">IFERROR(__xludf.DUMMYFUNCTION("""COMPUTED_VALUE"""),"Sharjah")</f>
        <v>Sharjah</v>
      </c>
      <c r="B10841" s="2" t="str">
        <f ca="1">IFERROR(__xludf.DUMMYFUNCTION("""COMPUTED_VALUE"""),"Abu Shagara Tower")</f>
        <v>Abu Shagara Tower</v>
      </c>
      <c r="C10841" s="2"/>
      <c r="D10841" s="2" t="str">
        <f ca="1">IFERROR(__xludf.DUMMYFUNCTION("""COMPUTED_VALUE"""),"Sharjah&gt;Abu Shagara&gt;Abu Shagara Tower")</f>
        <v>Sharjah&gt;Abu Shagara&gt;Abu Shagara Tower</v>
      </c>
      <c r="E10841" s="2"/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2"/>
      <c r="U10841" s="2"/>
      <c r="V10841" s="2"/>
      <c r="W10841" s="2"/>
      <c r="X10841" s="2"/>
      <c r="Y10841" s="2"/>
      <c r="Z10841" s="2"/>
    </row>
    <row r="10842" spans="1:26" ht="16.5" x14ac:dyDescent="0.35">
      <c r="A10842" s="2" t="str">
        <f ca="1">IFERROR(__xludf.DUMMYFUNCTION("""COMPUTED_VALUE"""),"Sharjah")</f>
        <v>Sharjah</v>
      </c>
      <c r="B10842" s="2" t="str">
        <f ca="1">IFERROR(__xludf.DUMMYFUNCTION("""COMPUTED_VALUE"""),"Al Khan Nursery")</f>
        <v>Al Khan Nursery</v>
      </c>
      <c r="C10842" s="2" t="str">
        <f ca="1">IFERROR(__xludf.DUMMYFUNCTION("""COMPUTED_VALUE"""),"Nursery")</f>
        <v>Nursery</v>
      </c>
      <c r="D10842" s="2" t="str">
        <f ca="1">IFERROR(__xludf.DUMMYFUNCTION("""COMPUTED_VALUE"""),"Sharjah&gt;Al Ghubaiba&gt;Al Khan Nursery")</f>
        <v>Sharjah&gt;Al Ghubaiba&gt;Al Khan Nursery</v>
      </c>
      <c r="E10842" s="2"/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  <c r="V10842" s="2"/>
      <c r="W10842" s="2"/>
      <c r="X10842" s="2"/>
      <c r="Y10842" s="2"/>
      <c r="Z10842" s="2"/>
    </row>
    <row r="10843" spans="1:26" ht="16.5" x14ac:dyDescent="0.35">
      <c r="A10843" s="2" t="str">
        <f ca="1">IFERROR(__xludf.DUMMYFUNCTION("""COMPUTED_VALUE"""),"Sharjah")</f>
        <v>Sharjah</v>
      </c>
      <c r="B10843" s="2" t="str">
        <f ca="1">IFERROR(__xludf.DUMMYFUNCTION("""COMPUTED_VALUE"""),"Al Wahda Private School, Sharjah")</f>
        <v>Al Wahda Private School, Sharjah</v>
      </c>
      <c r="C10843" s="2" t="str">
        <f ca="1">IFERROR(__xludf.DUMMYFUNCTION("""COMPUTED_VALUE"""),"School")</f>
        <v>School</v>
      </c>
      <c r="D10843" s="2" t="str">
        <f ca="1">IFERROR(__xludf.DUMMYFUNCTION("""COMPUTED_VALUE"""),"Sharjah&gt;Al Qarayen&gt;Al Wahda Private School, Sharjah")</f>
        <v>Sharjah&gt;Al Qarayen&gt;Al Wahda Private School, Sharjah</v>
      </c>
      <c r="E10843" s="2"/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  <c r="V10843" s="2"/>
      <c r="W10843" s="2"/>
      <c r="X10843" s="2"/>
      <c r="Y10843" s="2"/>
      <c r="Z10843" s="2"/>
    </row>
    <row r="10844" spans="1:26" ht="16.5" x14ac:dyDescent="0.35">
      <c r="A10844" s="2" t="str">
        <f ca="1">IFERROR(__xludf.DUMMYFUNCTION("""COMPUTED_VALUE"""),"Sharjah")</f>
        <v>Sharjah</v>
      </c>
      <c r="B10844" s="2" t="str">
        <f ca="1">IFERROR(__xludf.DUMMYFUNCTION("""COMPUTED_VALUE"""),"Kaya")</f>
        <v>Kaya</v>
      </c>
      <c r="C10844" s="2" t="str">
        <f ca="1">IFERROR(__xludf.DUMMYFUNCTION("""COMPUTED_VALUE"""),"Neighbourhood")</f>
        <v>Neighbourhood</v>
      </c>
      <c r="D10844" s="2" t="str">
        <f ca="1">IFERROR(__xludf.DUMMYFUNCTION("""COMPUTED_VALUE"""),"Sharjah&gt;Tilal City&gt;Masaar&gt;Kaya")</f>
        <v>Sharjah&gt;Tilal City&gt;Masaar&gt;Kaya</v>
      </c>
      <c r="E10844" s="2"/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  <c r="V10844" s="2"/>
      <c r="W10844" s="2"/>
      <c r="X10844" s="2"/>
      <c r="Y10844" s="2"/>
      <c r="Z10844" s="2"/>
    </row>
    <row r="10845" spans="1:26" ht="16.5" x14ac:dyDescent="0.35">
      <c r="A10845" s="2" t="str">
        <f ca="1">IFERROR(__xludf.DUMMYFUNCTION("""COMPUTED_VALUE"""),"Sharjah")</f>
        <v>Sharjah</v>
      </c>
      <c r="B10845" s="2" t="str">
        <f ca="1">IFERROR(__xludf.DUMMYFUNCTION("""COMPUTED_VALUE"""),"Al Fisht")</f>
        <v>Al Fisht</v>
      </c>
      <c r="C10845" s="2" t="str">
        <f ca="1">IFERROR(__xludf.DUMMYFUNCTION("""COMPUTED_VALUE"""),"Neighbourhood")</f>
        <v>Neighbourhood</v>
      </c>
      <c r="D10845" s="2" t="str">
        <f ca="1">IFERROR(__xludf.DUMMYFUNCTION("""COMPUTED_VALUE"""),"Sharjah&gt;Al Fisht")</f>
        <v>Sharjah&gt;Al Fisht</v>
      </c>
      <c r="E10845" s="2"/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  <c r="V10845" s="2"/>
      <c r="W10845" s="2"/>
      <c r="X10845" s="2"/>
      <c r="Y10845" s="2"/>
      <c r="Z10845" s="2"/>
    </row>
    <row r="10846" spans="1:26" ht="16.5" x14ac:dyDescent="0.35">
      <c r="A10846" s="2" t="str">
        <f ca="1">IFERROR(__xludf.DUMMYFUNCTION("""COMPUTED_VALUE"""),"Sharjah")</f>
        <v>Sharjah</v>
      </c>
      <c r="B10846" s="2" t="str">
        <f ca="1">IFERROR(__xludf.DUMMYFUNCTION("""COMPUTED_VALUE"""),"Al Musalla Building")</f>
        <v>Al Musalla Building</v>
      </c>
      <c r="C10846" s="2" t="str">
        <f ca="1">IFERROR(__xludf.DUMMYFUNCTION("""COMPUTED_VALUE"""),"Building")</f>
        <v>Building</v>
      </c>
      <c r="D10846" s="2" t="str">
        <f ca="1">IFERROR(__xludf.DUMMYFUNCTION("""COMPUTED_VALUE"""),"Sharjah&gt;Al Musalla&gt;Al Musalla Building")</f>
        <v>Sharjah&gt;Al Musalla&gt;Al Musalla Building</v>
      </c>
      <c r="E10846" s="2"/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  <c r="V10846" s="2"/>
      <c r="W10846" s="2"/>
      <c r="X10846" s="2"/>
      <c r="Y10846" s="2"/>
      <c r="Z10846" s="2"/>
    </row>
    <row r="10847" spans="1:26" ht="16.5" x14ac:dyDescent="0.35">
      <c r="A10847" s="2" t="str">
        <f ca="1">IFERROR(__xludf.DUMMYFUNCTION("""COMPUTED_VALUE"""),"Sharjah")</f>
        <v>Sharjah</v>
      </c>
      <c r="B10847" s="2" t="str">
        <f ca="1">IFERROR(__xludf.DUMMYFUNCTION("""COMPUTED_VALUE"""),"Far Eastern Private School, Sharjah")</f>
        <v>Far Eastern Private School, Sharjah</v>
      </c>
      <c r="C10847" s="2" t="str">
        <f ca="1">IFERROR(__xludf.DUMMYFUNCTION("""COMPUTED_VALUE"""),"School")</f>
        <v>School</v>
      </c>
      <c r="D10847" s="2" t="str">
        <f ca="1">IFERROR(__xludf.DUMMYFUNCTION("""COMPUTED_VALUE"""),"Sharjah&gt;Al Shahba&gt;Far Eastern Private School, Sharjah")</f>
        <v>Sharjah&gt;Al Shahba&gt;Far Eastern Private School, Sharjah</v>
      </c>
      <c r="E10847" s="2"/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  <c r="V10847" s="2"/>
      <c r="W10847" s="2"/>
      <c r="X10847" s="2"/>
      <c r="Y10847" s="2"/>
      <c r="Z10847" s="2"/>
    </row>
    <row r="10848" spans="1:26" ht="16.5" x14ac:dyDescent="0.35">
      <c r="A10848" s="2" t="str">
        <f ca="1">IFERROR(__xludf.DUMMYFUNCTION("""COMPUTED_VALUE"""),"Sharjah")</f>
        <v>Sharjah</v>
      </c>
      <c r="B10848" s="2" t="str">
        <f ca="1">IFERROR(__xludf.DUMMYFUNCTION("""COMPUTED_VALUE"""),"BSI Building")</f>
        <v>BSI Building</v>
      </c>
      <c r="C10848" s="2"/>
      <c r="D10848" s="2" t="str">
        <f ca="1">IFERROR(__xludf.DUMMYFUNCTION("""COMPUTED_VALUE"""),"Sharjah&gt;Al Mareija&gt;BSI Building")</f>
        <v>Sharjah&gt;Al Mareija&gt;BSI Building</v>
      </c>
      <c r="E10848" s="2"/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  <c r="V10848" s="2"/>
      <c r="W10848" s="2"/>
      <c r="X10848" s="2"/>
      <c r="Y10848" s="2"/>
      <c r="Z10848" s="2"/>
    </row>
    <row r="10849" spans="1:26" ht="16.5" x14ac:dyDescent="0.35">
      <c r="A10849" s="2" t="str">
        <f ca="1">IFERROR(__xludf.DUMMYFUNCTION("""COMPUTED_VALUE"""),"Sharjah")</f>
        <v>Sharjah</v>
      </c>
      <c r="B10849" s="2" t="str">
        <f ca="1">IFERROR(__xludf.DUMMYFUNCTION("""COMPUTED_VALUE"""),"Abdul Rahman Building 4")</f>
        <v>Abdul Rahman Building 4</v>
      </c>
      <c r="C10849" s="2" t="str">
        <f ca="1">IFERROR(__xludf.DUMMYFUNCTION("""COMPUTED_VALUE"""),"Building")</f>
        <v>Building</v>
      </c>
      <c r="D10849" s="2" t="str">
        <f ca="1">IFERROR(__xludf.DUMMYFUNCTION("""COMPUTED_VALUE"""),"Sharjah&gt;Um Tarafa&gt;Abdul Rahman Building 4")</f>
        <v>Sharjah&gt;Um Tarafa&gt;Abdul Rahman Building 4</v>
      </c>
      <c r="E10849" s="2"/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2"/>
      <c r="T10849" s="2"/>
      <c r="U10849" s="2"/>
      <c r="V10849" s="2"/>
      <c r="W10849" s="2"/>
      <c r="X10849" s="2"/>
      <c r="Y10849" s="2"/>
      <c r="Z10849" s="2"/>
    </row>
    <row r="10850" spans="1:26" ht="16.5" x14ac:dyDescent="0.35">
      <c r="A10850" s="2" t="str">
        <f ca="1">IFERROR(__xludf.DUMMYFUNCTION("""COMPUTED_VALUE"""),"Sharjah")</f>
        <v>Sharjah</v>
      </c>
      <c r="B10850" s="2" t="str">
        <f ca="1">IFERROR(__xludf.DUMMYFUNCTION("""COMPUTED_VALUE"""),"Shaghrafa 4")</f>
        <v>Shaghrafa 4</v>
      </c>
      <c r="C10850" s="2" t="str">
        <f ca="1">IFERROR(__xludf.DUMMYFUNCTION("""COMPUTED_VALUE"""),"Neighbourhood")</f>
        <v>Neighbourhood</v>
      </c>
      <c r="D10850" s="2" t="str">
        <f ca="1">IFERROR(__xludf.DUMMYFUNCTION("""COMPUTED_VALUE"""),"Sharjah&gt;Al Rahmaniya&gt;Shaghrafa 4")</f>
        <v>Sharjah&gt;Al Rahmaniya&gt;Shaghrafa 4</v>
      </c>
      <c r="E10850" s="2"/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  <c r="V10850" s="2"/>
      <c r="W10850" s="2"/>
      <c r="X10850" s="2"/>
      <c r="Y10850" s="2"/>
      <c r="Z10850" s="2"/>
    </row>
    <row r="10851" spans="1:26" ht="16.5" x14ac:dyDescent="0.35">
      <c r="A10851" s="2" t="str">
        <f ca="1">IFERROR(__xludf.DUMMYFUNCTION("""COMPUTED_VALUE"""),"Sharjah")</f>
        <v>Sharjah</v>
      </c>
      <c r="B10851" s="2" t="str">
        <f ca="1">IFERROR(__xludf.DUMMYFUNCTION("""COMPUTED_VALUE"""),"Al Sweihat")</f>
        <v>Al Sweihat</v>
      </c>
      <c r="C10851" s="2"/>
      <c r="D10851" s="2" t="str">
        <f ca="1">IFERROR(__xludf.DUMMYFUNCTION("""COMPUTED_VALUE"""),"Sharjah&gt;Al Sweihat")</f>
        <v>Sharjah&gt;Al Sweihat</v>
      </c>
      <c r="E10851" s="2"/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  <c r="V10851" s="2"/>
      <c r="W10851" s="2"/>
      <c r="X10851" s="2"/>
      <c r="Y10851" s="2"/>
      <c r="Z10851" s="2"/>
    </row>
    <row r="10852" spans="1:26" ht="16.5" x14ac:dyDescent="0.35">
      <c r="A10852" s="2" t="str">
        <f ca="1">IFERROR(__xludf.DUMMYFUNCTION("""COMPUTED_VALUE"""),"Sharjah")</f>
        <v>Sharjah</v>
      </c>
      <c r="B10852" s="2" t="str">
        <f ca="1">IFERROR(__xludf.DUMMYFUNCTION("""COMPUTED_VALUE"""),"Al Hilal Tower")</f>
        <v>Al Hilal Tower</v>
      </c>
      <c r="C10852" s="2" t="str">
        <f ca="1">IFERROR(__xludf.DUMMYFUNCTION("""COMPUTED_VALUE"""),"Building")</f>
        <v>Building</v>
      </c>
      <c r="D10852" s="2" t="str">
        <f ca="1">IFERROR(__xludf.DUMMYFUNCTION("""COMPUTED_VALUE"""),"Sharjah&gt;Al Khan&gt;Al Hilal Tower")</f>
        <v>Sharjah&gt;Al Khan&gt;Al Hilal Tower</v>
      </c>
      <c r="E10852" s="2"/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  <c r="V10852" s="2"/>
      <c r="W10852" s="2"/>
      <c r="X10852" s="2"/>
      <c r="Y10852" s="2"/>
      <c r="Z10852" s="2"/>
    </row>
    <row r="10853" spans="1:26" ht="16.5" x14ac:dyDescent="0.35">
      <c r="A10853" s="2" t="str">
        <f ca="1">IFERROR(__xludf.DUMMYFUNCTION("""COMPUTED_VALUE"""),"Sharjah")</f>
        <v>Sharjah</v>
      </c>
      <c r="B10853" s="2" t="str">
        <f ca="1">IFERROR(__xludf.DUMMYFUNCTION("""COMPUTED_VALUE"""),"Nada Residences")</f>
        <v>Nada Residences</v>
      </c>
      <c r="C10853" s="2" t="str">
        <f ca="1">IFERROR(__xludf.DUMMYFUNCTION("""COMPUTED_VALUE"""),"Building")</f>
        <v>Building</v>
      </c>
      <c r="D10853" s="2" t="str">
        <f ca="1">IFERROR(__xludf.DUMMYFUNCTION("""COMPUTED_VALUE"""),"Sharjah&gt;Al Khan&gt;Maryam Island&gt;Maryam Gate Residences&gt;Nada Residences")</f>
        <v>Sharjah&gt;Al Khan&gt;Maryam Island&gt;Maryam Gate Residences&gt;Nada Residences</v>
      </c>
      <c r="E10853" s="2"/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2"/>
      <c r="T10853" s="2"/>
      <c r="U10853" s="2"/>
      <c r="V10853" s="2"/>
      <c r="W10853" s="2"/>
      <c r="X10853" s="2"/>
      <c r="Y10853" s="2"/>
      <c r="Z10853" s="2"/>
    </row>
    <row r="10854" spans="1:26" ht="16.5" x14ac:dyDescent="0.35">
      <c r="A10854" s="2" t="str">
        <f ca="1">IFERROR(__xludf.DUMMYFUNCTION("""COMPUTED_VALUE"""),"Sharjah")</f>
        <v>Sharjah</v>
      </c>
      <c r="B10854" s="2" t="str">
        <f ca="1">IFERROR(__xludf.DUMMYFUNCTION("""COMPUTED_VALUE"""),"Al Qaid Building")</f>
        <v>Al Qaid Building</v>
      </c>
      <c r="C10854" s="2"/>
      <c r="D10854" s="2" t="str">
        <f ca="1">IFERROR(__xludf.DUMMYFUNCTION("""COMPUTED_VALUE"""),"Sharjah&gt;Al Khan&gt;Al Qaid Building")</f>
        <v>Sharjah&gt;Al Khan&gt;Al Qaid Building</v>
      </c>
      <c r="E10854" s="2"/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  <c r="V10854" s="2"/>
      <c r="W10854" s="2"/>
      <c r="X10854" s="2"/>
      <c r="Y10854" s="2"/>
      <c r="Z10854" s="2"/>
    </row>
    <row r="10855" spans="1:26" ht="16.5" x14ac:dyDescent="0.35">
      <c r="A10855" s="2" t="str">
        <f ca="1">IFERROR(__xludf.DUMMYFUNCTION("""COMPUTED_VALUE"""),"Sharjah")</f>
        <v>Sharjah</v>
      </c>
      <c r="B10855" s="2" t="str">
        <f ca="1">IFERROR(__xludf.DUMMYFUNCTION("""COMPUTED_VALUE"""),"Mesk Residences")</f>
        <v>Mesk Residences</v>
      </c>
      <c r="C10855" s="2" t="str">
        <f ca="1">IFERROR(__xludf.DUMMYFUNCTION("""COMPUTED_VALUE"""),"Building")</f>
        <v>Building</v>
      </c>
      <c r="D10855" s="2" t="str">
        <f ca="1">IFERROR(__xludf.DUMMYFUNCTION("""COMPUTED_VALUE"""),"Sharjah&gt;Al Khan&gt;Mesk Residences")</f>
        <v>Sharjah&gt;Al Khan&gt;Mesk Residences</v>
      </c>
      <c r="E10855" s="2"/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  <c r="V10855" s="2"/>
      <c r="W10855" s="2"/>
      <c r="X10855" s="2"/>
      <c r="Y10855" s="2"/>
      <c r="Z10855" s="2"/>
    </row>
    <row r="10856" spans="1:26" ht="16.5" x14ac:dyDescent="0.35">
      <c r="A10856" s="2" t="str">
        <f ca="1">IFERROR(__xludf.DUMMYFUNCTION("""COMPUTED_VALUE"""),"Sharjah")</f>
        <v>Sharjah</v>
      </c>
      <c r="B10856" s="2" t="str">
        <f ca="1">IFERROR(__xludf.DUMMYFUNCTION("""COMPUTED_VALUE"""),"Al Ansari Tower")</f>
        <v>Al Ansari Tower</v>
      </c>
      <c r="C10856" s="2"/>
      <c r="D10856" s="2" t="str">
        <f ca="1">IFERROR(__xludf.DUMMYFUNCTION("""COMPUTED_VALUE"""),"Sharjah&gt;Al Majaz&gt;Al Majaz 2&gt;Al Ansari Tower")</f>
        <v>Sharjah&gt;Al Majaz&gt;Al Majaz 2&gt;Al Ansari Tower</v>
      </c>
      <c r="E10856" s="2"/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  <c r="V10856" s="2"/>
      <c r="W10856" s="2"/>
      <c r="X10856" s="2"/>
      <c r="Y10856" s="2"/>
      <c r="Z10856" s="2"/>
    </row>
    <row r="10857" spans="1:26" ht="16.5" x14ac:dyDescent="0.35">
      <c r="A10857" s="2" t="str">
        <f ca="1">IFERROR(__xludf.DUMMYFUNCTION("""COMPUTED_VALUE"""),"Sharjah")</f>
        <v>Sharjah</v>
      </c>
      <c r="B10857" s="2" t="str">
        <f ca="1">IFERROR(__xludf.DUMMYFUNCTION("""COMPUTED_VALUE"""),"Nasser Centre")</f>
        <v>Nasser Centre</v>
      </c>
      <c r="C10857" s="2"/>
      <c r="D10857" s="2" t="str">
        <f ca="1">IFERROR(__xludf.DUMMYFUNCTION("""COMPUTED_VALUE"""),"Sharjah&gt;Al Majaz&gt;Al Majaz 2&gt;Nasser Centre")</f>
        <v>Sharjah&gt;Al Majaz&gt;Al Majaz 2&gt;Nasser Centre</v>
      </c>
      <c r="E10857" s="2"/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2"/>
      <c r="T10857" s="2"/>
      <c r="U10857" s="2"/>
      <c r="V10857" s="2"/>
      <c r="W10857" s="2"/>
      <c r="X10857" s="2"/>
      <c r="Y10857" s="2"/>
      <c r="Z10857" s="2"/>
    </row>
    <row r="10858" spans="1:26" ht="16.5" x14ac:dyDescent="0.35">
      <c r="A10858" s="2" t="str">
        <f ca="1">IFERROR(__xludf.DUMMYFUNCTION("""COMPUTED_VALUE"""),"Sharjah")</f>
        <v>Sharjah</v>
      </c>
      <c r="B10858" s="2" t="str">
        <f ca="1">IFERROR(__xludf.DUMMYFUNCTION("""COMPUTED_VALUE"""),"Al Dana Tower")</f>
        <v>Al Dana Tower</v>
      </c>
      <c r="C10858" s="2" t="str">
        <f ca="1">IFERROR(__xludf.DUMMYFUNCTION("""COMPUTED_VALUE"""),"Building")</f>
        <v>Building</v>
      </c>
      <c r="D10858" s="2" t="str">
        <f ca="1">IFERROR(__xludf.DUMMYFUNCTION("""COMPUTED_VALUE"""),"Sharjah&gt;Al Majaz&gt;Al Majaz 3&gt;Al Dana Tower")</f>
        <v>Sharjah&gt;Al Majaz&gt;Al Majaz 3&gt;Al Dana Tower</v>
      </c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  <c r="V10858" s="2"/>
      <c r="W10858" s="2"/>
      <c r="X10858" s="2"/>
      <c r="Y10858" s="2"/>
      <c r="Z10858" s="2"/>
    </row>
    <row r="10859" spans="1:26" ht="16.5" x14ac:dyDescent="0.35">
      <c r="A10859" s="2" t="str">
        <f ca="1">IFERROR(__xludf.DUMMYFUNCTION("""COMPUTED_VALUE"""),"Sharjah")</f>
        <v>Sharjah</v>
      </c>
      <c r="B10859" s="2" t="str">
        <f ca="1">IFERROR(__xludf.DUMMYFUNCTION("""COMPUTED_VALUE"""),"BMTC Building")</f>
        <v>BMTC Building</v>
      </c>
      <c r="C10859" s="2" t="str">
        <f ca="1">IFERROR(__xludf.DUMMYFUNCTION("""COMPUTED_VALUE"""),"Building")</f>
        <v>Building</v>
      </c>
      <c r="D10859" s="2" t="str">
        <f ca="1">IFERROR(__xludf.DUMMYFUNCTION("""COMPUTED_VALUE"""),"Sharjah&gt;Al Majaz&gt;Al Majaz 3&gt;BMTC Building")</f>
        <v>Sharjah&gt;Al Majaz&gt;Al Majaz 3&gt;BMTC Building</v>
      </c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  <c r="V10859" s="2"/>
      <c r="W10859" s="2"/>
      <c r="X10859" s="2"/>
      <c r="Y10859" s="2"/>
      <c r="Z10859" s="2"/>
    </row>
    <row r="10860" spans="1:26" ht="16.5" x14ac:dyDescent="0.35">
      <c r="A10860" s="2" t="str">
        <f ca="1">IFERROR(__xludf.DUMMYFUNCTION("""COMPUTED_VALUE"""),"Sharjah")</f>
        <v>Sharjah</v>
      </c>
      <c r="B10860" s="2" t="str">
        <f ca="1">IFERROR(__xludf.DUMMYFUNCTION("""COMPUTED_VALUE"""),"Toufeeq Building")</f>
        <v>Toufeeq Building</v>
      </c>
      <c r="C10860" s="2"/>
      <c r="D10860" s="2" t="str">
        <f ca="1">IFERROR(__xludf.DUMMYFUNCTION("""COMPUTED_VALUE"""),"Sharjah&gt;Al Majaz&gt;Al Majaz 3&gt;Toufeeq Building")</f>
        <v>Sharjah&gt;Al Majaz&gt;Al Majaz 3&gt;Toufeeq Building</v>
      </c>
      <c r="E10860" s="2"/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  <c r="V10860" s="2"/>
      <c r="W10860" s="2"/>
      <c r="X10860" s="2"/>
      <c r="Y10860" s="2"/>
      <c r="Z10860" s="2"/>
    </row>
    <row r="10861" spans="1:26" ht="16.5" x14ac:dyDescent="0.35">
      <c r="A10861" s="2" t="str">
        <f ca="1">IFERROR(__xludf.DUMMYFUNCTION("""COMPUTED_VALUE"""),"Sharjah")</f>
        <v>Sharjah</v>
      </c>
      <c r="B10861" s="2" t="str">
        <f ca="1">IFERROR(__xludf.DUMMYFUNCTION("""COMPUTED_VALUE"""),"Corniche Plaza")</f>
        <v>Corniche Plaza</v>
      </c>
      <c r="C10861" s="2"/>
      <c r="D10861" s="2" t="str">
        <f ca="1">IFERROR(__xludf.DUMMYFUNCTION("""COMPUTED_VALUE"""),"Sharjah&gt;Al Majaz&gt;Al Majaz 1&gt;Corniche Plaza")</f>
        <v>Sharjah&gt;Al Majaz&gt;Al Majaz 1&gt;Corniche Plaza</v>
      </c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2"/>
      <c r="T10861" s="2"/>
      <c r="U10861" s="2"/>
      <c r="V10861" s="2"/>
      <c r="W10861" s="2"/>
      <c r="X10861" s="2"/>
      <c r="Y10861" s="2"/>
      <c r="Z10861" s="2"/>
    </row>
    <row r="10862" spans="1:26" ht="16.5" x14ac:dyDescent="0.35">
      <c r="A10862" s="2" t="str">
        <f ca="1">IFERROR(__xludf.DUMMYFUNCTION("""COMPUTED_VALUE"""),"Sharjah")</f>
        <v>Sharjah</v>
      </c>
      <c r="B10862" s="2" t="str">
        <f ca="1">IFERROR(__xludf.DUMMYFUNCTION("""COMPUTED_VALUE"""),"Al Metraq")</f>
        <v>Al Metraq</v>
      </c>
      <c r="C10862" s="2" t="str">
        <f ca="1">IFERROR(__xludf.DUMMYFUNCTION("""COMPUTED_VALUE"""),"Neighbourhood")</f>
        <v>Neighbourhood</v>
      </c>
      <c r="D10862" s="2" t="str">
        <f ca="1">IFERROR(__xludf.DUMMYFUNCTION("""COMPUTED_VALUE"""),"Sharjah&gt;Al Metraq")</f>
        <v>Sharjah&gt;Al Metraq</v>
      </c>
      <c r="E10862" s="2"/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  <c r="V10862" s="2"/>
      <c r="W10862" s="2"/>
      <c r="X10862" s="2"/>
      <c r="Y10862" s="2"/>
      <c r="Z10862" s="2"/>
    </row>
    <row r="10863" spans="1:26" ht="16.5" x14ac:dyDescent="0.35">
      <c r="A10863" s="2" t="str">
        <f ca="1">IFERROR(__xludf.DUMMYFUNCTION("""COMPUTED_VALUE"""),"Sharjah")</f>
        <v>Sharjah</v>
      </c>
      <c r="B10863" s="2" t="str">
        <f ca="1">IFERROR(__xludf.DUMMYFUNCTION("""COMPUTED_VALUE"""),"Bin Ham Tower C")</f>
        <v>Bin Ham Tower C</v>
      </c>
      <c r="C10863" s="2" t="str">
        <f ca="1">IFERROR(__xludf.DUMMYFUNCTION("""COMPUTED_VALUE"""),"Building")</f>
        <v>Building</v>
      </c>
      <c r="D10863" s="2" t="str">
        <f ca="1">IFERROR(__xludf.DUMMYFUNCTION("""COMPUTED_VALUE"""),"Sharjah&gt;Al Taawun&gt;Bin Ham Towers&gt;Bin Ham Tower C")</f>
        <v>Sharjah&gt;Al Taawun&gt;Bin Ham Towers&gt;Bin Ham Tower C</v>
      </c>
      <c r="E10863" s="2"/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  <c r="V10863" s="2"/>
      <c r="W10863" s="2"/>
      <c r="X10863" s="2"/>
      <c r="Y10863" s="2"/>
      <c r="Z10863" s="2"/>
    </row>
    <row r="10864" spans="1:26" ht="16.5" x14ac:dyDescent="0.35">
      <c r="A10864" s="2" t="str">
        <f ca="1">IFERROR(__xludf.DUMMYFUNCTION("""COMPUTED_VALUE"""),"Sharjah")</f>
        <v>Sharjah</v>
      </c>
      <c r="B10864" s="2" t="str">
        <f ca="1">IFERROR(__xludf.DUMMYFUNCTION("""COMPUTED_VALUE"""),"Al Baker Tower 4")</f>
        <v>Al Baker Tower 4</v>
      </c>
      <c r="C10864" s="2" t="str">
        <f ca="1">IFERROR(__xludf.DUMMYFUNCTION("""COMPUTED_VALUE"""),"Building")</f>
        <v>Building</v>
      </c>
      <c r="D10864" s="2" t="str">
        <f ca="1">IFERROR(__xludf.DUMMYFUNCTION("""COMPUTED_VALUE"""),"Sharjah&gt;Al Taawun&gt;Al Baker Tower 4")</f>
        <v>Sharjah&gt;Al Taawun&gt;Al Baker Tower 4</v>
      </c>
      <c r="E10864" s="2"/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  <c r="V10864" s="2"/>
      <c r="W10864" s="2"/>
      <c r="X10864" s="2"/>
      <c r="Y10864" s="2"/>
      <c r="Z10864" s="2"/>
    </row>
    <row r="10865" spans="1:26" ht="16.5" x14ac:dyDescent="0.35">
      <c r="A10865" s="2" t="str">
        <f ca="1">IFERROR(__xludf.DUMMYFUNCTION("""COMPUTED_VALUE"""),"Sharjah")</f>
        <v>Sharjah</v>
      </c>
      <c r="B10865" s="2" t="str">
        <f ca="1">IFERROR(__xludf.DUMMYFUNCTION("""COMPUTED_VALUE"""),"Liwan Tower")</f>
        <v>Liwan Tower</v>
      </c>
      <c r="C10865" s="2" t="str">
        <f ca="1">IFERROR(__xludf.DUMMYFUNCTION("""COMPUTED_VALUE"""),"Building")</f>
        <v>Building</v>
      </c>
      <c r="D10865" s="2" t="str">
        <f ca="1">IFERROR(__xludf.DUMMYFUNCTION("""COMPUTED_VALUE"""),"Sharjah&gt;Al Qasimia&gt;Al Nad&gt;Liwan Tower")</f>
        <v>Sharjah&gt;Al Qasimia&gt;Al Nad&gt;Liwan Tower</v>
      </c>
      <c r="E10865" s="2"/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  <c r="V10865" s="2"/>
      <c r="W10865" s="2"/>
      <c r="X10865" s="2"/>
      <c r="Y10865" s="2"/>
      <c r="Z10865" s="2"/>
    </row>
    <row r="10866" spans="1:26" ht="16.5" x14ac:dyDescent="0.35">
      <c r="A10866" s="2" t="str">
        <f ca="1">IFERROR(__xludf.DUMMYFUNCTION("""COMPUTED_VALUE"""),"Sharjah")</f>
        <v>Sharjah</v>
      </c>
      <c r="B10866" s="2" t="str">
        <f ca="1">IFERROR(__xludf.DUMMYFUNCTION("""COMPUTED_VALUE"""),"Four Points BY Sheraton Sharjah")</f>
        <v>Four Points BY Sheraton Sharjah</v>
      </c>
      <c r="C10866" s="2"/>
      <c r="D10866" s="2" t="str">
        <f ca="1">IFERROR(__xludf.DUMMYFUNCTION("""COMPUTED_VALUE"""),"Sharjah&gt;Al Qasimia&gt;Al Nad&gt;Four Points BY Sheraton Sharjah")</f>
        <v>Sharjah&gt;Al Qasimia&gt;Al Nad&gt;Four Points BY Sheraton Sharjah</v>
      </c>
      <c r="E10866" s="2"/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2"/>
      <c r="U10866" s="2"/>
      <c r="V10866" s="2"/>
      <c r="W10866" s="2"/>
      <c r="X10866" s="2"/>
      <c r="Y10866" s="2"/>
      <c r="Z10866" s="2"/>
    </row>
    <row r="10867" spans="1:26" ht="16.5" x14ac:dyDescent="0.35">
      <c r="A10867" s="2" t="str">
        <f ca="1">IFERROR(__xludf.DUMMYFUNCTION("""COMPUTED_VALUE"""),"Sharjah")</f>
        <v>Sharjah</v>
      </c>
      <c r="B10867" s="2" t="str">
        <f ca="1">IFERROR(__xludf.DUMMYFUNCTION("""COMPUTED_VALUE"""),"Al Marzouqi Tower C")</f>
        <v>Al Marzouqi Tower C</v>
      </c>
      <c r="C10867" s="2" t="str">
        <f ca="1">IFERROR(__xludf.DUMMYFUNCTION("""COMPUTED_VALUE"""),"Building")</f>
        <v>Building</v>
      </c>
      <c r="D10867" s="2" t="str">
        <f ca="1">IFERROR(__xludf.DUMMYFUNCTION("""COMPUTED_VALUE"""),"Sharjah&gt;Al Qasimia&gt;Al Marzouqi Towers&gt;Al Marzouqi Tower C")</f>
        <v>Sharjah&gt;Al Qasimia&gt;Al Marzouqi Towers&gt;Al Marzouqi Tower C</v>
      </c>
      <c r="E10867" s="2"/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  <c r="V10867" s="2"/>
      <c r="W10867" s="2"/>
      <c r="X10867" s="2"/>
      <c r="Y10867" s="2"/>
      <c r="Z10867" s="2"/>
    </row>
    <row r="10868" spans="1:26" ht="16.5" x14ac:dyDescent="0.35">
      <c r="A10868" s="2" t="str">
        <f ca="1">IFERROR(__xludf.DUMMYFUNCTION("""COMPUTED_VALUE"""),"Sharjah")</f>
        <v>Sharjah</v>
      </c>
      <c r="B10868" s="2" t="str">
        <f ca="1">IFERROR(__xludf.DUMMYFUNCTION("""COMPUTED_VALUE"""),"Al Orobah Building")</f>
        <v>Al Orobah Building</v>
      </c>
      <c r="C10868" s="2"/>
      <c r="D10868" s="2" t="str">
        <f ca="1">IFERROR(__xludf.DUMMYFUNCTION("""COMPUTED_VALUE"""),"Sharjah&gt;Al Nabba&gt;Al Orobah Building")</f>
        <v>Sharjah&gt;Al Nabba&gt;Al Orobah Building</v>
      </c>
      <c r="E10868" s="2"/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  <c r="V10868" s="2"/>
      <c r="W10868" s="2"/>
      <c r="X10868" s="2"/>
      <c r="Y10868" s="2"/>
      <c r="Z10868" s="2"/>
    </row>
    <row r="10869" spans="1:26" ht="16.5" x14ac:dyDescent="0.35">
      <c r="A10869" s="2" t="str">
        <f ca="1">IFERROR(__xludf.DUMMYFUNCTION("""COMPUTED_VALUE"""),"Sharjah")</f>
        <v>Sharjah</v>
      </c>
      <c r="B10869" s="2" t="str">
        <f ca="1">IFERROR(__xludf.DUMMYFUNCTION("""COMPUTED_VALUE"""),"Al Yasmin 1 Building")</f>
        <v>Al Yasmin 1 Building</v>
      </c>
      <c r="C10869" s="2" t="str">
        <f ca="1">IFERROR(__xludf.DUMMYFUNCTION("""COMPUTED_VALUE"""),"Building")</f>
        <v>Building</v>
      </c>
      <c r="D10869" s="2" t="str">
        <f ca="1">IFERROR(__xludf.DUMMYFUNCTION("""COMPUTED_VALUE"""),"Sharjah&gt;Industrial Area&gt;Industrial Area 6&gt;Al Yasmin 1 Building")</f>
        <v>Sharjah&gt;Industrial Area&gt;Industrial Area 6&gt;Al Yasmin 1 Building</v>
      </c>
      <c r="E10869" s="2"/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  <c r="V10869" s="2"/>
      <c r="W10869" s="2"/>
      <c r="X10869" s="2"/>
      <c r="Y10869" s="2"/>
      <c r="Z10869" s="2"/>
    </row>
    <row r="10870" spans="1:26" ht="16.5" x14ac:dyDescent="0.35">
      <c r="A10870" s="2" t="str">
        <f ca="1">IFERROR(__xludf.DUMMYFUNCTION("""COMPUTED_VALUE"""),"Sharjah")</f>
        <v>Sharjah</v>
      </c>
      <c r="B10870" s="2" t="str">
        <f ca="1">IFERROR(__xludf.DUMMYFUNCTION("""COMPUTED_VALUE"""),"Industrial Area 17")</f>
        <v>Industrial Area 17</v>
      </c>
      <c r="C10870" s="2" t="str">
        <f ca="1">IFERROR(__xludf.DUMMYFUNCTION("""COMPUTED_VALUE"""),"Neighbourhood")</f>
        <v>Neighbourhood</v>
      </c>
      <c r="D10870" s="2" t="str">
        <f ca="1">IFERROR(__xludf.DUMMYFUNCTION("""COMPUTED_VALUE"""),"Sharjah&gt;Industrial Area&gt;Industrial Area 17")</f>
        <v>Sharjah&gt;Industrial Area&gt;Industrial Area 17</v>
      </c>
      <c r="E10870" s="2"/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  <c r="V10870" s="2"/>
      <c r="W10870" s="2"/>
      <c r="X10870" s="2"/>
      <c r="Y10870" s="2"/>
      <c r="Z10870" s="2"/>
    </row>
    <row r="10871" spans="1:26" ht="16.5" x14ac:dyDescent="0.35">
      <c r="A10871" s="2" t="str">
        <f ca="1">IFERROR(__xludf.DUMMYFUNCTION("""COMPUTED_VALUE"""),"Sharjah")</f>
        <v>Sharjah</v>
      </c>
      <c r="B10871" s="2" t="str">
        <f ca="1">IFERROR(__xludf.DUMMYFUNCTION("""COMPUTED_VALUE"""),"SE 1")</f>
        <v>SE 1</v>
      </c>
      <c r="C10871" s="2" t="str">
        <f ca="1">IFERROR(__xludf.DUMMYFUNCTION("""COMPUTED_VALUE"""),"Building")</f>
        <v>Building</v>
      </c>
      <c r="D10871" s="2" t="str">
        <f ca="1">IFERROR(__xludf.DUMMYFUNCTION("""COMPUTED_VALUE"""),"Sharjah&gt;Muwaileh&gt;Al Mamsha&gt;Souks Residential&gt;SE 1")</f>
        <v>Sharjah&gt;Muwaileh&gt;Al Mamsha&gt;Souks Residential&gt;SE 1</v>
      </c>
      <c r="E10871" s="2"/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  <c r="V10871" s="2"/>
      <c r="W10871" s="2"/>
      <c r="X10871" s="2"/>
      <c r="Y10871" s="2"/>
      <c r="Z10871" s="2"/>
    </row>
    <row r="10872" spans="1:26" ht="16.5" x14ac:dyDescent="0.35">
      <c r="A10872" s="2" t="str">
        <f ca="1">IFERROR(__xludf.DUMMYFUNCTION("""COMPUTED_VALUE"""),"Sharjah")</f>
        <v>Sharjah</v>
      </c>
      <c r="B10872" s="2" t="str">
        <f ca="1">IFERROR(__xludf.DUMMYFUNCTION("""COMPUTED_VALUE"""),"Woroud 2")</f>
        <v>Woroud 2</v>
      </c>
      <c r="C10872" s="2" t="str">
        <f ca="1">IFERROR(__xludf.DUMMYFUNCTION("""COMPUTED_VALUE"""),"Building")</f>
        <v>Building</v>
      </c>
      <c r="D10872" s="2" t="str">
        <f ca="1">IFERROR(__xludf.DUMMYFUNCTION("""COMPUTED_VALUE"""),"Sharjah&gt;Muwaileh&gt;Al Zahia&gt;UpTown Al Zahia&gt;Woroud&gt;Woroud 2")</f>
        <v>Sharjah&gt;Muwaileh&gt;Al Zahia&gt;UpTown Al Zahia&gt;Woroud&gt;Woroud 2</v>
      </c>
      <c r="E10872" s="2"/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  <c r="V10872" s="2"/>
      <c r="W10872" s="2"/>
      <c r="X10872" s="2"/>
      <c r="Y10872" s="2"/>
      <c r="Z10872" s="2"/>
    </row>
    <row r="10873" spans="1:26" ht="16.5" x14ac:dyDescent="0.35">
      <c r="A10873" s="2" t="str">
        <f ca="1">IFERROR(__xludf.DUMMYFUNCTION("""COMPUTED_VALUE"""),"Sharjah")</f>
        <v>Sharjah</v>
      </c>
      <c r="B10873" s="2" t="str">
        <f ca="1">IFERROR(__xludf.DUMMYFUNCTION("""COMPUTED_VALUE"""),"Delta English School")</f>
        <v>Delta English School</v>
      </c>
      <c r="C10873" s="2" t="str">
        <f ca="1">IFERROR(__xludf.DUMMYFUNCTION("""COMPUTED_VALUE"""),"School")</f>
        <v>School</v>
      </c>
      <c r="D10873" s="2" t="str">
        <f ca="1">IFERROR(__xludf.DUMMYFUNCTION("""COMPUTED_VALUE"""),"Sharjah&gt;Muwaileh Commercial&gt;Delta English School")</f>
        <v>Sharjah&gt;Muwaileh Commercial&gt;Delta English School</v>
      </c>
      <c r="E10873" s="2"/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2"/>
      <c r="U10873" s="2"/>
      <c r="V10873" s="2"/>
      <c r="W10873" s="2"/>
      <c r="X10873" s="2"/>
      <c r="Y10873" s="2"/>
      <c r="Z10873" s="2"/>
    </row>
    <row r="10874" spans="1:26" ht="16.5" x14ac:dyDescent="0.35">
      <c r="A10874" s="2" t="str">
        <f ca="1">IFERROR(__xludf.DUMMYFUNCTION("""COMPUTED_VALUE"""),"Sharjah")</f>
        <v>Sharjah</v>
      </c>
      <c r="B10874" s="2" t="str">
        <f ca="1">IFERROR(__xludf.DUMMYFUNCTION("""COMPUTED_VALUE"""),"Jassim 2 Building")</f>
        <v>Jassim 2 Building</v>
      </c>
      <c r="C10874" s="2"/>
      <c r="D10874" s="2" t="str">
        <f ca="1">IFERROR(__xludf.DUMMYFUNCTION("""COMPUTED_VALUE"""),"Sharjah&gt;Muwaileh Commercial&gt;Jassim 2 Building")</f>
        <v>Sharjah&gt;Muwaileh Commercial&gt;Jassim 2 Building</v>
      </c>
      <c r="E10874" s="2"/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  <c r="V10874" s="2"/>
      <c r="W10874" s="2"/>
      <c r="X10874" s="2"/>
      <c r="Y10874" s="2"/>
      <c r="Z10874" s="2"/>
    </row>
    <row r="10875" spans="1:26" ht="16.5" x14ac:dyDescent="0.35">
      <c r="A10875" s="2" t="str">
        <f ca="1">IFERROR(__xludf.DUMMYFUNCTION("""COMPUTED_VALUE"""),"Sharjah")</f>
        <v>Sharjah</v>
      </c>
      <c r="B10875" s="2" t="str">
        <f ca="1">IFERROR(__xludf.DUMMYFUNCTION("""COMPUTED_VALUE"""),"Allia Palace")</f>
        <v>Allia Palace</v>
      </c>
      <c r="C10875" s="2" t="str">
        <f ca="1">IFERROR(__xludf.DUMMYFUNCTION("""COMPUTED_VALUE"""),"Building")</f>
        <v>Building</v>
      </c>
      <c r="D10875" s="2" t="str">
        <f ca="1">IFERROR(__xludf.DUMMYFUNCTION("""COMPUTED_VALUE"""),"Sharjah&gt;Muwaileh Commercial&gt;Allia Palace")</f>
        <v>Sharjah&gt;Muwaileh Commercial&gt;Allia Palace</v>
      </c>
      <c r="E10875" s="2"/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  <c r="V10875" s="2"/>
      <c r="W10875" s="2"/>
      <c r="X10875" s="2"/>
      <c r="Y10875" s="2"/>
      <c r="Z10875" s="2"/>
    </row>
    <row r="10876" spans="1:26" ht="16.5" x14ac:dyDescent="0.35">
      <c r="A10876" s="2" t="str">
        <f ca="1">IFERROR(__xludf.DUMMYFUNCTION("""COMPUTED_VALUE"""),"Al Ain")</f>
        <v>Al Ain</v>
      </c>
      <c r="B10876" s="2" t="str">
        <f ca="1">IFERROR(__xludf.DUMMYFUNCTION("""COMPUTED_VALUE"""),"Abu Krayyah")</f>
        <v>Abu Krayyah</v>
      </c>
      <c r="C10876" s="2" t="str">
        <f ca="1">IFERROR(__xludf.DUMMYFUNCTION("""COMPUTED_VALUE"""),"Neighbourhood")</f>
        <v>Neighbourhood</v>
      </c>
      <c r="D10876" s="2" t="str">
        <f ca="1">IFERROR(__xludf.DUMMYFUNCTION("""COMPUTED_VALUE"""),"Al Ain&gt;Abu Krayyah")</f>
        <v>Al Ain&gt;Abu Krayyah</v>
      </c>
      <c r="E10876" s="2"/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  <c r="V10876" s="2"/>
      <c r="W10876" s="2"/>
      <c r="X10876" s="2"/>
      <c r="Y10876" s="2"/>
      <c r="Z10876" s="2"/>
    </row>
    <row r="10877" spans="1:26" ht="16.5" x14ac:dyDescent="0.35">
      <c r="A10877" s="2" t="str">
        <f ca="1">IFERROR(__xludf.DUMMYFUNCTION("""COMPUTED_VALUE"""),"Al Ain")</f>
        <v>Al Ain</v>
      </c>
      <c r="B10877" s="2" t="str">
        <f ca="1">IFERROR(__xludf.DUMMYFUNCTION("""COMPUTED_VALUE"""),"Hai Al Salama")</f>
        <v>Hai Al Salama</v>
      </c>
      <c r="C10877" s="2" t="str">
        <f ca="1">IFERROR(__xludf.DUMMYFUNCTION("""COMPUTED_VALUE"""),"Neighbourhood")</f>
        <v>Neighbourhood</v>
      </c>
      <c r="D10877" s="2" t="str">
        <f ca="1">IFERROR(__xludf.DUMMYFUNCTION("""COMPUTED_VALUE"""),"Al Ain&gt;Central District&gt;Hai Al Salama")</f>
        <v>Al Ain&gt;Central District&gt;Hai Al Salama</v>
      </c>
      <c r="E10877" s="2"/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  <c r="V10877" s="2"/>
      <c r="W10877" s="2"/>
      <c r="X10877" s="2"/>
      <c r="Y10877" s="2"/>
      <c r="Z10877" s="2"/>
    </row>
    <row r="10878" spans="1:26" ht="16.5" x14ac:dyDescent="0.35">
      <c r="A10878" s="2" t="str">
        <f ca="1">IFERROR(__xludf.DUMMYFUNCTION("""COMPUTED_VALUE"""),"Al Ain")</f>
        <v>Al Ain</v>
      </c>
      <c r="B10878" s="2" t="str">
        <f ca="1">IFERROR(__xludf.DUMMYFUNCTION("""COMPUTED_VALUE"""),"Oud Bin Sag-Han")</f>
        <v>Oud Bin Sag-Han</v>
      </c>
      <c r="C10878" s="2" t="str">
        <f ca="1">IFERROR(__xludf.DUMMYFUNCTION("""COMPUTED_VALUE"""),"Neighbourhood")</f>
        <v>Neighbourhood</v>
      </c>
      <c r="D10878" s="2" t="str">
        <f ca="1">IFERROR(__xludf.DUMMYFUNCTION("""COMPUTED_VALUE"""),"Al Ain&gt;Al Muwaiji&gt;Oud Bin Sag-Han")</f>
        <v>Al Ain&gt;Al Muwaiji&gt;Oud Bin Sag-Han</v>
      </c>
      <c r="E10878" s="2"/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  <c r="V10878" s="2"/>
      <c r="W10878" s="2"/>
      <c r="X10878" s="2"/>
      <c r="Y10878" s="2"/>
      <c r="Z10878" s="2"/>
    </row>
    <row r="10879" spans="1:26" ht="16.5" x14ac:dyDescent="0.35">
      <c r="A10879" s="2" t="str">
        <f ca="1">IFERROR(__xludf.DUMMYFUNCTION("""COMPUTED_VALUE"""),"Al Ain")</f>
        <v>Al Ain</v>
      </c>
      <c r="B10879" s="2" t="str">
        <f ca="1">IFERROR(__xludf.DUMMYFUNCTION("""COMPUTED_VALUE"""),"Ugdat Al Husoon")</f>
        <v>Ugdat Al Husoon</v>
      </c>
      <c r="C10879" s="2" t="str">
        <f ca="1">IFERROR(__xludf.DUMMYFUNCTION("""COMPUTED_VALUE"""),"Neighbourhood")</f>
        <v>Neighbourhood</v>
      </c>
      <c r="D10879" s="2" t="str">
        <f ca="1">IFERROR(__xludf.DUMMYFUNCTION("""COMPUTED_VALUE"""),"Al Ain&gt;Hili&gt;Ugdat Al Husoon")</f>
        <v>Al Ain&gt;Hili&gt;Ugdat Al Husoon</v>
      </c>
      <c r="E10879" s="2"/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2"/>
      <c r="T10879" s="2"/>
      <c r="U10879" s="2"/>
      <c r="V10879" s="2"/>
      <c r="W10879" s="2"/>
      <c r="X10879" s="2"/>
      <c r="Y10879" s="2"/>
      <c r="Z10879" s="2"/>
    </row>
    <row r="10880" spans="1:26" ht="16.5" x14ac:dyDescent="0.35">
      <c r="A10880" s="2" t="str">
        <f ca="1">IFERROR(__xludf.DUMMYFUNCTION("""COMPUTED_VALUE"""),"Al Ain")</f>
        <v>Al Ain</v>
      </c>
      <c r="B10880" s="2" t="str">
        <f ca="1">IFERROR(__xludf.DUMMYFUNCTION("""COMPUTED_VALUE"""),"Liwa International School")</f>
        <v>Liwa International School</v>
      </c>
      <c r="C10880" s="2" t="str">
        <f ca="1">IFERROR(__xludf.DUMMYFUNCTION("""COMPUTED_VALUE"""),"School")</f>
        <v>School</v>
      </c>
      <c r="D10880" s="2" t="str">
        <f ca="1">IFERROR(__xludf.DUMMYFUNCTION("""COMPUTED_VALUE"""),"Al Ain&gt;Falaj Hazzaa&gt;Liwa International School")</f>
        <v>Al Ain&gt;Falaj Hazzaa&gt;Liwa International School</v>
      </c>
      <c r="E10880" s="2"/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  <c r="V10880" s="2"/>
      <c r="W10880" s="2"/>
      <c r="X10880" s="2"/>
      <c r="Y10880" s="2"/>
      <c r="Z10880" s="2"/>
    </row>
    <row r="10881" spans="1:26" ht="16.5" x14ac:dyDescent="0.35">
      <c r="A10881" s="2" t="str">
        <f ca="1">IFERROR(__xludf.DUMMYFUNCTION("""COMPUTED_VALUE"""),"Al Ain")</f>
        <v>Al Ain</v>
      </c>
      <c r="B10881" s="2" t="str">
        <f ca="1">IFERROR(__xludf.DUMMYFUNCTION("""COMPUTED_VALUE"""),"Al Maqam Palace")</f>
        <v>Al Maqam Palace</v>
      </c>
      <c r="C10881" s="2" t="str">
        <f ca="1">IFERROR(__xludf.DUMMYFUNCTION("""COMPUTED_VALUE"""),"Neighbourhood")</f>
        <v>Neighbourhood</v>
      </c>
      <c r="D10881" s="2" t="str">
        <f ca="1">IFERROR(__xludf.DUMMYFUNCTION("""COMPUTED_VALUE"""),"Al Ain&gt;Al Maqam&gt;Al Maqam Palace")</f>
        <v>Al Ain&gt;Al Maqam&gt;Al Maqam Palace</v>
      </c>
      <c r="E10881" s="2"/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  <c r="V10881" s="2"/>
      <c r="W10881" s="2"/>
      <c r="X10881" s="2"/>
      <c r="Y10881" s="2"/>
      <c r="Z10881" s="2"/>
    </row>
    <row r="10882" spans="1:26" ht="16.5" x14ac:dyDescent="0.35">
      <c r="A10882" s="2" t="str">
        <f ca="1">IFERROR(__xludf.DUMMYFUNCTION("""COMPUTED_VALUE"""),"Al Ain")</f>
        <v>Al Ain</v>
      </c>
      <c r="B10882" s="2" t="str">
        <f ca="1">IFERROR(__xludf.DUMMYFUNCTION("""COMPUTED_VALUE"""),"Jabal Al Hafeet")</f>
        <v>Jabal Al Hafeet</v>
      </c>
      <c r="C10882" s="2" t="str">
        <f ca="1">IFERROR(__xludf.DUMMYFUNCTION("""COMPUTED_VALUE"""),"Neighbourhood")</f>
        <v>Neighbourhood</v>
      </c>
      <c r="D10882" s="2" t="str">
        <f ca="1">IFERROR(__xludf.DUMMYFUNCTION("""COMPUTED_VALUE"""),"Al Ain&gt;Jabal Al Hafeet")</f>
        <v>Al Ain&gt;Jabal Al Hafeet</v>
      </c>
      <c r="E10882" s="2"/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  <c r="V10882" s="2"/>
      <c r="W10882" s="2"/>
      <c r="X10882" s="2"/>
      <c r="Y10882" s="2"/>
      <c r="Z10882" s="2"/>
    </row>
    <row r="10883" spans="1:26" ht="16.5" x14ac:dyDescent="0.35">
      <c r="A10883" s="2" t="str">
        <f ca="1">IFERROR(__xludf.DUMMYFUNCTION("""COMPUTED_VALUE"""),"Ras Al Khaimah")</f>
        <v>Ras Al Khaimah</v>
      </c>
      <c r="B10883" s="2" t="str">
        <f ca="1">IFERROR(__xludf.DUMMYFUNCTION("""COMPUTED_VALUE"""),"NB Collection")</f>
        <v>NB Collection</v>
      </c>
      <c r="C10883" s="2" t="str">
        <f ca="1">IFERROR(__xludf.DUMMYFUNCTION("""COMPUTED_VALUE"""),"Building")</f>
        <v>Building</v>
      </c>
      <c r="D10883" s="2" t="str">
        <f ca="1">IFERROR(__xludf.DUMMYFUNCTION("""COMPUTED_VALUE"""),"Ras Al Khaimah&gt;Mina Al Arab&gt;Hayat Island&gt;NB Collection")</f>
        <v>Ras Al Khaimah&gt;Mina Al Arab&gt;Hayat Island&gt;NB Collection</v>
      </c>
      <c r="E10883" s="2"/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2"/>
      <c r="T10883" s="2"/>
      <c r="U10883" s="2"/>
      <c r="V10883" s="2"/>
      <c r="W10883" s="2"/>
      <c r="X10883" s="2"/>
      <c r="Y10883" s="2"/>
      <c r="Z10883" s="2"/>
    </row>
    <row r="10884" spans="1:26" ht="16.5" x14ac:dyDescent="0.35">
      <c r="A10884" s="2" t="str">
        <f ca="1">IFERROR(__xludf.DUMMYFUNCTION("""COMPUTED_VALUE"""),"Ras Al Khaimah")</f>
        <v>Ras Al Khaimah</v>
      </c>
      <c r="B10884" s="2" t="str">
        <f ca="1">IFERROR(__xludf.DUMMYFUNCTION("""COMPUTED_VALUE"""),"Blu Mirage")</f>
        <v>Blu Mirage</v>
      </c>
      <c r="C10884" s="2" t="str">
        <f ca="1">IFERROR(__xludf.DUMMYFUNCTION("""COMPUTED_VALUE"""),"Building")</f>
        <v>Building</v>
      </c>
      <c r="D10884" s="2" t="str">
        <f ca="1">IFERROR(__xludf.DUMMYFUNCTION("""COMPUTED_VALUE"""),"Ras Al Khaimah&gt;Al Marjan Island&gt;Blu Mirage")</f>
        <v>Ras Al Khaimah&gt;Al Marjan Island&gt;Blu Mirage</v>
      </c>
      <c r="E10884" s="2"/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  <c r="V10884" s="2"/>
      <c r="W10884" s="2"/>
      <c r="X10884" s="2"/>
      <c r="Y10884" s="2"/>
      <c r="Z10884" s="2"/>
    </row>
    <row r="10885" spans="1:26" ht="16.5" x14ac:dyDescent="0.35">
      <c r="A10885" s="2" t="str">
        <f ca="1">IFERROR(__xludf.DUMMYFUNCTION("""COMPUTED_VALUE"""),"Ras Al Khaimah")</f>
        <v>Ras Al Khaimah</v>
      </c>
      <c r="B10885" s="2" t="str">
        <f ca="1">IFERROR(__xludf.DUMMYFUNCTION("""COMPUTED_VALUE"""),"La Mazzoni")</f>
        <v>La Mazzoni</v>
      </c>
      <c r="C10885" s="2" t="str">
        <f ca="1">IFERROR(__xludf.DUMMYFUNCTION("""COMPUTED_VALUE"""),"Building")</f>
        <v>Building</v>
      </c>
      <c r="D10885" s="2" t="str">
        <f ca="1">IFERROR(__xludf.DUMMYFUNCTION("""COMPUTED_VALUE"""),"Ras Al Khaimah&gt;Al Marjan Island&gt;La Mazzoni")</f>
        <v>Ras Al Khaimah&gt;Al Marjan Island&gt;La Mazzoni</v>
      </c>
      <c r="E10885" s="2"/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  <c r="V10885" s="2"/>
      <c r="W10885" s="2"/>
      <c r="X10885" s="2"/>
      <c r="Y10885" s="2"/>
      <c r="Z10885" s="2"/>
    </row>
    <row r="10886" spans="1:26" ht="16.5" x14ac:dyDescent="0.35">
      <c r="A10886" s="2" t="str">
        <f ca="1">IFERROR(__xludf.DUMMYFUNCTION("""COMPUTED_VALUE"""),"Ras Al Khaimah")</f>
        <v>Ras Al Khaimah</v>
      </c>
      <c r="B10886" s="2" t="str">
        <f ca="1">IFERROR(__xludf.DUMMYFUNCTION("""COMPUTED_VALUE"""),"Al Hamra Marina Residences")</f>
        <v>Al Hamra Marina Residences</v>
      </c>
      <c r="C10886" s="2" t="str">
        <f ca="1">IFERROR(__xludf.DUMMYFUNCTION("""COMPUTED_VALUE"""),"Cluster")</f>
        <v>Cluster</v>
      </c>
      <c r="D10886" s="2" t="str">
        <f ca="1">IFERROR(__xludf.DUMMYFUNCTION("""COMPUTED_VALUE"""),"Ras Al Khaimah&gt;Al Hamra Village&gt;Al Hamra Marina Residences")</f>
        <v>Ras Al Khaimah&gt;Al Hamra Village&gt;Al Hamra Marina Residences</v>
      </c>
      <c r="E10886" s="2"/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2"/>
      <c r="T10886" s="2"/>
      <c r="U10886" s="2"/>
      <c r="V10886" s="2"/>
      <c r="W10886" s="2"/>
      <c r="X10886" s="2"/>
      <c r="Y10886" s="2"/>
      <c r="Z10886" s="2"/>
    </row>
    <row r="10887" spans="1:26" ht="16.5" x14ac:dyDescent="0.35">
      <c r="A10887" s="2" t="str">
        <f ca="1">IFERROR(__xludf.DUMMYFUNCTION("""COMPUTED_VALUE"""),"Ras Al Khaimah")</f>
        <v>Ras Al Khaimah</v>
      </c>
      <c r="B10887" s="2" t="str">
        <f ca="1">IFERROR(__xludf.DUMMYFUNCTION("""COMPUTED_VALUE"""),"Al Hamra Waterfront Tower D")</f>
        <v>Al Hamra Waterfront Tower D</v>
      </c>
      <c r="C10887" s="2" t="str">
        <f ca="1">IFERROR(__xludf.DUMMYFUNCTION("""COMPUTED_VALUE"""),"Building")</f>
        <v>Building</v>
      </c>
      <c r="D10887" s="2" t="str">
        <f ca="1">IFERROR(__xludf.DUMMYFUNCTION("""COMPUTED_VALUE"""),"Ras Al Khaimah&gt;Al Hamra Village&gt;Al Hamra Waterfront Tower D")</f>
        <v>Ras Al Khaimah&gt;Al Hamra Village&gt;Al Hamra Waterfront Tower D</v>
      </c>
      <c r="E10887" s="2"/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  <c r="V10887" s="2"/>
      <c r="W10887" s="2"/>
      <c r="X10887" s="2"/>
      <c r="Y10887" s="2"/>
      <c r="Z10887" s="2"/>
    </row>
    <row r="10888" spans="1:26" ht="16.5" x14ac:dyDescent="0.35">
      <c r="A10888" s="2" t="str">
        <f ca="1">IFERROR(__xludf.DUMMYFUNCTION("""COMPUTED_VALUE"""),"Ras Al Khaimah")</f>
        <v>Ras Al Khaimah</v>
      </c>
      <c r="B10888" s="2" t="str">
        <f ca="1">IFERROR(__xludf.DUMMYFUNCTION("""COMPUTED_VALUE"""),"Dafan Al Nakheel")</f>
        <v>Dafan Al Nakheel</v>
      </c>
      <c r="C10888" s="2" t="str">
        <f ca="1">IFERROR(__xludf.DUMMYFUNCTION("""COMPUTED_VALUE"""),"Neighbourhood")</f>
        <v>Neighbourhood</v>
      </c>
      <c r="D10888" s="2" t="str">
        <f ca="1">IFERROR(__xludf.DUMMYFUNCTION("""COMPUTED_VALUE"""),"Ras Al Khaimah&gt;Dafan Al Nakheel")</f>
        <v>Ras Al Khaimah&gt;Dafan Al Nakheel</v>
      </c>
      <c r="E10888" s="2"/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  <c r="V10888" s="2"/>
      <c r="W10888" s="2"/>
      <c r="X10888" s="2"/>
      <c r="Y10888" s="2"/>
      <c r="Z10888" s="2"/>
    </row>
    <row r="10889" spans="1:26" ht="16.5" x14ac:dyDescent="0.35">
      <c r="A10889" s="2" t="str">
        <f ca="1">IFERROR(__xludf.DUMMYFUNCTION("""COMPUTED_VALUE"""),"Ras Al Khaimah")</f>
        <v>Ras Al Khaimah</v>
      </c>
      <c r="B10889" s="2" t="str">
        <f ca="1">IFERROR(__xludf.DUMMYFUNCTION("""COMPUTED_VALUE"""),"Al Qurm")</f>
        <v>Al Qurm</v>
      </c>
      <c r="C10889" s="2" t="str">
        <f ca="1">IFERROR(__xludf.DUMMYFUNCTION("""COMPUTED_VALUE"""),"Neighbourhood")</f>
        <v>Neighbourhood</v>
      </c>
      <c r="D10889" s="2" t="str">
        <f ca="1">IFERROR(__xludf.DUMMYFUNCTION("""COMPUTED_VALUE"""),"Ras Al Khaimah&gt;Al Qurm")</f>
        <v>Ras Al Khaimah&gt;Al Qurm</v>
      </c>
      <c r="E10889" s="2"/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2"/>
      <c r="T10889" s="2"/>
      <c r="U10889" s="2"/>
      <c r="V10889" s="2"/>
      <c r="W10889" s="2"/>
      <c r="X10889" s="2"/>
      <c r="Y10889" s="2"/>
      <c r="Z10889" s="2"/>
    </row>
    <row r="10890" spans="1:26" ht="16.5" x14ac:dyDescent="0.35">
      <c r="A10890" s="2" t="str">
        <f ca="1">IFERROR(__xludf.DUMMYFUNCTION("""COMPUTED_VALUE"""),"Ras Al Khaimah")</f>
        <v>Ras Al Khaimah</v>
      </c>
      <c r="B10890" s="2" t="str">
        <f ca="1">IFERROR(__xludf.DUMMYFUNCTION("""COMPUTED_VALUE"""),"RAK Academy International Primary School, Khuzam (IPK)")</f>
        <v>RAK Academy International Primary School, Khuzam (IPK)</v>
      </c>
      <c r="C10890" s="2" t="str">
        <f ca="1">IFERROR(__xludf.DUMMYFUNCTION("""COMPUTED_VALUE"""),"School")</f>
        <v>School</v>
      </c>
      <c r="D10890" s="2" t="str">
        <f ca="1">IFERROR(__xludf.DUMMYFUNCTION("""COMPUTED_VALUE"""),"Ras Al Khaimah&gt;Dafan Al Khor&gt;RAK Academy International Primary School, Khuzam (IPK)")</f>
        <v>Ras Al Khaimah&gt;Dafan Al Khor&gt;RAK Academy International Primary School, Khuzam (IPK)</v>
      </c>
      <c r="E10890" s="2"/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  <c r="V10890" s="2"/>
      <c r="W10890" s="2"/>
      <c r="X10890" s="2"/>
      <c r="Y10890" s="2"/>
      <c r="Z10890" s="2"/>
    </row>
    <row r="10891" spans="1:26" ht="16.5" x14ac:dyDescent="0.35">
      <c r="A10891" s="2" t="str">
        <f ca="1">IFERROR(__xludf.DUMMYFUNCTION("""COMPUTED_VALUE"""),"Ras Al Khaimah")</f>
        <v>Ras Al Khaimah</v>
      </c>
      <c r="B10891" s="2" t="str">
        <f ca="1">IFERROR(__xludf.DUMMYFUNCTION("""COMPUTED_VALUE"""),"Al Muniai")</f>
        <v>Al Muniai</v>
      </c>
      <c r="C10891" s="2" t="str">
        <f ca="1">IFERROR(__xludf.DUMMYFUNCTION("""COMPUTED_VALUE"""),"Neighbourhood")</f>
        <v>Neighbourhood</v>
      </c>
      <c r="D10891" s="2" t="str">
        <f ca="1">IFERROR(__xludf.DUMMYFUNCTION("""COMPUTED_VALUE"""),"Ras Al Khaimah&gt;Al Muniai")</f>
        <v>Ras Al Khaimah&gt;Al Muniai</v>
      </c>
      <c r="E10891" s="2"/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  <c r="V10891" s="2"/>
      <c r="W10891" s="2"/>
      <c r="X10891" s="2"/>
      <c r="Y10891" s="2"/>
      <c r="Z10891" s="2"/>
    </row>
    <row r="10892" spans="1:26" ht="16.5" x14ac:dyDescent="0.35">
      <c r="A10892" s="2" t="str">
        <f ca="1">IFERROR(__xludf.DUMMYFUNCTION("""COMPUTED_VALUE"""),"Umm Al Quwain")</f>
        <v>Umm Al Quwain</v>
      </c>
      <c r="B10892" s="2" t="str">
        <f ca="1">IFERROR(__xludf.DUMMYFUNCTION("""COMPUTED_VALUE"""),"Al Huboob 1")</f>
        <v>Al Huboob 1</v>
      </c>
      <c r="C10892" s="2" t="str">
        <f ca="1">IFERROR(__xludf.DUMMYFUNCTION("""COMPUTED_VALUE"""),"Neighbourhood")</f>
        <v>Neighbourhood</v>
      </c>
      <c r="D10892" s="2" t="str">
        <f ca="1">IFERROR(__xludf.DUMMYFUNCTION("""COMPUTED_VALUE"""),"Umm Al Quwain&gt;Al Salamah&gt;Al Huboob 1")</f>
        <v>Umm Al Quwain&gt;Al Salamah&gt;Al Huboob 1</v>
      </c>
      <c r="E10892" s="2"/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  <c r="V10892" s="2"/>
      <c r="W10892" s="2"/>
      <c r="X10892" s="2"/>
      <c r="Y10892" s="2"/>
      <c r="Z10892" s="2"/>
    </row>
    <row r="10893" spans="1:26" ht="16.5" x14ac:dyDescent="0.35">
      <c r="A10893" s="2" t="str">
        <f ca="1">IFERROR(__xludf.DUMMYFUNCTION("""COMPUTED_VALUE"""),"Umm Al Quwain")</f>
        <v>Umm Al Quwain</v>
      </c>
      <c r="B10893" s="2" t="str">
        <f ca="1">IFERROR(__xludf.DUMMYFUNCTION("""COMPUTED_VALUE"""),"Al Rass C")</f>
        <v>Al Rass C</v>
      </c>
      <c r="C10893" s="2"/>
      <c r="D10893" s="2" t="str">
        <f ca="1">IFERROR(__xludf.DUMMYFUNCTION("""COMPUTED_VALUE"""),"Umm Al Quwain&gt;Al Rass&gt;Al Rass C")</f>
        <v>Umm Al Quwain&gt;Al Rass&gt;Al Rass C</v>
      </c>
      <c r="E10893" s="2"/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  <c r="V10893" s="2"/>
      <c r="W10893" s="2"/>
      <c r="X10893" s="2"/>
      <c r="Y10893" s="2"/>
      <c r="Z10893" s="2"/>
    </row>
    <row r="10894" spans="1:26" ht="16.5" x14ac:dyDescent="0.35">
      <c r="A10894" s="2" t="str">
        <f ca="1">IFERROR(__xludf.DUMMYFUNCTION("""COMPUTED_VALUE"""),"Umm Al Quwain")</f>
        <v>Umm Al Quwain</v>
      </c>
      <c r="B10894" s="2" t="str">
        <f ca="1">IFERROR(__xludf.DUMMYFUNCTION("""COMPUTED_VALUE"""),"Coastline Beach Residences Tower C")</f>
        <v>Coastline Beach Residences Tower C</v>
      </c>
      <c r="C10894" s="2" t="str">
        <f ca="1">IFERROR(__xludf.DUMMYFUNCTION("""COMPUTED_VALUE"""),"Building")</f>
        <v>Building</v>
      </c>
      <c r="D10894" s="2" t="str">
        <f ca="1">IFERROR(__xludf.DUMMYFUNCTION("""COMPUTED_VALUE"""),"Umm Al Quwain&gt;Al Seanneeah&gt;Sobha Siniya Island&gt;Coastline Beach Residences&gt;Coastline Beach Residences Tower C")</f>
        <v>Umm Al Quwain&gt;Al Seanneeah&gt;Sobha Siniya Island&gt;Coastline Beach Residences&gt;Coastline Beach Residences Tower C</v>
      </c>
      <c r="E10894" s="2"/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2"/>
      <c r="T10894" s="2"/>
      <c r="U10894" s="2"/>
      <c r="V10894" s="2"/>
      <c r="W10894" s="2"/>
      <c r="X10894" s="2"/>
      <c r="Y10894" s="2"/>
      <c r="Z10894" s="2"/>
    </row>
    <row r="10895" spans="1:26" ht="16.5" x14ac:dyDescent="0.35">
      <c r="A10895" s="2" t="str">
        <f ca="1">IFERROR(__xludf.DUMMYFUNCTION("""COMPUTED_VALUE"""),"Umm Al Quwain")</f>
        <v>Umm Al Quwain</v>
      </c>
      <c r="B10895" s="2" t="str">
        <f ca="1">IFERROR(__xludf.DUMMYFUNCTION("""COMPUTED_VALUE"""),"Al Haditha")</f>
        <v>Al Haditha</v>
      </c>
      <c r="C10895" s="2" t="str">
        <f ca="1">IFERROR(__xludf.DUMMYFUNCTION("""COMPUTED_VALUE"""),"Neighbourhood")</f>
        <v>Neighbourhood</v>
      </c>
      <c r="D10895" s="2" t="str">
        <f ca="1">IFERROR(__xludf.DUMMYFUNCTION("""COMPUTED_VALUE"""),"Umm Al Quwain&gt;Al Haditha")</f>
        <v>Umm Al Quwain&gt;Al Haditha</v>
      </c>
      <c r="E10895" s="2"/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  <c r="V10895" s="2"/>
      <c r="W10895" s="2"/>
      <c r="X10895" s="2"/>
      <c r="Y10895" s="2"/>
      <c r="Z10895" s="2"/>
    </row>
    <row r="10896" spans="1:26" ht="16.5" x14ac:dyDescent="0.35">
      <c r="A10896" s="2" t="str">
        <f ca="1">IFERROR(__xludf.DUMMYFUNCTION("""COMPUTED_VALUE"""),"Fujairah")</f>
        <v>Fujairah</v>
      </c>
      <c r="B10896" s="2" t="str">
        <f ca="1">IFERROR(__xludf.DUMMYFUNCTION("""COMPUTED_VALUE"""),"Corniche Al Fujairah")</f>
        <v>Corniche Al Fujairah</v>
      </c>
      <c r="C10896" s="2" t="str">
        <f ca="1">IFERROR(__xludf.DUMMYFUNCTION("""COMPUTED_VALUE"""),"Neighbourhood")</f>
        <v>Neighbourhood</v>
      </c>
      <c r="D10896" s="2" t="str">
        <f ca="1">IFERROR(__xludf.DUMMYFUNCTION("""COMPUTED_VALUE"""),"Fujairah&gt;Corniche Al Fujairah")</f>
        <v>Fujairah&gt;Corniche Al Fujairah</v>
      </c>
      <c r="E10896" s="2"/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  <c r="V10896" s="2"/>
      <c r="W10896" s="2"/>
      <c r="X10896" s="2"/>
      <c r="Y10896" s="2"/>
      <c r="Z10896" s="2"/>
    </row>
    <row r="10897" spans="1:26" ht="16.5" x14ac:dyDescent="0.35">
      <c r="A10897" s="2" t="str">
        <f ca="1">IFERROR(__xludf.DUMMYFUNCTION("""COMPUTED_VALUE"""),"Fujairah")</f>
        <v>Fujairah</v>
      </c>
      <c r="B10897" s="2" t="str">
        <f ca="1">IFERROR(__xludf.DUMMYFUNCTION("""COMPUTED_VALUE"""),"Al Jaber Tower")</f>
        <v>Al Jaber Tower</v>
      </c>
      <c r="C10897" s="2" t="str">
        <f ca="1">IFERROR(__xludf.DUMMYFUNCTION("""COMPUTED_VALUE"""),"Building")</f>
        <v>Building</v>
      </c>
      <c r="D10897" s="2" t="str">
        <f ca="1">IFERROR(__xludf.DUMMYFUNCTION("""COMPUTED_VALUE"""),"Fujairah&gt;Al Jaber Tower")</f>
        <v>Fujairah&gt;Al Jaber Tower</v>
      </c>
      <c r="E10897" s="2"/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2"/>
      <c r="T10897" s="2"/>
      <c r="U10897" s="2"/>
      <c r="V10897" s="2"/>
      <c r="W10897" s="2"/>
      <c r="X10897" s="2"/>
      <c r="Y10897" s="2"/>
      <c r="Z10897" s="2"/>
    </row>
    <row r="10898" spans="1:26" ht="16.5" x14ac:dyDescent="0.35">
      <c r="A10898" s="2" t="str">
        <f ca="1">IFERROR(__xludf.DUMMYFUNCTION("""COMPUTED_VALUE"""),"Dubai")</f>
        <v>Dubai</v>
      </c>
      <c r="B10898" s="2" t="str">
        <f ca="1">IFERROR(__xludf.DUMMYFUNCTION("""COMPUTED_VALUE"""),"The Offices 1")</f>
        <v>The Offices 1</v>
      </c>
      <c r="C10898" s="2" t="str">
        <f ca="1">IFERROR(__xludf.DUMMYFUNCTION("""COMPUTED_VALUE"""),"Building")</f>
        <v>Building</v>
      </c>
      <c r="D10898" s="2" t="str">
        <f ca="1">IFERROR(__xludf.DUMMYFUNCTION("""COMPUTED_VALUE"""),"Dubai&gt;World Trade Centre&gt;One Central&gt;The Offices 1")</f>
        <v>Dubai&gt;World Trade Centre&gt;One Central&gt;The Offices 1</v>
      </c>
      <c r="E10898" s="2"/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  <c r="V10898" s="2"/>
      <c r="W10898" s="2"/>
      <c r="X10898" s="2"/>
      <c r="Y10898" s="2"/>
      <c r="Z10898" s="2"/>
    </row>
    <row r="10899" spans="1:26" ht="16.5" x14ac:dyDescent="0.35">
      <c r="A10899" s="2" t="str">
        <f ca="1">IFERROR(__xludf.DUMMYFUNCTION("""COMPUTED_VALUE"""),"Dubai")</f>
        <v>Dubai</v>
      </c>
      <c r="B10899" s="2" t="str">
        <f ca="1">IFERROR(__xludf.DUMMYFUNCTION("""COMPUTED_VALUE"""),"Maya Luxury Collection")</f>
        <v>Maya Luxury Collection</v>
      </c>
      <c r="C10899" s="2" t="str">
        <f ca="1">IFERROR(__xludf.DUMMYFUNCTION("""COMPUTED_VALUE"""),"Neighbourhood")</f>
        <v>Neighbourhood</v>
      </c>
      <c r="D10899" s="2" t="str">
        <f ca="1">IFERROR(__xludf.DUMMYFUNCTION("""COMPUTED_VALUE"""),"Dubai&gt;Living Legends&gt;Maya Luxury Collection")</f>
        <v>Dubai&gt;Living Legends&gt;Maya Luxury Collection</v>
      </c>
      <c r="E10899" s="2"/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2"/>
      <c r="T10899" s="2"/>
      <c r="U10899" s="2"/>
      <c r="V10899" s="2"/>
      <c r="W10899" s="2"/>
      <c r="X10899" s="2"/>
      <c r="Y10899" s="2"/>
      <c r="Z10899" s="2"/>
    </row>
    <row r="10900" spans="1:26" ht="16.5" x14ac:dyDescent="0.35">
      <c r="A10900" s="2" t="str">
        <f ca="1">IFERROR(__xludf.DUMMYFUNCTION("""COMPUTED_VALUE"""),"Dubai")</f>
        <v>Dubai</v>
      </c>
      <c r="B10900" s="2" t="str">
        <f ca="1">IFERROR(__xludf.DUMMYFUNCTION("""COMPUTED_VALUE"""),"Apple International School")</f>
        <v>Apple International School</v>
      </c>
      <c r="C10900" s="2" t="str">
        <f ca="1">IFERROR(__xludf.DUMMYFUNCTION("""COMPUTED_VALUE"""),"School")</f>
        <v>School</v>
      </c>
      <c r="D10900" s="2" t="str">
        <f ca="1">IFERROR(__xludf.DUMMYFUNCTION("""COMPUTED_VALUE"""),"Dubai&gt;Al Qusais&gt;Al Qusais Residential Area&gt;Al Qusais 1&gt;Apple International School")</f>
        <v>Dubai&gt;Al Qusais&gt;Al Qusais Residential Area&gt;Al Qusais 1&gt;Apple International School</v>
      </c>
      <c r="E10900" s="2"/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  <c r="V10900" s="2"/>
      <c r="W10900" s="2"/>
      <c r="X10900" s="2"/>
      <c r="Y10900" s="2"/>
      <c r="Z10900" s="2"/>
    </row>
    <row r="10901" spans="1:26" ht="16.5" x14ac:dyDescent="0.35">
      <c r="A10901" s="2" t="str">
        <f ca="1">IFERROR(__xludf.DUMMYFUNCTION("""COMPUTED_VALUE"""),"Dubai")</f>
        <v>Dubai</v>
      </c>
      <c r="B10901" s="2" t="str">
        <f ca="1">IFERROR(__xludf.DUMMYFUNCTION("""COMPUTED_VALUE"""),"Al Bustan Center and Residence")</f>
        <v>Al Bustan Center and Residence</v>
      </c>
      <c r="C10901" s="2" t="str">
        <f ca="1">IFERROR(__xludf.DUMMYFUNCTION("""COMPUTED_VALUE"""),"Building")</f>
        <v>Building</v>
      </c>
      <c r="D10901" s="2" t="str">
        <f ca="1">IFERROR(__xludf.DUMMYFUNCTION("""COMPUTED_VALUE"""),"Dubai&gt;Al Qusais&gt;Al Qusais Residential Area&gt;Al Qusais 1&gt;Al Bustan Center and Residence")</f>
        <v>Dubai&gt;Al Qusais&gt;Al Qusais Residential Area&gt;Al Qusais 1&gt;Al Bustan Center and Residence</v>
      </c>
      <c r="E10901" s="2"/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2"/>
      <c r="T10901" s="2"/>
      <c r="U10901" s="2"/>
      <c r="V10901" s="2"/>
      <c r="W10901" s="2"/>
      <c r="X10901" s="2"/>
      <c r="Y10901" s="2"/>
      <c r="Z10901" s="2"/>
    </row>
    <row r="10902" spans="1:26" ht="16.5" x14ac:dyDescent="0.35">
      <c r="A10902" s="2" t="str">
        <f ca="1">IFERROR(__xludf.DUMMYFUNCTION("""COMPUTED_VALUE"""),"Dubai")</f>
        <v>Dubai</v>
      </c>
      <c r="B10902" s="2" t="str">
        <f ca="1">IFERROR(__xludf.DUMMYFUNCTION("""COMPUTED_VALUE"""),"Amir Building")</f>
        <v>Amir Building</v>
      </c>
      <c r="C10902" s="2" t="str">
        <f ca="1">IFERROR(__xludf.DUMMYFUNCTION("""COMPUTED_VALUE"""),"Building")</f>
        <v>Building</v>
      </c>
      <c r="D10902" s="2" t="str">
        <f ca="1">IFERROR(__xludf.DUMMYFUNCTION("""COMPUTED_VALUE"""),"Dubai&gt;Al Qusais&gt;Al Qusais Industrial Area&gt;Al Qusais Industrial 5&gt;Amir Building")</f>
        <v>Dubai&gt;Al Qusais&gt;Al Qusais Industrial Area&gt;Al Qusais Industrial 5&gt;Amir Building</v>
      </c>
      <c r="E10902" s="2"/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  <c r="V10902" s="2"/>
      <c r="W10902" s="2"/>
      <c r="X10902" s="2"/>
      <c r="Y10902" s="2"/>
      <c r="Z10902" s="2"/>
    </row>
    <row r="10903" spans="1:26" ht="16.5" x14ac:dyDescent="0.35">
      <c r="A10903" s="2" t="str">
        <f ca="1">IFERROR(__xludf.DUMMYFUNCTION("""COMPUTED_VALUE"""),"Dubai")</f>
        <v>Dubai</v>
      </c>
      <c r="B10903" s="2" t="str">
        <f ca="1">IFERROR(__xludf.DUMMYFUNCTION("""COMPUTED_VALUE"""),"GEMS New Millennium School")</f>
        <v>GEMS New Millennium School</v>
      </c>
      <c r="C10903" s="2" t="str">
        <f ca="1">IFERROR(__xludf.DUMMYFUNCTION("""COMPUTED_VALUE"""),"School")</f>
        <v>School</v>
      </c>
      <c r="D10903" s="2" t="str">
        <f ca="1">IFERROR(__xludf.DUMMYFUNCTION("""COMPUTED_VALUE"""),"Dubai&gt;Dubai Hills Estate&gt;GEMS New Millennium School")</f>
        <v>Dubai&gt;Dubai Hills Estate&gt;GEMS New Millennium School</v>
      </c>
      <c r="E10903" s="2"/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2"/>
      <c r="T10903" s="2"/>
      <c r="U10903" s="2"/>
      <c r="V10903" s="2"/>
      <c r="W10903" s="2"/>
      <c r="X10903" s="2"/>
      <c r="Y10903" s="2"/>
      <c r="Z10903" s="2"/>
    </row>
    <row r="10904" spans="1:26" ht="16.5" x14ac:dyDescent="0.35">
      <c r="A10904" s="2" t="str">
        <f ca="1">IFERROR(__xludf.DUMMYFUNCTION("""COMPUTED_VALUE"""),"Dubai")</f>
        <v>Dubai</v>
      </c>
      <c r="B10904" s="2" t="str">
        <f ca="1">IFERROR(__xludf.DUMMYFUNCTION("""COMPUTED_VALUE"""),"Park Ridge Tower C")</f>
        <v>Park Ridge Tower C</v>
      </c>
      <c r="C10904" s="2" t="str">
        <f ca="1">IFERROR(__xludf.DUMMYFUNCTION("""COMPUTED_VALUE"""),"Building")</f>
        <v>Building</v>
      </c>
      <c r="D10904" s="2" t="str">
        <f ca="1">IFERROR(__xludf.DUMMYFUNCTION("""COMPUTED_VALUE"""),"Dubai&gt;Dubai Hills Estate&gt;Park Ridge&gt;Park Ridge Tower C")</f>
        <v>Dubai&gt;Dubai Hills Estate&gt;Park Ridge&gt;Park Ridge Tower C</v>
      </c>
      <c r="E10904" s="2"/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  <c r="V10904" s="2"/>
      <c r="W10904" s="2"/>
      <c r="X10904" s="2"/>
      <c r="Y10904" s="2"/>
      <c r="Z10904" s="2"/>
    </row>
    <row r="10905" spans="1:26" ht="16.5" x14ac:dyDescent="0.35">
      <c r="A10905" s="2" t="str">
        <f ca="1">IFERROR(__xludf.DUMMYFUNCTION("""COMPUTED_VALUE"""),"Dubai")</f>
        <v>Dubai</v>
      </c>
      <c r="B10905" s="2" t="str">
        <f ca="1">IFERROR(__xludf.DUMMYFUNCTION("""COMPUTED_VALUE"""),"Collective Tower 1")</f>
        <v>Collective Tower 1</v>
      </c>
      <c r="C10905" s="2" t="str">
        <f ca="1">IFERROR(__xludf.DUMMYFUNCTION("""COMPUTED_VALUE"""),"Building")</f>
        <v>Building</v>
      </c>
      <c r="D10905" s="2" t="str">
        <f ca="1">IFERROR(__xludf.DUMMYFUNCTION("""COMPUTED_VALUE"""),"Dubai&gt;Dubai Hills Estate&gt;Collective&gt;Collective Tower 1")</f>
        <v>Dubai&gt;Dubai Hills Estate&gt;Collective&gt;Collective Tower 1</v>
      </c>
      <c r="E10905" s="2"/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  <c r="V10905" s="2"/>
      <c r="W10905" s="2"/>
      <c r="X10905" s="2"/>
      <c r="Y10905" s="2"/>
      <c r="Z10905" s="2"/>
    </row>
    <row r="10906" spans="1:26" ht="16.5" x14ac:dyDescent="0.35">
      <c r="A10906" s="2" t="str">
        <f ca="1">IFERROR(__xludf.DUMMYFUNCTION("""COMPUTED_VALUE"""),"Dubai")</f>
        <v>Dubai</v>
      </c>
      <c r="B10906" s="2" t="str">
        <f ca="1">IFERROR(__xludf.DUMMYFUNCTION("""COMPUTED_VALUE"""),"Golf Grand")</f>
        <v>Golf Grand</v>
      </c>
      <c r="C10906" s="2" t="str">
        <f ca="1">IFERROR(__xludf.DUMMYFUNCTION("""COMPUTED_VALUE"""),"Building")</f>
        <v>Building</v>
      </c>
      <c r="D10906" s="2" t="str">
        <f ca="1">IFERROR(__xludf.DUMMYFUNCTION("""COMPUTED_VALUE"""),"Dubai&gt;Dubai Hills Estate&gt;Golf Grand")</f>
        <v>Dubai&gt;Dubai Hills Estate&gt;Golf Grand</v>
      </c>
      <c r="E10906" s="2"/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  <c r="V10906" s="2"/>
      <c r="W10906" s="2"/>
      <c r="X10906" s="2"/>
      <c r="Y10906" s="2"/>
      <c r="Z10906" s="2"/>
    </row>
    <row r="10907" spans="1:26" ht="16.5" x14ac:dyDescent="0.35">
      <c r="A10907" s="2" t="str">
        <f ca="1">IFERROR(__xludf.DUMMYFUNCTION("""COMPUTED_VALUE"""),"Dubai")</f>
        <v>Dubai</v>
      </c>
      <c r="B10907" s="2" t="str">
        <f ca="1">IFERROR(__xludf.DUMMYFUNCTION("""COMPUTED_VALUE"""),"Club Place Tower B")</f>
        <v>Club Place Tower B</v>
      </c>
      <c r="C10907" s="2" t="str">
        <f ca="1">IFERROR(__xludf.DUMMYFUNCTION("""COMPUTED_VALUE"""),"Building")</f>
        <v>Building</v>
      </c>
      <c r="D10907" s="2" t="str">
        <f ca="1">IFERROR(__xludf.DUMMYFUNCTION("""COMPUTED_VALUE"""),"Dubai&gt;Dubai Hills Estate&gt;Club Place&gt;Club Place Tower B")</f>
        <v>Dubai&gt;Dubai Hills Estate&gt;Club Place&gt;Club Place Tower B</v>
      </c>
      <c r="E10907" s="2"/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  <c r="V10907" s="2"/>
      <c r="W10907" s="2"/>
      <c r="X10907" s="2"/>
      <c r="Y10907" s="2"/>
      <c r="Z10907" s="2"/>
    </row>
    <row r="10908" spans="1:26" ht="16.5" x14ac:dyDescent="0.35">
      <c r="A10908" s="2" t="str">
        <f ca="1">IFERROR(__xludf.DUMMYFUNCTION("""COMPUTED_VALUE"""),"Dubai")</f>
        <v>Dubai</v>
      </c>
      <c r="B10908" s="2" t="str">
        <f ca="1">IFERROR(__xludf.DUMMYFUNCTION("""COMPUTED_VALUE"""),"Dar Al Buteen 2")</f>
        <v>Dar Al Buteen 2</v>
      </c>
      <c r="C10908" s="2" t="str">
        <f ca="1">IFERROR(__xludf.DUMMYFUNCTION("""COMPUTED_VALUE"""),"Building")</f>
        <v>Building</v>
      </c>
      <c r="D10908" s="2" t="str">
        <f ca="1">IFERROR(__xludf.DUMMYFUNCTION("""COMPUTED_VALUE"""),"Dubai&gt;Deira&gt;Al Muraqqabat&gt;Dar Al Buteen 2")</f>
        <v>Dubai&gt;Deira&gt;Al Muraqqabat&gt;Dar Al Buteen 2</v>
      </c>
      <c r="E10908" s="2"/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2"/>
      <c r="T10908" s="2"/>
      <c r="U10908" s="2"/>
      <c r="V10908" s="2"/>
      <c r="W10908" s="2"/>
      <c r="X10908" s="2"/>
      <c r="Y10908" s="2"/>
      <c r="Z10908" s="2"/>
    </row>
    <row r="10909" spans="1:26" ht="16.5" x14ac:dyDescent="0.35">
      <c r="A10909" s="2" t="str">
        <f ca="1">IFERROR(__xludf.DUMMYFUNCTION("""COMPUTED_VALUE"""),"Dubai")</f>
        <v>Dubai</v>
      </c>
      <c r="B10909" s="2" t="str">
        <f ca="1">IFERROR(__xludf.DUMMYFUNCTION("""COMPUTED_VALUE"""),"Samayen Suites 2")</f>
        <v>Samayen Suites 2</v>
      </c>
      <c r="C10909" s="2" t="str">
        <f ca="1">IFERROR(__xludf.DUMMYFUNCTION("""COMPUTED_VALUE"""),"Building")</f>
        <v>Building</v>
      </c>
      <c r="D10909" s="2" t="str">
        <f ca="1">IFERROR(__xludf.DUMMYFUNCTION("""COMPUTED_VALUE"""),"Dubai&gt;Deira&gt;Al Muraqqabat&gt;Samayen Suites 2")</f>
        <v>Dubai&gt;Deira&gt;Al Muraqqabat&gt;Samayen Suites 2</v>
      </c>
      <c r="E10909" s="2"/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  <c r="V10909" s="2"/>
      <c r="W10909" s="2"/>
      <c r="X10909" s="2"/>
      <c r="Y10909" s="2"/>
      <c r="Z10909" s="2"/>
    </row>
    <row r="10910" spans="1:26" ht="16.5" x14ac:dyDescent="0.35">
      <c r="A10910" s="2" t="str">
        <f ca="1">IFERROR(__xludf.DUMMYFUNCTION("""COMPUTED_VALUE"""),"Dubai")</f>
        <v>Dubai</v>
      </c>
      <c r="B10910" s="2" t="str">
        <f ca="1">IFERROR(__xludf.DUMMYFUNCTION("""COMPUTED_VALUE"""),"Emaar Towers")</f>
        <v>Emaar Towers</v>
      </c>
      <c r="C10910" s="2" t="str">
        <f ca="1">IFERROR(__xludf.DUMMYFUNCTION("""COMPUTED_VALUE"""),"Cluster")</f>
        <v>Cluster</v>
      </c>
      <c r="D10910" s="2" t="str">
        <f ca="1">IFERROR(__xludf.DUMMYFUNCTION("""COMPUTED_VALUE"""),"Dubai&gt;Deira&gt;Riggat Al Buteen&gt;Emaar Towers")</f>
        <v>Dubai&gt;Deira&gt;Riggat Al Buteen&gt;Emaar Towers</v>
      </c>
      <c r="E10910" s="2"/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  <c r="V10910" s="2"/>
      <c r="W10910" s="2"/>
      <c r="X10910" s="2"/>
      <c r="Y10910" s="2"/>
      <c r="Z10910" s="2"/>
    </row>
    <row r="10911" spans="1:26" ht="16.5" x14ac:dyDescent="0.35">
      <c r="A10911" s="2" t="str">
        <f ca="1">IFERROR(__xludf.DUMMYFUNCTION("""COMPUTED_VALUE"""),"Dubai")</f>
        <v>Dubai</v>
      </c>
      <c r="B10911" s="2" t="str">
        <f ca="1">IFERROR(__xludf.DUMMYFUNCTION("""COMPUTED_VALUE"""),"Residence 0943")</f>
        <v>Residence 0943</v>
      </c>
      <c r="C10911" s="2" t="str">
        <f ca="1">IFERROR(__xludf.DUMMYFUNCTION("""COMPUTED_VALUE"""),"Building")</f>
        <v>Building</v>
      </c>
      <c r="D10911" s="2" t="str">
        <f ca="1">IFERROR(__xludf.DUMMYFUNCTION("""COMPUTED_VALUE"""),"Dubai&gt;Deira&gt;Hor Al Anz&gt;Residence 0943")</f>
        <v>Dubai&gt;Deira&gt;Hor Al Anz&gt;Residence 0943</v>
      </c>
      <c r="E10911" s="2"/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  <c r="V10911" s="2"/>
      <c r="W10911" s="2"/>
      <c r="X10911" s="2"/>
      <c r="Y10911" s="2"/>
      <c r="Z10911" s="2"/>
    </row>
    <row r="10912" spans="1:26" ht="16.5" x14ac:dyDescent="0.35">
      <c r="A10912" s="2" t="str">
        <f ca="1">IFERROR(__xludf.DUMMYFUNCTION("""COMPUTED_VALUE"""),"Dubai")</f>
        <v>Dubai</v>
      </c>
      <c r="B10912" s="2" t="str">
        <f ca="1">IFERROR(__xludf.DUMMYFUNCTION("""COMPUTED_VALUE"""),"Dar Al Aman Building")</f>
        <v>Dar Al Aman Building</v>
      </c>
      <c r="C10912" s="2" t="str">
        <f ca="1">IFERROR(__xludf.DUMMYFUNCTION("""COMPUTED_VALUE"""),"Building")</f>
        <v>Building</v>
      </c>
      <c r="D10912" s="2" t="str">
        <f ca="1">IFERROR(__xludf.DUMMYFUNCTION("""COMPUTED_VALUE"""),"Dubai&gt;Deira&gt;Hor Al Anz&gt;Dar Al Aman Building")</f>
        <v>Dubai&gt;Deira&gt;Hor Al Anz&gt;Dar Al Aman Building</v>
      </c>
      <c r="E10912" s="2"/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2"/>
      <c r="T10912" s="2"/>
      <c r="U10912" s="2"/>
      <c r="V10912" s="2"/>
      <c r="W10912" s="2"/>
      <c r="X10912" s="2"/>
      <c r="Y10912" s="2"/>
      <c r="Z10912" s="2"/>
    </row>
    <row r="10913" spans="1:26" ht="16.5" x14ac:dyDescent="0.35">
      <c r="A10913" s="2" t="str">
        <f ca="1">IFERROR(__xludf.DUMMYFUNCTION("""COMPUTED_VALUE"""),"Dubai")</f>
        <v>Dubai</v>
      </c>
      <c r="B10913" s="2" t="str">
        <f ca="1">IFERROR(__xludf.DUMMYFUNCTION("""COMPUTED_VALUE"""),"Juma Al Majid Building")</f>
        <v>Juma Al Majid Building</v>
      </c>
      <c r="C10913" s="2" t="str">
        <f ca="1">IFERROR(__xludf.DUMMYFUNCTION("""COMPUTED_VALUE"""),"Cluster")</f>
        <v>Cluster</v>
      </c>
      <c r="D10913" s="2" t="str">
        <f ca="1">IFERROR(__xludf.DUMMYFUNCTION("""COMPUTED_VALUE"""),"Dubai&gt;Deira&gt;Al Muteena&gt;Juma Al Majid Building")</f>
        <v>Dubai&gt;Deira&gt;Al Muteena&gt;Juma Al Majid Building</v>
      </c>
      <c r="E10913" s="2"/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  <c r="V10913" s="2"/>
      <c r="W10913" s="2"/>
      <c r="X10913" s="2"/>
      <c r="Y10913" s="2"/>
      <c r="Z10913" s="2"/>
    </row>
    <row r="10914" spans="1:26" ht="16.5" x14ac:dyDescent="0.35">
      <c r="A10914" s="2" t="str">
        <f ca="1">IFERROR(__xludf.DUMMYFUNCTION("""COMPUTED_VALUE"""),"Dubai")</f>
        <v>Dubai</v>
      </c>
      <c r="B10914" s="2" t="str">
        <f ca="1">IFERROR(__xludf.DUMMYFUNCTION("""COMPUTED_VALUE"""),"Capital Hotel Apartment")</f>
        <v>Capital Hotel Apartment</v>
      </c>
      <c r="C10914" s="2" t="str">
        <f ca="1">IFERROR(__xludf.DUMMYFUNCTION("""COMPUTED_VALUE"""),"Building")</f>
        <v>Building</v>
      </c>
      <c r="D10914" s="2" t="str">
        <f ca="1">IFERROR(__xludf.DUMMYFUNCTION("""COMPUTED_VALUE"""),"Dubai&gt;Deira&gt;Al Rigga&gt;Capital Hotel Apartment")</f>
        <v>Dubai&gt;Deira&gt;Al Rigga&gt;Capital Hotel Apartment</v>
      </c>
      <c r="E10914" s="2"/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2"/>
      <c r="T10914" s="2"/>
      <c r="U10914" s="2"/>
      <c r="V10914" s="2"/>
      <c r="W10914" s="2"/>
      <c r="X10914" s="2"/>
      <c r="Y10914" s="2"/>
      <c r="Z10914" s="2"/>
    </row>
    <row r="10915" spans="1:26" ht="16.5" x14ac:dyDescent="0.35">
      <c r="A10915" s="2" t="str">
        <f ca="1">IFERROR(__xludf.DUMMYFUNCTION("""COMPUTED_VALUE"""),"Dubai")</f>
        <v>Dubai</v>
      </c>
      <c r="B10915" s="2" t="str">
        <f ca="1">IFERROR(__xludf.DUMMYFUNCTION("""COMPUTED_VALUE"""),"Maitha Plaza 3")</f>
        <v>Maitha Plaza 3</v>
      </c>
      <c r="C10915" s="2" t="str">
        <f ca="1">IFERROR(__xludf.DUMMYFUNCTION("""COMPUTED_VALUE"""),"Building")</f>
        <v>Building</v>
      </c>
      <c r="D10915" s="2" t="str">
        <f ca="1">IFERROR(__xludf.DUMMYFUNCTION("""COMPUTED_VALUE"""),"Dubai&gt;Deira&gt;Deira Enrichment Project&gt;Maitha Plaza&gt;Maitha Plaza 3")</f>
        <v>Dubai&gt;Deira&gt;Deira Enrichment Project&gt;Maitha Plaza&gt;Maitha Plaza 3</v>
      </c>
      <c r="E10915" s="2"/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2"/>
      <c r="T10915" s="2"/>
      <c r="U10915" s="2"/>
      <c r="V10915" s="2"/>
      <c r="W10915" s="2"/>
      <c r="X10915" s="2"/>
      <c r="Y10915" s="2"/>
      <c r="Z10915" s="2"/>
    </row>
    <row r="10916" spans="1:26" ht="16.5" x14ac:dyDescent="0.35">
      <c r="A10916" s="2" t="str">
        <f ca="1">IFERROR(__xludf.DUMMYFUNCTION("""COMPUTED_VALUE"""),"Dubai")</f>
        <v>Dubai</v>
      </c>
      <c r="B10916" s="2" t="str">
        <f ca="1">IFERROR(__xludf.DUMMYFUNCTION("""COMPUTED_VALUE"""),"Bin Thani Plaza Building")</f>
        <v>Bin Thani Plaza Building</v>
      </c>
      <c r="C10916" s="2" t="str">
        <f ca="1">IFERROR(__xludf.DUMMYFUNCTION("""COMPUTED_VALUE"""),"Building")</f>
        <v>Building</v>
      </c>
      <c r="D10916" s="2" t="str">
        <f ca="1">IFERROR(__xludf.DUMMYFUNCTION("""COMPUTED_VALUE"""),"Dubai&gt;Deira&gt;Naif&gt;Bin Thani Plaza Building")</f>
        <v>Dubai&gt;Deira&gt;Naif&gt;Bin Thani Plaza Building</v>
      </c>
      <c r="E10916" s="2"/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  <c r="V10916" s="2"/>
      <c r="W10916" s="2"/>
      <c r="X10916" s="2"/>
      <c r="Y10916" s="2"/>
      <c r="Z10916" s="2"/>
    </row>
    <row r="10917" spans="1:26" ht="16.5" x14ac:dyDescent="0.35">
      <c r="A10917" s="2" t="str">
        <f ca="1">IFERROR(__xludf.DUMMYFUNCTION("""COMPUTED_VALUE"""),"Dubai")</f>
        <v>Dubai</v>
      </c>
      <c r="B10917" s="2" t="str">
        <f ca="1">IFERROR(__xludf.DUMMYFUNCTION("""COMPUTED_VALUE"""),"Abna Rashid Hamd Bin Huwaidi Building")</f>
        <v>Abna Rashid Hamd Bin Huwaidi Building</v>
      </c>
      <c r="C10917" s="2" t="str">
        <f ca="1">IFERROR(__xludf.DUMMYFUNCTION("""COMPUTED_VALUE"""),"Building")</f>
        <v>Building</v>
      </c>
      <c r="D10917" s="2" t="str">
        <f ca="1">IFERROR(__xludf.DUMMYFUNCTION("""COMPUTED_VALUE"""),"Dubai&gt;Deira&gt;Naif&gt;Abna Rashid Hamd Bin Huwaidi Building")</f>
        <v>Dubai&gt;Deira&gt;Naif&gt;Abna Rashid Hamd Bin Huwaidi Building</v>
      </c>
      <c r="E10917" s="2"/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2"/>
      <c r="T10917" s="2"/>
      <c r="U10917" s="2"/>
      <c r="V10917" s="2"/>
      <c r="W10917" s="2"/>
      <c r="X10917" s="2"/>
      <c r="Y10917" s="2"/>
      <c r="Z10917" s="2"/>
    </row>
    <row r="10918" spans="1:26" ht="16.5" x14ac:dyDescent="0.35">
      <c r="A10918" s="2" t="str">
        <f ca="1">IFERROR(__xludf.DUMMYFUNCTION("""COMPUTED_VALUE"""),"Dubai")</f>
        <v>Dubai</v>
      </c>
      <c r="B10918" s="2" t="str">
        <f ca="1">IFERROR(__xludf.DUMMYFUNCTION("""COMPUTED_VALUE"""),"Khaled Jafar Mohammad Alattar")</f>
        <v>Khaled Jafar Mohammad Alattar</v>
      </c>
      <c r="C10918" s="2" t="str">
        <f ca="1">IFERROR(__xludf.DUMMYFUNCTION("""COMPUTED_VALUE"""),"Building")</f>
        <v>Building</v>
      </c>
      <c r="D10918" s="2" t="str">
        <f ca="1">IFERROR(__xludf.DUMMYFUNCTION("""COMPUTED_VALUE"""),"Dubai&gt;Deira&gt;Al Murar&gt;Khaled Jafar Mohammad Alattar")</f>
        <v>Dubai&gt;Deira&gt;Al Murar&gt;Khaled Jafar Mohammad Alattar</v>
      </c>
      <c r="E10918" s="2"/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  <c r="V10918" s="2"/>
      <c r="W10918" s="2"/>
      <c r="X10918" s="2"/>
      <c r="Y10918" s="2"/>
      <c r="Z10918" s="2"/>
    </row>
    <row r="10919" spans="1:26" ht="16.5" x14ac:dyDescent="0.35">
      <c r="A10919" s="2" t="str">
        <f ca="1">IFERROR(__xludf.DUMMYFUNCTION("""COMPUTED_VALUE"""),"Dubai")</f>
        <v>Dubai</v>
      </c>
      <c r="B10919" s="2" t="str">
        <f ca="1">IFERROR(__xludf.DUMMYFUNCTION("""COMPUTED_VALUE"""),"Al Sabkha")</f>
        <v>Al Sabkha</v>
      </c>
      <c r="C10919" s="2" t="str">
        <f ca="1">IFERROR(__xludf.DUMMYFUNCTION("""COMPUTED_VALUE"""),"Neighbourhood")</f>
        <v>Neighbourhood</v>
      </c>
      <c r="D10919" s="2" t="str">
        <f ca="1">IFERROR(__xludf.DUMMYFUNCTION("""COMPUTED_VALUE"""),"Dubai&gt;Deira&gt;Al Sabkha")</f>
        <v>Dubai&gt;Deira&gt;Al Sabkha</v>
      </c>
      <c r="E10919" s="2"/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2"/>
      <c r="T10919" s="2"/>
      <c r="U10919" s="2"/>
      <c r="V10919" s="2"/>
      <c r="W10919" s="2"/>
      <c r="X10919" s="2"/>
      <c r="Y10919" s="2"/>
      <c r="Z10919" s="2"/>
    </row>
    <row r="10920" spans="1:26" ht="16.5" x14ac:dyDescent="0.35">
      <c r="A10920" s="2" t="str">
        <f ca="1">IFERROR(__xludf.DUMMYFUNCTION("""COMPUTED_VALUE"""),"Dubai")</f>
        <v>Dubai</v>
      </c>
      <c r="B10920" s="2" t="str">
        <f ca="1">IFERROR(__xludf.DUMMYFUNCTION("""COMPUTED_VALUE"""),"Dubai Creek Golf And Yacht Club Residences")</f>
        <v>Dubai Creek Golf And Yacht Club Residences</v>
      </c>
      <c r="C10920" s="2" t="str">
        <f ca="1">IFERROR(__xludf.DUMMYFUNCTION("""COMPUTED_VALUE"""),"Neighbourhood")</f>
        <v>Neighbourhood</v>
      </c>
      <c r="D10920" s="2" t="str">
        <f ca="1">IFERROR(__xludf.DUMMYFUNCTION("""COMPUTED_VALUE"""),"Dubai&gt;Deira&gt;Port Saeed&gt;Dubai Creek Golf And Yacht Club Residences")</f>
        <v>Dubai&gt;Deira&gt;Port Saeed&gt;Dubai Creek Golf And Yacht Club Residences</v>
      </c>
      <c r="E10920" s="2"/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  <c r="V10920" s="2"/>
      <c r="W10920" s="2"/>
      <c r="X10920" s="2"/>
      <c r="Y10920" s="2"/>
      <c r="Z10920" s="2"/>
    </row>
    <row r="10921" spans="1:26" ht="16.5" x14ac:dyDescent="0.35">
      <c r="A10921" s="2" t="str">
        <f ca="1">IFERROR(__xludf.DUMMYFUNCTION("""COMPUTED_VALUE"""),"Dubai")</f>
        <v>Dubai</v>
      </c>
      <c r="B10921" s="2" t="str">
        <f ca="1">IFERROR(__xludf.DUMMYFUNCTION("""COMPUTED_VALUE"""),"Marriott Marquis Dubai")</f>
        <v>Marriott Marquis Dubai</v>
      </c>
      <c r="C10921" s="2" t="str">
        <f ca="1">IFERROR(__xludf.DUMMYFUNCTION("""COMPUTED_VALUE"""),"Building")</f>
        <v>Building</v>
      </c>
      <c r="D10921" s="2" t="str">
        <f ca="1">IFERROR(__xludf.DUMMYFUNCTION("""COMPUTED_VALUE"""),"Dubai&gt;Deira&gt;Port Saeed&gt;Marriott Marquis Dubai")</f>
        <v>Dubai&gt;Deira&gt;Port Saeed&gt;Marriott Marquis Dubai</v>
      </c>
      <c r="E10921" s="2"/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  <c r="V10921" s="2"/>
      <c r="W10921" s="2"/>
      <c r="X10921" s="2"/>
      <c r="Y10921" s="2"/>
      <c r="Z10921" s="2"/>
    </row>
    <row r="10922" spans="1:26" ht="16.5" x14ac:dyDescent="0.35">
      <c r="A10922" s="2" t="str">
        <f ca="1">IFERROR(__xludf.DUMMYFUNCTION("""COMPUTED_VALUE"""),"Dubai")</f>
        <v>Dubai</v>
      </c>
      <c r="B10922" s="2" t="str">
        <f ca="1">IFERROR(__xludf.DUMMYFUNCTION("""COMPUTED_VALUE"""),"Executive Bay Tower B")</f>
        <v>Executive Bay Tower B</v>
      </c>
      <c r="C10922" s="2" t="str">
        <f ca="1">IFERROR(__xludf.DUMMYFUNCTION("""COMPUTED_VALUE"""),"Building")</f>
        <v>Building</v>
      </c>
      <c r="D10922" s="2" t="str">
        <f ca="1">IFERROR(__xludf.DUMMYFUNCTION("""COMPUTED_VALUE"""),"Dubai&gt;Business Bay&gt;The Executive Bay&gt;Executive Bay Tower B")</f>
        <v>Dubai&gt;Business Bay&gt;The Executive Bay&gt;Executive Bay Tower B</v>
      </c>
      <c r="E10922" s="2"/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2"/>
      <c r="T10922" s="2"/>
      <c r="U10922" s="2"/>
      <c r="V10922" s="2"/>
      <c r="W10922" s="2"/>
      <c r="X10922" s="2"/>
      <c r="Y10922" s="2"/>
      <c r="Z10922" s="2"/>
    </row>
    <row r="10923" spans="1:26" ht="16.5" x14ac:dyDescent="0.35">
      <c r="A10923" s="2" t="str">
        <f ca="1">IFERROR(__xludf.DUMMYFUNCTION("""COMPUTED_VALUE"""),"Dubai")</f>
        <v>Dubai</v>
      </c>
      <c r="B10923" s="2" t="str">
        <f ca="1">IFERROR(__xludf.DUMMYFUNCTION("""COMPUTED_VALUE"""),"Executive Tower F")</f>
        <v>Executive Tower F</v>
      </c>
      <c r="C10923" s="2" t="str">
        <f ca="1">IFERROR(__xludf.DUMMYFUNCTION("""COMPUTED_VALUE"""),"Building")</f>
        <v>Building</v>
      </c>
      <c r="D10923" s="2" t="str">
        <f ca="1">IFERROR(__xludf.DUMMYFUNCTION("""COMPUTED_VALUE"""),"Dubai&gt;Business Bay&gt;Executive Towers&gt;Executive Tower F")</f>
        <v>Dubai&gt;Business Bay&gt;Executive Towers&gt;Executive Tower F</v>
      </c>
      <c r="E10923" s="2"/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  <c r="V10923" s="2"/>
      <c r="W10923" s="2"/>
      <c r="X10923" s="2"/>
      <c r="Y10923" s="2"/>
      <c r="Z10923" s="2"/>
    </row>
    <row r="10924" spans="1:26" ht="16.5" x14ac:dyDescent="0.35">
      <c r="A10924" s="2" t="str">
        <f ca="1">IFERROR(__xludf.DUMMYFUNCTION("""COMPUTED_VALUE"""),"Dubai")</f>
        <v>Dubai</v>
      </c>
      <c r="B10924" s="2" t="str">
        <f ca="1">IFERROR(__xludf.DUMMYFUNCTION("""COMPUTED_VALUE"""),"The Anantara Downtown Offices")</f>
        <v>The Anantara Downtown Offices</v>
      </c>
      <c r="C10924" s="2" t="str">
        <f ca="1">IFERROR(__xludf.DUMMYFUNCTION("""COMPUTED_VALUE"""),"Building")</f>
        <v>Building</v>
      </c>
      <c r="D10924" s="2" t="str">
        <f ca="1">IFERROR(__xludf.DUMMYFUNCTION("""COMPUTED_VALUE"""),"Dubai&gt;Business Bay&gt;Anantara Downtown Towers&gt;The Anantara Downtown Offices")</f>
        <v>Dubai&gt;Business Bay&gt;Anantara Downtown Towers&gt;The Anantara Downtown Offices</v>
      </c>
      <c r="E10924" s="2"/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2"/>
      <c r="T10924" s="2"/>
      <c r="U10924" s="2"/>
      <c r="V10924" s="2"/>
      <c r="W10924" s="2"/>
      <c r="X10924" s="2"/>
      <c r="Y10924" s="2"/>
      <c r="Z10924" s="2"/>
    </row>
    <row r="10925" spans="1:26" ht="16.5" x14ac:dyDescent="0.35">
      <c r="A10925" s="2" t="str">
        <f ca="1">IFERROR(__xludf.DUMMYFUNCTION("""COMPUTED_VALUE"""),"Dubai")</f>
        <v>Dubai</v>
      </c>
      <c r="B10925" s="2" t="str">
        <f ca="1">IFERROR(__xludf.DUMMYFUNCTION("""COMPUTED_VALUE"""),"Churchill Executive")</f>
        <v>Churchill Executive</v>
      </c>
      <c r="C10925" s="2" t="str">
        <f ca="1">IFERROR(__xludf.DUMMYFUNCTION("""COMPUTED_VALUE"""),"Building")</f>
        <v>Building</v>
      </c>
      <c r="D10925" s="2" t="str">
        <f ca="1">IFERROR(__xludf.DUMMYFUNCTION("""COMPUTED_VALUE"""),"Dubai&gt;Business Bay&gt;Churchill Towers&gt;Churchill Executive")</f>
        <v>Dubai&gt;Business Bay&gt;Churchill Towers&gt;Churchill Executive</v>
      </c>
      <c r="E10925" s="2"/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  <c r="V10925" s="2"/>
      <c r="W10925" s="2"/>
      <c r="X10925" s="2"/>
      <c r="Y10925" s="2"/>
      <c r="Z10925" s="2"/>
    </row>
    <row r="10926" spans="1:26" ht="16.5" x14ac:dyDescent="0.35">
      <c r="A10926" s="2" t="str">
        <f ca="1">IFERROR(__xludf.DUMMYFUNCTION("""COMPUTED_VALUE"""),"Dubai")</f>
        <v>Dubai</v>
      </c>
      <c r="B10926" s="2" t="str">
        <f ca="1">IFERROR(__xludf.DUMMYFUNCTION("""COMPUTED_VALUE"""),"Clayton Residency")</f>
        <v>Clayton Residency</v>
      </c>
      <c r="C10926" s="2" t="str">
        <f ca="1">IFERROR(__xludf.DUMMYFUNCTION("""COMPUTED_VALUE"""),"Building")</f>
        <v>Building</v>
      </c>
      <c r="D10926" s="2" t="str">
        <f ca="1">IFERROR(__xludf.DUMMYFUNCTION("""COMPUTED_VALUE"""),"Dubai&gt;Business Bay&gt;Clayton Residency")</f>
        <v>Dubai&gt;Business Bay&gt;Clayton Residency</v>
      </c>
      <c r="E10926" s="2"/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  <c r="V10926" s="2"/>
      <c r="W10926" s="2"/>
      <c r="X10926" s="2"/>
      <c r="Y10926" s="2"/>
      <c r="Z10926" s="2"/>
    </row>
    <row r="10927" spans="1:26" ht="16.5" x14ac:dyDescent="0.35">
      <c r="A10927" s="2" t="str">
        <f ca="1">IFERROR(__xludf.DUMMYFUNCTION("""COMPUTED_VALUE"""),"Dubai")</f>
        <v>Dubai</v>
      </c>
      <c r="B10927" s="2" t="str">
        <f ca="1">IFERROR(__xludf.DUMMYFUNCTION("""COMPUTED_VALUE"""),"Octavian")</f>
        <v>Octavian</v>
      </c>
      <c r="C10927" s="2" t="str">
        <f ca="1">IFERROR(__xludf.DUMMYFUNCTION("""COMPUTED_VALUE"""),"Building")</f>
        <v>Building</v>
      </c>
      <c r="D10927" s="2" t="str">
        <f ca="1">IFERROR(__xludf.DUMMYFUNCTION("""COMPUTED_VALUE"""),"Dubai&gt;Business Bay&gt;Octavian")</f>
        <v>Dubai&gt;Business Bay&gt;Octavian</v>
      </c>
      <c r="E10927" s="2"/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2"/>
      <c r="T10927" s="2"/>
      <c r="U10927" s="2"/>
      <c r="V10927" s="2"/>
      <c r="W10927" s="2"/>
      <c r="X10927" s="2"/>
      <c r="Y10927" s="2"/>
      <c r="Z10927" s="2"/>
    </row>
    <row r="10928" spans="1:26" ht="16.5" x14ac:dyDescent="0.35">
      <c r="A10928" s="2" t="str">
        <f ca="1">IFERROR(__xludf.DUMMYFUNCTION("""COMPUTED_VALUE"""),"Dubai")</f>
        <v>Dubai</v>
      </c>
      <c r="B10928" s="2" t="str">
        <f ca="1">IFERROR(__xludf.DUMMYFUNCTION("""COMPUTED_VALUE"""),"The Ritz-Carlton Residences")</f>
        <v>The Ritz-Carlton Residences</v>
      </c>
      <c r="C10928" s="2" t="str">
        <f ca="1">IFERROR(__xludf.DUMMYFUNCTION("""COMPUTED_VALUE"""),"Building")</f>
        <v>Building</v>
      </c>
      <c r="D10928" s="2" t="str">
        <f ca="1">IFERROR(__xludf.DUMMYFUNCTION("""COMPUTED_VALUE"""),"Dubai&gt;Business Bay&gt;The Ritz-Carlton Residences")</f>
        <v>Dubai&gt;Business Bay&gt;The Ritz-Carlton Residences</v>
      </c>
      <c r="E10928" s="2"/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  <c r="V10928" s="2"/>
      <c r="W10928" s="2"/>
      <c r="X10928" s="2"/>
      <c r="Y10928" s="2"/>
      <c r="Z10928" s="2"/>
    </row>
    <row r="10929" spans="1:26" ht="16.5" x14ac:dyDescent="0.35">
      <c r="A10929" s="2" t="str">
        <f ca="1">IFERROR(__xludf.DUMMYFUNCTION("""COMPUTED_VALUE"""),"Dubai")</f>
        <v>Dubai</v>
      </c>
      <c r="B10929" s="2" t="str">
        <f ca="1">IFERROR(__xludf.DUMMYFUNCTION("""COMPUTED_VALUE"""),"VYB")</f>
        <v>VYB</v>
      </c>
      <c r="C10929" s="2" t="str">
        <f ca="1">IFERROR(__xludf.DUMMYFUNCTION("""COMPUTED_VALUE"""),"Building")</f>
        <v>Building</v>
      </c>
      <c r="D10929" s="2" t="str">
        <f ca="1">IFERROR(__xludf.DUMMYFUNCTION("""COMPUTED_VALUE"""),"Dubai&gt;Business Bay&gt;VYB")</f>
        <v>Dubai&gt;Business Bay&gt;VYB</v>
      </c>
      <c r="E10929" s="2"/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  <c r="V10929" s="2"/>
      <c r="W10929" s="2"/>
      <c r="X10929" s="2"/>
      <c r="Y10929" s="2"/>
      <c r="Z10929" s="2"/>
    </row>
    <row r="10930" spans="1:26" ht="16.5" x14ac:dyDescent="0.35">
      <c r="A10930" s="2" t="str">
        <f ca="1">IFERROR(__xludf.DUMMYFUNCTION("""COMPUTED_VALUE"""),"Dubai")</f>
        <v>Dubai</v>
      </c>
      <c r="B10930" s="2" t="str">
        <f ca="1">IFERROR(__xludf.DUMMYFUNCTION("""COMPUTED_VALUE"""),"Royal Regency Suites Tower 1")</f>
        <v>Royal Regency Suites Tower 1</v>
      </c>
      <c r="C10930" s="2" t="str">
        <f ca="1">IFERROR(__xludf.DUMMYFUNCTION("""COMPUTED_VALUE"""),"Building")</f>
        <v>Building</v>
      </c>
      <c r="D10930" s="2" t="str">
        <f ca="1">IFERROR(__xludf.DUMMYFUNCTION("""COMPUTED_VALUE"""),"Dubai&gt;Business Bay&gt;Royal Regency Suites&gt;Royal Regency Suites Tower 1")</f>
        <v>Dubai&gt;Business Bay&gt;Royal Regency Suites&gt;Royal Regency Suites Tower 1</v>
      </c>
      <c r="E10930" s="2"/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  <c r="V10930" s="2"/>
      <c r="W10930" s="2"/>
      <c r="X10930" s="2"/>
      <c r="Y10930" s="2"/>
      <c r="Z10930" s="2"/>
    </row>
    <row r="10931" spans="1:26" ht="16.5" x14ac:dyDescent="0.35">
      <c r="A10931" s="2" t="str">
        <f ca="1">IFERROR(__xludf.DUMMYFUNCTION("""COMPUTED_VALUE"""),"Dubai")</f>
        <v>Dubai</v>
      </c>
      <c r="B10931" s="2" t="str">
        <f ca="1">IFERROR(__xludf.DUMMYFUNCTION("""COMPUTED_VALUE"""),"Keturah Ardh")</f>
        <v>Keturah Ardh</v>
      </c>
      <c r="C10931" s="2" t="str">
        <f ca="1">IFERROR(__xludf.DUMMYFUNCTION("""COMPUTED_VALUE"""),"Neighbourhood")</f>
        <v>Neighbourhood</v>
      </c>
      <c r="D10931" s="2" t="str">
        <f ca="1">IFERROR(__xludf.DUMMYFUNCTION("""COMPUTED_VALUE"""),"Dubai&gt;Al Warsan&gt;Keturah Ardh")</f>
        <v>Dubai&gt;Al Warsan&gt;Keturah Ardh</v>
      </c>
      <c r="E10931" s="2"/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  <c r="V10931" s="2"/>
      <c r="W10931" s="2"/>
      <c r="X10931" s="2"/>
      <c r="Y10931" s="2"/>
      <c r="Z10931" s="2"/>
    </row>
    <row r="10932" spans="1:26" ht="16.5" x14ac:dyDescent="0.35">
      <c r="A10932" s="2" t="str">
        <f ca="1">IFERROR(__xludf.DUMMYFUNCTION("""COMPUTED_VALUE"""),"Dubai")</f>
        <v>Dubai</v>
      </c>
      <c r="B10932" s="2" t="str">
        <f ca="1">IFERROR(__xludf.DUMMYFUNCTION("""COMPUTED_VALUE"""),"District 8U")</f>
        <v>District 8U</v>
      </c>
      <c r="C10932" s="2" t="str">
        <f ca="1">IFERROR(__xludf.DUMMYFUNCTION("""COMPUTED_VALUE"""),"Neighbourhood")</f>
        <v>Neighbourhood</v>
      </c>
      <c r="D10932" s="2" t="str">
        <f ca="1">IFERROR(__xludf.DUMMYFUNCTION("""COMPUTED_VALUE"""),"Dubai&gt;Jumeirah Village Triangle (JVT)&gt;JVT District 8&gt;District 8U")</f>
        <v>Dubai&gt;Jumeirah Village Triangle (JVT)&gt;JVT District 8&gt;District 8U</v>
      </c>
      <c r="E10932" s="2"/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  <c r="V10932" s="2"/>
      <c r="W10932" s="2"/>
      <c r="X10932" s="2"/>
      <c r="Y10932" s="2"/>
      <c r="Z10932" s="2"/>
    </row>
    <row r="10933" spans="1:26" ht="16.5" x14ac:dyDescent="0.35">
      <c r="A10933" s="2" t="str">
        <f ca="1">IFERROR(__xludf.DUMMYFUNCTION("""COMPUTED_VALUE"""),"Dubai")</f>
        <v>Dubai</v>
      </c>
      <c r="B10933" s="2" t="str">
        <f ca="1">IFERROR(__xludf.DUMMYFUNCTION("""COMPUTED_VALUE"""),"Oasis Residence 2")</f>
        <v>Oasis Residence 2</v>
      </c>
      <c r="C10933" s="2" t="str">
        <f ca="1">IFERROR(__xludf.DUMMYFUNCTION("""COMPUTED_VALUE"""),"Building")</f>
        <v>Building</v>
      </c>
      <c r="D10933" s="2" t="str">
        <f ca="1">IFERROR(__xludf.DUMMYFUNCTION("""COMPUTED_VALUE"""),"Dubai&gt;Jumeirah Village Triangle (JVT)&gt;JVT District 2&gt;Oasis Residence 2")</f>
        <v>Dubai&gt;Jumeirah Village Triangle (JVT)&gt;JVT District 2&gt;Oasis Residence 2</v>
      </c>
      <c r="E10933" s="2"/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  <c r="V10933" s="2"/>
      <c r="W10933" s="2"/>
      <c r="X10933" s="2"/>
      <c r="Y10933" s="2"/>
      <c r="Z10933" s="2"/>
    </row>
    <row r="10934" spans="1:26" ht="16.5" x14ac:dyDescent="0.35">
      <c r="A10934" s="2" t="str">
        <f ca="1">IFERROR(__xludf.DUMMYFUNCTION("""COMPUTED_VALUE"""),"Dubai")</f>
        <v>Dubai</v>
      </c>
      <c r="B10934" s="2" t="str">
        <f ca="1">IFERROR(__xludf.DUMMYFUNCTION("""COMPUTED_VALUE"""),"District 7B")</f>
        <v>District 7B</v>
      </c>
      <c r="C10934" s="2" t="str">
        <f ca="1">IFERROR(__xludf.DUMMYFUNCTION("""COMPUTED_VALUE"""),"Neighbourhood")</f>
        <v>Neighbourhood</v>
      </c>
      <c r="D10934" s="2" t="str">
        <f ca="1">IFERROR(__xludf.DUMMYFUNCTION("""COMPUTED_VALUE"""),"Dubai&gt;Jumeirah Village Triangle (JVT)&gt;JVT District 7&gt;District 7B")</f>
        <v>Dubai&gt;Jumeirah Village Triangle (JVT)&gt;JVT District 7&gt;District 7B</v>
      </c>
      <c r="E10934" s="2"/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2"/>
      <c r="T10934" s="2"/>
      <c r="U10934" s="2"/>
      <c r="V10934" s="2"/>
      <c r="W10934" s="2"/>
      <c r="X10934" s="2"/>
      <c r="Y10934" s="2"/>
      <c r="Z10934" s="2"/>
    </row>
    <row r="10935" spans="1:26" ht="16.5" x14ac:dyDescent="0.35">
      <c r="A10935" s="2" t="str">
        <f ca="1">IFERROR(__xludf.DUMMYFUNCTION("""COMPUTED_VALUE"""),"Dubai")</f>
        <v>Dubai</v>
      </c>
      <c r="B10935" s="2" t="str">
        <f ca="1">IFERROR(__xludf.DUMMYFUNCTION("""COMPUTED_VALUE"""),"02 Residence by Ned Al Ghurair")</f>
        <v>02 Residence by Ned Al Ghurair</v>
      </c>
      <c r="C10935" s="2" t="str">
        <f ca="1">IFERROR(__xludf.DUMMYFUNCTION("""COMPUTED_VALUE"""),"Building")</f>
        <v>Building</v>
      </c>
      <c r="D10935" s="2" t="str">
        <f ca="1">IFERROR(__xludf.DUMMYFUNCTION("""COMPUTED_VALUE"""),"Dubai&gt;Jumeirah Village Triangle (JVT)&gt;JVT District 1&gt;02 Residence by Ned Al Ghurair")</f>
        <v>Dubai&gt;Jumeirah Village Triangle (JVT)&gt;JVT District 1&gt;02 Residence by Ned Al Ghurair</v>
      </c>
      <c r="E10935" s="2"/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  <c r="V10935" s="2"/>
      <c r="W10935" s="2"/>
      <c r="X10935" s="2"/>
      <c r="Y10935" s="2"/>
      <c r="Z10935" s="2"/>
    </row>
    <row r="10936" spans="1:26" ht="16.5" x14ac:dyDescent="0.35">
      <c r="A10936" s="2" t="str">
        <f ca="1">IFERROR(__xludf.DUMMYFUNCTION("""COMPUTED_VALUE"""),"Dubai")</f>
        <v>Dubai</v>
      </c>
      <c r="B10936" s="2" t="str">
        <f ca="1">IFERROR(__xludf.DUMMYFUNCTION("""COMPUTED_VALUE"""),"JVT District 3")</f>
        <v>JVT District 3</v>
      </c>
      <c r="C10936" s="2" t="str">
        <f ca="1">IFERROR(__xludf.DUMMYFUNCTION("""COMPUTED_VALUE"""),"Neighbourhood")</f>
        <v>Neighbourhood</v>
      </c>
      <c r="D10936" s="2" t="str">
        <f ca="1">IFERROR(__xludf.DUMMYFUNCTION("""COMPUTED_VALUE"""),"Dubai&gt;Jumeirah Village Triangle (JVT)&gt;JVT District 3")</f>
        <v>Dubai&gt;Jumeirah Village Triangle (JVT)&gt;JVT District 3</v>
      </c>
      <c r="E10936" s="2"/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  <c r="V10936" s="2"/>
      <c r="W10936" s="2"/>
      <c r="X10936" s="2"/>
      <c r="Y10936" s="2"/>
      <c r="Z10936" s="2"/>
    </row>
    <row r="10937" spans="1:26" ht="16.5" x14ac:dyDescent="0.35">
      <c r="A10937" s="2" t="str">
        <f ca="1">IFERROR(__xludf.DUMMYFUNCTION("""COMPUTED_VALUE"""),"Dubai")</f>
        <v>Dubai</v>
      </c>
      <c r="B10937" s="2" t="str">
        <f ca="1">IFERROR(__xludf.DUMMYFUNCTION("""COMPUTED_VALUE"""),"Al Ramth 59")</f>
        <v>Al Ramth 59</v>
      </c>
      <c r="C10937" s="2" t="str">
        <f ca="1">IFERROR(__xludf.DUMMYFUNCTION("""COMPUTED_VALUE"""),"Building")</f>
        <v>Building</v>
      </c>
      <c r="D10937" s="2" t="str">
        <f ca="1">IFERROR(__xludf.DUMMYFUNCTION("""COMPUTED_VALUE"""),"Dubai&gt;Remraam&gt;Al Ramth&gt;Al Ramth 59")</f>
        <v>Dubai&gt;Remraam&gt;Al Ramth&gt;Al Ramth 59</v>
      </c>
      <c r="E10937" s="2"/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  <c r="V10937" s="2"/>
      <c r="W10937" s="2"/>
      <c r="X10937" s="2"/>
      <c r="Y10937" s="2"/>
      <c r="Z10937" s="2"/>
    </row>
    <row r="10938" spans="1:26" ht="16.5" x14ac:dyDescent="0.35">
      <c r="A10938" s="2" t="str">
        <f ca="1">IFERROR(__xludf.DUMMYFUNCTION("""COMPUTED_VALUE"""),"Dubai")</f>
        <v>Dubai</v>
      </c>
      <c r="B10938" s="2" t="str">
        <f ca="1">IFERROR(__xludf.DUMMYFUNCTION("""COMPUTED_VALUE"""),"Al Ramth 15")</f>
        <v>Al Ramth 15</v>
      </c>
      <c r="C10938" s="2" t="str">
        <f ca="1">IFERROR(__xludf.DUMMYFUNCTION("""COMPUTED_VALUE"""),"Building")</f>
        <v>Building</v>
      </c>
      <c r="D10938" s="2" t="str">
        <f ca="1">IFERROR(__xludf.DUMMYFUNCTION("""COMPUTED_VALUE"""),"Dubai&gt;Remraam&gt;Al Ramth&gt;Al Ramth 15")</f>
        <v>Dubai&gt;Remraam&gt;Al Ramth&gt;Al Ramth 15</v>
      </c>
      <c r="E10938" s="2"/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  <c r="V10938" s="2"/>
      <c r="W10938" s="2"/>
      <c r="X10938" s="2"/>
      <c r="Y10938" s="2"/>
      <c r="Z10938" s="2"/>
    </row>
    <row r="10939" spans="1:26" ht="16.5" x14ac:dyDescent="0.35">
      <c r="A10939" s="2" t="str">
        <f ca="1">IFERROR(__xludf.DUMMYFUNCTION("""COMPUTED_VALUE"""),"Dubai")</f>
        <v>Dubai</v>
      </c>
      <c r="B10939" s="2" t="str">
        <f ca="1">IFERROR(__xludf.DUMMYFUNCTION("""COMPUTED_VALUE"""),"Al Thamam 24")</f>
        <v>Al Thamam 24</v>
      </c>
      <c r="C10939" s="2" t="str">
        <f ca="1">IFERROR(__xludf.DUMMYFUNCTION("""COMPUTED_VALUE"""),"Building")</f>
        <v>Building</v>
      </c>
      <c r="D10939" s="2" t="str">
        <f ca="1">IFERROR(__xludf.DUMMYFUNCTION("""COMPUTED_VALUE"""),"Dubai&gt;Remraam&gt;Al Thamam&gt;Al Thamam 24")</f>
        <v>Dubai&gt;Remraam&gt;Al Thamam&gt;Al Thamam 24</v>
      </c>
      <c r="E10939" s="2"/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  <c r="V10939" s="2"/>
      <c r="W10939" s="2"/>
      <c r="X10939" s="2"/>
      <c r="Y10939" s="2"/>
      <c r="Z10939" s="2"/>
    </row>
    <row r="10940" spans="1:26" ht="16.5" x14ac:dyDescent="0.35">
      <c r="A10940" s="2" t="str">
        <f ca="1">IFERROR(__xludf.DUMMYFUNCTION("""COMPUTED_VALUE"""),"Dubai")</f>
        <v>Dubai</v>
      </c>
      <c r="B10940" s="2" t="str">
        <f ca="1">IFERROR(__xludf.DUMMYFUNCTION("""COMPUTED_VALUE"""),"Al Abeir Tower")</f>
        <v>Al Abeir Tower</v>
      </c>
      <c r="C10940" s="2" t="str">
        <f ca="1">IFERROR(__xludf.DUMMYFUNCTION("""COMPUTED_VALUE"""),"Building")</f>
        <v>Building</v>
      </c>
      <c r="D10940" s="2" t="str">
        <f ca="1">IFERROR(__xludf.DUMMYFUNCTION("""COMPUTED_VALUE"""),"Dubai&gt;Jumeirah Village Circle (JVC)&gt;JVC District 17&gt;Al Abeir Tower")</f>
        <v>Dubai&gt;Jumeirah Village Circle (JVC)&gt;JVC District 17&gt;Al Abeir Tower</v>
      </c>
      <c r="E10940" s="2"/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  <c r="V10940" s="2"/>
      <c r="W10940" s="2"/>
      <c r="X10940" s="2"/>
      <c r="Y10940" s="2"/>
      <c r="Z10940" s="2"/>
    </row>
    <row r="10941" spans="1:26" ht="16.5" x14ac:dyDescent="0.35">
      <c r="A10941" s="2" t="str">
        <f ca="1">IFERROR(__xludf.DUMMYFUNCTION("""COMPUTED_VALUE"""),"Dubai")</f>
        <v>Dubai</v>
      </c>
      <c r="B10941" s="2" t="str">
        <f ca="1">IFERROR(__xludf.DUMMYFUNCTION("""COMPUTED_VALUE"""),"Las Casas")</f>
        <v>Las Casas</v>
      </c>
      <c r="C10941" s="2" t="str">
        <f ca="1">IFERROR(__xludf.DUMMYFUNCTION("""COMPUTED_VALUE"""),"Neighbourhood")</f>
        <v>Neighbourhood</v>
      </c>
      <c r="D10941" s="2" t="str">
        <f ca="1">IFERROR(__xludf.DUMMYFUNCTION("""COMPUTED_VALUE"""),"Dubai&gt;Jumeirah Village Circle (JVC)&gt;JVC District 12&gt;Las Casas")</f>
        <v>Dubai&gt;Jumeirah Village Circle (JVC)&gt;JVC District 12&gt;Las Casas</v>
      </c>
      <c r="E10941" s="2"/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2"/>
      <c r="T10941" s="2"/>
      <c r="U10941" s="2"/>
      <c r="V10941" s="2"/>
      <c r="W10941" s="2"/>
      <c r="X10941" s="2"/>
      <c r="Y10941" s="2"/>
      <c r="Z10941" s="2"/>
    </row>
    <row r="10942" spans="1:26" ht="16.5" x14ac:dyDescent="0.35">
      <c r="A10942" s="2" t="str">
        <f ca="1">IFERROR(__xludf.DUMMYFUNCTION("""COMPUTED_VALUE"""),"Dubai")</f>
        <v>Dubai</v>
      </c>
      <c r="B10942" s="2" t="str">
        <f ca="1">IFERROR(__xludf.DUMMYFUNCTION("""COMPUTED_VALUE"""),"Alpha Green Tower")</f>
        <v>Alpha Green Tower</v>
      </c>
      <c r="C10942" s="2" t="str">
        <f ca="1">IFERROR(__xludf.DUMMYFUNCTION("""COMPUTED_VALUE"""),"Building")</f>
        <v>Building</v>
      </c>
      <c r="D10942" s="2" t="str">
        <f ca="1">IFERROR(__xludf.DUMMYFUNCTION("""COMPUTED_VALUE"""),"Dubai&gt;Jumeirah Village Circle (JVC)&gt;JVC District 12&gt;Alpha Green Tower")</f>
        <v>Dubai&gt;Jumeirah Village Circle (JVC)&gt;JVC District 12&gt;Alpha Green Tower</v>
      </c>
      <c r="E10942" s="2"/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  <c r="V10942" s="2"/>
      <c r="W10942" s="2"/>
      <c r="X10942" s="2"/>
      <c r="Y10942" s="2"/>
      <c r="Z10942" s="2"/>
    </row>
    <row r="10943" spans="1:26" ht="16.5" x14ac:dyDescent="0.35">
      <c r="A10943" s="2" t="str">
        <f ca="1">IFERROR(__xludf.DUMMYFUNCTION("""COMPUTED_VALUE"""),"Dubai")</f>
        <v>Dubai</v>
      </c>
      <c r="B10943" s="2" t="str">
        <f ca="1">IFERROR(__xludf.DUMMYFUNCTION("""COMPUTED_VALUE"""),"Q Gardens Lofts 2")</f>
        <v>Q Gardens Lofts 2</v>
      </c>
      <c r="C10943" s="2" t="str">
        <f ca="1">IFERROR(__xludf.DUMMYFUNCTION("""COMPUTED_VALUE"""),"Building")</f>
        <v>Building</v>
      </c>
      <c r="D10943" s="2" t="str">
        <f ca="1">IFERROR(__xludf.DUMMYFUNCTION("""COMPUTED_VALUE"""),"Dubai&gt;Jumeirah Village Circle (JVC)&gt;JVC District 12&gt;Q Gardens Lofts 2")</f>
        <v>Dubai&gt;Jumeirah Village Circle (JVC)&gt;JVC District 12&gt;Q Gardens Lofts 2</v>
      </c>
      <c r="E10943" s="2"/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2"/>
      <c r="T10943" s="2"/>
      <c r="U10943" s="2"/>
      <c r="V10943" s="2"/>
      <c r="W10943" s="2"/>
      <c r="X10943" s="2"/>
      <c r="Y10943" s="2"/>
      <c r="Z10943" s="2"/>
    </row>
    <row r="10944" spans="1:26" ht="16.5" x14ac:dyDescent="0.35">
      <c r="A10944" s="2" t="str">
        <f ca="1">IFERROR(__xludf.DUMMYFUNCTION("""COMPUTED_VALUE"""),"Dubai")</f>
        <v>Dubai</v>
      </c>
      <c r="B10944" s="2" t="str">
        <f ca="1">IFERROR(__xludf.DUMMYFUNCTION("""COMPUTED_VALUE"""),"Plaza Residences Block A")</f>
        <v>Plaza Residences Block A</v>
      </c>
      <c r="C10944" s="2" t="str">
        <f ca="1">IFERROR(__xludf.DUMMYFUNCTION("""COMPUTED_VALUE"""),"Building")</f>
        <v>Building</v>
      </c>
      <c r="D10944" s="2" t="str">
        <f ca="1">IFERROR(__xludf.DUMMYFUNCTION("""COMPUTED_VALUE"""),"Dubai&gt;Jumeirah Village Circle (JVC)&gt;JVC District 13&gt;Plaza Residences&gt;Plaza Residences Block A")</f>
        <v>Dubai&gt;Jumeirah Village Circle (JVC)&gt;JVC District 13&gt;Plaza Residences&gt;Plaza Residences Block A</v>
      </c>
      <c r="E10944" s="2"/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  <c r="V10944" s="2"/>
      <c r="W10944" s="2"/>
      <c r="X10944" s="2"/>
      <c r="Y10944" s="2"/>
      <c r="Z10944" s="2"/>
    </row>
    <row r="10945" spans="1:26" ht="16.5" x14ac:dyDescent="0.35">
      <c r="A10945" s="2" t="str">
        <f ca="1">IFERROR(__xludf.DUMMYFUNCTION("""COMPUTED_VALUE"""),"Dubai")</f>
        <v>Dubai</v>
      </c>
      <c r="B10945" s="2" t="str">
        <f ca="1">IFERROR(__xludf.DUMMYFUNCTION("""COMPUTED_VALUE"""),"Avalon Tower")</f>
        <v>Avalon Tower</v>
      </c>
      <c r="C10945" s="2" t="str">
        <f ca="1">IFERROR(__xludf.DUMMYFUNCTION("""COMPUTED_VALUE"""),"Building")</f>
        <v>Building</v>
      </c>
      <c r="D10945" s="2" t="str">
        <f ca="1">IFERROR(__xludf.DUMMYFUNCTION("""COMPUTED_VALUE"""),"Dubai&gt;Jumeirah Village Circle (JVC)&gt;JVC District 13&gt;Avalon Tower")</f>
        <v>Dubai&gt;Jumeirah Village Circle (JVC)&gt;JVC District 13&gt;Avalon Tower</v>
      </c>
      <c r="E10945" s="2"/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  <c r="V10945" s="2"/>
      <c r="W10945" s="2"/>
      <c r="X10945" s="2"/>
      <c r="Y10945" s="2"/>
      <c r="Z10945" s="2"/>
    </row>
    <row r="10946" spans="1:26" ht="16.5" x14ac:dyDescent="0.35">
      <c r="A10946" s="2" t="str">
        <f ca="1">IFERROR(__xludf.DUMMYFUNCTION("""COMPUTED_VALUE"""),"Dubai")</f>
        <v>Dubai</v>
      </c>
      <c r="B10946" s="2" t="str">
        <f ca="1">IFERROR(__xludf.DUMMYFUNCTION("""COMPUTED_VALUE"""),"Westar Terrace Garden")</f>
        <v>Westar Terrace Garden</v>
      </c>
      <c r="C10946" s="2" t="str">
        <f ca="1">IFERROR(__xludf.DUMMYFUNCTION("""COMPUTED_VALUE"""),"Neighbourhood")</f>
        <v>Neighbourhood</v>
      </c>
      <c r="D10946" s="2" t="str">
        <f ca="1">IFERROR(__xludf.DUMMYFUNCTION("""COMPUTED_VALUE"""),"Dubai&gt;Jumeirah Village Circle (JVC)&gt;JVC District 13&gt;Westar Terrace Garden")</f>
        <v>Dubai&gt;Jumeirah Village Circle (JVC)&gt;JVC District 13&gt;Westar Terrace Garden</v>
      </c>
      <c r="E10946" s="2"/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2"/>
      <c r="T10946" s="2"/>
      <c r="U10946" s="2"/>
      <c r="V10946" s="2"/>
      <c r="W10946" s="2"/>
      <c r="X10946" s="2"/>
      <c r="Y10946" s="2"/>
      <c r="Z10946" s="2"/>
    </row>
    <row r="10947" spans="1:26" ht="16.5" x14ac:dyDescent="0.35">
      <c r="A10947" s="2" t="str">
        <f ca="1">IFERROR(__xludf.DUMMYFUNCTION("""COMPUTED_VALUE"""),"Dubai")</f>
        <v>Dubai</v>
      </c>
      <c r="B10947" s="2" t="str">
        <f ca="1">IFERROR(__xludf.DUMMYFUNCTION("""COMPUTED_VALUE"""),"MAK I'Sola Bella")</f>
        <v>MAK I'Sola Bella</v>
      </c>
      <c r="C10947" s="2" t="str">
        <f ca="1">IFERROR(__xludf.DUMMYFUNCTION("""COMPUTED_VALUE"""),"Building")</f>
        <v>Building</v>
      </c>
      <c r="D10947" s="2" t="str">
        <f ca="1">IFERROR(__xludf.DUMMYFUNCTION("""COMPUTED_VALUE"""),"Dubai&gt;Jumeirah Village Circle (JVC)&gt;JVC District 18&gt;MAK I'Sola Bella")</f>
        <v>Dubai&gt;Jumeirah Village Circle (JVC)&gt;JVC District 18&gt;MAK I'Sola Bella</v>
      </c>
      <c r="E10947" s="2"/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2"/>
      <c r="T10947" s="2"/>
      <c r="U10947" s="2"/>
      <c r="V10947" s="2"/>
      <c r="W10947" s="2"/>
      <c r="X10947" s="2"/>
      <c r="Y10947" s="2"/>
      <c r="Z10947" s="2"/>
    </row>
    <row r="10948" spans="1:26" ht="16.5" x14ac:dyDescent="0.35">
      <c r="A10948" s="2" t="str">
        <f ca="1">IFERROR(__xludf.DUMMYFUNCTION("""COMPUTED_VALUE"""),"Dubai")</f>
        <v>Dubai</v>
      </c>
      <c r="B10948" s="2" t="str">
        <f ca="1">IFERROR(__xludf.DUMMYFUNCTION("""COMPUTED_VALUE"""),"MLF Residence")</f>
        <v>MLF Residence</v>
      </c>
      <c r="C10948" s="2" t="str">
        <f ca="1">IFERROR(__xludf.DUMMYFUNCTION("""COMPUTED_VALUE"""),"Neighbourhood")</f>
        <v>Neighbourhood</v>
      </c>
      <c r="D10948" s="2" t="str">
        <f ca="1">IFERROR(__xludf.DUMMYFUNCTION("""COMPUTED_VALUE"""),"Dubai&gt;Jumeirah Village Circle (JVC)&gt;JVC District 10&gt;MLF Residence")</f>
        <v>Dubai&gt;Jumeirah Village Circle (JVC)&gt;JVC District 10&gt;MLF Residence</v>
      </c>
      <c r="E10948" s="2"/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  <c r="V10948" s="2"/>
      <c r="W10948" s="2"/>
      <c r="X10948" s="2"/>
      <c r="Y10948" s="2"/>
      <c r="Z10948" s="2"/>
    </row>
    <row r="10949" spans="1:26" ht="16.5" x14ac:dyDescent="0.35">
      <c r="A10949" s="2" t="str">
        <f ca="1">IFERROR(__xludf.DUMMYFUNCTION("""COMPUTED_VALUE"""),"Dubai")</f>
        <v>Dubai</v>
      </c>
      <c r="B10949" s="2" t="str">
        <f ca="1">IFERROR(__xludf.DUMMYFUNCTION("""COMPUTED_VALUE"""),"Arezzo 2")</f>
        <v>Arezzo 2</v>
      </c>
      <c r="C10949" s="2" t="str">
        <f ca="1">IFERROR(__xludf.DUMMYFUNCTION("""COMPUTED_VALUE"""),"Building")</f>
        <v>Building</v>
      </c>
      <c r="D10949" s="2" t="str">
        <f ca="1">IFERROR(__xludf.DUMMYFUNCTION("""COMPUTED_VALUE"""),"Dubai&gt;Jumeirah Village Circle (JVC)&gt;JVC District 10&gt;Tuscan Residence&gt;Arezzo&gt;Arezzo 2")</f>
        <v>Dubai&gt;Jumeirah Village Circle (JVC)&gt;JVC District 10&gt;Tuscan Residence&gt;Arezzo&gt;Arezzo 2</v>
      </c>
      <c r="E10949" s="2"/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  <c r="V10949" s="2"/>
      <c r="W10949" s="2"/>
      <c r="X10949" s="2"/>
      <c r="Y10949" s="2"/>
      <c r="Z10949" s="2"/>
    </row>
    <row r="10950" spans="1:26" ht="16.5" x14ac:dyDescent="0.35">
      <c r="A10950" s="2" t="str">
        <f ca="1">IFERROR(__xludf.DUMMYFUNCTION("""COMPUTED_VALUE"""),"Dubai")</f>
        <v>Dubai</v>
      </c>
      <c r="B10950" s="2" t="str">
        <f ca="1">IFERROR(__xludf.DUMMYFUNCTION("""COMPUTED_VALUE"""),"Binghatti Orchid")</f>
        <v>Binghatti Orchid</v>
      </c>
      <c r="C10950" s="2" t="str">
        <f ca="1">IFERROR(__xludf.DUMMYFUNCTION("""COMPUTED_VALUE"""),"Building")</f>
        <v>Building</v>
      </c>
      <c r="D10950" s="2" t="str">
        <f ca="1">IFERROR(__xludf.DUMMYFUNCTION("""COMPUTED_VALUE"""),"Dubai&gt;Jumeirah Village Circle (JVC)&gt;JVC District 10&gt;Binghatti Orchid")</f>
        <v>Dubai&gt;Jumeirah Village Circle (JVC)&gt;JVC District 10&gt;Binghatti Orchid</v>
      </c>
      <c r="E10950" s="2"/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2"/>
      <c r="T10950" s="2"/>
      <c r="U10950" s="2"/>
      <c r="V10950" s="2"/>
      <c r="W10950" s="2"/>
      <c r="X10950" s="2"/>
      <c r="Y10950" s="2"/>
      <c r="Z10950" s="2"/>
    </row>
    <row r="10951" spans="1:26" ht="16.5" x14ac:dyDescent="0.35">
      <c r="A10951" s="2" t="str">
        <f ca="1">IFERROR(__xludf.DUMMYFUNCTION("""COMPUTED_VALUE"""),"Dubai")</f>
        <v>Dubai</v>
      </c>
      <c r="B10951" s="2" t="str">
        <f ca="1">IFERROR(__xludf.DUMMYFUNCTION("""COMPUTED_VALUE"""),"Middle Park Villas")</f>
        <v>Middle Park Villas</v>
      </c>
      <c r="C10951" s="2" t="str">
        <f ca="1">IFERROR(__xludf.DUMMYFUNCTION("""COMPUTED_VALUE"""),"Neighbourhood")</f>
        <v>Neighbourhood</v>
      </c>
      <c r="D10951" s="2" t="str">
        <f ca="1">IFERROR(__xludf.DUMMYFUNCTION("""COMPUTED_VALUE"""),"Dubai&gt;Jumeirah Village Circle (JVC)&gt;JVC District 10&gt;Middle Park Villas")</f>
        <v>Dubai&gt;Jumeirah Village Circle (JVC)&gt;JVC District 10&gt;Middle Park Villas</v>
      </c>
      <c r="E10951" s="2"/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2"/>
      <c r="T10951" s="2"/>
      <c r="U10951" s="2"/>
      <c r="V10951" s="2"/>
      <c r="W10951" s="2"/>
      <c r="X10951" s="2"/>
      <c r="Y10951" s="2"/>
      <c r="Z10951" s="2"/>
    </row>
    <row r="10952" spans="1:26" ht="16.5" x14ac:dyDescent="0.35">
      <c r="A10952" s="2" t="str">
        <f ca="1">IFERROR(__xludf.DUMMYFUNCTION("""COMPUTED_VALUE"""),"Dubai")</f>
        <v>Dubai</v>
      </c>
      <c r="B10952" s="2" t="str">
        <f ca="1">IFERROR(__xludf.DUMMYFUNCTION("""COMPUTED_VALUE"""),"Mi Casa by London Gate")</f>
        <v>Mi Casa by London Gate</v>
      </c>
      <c r="C10952" s="2" t="str">
        <f ca="1">IFERROR(__xludf.DUMMYFUNCTION("""COMPUTED_VALUE"""),"Building")</f>
        <v>Building</v>
      </c>
      <c r="D10952" s="2" t="str">
        <f ca="1">IFERROR(__xludf.DUMMYFUNCTION("""COMPUTED_VALUE"""),"Dubai&gt;Jumeirah Village Circle (JVC)&gt;JVC District 16&gt;Mi Casa by London Gate")</f>
        <v>Dubai&gt;Jumeirah Village Circle (JVC)&gt;JVC District 16&gt;Mi Casa by London Gate</v>
      </c>
      <c r="E10952" s="2"/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  <c r="V10952" s="2"/>
      <c r="W10952" s="2"/>
      <c r="X10952" s="2"/>
      <c r="Y10952" s="2"/>
      <c r="Z10952" s="2"/>
    </row>
    <row r="10953" spans="1:26" ht="16.5" x14ac:dyDescent="0.35">
      <c r="A10953" s="2" t="str">
        <f ca="1">IFERROR(__xludf.DUMMYFUNCTION("""COMPUTED_VALUE"""),"Dubai")</f>
        <v>Dubai</v>
      </c>
      <c r="B10953" s="2" t="str">
        <f ca="1">IFERROR(__xludf.DUMMYFUNCTION("""COMPUTED_VALUE"""),"Bloom Heights 1")</f>
        <v>Bloom Heights 1</v>
      </c>
      <c r="C10953" s="2" t="str">
        <f ca="1">IFERROR(__xludf.DUMMYFUNCTION("""COMPUTED_VALUE"""),"Building")</f>
        <v>Building</v>
      </c>
      <c r="D10953" s="2" t="str">
        <f ca="1">IFERROR(__xludf.DUMMYFUNCTION("""COMPUTED_VALUE"""),"Dubai&gt;Jumeirah Village Circle (JVC)&gt;JVC District 15&gt;Bloom Heights&gt;Bloom Heights 1")</f>
        <v>Dubai&gt;Jumeirah Village Circle (JVC)&gt;JVC District 15&gt;Bloom Heights&gt;Bloom Heights 1</v>
      </c>
      <c r="E10953" s="2"/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2"/>
      <c r="U10953" s="2"/>
      <c r="V10953" s="2"/>
      <c r="W10953" s="2"/>
      <c r="X10953" s="2"/>
      <c r="Y10953" s="2"/>
      <c r="Z10953" s="2"/>
    </row>
    <row r="10954" spans="1:26" ht="16.5" x14ac:dyDescent="0.35">
      <c r="A10954" s="2" t="str">
        <f ca="1">IFERROR(__xludf.DUMMYFUNCTION("""COMPUTED_VALUE"""),"Dubai")</f>
        <v>Dubai</v>
      </c>
      <c r="B10954" s="2" t="str">
        <f ca="1">IFERROR(__xludf.DUMMYFUNCTION("""COMPUTED_VALUE"""),"One Sky Park by IMAN")</f>
        <v>One Sky Park by IMAN</v>
      </c>
      <c r="C10954" s="2" t="str">
        <f ca="1">IFERROR(__xludf.DUMMYFUNCTION("""COMPUTED_VALUE"""),"Building")</f>
        <v>Building</v>
      </c>
      <c r="D10954" s="2" t="str">
        <f ca="1">IFERROR(__xludf.DUMMYFUNCTION("""COMPUTED_VALUE"""),"Dubai&gt;Jumeirah Village Circle (JVC)&gt;JVC District 15&gt;One Sky Park by IMAN")</f>
        <v>Dubai&gt;Jumeirah Village Circle (JVC)&gt;JVC District 15&gt;One Sky Park by IMAN</v>
      </c>
      <c r="E10954" s="2"/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2"/>
      <c r="T10954" s="2"/>
      <c r="U10954" s="2"/>
      <c r="V10954" s="2"/>
      <c r="W10954" s="2"/>
      <c r="X10954" s="2"/>
      <c r="Y10954" s="2"/>
      <c r="Z10954" s="2"/>
    </row>
    <row r="10955" spans="1:26" ht="16.5" x14ac:dyDescent="0.35">
      <c r="A10955" s="2" t="str">
        <f ca="1">IFERROR(__xludf.DUMMYFUNCTION("""COMPUTED_VALUE"""),"Dubai")</f>
        <v>Dubai</v>
      </c>
      <c r="B10955" s="2" t="str">
        <f ca="1">IFERROR(__xludf.DUMMYFUNCTION("""COMPUTED_VALUE"""),"Indigo Ville 1")</f>
        <v>Indigo Ville 1</v>
      </c>
      <c r="C10955" s="2" t="str">
        <f ca="1">IFERROR(__xludf.DUMMYFUNCTION("""COMPUTED_VALUE"""),"Neighbourhood")</f>
        <v>Neighbourhood</v>
      </c>
      <c r="D10955" s="2" t="str">
        <f ca="1">IFERROR(__xludf.DUMMYFUNCTION("""COMPUTED_VALUE"""),"Dubai&gt;Jumeirah Village Circle (JVC)&gt;JVC District 11&gt;Indigo Ville 1")</f>
        <v>Dubai&gt;Jumeirah Village Circle (JVC)&gt;JVC District 11&gt;Indigo Ville 1</v>
      </c>
      <c r="E10955" s="2"/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2"/>
      <c r="T10955" s="2"/>
      <c r="U10955" s="2"/>
      <c r="V10955" s="2"/>
      <c r="W10955" s="2"/>
      <c r="X10955" s="2"/>
      <c r="Y10955" s="2"/>
      <c r="Z10955" s="2"/>
    </row>
    <row r="10956" spans="1:26" ht="16.5" x14ac:dyDescent="0.35">
      <c r="A10956" s="2" t="str">
        <f ca="1">IFERROR(__xludf.DUMMYFUNCTION("""COMPUTED_VALUE"""),"Dubai")</f>
        <v>Dubai</v>
      </c>
      <c r="B10956" s="2" t="str">
        <f ca="1">IFERROR(__xludf.DUMMYFUNCTION("""COMPUTED_VALUE"""),"Maimoon Gardens Tower B")</f>
        <v>Maimoon Gardens Tower B</v>
      </c>
      <c r="C10956" s="2" t="str">
        <f ca="1">IFERROR(__xludf.DUMMYFUNCTION("""COMPUTED_VALUE"""),"Building")</f>
        <v>Building</v>
      </c>
      <c r="D10956" s="2" t="str">
        <f ca="1">IFERROR(__xludf.DUMMYFUNCTION("""COMPUTED_VALUE"""),"Dubai&gt;Jumeirah Village Circle (JVC)&gt;JVC District 11&gt;Maimoon Gardens&gt;Maimoon Gardens Tower B")</f>
        <v>Dubai&gt;Jumeirah Village Circle (JVC)&gt;JVC District 11&gt;Maimoon Gardens&gt;Maimoon Gardens Tower B</v>
      </c>
      <c r="E10956" s="2"/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2"/>
      <c r="U10956" s="2"/>
      <c r="V10956" s="2"/>
      <c r="W10956" s="2"/>
      <c r="X10956" s="2"/>
      <c r="Y10956" s="2"/>
      <c r="Z10956" s="2"/>
    </row>
    <row r="10957" spans="1:26" ht="16.5" x14ac:dyDescent="0.35">
      <c r="A10957" s="2" t="str">
        <f ca="1">IFERROR(__xludf.DUMMYFUNCTION("""COMPUTED_VALUE"""),"Dubai")</f>
        <v>Dubai</v>
      </c>
      <c r="B10957" s="2" t="str">
        <f ca="1">IFERROR(__xludf.DUMMYFUNCTION("""COMPUTED_VALUE"""),"Astoria Villas")</f>
        <v>Astoria Villas</v>
      </c>
      <c r="C10957" s="2" t="str">
        <f ca="1">IFERROR(__xludf.DUMMYFUNCTION("""COMPUTED_VALUE"""),"Neighbourhood")</f>
        <v>Neighbourhood</v>
      </c>
      <c r="D10957" s="2" t="str">
        <f ca="1">IFERROR(__xludf.DUMMYFUNCTION("""COMPUTED_VALUE"""),"Dubai&gt;Jumeirah Village Circle (JVC)&gt;JVC District 11&gt;Astoria Villas")</f>
        <v>Dubai&gt;Jumeirah Village Circle (JVC)&gt;JVC District 11&gt;Astoria Villas</v>
      </c>
      <c r="E10957" s="2"/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2"/>
      <c r="T10957" s="2"/>
      <c r="U10957" s="2"/>
      <c r="V10957" s="2"/>
      <c r="W10957" s="2"/>
      <c r="X10957" s="2"/>
      <c r="Y10957" s="2"/>
      <c r="Z10957" s="2"/>
    </row>
    <row r="10958" spans="1:26" ht="16.5" x14ac:dyDescent="0.35">
      <c r="A10958" s="2" t="str">
        <f ca="1">IFERROR(__xludf.DUMMYFUNCTION("""COMPUTED_VALUE"""),"Dubai")</f>
        <v>Dubai</v>
      </c>
      <c r="B10958" s="2" t="str">
        <f ca="1">IFERROR(__xludf.DUMMYFUNCTION("""COMPUTED_VALUE"""),"Magnolia 2")</f>
        <v>Magnolia 2</v>
      </c>
      <c r="C10958" s="2" t="str">
        <f ca="1">IFERROR(__xludf.DUMMYFUNCTION("""COMPUTED_VALUE"""),"Building")</f>
        <v>Building</v>
      </c>
      <c r="D10958" s="2" t="str">
        <f ca="1">IFERROR(__xludf.DUMMYFUNCTION("""COMPUTED_VALUE"""),"Dubai&gt;Jumeirah Village Circle (JVC)&gt;JVC District 14&gt;Emirates Gardens 2&gt;Magnolia 2")</f>
        <v>Dubai&gt;Jumeirah Village Circle (JVC)&gt;JVC District 14&gt;Emirates Gardens 2&gt;Magnolia 2</v>
      </c>
      <c r="E10958" s="2"/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2"/>
      <c r="T10958" s="2"/>
      <c r="U10958" s="2"/>
      <c r="V10958" s="2"/>
      <c r="W10958" s="2"/>
      <c r="X10958" s="2"/>
      <c r="Y10958" s="2"/>
      <c r="Z10958" s="2"/>
    </row>
    <row r="10959" spans="1:26" ht="16.5" x14ac:dyDescent="0.35">
      <c r="A10959" s="2" t="str">
        <f ca="1">IFERROR(__xludf.DUMMYFUNCTION("""COMPUTED_VALUE"""),"Dubai")</f>
        <v>Dubai</v>
      </c>
      <c r="B10959" s="2" t="str">
        <f ca="1">IFERROR(__xludf.DUMMYFUNCTION("""COMPUTED_VALUE"""),"FIVE Jumeirah Village")</f>
        <v>FIVE Jumeirah Village</v>
      </c>
      <c r="C10959" s="2" t="str">
        <f ca="1">IFERROR(__xludf.DUMMYFUNCTION("""COMPUTED_VALUE"""),"Building")</f>
        <v>Building</v>
      </c>
      <c r="D10959" s="2" t="str">
        <f ca="1">IFERROR(__xludf.DUMMYFUNCTION("""COMPUTED_VALUE"""),"Dubai&gt;Jumeirah Village Circle (JVC)&gt;JVC District 14&gt;FIVE Jumeirah Village")</f>
        <v>Dubai&gt;Jumeirah Village Circle (JVC)&gt;JVC District 14&gt;FIVE Jumeirah Village</v>
      </c>
      <c r="E10959" s="2"/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2"/>
      <c r="T10959" s="2"/>
      <c r="U10959" s="2"/>
      <c r="V10959" s="2"/>
      <c r="W10959" s="2"/>
      <c r="X10959" s="2"/>
      <c r="Y10959" s="2"/>
      <c r="Z10959" s="2"/>
    </row>
    <row r="10960" spans="1:26" ht="16.5" x14ac:dyDescent="0.35">
      <c r="A10960" s="2" t="str">
        <f ca="1">IFERROR(__xludf.DUMMYFUNCTION("""COMPUTED_VALUE"""),"Dubai")</f>
        <v>Dubai</v>
      </c>
      <c r="B10960" s="2" t="str">
        <f ca="1">IFERROR(__xludf.DUMMYFUNCTION("""COMPUTED_VALUE"""),"Park Lane by Heilbronn")</f>
        <v>Park Lane by Heilbronn</v>
      </c>
      <c r="C10960" s="2" t="str">
        <f ca="1">IFERROR(__xludf.DUMMYFUNCTION("""COMPUTED_VALUE"""),"Building")</f>
        <v>Building</v>
      </c>
      <c r="D10960" s="2" t="str">
        <f ca="1">IFERROR(__xludf.DUMMYFUNCTION("""COMPUTED_VALUE"""),"Dubai&gt;Jumeirah Village Circle (JVC)&gt;JVC District 14&gt;Park Lane by Heilbronn")</f>
        <v>Dubai&gt;Jumeirah Village Circle (JVC)&gt;JVC District 14&gt;Park Lane by Heilbronn</v>
      </c>
      <c r="E10960" s="2"/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2"/>
      <c r="T10960" s="2"/>
      <c r="U10960" s="2"/>
      <c r="V10960" s="2"/>
      <c r="W10960" s="2"/>
      <c r="X10960" s="2"/>
      <c r="Y10960" s="2"/>
      <c r="Z10960" s="2"/>
    </row>
    <row r="10961" spans="1:26" ht="16.5" x14ac:dyDescent="0.35">
      <c r="A10961" s="2" t="str">
        <f ca="1">IFERROR(__xludf.DUMMYFUNCTION("""COMPUTED_VALUE"""),"Dubai")</f>
        <v>Dubai</v>
      </c>
      <c r="B10961" s="2" t="str">
        <f ca="1">IFERROR(__xludf.DUMMYFUNCTION("""COMPUTED_VALUE"""),"Sondos Lily")</f>
        <v>Sondos Lily</v>
      </c>
      <c r="C10961" s="2" t="str">
        <f ca="1">IFERROR(__xludf.DUMMYFUNCTION("""COMPUTED_VALUE"""),"Building")</f>
        <v>Building</v>
      </c>
      <c r="D10961" s="2" t="str">
        <f ca="1">IFERROR(__xludf.DUMMYFUNCTION("""COMPUTED_VALUE"""),"Dubai&gt;Dubai Land Residence Complex&gt;Sondos Lily")</f>
        <v>Dubai&gt;Dubai Land Residence Complex&gt;Sondos Lily</v>
      </c>
      <c r="E10961" s="2"/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2"/>
      <c r="T10961" s="2"/>
      <c r="U10961" s="2"/>
      <c r="V10961" s="2"/>
      <c r="W10961" s="2"/>
      <c r="X10961" s="2"/>
      <c r="Y10961" s="2"/>
      <c r="Z10961" s="2"/>
    </row>
    <row r="10962" spans="1:26" ht="16.5" x14ac:dyDescent="0.35">
      <c r="A10962" s="2" t="str">
        <f ca="1">IFERROR(__xludf.DUMMYFUNCTION("""COMPUTED_VALUE"""),"Dubai")</f>
        <v>Dubai</v>
      </c>
      <c r="B10962" s="2" t="str">
        <f ca="1">IFERROR(__xludf.DUMMYFUNCTION("""COMPUTED_VALUE"""),"Tulip Oasis 6")</f>
        <v>Tulip Oasis 6</v>
      </c>
      <c r="C10962" s="2" t="str">
        <f ca="1">IFERROR(__xludf.DUMMYFUNCTION("""COMPUTED_VALUE"""),"Building")</f>
        <v>Building</v>
      </c>
      <c r="D10962" s="2" t="str">
        <f ca="1">IFERROR(__xludf.DUMMYFUNCTION("""COMPUTED_VALUE"""),"Dubai&gt;Dubai Land Residence Complex&gt;Tulip Oasis 6")</f>
        <v>Dubai&gt;Dubai Land Residence Complex&gt;Tulip Oasis 6</v>
      </c>
      <c r="E10962" s="2"/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2"/>
      <c r="T10962" s="2"/>
      <c r="U10962" s="2"/>
      <c r="V10962" s="2"/>
      <c r="W10962" s="2"/>
      <c r="X10962" s="2"/>
      <c r="Y10962" s="2"/>
      <c r="Z10962" s="2"/>
    </row>
    <row r="10963" spans="1:26" ht="16.5" x14ac:dyDescent="0.35">
      <c r="A10963" s="2" t="str">
        <f ca="1">IFERROR(__xludf.DUMMYFUNCTION("""COMPUTED_VALUE"""),"Dubai")</f>
        <v>Dubai</v>
      </c>
      <c r="B10963" s="2" t="str">
        <f ca="1">IFERROR(__xludf.DUMMYFUNCTION("""COMPUTED_VALUE"""),"Shorooq Land 1")</f>
        <v>Shorooq Land 1</v>
      </c>
      <c r="C10963" s="2" t="str">
        <f ca="1">IFERROR(__xludf.DUMMYFUNCTION("""COMPUTED_VALUE"""),"Building")</f>
        <v>Building</v>
      </c>
      <c r="D10963" s="2" t="str">
        <f ca="1">IFERROR(__xludf.DUMMYFUNCTION("""COMPUTED_VALUE"""),"Dubai&gt;Dubai Land Residence Complex&gt;Shorooq Land 1")</f>
        <v>Dubai&gt;Dubai Land Residence Complex&gt;Shorooq Land 1</v>
      </c>
      <c r="E10963" s="2"/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2"/>
      <c r="T10963" s="2"/>
      <c r="U10963" s="2"/>
      <c r="V10963" s="2"/>
      <c r="W10963" s="2"/>
      <c r="X10963" s="2"/>
      <c r="Y10963" s="2"/>
      <c r="Z10963" s="2"/>
    </row>
    <row r="10964" spans="1:26" ht="16.5" x14ac:dyDescent="0.35">
      <c r="A10964" s="2" t="str">
        <f ca="1">IFERROR(__xludf.DUMMYFUNCTION("""COMPUTED_VALUE"""),"Dubai")</f>
        <v>Dubai</v>
      </c>
      <c r="B10964" s="2" t="str">
        <f ca="1">IFERROR(__xludf.DUMMYFUNCTION("""COMPUTED_VALUE"""),"Geepas Commercial Centre")</f>
        <v>Geepas Commercial Centre</v>
      </c>
      <c r="C10964" s="2" t="str">
        <f ca="1">IFERROR(__xludf.DUMMYFUNCTION("""COMPUTED_VALUE"""),"Building")</f>
        <v>Building</v>
      </c>
      <c r="D10964" s="2" t="str">
        <f ca="1">IFERROR(__xludf.DUMMYFUNCTION("""COMPUTED_VALUE"""),"Dubai&gt;Dubai Land Residence Complex&gt;Geepas Commercial Centre")</f>
        <v>Dubai&gt;Dubai Land Residence Complex&gt;Geepas Commercial Centre</v>
      </c>
      <c r="E10964" s="2"/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2"/>
      <c r="T10964" s="2"/>
      <c r="U10964" s="2"/>
      <c r="V10964" s="2"/>
      <c r="W10964" s="2"/>
      <c r="X10964" s="2"/>
      <c r="Y10964" s="2"/>
      <c r="Z10964" s="2"/>
    </row>
    <row r="10965" spans="1:26" ht="16.5" x14ac:dyDescent="0.35">
      <c r="A10965" s="2" t="str">
        <f ca="1">IFERROR(__xludf.DUMMYFUNCTION("""COMPUTED_VALUE"""),"Dubai")</f>
        <v>Dubai</v>
      </c>
      <c r="B10965" s="2" t="str">
        <f ca="1">IFERROR(__xludf.DUMMYFUNCTION("""COMPUTED_VALUE"""),"Wadi Hills")</f>
        <v>Wadi Hills</v>
      </c>
      <c r="C10965" s="2" t="str">
        <f ca="1">IFERROR(__xludf.DUMMYFUNCTION("""COMPUTED_VALUE"""),"Building")</f>
        <v>Building</v>
      </c>
      <c r="D10965" s="2" t="str">
        <f ca="1">IFERROR(__xludf.DUMMYFUNCTION("""COMPUTED_VALUE"""),"Dubai&gt;Dubai Land Residence Complex&gt;Wadi Hills")</f>
        <v>Dubai&gt;Dubai Land Residence Complex&gt;Wadi Hills</v>
      </c>
      <c r="E10965" s="2"/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2"/>
      <c r="T10965" s="2"/>
      <c r="U10965" s="2"/>
      <c r="V10965" s="2"/>
      <c r="W10965" s="2"/>
      <c r="X10965" s="2"/>
      <c r="Y10965" s="2"/>
      <c r="Z10965" s="2"/>
    </row>
    <row r="10966" spans="1:26" ht="16.5" x14ac:dyDescent="0.35">
      <c r="A10966" s="2" t="str">
        <f ca="1">IFERROR(__xludf.DUMMYFUNCTION("""COMPUTED_VALUE"""),"Dubai")</f>
        <v>Dubai</v>
      </c>
      <c r="B10966" s="2" t="str">
        <f ca="1">IFERROR(__xludf.DUMMYFUNCTION("""COMPUTED_VALUE"""),"Shorooq Building 32")</f>
        <v>Shorooq Building 32</v>
      </c>
      <c r="C10966" s="2" t="str">
        <f ca="1">IFERROR(__xludf.DUMMYFUNCTION("""COMPUTED_VALUE"""),"Building")</f>
        <v>Building</v>
      </c>
      <c r="D10966" s="2" t="str">
        <f ca="1">IFERROR(__xludf.DUMMYFUNCTION("""COMPUTED_VALUE"""),"Dubai&gt;Mirdif&gt;Shorooq Mirdif&gt;Shorooq Building 32")</f>
        <v>Dubai&gt;Mirdif&gt;Shorooq Mirdif&gt;Shorooq Building 32</v>
      </c>
      <c r="E10966" s="2"/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2"/>
      <c r="U10966" s="2"/>
      <c r="V10966" s="2"/>
      <c r="W10966" s="2"/>
      <c r="X10966" s="2"/>
      <c r="Y10966" s="2"/>
      <c r="Z10966" s="2"/>
    </row>
    <row r="10967" spans="1:26" ht="16.5" x14ac:dyDescent="0.35">
      <c r="A10967" s="2" t="str">
        <f ca="1">IFERROR(__xludf.DUMMYFUNCTION("""COMPUTED_VALUE"""),"Dubai")</f>
        <v>Dubai</v>
      </c>
      <c r="B10967" s="2" t="str">
        <f ca="1">IFERROR(__xludf.DUMMYFUNCTION("""COMPUTED_VALUE"""),"Mirdif Avenue Mall")</f>
        <v>Mirdif Avenue Mall</v>
      </c>
      <c r="C10967" s="2" t="str">
        <f ca="1">IFERROR(__xludf.DUMMYFUNCTION("""COMPUTED_VALUE"""),"Building")</f>
        <v>Building</v>
      </c>
      <c r="D10967" s="2" t="str">
        <f ca="1">IFERROR(__xludf.DUMMYFUNCTION("""COMPUTED_VALUE"""),"Dubai&gt;Mirdif&gt;Mirdif Avenue Mall")</f>
        <v>Dubai&gt;Mirdif&gt;Mirdif Avenue Mall</v>
      </c>
      <c r="E10967" s="2"/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2"/>
      <c r="T10967" s="2"/>
      <c r="U10967" s="2"/>
      <c r="V10967" s="2"/>
      <c r="W10967" s="2"/>
      <c r="X10967" s="2"/>
      <c r="Y10967" s="2"/>
      <c r="Z10967" s="2"/>
    </row>
    <row r="10968" spans="1:26" ht="16.5" x14ac:dyDescent="0.35">
      <c r="A10968" s="2" t="str">
        <f ca="1">IFERROR(__xludf.DUMMYFUNCTION("""COMPUTED_VALUE"""),"Dubai")</f>
        <v>Dubai</v>
      </c>
      <c r="B10968" s="2" t="str">
        <f ca="1">IFERROR(__xludf.DUMMYFUNCTION("""COMPUTED_VALUE"""),"Ghadeer")</f>
        <v>Ghadeer</v>
      </c>
      <c r="C10968" s="2" t="str">
        <f ca="1">IFERROR(__xludf.DUMMYFUNCTION("""COMPUTED_VALUE"""),"Neighbourhood")</f>
        <v>Neighbourhood</v>
      </c>
      <c r="D10968" s="2" t="str">
        <f ca="1">IFERROR(__xludf.DUMMYFUNCTION("""COMPUTED_VALUE"""),"Dubai&gt;The Lakes&gt;Ghadeer")</f>
        <v>Dubai&gt;The Lakes&gt;Ghadeer</v>
      </c>
      <c r="E10968" s="2"/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2"/>
      <c r="T10968" s="2"/>
      <c r="U10968" s="2"/>
      <c r="V10968" s="2"/>
      <c r="W10968" s="2"/>
      <c r="X10968" s="2"/>
      <c r="Y10968" s="2"/>
      <c r="Z10968" s="2"/>
    </row>
    <row r="10969" spans="1:26" ht="16.5" x14ac:dyDescent="0.35">
      <c r="A10969" s="2" t="str">
        <f ca="1">IFERROR(__xludf.DUMMYFUNCTION("""COMPUTED_VALUE"""),"Dubai")</f>
        <v>Dubai</v>
      </c>
      <c r="B10969" s="2" t="str">
        <f ca="1">IFERROR(__xludf.DUMMYFUNCTION("""COMPUTED_VALUE"""),"The Eugene Townhouses")</f>
        <v>The Eugene Townhouses</v>
      </c>
      <c r="C10969" s="2" t="str">
        <f ca="1">IFERROR(__xludf.DUMMYFUNCTION("""COMPUTED_VALUE"""),"Neighbourhood")</f>
        <v>Neighbourhood</v>
      </c>
      <c r="D10969" s="2" t="str">
        <f ca="1">IFERROR(__xludf.DUMMYFUNCTION("""COMPUTED_VALUE"""),"Dubai&gt;Living Legends&gt;The Eugene Townhouses")</f>
        <v>Dubai&gt;Living Legends&gt;The Eugene Townhouses</v>
      </c>
      <c r="E10969" s="2"/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2"/>
      <c r="T10969" s="2"/>
      <c r="U10969" s="2"/>
      <c r="V10969" s="2"/>
      <c r="W10969" s="2"/>
      <c r="X10969" s="2"/>
      <c r="Y10969" s="2"/>
      <c r="Z10969" s="2"/>
    </row>
    <row r="10970" spans="1:26" ht="16.5" x14ac:dyDescent="0.35">
      <c r="A10970" s="2" t="str">
        <f ca="1">IFERROR(__xludf.DUMMYFUNCTION("""COMPUTED_VALUE"""),"Dubai")</f>
        <v>Dubai</v>
      </c>
      <c r="B10970" s="2" t="str">
        <f ca="1">IFERROR(__xludf.DUMMYFUNCTION("""COMPUTED_VALUE"""),"American International School, Al Qusais, Dubai")</f>
        <v>American International School, Al Qusais, Dubai</v>
      </c>
      <c r="C10970" s="2" t="str">
        <f ca="1">IFERROR(__xludf.DUMMYFUNCTION("""COMPUTED_VALUE"""),"School")</f>
        <v>School</v>
      </c>
      <c r="D10970" s="2" t="str">
        <f ca="1">IFERROR(__xludf.DUMMYFUNCTION("""COMPUTED_VALUE"""),"Dubai&gt;Al Qusais&gt;Al Qusais Residential Area&gt;Al Qusais 1&gt;American International School, Al Qusais, Dubai")</f>
        <v>Dubai&gt;Al Qusais&gt;Al Qusais Residential Area&gt;Al Qusais 1&gt;American International School, Al Qusais, Dubai</v>
      </c>
      <c r="E10970" s="2"/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2"/>
      <c r="T10970" s="2"/>
      <c r="U10970" s="2"/>
      <c r="V10970" s="2"/>
      <c r="W10970" s="2"/>
      <c r="X10970" s="2"/>
      <c r="Y10970" s="2"/>
      <c r="Z10970" s="2"/>
    </row>
    <row r="10971" spans="1:26" ht="16.5" x14ac:dyDescent="0.35">
      <c r="A10971" s="2" t="str">
        <f ca="1">IFERROR(__xludf.DUMMYFUNCTION("""COMPUTED_VALUE"""),"Dubai")</f>
        <v>Dubai</v>
      </c>
      <c r="B10971" s="2" t="str">
        <f ca="1">IFERROR(__xludf.DUMMYFUNCTION("""COMPUTED_VALUE"""),"Rainbow Residence 7")</f>
        <v>Rainbow Residence 7</v>
      </c>
      <c r="C10971" s="2" t="str">
        <f ca="1">IFERROR(__xludf.DUMMYFUNCTION("""COMPUTED_VALUE"""),"Building")</f>
        <v>Building</v>
      </c>
      <c r="D10971" s="2" t="str">
        <f ca="1">IFERROR(__xludf.DUMMYFUNCTION("""COMPUTED_VALUE"""),"Dubai&gt;Al Qusais&gt;Al Qusais Residential Area&gt;Al Qusais 1&gt;Rainbow Residences&gt;Rainbow Residence 7")</f>
        <v>Dubai&gt;Al Qusais&gt;Al Qusais Residential Area&gt;Al Qusais 1&gt;Rainbow Residences&gt;Rainbow Residence 7</v>
      </c>
      <c r="E10971" s="2"/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2"/>
      <c r="T10971" s="2"/>
      <c r="U10971" s="2"/>
      <c r="V10971" s="2"/>
      <c r="W10971" s="2"/>
      <c r="X10971" s="2"/>
      <c r="Y10971" s="2"/>
      <c r="Z10971" s="2"/>
    </row>
    <row r="10972" spans="1:26" ht="16.5" x14ac:dyDescent="0.35">
      <c r="A10972" s="2" t="str">
        <f ca="1">IFERROR(__xludf.DUMMYFUNCTION("""COMPUTED_VALUE"""),"Dubai")</f>
        <v>Dubai</v>
      </c>
      <c r="B10972" s="2" t="str">
        <f ca="1">IFERROR(__xludf.DUMMYFUNCTION("""COMPUTED_VALUE"""),"Wasl Village")</f>
        <v>Wasl Village</v>
      </c>
      <c r="C10972" s="2" t="str">
        <f ca="1">IFERROR(__xludf.DUMMYFUNCTION("""COMPUTED_VALUE"""),"Neighbourhood")</f>
        <v>Neighbourhood</v>
      </c>
      <c r="D10972" s="2" t="str">
        <f ca="1">IFERROR(__xludf.DUMMYFUNCTION("""COMPUTED_VALUE"""),"Dubai&gt;Al Qusais&gt;Al Qusais Industrial Area&gt;Al Qusais Industrial 5&gt;Wasl Village")</f>
        <v>Dubai&gt;Al Qusais&gt;Al Qusais Industrial Area&gt;Al Qusais Industrial 5&gt;Wasl Village</v>
      </c>
      <c r="E10972" s="2"/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2"/>
      <c r="T10972" s="2"/>
      <c r="U10972" s="2"/>
      <c r="V10972" s="2"/>
      <c r="W10972" s="2"/>
      <c r="X10972" s="2"/>
      <c r="Y10972" s="2"/>
      <c r="Z10972" s="2"/>
    </row>
    <row r="10973" spans="1:26" ht="16.5" x14ac:dyDescent="0.35">
      <c r="A10973" s="2" t="str">
        <f ca="1">IFERROR(__xludf.DUMMYFUNCTION("""COMPUTED_VALUE"""),"Dubai")</f>
        <v>Dubai</v>
      </c>
      <c r="B10973" s="2" t="str">
        <f ca="1">IFERROR(__xludf.DUMMYFUNCTION("""COMPUTED_VALUE"""),"Kings School Al Barsha")</f>
        <v>Kings School Al Barsha</v>
      </c>
      <c r="C10973" s="2" t="str">
        <f ca="1">IFERROR(__xludf.DUMMYFUNCTION("""COMPUTED_VALUE"""),"School")</f>
        <v>School</v>
      </c>
      <c r="D10973" s="2" t="str">
        <f ca="1">IFERROR(__xludf.DUMMYFUNCTION("""COMPUTED_VALUE"""),"Dubai&gt;Dubai Hills Estate&gt;Kings School Al Barsha")</f>
        <v>Dubai&gt;Dubai Hills Estate&gt;Kings School Al Barsha</v>
      </c>
      <c r="E10973" s="2"/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2"/>
      <c r="T10973" s="2"/>
      <c r="U10973" s="2"/>
      <c r="V10973" s="2"/>
      <c r="W10973" s="2"/>
      <c r="X10973" s="2"/>
      <c r="Y10973" s="2"/>
      <c r="Z10973" s="2"/>
    </row>
    <row r="10974" spans="1:26" ht="16.5" x14ac:dyDescent="0.35">
      <c r="A10974" s="2" t="str">
        <f ca="1">IFERROR(__xludf.DUMMYFUNCTION("""COMPUTED_VALUE"""),"Dubai")</f>
        <v>Dubai</v>
      </c>
      <c r="B10974" s="2" t="str">
        <f ca="1">IFERROR(__xludf.DUMMYFUNCTION("""COMPUTED_VALUE"""),"Hyde Residences")</f>
        <v>Hyde Residences</v>
      </c>
      <c r="C10974" s="2" t="str">
        <f ca="1">IFERROR(__xludf.DUMMYFUNCTION("""COMPUTED_VALUE"""),"Building")</f>
        <v>Building</v>
      </c>
      <c r="D10974" s="2" t="str">
        <f ca="1">IFERROR(__xludf.DUMMYFUNCTION("""COMPUTED_VALUE"""),"Dubai&gt;Dubai Hills Estate&gt;Park Heights&gt;Hyde Residences")</f>
        <v>Dubai&gt;Dubai Hills Estate&gt;Park Heights&gt;Hyde Residences</v>
      </c>
      <c r="E10974" s="2"/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2"/>
      <c r="T10974" s="2"/>
      <c r="U10974" s="2"/>
      <c r="V10974" s="2"/>
      <c r="W10974" s="2"/>
      <c r="X10974" s="2"/>
      <c r="Y10974" s="2"/>
      <c r="Z10974" s="2"/>
    </row>
    <row r="10975" spans="1:26" ht="16.5" x14ac:dyDescent="0.35">
      <c r="A10975" s="2" t="str">
        <f ca="1">IFERROR(__xludf.DUMMYFUNCTION("""COMPUTED_VALUE"""),"Dubai")</f>
        <v>Dubai</v>
      </c>
      <c r="B10975" s="2" t="str">
        <f ca="1">IFERROR(__xludf.DUMMYFUNCTION("""COMPUTED_VALUE"""),"Maple 2")</f>
        <v>Maple 2</v>
      </c>
      <c r="C10975" s="2" t="str">
        <f ca="1">IFERROR(__xludf.DUMMYFUNCTION("""COMPUTED_VALUE"""),"Neighbourhood")</f>
        <v>Neighbourhood</v>
      </c>
      <c r="D10975" s="2" t="str">
        <f ca="1">IFERROR(__xludf.DUMMYFUNCTION("""COMPUTED_VALUE"""),"Dubai&gt;Dubai Hills Estate&gt;Maple&gt;Maple 2")</f>
        <v>Dubai&gt;Dubai Hills Estate&gt;Maple&gt;Maple 2</v>
      </c>
      <c r="E10975" s="2"/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2"/>
      <c r="T10975" s="2"/>
      <c r="U10975" s="2"/>
      <c r="V10975" s="2"/>
      <c r="W10975" s="2"/>
      <c r="X10975" s="2"/>
      <c r="Y10975" s="2"/>
      <c r="Z10975" s="2"/>
    </row>
    <row r="10976" spans="1:26" ht="16.5" x14ac:dyDescent="0.35">
      <c r="A10976" s="2" t="str">
        <f ca="1">IFERROR(__xludf.DUMMYFUNCTION("""COMPUTED_VALUE"""),"Dubai")</f>
        <v>Dubai</v>
      </c>
      <c r="B10976" s="2" t="str">
        <f ca="1">IFERROR(__xludf.DUMMYFUNCTION("""COMPUTED_VALUE"""),"399 Hills Park A")</f>
        <v>399 Hills Park A</v>
      </c>
      <c r="C10976" s="2" t="str">
        <f ca="1">IFERROR(__xludf.DUMMYFUNCTION("""COMPUTED_VALUE"""),"Building")</f>
        <v>Building</v>
      </c>
      <c r="D10976" s="2" t="str">
        <f ca="1">IFERROR(__xludf.DUMMYFUNCTION("""COMPUTED_VALUE"""),"Dubai&gt;Dubai Hills Estate&gt;399 Hills Park&gt;399 Hills Park A")</f>
        <v>Dubai&gt;Dubai Hills Estate&gt;399 Hills Park&gt;399 Hills Park A</v>
      </c>
      <c r="E10976" s="2"/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2"/>
      <c r="U10976" s="2"/>
      <c r="V10976" s="2"/>
      <c r="W10976" s="2"/>
      <c r="X10976" s="2"/>
      <c r="Y10976" s="2"/>
      <c r="Z10976" s="2"/>
    </row>
    <row r="10977" spans="1:26" ht="16.5" x14ac:dyDescent="0.35">
      <c r="A10977" s="2" t="str">
        <f ca="1">IFERROR(__xludf.DUMMYFUNCTION("""COMPUTED_VALUE"""),"Dubai")</f>
        <v>Dubai</v>
      </c>
      <c r="B10977" s="2" t="str">
        <f ca="1">IFERROR(__xludf.DUMMYFUNCTION("""COMPUTED_VALUE"""),"Club Place")</f>
        <v>Club Place</v>
      </c>
      <c r="C10977" s="2" t="str">
        <f ca="1">IFERROR(__xludf.DUMMYFUNCTION("""COMPUTED_VALUE"""),"Cluster")</f>
        <v>Cluster</v>
      </c>
      <c r="D10977" s="2" t="str">
        <f ca="1">IFERROR(__xludf.DUMMYFUNCTION("""COMPUTED_VALUE"""),"Dubai&gt;Dubai Hills Estate&gt;Club Place")</f>
        <v>Dubai&gt;Dubai Hills Estate&gt;Club Place</v>
      </c>
      <c r="E10977" s="2"/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2"/>
      <c r="T10977" s="2"/>
      <c r="U10977" s="2"/>
      <c r="V10977" s="2"/>
      <c r="W10977" s="2"/>
      <c r="X10977" s="2"/>
      <c r="Y10977" s="2"/>
      <c r="Z10977" s="2"/>
    </row>
    <row r="10978" spans="1:26" ht="16.5" x14ac:dyDescent="0.35">
      <c r="A10978" s="2" t="str">
        <f ca="1">IFERROR(__xludf.DUMMYFUNCTION("""COMPUTED_VALUE"""),"Dubai")</f>
        <v>Dubai</v>
      </c>
      <c r="B10978" s="2" t="str">
        <f ca="1">IFERROR(__xludf.DUMMYFUNCTION("""COMPUTED_VALUE"""),"Dar Al Muraqqabat")</f>
        <v>Dar Al Muraqqabat</v>
      </c>
      <c r="C10978" s="2" t="str">
        <f ca="1">IFERROR(__xludf.DUMMYFUNCTION("""COMPUTED_VALUE"""),"Building")</f>
        <v>Building</v>
      </c>
      <c r="D10978" s="2" t="str">
        <f ca="1">IFERROR(__xludf.DUMMYFUNCTION("""COMPUTED_VALUE"""),"Dubai&gt;Deira&gt;Al Muraqqabat&gt;Dar Al Muraqqabat")</f>
        <v>Dubai&gt;Deira&gt;Al Muraqqabat&gt;Dar Al Muraqqabat</v>
      </c>
      <c r="E10978" s="2"/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2"/>
      <c r="T10978" s="2"/>
      <c r="U10978" s="2"/>
      <c r="V10978" s="2"/>
      <c r="W10978" s="2"/>
      <c r="X10978" s="2"/>
      <c r="Y10978" s="2"/>
      <c r="Z10978" s="2"/>
    </row>
    <row r="10979" spans="1:26" ht="16.5" x14ac:dyDescent="0.35">
      <c r="A10979" s="2" t="str">
        <f ca="1">IFERROR(__xludf.DUMMYFUNCTION("""COMPUTED_VALUE"""),"Dubai")</f>
        <v>Dubai</v>
      </c>
      <c r="B10979" s="2" t="str">
        <f ca="1">IFERROR(__xludf.DUMMYFUNCTION("""COMPUTED_VALUE"""),"Al Murqabat 268")</f>
        <v>Al Murqabat 268</v>
      </c>
      <c r="C10979" s="2" t="str">
        <f ca="1">IFERROR(__xludf.DUMMYFUNCTION("""COMPUTED_VALUE"""),"Building")</f>
        <v>Building</v>
      </c>
      <c r="D10979" s="2" t="str">
        <f ca="1">IFERROR(__xludf.DUMMYFUNCTION("""COMPUTED_VALUE"""),"Dubai&gt;Deira&gt;Al Muraqqabat&gt;Al Murqabat 268")</f>
        <v>Dubai&gt;Deira&gt;Al Muraqqabat&gt;Al Murqabat 268</v>
      </c>
      <c r="E10979" s="2"/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2"/>
      <c r="T10979" s="2"/>
      <c r="U10979" s="2"/>
      <c r="V10979" s="2"/>
      <c r="W10979" s="2"/>
      <c r="X10979" s="2"/>
      <c r="Y10979" s="2"/>
      <c r="Z10979" s="2"/>
    </row>
    <row r="10980" spans="1:26" ht="16.5" x14ac:dyDescent="0.35">
      <c r="A10980" s="2" t="str">
        <f ca="1">IFERROR(__xludf.DUMMYFUNCTION("""COMPUTED_VALUE"""),"Dubai")</f>
        <v>Dubai</v>
      </c>
      <c r="B10980" s="2" t="str">
        <f ca="1">IFERROR(__xludf.DUMMYFUNCTION("""COMPUTED_VALUE"""),"Al Masraf Tower")</f>
        <v>Al Masraf Tower</v>
      </c>
      <c r="C10980" s="2" t="str">
        <f ca="1">IFERROR(__xludf.DUMMYFUNCTION("""COMPUTED_VALUE"""),"Building")</f>
        <v>Building</v>
      </c>
      <c r="D10980" s="2" t="str">
        <f ca="1">IFERROR(__xludf.DUMMYFUNCTION("""COMPUTED_VALUE"""),"Dubai&gt;Deira&gt;Riggat Al Buteen&gt;Al Masraf Tower")</f>
        <v>Dubai&gt;Deira&gt;Riggat Al Buteen&gt;Al Masraf Tower</v>
      </c>
      <c r="E10980" s="2"/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2"/>
      <c r="T10980" s="2"/>
      <c r="U10980" s="2"/>
      <c r="V10980" s="2"/>
      <c r="W10980" s="2"/>
      <c r="X10980" s="2"/>
      <c r="Y10980" s="2"/>
      <c r="Z10980" s="2"/>
    </row>
    <row r="10981" spans="1:26" ht="16.5" x14ac:dyDescent="0.35">
      <c r="A10981" s="2" t="str">
        <f ca="1">IFERROR(__xludf.DUMMYFUNCTION("""COMPUTED_VALUE"""),"Dubai")</f>
        <v>Dubai</v>
      </c>
      <c r="B10981" s="2" t="str">
        <f ca="1">IFERROR(__xludf.DUMMYFUNCTION("""COMPUTED_VALUE"""),"Mohamed Saeed Building")</f>
        <v>Mohamed Saeed Building</v>
      </c>
      <c r="C10981" s="2" t="str">
        <f ca="1">IFERROR(__xludf.DUMMYFUNCTION("""COMPUTED_VALUE"""),"Building")</f>
        <v>Building</v>
      </c>
      <c r="D10981" s="2" t="str">
        <f ca="1">IFERROR(__xludf.DUMMYFUNCTION("""COMPUTED_VALUE"""),"Dubai&gt;Deira&gt;Hor Al Anz&gt;Mohamed Saeed Building")</f>
        <v>Dubai&gt;Deira&gt;Hor Al Anz&gt;Mohamed Saeed Building</v>
      </c>
      <c r="E10981" s="2"/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2"/>
      <c r="T10981" s="2"/>
      <c r="U10981" s="2"/>
      <c r="V10981" s="2"/>
      <c r="W10981" s="2"/>
      <c r="X10981" s="2"/>
      <c r="Y10981" s="2"/>
      <c r="Z10981" s="2"/>
    </row>
    <row r="10982" spans="1:26" ht="16.5" x14ac:dyDescent="0.35">
      <c r="A10982" s="2" t="str">
        <f ca="1">IFERROR(__xludf.DUMMYFUNCTION("""COMPUTED_VALUE"""),"Dubai")</f>
        <v>Dubai</v>
      </c>
      <c r="B10982" s="2" t="str">
        <f ca="1">IFERROR(__xludf.DUMMYFUNCTION("""COMPUTED_VALUE"""),"Jscom Grand Residence")</f>
        <v>Jscom Grand Residence</v>
      </c>
      <c r="C10982" s="2" t="str">
        <f ca="1">IFERROR(__xludf.DUMMYFUNCTION("""COMPUTED_VALUE"""),"Building")</f>
        <v>Building</v>
      </c>
      <c r="D10982" s="2" t="str">
        <f ca="1">IFERROR(__xludf.DUMMYFUNCTION("""COMPUTED_VALUE"""),"Dubai&gt;Deira&gt;Hor Al Anz&gt;Hor Al Anz East&gt;Jscom Grand Residence")</f>
        <v>Dubai&gt;Deira&gt;Hor Al Anz&gt;Hor Al Anz East&gt;Jscom Grand Residence</v>
      </c>
      <c r="E10982" s="2"/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2"/>
      <c r="T10982" s="2"/>
      <c r="U10982" s="2"/>
      <c r="V10982" s="2"/>
      <c r="W10982" s="2"/>
      <c r="X10982" s="2"/>
      <c r="Y10982" s="2"/>
      <c r="Z10982" s="2"/>
    </row>
    <row r="10983" spans="1:26" ht="16.5" x14ac:dyDescent="0.35">
      <c r="A10983" s="2" t="str">
        <f ca="1">IFERROR(__xludf.DUMMYFUNCTION("""COMPUTED_VALUE"""),"Dubai")</f>
        <v>Dubai</v>
      </c>
      <c r="B10983" s="2" t="str">
        <f ca="1">IFERROR(__xludf.DUMMYFUNCTION("""COMPUTED_VALUE"""),"Burj Nahar Building")</f>
        <v>Burj Nahar Building</v>
      </c>
      <c r="C10983" s="2" t="str">
        <f ca="1">IFERROR(__xludf.DUMMYFUNCTION("""COMPUTED_VALUE"""),"Building")</f>
        <v>Building</v>
      </c>
      <c r="D10983" s="2" t="str">
        <f ca="1">IFERROR(__xludf.DUMMYFUNCTION("""COMPUTED_VALUE"""),"Dubai&gt;Deira&gt;Al Muteena&gt;Burj Nahar Building")</f>
        <v>Dubai&gt;Deira&gt;Al Muteena&gt;Burj Nahar Building</v>
      </c>
      <c r="E10983" s="2"/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  <c r="V10983" s="2"/>
      <c r="W10983" s="2"/>
      <c r="X10983" s="2"/>
      <c r="Y10983" s="2"/>
      <c r="Z10983" s="2"/>
    </row>
    <row r="10984" spans="1:26" ht="16.5" x14ac:dyDescent="0.35">
      <c r="A10984" s="2" t="str">
        <f ca="1">IFERROR(__xludf.DUMMYFUNCTION("""COMPUTED_VALUE"""),"Dubai")</f>
        <v>Dubai</v>
      </c>
      <c r="B10984" s="2" t="str">
        <f ca="1">IFERROR(__xludf.DUMMYFUNCTION("""COMPUTED_VALUE"""),"Nasser Building")</f>
        <v>Nasser Building</v>
      </c>
      <c r="C10984" s="2" t="str">
        <f ca="1">IFERROR(__xludf.DUMMYFUNCTION("""COMPUTED_VALUE"""),"Building")</f>
        <v>Building</v>
      </c>
      <c r="D10984" s="2" t="str">
        <f ca="1">IFERROR(__xludf.DUMMYFUNCTION("""COMPUTED_VALUE"""),"Dubai&gt;Deira&gt;Al Rigga&gt;Nasser Building")</f>
        <v>Dubai&gt;Deira&gt;Al Rigga&gt;Nasser Building</v>
      </c>
      <c r="E10984" s="2"/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2"/>
      <c r="T10984" s="2"/>
      <c r="U10984" s="2"/>
      <c r="V10984" s="2"/>
      <c r="W10984" s="2"/>
      <c r="X10984" s="2"/>
      <c r="Y10984" s="2"/>
      <c r="Z10984" s="2"/>
    </row>
    <row r="10985" spans="1:26" ht="16.5" x14ac:dyDescent="0.35">
      <c r="A10985" s="2" t="str">
        <f ca="1">IFERROR(__xludf.DUMMYFUNCTION("""COMPUTED_VALUE"""),"Dubai")</f>
        <v>Dubai</v>
      </c>
      <c r="B10985" s="2" t="str">
        <f ca="1">IFERROR(__xludf.DUMMYFUNCTION("""COMPUTED_VALUE"""),"Maitha Plaza 1")</f>
        <v>Maitha Plaza 1</v>
      </c>
      <c r="C10985" s="2" t="str">
        <f ca="1">IFERROR(__xludf.DUMMYFUNCTION("""COMPUTED_VALUE"""),"Building")</f>
        <v>Building</v>
      </c>
      <c r="D10985" s="2" t="str">
        <f ca="1">IFERROR(__xludf.DUMMYFUNCTION("""COMPUTED_VALUE"""),"Dubai&gt;Deira&gt;Deira Enrichment Project&gt;Maitha Plaza&gt;Maitha Plaza 1")</f>
        <v>Dubai&gt;Deira&gt;Deira Enrichment Project&gt;Maitha Plaza&gt;Maitha Plaza 1</v>
      </c>
      <c r="E10985" s="2"/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2"/>
      <c r="T10985" s="2"/>
      <c r="U10985" s="2"/>
      <c r="V10985" s="2"/>
      <c r="W10985" s="2"/>
      <c r="X10985" s="2"/>
      <c r="Y10985" s="2"/>
      <c r="Z10985" s="2"/>
    </row>
    <row r="10986" spans="1:26" ht="16.5" x14ac:dyDescent="0.35">
      <c r="A10986" s="2" t="str">
        <f ca="1">IFERROR(__xludf.DUMMYFUNCTION("""COMPUTED_VALUE"""),"Dubai")</f>
        <v>Dubai</v>
      </c>
      <c r="B10986" s="2" t="str">
        <f ca="1">IFERROR(__xludf.DUMMYFUNCTION("""COMPUTED_VALUE"""),"Salah Al Din Road")</f>
        <v>Salah Al Din Road</v>
      </c>
      <c r="C10986" s="2" t="str">
        <f ca="1">IFERROR(__xludf.DUMMYFUNCTION("""COMPUTED_VALUE"""),"Neighbourhood")</f>
        <v>Neighbourhood</v>
      </c>
      <c r="D10986" s="2" t="str">
        <f ca="1">IFERROR(__xludf.DUMMYFUNCTION("""COMPUTED_VALUE"""),"Dubai&gt;Deira&gt;Salah Al Din Road")</f>
        <v>Dubai&gt;Deira&gt;Salah Al Din Road</v>
      </c>
      <c r="E10986" s="2"/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2"/>
      <c r="T10986" s="2"/>
      <c r="U10986" s="2"/>
      <c r="V10986" s="2"/>
      <c r="W10986" s="2"/>
      <c r="X10986" s="2"/>
      <c r="Y10986" s="2"/>
      <c r="Z10986" s="2"/>
    </row>
    <row r="10987" spans="1:26" ht="16.5" x14ac:dyDescent="0.35">
      <c r="A10987" s="2" t="str">
        <f ca="1">IFERROR(__xludf.DUMMYFUNCTION("""COMPUTED_VALUE"""),"Dubai")</f>
        <v>Dubai</v>
      </c>
      <c r="B10987" s="2" t="str">
        <f ca="1">IFERROR(__xludf.DUMMYFUNCTION("""COMPUTED_VALUE"""),"Bin Thani Building")</f>
        <v>Bin Thani Building</v>
      </c>
      <c r="C10987" s="2" t="str">
        <f ca="1">IFERROR(__xludf.DUMMYFUNCTION("""COMPUTED_VALUE"""),"Building")</f>
        <v>Building</v>
      </c>
      <c r="D10987" s="2" t="str">
        <f ca="1">IFERROR(__xludf.DUMMYFUNCTION("""COMPUTED_VALUE"""),"Dubai&gt;Deira&gt;Naif&gt;Bin Thani Building")</f>
        <v>Dubai&gt;Deira&gt;Naif&gt;Bin Thani Building</v>
      </c>
      <c r="E10987" s="2"/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2"/>
      <c r="T10987" s="2"/>
      <c r="U10987" s="2"/>
      <c r="V10987" s="2"/>
      <c r="W10987" s="2"/>
      <c r="X10987" s="2"/>
      <c r="Y10987" s="2"/>
      <c r="Z10987" s="2"/>
    </row>
    <row r="10988" spans="1:26" ht="16.5" x14ac:dyDescent="0.35">
      <c r="A10988" s="2" t="str">
        <f ca="1">IFERROR(__xludf.DUMMYFUNCTION("""COMPUTED_VALUE"""),"Dubai")</f>
        <v>Dubai</v>
      </c>
      <c r="B10988" s="2" t="str">
        <f ca="1">IFERROR(__xludf.DUMMYFUNCTION("""COMPUTED_VALUE"""),"Al Huda Building")</f>
        <v>Al Huda Building</v>
      </c>
      <c r="C10988" s="2" t="str">
        <f ca="1">IFERROR(__xludf.DUMMYFUNCTION("""COMPUTED_VALUE"""),"Building")</f>
        <v>Building</v>
      </c>
      <c r="D10988" s="2" t="str">
        <f ca="1">IFERROR(__xludf.DUMMYFUNCTION("""COMPUTED_VALUE"""),"Dubai&gt;Deira&gt;Al Murar&gt;Al Huda Building")</f>
        <v>Dubai&gt;Deira&gt;Al Murar&gt;Al Huda Building</v>
      </c>
      <c r="E10988" s="2"/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2"/>
      <c r="T10988" s="2"/>
      <c r="U10988" s="2"/>
      <c r="V10988" s="2"/>
      <c r="W10988" s="2"/>
      <c r="X10988" s="2"/>
      <c r="Y10988" s="2"/>
      <c r="Z10988" s="2"/>
    </row>
    <row r="10989" spans="1:26" ht="16.5" x14ac:dyDescent="0.35">
      <c r="A10989" s="2" t="str">
        <f ca="1">IFERROR(__xludf.DUMMYFUNCTION("""COMPUTED_VALUE"""),"Dubai")</f>
        <v>Dubai</v>
      </c>
      <c r="B10989" s="2" t="str">
        <f ca="1">IFERROR(__xludf.DUMMYFUNCTION("""COMPUTED_VALUE"""),"New Deira Building")</f>
        <v>New Deira Building</v>
      </c>
      <c r="C10989" s="2" t="str">
        <f ca="1">IFERROR(__xludf.DUMMYFUNCTION("""COMPUTED_VALUE"""),"Building")</f>
        <v>Building</v>
      </c>
      <c r="D10989" s="2" t="str">
        <f ca="1">IFERROR(__xludf.DUMMYFUNCTION("""COMPUTED_VALUE"""),"Dubai&gt;Deira&gt;Al Buteen&gt;New Deira Building")</f>
        <v>Dubai&gt;Deira&gt;Al Buteen&gt;New Deira Building</v>
      </c>
      <c r="E10989" s="2"/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2"/>
      <c r="T10989" s="2"/>
      <c r="U10989" s="2"/>
      <c r="V10989" s="2"/>
      <c r="W10989" s="2"/>
      <c r="X10989" s="2"/>
      <c r="Y10989" s="2"/>
      <c r="Z10989" s="2"/>
    </row>
    <row r="10990" spans="1:26" ht="16.5" x14ac:dyDescent="0.35">
      <c r="A10990" s="2" t="str">
        <f ca="1">IFERROR(__xludf.DUMMYFUNCTION("""COMPUTED_VALUE"""),"Dubai")</f>
        <v>Dubai</v>
      </c>
      <c r="B10990" s="2" t="str">
        <f ca="1">IFERROR(__xludf.DUMMYFUNCTION("""COMPUTED_VALUE"""),"Al Wahda Building")</f>
        <v>Al Wahda Building</v>
      </c>
      <c r="C10990" s="2" t="str">
        <f ca="1">IFERROR(__xludf.DUMMYFUNCTION("""COMPUTED_VALUE"""),"Building")</f>
        <v>Building</v>
      </c>
      <c r="D10990" s="2" t="str">
        <f ca="1">IFERROR(__xludf.DUMMYFUNCTION("""COMPUTED_VALUE"""),"Dubai&gt;Deira&gt;Port Saeed&gt;Al Wahda Building")</f>
        <v>Dubai&gt;Deira&gt;Port Saeed&gt;Al Wahda Building</v>
      </c>
      <c r="E10990" s="2"/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2"/>
      <c r="T10990" s="2"/>
      <c r="U10990" s="2"/>
      <c r="V10990" s="2"/>
      <c r="W10990" s="2"/>
      <c r="X10990" s="2"/>
      <c r="Y10990" s="2"/>
      <c r="Z10990" s="2"/>
    </row>
    <row r="10991" spans="1:26" ht="16.5" x14ac:dyDescent="0.35">
      <c r="A10991" s="2" t="str">
        <f ca="1">IFERROR(__xludf.DUMMYFUNCTION("""COMPUTED_VALUE"""),"Dubai")</f>
        <v>Dubai</v>
      </c>
      <c r="B10991" s="2" t="str">
        <f ca="1">IFERROR(__xludf.DUMMYFUNCTION("""COMPUTED_VALUE"""),"Jewel of the Creek Tower A4")</f>
        <v>Jewel of the Creek Tower A4</v>
      </c>
      <c r="C10991" s="2" t="str">
        <f ca="1">IFERROR(__xludf.DUMMYFUNCTION("""COMPUTED_VALUE"""),"Building")</f>
        <v>Building</v>
      </c>
      <c r="D10991" s="2" t="str">
        <f ca="1">IFERROR(__xludf.DUMMYFUNCTION("""COMPUTED_VALUE"""),"Dubai&gt;Deira&gt;Port Saeed&gt;Jewel of the Creek&gt;Jewel of the Creek Tower A4")</f>
        <v>Dubai&gt;Deira&gt;Port Saeed&gt;Jewel of the Creek&gt;Jewel of the Creek Tower A4</v>
      </c>
      <c r="E10991" s="2"/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2"/>
      <c r="T10991" s="2"/>
      <c r="U10991" s="2"/>
      <c r="V10991" s="2"/>
      <c r="W10991" s="2"/>
      <c r="X10991" s="2"/>
      <c r="Y10991" s="2"/>
      <c r="Z10991" s="2"/>
    </row>
    <row r="10992" spans="1:26" ht="16.5" x14ac:dyDescent="0.35">
      <c r="A10992" s="2" t="str">
        <f ca="1">IFERROR(__xludf.DUMMYFUNCTION("""COMPUTED_VALUE"""),"Dubai")</f>
        <v>Dubai</v>
      </c>
      <c r="B10992" s="2" t="str">
        <f ca="1">IFERROR(__xludf.DUMMYFUNCTION("""COMPUTED_VALUE"""),"The Executive Bay")</f>
        <v>The Executive Bay</v>
      </c>
      <c r="C10992" s="2" t="str">
        <f ca="1">IFERROR(__xludf.DUMMYFUNCTION("""COMPUTED_VALUE"""),"Cluster")</f>
        <v>Cluster</v>
      </c>
      <c r="D10992" s="2" t="str">
        <f ca="1">IFERROR(__xludf.DUMMYFUNCTION("""COMPUTED_VALUE"""),"Dubai&gt;Business Bay&gt;The Executive Bay")</f>
        <v>Dubai&gt;Business Bay&gt;The Executive Bay</v>
      </c>
      <c r="E10992" s="2"/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2"/>
      <c r="T10992" s="2"/>
      <c r="U10992" s="2"/>
      <c r="V10992" s="2"/>
      <c r="W10992" s="2"/>
      <c r="X10992" s="2"/>
      <c r="Y10992" s="2"/>
      <c r="Z10992" s="2"/>
    </row>
    <row r="10993" spans="1:26" ht="16.5" x14ac:dyDescent="0.35">
      <c r="A10993" s="2" t="str">
        <f ca="1">IFERROR(__xludf.DUMMYFUNCTION("""COMPUTED_VALUE"""),"Dubai")</f>
        <v>Dubai</v>
      </c>
      <c r="B10993" s="2" t="str">
        <f ca="1">IFERROR(__xludf.DUMMYFUNCTION("""COMPUTED_VALUE"""),"Executive Tower H")</f>
        <v>Executive Tower H</v>
      </c>
      <c r="C10993" s="2" t="str">
        <f ca="1">IFERROR(__xludf.DUMMYFUNCTION("""COMPUTED_VALUE"""),"Building")</f>
        <v>Building</v>
      </c>
      <c r="D10993" s="2" t="str">
        <f ca="1">IFERROR(__xludf.DUMMYFUNCTION("""COMPUTED_VALUE"""),"Dubai&gt;Business Bay&gt;Executive Towers&gt;Executive Tower H")</f>
        <v>Dubai&gt;Business Bay&gt;Executive Towers&gt;Executive Tower H</v>
      </c>
      <c r="E10993" s="2"/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2"/>
      <c r="T10993" s="2"/>
      <c r="U10993" s="2"/>
      <c r="V10993" s="2"/>
      <c r="W10993" s="2"/>
      <c r="X10993" s="2"/>
      <c r="Y10993" s="2"/>
      <c r="Z10993" s="2"/>
    </row>
    <row r="10994" spans="1:26" ht="16.5" x14ac:dyDescent="0.35">
      <c r="A10994" s="2" t="str">
        <f ca="1">IFERROR(__xludf.DUMMYFUNCTION("""COMPUTED_VALUE"""),"Dubai")</f>
        <v>Dubai</v>
      </c>
      <c r="B10994" s="2" t="str">
        <f ca="1">IFERROR(__xludf.DUMMYFUNCTION("""COMPUTED_VALUE"""),"Blue Bay")</f>
        <v>Blue Bay</v>
      </c>
      <c r="C10994" s="2" t="str">
        <f ca="1">IFERROR(__xludf.DUMMYFUNCTION("""COMPUTED_VALUE"""),"Building")</f>
        <v>Building</v>
      </c>
      <c r="D10994" s="2" t="str">
        <f ca="1">IFERROR(__xludf.DUMMYFUNCTION("""COMPUTED_VALUE"""),"Dubai&gt;Business Bay&gt;Blue Bay")</f>
        <v>Dubai&gt;Business Bay&gt;Blue Bay</v>
      </c>
      <c r="E10994" s="2"/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2"/>
      <c r="T10994" s="2"/>
      <c r="U10994" s="2"/>
      <c r="V10994" s="2"/>
      <c r="W10994" s="2"/>
      <c r="X10994" s="2"/>
      <c r="Y10994" s="2"/>
      <c r="Z10994" s="2"/>
    </row>
    <row r="10995" spans="1:26" ht="16.5" x14ac:dyDescent="0.35">
      <c r="A10995" s="2" t="str">
        <f ca="1">IFERROR(__xludf.DUMMYFUNCTION("""COMPUTED_VALUE"""),"Dubai")</f>
        <v>Dubai</v>
      </c>
      <c r="B10995" s="2" t="str">
        <f ca="1">IFERROR(__xludf.DUMMYFUNCTION("""COMPUTED_VALUE"""),"Hamilton Residency")</f>
        <v>Hamilton Residency</v>
      </c>
      <c r="C10995" s="2" t="str">
        <f ca="1">IFERROR(__xludf.DUMMYFUNCTION("""COMPUTED_VALUE"""),"Building")</f>
        <v>Building</v>
      </c>
      <c r="D10995" s="2" t="str">
        <f ca="1">IFERROR(__xludf.DUMMYFUNCTION("""COMPUTED_VALUE"""),"Dubai&gt;Business Bay&gt;Hamilton Residency")</f>
        <v>Dubai&gt;Business Bay&gt;Hamilton Residency</v>
      </c>
      <c r="E10995" s="2"/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2"/>
      <c r="T10995" s="2"/>
      <c r="U10995" s="2"/>
      <c r="V10995" s="2"/>
      <c r="W10995" s="2"/>
      <c r="X10995" s="2"/>
      <c r="Y10995" s="2"/>
      <c r="Z10995" s="2"/>
    </row>
    <row r="10996" spans="1:26" ht="16.5" x14ac:dyDescent="0.35">
      <c r="A10996" s="2" t="str">
        <f ca="1">IFERROR(__xludf.DUMMYFUNCTION("""COMPUTED_VALUE"""),"Dubai")</f>
        <v>Dubai</v>
      </c>
      <c r="B10996" s="2" t="str">
        <f ca="1">IFERROR(__xludf.DUMMYFUNCTION("""COMPUTED_VALUE"""),"The Atria Residences")</f>
        <v>The Atria Residences</v>
      </c>
      <c r="C10996" s="2" t="str">
        <f ca="1">IFERROR(__xludf.DUMMYFUNCTION("""COMPUTED_VALUE"""),"Building")</f>
        <v>Building</v>
      </c>
      <c r="D10996" s="2" t="str">
        <f ca="1">IFERROR(__xludf.DUMMYFUNCTION("""COMPUTED_VALUE"""),"Dubai&gt;Business Bay&gt;The Atria&gt;The Atria Residences")</f>
        <v>Dubai&gt;Business Bay&gt;The Atria&gt;The Atria Residences</v>
      </c>
      <c r="E10996" s="2"/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2"/>
      <c r="T10996" s="2"/>
      <c r="U10996" s="2"/>
      <c r="V10996" s="2"/>
      <c r="W10996" s="2"/>
      <c r="X10996" s="2"/>
      <c r="Y10996" s="2"/>
      <c r="Z10996" s="2"/>
    </row>
    <row r="10997" spans="1:26" ht="16.5" x14ac:dyDescent="0.35">
      <c r="A10997" s="2" t="str">
        <f ca="1">IFERROR(__xludf.DUMMYFUNCTION("""COMPUTED_VALUE"""),"Dubai")</f>
        <v>Dubai</v>
      </c>
      <c r="B10997" s="2" t="str">
        <f ca="1">IFERROR(__xludf.DUMMYFUNCTION("""COMPUTED_VALUE"""),"Radisson Blu Hotel Dubai Canal View")</f>
        <v>Radisson Blu Hotel Dubai Canal View</v>
      </c>
      <c r="C10997" s="2" t="str">
        <f ca="1">IFERROR(__xludf.DUMMYFUNCTION("""COMPUTED_VALUE"""),"Building")</f>
        <v>Building</v>
      </c>
      <c r="D10997" s="2" t="str">
        <f ca="1">IFERROR(__xludf.DUMMYFUNCTION("""COMPUTED_VALUE"""),"Dubai&gt;Business Bay&gt;Radisson Blu Hotel Dubai Canal View")</f>
        <v>Dubai&gt;Business Bay&gt;Radisson Blu Hotel Dubai Canal View</v>
      </c>
      <c r="E10997" s="2"/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2"/>
      <c r="T10997" s="2"/>
      <c r="U10997" s="2"/>
      <c r="V10997" s="2"/>
      <c r="W10997" s="2"/>
      <c r="X10997" s="2"/>
      <c r="Y10997" s="2"/>
      <c r="Z10997" s="2"/>
    </row>
    <row r="10998" spans="1:26" ht="16.5" x14ac:dyDescent="0.35">
      <c r="A10998" s="2" t="str">
        <f ca="1">IFERROR(__xludf.DUMMYFUNCTION("""COMPUTED_VALUE"""),"Dubai")</f>
        <v>Dubai</v>
      </c>
      <c r="B10998" s="2" t="str">
        <f ca="1">IFERROR(__xludf.DUMMYFUNCTION("""COMPUTED_VALUE"""),"Mayfair Residency")</f>
        <v>Mayfair Residency</v>
      </c>
      <c r="C10998" s="2" t="str">
        <f ca="1">IFERROR(__xludf.DUMMYFUNCTION("""COMPUTED_VALUE"""),"Building")</f>
        <v>Building</v>
      </c>
      <c r="D10998" s="2" t="str">
        <f ca="1">IFERROR(__xludf.DUMMYFUNCTION("""COMPUTED_VALUE"""),"Dubai&gt;Business Bay&gt;Mayfair Residency")</f>
        <v>Dubai&gt;Business Bay&gt;Mayfair Residency</v>
      </c>
      <c r="E10998" s="2"/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2"/>
      <c r="T10998" s="2"/>
      <c r="U10998" s="2"/>
      <c r="V10998" s="2"/>
      <c r="W10998" s="2"/>
      <c r="X10998" s="2"/>
      <c r="Y10998" s="2"/>
      <c r="Z10998" s="2"/>
    </row>
    <row r="10999" spans="1:26" ht="16.5" x14ac:dyDescent="0.35">
      <c r="A10999" s="2" t="str">
        <f ca="1">IFERROR(__xludf.DUMMYFUNCTION("""COMPUTED_VALUE"""),"Dubai")</f>
        <v>Dubai</v>
      </c>
      <c r="B10999" s="2" t="str">
        <f ca="1">IFERROR(__xludf.DUMMYFUNCTION("""COMPUTED_VALUE"""),"The Podium Simplexes at Peninsula One")</f>
        <v>The Podium Simplexes at Peninsula One</v>
      </c>
      <c r="C10999" s="2" t="str">
        <f ca="1">IFERROR(__xludf.DUMMYFUNCTION("""COMPUTED_VALUE"""),"Building")</f>
        <v>Building</v>
      </c>
      <c r="D10999" s="2" t="str">
        <f ca="1">IFERROR(__xludf.DUMMYFUNCTION("""COMPUTED_VALUE"""),"Dubai&gt;Business Bay&gt;The Podium Simplexes at Peninsula One")</f>
        <v>Dubai&gt;Business Bay&gt;The Podium Simplexes at Peninsula One</v>
      </c>
      <c r="E10999" s="2"/>
      <c r="F10999" s="2"/>
      <c r="G10999" s="2"/>
      <c r="H10999" s="2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2"/>
      <c r="T10999" s="2"/>
      <c r="U10999" s="2"/>
      <c r="V10999" s="2"/>
      <c r="W10999" s="2"/>
      <c r="X10999" s="2"/>
      <c r="Y10999" s="2"/>
      <c r="Z10999" s="2"/>
    </row>
    <row r="11000" spans="1:26" ht="16.5" x14ac:dyDescent="0.35">
      <c r="A11000" s="2" t="str">
        <f ca="1">IFERROR(__xludf.DUMMYFUNCTION("""COMPUTED_VALUE"""),"Dubai")</f>
        <v>Dubai</v>
      </c>
      <c r="B11000" s="2" t="str">
        <f ca="1">IFERROR(__xludf.DUMMYFUNCTION("""COMPUTED_VALUE"""),"Enara by Omniyat")</f>
        <v>Enara by Omniyat</v>
      </c>
      <c r="C11000" s="2" t="str">
        <f ca="1">IFERROR(__xludf.DUMMYFUNCTION("""COMPUTED_VALUE"""),"Building")</f>
        <v>Building</v>
      </c>
      <c r="D11000" s="2" t="str">
        <f ca="1">IFERROR(__xludf.DUMMYFUNCTION("""COMPUTED_VALUE"""),"Dubai&gt;Business Bay&gt;Enara by Omniyat")</f>
        <v>Dubai&gt;Business Bay&gt;Enara by Omniyat</v>
      </c>
      <c r="E11000" s="2"/>
      <c r="F11000" s="2"/>
      <c r="G11000" s="2"/>
      <c r="H11000" s="2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2"/>
      <c r="T11000" s="2"/>
      <c r="U11000" s="2"/>
      <c r="V11000" s="2"/>
      <c r="W11000" s="2"/>
      <c r="X11000" s="2"/>
      <c r="Y11000" s="2"/>
      <c r="Z11000" s="2"/>
    </row>
    <row r="11001" spans="1:26" ht="16.5" x14ac:dyDescent="0.35">
      <c r="A11001" s="2" t="str">
        <f ca="1">IFERROR(__xludf.DUMMYFUNCTION("""COMPUTED_VALUE"""),"Dubai")</f>
        <v>Dubai</v>
      </c>
      <c r="B11001" s="2" t="str">
        <f ca="1">IFERROR(__xludf.DUMMYFUNCTION("""COMPUTED_VALUE"""),"Warsan 2")</f>
        <v>Warsan 2</v>
      </c>
      <c r="C11001" s="2" t="str">
        <f ca="1">IFERROR(__xludf.DUMMYFUNCTION("""COMPUTED_VALUE"""),"Neighbourhood")</f>
        <v>Neighbourhood</v>
      </c>
      <c r="D11001" s="2" t="str">
        <f ca="1">IFERROR(__xludf.DUMMYFUNCTION("""COMPUTED_VALUE"""),"Dubai&gt;Al Warsan&gt;Warsan 2")</f>
        <v>Dubai&gt;Al Warsan&gt;Warsan 2</v>
      </c>
      <c r="E11001" s="2"/>
      <c r="F11001" s="2"/>
      <c r="G11001" s="2"/>
      <c r="H11001" s="2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2"/>
      <c r="T11001" s="2"/>
      <c r="U11001" s="2"/>
      <c r="V11001" s="2"/>
      <c r="W11001" s="2"/>
      <c r="X11001" s="2"/>
      <c r="Y11001" s="2"/>
      <c r="Z11001" s="2"/>
    </row>
    <row r="11002" spans="1:26" ht="16.5" x14ac:dyDescent="0.35">
      <c r="A11002" s="2" t="str">
        <f ca="1">IFERROR(__xludf.DUMMYFUNCTION("""COMPUTED_VALUE"""),"Dubai")</f>
        <v>Dubai</v>
      </c>
      <c r="B11002" s="2" t="str">
        <f ca="1">IFERROR(__xludf.DUMMYFUNCTION("""COMPUTED_VALUE"""),"District 8I")</f>
        <v>District 8I</v>
      </c>
      <c r="C11002" s="2" t="str">
        <f ca="1">IFERROR(__xludf.DUMMYFUNCTION("""COMPUTED_VALUE"""),"Neighbourhood")</f>
        <v>Neighbourhood</v>
      </c>
      <c r="D11002" s="2" t="str">
        <f ca="1">IFERROR(__xludf.DUMMYFUNCTION("""COMPUTED_VALUE"""),"Dubai&gt;Jumeirah Village Triangle (JVT)&gt;JVT District 8&gt;District 8I")</f>
        <v>Dubai&gt;Jumeirah Village Triangle (JVT)&gt;JVT District 8&gt;District 8I</v>
      </c>
      <c r="E11002" s="2"/>
      <c r="F11002" s="2"/>
      <c r="G11002" s="2"/>
      <c r="H11002" s="2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2"/>
      <c r="T11002" s="2"/>
      <c r="U11002" s="2"/>
      <c r="V11002" s="2"/>
      <c r="W11002" s="2"/>
      <c r="X11002" s="2"/>
      <c r="Y11002" s="2"/>
      <c r="Z11002" s="2"/>
    </row>
    <row r="11003" spans="1:26" ht="16.5" x14ac:dyDescent="0.35">
      <c r="A11003" s="2" t="str">
        <f ca="1">IFERROR(__xludf.DUMMYFUNCTION("""COMPUTED_VALUE"""),"Dubai")</f>
        <v>Dubai</v>
      </c>
      <c r="B11003" s="2" t="str">
        <f ca="1">IFERROR(__xludf.DUMMYFUNCTION("""COMPUTED_VALUE"""),"Plazzo Residence")</f>
        <v>Plazzo Residence</v>
      </c>
      <c r="C11003" s="2" t="str">
        <f ca="1">IFERROR(__xludf.DUMMYFUNCTION("""COMPUTED_VALUE"""),"Building")</f>
        <v>Building</v>
      </c>
      <c r="D11003" s="2" t="str">
        <f ca="1">IFERROR(__xludf.DUMMYFUNCTION("""COMPUTED_VALUE"""),"Dubai&gt;Jumeirah Village Triangle (JVT)&gt;JVT District 2&gt;Plazzo Residence")</f>
        <v>Dubai&gt;Jumeirah Village Triangle (JVT)&gt;JVT District 2&gt;Plazzo Residence</v>
      </c>
      <c r="E11003" s="2"/>
      <c r="F11003" s="2"/>
      <c r="G11003" s="2"/>
      <c r="H11003" s="2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2"/>
      <c r="T11003" s="2"/>
      <c r="U11003" s="2"/>
      <c r="V11003" s="2"/>
      <c r="W11003" s="2"/>
      <c r="X11003" s="2"/>
      <c r="Y11003" s="2"/>
      <c r="Z11003" s="2"/>
    </row>
    <row r="11004" spans="1:26" ht="16.5" x14ac:dyDescent="0.35">
      <c r="A11004" s="2" t="str">
        <f ca="1">IFERROR(__xludf.DUMMYFUNCTION("""COMPUTED_VALUE"""),"Dubai")</f>
        <v>Dubai</v>
      </c>
      <c r="B11004" s="2" t="str">
        <f ca="1">IFERROR(__xludf.DUMMYFUNCTION("""COMPUTED_VALUE"""),"The One")</f>
        <v>The One</v>
      </c>
      <c r="C11004" s="2" t="str">
        <f ca="1">IFERROR(__xludf.DUMMYFUNCTION("""COMPUTED_VALUE"""),"Building")</f>
        <v>Building</v>
      </c>
      <c r="D11004" s="2" t="str">
        <f ca="1">IFERROR(__xludf.DUMMYFUNCTION("""COMPUTED_VALUE"""),"Dubai&gt;Jumeirah Village Triangle (JVT)&gt;JVT District 7&gt;The One")</f>
        <v>Dubai&gt;Jumeirah Village Triangle (JVT)&gt;JVT District 7&gt;The One</v>
      </c>
      <c r="E11004" s="2"/>
      <c r="F11004" s="2"/>
      <c r="G11004" s="2"/>
      <c r="H11004" s="2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2"/>
      <c r="T11004" s="2"/>
      <c r="U11004" s="2"/>
      <c r="V11004" s="2"/>
      <c r="W11004" s="2"/>
      <c r="X11004" s="2"/>
      <c r="Y11004" s="2"/>
      <c r="Z11004" s="2"/>
    </row>
    <row r="11005" spans="1:26" ht="16.5" x14ac:dyDescent="0.35">
      <c r="A11005" s="2" t="str">
        <f ca="1">IFERROR(__xludf.DUMMYFUNCTION("""COMPUTED_VALUE"""),"Dubai")</f>
        <v>Dubai</v>
      </c>
      <c r="B11005" s="2" t="str">
        <f ca="1">IFERROR(__xludf.DUMMYFUNCTION("""COMPUTED_VALUE"""),"Sol Levante")</f>
        <v>Sol Levante</v>
      </c>
      <c r="C11005" s="2" t="str">
        <f ca="1">IFERROR(__xludf.DUMMYFUNCTION("""COMPUTED_VALUE"""),"Building")</f>
        <v>Building</v>
      </c>
      <c r="D11005" s="2" t="str">
        <f ca="1">IFERROR(__xludf.DUMMYFUNCTION("""COMPUTED_VALUE"""),"Dubai&gt;Jumeirah Village Triangle (JVT)&gt;JVT District 1&gt;Sol Levante")</f>
        <v>Dubai&gt;Jumeirah Village Triangle (JVT)&gt;JVT District 1&gt;Sol Levante</v>
      </c>
      <c r="E11005" s="2"/>
      <c r="F11005" s="2"/>
      <c r="G11005" s="2"/>
      <c r="H11005" s="2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2"/>
      <c r="T11005" s="2"/>
      <c r="U11005" s="2"/>
      <c r="V11005" s="2"/>
      <c r="W11005" s="2"/>
      <c r="X11005" s="2"/>
      <c r="Y11005" s="2"/>
      <c r="Z11005" s="2"/>
    </row>
    <row r="11006" spans="1:26" ht="16.5" x14ac:dyDescent="0.35">
      <c r="A11006" s="2" t="str">
        <f ca="1">IFERROR(__xludf.DUMMYFUNCTION("""COMPUTED_VALUE"""),"Dubai")</f>
        <v>Dubai</v>
      </c>
      <c r="B11006" s="2" t="str">
        <f ca="1">IFERROR(__xludf.DUMMYFUNCTION("""COMPUTED_VALUE"""),"Green Park")</f>
        <v>Green Park</v>
      </c>
      <c r="C11006" s="2" t="str">
        <f ca="1">IFERROR(__xludf.DUMMYFUNCTION("""COMPUTED_VALUE"""),"Building")</f>
        <v>Building</v>
      </c>
      <c r="D11006" s="2" t="str">
        <f ca="1">IFERROR(__xludf.DUMMYFUNCTION("""COMPUTED_VALUE"""),"Dubai&gt;Jumeirah Village Triangle (JVT)&gt;JVT District 4&gt;Green Park")</f>
        <v>Dubai&gt;Jumeirah Village Triangle (JVT)&gt;JVT District 4&gt;Green Park</v>
      </c>
      <c r="E11006" s="2"/>
      <c r="F11006" s="2"/>
      <c r="G11006" s="2"/>
      <c r="H11006" s="2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2"/>
      <c r="T11006" s="2"/>
      <c r="U11006" s="2"/>
      <c r="V11006" s="2"/>
      <c r="W11006" s="2"/>
      <c r="X11006" s="2"/>
      <c r="Y11006" s="2"/>
      <c r="Z11006" s="2"/>
    </row>
    <row r="11007" spans="1:26" ht="16.5" x14ac:dyDescent="0.35">
      <c r="A11007" s="2" t="str">
        <f ca="1">IFERROR(__xludf.DUMMYFUNCTION("""COMPUTED_VALUE"""),"Dubai")</f>
        <v>Dubai</v>
      </c>
      <c r="B11007" s="2" t="str">
        <f ca="1">IFERROR(__xludf.DUMMYFUNCTION("""COMPUTED_VALUE"""),"Al Ramth 08")</f>
        <v>Al Ramth 08</v>
      </c>
      <c r="C11007" s="2" t="str">
        <f ca="1">IFERROR(__xludf.DUMMYFUNCTION("""COMPUTED_VALUE"""),"Building")</f>
        <v>Building</v>
      </c>
      <c r="D11007" s="2" t="str">
        <f ca="1">IFERROR(__xludf.DUMMYFUNCTION("""COMPUTED_VALUE"""),"Dubai&gt;Remraam&gt;Al Ramth&gt;Al Ramth 08")</f>
        <v>Dubai&gt;Remraam&gt;Al Ramth&gt;Al Ramth 08</v>
      </c>
      <c r="E11007" s="2"/>
      <c r="F11007" s="2"/>
      <c r="G11007" s="2"/>
      <c r="H11007" s="2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2"/>
      <c r="T11007" s="2"/>
      <c r="U11007" s="2"/>
      <c r="V11007" s="2"/>
      <c r="W11007" s="2"/>
      <c r="X11007" s="2"/>
      <c r="Y11007" s="2"/>
      <c r="Z11007" s="2"/>
    </row>
    <row r="11008" spans="1:26" ht="16.5" x14ac:dyDescent="0.35">
      <c r="A11008" s="2" t="str">
        <f ca="1">IFERROR(__xludf.DUMMYFUNCTION("""COMPUTED_VALUE"""),"Dubai")</f>
        <v>Dubai</v>
      </c>
      <c r="B11008" s="2" t="str">
        <f ca="1">IFERROR(__xludf.DUMMYFUNCTION("""COMPUTED_VALUE"""),"Al Ramth 04")</f>
        <v>Al Ramth 04</v>
      </c>
      <c r="C11008" s="2" t="str">
        <f ca="1">IFERROR(__xludf.DUMMYFUNCTION("""COMPUTED_VALUE"""),"Building")</f>
        <v>Building</v>
      </c>
      <c r="D11008" s="2" t="str">
        <f ca="1">IFERROR(__xludf.DUMMYFUNCTION("""COMPUTED_VALUE"""),"Dubai&gt;Remraam&gt;Al Ramth&gt;Al Ramth 04")</f>
        <v>Dubai&gt;Remraam&gt;Al Ramth&gt;Al Ramth 04</v>
      </c>
      <c r="E11008" s="2"/>
      <c r="F11008" s="2"/>
      <c r="G11008" s="2"/>
      <c r="H11008" s="2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2"/>
      <c r="T11008" s="2"/>
      <c r="U11008" s="2"/>
      <c r="V11008" s="2"/>
      <c r="W11008" s="2"/>
      <c r="X11008" s="2"/>
      <c r="Y11008" s="2"/>
      <c r="Z11008" s="2"/>
    </row>
    <row r="11009" spans="1:26" ht="16.5" x14ac:dyDescent="0.35">
      <c r="A11009" s="2" t="str">
        <f ca="1">IFERROR(__xludf.DUMMYFUNCTION("""COMPUTED_VALUE"""),"Dubai")</f>
        <v>Dubai</v>
      </c>
      <c r="B11009" s="2" t="str">
        <f ca="1">IFERROR(__xludf.DUMMYFUNCTION("""COMPUTED_VALUE"""),"Al Thamam 16")</f>
        <v>Al Thamam 16</v>
      </c>
      <c r="C11009" s="2" t="str">
        <f ca="1">IFERROR(__xludf.DUMMYFUNCTION("""COMPUTED_VALUE"""),"Building")</f>
        <v>Building</v>
      </c>
      <c r="D11009" s="2" t="str">
        <f ca="1">IFERROR(__xludf.DUMMYFUNCTION("""COMPUTED_VALUE"""),"Dubai&gt;Remraam&gt;Al Thamam&gt;Al Thamam 16")</f>
        <v>Dubai&gt;Remraam&gt;Al Thamam&gt;Al Thamam 16</v>
      </c>
      <c r="E11009" s="2"/>
      <c r="F11009" s="2"/>
      <c r="G11009" s="2"/>
      <c r="H11009" s="2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2"/>
      <c r="T11009" s="2"/>
      <c r="U11009" s="2"/>
      <c r="V11009" s="2"/>
      <c r="W11009" s="2"/>
      <c r="X11009" s="2"/>
      <c r="Y11009" s="2"/>
      <c r="Z11009" s="2"/>
    </row>
    <row r="11010" spans="1:26" ht="16.5" x14ac:dyDescent="0.35">
      <c r="A11010" s="2" t="str">
        <f ca="1">IFERROR(__xludf.DUMMYFUNCTION("""COMPUTED_VALUE"""),"Dubai")</f>
        <v>Dubai</v>
      </c>
      <c r="B11010" s="2" t="str">
        <f ca="1">IFERROR(__xludf.DUMMYFUNCTION("""COMPUTED_VALUE"""),"Lana Tower")</f>
        <v>Lana Tower</v>
      </c>
      <c r="C11010" s="2" t="str">
        <f ca="1">IFERROR(__xludf.DUMMYFUNCTION("""COMPUTED_VALUE"""),"Building")</f>
        <v>Building</v>
      </c>
      <c r="D11010" s="2" t="str">
        <f ca="1">IFERROR(__xludf.DUMMYFUNCTION("""COMPUTED_VALUE"""),"Dubai&gt;Jumeirah Village Circle (JVC)&gt;JVC District 17&gt;Lana Tower")</f>
        <v>Dubai&gt;Jumeirah Village Circle (JVC)&gt;JVC District 17&gt;Lana Tower</v>
      </c>
      <c r="E11010" s="2"/>
      <c r="F11010" s="2"/>
      <c r="G11010" s="2"/>
      <c r="H11010" s="2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2"/>
      <c r="T11010" s="2"/>
      <c r="U11010" s="2"/>
      <c r="V11010" s="2"/>
      <c r="W11010" s="2"/>
      <c r="X11010" s="2"/>
      <c r="Y11010" s="2"/>
      <c r="Z11010" s="2"/>
    </row>
    <row r="11011" spans="1:26" ht="16.5" x14ac:dyDescent="0.35">
      <c r="A11011" s="2" t="str">
        <f ca="1">IFERROR(__xludf.DUMMYFUNCTION("""COMPUTED_VALUE"""),"Dubai")</f>
        <v>Dubai</v>
      </c>
      <c r="B11011" s="2" t="str">
        <f ca="1">IFERROR(__xludf.DUMMYFUNCTION("""COMPUTED_VALUE"""),"Central Park Tower")</f>
        <v>Central Park Tower</v>
      </c>
      <c r="C11011" s="2" t="str">
        <f ca="1">IFERROR(__xludf.DUMMYFUNCTION("""COMPUTED_VALUE"""),"Building")</f>
        <v>Building</v>
      </c>
      <c r="D11011" s="2" t="str">
        <f ca="1">IFERROR(__xludf.DUMMYFUNCTION("""COMPUTED_VALUE"""),"Dubai&gt;Jumeirah Village Circle (JVC)&gt;JVC District 12&gt;Central Park Tower")</f>
        <v>Dubai&gt;Jumeirah Village Circle (JVC)&gt;JVC District 12&gt;Central Park Tower</v>
      </c>
      <c r="E11011" s="2"/>
      <c r="F11011" s="2"/>
      <c r="G11011" s="2"/>
      <c r="H11011" s="2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2"/>
      <c r="T11011" s="2"/>
      <c r="U11011" s="2"/>
      <c r="V11011" s="2"/>
      <c r="W11011" s="2"/>
      <c r="X11011" s="2"/>
      <c r="Y11011" s="2"/>
      <c r="Z11011" s="2"/>
    </row>
    <row r="11012" spans="1:26" ht="16.5" x14ac:dyDescent="0.35">
      <c r="A11012" s="2" t="str">
        <f ca="1">IFERROR(__xludf.DUMMYFUNCTION("""COMPUTED_VALUE"""),"Dubai")</f>
        <v>Dubai</v>
      </c>
      <c r="B11012" s="2" t="str">
        <f ca="1">IFERROR(__xludf.DUMMYFUNCTION("""COMPUTED_VALUE"""),"Aayah Residences")</f>
        <v>Aayah Residences</v>
      </c>
      <c r="C11012" s="2" t="str">
        <f ca="1">IFERROR(__xludf.DUMMYFUNCTION("""COMPUTED_VALUE"""),"Building")</f>
        <v>Building</v>
      </c>
      <c r="D11012" s="2" t="str">
        <f ca="1">IFERROR(__xludf.DUMMYFUNCTION("""COMPUTED_VALUE"""),"Dubai&gt;Jumeirah Village Circle (JVC)&gt;JVC District 12&gt;Aayah Residences")</f>
        <v>Dubai&gt;Jumeirah Village Circle (JVC)&gt;JVC District 12&gt;Aayah Residences</v>
      </c>
      <c r="E11012" s="2"/>
      <c r="F11012" s="2"/>
      <c r="G11012" s="2"/>
      <c r="H11012" s="2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2"/>
      <c r="T11012" s="2"/>
      <c r="U11012" s="2"/>
      <c r="V11012" s="2"/>
      <c r="W11012" s="2"/>
      <c r="X11012" s="2"/>
      <c r="Y11012" s="2"/>
      <c r="Z11012" s="2"/>
    </row>
    <row r="11013" spans="1:26" ht="16.5" x14ac:dyDescent="0.35">
      <c r="A11013" s="2" t="str">
        <f ca="1">IFERROR(__xludf.DUMMYFUNCTION("""COMPUTED_VALUE"""),"Dubai")</f>
        <v>Dubai</v>
      </c>
      <c r="B11013" s="2" t="str">
        <f ca="1">IFERROR(__xludf.DUMMYFUNCTION("""COMPUTED_VALUE"""),"Pearl House 2")</f>
        <v>Pearl House 2</v>
      </c>
      <c r="C11013" s="2" t="str">
        <f ca="1">IFERROR(__xludf.DUMMYFUNCTION("""COMPUTED_VALUE"""),"Building")</f>
        <v>Building</v>
      </c>
      <c r="D11013" s="2" t="str">
        <f ca="1">IFERROR(__xludf.DUMMYFUNCTION("""COMPUTED_VALUE"""),"Dubai&gt;Jumeirah Village Circle (JVC)&gt;JVC District 12&gt;Pearl House 2")</f>
        <v>Dubai&gt;Jumeirah Village Circle (JVC)&gt;JVC District 12&gt;Pearl House 2</v>
      </c>
      <c r="E11013" s="2"/>
      <c r="F11013" s="2"/>
      <c r="G11013" s="2"/>
      <c r="H11013" s="2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2"/>
      <c r="T11013" s="2"/>
      <c r="U11013" s="2"/>
      <c r="V11013" s="2"/>
      <c r="W11013" s="2"/>
      <c r="X11013" s="2"/>
      <c r="Y11013" s="2"/>
      <c r="Z11013" s="2"/>
    </row>
    <row r="11014" spans="1:26" ht="16.5" x14ac:dyDescent="0.35">
      <c r="A11014" s="2" t="str">
        <f ca="1">IFERROR(__xludf.DUMMYFUNCTION("""COMPUTED_VALUE"""),"Dubai")</f>
        <v>Dubai</v>
      </c>
      <c r="B11014" s="2" t="str">
        <f ca="1">IFERROR(__xludf.DUMMYFUNCTION("""COMPUTED_VALUE"""),"South Residences")</f>
        <v>South Residences</v>
      </c>
      <c r="C11014" s="2" t="str">
        <f ca="1">IFERROR(__xludf.DUMMYFUNCTION("""COMPUTED_VALUE"""),"Building")</f>
        <v>Building</v>
      </c>
      <c r="D11014" s="2" t="str">
        <f ca="1">IFERROR(__xludf.DUMMYFUNCTION("""COMPUTED_VALUE"""),"Dubai&gt;Jumeirah Village Circle (JVC)&gt;JVC District 13&gt;South Residences")</f>
        <v>Dubai&gt;Jumeirah Village Circle (JVC)&gt;JVC District 13&gt;South Residences</v>
      </c>
      <c r="E11014" s="2"/>
      <c r="F11014" s="2"/>
      <c r="G11014" s="2"/>
      <c r="H11014" s="2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2"/>
      <c r="T11014" s="2"/>
      <c r="U11014" s="2"/>
      <c r="V11014" s="2"/>
      <c r="W11014" s="2"/>
      <c r="X11014" s="2"/>
      <c r="Y11014" s="2"/>
      <c r="Z11014" s="2"/>
    </row>
    <row r="11015" spans="1:26" ht="16.5" x14ac:dyDescent="0.35">
      <c r="A11015" s="2" t="str">
        <f ca="1">IFERROR(__xludf.DUMMYFUNCTION("""COMPUTED_VALUE"""),"Dubai")</f>
        <v>Dubai</v>
      </c>
      <c r="B11015" s="2" t="str">
        <f ca="1">IFERROR(__xludf.DUMMYFUNCTION("""COMPUTED_VALUE"""),"Cappadocia")</f>
        <v>Cappadocia</v>
      </c>
      <c r="C11015" s="2" t="str">
        <f ca="1">IFERROR(__xludf.DUMMYFUNCTION("""COMPUTED_VALUE"""),"Building")</f>
        <v>Building</v>
      </c>
      <c r="D11015" s="2" t="str">
        <f ca="1">IFERROR(__xludf.DUMMYFUNCTION("""COMPUTED_VALUE"""),"Dubai&gt;Jumeirah Village Circle (JVC)&gt;JVC District 13&gt;Cappadocia")</f>
        <v>Dubai&gt;Jumeirah Village Circle (JVC)&gt;JVC District 13&gt;Cappadocia</v>
      </c>
      <c r="E11015" s="2"/>
      <c r="F11015" s="2"/>
      <c r="G11015" s="2"/>
      <c r="H11015" s="2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2"/>
      <c r="T11015" s="2"/>
      <c r="U11015" s="2"/>
      <c r="V11015" s="2"/>
      <c r="W11015" s="2"/>
      <c r="X11015" s="2"/>
      <c r="Y11015" s="2"/>
      <c r="Z11015" s="2"/>
    </row>
    <row r="11016" spans="1:26" ht="16.5" x14ac:dyDescent="0.35">
      <c r="A11016" s="2" t="str">
        <f ca="1">IFERROR(__xludf.DUMMYFUNCTION("""COMPUTED_VALUE"""),"Dubai")</f>
        <v>Dubai</v>
      </c>
      <c r="B11016" s="2" t="str">
        <f ca="1">IFERROR(__xludf.DUMMYFUNCTION("""COMPUTED_VALUE"""),"105 Residences by Kamdar")</f>
        <v>105 Residences by Kamdar</v>
      </c>
      <c r="C11016" s="2" t="str">
        <f ca="1">IFERROR(__xludf.DUMMYFUNCTION("""COMPUTED_VALUE"""),"Building")</f>
        <v>Building</v>
      </c>
      <c r="D11016" s="2" t="str">
        <f ca="1">IFERROR(__xludf.DUMMYFUNCTION("""COMPUTED_VALUE"""),"Dubai&gt;Jumeirah Village Circle (JVC)&gt;JVC District 13&gt;105 Residences by Kamdar")</f>
        <v>Dubai&gt;Jumeirah Village Circle (JVC)&gt;JVC District 13&gt;105 Residences by Kamdar</v>
      </c>
      <c r="E11016" s="2"/>
      <c r="F11016" s="2"/>
      <c r="G11016" s="2"/>
      <c r="H11016" s="2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2"/>
      <c r="T11016" s="2"/>
      <c r="U11016" s="2"/>
      <c r="V11016" s="2"/>
      <c r="W11016" s="2"/>
      <c r="X11016" s="2"/>
      <c r="Y11016" s="2"/>
      <c r="Z11016" s="2"/>
    </row>
    <row r="11017" spans="1:26" ht="16.5" x14ac:dyDescent="0.35">
      <c r="A11017" s="2" t="str">
        <f ca="1">IFERROR(__xludf.DUMMYFUNCTION("""COMPUTED_VALUE"""),"Dubai")</f>
        <v>Dubai</v>
      </c>
      <c r="B11017" s="2" t="str">
        <f ca="1">IFERROR(__xludf.DUMMYFUNCTION("""COMPUTED_VALUE"""),"Cello Residences Tower B")</f>
        <v>Cello Residences Tower B</v>
      </c>
      <c r="C11017" s="2" t="str">
        <f ca="1">IFERROR(__xludf.DUMMYFUNCTION("""COMPUTED_VALUE"""),"Building")</f>
        <v>Building</v>
      </c>
      <c r="D11017" s="2" t="str">
        <f ca="1">IFERROR(__xludf.DUMMYFUNCTION("""COMPUTED_VALUE"""),"Dubai&gt;Jumeirah Village Circle (JVC)&gt;JVC District 18&gt;Cello Residences&gt;Cello Residences Tower B")</f>
        <v>Dubai&gt;Jumeirah Village Circle (JVC)&gt;JVC District 18&gt;Cello Residences&gt;Cello Residences Tower B</v>
      </c>
      <c r="E11017" s="2"/>
      <c r="F11017" s="2"/>
      <c r="G11017" s="2"/>
      <c r="H11017" s="2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2"/>
      <c r="T11017" s="2"/>
      <c r="U11017" s="2"/>
      <c r="V11017" s="2"/>
      <c r="W11017" s="2"/>
      <c r="X11017" s="2"/>
      <c r="Y11017" s="2"/>
      <c r="Z11017" s="2"/>
    </row>
    <row r="11018" spans="1:26" ht="16.5" x14ac:dyDescent="0.35">
      <c r="A11018" s="2" t="str">
        <f ca="1">IFERROR(__xludf.DUMMYFUNCTION("""COMPUTED_VALUE"""),"Dubai")</f>
        <v>Dubai</v>
      </c>
      <c r="B11018" s="2" t="str">
        <f ca="1">IFERROR(__xludf.DUMMYFUNCTION("""COMPUTED_VALUE"""),"Binghatti Mirage")</f>
        <v>Binghatti Mirage</v>
      </c>
      <c r="C11018" s="2" t="str">
        <f ca="1">IFERROR(__xludf.DUMMYFUNCTION("""COMPUTED_VALUE"""),"Building")</f>
        <v>Building</v>
      </c>
      <c r="D11018" s="2" t="str">
        <f ca="1">IFERROR(__xludf.DUMMYFUNCTION("""COMPUTED_VALUE"""),"Dubai&gt;Jumeirah Village Circle (JVC)&gt;JVC District 10&gt;Binghatti Mirage")</f>
        <v>Dubai&gt;Jumeirah Village Circle (JVC)&gt;JVC District 10&gt;Binghatti Mirage</v>
      </c>
      <c r="E11018" s="2"/>
      <c r="F11018" s="2"/>
      <c r="G11018" s="2"/>
      <c r="H11018" s="2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2"/>
      <c r="T11018" s="2"/>
      <c r="U11018" s="2"/>
      <c r="V11018" s="2"/>
      <c r="W11018" s="2"/>
      <c r="X11018" s="2"/>
      <c r="Y11018" s="2"/>
      <c r="Z11018" s="2"/>
    </row>
    <row r="11019" spans="1:26" ht="16.5" x14ac:dyDescent="0.35">
      <c r="A11019" s="2" t="str">
        <f ca="1">IFERROR(__xludf.DUMMYFUNCTION("""COMPUTED_VALUE"""),"Dubai")</f>
        <v>Dubai</v>
      </c>
      <c r="B11019" s="2" t="str">
        <f ca="1">IFERROR(__xludf.DUMMYFUNCTION("""COMPUTED_VALUE"""),"Arezzo")</f>
        <v>Arezzo</v>
      </c>
      <c r="C11019" s="2" t="str">
        <f ca="1">IFERROR(__xludf.DUMMYFUNCTION("""COMPUTED_VALUE"""),"Cluster")</f>
        <v>Cluster</v>
      </c>
      <c r="D11019" s="2" t="str">
        <f ca="1">IFERROR(__xludf.DUMMYFUNCTION("""COMPUTED_VALUE"""),"Dubai&gt;Jumeirah Village Circle (JVC)&gt;JVC District 10&gt;Tuscan Residence&gt;Arezzo")</f>
        <v>Dubai&gt;Jumeirah Village Circle (JVC)&gt;JVC District 10&gt;Tuscan Residence&gt;Arezzo</v>
      </c>
      <c r="E11019" s="2"/>
      <c r="F11019" s="2"/>
      <c r="G11019" s="2"/>
      <c r="H11019" s="2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2"/>
      <c r="T11019" s="2"/>
      <c r="U11019" s="2"/>
      <c r="V11019" s="2"/>
      <c r="W11019" s="2"/>
      <c r="X11019" s="2"/>
      <c r="Y11019" s="2"/>
      <c r="Z11019" s="2"/>
    </row>
    <row r="11020" spans="1:26" ht="16.5" x14ac:dyDescent="0.35">
      <c r="A11020" s="2" t="str">
        <f ca="1">IFERROR(__xludf.DUMMYFUNCTION("""COMPUTED_VALUE"""),"Dubai")</f>
        <v>Dubai</v>
      </c>
      <c r="B11020" s="2" t="str">
        <f ca="1">IFERROR(__xludf.DUMMYFUNCTION("""COMPUTED_VALUE"""),"Lucky 2 Residence")</f>
        <v>Lucky 2 Residence</v>
      </c>
      <c r="C11020" s="2" t="str">
        <f ca="1">IFERROR(__xludf.DUMMYFUNCTION("""COMPUTED_VALUE"""),"Building")</f>
        <v>Building</v>
      </c>
      <c r="D11020" s="2" t="str">
        <f ca="1">IFERROR(__xludf.DUMMYFUNCTION("""COMPUTED_VALUE"""),"Dubai&gt;Jumeirah Village Circle (JVC)&gt;JVC District 10&gt;Lucky 2 Residence")</f>
        <v>Dubai&gt;Jumeirah Village Circle (JVC)&gt;JVC District 10&gt;Lucky 2 Residence</v>
      </c>
      <c r="E11020" s="2"/>
      <c r="F11020" s="2"/>
      <c r="G11020" s="2"/>
      <c r="H11020" s="2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2"/>
      <c r="T11020" s="2"/>
      <c r="U11020" s="2"/>
      <c r="V11020" s="2"/>
      <c r="W11020" s="2"/>
      <c r="X11020" s="2"/>
      <c r="Y11020" s="2"/>
      <c r="Z11020" s="2"/>
    </row>
    <row r="11021" spans="1:26" ht="16.5" x14ac:dyDescent="0.35">
      <c r="A11021" s="2" t="str">
        <f ca="1">IFERROR(__xludf.DUMMYFUNCTION("""COMPUTED_VALUE"""),"Dubai")</f>
        <v>Dubai</v>
      </c>
      <c r="B11021" s="2" t="str">
        <f ca="1">IFERROR(__xludf.DUMMYFUNCTION("""COMPUTED_VALUE"""),"The Veranda Collection 2")</f>
        <v>The Veranda Collection 2</v>
      </c>
      <c r="C11021" s="2" t="str">
        <f ca="1">IFERROR(__xludf.DUMMYFUNCTION("""COMPUTED_VALUE"""),"Neighbourhood")</f>
        <v>Neighbourhood</v>
      </c>
      <c r="D11021" s="2" t="str">
        <f ca="1">IFERROR(__xludf.DUMMYFUNCTION("""COMPUTED_VALUE"""),"Dubai&gt;Jumeirah Village Circle (JVC)&gt;JVC District 10&gt;The Veranda Collection 2")</f>
        <v>Dubai&gt;Jumeirah Village Circle (JVC)&gt;JVC District 10&gt;The Veranda Collection 2</v>
      </c>
      <c r="E11021" s="2"/>
      <c r="F11021" s="2"/>
      <c r="G11021" s="2"/>
      <c r="H11021" s="2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2"/>
      <c r="T11021" s="2"/>
      <c r="U11021" s="2"/>
      <c r="V11021" s="2"/>
      <c r="W11021" s="2"/>
      <c r="X11021" s="2"/>
      <c r="Y11021" s="2"/>
      <c r="Z11021" s="2"/>
    </row>
    <row r="11022" spans="1:26" ht="16.5" x14ac:dyDescent="0.35">
      <c r="A11022" s="2" t="str">
        <f ca="1">IFERROR(__xludf.DUMMYFUNCTION("""COMPUTED_VALUE"""),"Dubai")</f>
        <v>Dubai</v>
      </c>
      <c r="B11022" s="2" t="str">
        <f ca="1">IFERROR(__xludf.DUMMYFUNCTION("""COMPUTED_VALUE"""),"Binghatti Ruby")</f>
        <v>Binghatti Ruby</v>
      </c>
      <c r="C11022" s="2" t="str">
        <f ca="1">IFERROR(__xludf.DUMMYFUNCTION("""COMPUTED_VALUE"""),"Building")</f>
        <v>Building</v>
      </c>
      <c r="D11022" s="2" t="str">
        <f ca="1">IFERROR(__xludf.DUMMYFUNCTION("""COMPUTED_VALUE"""),"Dubai&gt;Jumeirah Village Circle (JVC)&gt;JVC District 16&gt;Binghatti Ruby")</f>
        <v>Dubai&gt;Jumeirah Village Circle (JVC)&gt;JVC District 16&gt;Binghatti Ruby</v>
      </c>
      <c r="E11022" s="2"/>
      <c r="F11022" s="2"/>
      <c r="G11022" s="2"/>
      <c r="H11022" s="2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2"/>
      <c r="T11022" s="2"/>
      <c r="U11022" s="2"/>
      <c r="V11022" s="2"/>
      <c r="W11022" s="2"/>
      <c r="X11022" s="2"/>
      <c r="Y11022" s="2"/>
      <c r="Z11022" s="2"/>
    </row>
    <row r="11023" spans="1:26" ht="16.5" x14ac:dyDescent="0.35">
      <c r="A11023" s="2" t="str">
        <f ca="1">IFERROR(__xludf.DUMMYFUNCTION("""COMPUTED_VALUE"""),"Dubai")</f>
        <v>Dubai</v>
      </c>
      <c r="B11023" s="2" t="str">
        <f ca="1">IFERROR(__xludf.DUMMYFUNCTION("""COMPUTED_VALUE"""),"Bachour Villas")</f>
        <v>Bachour Villas</v>
      </c>
      <c r="C11023" s="2" t="str">
        <f ca="1">IFERROR(__xludf.DUMMYFUNCTION("""COMPUTED_VALUE"""),"Neighbourhood")</f>
        <v>Neighbourhood</v>
      </c>
      <c r="D11023" s="2" t="str">
        <f ca="1">IFERROR(__xludf.DUMMYFUNCTION("""COMPUTED_VALUE"""),"Dubai&gt;Jumeirah Village Circle (JVC)&gt;JVC District 15&gt;Bachour Villas")</f>
        <v>Dubai&gt;Jumeirah Village Circle (JVC)&gt;JVC District 15&gt;Bachour Villas</v>
      </c>
      <c r="E11023" s="2"/>
      <c r="F11023" s="2"/>
      <c r="G11023" s="2"/>
      <c r="H11023" s="2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2"/>
      <c r="T11023" s="2"/>
      <c r="U11023" s="2"/>
      <c r="V11023" s="2"/>
      <c r="W11023" s="2"/>
      <c r="X11023" s="2"/>
      <c r="Y11023" s="2"/>
      <c r="Z11023" s="2"/>
    </row>
    <row r="11024" spans="1:26" ht="16.5" x14ac:dyDescent="0.35">
      <c r="A11024" s="2" t="str">
        <f ca="1">IFERROR(__xludf.DUMMYFUNCTION("""COMPUTED_VALUE"""),"Dubai")</f>
        <v>Dubai</v>
      </c>
      <c r="B11024" s="2" t="str">
        <f ca="1">IFERROR(__xludf.DUMMYFUNCTION("""COMPUTED_VALUE"""),"Belle Reve by Zimaya")</f>
        <v>Belle Reve by Zimaya</v>
      </c>
      <c r="C11024" s="2" t="str">
        <f ca="1">IFERROR(__xludf.DUMMYFUNCTION("""COMPUTED_VALUE"""),"Building")</f>
        <v>Building</v>
      </c>
      <c r="D11024" s="2" t="str">
        <f ca="1">IFERROR(__xludf.DUMMYFUNCTION("""COMPUTED_VALUE"""),"Dubai&gt;Jumeirah Village Circle (JVC)&gt;JVC District 15&gt;Belle Reve by Zimaya")</f>
        <v>Dubai&gt;Jumeirah Village Circle (JVC)&gt;JVC District 15&gt;Belle Reve by Zimaya</v>
      </c>
      <c r="E11024" s="2"/>
      <c r="F11024" s="2"/>
      <c r="G11024" s="2"/>
      <c r="H11024" s="2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2"/>
      <c r="T11024" s="2"/>
      <c r="U11024" s="2"/>
      <c r="V11024" s="2"/>
      <c r="W11024" s="2"/>
      <c r="X11024" s="2"/>
      <c r="Y11024" s="2"/>
      <c r="Z11024" s="2"/>
    </row>
    <row r="11025" spans="1:26" ht="16.5" x14ac:dyDescent="0.35">
      <c r="A11025" s="2" t="str">
        <f ca="1">IFERROR(__xludf.DUMMYFUNCTION("""COMPUTED_VALUE"""),"Dubai")</f>
        <v>Dubai</v>
      </c>
      <c r="B11025" s="2" t="str">
        <f ca="1">IFERROR(__xludf.DUMMYFUNCTION("""COMPUTED_VALUE"""),"Olive Residence")</f>
        <v>Olive Residence</v>
      </c>
      <c r="C11025" s="2" t="str">
        <f ca="1">IFERROR(__xludf.DUMMYFUNCTION("""COMPUTED_VALUE"""),"Building")</f>
        <v>Building</v>
      </c>
      <c r="D11025" s="2" t="str">
        <f ca="1">IFERROR(__xludf.DUMMYFUNCTION("""COMPUTED_VALUE"""),"Dubai&gt;Jumeirah Village Circle (JVC)&gt;JVC District 11&gt;Olive Residence")</f>
        <v>Dubai&gt;Jumeirah Village Circle (JVC)&gt;JVC District 11&gt;Olive Residence</v>
      </c>
      <c r="E11025" s="2"/>
      <c r="F11025" s="2"/>
      <c r="G11025" s="2"/>
      <c r="H11025" s="2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2"/>
      <c r="T11025" s="2"/>
      <c r="U11025" s="2"/>
      <c r="V11025" s="2"/>
      <c r="W11025" s="2"/>
      <c r="X11025" s="2"/>
      <c r="Y11025" s="2"/>
      <c r="Z11025" s="2"/>
    </row>
    <row r="11026" spans="1:26" ht="16.5" x14ac:dyDescent="0.35">
      <c r="A11026" s="2" t="str">
        <f ca="1">IFERROR(__xludf.DUMMYFUNCTION("""COMPUTED_VALUE"""),"Dubai")</f>
        <v>Dubai</v>
      </c>
      <c r="B11026" s="2" t="str">
        <f ca="1">IFERROR(__xludf.DUMMYFUNCTION("""COMPUTED_VALUE"""),"Maimoon Gardens")</f>
        <v>Maimoon Gardens</v>
      </c>
      <c r="C11026" s="2" t="str">
        <f ca="1">IFERROR(__xludf.DUMMYFUNCTION("""COMPUTED_VALUE"""),"Cluster")</f>
        <v>Cluster</v>
      </c>
      <c r="D11026" s="2" t="str">
        <f ca="1">IFERROR(__xludf.DUMMYFUNCTION("""COMPUTED_VALUE"""),"Dubai&gt;Jumeirah Village Circle (JVC)&gt;JVC District 11&gt;Maimoon Gardens")</f>
        <v>Dubai&gt;Jumeirah Village Circle (JVC)&gt;JVC District 11&gt;Maimoon Gardens</v>
      </c>
      <c r="E11026" s="2"/>
      <c r="F11026" s="2"/>
      <c r="G11026" s="2"/>
      <c r="H11026" s="2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2"/>
      <c r="T11026" s="2"/>
      <c r="U11026" s="2"/>
      <c r="V11026" s="2"/>
      <c r="W11026" s="2"/>
      <c r="X11026" s="2"/>
      <c r="Y11026" s="2"/>
      <c r="Z11026" s="2"/>
    </row>
    <row r="11027" spans="1:26" ht="16.5" x14ac:dyDescent="0.35">
      <c r="A11027" s="2" t="str">
        <f ca="1">IFERROR(__xludf.DUMMYFUNCTION("""COMPUTED_VALUE"""),"Dubai")</f>
        <v>Dubai</v>
      </c>
      <c r="B11027" s="2" t="str">
        <f ca="1">IFERROR(__xludf.DUMMYFUNCTION("""COMPUTED_VALUE"""),"Pearl House III by Imtiaz")</f>
        <v>Pearl House III by Imtiaz</v>
      </c>
      <c r="C11027" s="2" t="str">
        <f ca="1">IFERROR(__xludf.DUMMYFUNCTION("""COMPUTED_VALUE"""),"Building")</f>
        <v>Building</v>
      </c>
      <c r="D11027" s="2" t="str">
        <f ca="1">IFERROR(__xludf.DUMMYFUNCTION("""COMPUTED_VALUE"""),"Dubai&gt;Jumeirah Village Circle (JVC)&gt;JVC District 11&gt;Pearl House III by Imtiaz")</f>
        <v>Dubai&gt;Jumeirah Village Circle (JVC)&gt;JVC District 11&gt;Pearl House III by Imtiaz</v>
      </c>
      <c r="E11027" s="2"/>
      <c r="F11027" s="2"/>
      <c r="G11027" s="2"/>
      <c r="H11027" s="2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2"/>
      <c r="T11027" s="2"/>
      <c r="U11027" s="2"/>
      <c r="V11027" s="2"/>
      <c r="W11027" s="2"/>
      <c r="X11027" s="2"/>
      <c r="Y11027" s="2"/>
      <c r="Z11027" s="2"/>
    </row>
    <row r="11028" spans="1:26" ht="16.5" x14ac:dyDescent="0.35">
      <c r="A11028" s="2" t="str">
        <f ca="1">IFERROR(__xludf.DUMMYFUNCTION("""COMPUTED_VALUE"""),"Dubai")</f>
        <v>Dubai</v>
      </c>
      <c r="B11028" s="2" t="str">
        <f ca="1">IFERROR(__xludf.DUMMYFUNCTION("""COMPUTED_VALUE"""),"Emirates Gardens 2")</f>
        <v>Emirates Gardens 2</v>
      </c>
      <c r="C11028" s="2" t="str">
        <f ca="1">IFERROR(__xludf.DUMMYFUNCTION("""COMPUTED_VALUE"""),"Cluster")</f>
        <v>Cluster</v>
      </c>
      <c r="D11028" s="2" t="str">
        <f ca="1">IFERROR(__xludf.DUMMYFUNCTION("""COMPUTED_VALUE"""),"Dubai&gt;Jumeirah Village Circle (JVC)&gt;JVC District 14&gt;Emirates Gardens 2")</f>
        <v>Dubai&gt;Jumeirah Village Circle (JVC)&gt;JVC District 14&gt;Emirates Gardens 2</v>
      </c>
      <c r="E11028" s="2"/>
      <c r="F11028" s="2"/>
      <c r="G11028" s="2"/>
      <c r="H11028" s="2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2"/>
      <c r="T11028" s="2"/>
      <c r="U11028" s="2"/>
      <c r="V11028" s="2"/>
      <c r="W11028" s="2"/>
      <c r="X11028" s="2"/>
      <c r="Y11028" s="2"/>
      <c r="Z11028" s="2"/>
    </row>
    <row r="11029" spans="1:26" ht="16.5" x14ac:dyDescent="0.35">
      <c r="A11029" s="2" t="str">
        <f ca="1">IFERROR(__xludf.DUMMYFUNCTION("""COMPUTED_VALUE"""),"Dubai")</f>
        <v>Dubai</v>
      </c>
      <c r="B11029" s="2" t="str">
        <f ca="1">IFERROR(__xludf.DUMMYFUNCTION("""COMPUTED_VALUE"""),"Shamal Residences 2")</f>
        <v>Shamal Residences 2</v>
      </c>
      <c r="C11029" s="2" t="str">
        <f ca="1">IFERROR(__xludf.DUMMYFUNCTION("""COMPUTED_VALUE"""),"Building")</f>
        <v>Building</v>
      </c>
      <c r="D11029" s="2" t="str">
        <f ca="1">IFERROR(__xludf.DUMMYFUNCTION("""COMPUTED_VALUE"""),"Dubai&gt;Jumeirah Village Circle (JVC)&gt;JVC District 14&gt;Shamal Residences&gt;Shamal Residences 2")</f>
        <v>Dubai&gt;Jumeirah Village Circle (JVC)&gt;JVC District 14&gt;Shamal Residences&gt;Shamal Residences 2</v>
      </c>
      <c r="E11029" s="2"/>
      <c r="F11029" s="2"/>
      <c r="G11029" s="2"/>
      <c r="H11029" s="2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2"/>
      <c r="T11029" s="2"/>
      <c r="U11029" s="2"/>
      <c r="V11029" s="2"/>
      <c r="W11029" s="2"/>
      <c r="X11029" s="2"/>
      <c r="Y11029" s="2"/>
      <c r="Z11029" s="2"/>
    </row>
    <row r="11030" spans="1:26" ht="16.5" x14ac:dyDescent="0.35">
      <c r="A11030" s="2" t="str">
        <f ca="1">IFERROR(__xludf.DUMMYFUNCTION("""COMPUTED_VALUE"""),"Dubai")</f>
        <v>Dubai</v>
      </c>
      <c r="B11030" s="2" t="str">
        <f ca="1">IFERROR(__xludf.DUMMYFUNCTION("""COMPUTED_VALUE"""),"Parkwood Residences")</f>
        <v>Parkwood Residences</v>
      </c>
      <c r="C11030" s="2" t="str">
        <f ca="1">IFERROR(__xludf.DUMMYFUNCTION("""COMPUTED_VALUE"""),"Building")</f>
        <v>Building</v>
      </c>
      <c r="D11030" s="2" t="str">
        <f ca="1">IFERROR(__xludf.DUMMYFUNCTION("""COMPUTED_VALUE"""),"Dubai&gt;Jumeirah Village Circle (JVC)&gt;JVC District 14&gt;Parkwood Residences")</f>
        <v>Dubai&gt;Jumeirah Village Circle (JVC)&gt;JVC District 14&gt;Parkwood Residences</v>
      </c>
      <c r="E11030" s="2"/>
      <c r="F11030" s="2"/>
      <c r="G11030" s="2"/>
      <c r="H11030" s="2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2"/>
      <c r="T11030" s="2"/>
      <c r="U11030" s="2"/>
      <c r="V11030" s="2"/>
      <c r="W11030" s="2"/>
      <c r="X11030" s="2"/>
      <c r="Y11030" s="2"/>
      <c r="Z11030" s="2"/>
    </row>
    <row r="11031" spans="1:26" ht="16.5" x14ac:dyDescent="0.35">
      <c r="A11031" s="2" t="str">
        <f ca="1">IFERROR(__xludf.DUMMYFUNCTION("""COMPUTED_VALUE"""),"Dubai")</f>
        <v>Dubai</v>
      </c>
      <c r="B11031" s="2" t="str">
        <f ca="1">IFERROR(__xludf.DUMMYFUNCTION("""COMPUTED_VALUE"""),"Maya 3")</f>
        <v>Maya 3</v>
      </c>
      <c r="C11031" s="2" t="str">
        <f ca="1">IFERROR(__xludf.DUMMYFUNCTION("""COMPUTED_VALUE"""),"Building")</f>
        <v>Building</v>
      </c>
      <c r="D11031" s="2" t="str">
        <f ca="1">IFERROR(__xludf.DUMMYFUNCTION("""COMPUTED_VALUE"""),"Dubai&gt;Dubai Land Residence Complex&gt;Maya 3")</f>
        <v>Dubai&gt;Dubai Land Residence Complex&gt;Maya 3</v>
      </c>
      <c r="E11031" s="2"/>
      <c r="F11031" s="2"/>
      <c r="G11031" s="2"/>
      <c r="H11031" s="2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2"/>
      <c r="T11031" s="2"/>
      <c r="U11031" s="2"/>
      <c r="V11031" s="2"/>
      <c r="W11031" s="2"/>
      <c r="X11031" s="2"/>
      <c r="Y11031" s="2"/>
      <c r="Z11031" s="2"/>
    </row>
    <row r="11032" spans="1:26" ht="16.5" x14ac:dyDescent="0.35">
      <c r="A11032" s="2" t="str">
        <f ca="1">IFERROR(__xludf.DUMMYFUNCTION("""COMPUTED_VALUE"""),"Dubai")</f>
        <v>Dubai</v>
      </c>
      <c r="B11032" s="2" t="str">
        <f ca="1">IFERROR(__xludf.DUMMYFUNCTION("""COMPUTED_VALUE"""),"Durar B")</f>
        <v>Durar B</v>
      </c>
      <c r="C11032" s="2" t="str">
        <f ca="1">IFERROR(__xludf.DUMMYFUNCTION("""COMPUTED_VALUE"""),"Building")</f>
        <v>Building</v>
      </c>
      <c r="D11032" s="2" t="str">
        <f ca="1">IFERROR(__xludf.DUMMYFUNCTION("""COMPUTED_VALUE"""),"Dubai&gt;Dubai Land Residence Complex&gt;Durar B")</f>
        <v>Dubai&gt;Dubai Land Residence Complex&gt;Durar B</v>
      </c>
      <c r="E11032" s="2"/>
      <c r="F11032" s="2"/>
      <c r="G11032" s="2"/>
      <c r="H11032" s="2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2"/>
      <c r="T11032" s="2"/>
      <c r="U11032" s="2"/>
      <c r="V11032" s="2"/>
      <c r="W11032" s="2"/>
      <c r="X11032" s="2"/>
      <c r="Y11032" s="2"/>
      <c r="Z11032" s="2"/>
    </row>
    <row r="11033" spans="1:26" ht="16.5" x14ac:dyDescent="0.35">
      <c r="A11033" s="2" t="str">
        <f ca="1">IFERROR(__xludf.DUMMYFUNCTION("""COMPUTED_VALUE"""),"Dubai")</f>
        <v>Dubai</v>
      </c>
      <c r="B11033" s="2" t="str">
        <f ca="1">IFERROR(__xludf.DUMMYFUNCTION("""COMPUTED_VALUE"""),"Uninest Student Residences")</f>
        <v>Uninest Student Residences</v>
      </c>
      <c r="C11033" s="2" t="str">
        <f ca="1">IFERROR(__xludf.DUMMYFUNCTION("""COMPUTED_VALUE"""),"Building")</f>
        <v>Building</v>
      </c>
      <c r="D11033" s="2" t="str">
        <f ca="1">IFERROR(__xludf.DUMMYFUNCTION("""COMPUTED_VALUE"""),"Dubai&gt;Dubai Land Residence Complex&gt;Uninest Student Residences")</f>
        <v>Dubai&gt;Dubai Land Residence Complex&gt;Uninest Student Residences</v>
      </c>
      <c r="E11033" s="2"/>
      <c r="F11033" s="2"/>
      <c r="G11033" s="2"/>
      <c r="H11033" s="2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2"/>
      <c r="T11033" s="2"/>
      <c r="U11033" s="2"/>
      <c r="V11033" s="2"/>
      <c r="W11033" s="2"/>
      <c r="X11033" s="2"/>
      <c r="Y11033" s="2"/>
      <c r="Z11033" s="2"/>
    </row>
    <row r="11034" spans="1:26" ht="16.5" x14ac:dyDescent="0.35">
      <c r="A11034" s="2" t="str">
        <f ca="1">IFERROR(__xludf.DUMMYFUNCTION("""COMPUTED_VALUE"""),"Dubai")</f>
        <v>Dubai</v>
      </c>
      <c r="B11034" s="2" t="str">
        <f ca="1">IFERROR(__xludf.DUMMYFUNCTION("""COMPUTED_VALUE"""),"Cove Living Residence by Imtiaz")</f>
        <v>Cove Living Residence by Imtiaz</v>
      </c>
      <c r="C11034" s="2" t="str">
        <f ca="1">IFERROR(__xludf.DUMMYFUNCTION("""COMPUTED_VALUE"""),"Building")</f>
        <v>Building</v>
      </c>
      <c r="D11034" s="2" t="str">
        <f ca="1">IFERROR(__xludf.DUMMYFUNCTION("""COMPUTED_VALUE"""),"Dubai&gt;Dubai Land Residence Complex&gt;Cove Living Residence by Imtiaz")</f>
        <v>Dubai&gt;Dubai Land Residence Complex&gt;Cove Living Residence by Imtiaz</v>
      </c>
      <c r="E11034" s="2"/>
      <c r="F11034" s="2"/>
      <c r="G11034" s="2"/>
      <c r="H11034" s="2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2"/>
      <c r="T11034" s="2"/>
      <c r="U11034" s="2"/>
      <c r="V11034" s="2"/>
      <c r="W11034" s="2"/>
      <c r="X11034" s="2"/>
      <c r="Y11034" s="2"/>
      <c r="Z11034" s="2"/>
    </row>
    <row r="11035" spans="1:26" ht="16.5" x14ac:dyDescent="0.35">
      <c r="A11035" s="2" t="str">
        <f ca="1">IFERROR(__xludf.DUMMYFUNCTION("""COMPUTED_VALUE"""),"Dubai")</f>
        <v>Dubai</v>
      </c>
      <c r="B11035" s="2" t="str">
        <f ca="1">IFERROR(__xludf.DUMMYFUNCTION("""COMPUTED_VALUE"""),"Beverly Park")</f>
        <v>Beverly Park</v>
      </c>
      <c r="C11035" s="2" t="str">
        <f ca="1">IFERROR(__xludf.DUMMYFUNCTION("""COMPUTED_VALUE"""),"Building")</f>
        <v>Building</v>
      </c>
      <c r="D11035" s="2" t="str">
        <f ca="1">IFERROR(__xludf.DUMMYFUNCTION("""COMPUTED_VALUE"""),"Dubai&gt;Dubai Land Residence Complex&gt;Beverly Park")</f>
        <v>Dubai&gt;Dubai Land Residence Complex&gt;Beverly Park</v>
      </c>
      <c r="E11035" s="2"/>
      <c r="F11035" s="2"/>
      <c r="G11035" s="2"/>
      <c r="H11035" s="2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2"/>
      <c r="T11035" s="2"/>
      <c r="U11035" s="2"/>
      <c r="V11035" s="2"/>
      <c r="W11035" s="2"/>
      <c r="X11035" s="2"/>
      <c r="Y11035" s="2"/>
      <c r="Z11035" s="2"/>
    </row>
    <row r="11036" spans="1:26" ht="16.5" x14ac:dyDescent="0.35">
      <c r="A11036" s="2" t="str">
        <f ca="1">IFERROR(__xludf.DUMMYFUNCTION("""COMPUTED_VALUE"""),"Dubai")</f>
        <v>Dubai</v>
      </c>
      <c r="B11036" s="2" t="str">
        <f ca="1">IFERROR(__xludf.DUMMYFUNCTION("""COMPUTED_VALUE"""),"British Orchard Nursery Mirdif")</f>
        <v>British Orchard Nursery Mirdif</v>
      </c>
      <c r="C11036" s="2" t="str">
        <f ca="1">IFERROR(__xludf.DUMMYFUNCTION("""COMPUTED_VALUE"""),"Nursery")</f>
        <v>Nursery</v>
      </c>
      <c r="D11036" s="2" t="str">
        <f ca="1">IFERROR(__xludf.DUMMYFUNCTION("""COMPUTED_VALUE"""),"Dubai&gt;Mirdif&gt;Shorooq Mirdif&gt;British Orchard Nursery Mirdif")</f>
        <v>Dubai&gt;Mirdif&gt;Shorooq Mirdif&gt;British Orchard Nursery Mirdif</v>
      </c>
      <c r="E11036" s="2"/>
      <c r="F11036" s="2"/>
      <c r="G11036" s="2"/>
      <c r="H11036" s="2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2"/>
      <c r="T11036" s="2"/>
      <c r="U11036" s="2"/>
      <c r="V11036" s="2"/>
      <c r="W11036" s="2"/>
      <c r="X11036" s="2"/>
      <c r="Y11036" s="2"/>
      <c r="Z11036" s="2"/>
    </row>
    <row r="11037" spans="1:26" ht="16.5" x14ac:dyDescent="0.35">
      <c r="A11037" s="2" t="str">
        <f ca="1">IFERROR(__xludf.DUMMYFUNCTION("""COMPUTED_VALUE"""),"Dubai")</f>
        <v>Dubai</v>
      </c>
      <c r="B11037" s="2" t="str">
        <f ca="1">IFERROR(__xludf.DUMMYFUNCTION("""COMPUTED_VALUE"""),"Mirdif Residence")</f>
        <v>Mirdif Residence</v>
      </c>
      <c r="C11037" s="2" t="str">
        <f ca="1">IFERROR(__xludf.DUMMYFUNCTION("""COMPUTED_VALUE"""),"Building")</f>
        <v>Building</v>
      </c>
      <c r="D11037" s="2" t="str">
        <f ca="1">IFERROR(__xludf.DUMMYFUNCTION("""COMPUTED_VALUE"""),"Dubai&gt;Mirdif&gt;Mirdif Residence")</f>
        <v>Dubai&gt;Mirdif&gt;Mirdif Residence</v>
      </c>
      <c r="E11037" s="2"/>
      <c r="F11037" s="2"/>
      <c r="G11037" s="2"/>
      <c r="H11037" s="2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2"/>
      <c r="T11037" s="2"/>
      <c r="U11037" s="2"/>
      <c r="V11037" s="2"/>
      <c r="W11037" s="2"/>
      <c r="X11037" s="2"/>
      <c r="Y11037" s="2"/>
      <c r="Z11037" s="2"/>
    </row>
    <row r="11038" spans="1:26" ht="16.5" x14ac:dyDescent="0.35">
      <c r="A11038" s="2" t="str">
        <f ca="1">IFERROR(__xludf.DUMMYFUNCTION("""COMPUTED_VALUE"""),"Dubai")</f>
        <v>Dubai</v>
      </c>
      <c r="B11038" s="2" t="str">
        <f ca="1">IFERROR(__xludf.DUMMYFUNCTION("""COMPUTED_VALUE"""),"Maeen 4")</f>
        <v>Maeen 4</v>
      </c>
      <c r="C11038" s="2" t="str">
        <f ca="1">IFERROR(__xludf.DUMMYFUNCTION("""COMPUTED_VALUE"""),"Neighbourhood")</f>
        <v>Neighbourhood</v>
      </c>
      <c r="D11038" s="2" t="str">
        <f ca="1">IFERROR(__xludf.DUMMYFUNCTION("""COMPUTED_VALUE"""),"Dubai&gt;The Lakes&gt;Maeen&gt;Maeen 4")</f>
        <v>Dubai&gt;The Lakes&gt;Maeen&gt;Maeen 4</v>
      </c>
      <c r="E11038" s="2"/>
      <c r="F11038" s="2"/>
      <c r="G11038" s="2"/>
      <c r="H11038" s="2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2"/>
      <c r="T11038" s="2"/>
      <c r="U11038" s="2"/>
      <c r="V11038" s="2"/>
      <c r="W11038" s="2"/>
      <c r="X11038" s="2"/>
      <c r="Y11038" s="2"/>
      <c r="Z11038" s="2"/>
    </row>
    <row r="11039" spans="1:26" ht="16.5" x14ac:dyDescent="0.35">
      <c r="A11039" s="2" t="str">
        <f ca="1">IFERROR(__xludf.DUMMYFUNCTION("""COMPUTED_VALUE"""),"Dubai")</f>
        <v>Dubai</v>
      </c>
      <c r="B11039" s="2" t="str">
        <f ca="1">IFERROR(__xludf.DUMMYFUNCTION("""COMPUTED_VALUE"""),"Flora Inn Hotel Dubai Airport")</f>
        <v>Flora Inn Hotel Dubai Airport</v>
      </c>
      <c r="C11039" s="2" t="str">
        <f ca="1">IFERROR(__xludf.DUMMYFUNCTION("""COMPUTED_VALUE"""),"Building")</f>
        <v>Building</v>
      </c>
      <c r="D11039" s="2" t="str">
        <f ca="1">IFERROR(__xludf.DUMMYFUNCTION("""COMPUTED_VALUE"""),"Dubai&gt;Al Garhoud&gt;Flora Inn Hotel Dubai Airport")</f>
        <v>Dubai&gt;Al Garhoud&gt;Flora Inn Hotel Dubai Airport</v>
      </c>
      <c r="E11039" s="2"/>
      <c r="F11039" s="2"/>
      <c r="G11039" s="2"/>
      <c r="H11039" s="2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2"/>
      <c r="T11039" s="2"/>
      <c r="U11039" s="2"/>
      <c r="V11039" s="2"/>
      <c r="W11039" s="2"/>
      <c r="X11039" s="2"/>
      <c r="Y11039" s="2"/>
      <c r="Z11039" s="2"/>
    </row>
    <row r="11040" spans="1:26" ht="16.5" x14ac:dyDescent="0.35">
      <c r="A11040" s="2" t="str">
        <f ca="1">IFERROR(__xludf.DUMMYFUNCTION("""COMPUTED_VALUE"""),"Dubai")</f>
        <v>Dubai</v>
      </c>
      <c r="B11040" s="2" t="str">
        <f ca="1">IFERROR(__xludf.DUMMYFUNCTION("""COMPUTED_VALUE"""),"Belhoul Group Building")</f>
        <v>Belhoul Group Building</v>
      </c>
      <c r="C11040" s="2" t="str">
        <f ca="1">IFERROR(__xludf.DUMMYFUNCTION("""COMPUTED_VALUE"""),"Building")</f>
        <v>Building</v>
      </c>
      <c r="D11040" s="2" t="str">
        <f ca="1">IFERROR(__xludf.DUMMYFUNCTION("""COMPUTED_VALUE"""),"Dubai&gt;Al Garhoud&gt;Belhoul Group Building")</f>
        <v>Dubai&gt;Al Garhoud&gt;Belhoul Group Building</v>
      </c>
      <c r="E11040" s="2"/>
      <c r="F11040" s="2"/>
      <c r="G11040" s="2"/>
      <c r="H11040" s="2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2"/>
      <c r="T11040" s="2"/>
      <c r="U11040" s="2"/>
      <c r="V11040" s="2"/>
      <c r="W11040" s="2"/>
      <c r="X11040" s="2"/>
      <c r="Y11040" s="2"/>
      <c r="Z11040" s="2"/>
    </row>
    <row r="11041" spans="1:26" ht="16.5" x14ac:dyDescent="0.35">
      <c r="A11041" s="2" t="str">
        <f ca="1">IFERROR(__xludf.DUMMYFUNCTION("""COMPUTED_VALUE"""),"Dubai")</f>
        <v>Dubai</v>
      </c>
      <c r="B11041" s="2" t="str">
        <f ca="1">IFERROR(__xludf.DUMMYFUNCTION("""COMPUTED_VALUE"""),"Nasser Lootah Villas")</f>
        <v>Nasser Lootah Villas</v>
      </c>
      <c r="C11041" s="2" t="str">
        <f ca="1">IFERROR(__xludf.DUMMYFUNCTION("""COMPUTED_VALUE"""),"Neighbourhood")</f>
        <v>Neighbourhood</v>
      </c>
      <c r="D11041" s="2" t="str">
        <f ca="1">IFERROR(__xludf.DUMMYFUNCTION("""COMPUTED_VALUE"""),"Dubai&gt;Al Garhoud&gt;Nasser Lootah Villas")</f>
        <v>Dubai&gt;Al Garhoud&gt;Nasser Lootah Villas</v>
      </c>
      <c r="E11041" s="2"/>
      <c r="F11041" s="2"/>
      <c r="G11041" s="2"/>
      <c r="H11041" s="2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2"/>
      <c r="T11041" s="2"/>
      <c r="U11041" s="2"/>
      <c r="V11041" s="2"/>
      <c r="W11041" s="2"/>
      <c r="X11041" s="2"/>
      <c r="Y11041" s="2"/>
      <c r="Z11041" s="2"/>
    </row>
    <row r="11042" spans="1:26" ht="16.5" x14ac:dyDescent="0.35">
      <c r="A11042" s="2" t="str">
        <f ca="1">IFERROR(__xludf.DUMMYFUNCTION("""COMPUTED_VALUE"""),"Dubai")</f>
        <v>Dubai</v>
      </c>
      <c r="B11042" s="2" t="str">
        <f ca="1">IFERROR(__xludf.DUMMYFUNCTION("""COMPUTED_VALUE"""),"Bank of Sharjah Building")</f>
        <v>Bank of Sharjah Building</v>
      </c>
      <c r="C11042" s="2" t="str">
        <f ca="1">IFERROR(__xludf.DUMMYFUNCTION("""COMPUTED_VALUE"""),"Building")</f>
        <v>Building</v>
      </c>
      <c r="D11042" s="2" t="str">
        <f ca="1">IFERROR(__xludf.DUMMYFUNCTION("""COMPUTED_VALUE"""),"Dubai&gt;Al Garhoud&gt;Bank of Sharjah Building")</f>
        <v>Dubai&gt;Al Garhoud&gt;Bank of Sharjah Building</v>
      </c>
      <c r="E11042" s="2"/>
      <c r="F11042" s="2"/>
      <c r="G11042" s="2"/>
      <c r="H11042" s="2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2"/>
      <c r="T11042" s="2"/>
      <c r="U11042" s="2"/>
      <c r="V11042" s="2"/>
      <c r="W11042" s="2"/>
      <c r="X11042" s="2"/>
      <c r="Y11042" s="2"/>
      <c r="Z11042" s="2"/>
    </row>
    <row r="11043" spans="1:26" ht="16.5" x14ac:dyDescent="0.35">
      <c r="A11043" s="2" t="str">
        <f ca="1">IFERROR(__xludf.DUMMYFUNCTION("""COMPUTED_VALUE"""),"Dubai")</f>
        <v>Dubai</v>
      </c>
      <c r="B11043" s="2" t="str">
        <f ca="1">IFERROR(__xludf.DUMMYFUNCTION("""COMPUTED_VALUE"""),"MOBH Building 2")</f>
        <v>MOBH Building 2</v>
      </c>
      <c r="C11043" s="2" t="str">
        <f ca="1">IFERROR(__xludf.DUMMYFUNCTION("""COMPUTED_VALUE"""),"Building")</f>
        <v>Building</v>
      </c>
      <c r="D11043" s="2" t="str">
        <f ca="1">IFERROR(__xludf.DUMMYFUNCTION("""COMPUTED_VALUE"""),"Dubai&gt;Al Garhoud&gt;MOBH Building 2")</f>
        <v>Dubai&gt;Al Garhoud&gt;MOBH Building 2</v>
      </c>
      <c r="E11043" s="2"/>
      <c r="F11043" s="2"/>
      <c r="G11043" s="2"/>
      <c r="H11043" s="2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2"/>
      <c r="T11043" s="2"/>
      <c r="U11043" s="2"/>
      <c r="V11043" s="2"/>
      <c r="W11043" s="2"/>
      <c r="X11043" s="2"/>
      <c r="Y11043" s="2"/>
      <c r="Z11043" s="2"/>
    </row>
    <row r="11044" spans="1:26" ht="16.5" x14ac:dyDescent="0.35">
      <c r="A11044" s="2" t="str">
        <f ca="1">IFERROR(__xludf.DUMMYFUNCTION("""COMPUTED_VALUE"""),"Dubai")</f>
        <v>Dubai</v>
      </c>
      <c r="B11044" s="2" t="str">
        <f ca="1">IFERROR(__xludf.DUMMYFUNCTION("""COMPUTED_VALUE"""),"Cluster 33")</f>
        <v>Cluster 33</v>
      </c>
      <c r="C11044" s="2" t="str">
        <f ca="1">IFERROR(__xludf.DUMMYFUNCTION("""COMPUTED_VALUE"""),"Neighbourhood")</f>
        <v>Neighbourhood</v>
      </c>
      <c r="D11044" s="2" t="str">
        <f ca="1">IFERROR(__xludf.DUMMYFUNCTION("""COMPUTED_VALUE"""),"Dubai&gt;Jumeirah Islands&gt;Cluster 33")</f>
        <v>Dubai&gt;Jumeirah Islands&gt;Cluster 33</v>
      </c>
      <c r="E11044" s="2"/>
      <c r="F11044" s="2"/>
      <c r="G11044" s="2"/>
      <c r="H11044" s="2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2"/>
      <c r="T11044" s="2"/>
      <c r="U11044" s="2"/>
      <c r="V11044" s="2"/>
      <c r="W11044" s="2"/>
      <c r="X11044" s="2"/>
      <c r="Y11044" s="2"/>
      <c r="Z11044" s="2"/>
    </row>
    <row r="11045" spans="1:26" ht="16.5" x14ac:dyDescent="0.35">
      <c r="A11045" s="2" t="str">
        <f ca="1">IFERROR(__xludf.DUMMYFUNCTION("""COMPUTED_VALUE"""),"Dubai")</f>
        <v>Dubai</v>
      </c>
      <c r="B11045" s="2" t="str">
        <f ca="1">IFERROR(__xludf.DUMMYFUNCTION("""COMPUTED_VALUE"""),"Garden West Apartments D")</f>
        <v>Garden West Apartments D</v>
      </c>
      <c r="C11045" s="2" t="str">
        <f ca="1">IFERROR(__xludf.DUMMYFUNCTION("""COMPUTED_VALUE"""),"Building")</f>
        <v>Building</v>
      </c>
      <c r="D11045" s="2" t="str">
        <f ca="1">IFERROR(__xludf.DUMMYFUNCTION("""COMPUTED_VALUE"""),"Dubai&gt;Green Community&gt;Garden West Apartments&gt;Garden West Apartments D")</f>
        <v>Dubai&gt;Green Community&gt;Garden West Apartments&gt;Garden West Apartments D</v>
      </c>
      <c r="E11045" s="2"/>
      <c r="F11045" s="2"/>
      <c r="G11045" s="2"/>
      <c r="H11045" s="2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2"/>
      <c r="T11045" s="2"/>
      <c r="U11045" s="2"/>
      <c r="V11045" s="2"/>
      <c r="W11045" s="2"/>
      <c r="X11045" s="2"/>
      <c r="Y11045" s="2"/>
      <c r="Z11045" s="2"/>
    </row>
    <row r="11046" spans="1:26" ht="16.5" x14ac:dyDescent="0.35">
      <c r="A11046" s="2" t="str">
        <f ca="1">IFERROR(__xludf.DUMMYFUNCTION("""COMPUTED_VALUE"""),"Dubai")</f>
        <v>Dubai</v>
      </c>
      <c r="B11046" s="2" t="str">
        <f ca="1">IFERROR(__xludf.DUMMYFUNCTION("""COMPUTED_VALUE"""),"Terrace Apartments C")</f>
        <v>Terrace Apartments C</v>
      </c>
      <c r="C11046" s="2" t="str">
        <f ca="1">IFERROR(__xludf.DUMMYFUNCTION("""COMPUTED_VALUE"""),"Building")</f>
        <v>Building</v>
      </c>
      <c r="D11046" s="2" t="str">
        <f ca="1">IFERROR(__xludf.DUMMYFUNCTION("""COMPUTED_VALUE"""),"Dubai&gt;Green Community&gt;Green Community East&gt;Terrace Apartments&gt;Terrace Apartments C")</f>
        <v>Dubai&gt;Green Community&gt;Green Community East&gt;Terrace Apartments&gt;Terrace Apartments C</v>
      </c>
      <c r="E11046" s="2"/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2"/>
      <c r="T11046" s="2"/>
      <c r="U11046" s="2"/>
      <c r="V11046" s="2"/>
      <c r="W11046" s="2"/>
      <c r="X11046" s="2"/>
      <c r="Y11046" s="2"/>
      <c r="Z11046" s="2"/>
    </row>
    <row r="11047" spans="1:26" ht="16.5" x14ac:dyDescent="0.35">
      <c r="A11047" s="2" t="str">
        <f ca="1">IFERROR(__xludf.DUMMYFUNCTION("""COMPUTED_VALUE"""),"Dubai")</f>
        <v>Dubai</v>
      </c>
      <c r="B11047" s="2" t="str">
        <f ca="1">IFERROR(__xludf.DUMMYFUNCTION("""COMPUTED_VALUE"""),"GEMS United School")</f>
        <v>GEMS United School</v>
      </c>
      <c r="C11047" s="2" t="str">
        <f ca="1">IFERROR(__xludf.DUMMYFUNCTION("""COMPUTED_VALUE"""),"School")</f>
        <v>School</v>
      </c>
      <c r="D11047" s="2" t="str">
        <f ca="1">IFERROR(__xludf.DUMMYFUNCTION("""COMPUTED_VALUE"""),"Dubai&gt;Dubai Sports City&gt;GEMS United School")</f>
        <v>Dubai&gt;Dubai Sports City&gt;GEMS United School</v>
      </c>
      <c r="E11047" s="2"/>
      <c r="F11047" s="2"/>
      <c r="G11047" s="2"/>
      <c r="H11047" s="2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2"/>
      <c r="T11047" s="2"/>
      <c r="U11047" s="2"/>
      <c r="V11047" s="2"/>
      <c r="W11047" s="2"/>
      <c r="X11047" s="2"/>
      <c r="Y11047" s="2"/>
      <c r="Z11047" s="2"/>
    </row>
    <row r="11048" spans="1:26" ht="16.5" x14ac:dyDescent="0.35">
      <c r="A11048" s="2" t="str">
        <f ca="1">IFERROR(__xludf.DUMMYFUNCTION("""COMPUTED_VALUE"""),"Dubai")</f>
        <v>Dubai</v>
      </c>
      <c r="B11048" s="2" t="str">
        <f ca="1">IFERROR(__xludf.DUMMYFUNCTION("""COMPUTED_VALUE"""),"Limelight Twin Towers")</f>
        <v>Limelight Twin Towers</v>
      </c>
      <c r="C11048" s="2" t="str">
        <f ca="1">IFERROR(__xludf.DUMMYFUNCTION("""COMPUTED_VALUE"""),"Building")</f>
        <v>Building</v>
      </c>
      <c r="D11048" s="2" t="str">
        <f ca="1">IFERROR(__xludf.DUMMYFUNCTION("""COMPUTED_VALUE"""),"Dubai&gt;Dubai Sports City&gt;Limelight Twin Towers")</f>
        <v>Dubai&gt;Dubai Sports City&gt;Limelight Twin Towers</v>
      </c>
      <c r="E11048" s="2"/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2"/>
      <c r="T11048" s="2"/>
      <c r="U11048" s="2"/>
      <c r="V11048" s="2"/>
      <c r="W11048" s="2"/>
      <c r="X11048" s="2"/>
      <c r="Y11048" s="2"/>
      <c r="Z11048" s="2"/>
    </row>
    <row r="11049" spans="1:26" ht="16.5" x14ac:dyDescent="0.35">
      <c r="A11049" s="2" t="str">
        <f ca="1">IFERROR(__xludf.DUMMYFUNCTION("""COMPUTED_VALUE"""),"Dubai")</f>
        <v>Dubai</v>
      </c>
      <c r="B11049" s="2" t="str">
        <f ca="1">IFERROR(__xludf.DUMMYFUNCTION("""COMPUTED_VALUE"""),"Hub Canal 2")</f>
        <v>Hub Canal 2</v>
      </c>
      <c r="C11049" s="2" t="str">
        <f ca="1">IFERROR(__xludf.DUMMYFUNCTION("""COMPUTED_VALUE"""),"Building")</f>
        <v>Building</v>
      </c>
      <c r="D11049" s="2" t="str">
        <f ca="1">IFERROR(__xludf.DUMMYFUNCTION("""COMPUTED_VALUE"""),"Dubai&gt;Dubai Sports City&gt;Hub Canal 2")</f>
        <v>Dubai&gt;Dubai Sports City&gt;Hub Canal 2</v>
      </c>
      <c r="E11049" s="2"/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2"/>
      <c r="T11049" s="2"/>
      <c r="U11049" s="2"/>
      <c r="V11049" s="2"/>
      <c r="W11049" s="2"/>
      <c r="X11049" s="2"/>
      <c r="Y11049" s="2"/>
      <c r="Z11049" s="2"/>
    </row>
    <row r="11050" spans="1:26" ht="16.5" x14ac:dyDescent="0.35">
      <c r="A11050" s="2" t="str">
        <f ca="1">IFERROR(__xludf.DUMMYFUNCTION("""COMPUTED_VALUE"""),"Dubai")</f>
        <v>Dubai</v>
      </c>
      <c r="B11050" s="2" t="str">
        <f ca="1">IFERROR(__xludf.DUMMYFUNCTION("""COMPUTED_VALUE"""),"Emirates Sports Hotel")</f>
        <v>Emirates Sports Hotel</v>
      </c>
      <c r="C11050" s="2" t="str">
        <f ca="1">IFERROR(__xludf.DUMMYFUNCTION("""COMPUTED_VALUE"""),"Building")</f>
        <v>Building</v>
      </c>
      <c r="D11050" s="2" t="str">
        <f ca="1">IFERROR(__xludf.DUMMYFUNCTION("""COMPUTED_VALUE"""),"Dubai&gt;Dubai Sports City&gt;Emirates Sports Hotel")</f>
        <v>Dubai&gt;Dubai Sports City&gt;Emirates Sports Hotel</v>
      </c>
      <c r="E11050" s="2"/>
      <c r="F11050" s="2"/>
      <c r="G11050" s="2"/>
      <c r="H11050" s="2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2"/>
      <c r="T11050" s="2"/>
      <c r="U11050" s="2"/>
      <c r="V11050" s="2"/>
      <c r="W11050" s="2"/>
      <c r="X11050" s="2"/>
      <c r="Y11050" s="2"/>
      <c r="Z11050" s="2"/>
    </row>
    <row r="11051" spans="1:26" ht="16.5" x14ac:dyDescent="0.35">
      <c r="A11051" s="2" t="str">
        <f ca="1">IFERROR(__xludf.DUMMYFUNCTION("""COMPUTED_VALUE"""),"Dubai")</f>
        <v>Dubai</v>
      </c>
      <c r="B11051" s="2" t="str">
        <f ca="1">IFERROR(__xludf.DUMMYFUNCTION("""COMPUTED_VALUE"""),"Champions Tower 1")</f>
        <v>Champions Tower 1</v>
      </c>
      <c r="C11051" s="2" t="str">
        <f ca="1">IFERROR(__xludf.DUMMYFUNCTION("""COMPUTED_VALUE"""),"Building")</f>
        <v>Building</v>
      </c>
      <c r="D11051" s="2" t="str">
        <f ca="1">IFERROR(__xludf.DUMMYFUNCTION("""COMPUTED_VALUE"""),"Dubai&gt;Dubai Sports City&gt;Champions Tower&gt;Champions Tower 1")</f>
        <v>Dubai&gt;Dubai Sports City&gt;Champions Tower&gt;Champions Tower 1</v>
      </c>
      <c r="E11051" s="2"/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2"/>
      <c r="T11051" s="2"/>
      <c r="U11051" s="2"/>
      <c r="V11051" s="2"/>
      <c r="W11051" s="2"/>
      <c r="X11051" s="2"/>
      <c r="Y11051" s="2"/>
      <c r="Z11051" s="2"/>
    </row>
    <row r="11052" spans="1:26" ht="16.5" x14ac:dyDescent="0.35">
      <c r="A11052" s="2" t="str">
        <f ca="1">IFERROR(__xludf.DUMMYFUNCTION("""COMPUTED_VALUE"""),"Dubai")</f>
        <v>Dubai</v>
      </c>
      <c r="B11052" s="2" t="str">
        <f ca="1">IFERROR(__xludf.DUMMYFUNCTION("""COMPUTED_VALUE"""),"Sedki Building")</f>
        <v>Sedki Building</v>
      </c>
      <c r="C11052" s="2" t="str">
        <f ca="1">IFERROR(__xludf.DUMMYFUNCTION("""COMPUTED_VALUE"""),"Building")</f>
        <v>Building</v>
      </c>
      <c r="D11052" s="2" t="str">
        <f ca="1">IFERROR(__xludf.DUMMYFUNCTION("""COMPUTED_VALUE"""),"Dubai&gt;Al Nahda (Dubai)&gt;Al Nahda 1&gt;Sedki Building")</f>
        <v>Dubai&gt;Al Nahda (Dubai)&gt;Al Nahda 1&gt;Sedki Building</v>
      </c>
      <c r="E11052" s="2"/>
      <c r="F11052" s="2"/>
      <c r="G11052" s="2"/>
      <c r="H11052" s="2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2"/>
      <c r="T11052" s="2"/>
      <c r="U11052" s="2"/>
      <c r="V11052" s="2"/>
      <c r="W11052" s="2"/>
      <c r="X11052" s="2"/>
      <c r="Y11052" s="2"/>
      <c r="Z11052" s="2"/>
    </row>
    <row r="11053" spans="1:26" ht="16.5" x14ac:dyDescent="0.35">
      <c r="A11053" s="2" t="str">
        <f ca="1">IFERROR(__xludf.DUMMYFUNCTION("""COMPUTED_VALUE"""),"Dubai")</f>
        <v>Dubai</v>
      </c>
      <c r="B11053" s="2" t="str">
        <f ca="1">IFERROR(__xludf.DUMMYFUNCTION("""COMPUTED_VALUE"""),"Al Nahda Building")</f>
        <v>Al Nahda Building</v>
      </c>
      <c r="C11053" s="2" t="str">
        <f ca="1">IFERROR(__xludf.DUMMYFUNCTION("""COMPUTED_VALUE"""),"Building")</f>
        <v>Building</v>
      </c>
      <c r="D11053" s="2" t="str">
        <f ca="1">IFERROR(__xludf.DUMMYFUNCTION("""COMPUTED_VALUE"""),"Dubai&gt;Al Nahda (Dubai)&gt;Al Nahda 2&gt;Al Nahda Building")</f>
        <v>Dubai&gt;Al Nahda (Dubai)&gt;Al Nahda 2&gt;Al Nahda Building</v>
      </c>
      <c r="E11053" s="2"/>
      <c r="F11053" s="2"/>
      <c r="G11053" s="2"/>
      <c r="H11053" s="2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2"/>
      <c r="T11053" s="2"/>
      <c r="U11053" s="2"/>
      <c r="V11053" s="2"/>
      <c r="W11053" s="2"/>
      <c r="X11053" s="2"/>
      <c r="Y11053" s="2"/>
      <c r="Z11053" s="2"/>
    </row>
    <row r="11054" spans="1:26" ht="16.5" x14ac:dyDescent="0.35">
      <c r="A11054" s="2" t="str">
        <f ca="1">IFERROR(__xludf.DUMMYFUNCTION("""COMPUTED_VALUE"""),"Dubai")</f>
        <v>Dubai</v>
      </c>
      <c r="B11054" s="2" t="str">
        <f ca="1">IFERROR(__xludf.DUMMYFUNCTION("""COMPUTED_VALUE"""),"Masafi 1")</f>
        <v>Masafi 1</v>
      </c>
      <c r="C11054" s="2" t="str">
        <f ca="1">IFERROR(__xludf.DUMMYFUNCTION("""COMPUTED_VALUE"""),"Building")</f>
        <v>Building</v>
      </c>
      <c r="D11054" s="2" t="str">
        <f ca="1">IFERROR(__xludf.DUMMYFUNCTION("""COMPUTED_VALUE"""),"Dubai&gt;Al Nahda (Dubai)&gt;Al Nahda 2&gt;Masafi 1")</f>
        <v>Dubai&gt;Al Nahda (Dubai)&gt;Al Nahda 2&gt;Masafi 1</v>
      </c>
      <c r="E11054" s="2"/>
      <c r="F11054" s="2"/>
      <c r="G11054" s="2"/>
      <c r="H11054" s="2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2"/>
      <c r="T11054" s="2"/>
      <c r="U11054" s="2"/>
      <c r="V11054" s="2"/>
      <c r="W11054" s="2"/>
      <c r="X11054" s="2"/>
      <c r="Y11054" s="2"/>
      <c r="Z11054" s="2"/>
    </row>
    <row r="11055" spans="1:26" ht="16.5" x14ac:dyDescent="0.35">
      <c r="A11055" s="2" t="str">
        <f ca="1">IFERROR(__xludf.DUMMYFUNCTION("""COMPUTED_VALUE"""),"Dubai")</f>
        <v>Dubai</v>
      </c>
      <c r="B11055" s="2" t="str">
        <f ca="1">IFERROR(__xludf.DUMMYFUNCTION("""COMPUTED_VALUE"""),"Salma Tower")</f>
        <v>Salma Tower</v>
      </c>
      <c r="C11055" s="2" t="str">
        <f ca="1">IFERROR(__xludf.DUMMYFUNCTION("""COMPUTED_VALUE"""),"Building")</f>
        <v>Building</v>
      </c>
      <c r="D11055" s="2" t="str">
        <f ca="1">IFERROR(__xludf.DUMMYFUNCTION("""COMPUTED_VALUE"""),"Dubai&gt;Al Nahda (Dubai)&gt;Al Nahda 2&gt;Salma Tower")</f>
        <v>Dubai&gt;Al Nahda (Dubai)&gt;Al Nahda 2&gt;Salma Tower</v>
      </c>
      <c r="E11055" s="2"/>
      <c r="F11055" s="2"/>
      <c r="G11055" s="2"/>
      <c r="H11055" s="2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2"/>
      <c r="T11055" s="2"/>
      <c r="U11055" s="2"/>
      <c r="V11055" s="2"/>
      <c r="W11055" s="2"/>
      <c r="X11055" s="2"/>
      <c r="Y11055" s="2"/>
      <c r="Z11055" s="2"/>
    </row>
    <row r="11056" spans="1:26" ht="16.5" x14ac:dyDescent="0.35">
      <c r="A11056" s="2" t="str">
        <f ca="1">IFERROR(__xludf.DUMMYFUNCTION("""COMPUTED_VALUE"""),"Dubai")</f>
        <v>Dubai</v>
      </c>
      <c r="B11056" s="2" t="str">
        <f ca="1">IFERROR(__xludf.DUMMYFUNCTION("""COMPUTED_VALUE"""),"Saeed Hamad Saeed Melhoof 2 Building")</f>
        <v>Saeed Hamad Saeed Melhoof 2 Building</v>
      </c>
      <c r="C11056" s="2" t="str">
        <f ca="1">IFERROR(__xludf.DUMMYFUNCTION("""COMPUTED_VALUE"""),"Building")</f>
        <v>Building</v>
      </c>
      <c r="D11056" s="2" t="str">
        <f ca="1">IFERROR(__xludf.DUMMYFUNCTION("""COMPUTED_VALUE"""),"Dubai&gt;Al Nahda (Dubai)&gt;Al Nahda 2&gt;Saeed Hamad Saeed Melhoof 2 Building")</f>
        <v>Dubai&gt;Al Nahda (Dubai)&gt;Al Nahda 2&gt;Saeed Hamad Saeed Melhoof 2 Building</v>
      </c>
      <c r="E11056" s="2"/>
      <c r="F11056" s="2"/>
      <c r="G11056" s="2"/>
      <c r="H11056" s="2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2"/>
      <c r="T11056" s="2"/>
      <c r="U11056" s="2"/>
      <c r="V11056" s="2"/>
      <c r="W11056" s="2"/>
      <c r="X11056" s="2"/>
      <c r="Y11056" s="2"/>
      <c r="Z11056" s="2"/>
    </row>
    <row r="11057" spans="1:26" ht="16.5" x14ac:dyDescent="0.35">
      <c r="A11057" s="2" t="str">
        <f ca="1">IFERROR(__xludf.DUMMYFUNCTION("""COMPUTED_VALUE"""),"Dubai")</f>
        <v>Dubai</v>
      </c>
      <c r="B11057" s="2" t="str">
        <f ca="1">IFERROR(__xludf.DUMMYFUNCTION("""COMPUTED_VALUE"""),"Jumeirah Park Homes")</f>
        <v>Jumeirah Park Homes</v>
      </c>
      <c r="C11057" s="2" t="str">
        <f ca="1">IFERROR(__xludf.DUMMYFUNCTION("""COMPUTED_VALUE"""),"Neighbourhood")</f>
        <v>Neighbourhood</v>
      </c>
      <c r="D11057" s="2" t="str">
        <f ca="1">IFERROR(__xludf.DUMMYFUNCTION("""COMPUTED_VALUE"""),"Dubai&gt;Jumeirah Park&gt;Jumeirah Park Homes")</f>
        <v>Dubai&gt;Jumeirah Park&gt;Jumeirah Park Homes</v>
      </c>
      <c r="E11057" s="2"/>
      <c r="F11057" s="2"/>
      <c r="G11057" s="2"/>
      <c r="H11057" s="2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2"/>
      <c r="T11057" s="2"/>
      <c r="U11057" s="2"/>
      <c r="V11057" s="2"/>
      <c r="W11057" s="2"/>
      <c r="X11057" s="2"/>
      <c r="Y11057" s="2"/>
      <c r="Z11057" s="2"/>
    </row>
    <row r="11058" spans="1:26" ht="16.5" x14ac:dyDescent="0.35">
      <c r="A11058" s="2" t="str">
        <f ca="1">IFERROR(__xludf.DUMMYFUNCTION("""COMPUTED_VALUE"""),"Dubai")</f>
        <v>Dubai</v>
      </c>
      <c r="B11058" s="2" t="str">
        <f ca="1">IFERROR(__xludf.DUMMYFUNCTION("""COMPUTED_VALUE"""),"Monte Carlo")</f>
        <v>Monte Carlo</v>
      </c>
      <c r="C11058" s="2" t="str">
        <f ca="1">IFERROR(__xludf.DUMMYFUNCTION("""COMPUTED_VALUE"""),"Neighbourhood")</f>
        <v>Neighbourhood</v>
      </c>
      <c r="D11058" s="2" t="str">
        <f ca="1">IFERROR(__xludf.DUMMYFUNCTION("""COMPUTED_VALUE"""),"Dubai&gt;DAMAC Lagoons&gt;Monte Carlo")</f>
        <v>Dubai&gt;DAMAC Lagoons&gt;Monte Carlo</v>
      </c>
      <c r="E11058" s="2"/>
      <c r="F11058" s="2"/>
      <c r="G11058" s="2"/>
      <c r="H11058" s="2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2"/>
      <c r="T11058" s="2"/>
      <c r="U11058" s="2"/>
      <c r="V11058" s="2"/>
      <c r="W11058" s="2"/>
      <c r="X11058" s="2"/>
      <c r="Y11058" s="2"/>
      <c r="Z11058" s="2"/>
    </row>
    <row r="11059" spans="1:26" ht="16.5" x14ac:dyDescent="0.35">
      <c r="A11059" s="2" t="str">
        <f ca="1">IFERROR(__xludf.DUMMYFUNCTION("""COMPUTED_VALUE"""),"Dubai")</f>
        <v>Dubai</v>
      </c>
      <c r="B11059" s="2" t="str">
        <f ca="1">IFERROR(__xludf.DUMMYFUNCTION("""COMPUTED_VALUE"""),"Safa Star Building")</f>
        <v>Safa Star Building</v>
      </c>
      <c r="C11059" s="2" t="str">
        <f ca="1">IFERROR(__xludf.DUMMYFUNCTION("""COMPUTED_VALUE"""),"Building")</f>
        <v>Building</v>
      </c>
      <c r="D11059" s="2" t="str">
        <f ca="1">IFERROR(__xludf.DUMMYFUNCTION("""COMPUTED_VALUE"""),"Dubai&gt;Liwan 2&gt;Safa Star Building")</f>
        <v>Dubai&gt;Liwan 2&gt;Safa Star Building</v>
      </c>
      <c r="E11059" s="2"/>
      <c r="F11059" s="2"/>
      <c r="G11059" s="2"/>
      <c r="H11059" s="2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2"/>
      <c r="T11059" s="2"/>
      <c r="U11059" s="2"/>
      <c r="V11059" s="2"/>
      <c r="W11059" s="2"/>
      <c r="X11059" s="2"/>
      <c r="Y11059" s="2"/>
      <c r="Z11059" s="2"/>
    </row>
    <row r="11060" spans="1:26" ht="16.5" x14ac:dyDescent="0.35">
      <c r="A11060" s="2" t="str">
        <f ca="1">IFERROR(__xludf.DUMMYFUNCTION("""COMPUTED_VALUE"""),"Dubai")</f>
        <v>Dubai</v>
      </c>
      <c r="B11060" s="2" t="str">
        <f ca="1">IFERROR(__xludf.DUMMYFUNCTION("""COMPUTED_VALUE"""),"Karim Residence")</f>
        <v>Karim Residence</v>
      </c>
      <c r="C11060" s="2" t="str">
        <f ca="1">IFERROR(__xludf.DUMMYFUNCTION("""COMPUTED_VALUE"""),"Building")</f>
        <v>Building</v>
      </c>
      <c r="D11060" s="2" t="str">
        <f ca="1">IFERROR(__xludf.DUMMYFUNCTION("""COMPUTED_VALUE"""),"Dubai&gt;Liwan 2&gt;Karim Residence")</f>
        <v>Dubai&gt;Liwan 2&gt;Karim Residence</v>
      </c>
      <c r="E11060" s="2"/>
      <c r="F11060" s="2"/>
      <c r="G11060" s="2"/>
      <c r="H11060" s="2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2"/>
      <c r="T11060" s="2"/>
      <c r="U11060" s="2"/>
      <c r="V11060" s="2"/>
      <c r="W11060" s="2"/>
      <c r="X11060" s="2"/>
      <c r="Y11060" s="2"/>
      <c r="Z11060" s="2"/>
    </row>
    <row r="11061" spans="1:26" ht="16.5" x14ac:dyDescent="0.35">
      <c r="A11061" s="2" t="str">
        <f ca="1">IFERROR(__xludf.DUMMYFUNCTION("""COMPUTED_VALUE"""),"Dubai")</f>
        <v>Dubai</v>
      </c>
      <c r="B11061" s="2" t="str">
        <f ca="1">IFERROR(__xludf.DUMMYFUNCTION("""COMPUTED_VALUE"""),"Centurion Residences")</f>
        <v>Centurion Residences</v>
      </c>
      <c r="C11061" s="2" t="str">
        <f ca="1">IFERROR(__xludf.DUMMYFUNCTION("""COMPUTED_VALUE"""),"Cluster")</f>
        <v>Cluster</v>
      </c>
      <c r="D11061" s="2" t="str">
        <f ca="1">IFERROR(__xludf.DUMMYFUNCTION("""COMPUTED_VALUE"""),"Dubai&gt;Dubai Investment Park (DIP)&gt;Centurion Residences")</f>
        <v>Dubai&gt;Dubai Investment Park (DIP)&gt;Centurion Residences</v>
      </c>
      <c r="E11061" s="2"/>
      <c r="F11061" s="2"/>
      <c r="G11061" s="2"/>
      <c r="H11061" s="2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2"/>
      <c r="T11061" s="2"/>
      <c r="U11061" s="2"/>
      <c r="V11061" s="2"/>
      <c r="W11061" s="2"/>
      <c r="X11061" s="2"/>
      <c r="Y11061" s="2"/>
      <c r="Z11061" s="2"/>
    </row>
    <row r="11062" spans="1:26" ht="16.5" x14ac:dyDescent="0.35">
      <c r="A11062" s="2" t="str">
        <f ca="1">IFERROR(__xludf.DUMMYFUNCTION("""COMPUTED_VALUE"""),"Dubai")</f>
        <v>Dubai</v>
      </c>
      <c r="B11062" s="2" t="str">
        <f ca="1">IFERROR(__xludf.DUMMYFUNCTION("""COMPUTED_VALUE"""),"The 7even Block B")</f>
        <v>The 7even Block B</v>
      </c>
      <c r="C11062" s="2" t="str">
        <f ca="1">IFERROR(__xludf.DUMMYFUNCTION("""COMPUTED_VALUE"""),"Building")</f>
        <v>Building</v>
      </c>
      <c r="D11062" s="2" t="str">
        <f ca="1">IFERROR(__xludf.DUMMYFUNCTION("""COMPUTED_VALUE"""),"Dubai&gt;Dubai Investment Park (DIP)&gt;Dubai Investment Park 1&gt;The 7even&gt;The 7even Block B")</f>
        <v>Dubai&gt;Dubai Investment Park (DIP)&gt;Dubai Investment Park 1&gt;The 7even&gt;The 7even Block B</v>
      </c>
      <c r="E11062" s="2"/>
      <c r="F11062" s="2"/>
      <c r="G11062" s="2"/>
      <c r="H11062" s="2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2"/>
      <c r="T11062" s="2"/>
      <c r="U11062" s="2"/>
      <c r="V11062" s="2"/>
      <c r="W11062" s="2"/>
      <c r="X11062" s="2"/>
      <c r="Y11062" s="2"/>
      <c r="Z11062" s="2"/>
    </row>
    <row r="11063" spans="1:26" ht="16.5" x14ac:dyDescent="0.35">
      <c r="A11063" s="2" t="str">
        <f ca="1">IFERROR(__xludf.DUMMYFUNCTION("""COMPUTED_VALUE"""),"Dubai")</f>
        <v>Dubai</v>
      </c>
      <c r="B11063" s="2" t="str">
        <f ca="1">IFERROR(__xludf.DUMMYFUNCTION("""COMPUTED_VALUE"""),"Palmon FZE F")</f>
        <v>Palmon FZE F</v>
      </c>
      <c r="C11063" s="2" t="str">
        <f ca="1">IFERROR(__xludf.DUMMYFUNCTION("""COMPUTED_VALUE"""),"Building")</f>
        <v>Building</v>
      </c>
      <c r="D11063" s="2" t="str">
        <f ca="1">IFERROR(__xludf.DUMMYFUNCTION("""COMPUTED_VALUE"""),"Dubai&gt;Dubai Investment Park (DIP)&gt;Dubai Investment Park 1&gt;Palmon Group FZCO Accommodation&gt;Palmon FZE F")</f>
        <v>Dubai&gt;Dubai Investment Park (DIP)&gt;Dubai Investment Park 1&gt;Palmon Group FZCO Accommodation&gt;Palmon FZE F</v>
      </c>
      <c r="E11063" s="2"/>
      <c r="F11063" s="2"/>
      <c r="G11063" s="2"/>
      <c r="H11063" s="2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2"/>
      <c r="T11063" s="2"/>
      <c r="U11063" s="2"/>
      <c r="V11063" s="2"/>
      <c r="W11063" s="2"/>
      <c r="X11063" s="2"/>
      <c r="Y11063" s="2"/>
      <c r="Z11063" s="2"/>
    </row>
    <row r="11064" spans="1:26" ht="16.5" x14ac:dyDescent="0.35">
      <c r="A11064" s="2" t="str">
        <f ca="1">IFERROR(__xludf.DUMMYFUNCTION("""COMPUTED_VALUE"""),"Dubai")</f>
        <v>Dubai</v>
      </c>
      <c r="B11064" s="2" t="str">
        <f ca="1">IFERROR(__xludf.DUMMYFUNCTION("""COMPUTED_VALUE"""),"Al Sondos Apartments Block D")</f>
        <v>Al Sondos Apartments Block D</v>
      </c>
      <c r="C11064" s="2" t="str">
        <f ca="1">IFERROR(__xludf.DUMMYFUNCTION("""COMPUTED_VALUE"""),"Building")</f>
        <v>Building</v>
      </c>
      <c r="D11064" s="2" t="str">
        <f ca="1">IFERROR(__xludf.DUMMYFUNCTION("""COMPUTED_VALUE"""),"Dubai&gt;Dubai Investment Park (DIP)&gt;Al Sondos Apartments&gt;Al Sondos Apartments Block D")</f>
        <v>Dubai&gt;Dubai Investment Park (DIP)&gt;Al Sondos Apartments&gt;Al Sondos Apartments Block D</v>
      </c>
      <c r="E11064" s="2"/>
      <c r="F11064" s="2"/>
      <c r="G11064" s="2"/>
      <c r="H11064" s="2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2"/>
      <c r="T11064" s="2"/>
      <c r="U11064" s="2"/>
      <c r="V11064" s="2"/>
      <c r="W11064" s="2"/>
      <c r="X11064" s="2"/>
      <c r="Y11064" s="2"/>
      <c r="Z11064" s="2"/>
    </row>
    <row r="11065" spans="1:26" ht="16.5" x14ac:dyDescent="0.35">
      <c r="A11065" s="2" t="str">
        <f ca="1">IFERROR(__xludf.DUMMYFUNCTION("""COMPUTED_VALUE"""),"Dubai")</f>
        <v>Dubai</v>
      </c>
      <c r="B11065" s="2" t="str">
        <f ca="1">IFERROR(__xludf.DUMMYFUNCTION("""COMPUTED_VALUE"""),"B6")</f>
        <v>B6</v>
      </c>
      <c r="C11065" s="2" t="str">
        <f ca="1">IFERROR(__xludf.DUMMYFUNCTION("""COMPUTED_VALUE"""),"Building")</f>
        <v>Building</v>
      </c>
      <c r="D11065" s="2" t="str">
        <f ca="1">IFERROR(__xludf.DUMMYFUNCTION("""COMPUTED_VALUE"""),"Dubai&gt;Dubai Investment Park (DIP)&gt;Dubai Investment Park 2&gt;Dunes Village&gt;B6")</f>
        <v>Dubai&gt;Dubai Investment Park (DIP)&gt;Dubai Investment Park 2&gt;Dunes Village&gt;B6</v>
      </c>
      <c r="E11065" s="2"/>
      <c r="F11065" s="2"/>
      <c r="G11065" s="2"/>
      <c r="H11065" s="2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2"/>
      <c r="T11065" s="2"/>
      <c r="U11065" s="2"/>
      <c r="V11065" s="2"/>
      <c r="W11065" s="2"/>
      <c r="X11065" s="2"/>
      <c r="Y11065" s="2"/>
      <c r="Z11065" s="2"/>
    </row>
    <row r="11066" spans="1:26" ht="16.5" x14ac:dyDescent="0.35">
      <c r="A11066" s="2" t="str">
        <f ca="1">IFERROR(__xludf.DUMMYFUNCTION("""COMPUTED_VALUE"""),"Dubai")</f>
        <v>Dubai</v>
      </c>
      <c r="B11066" s="2" t="str">
        <f ca="1">IFERROR(__xludf.DUMMYFUNCTION("""COMPUTED_VALUE"""),"Al Abbar Park Residences")</f>
        <v>Al Abbar Park Residences</v>
      </c>
      <c r="C11066" s="2" t="str">
        <f ca="1">IFERROR(__xludf.DUMMYFUNCTION("""COMPUTED_VALUE"""),"Building")</f>
        <v>Building</v>
      </c>
      <c r="D11066" s="2" t="str">
        <f ca="1">IFERROR(__xludf.DUMMYFUNCTION("""COMPUTED_VALUE"""),"Dubai&gt;Dubai Investment Park (DIP)&gt;Al Abbar Park Residences")</f>
        <v>Dubai&gt;Dubai Investment Park (DIP)&gt;Al Abbar Park Residences</v>
      </c>
      <c r="E11066" s="2"/>
      <c r="F11066" s="2"/>
      <c r="G11066" s="2"/>
      <c r="H11066" s="2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2"/>
      <c r="T11066" s="2"/>
      <c r="U11066" s="2"/>
      <c r="V11066" s="2"/>
      <c r="W11066" s="2"/>
      <c r="X11066" s="2"/>
      <c r="Y11066" s="2"/>
      <c r="Z11066" s="2"/>
    </row>
    <row r="11067" spans="1:26" ht="16.5" x14ac:dyDescent="0.35">
      <c r="A11067" s="2" t="str">
        <f ca="1">IFERROR(__xludf.DUMMYFUNCTION("""COMPUTED_VALUE"""),"Dubai")</f>
        <v>Dubai</v>
      </c>
      <c r="B11067" s="2" t="str">
        <f ca="1">IFERROR(__xludf.DUMMYFUNCTION("""COMPUTED_VALUE"""),"Azure 1")</f>
        <v>Azure 1</v>
      </c>
      <c r="C11067" s="2" t="str">
        <f ca="1">IFERROR(__xludf.DUMMYFUNCTION("""COMPUTED_VALUE"""),"Building")</f>
        <v>Building</v>
      </c>
      <c r="D11067" s="2" t="str">
        <f ca="1">IFERROR(__xludf.DUMMYFUNCTION("""COMPUTED_VALUE"""),"Dubai&gt;Dubai Investment Park (DIP)&gt;DAMAC Riverside&gt;Riverside Views&gt;Azure 1")</f>
        <v>Dubai&gt;Dubai Investment Park (DIP)&gt;DAMAC Riverside&gt;Riverside Views&gt;Azure 1</v>
      </c>
      <c r="E11067" s="2"/>
      <c r="F11067" s="2"/>
      <c r="G11067" s="2"/>
      <c r="H11067" s="2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2"/>
      <c r="T11067" s="2"/>
      <c r="U11067" s="2"/>
      <c r="V11067" s="2"/>
      <c r="W11067" s="2"/>
      <c r="X11067" s="2"/>
      <c r="Y11067" s="2"/>
      <c r="Z11067" s="2"/>
    </row>
    <row r="11068" spans="1:26" ht="16.5" x14ac:dyDescent="0.35">
      <c r="A11068" s="2" t="str">
        <f ca="1">IFERROR(__xludf.DUMMYFUNCTION("""COMPUTED_VALUE"""),"Dubai")</f>
        <v>Dubai</v>
      </c>
      <c r="B11068" s="2" t="str">
        <f ca="1">IFERROR(__xludf.DUMMYFUNCTION("""COMPUTED_VALUE"""),"Mizin 3")</f>
        <v>Mizin 3</v>
      </c>
      <c r="C11068" s="2" t="str">
        <f ca="1">IFERROR(__xludf.DUMMYFUNCTION("""COMPUTED_VALUE"""),"Building")</f>
        <v>Building</v>
      </c>
      <c r="D11068" s="2" t="str">
        <f ca="1">IFERROR(__xludf.DUMMYFUNCTION("""COMPUTED_VALUE"""),"Dubai&gt;Majan&gt;Mizin 3")</f>
        <v>Dubai&gt;Majan&gt;Mizin 3</v>
      </c>
      <c r="E11068" s="2"/>
      <c r="F11068" s="2"/>
      <c r="G11068" s="2"/>
      <c r="H11068" s="2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2"/>
      <c r="T11068" s="2"/>
      <c r="U11068" s="2"/>
      <c r="V11068" s="2"/>
      <c r="W11068" s="2"/>
      <c r="X11068" s="2"/>
      <c r="Y11068" s="2"/>
      <c r="Z11068" s="2"/>
    </row>
    <row r="11069" spans="1:26" ht="16.5" x14ac:dyDescent="0.35">
      <c r="A11069" s="2" t="str">
        <f ca="1">IFERROR(__xludf.DUMMYFUNCTION("""COMPUTED_VALUE"""),"Dubai")</f>
        <v>Dubai</v>
      </c>
      <c r="B11069" s="2" t="str">
        <f ca="1">IFERROR(__xludf.DUMMYFUNCTION("""COMPUTED_VALUE"""),"OST 6 Building")</f>
        <v>OST 6 Building</v>
      </c>
      <c r="C11069" s="2" t="str">
        <f ca="1">IFERROR(__xludf.DUMMYFUNCTION("""COMPUTED_VALUE"""),"Building")</f>
        <v>Building</v>
      </c>
      <c r="D11069" s="2" t="str">
        <f ca="1">IFERROR(__xludf.DUMMYFUNCTION("""COMPUTED_VALUE"""),"Dubai&gt;Majan&gt;OST 6 Building")</f>
        <v>Dubai&gt;Majan&gt;OST 6 Building</v>
      </c>
      <c r="E11069" s="2"/>
      <c r="F11069" s="2"/>
      <c r="G11069" s="2"/>
      <c r="H11069" s="2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2"/>
      <c r="T11069" s="2"/>
      <c r="U11069" s="2"/>
      <c r="V11069" s="2"/>
      <c r="W11069" s="2"/>
      <c r="X11069" s="2"/>
      <c r="Y11069" s="2"/>
      <c r="Z11069" s="2"/>
    </row>
    <row r="11070" spans="1:26" ht="16.5" x14ac:dyDescent="0.35">
      <c r="A11070" s="2" t="str">
        <f ca="1">IFERROR(__xludf.DUMMYFUNCTION("""COMPUTED_VALUE"""),"Dubai")</f>
        <v>Dubai</v>
      </c>
      <c r="B11070" s="2" t="str">
        <f ca="1">IFERROR(__xludf.DUMMYFUNCTION("""COMPUTED_VALUE"""),"Samana Business Park")</f>
        <v>Samana Business Park</v>
      </c>
      <c r="C11070" s="2" t="str">
        <f ca="1">IFERROR(__xludf.DUMMYFUNCTION("""COMPUTED_VALUE"""),"Building")</f>
        <v>Building</v>
      </c>
      <c r="D11070" s="2" t="str">
        <f ca="1">IFERROR(__xludf.DUMMYFUNCTION("""COMPUTED_VALUE"""),"Dubai&gt;Majan&gt;Samana Business Park")</f>
        <v>Dubai&gt;Majan&gt;Samana Business Park</v>
      </c>
      <c r="E11070" s="2"/>
      <c r="F11070" s="2"/>
      <c r="G11070" s="2"/>
      <c r="H11070" s="2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2"/>
      <c r="T11070" s="2"/>
      <c r="U11070" s="2"/>
      <c r="V11070" s="2"/>
      <c r="W11070" s="2"/>
      <c r="X11070" s="2"/>
      <c r="Y11070" s="2"/>
      <c r="Z11070" s="2"/>
    </row>
    <row r="11071" spans="1:26" ht="16.5" x14ac:dyDescent="0.35">
      <c r="A11071" s="2" t="str">
        <f ca="1">IFERROR(__xludf.DUMMYFUNCTION("""COMPUTED_VALUE"""),"Dubai")</f>
        <v>Dubai</v>
      </c>
      <c r="B11071" s="2" t="str">
        <f ca="1">IFERROR(__xludf.DUMMYFUNCTION("""COMPUTED_VALUE"""),"Riverside Crescent")</f>
        <v>Riverside Crescent</v>
      </c>
      <c r="C11071" s="2" t="str">
        <f ca="1">IFERROR(__xludf.DUMMYFUNCTION("""COMPUTED_VALUE"""),"Cluster")</f>
        <v>Cluster</v>
      </c>
      <c r="D11071" s="2" t="str">
        <f ca="1">IFERROR(__xludf.DUMMYFUNCTION("""COMPUTED_VALUE"""),"Dubai&gt;Sobha Hartland 2&gt;Riverside Crescent")</f>
        <v>Dubai&gt;Sobha Hartland 2&gt;Riverside Crescent</v>
      </c>
      <c r="E11071" s="2"/>
      <c r="F11071" s="2"/>
      <c r="G11071" s="2"/>
      <c r="H11071" s="2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2"/>
      <c r="T11071" s="2"/>
      <c r="U11071" s="2"/>
      <c r="V11071" s="2"/>
      <c r="W11071" s="2"/>
      <c r="X11071" s="2"/>
      <c r="Y11071" s="2"/>
      <c r="Z11071" s="2"/>
    </row>
    <row r="11072" spans="1:26" ht="16.5" x14ac:dyDescent="0.35">
      <c r="A11072" s="2" t="str">
        <f ca="1">IFERROR(__xludf.DUMMYFUNCTION("""COMPUTED_VALUE"""),"Dubai")</f>
        <v>Dubai</v>
      </c>
      <c r="B11072" s="2" t="str">
        <f ca="1">IFERROR(__xludf.DUMMYFUNCTION("""COMPUTED_VALUE"""),"Glitz 3 Tower 2")</f>
        <v>Glitz 3 Tower 2</v>
      </c>
      <c r="C11072" s="2" t="str">
        <f ca="1">IFERROR(__xludf.DUMMYFUNCTION("""COMPUTED_VALUE"""),"Building")</f>
        <v>Building</v>
      </c>
      <c r="D11072" s="2" t="str">
        <f ca="1">IFERROR(__xludf.DUMMYFUNCTION("""COMPUTED_VALUE"""),"Dubai&gt;Dubai Studio City&gt;Glitz 3&gt;Glitz 3 Tower 2")</f>
        <v>Dubai&gt;Dubai Studio City&gt;Glitz 3&gt;Glitz 3 Tower 2</v>
      </c>
      <c r="E11072" s="2"/>
      <c r="F11072" s="2"/>
      <c r="G11072" s="2"/>
      <c r="H11072" s="2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2"/>
      <c r="T11072" s="2"/>
      <c r="U11072" s="2"/>
      <c r="V11072" s="2"/>
      <c r="W11072" s="2"/>
      <c r="X11072" s="2"/>
      <c r="Y11072" s="2"/>
      <c r="Z11072" s="2"/>
    </row>
    <row r="11073" spans="1:26" ht="16.5" x14ac:dyDescent="0.35">
      <c r="A11073" s="2" t="str">
        <f ca="1">IFERROR(__xludf.DUMMYFUNCTION("""COMPUTED_VALUE"""),"Dubai")</f>
        <v>Dubai</v>
      </c>
      <c r="B11073" s="2" t="str">
        <f ca="1">IFERROR(__xludf.DUMMYFUNCTION("""COMPUTED_VALUE"""),"Zaytouna Residence")</f>
        <v>Zaytouna Residence</v>
      </c>
      <c r="C11073" s="2" t="str">
        <f ca="1">IFERROR(__xludf.DUMMYFUNCTION("""COMPUTED_VALUE"""),"Building")</f>
        <v>Building</v>
      </c>
      <c r="D11073" s="2" t="str">
        <f ca="1">IFERROR(__xludf.DUMMYFUNCTION("""COMPUTED_VALUE"""),"Dubai&gt;Dubai Studio City&gt;Zaytouna Residence")</f>
        <v>Dubai&gt;Dubai Studio City&gt;Zaytouna Residence</v>
      </c>
      <c r="E11073" s="2"/>
      <c r="F11073" s="2"/>
      <c r="G11073" s="2"/>
      <c r="H11073" s="2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2"/>
      <c r="T11073" s="2"/>
      <c r="U11073" s="2"/>
      <c r="V11073" s="2"/>
      <c r="W11073" s="2"/>
      <c r="X11073" s="2"/>
      <c r="Y11073" s="2"/>
      <c r="Z11073" s="2"/>
    </row>
    <row r="11074" spans="1:26" ht="16.5" x14ac:dyDescent="0.35">
      <c r="A11074" s="2" t="str">
        <f ca="1">IFERROR(__xludf.DUMMYFUNCTION("""COMPUTED_VALUE"""),"Dubai")</f>
        <v>Dubai</v>
      </c>
      <c r="B11074" s="2" t="str">
        <f ca="1">IFERROR(__xludf.DUMMYFUNCTION("""COMPUTED_VALUE"""),"Wilton Park Residences II")</f>
        <v>Wilton Park Residences II</v>
      </c>
      <c r="C11074" s="2" t="str">
        <f ca="1">IFERROR(__xludf.DUMMYFUNCTION("""COMPUTED_VALUE"""),"Building")</f>
        <v>Building</v>
      </c>
      <c r="D11074" s="2" t="str">
        <f ca="1">IFERROR(__xludf.DUMMYFUNCTION("""COMPUTED_VALUE"""),"Dubai&gt;Sobha Hartland&gt;Wilton Park Residences&gt;Wilton Park Residences II")</f>
        <v>Dubai&gt;Sobha Hartland&gt;Wilton Park Residences&gt;Wilton Park Residences II</v>
      </c>
      <c r="E11074" s="2"/>
      <c r="F11074" s="2"/>
      <c r="G11074" s="2"/>
      <c r="H11074" s="2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2"/>
      <c r="T11074" s="2"/>
      <c r="U11074" s="2"/>
      <c r="V11074" s="2"/>
      <c r="W11074" s="2"/>
      <c r="X11074" s="2"/>
      <c r="Y11074" s="2"/>
      <c r="Z11074" s="2"/>
    </row>
    <row r="11075" spans="1:26" ht="16.5" x14ac:dyDescent="0.35">
      <c r="A11075" s="2" t="str">
        <f ca="1">IFERROR(__xludf.DUMMYFUNCTION("""COMPUTED_VALUE"""),"Dubai")</f>
        <v>Dubai</v>
      </c>
      <c r="B11075" s="2" t="str">
        <f ca="1">IFERROR(__xludf.DUMMYFUNCTION("""COMPUTED_VALUE"""),"Sobha One Tower D")</f>
        <v>Sobha One Tower D</v>
      </c>
      <c r="C11075" s="2" t="str">
        <f ca="1">IFERROR(__xludf.DUMMYFUNCTION("""COMPUTED_VALUE"""),"Building")</f>
        <v>Building</v>
      </c>
      <c r="D11075" s="2" t="str">
        <f ca="1">IFERROR(__xludf.DUMMYFUNCTION("""COMPUTED_VALUE"""),"Dubai&gt;Sobha Hartland&gt;Sobha One&gt;Sobha One Tower D")</f>
        <v>Dubai&gt;Sobha Hartland&gt;Sobha One&gt;Sobha One Tower D</v>
      </c>
      <c r="E11075" s="2"/>
      <c r="F11075" s="2"/>
      <c r="G11075" s="2"/>
      <c r="H11075" s="2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2"/>
      <c r="T11075" s="2"/>
      <c r="U11075" s="2"/>
      <c r="V11075" s="2"/>
      <c r="W11075" s="2"/>
      <c r="X11075" s="2"/>
      <c r="Y11075" s="2"/>
      <c r="Z11075" s="2"/>
    </row>
    <row r="11076" spans="1:26" ht="16.5" x14ac:dyDescent="0.35">
      <c r="A11076" s="2" t="str">
        <f ca="1">IFERROR(__xludf.DUMMYFUNCTION("""COMPUTED_VALUE"""),"Dubai")</f>
        <v>Dubai</v>
      </c>
      <c r="B11076" s="2" t="str">
        <f ca="1">IFERROR(__xludf.DUMMYFUNCTION("""COMPUTED_VALUE"""),"Residences 2")</f>
        <v>Residences 2</v>
      </c>
      <c r="C11076" s="2" t="str">
        <f ca="1">IFERROR(__xludf.DUMMYFUNCTION("""COMPUTED_VALUE"""),"Cluster")</f>
        <v>Cluster</v>
      </c>
      <c r="D11076" s="2" t="str">
        <f ca="1">IFERROR(__xludf.DUMMYFUNCTION("""COMPUTED_VALUE"""),"Dubai&gt;Expo City&gt;Expo Village&gt;Residences 2")</f>
        <v>Dubai&gt;Expo City&gt;Expo Village&gt;Residences 2</v>
      </c>
      <c r="E11076" s="2"/>
      <c r="F11076" s="2"/>
      <c r="G11076" s="2"/>
      <c r="H11076" s="2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2"/>
      <c r="T11076" s="2"/>
      <c r="U11076" s="2"/>
      <c r="V11076" s="2"/>
      <c r="W11076" s="2"/>
      <c r="X11076" s="2"/>
      <c r="Y11076" s="2"/>
      <c r="Z11076" s="2"/>
    </row>
    <row r="11077" spans="1:26" ht="16.5" x14ac:dyDescent="0.35">
      <c r="A11077" s="2" t="str">
        <f ca="1">IFERROR(__xludf.DUMMYFUNCTION("""COMPUTED_VALUE"""),"Dubai")</f>
        <v>Dubai</v>
      </c>
      <c r="B11077" s="2" t="str">
        <f ca="1">IFERROR(__xludf.DUMMYFUNCTION("""COMPUTED_VALUE"""),"Terra Heights Building 1")</f>
        <v>Terra Heights Building 1</v>
      </c>
      <c r="C11077" s="2" t="str">
        <f ca="1">IFERROR(__xludf.DUMMYFUNCTION("""COMPUTED_VALUE"""),"Building")</f>
        <v>Building</v>
      </c>
      <c r="D11077" s="2" t="str">
        <f ca="1">IFERROR(__xludf.DUMMYFUNCTION("""COMPUTED_VALUE"""),"Dubai&gt;Expo City&gt;Terra Heights&gt;Terra Heights Building 1")</f>
        <v>Dubai&gt;Expo City&gt;Terra Heights&gt;Terra Heights Building 1</v>
      </c>
      <c r="E11077" s="2"/>
      <c r="F11077" s="2"/>
      <c r="G11077" s="2"/>
      <c r="H11077" s="2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2"/>
      <c r="T11077" s="2"/>
      <c r="U11077" s="2"/>
      <c r="V11077" s="2"/>
      <c r="W11077" s="2"/>
      <c r="X11077" s="2"/>
      <c r="Y11077" s="2"/>
      <c r="Z11077" s="2"/>
    </row>
    <row r="11078" spans="1:26" ht="16.5" x14ac:dyDescent="0.35">
      <c r="A11078" s="2" t="str">
        <f ca="1">IFERROR(__xludf.DUMMYFUNCTION("""COMPUTED_VALUE"""),"Dubai")</f>
        <v>Dubai</v>
      </c>
      <c r="B11078" s="2" t="str">
        <f ca="1">IFERROR(__xludf.DUMMYFUNCTION("""COMPUTED_VALUE"""),"Verdes by Haven")</f>
        <v>Verdes by Haven</v>
      </c>
      <c r="C11078" s="2" t="str">
        <f ca="1">IFERROR(__xludf.DUMMYFUNCTION("""COMPUTED_VALUE"""),"Cluster")</f>
        <v>Cluster</v>
      </c>
      <c r="D11078" s="2" t="str">
        <f ca="1">IFERROR(__xludf.DUMMYFUNCTION("""COMPUTED_VALUE"""),"Dubai&gt;Haven by Aldar&gt;Verdes by Haven")</f>
        <v>Dubai&gt;Haven by Aldar&gt;Verdes by Haven</v>
      </c>
      <c r="E11078" s="2"/>
      <c r="F11078" s="2"/>
      <c r="G11078" s="2"/>
      <c r="H11078" s="2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2"/>
      <c r="T11078" s="2"/>
      <c r="U11078" s="2"/>
      <c r="V11078" s="2"/>
      <c r="W11078" s="2"/>
      <c r="X11078" s="2"/>
      <c r="Y11078" s="2"/>
      <c r="Z11078" s="2"/>
    </row>
    <row r="11079" spans="1:26" ht="16.5" x14ac:dyDescent="0.35">
      <c r="A11079" s="2" t="str">
        <f ca="1">IFERROR(__xludf.DUMMYFUNCTION("""COMPUTED_VALUE"""),"Dubai")</f>
        <v>Dubai</v>
      </c>
      <c r="B11079" s="2" t="str">
        <f ca="1">IFERROR(__xludf.DUMMYFUNCTION("""COMPUTED_VALUE"""),"Enkhali")</f>
        <v>Enkhali</v>
      </c>
      <c r="C11079" s="2" t="str">
        <f ca="1">IFERROR(__xludf.DUMMYFUNCTION("""COMPUTED_VALUE"""),"Neighbourhood")</f>
        <v>Neighbourhood</v>
      </c>
      <c r="D11079" s="2" t="str">
        <f ca="1">IFERROR(__xludf.DUMMYFUNCTION("""COMPUTED_VALUE"""),"Dubai&gt;Enkhali")</f>
        <v>Dubai&gt;Enkhali</v>
      </c>
      <c r="E11079" s="2"/>
      <c r="F11079" s="2"/>
      <c r="G11079" s="2"/>
      <c r="H11079" s="2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2"/>
      <c r="T11079" s="2"/>
      <c r="U11079" s="2"/>
      <c r="V11079" s="2"/>
      <c r="W11079" s="2"/>
      <c r="X11079" s="2"/>
      <c r="Y11079" s="2"/>
      <c r="Z11079" s="2"/>
    </row>
    <row r="11080" spans="1:26" ht="16.5" x14ac:dyDescent="0.35">
      <c r="A11080" s="2" t="str">
        <f ca="1">IFERROR(__xludf.DUMMYFUNCTION("""COMPUTED_VALUE"""),"Dubai")</f>
        <v>Dubai</v>
      </c>
      <c r="B11080" s="2" t="str">
        <f ca="1">IFERROR(__xludf.DUMMYFUNCTION("""COMPUTED_VALUE"""),"Serra Building 3")</f>
        <v>Serra Building 3</v>
      </c>
      <c r="C11080" s="2" t="str">
        <f ca="1">IFERROR(__xludf.DUMMYFUNCTION("""COMPUTED_VALUE"""),"Building")</f>
        <v>Building</v>
      </c>
      <c r="D11080" s="2" t="str">
        <f ca="1">IFERROR(__xludf.DUMMYFUNCTION("""COMPUTED_VALUE"""),"Dubai&gt;Ghaf Woods&gt;Serra&gt;Serra Building 3")</f>
        <v>Dubai&gt;Ghaf Woods&gt;Serra&gt;Serra Building 3</v>
      </c>
      <c r="E11080" s="2"/>
      <c r="F11080" s="2"/>
      <c r="G11080" s="2"/>
      <c r="H11080" s="2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2"/>
      <c r="T11080" s="2"/>
      <c r="U11080" s="2"/>
      <c r="V11080" s="2"/>
      <c r="W11080" s="2"/>
      <c r="X11080" s="2"/>
      <c r="Y11080" s="2"/>
      <c r="Z11080" s="2"/>
    </row>
    <row r="11081" spans="1:26" ht="16.5" x14ac:dyDescent="0.35">
      <c r="A11081" s="2" t="str">
        <f ca="1">IFERROR(__xludf.DUMMYFUNCTION("""COMPUTED_VALUE"""),"Dubai")</f>
        <v>Dubai</v>
      </c>
      <c r="B11081" s="2" t="str">
        <f ca="1">IFERROR(__xludf.DUMMYFUNCTION("""COMPUTED_VALUE"""),"DAMAC Islands")</f>
        <v>DAMAC Islands</v>
      </c>
      <c r="C11081" s="2" t="str">
        <f ca="1">IFERROR(__xludf.DUMMYFUNCTION("""COMPUTED_VALUE"""),"Neighbourhood")</f>
        <v>Neighbourhood</v>
      </c>
      <c r="D11081" s="2" t="str">
        <f ca="1">IFERROR(__xludf.DUMMYFUNCTION("""COMPUTED_VALUE"""),"Dubai&gt;DAMAC Islands")</f>
        <v>Dubai&gt;DAMAC Islands</v>
      </c>
      <c r="E11081" s="2"/>
      <c r="F11081" s="2"/>
      <c r="G11081" s="2"/>
      <c r="H11081" s="2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2"/>
      <c r="T11081" s="2"/>
      <c r="U11081" s="2"/>
      <c r="V11081" s="2"/>
      <c r="W11081" s="2"/>
      <c r="X11081" s="2"/>
      <c r="Y11081" s="2"/>
      <c r="Z11081" s="2"/>
    </row>
    <row r="11082" spans="1:26" ht="16.5" x14ac:dyDescent="0.35">
      <c r="A11082" s="2" t="str">
        <f ca="1">IFERROR(__xludf.DUMMYFUNCTION("""COMPUTED_VALUE"""),"Dubai")</f>
        <v>Dubai</v>
      </c>
      <c r="B11082" s="2" t="str">
        <f ca="1">IFERROR(__xludf.DUMMYFUNCTION("""COMPUTED_VALUE"""),"Ramada Hotel &amp; Suites JBR")</f>
        <v>Ramada Hotel &amp; Suites JBR</v>
      </c>
      <c r="C11082" s="2" t="str">
        <f ca="1">IFERROR(__xludf.DUMMYFUNCTION("""COMPUTED_VALUE"""),"Building")</f>
        <v>Building</v>
      </c>
      <c r="D11082" s="2" t="str">
        <f ca="1">IFERROR(__xludf.DUMMYFUNCTION("""COMPUTED_VALUE"""),"Dubai&gt;Jumeirah Beach Residence (JBR)&gt;Ramada Hotel &amp; Suites JBR")</f>
        <v>Dubai&gt;Jumeirah Beach Residence (JBR)&gt;Ramada Hotel &amp; Suites JBR</v>
      </c>
      <c r="E11082" s="2"/>
      <c r="F11082" s="2"/>
      <c r="G11082" s="2"/>
      <c r="H11082" s="2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2"/>
      <c r="T11082" s="2"/>
      <c r="U11082" s="2"/>
      <c r="V11082" s="2"/>
      <c r="W11082" s="2"/>
      <c r="X11082" s="2"/>
      <c r="Y11082" s="2"/>
      <c r="Z11082" s="2"/>
    </row>
    <row r="11083" spans="1:26" ht="16.5" x14ac:dyDescent="0.35">
      <c r="A11083" s="2" t="str">
        <f ca="1">IFERROR(__xludf.DUMMYFUNCTION("""COMPUTED_VALUE"""),"Dubai")</f>
        <v>Dubai</v>
      </c>
      <c r="B11083" s="2" t="str">
        <f ca="1">IFERROR(__xludf.DUMMYFUNCTION("""COMPUTED_VALUE"""),"Sadaf 7")</f>
        <v>Sadaf 7</v>
      </c>
      <c r="C11083" s="2" t="str">
        <f ca="1">IFERROR(__xludf.DUMMYFUNCTION("""COMPUTED_VALUE"""),"Building")</f>
        <v>Building</v>
      </c>
      <c r="D11083" s="2" t="str">
        <f ca="1">IFERROR(__xludf.DUMMYFUNCTION("""COMPUTED_VALUE"""),"Dubai&gt;Jumeirah Beach Residence (JBR)&gt;Sadaf&gt;Sadaf 7")</f>
        <v>Dubai&gt;Jumeirah Beach Residence (JBR)&gt;Sadaf&gt;Sadaf 7</v>
      </c>
      <c r="E11083" s="2"/>
      <c r="F11083" s="2"/>
      <c r="G11083" s="2"/>
      <c r="H11083" s="2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2"/>
      <c r="T11083" s="2"/>
      <c r="U11083" s="2"/>
      <c r="V11083" s="2"/>
      <c r="W11083" s="2"/>
      <c r="X11083" s="2"/>
      <c r="Y11083" s="2"/>
      <c r="Z11083" s="2"/>
    </row>
    <row r="11084" spans="1:26" ht="16.5" x14ac:dyDescent="0.35">
      <c r="A11084" s="2" t="str">
        <f ca="1">IFERROR(__xludf.DUMMYFUNCTION("""COMPUTED_VALUE"""),"Dubai")</f>
        <v>Dubai</v>
      </c>
      <c r="B11084" s="2" t="str">
        <f ca="1">IFERROR(__xludf.DUMMYFUNCTION("""COMPUTED_VALUE"""),"The Waterway by Prestige One")</f>
        <v>The Waterway by Prestige One</v>
      </c>
      <c r="C11084" s="2" t="str">
        <f ca="1">IFERROR(__xludf.DUMMYFUNCTION("""COMPUTED_VALUE"""),"Building")</f>
        <v>Building</v>
      </c>
      <c r="D11084" s="2" t="str">
        <f ca="1">IFERROR(__xludf.DUMMYFUNCTION("""COMPUTED_VALUE"""),"Dubai&gt;Meydan Horizon&gt;The Waterway by Prestige One")</f>
        <v>Dubai&gt;Meydan Horizon&gt;The Waterway by Prestige One</v>
      </c>
      <c r="E11084" s="2"/>
      <c r="F11084" s="2"/>
      <c r="G11084" s="2"/>
      <c r="H11084" s="2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2"/>
      <c r="T11084" s="2"/>
      <c r="U11084" s="2"/>
      <c r="V11084" s="2"/>
      <c r="W11084" s="2"/>
      <c r="X11084" s="2"/>
      <c r="Y11084" s="2"/>
      <c r="Z11084" s="2"/>
    </row>
    <row r="11085" spans="1:26" ht="16.5" x14ac:dyDescent="0.35">
      <c r="A11085" s="2" t="str">
        <f ca="1">IFERROR(__xludf.DUMMYFUNCTION("""COMPUTED_VALUE"""),"Dubai")</f>
        <v>Dubai</v>
      </c>
      <c r="B11085" s="2" t="str">
        <f ca="1">IFERROR(__xludf.DUMMYFUNCTION("""COMPUTED_VALUE"""),"Kids Spot Nursery")</f>
        <v>Kids Spot Nursery</v>
      </c>
      <c r="C11085" s="2" t="str">
        <f ca="1">IFERROR(__xludf.DUMMYFUNCTION("""COMPUTED_VALUE"""),"Nursery")</f>
        <v>Nursery</v>
      </c>
      <c r="D11085" s="2" t="str">
        <f ca="1">IFERROR(__xludf.DUMMYFUNCTION("""COMPUTED_VALUE"""),"Dubai&gt;Al Wasl&gt;Kids Spot Nursery")</f>
        <v>Dubai&gt;Al Wasl&gt;Kids Spot Nursery</v>
      </c>
      <c r="E11085" s="2"/>
      <c r="F11085" s="2"/>
      <c r="G11085" s="2"/>
      <c r="H11085" s="2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2"/>
      <c r="T11085" s="2"/>
      <c r="U11085" s="2"/>
      <c r="V11085" s="2"/>
      <c r="W11085" s="2"/>
      <c r="X11085" s="2"/>
      <c r="Y11085" s="2"/>
      <c r="Z11085" s="2"/>
    </row>
    <row r="11086" spans="1:26" ht="16.5" x14ac:dyDescent="0.35">
      <c r="A11086" s="2" t="str">
        <f ca="1">IFERROR(__xludf.DUMMYFUNCTION("""COMPUTED_VALUE"""),"Dubai")</f>
        <v>Dubai</v>
      </c>
      <c r="B11086" s="2" t="str">
        <f ca="1">IFERROR(__xludf.DUMMYFUNCTION("""COMPUTED_VALUE"""),"Building 9")</f>
        <v>Building 9</v>
      </c>
      <c r="C11086" s="2" t="str">
        <f ca="1">IFERROR(__xludf.DUMMYFUNCTION("""COMPUTED_VALUE"""),"Building")</f>
        <v>Building</v>
      </c>
      <c r="D11086" s="2" t="str">
        <f ca="1">IFERROR(__xludf.DUMMYFUNCTION("""COMPUTED_VALUE"""),"Dubai&gt;Al Wasl&gt;City Walk&gt;Building 9")</f>
        <v>Dubai&gt;Al Wasl&gt;City Walk&gt;Building 9</v>
      </c>
      <c r="E11086" s="2"/>
      <c r="F11086" s="2"/>
      <c r="G11086" s="2"/>
      <c r="H11086" s="2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2"/>
      <c r="T11086" s="2"/>
      <c r="U11086" s="2"/>
      <c r="V11086" s="2"/>
      <c r="W11086" s="2"/>
      <c r="X11086" s="2"/>
      <c r="Y11086" s="2"/>
      <c r="Z11086" s="2"/>
    </row>
    <row r="11087" spans="1:26" ht="16.5" x14ac:dyDescent="0.35">
      <c r="A11087" s="2" t="str">
        <f ca="1">IFERROR(__xludf.DUMMYFUNCTION("""COMPUTED_VALUE"""),"Dubai")</f>
        <v>Dubai</v>
      </c>
      <c r="B11087" s="2" t="str">
        <f ca="1">IFERROR(__xludf.DUMMYFUNCTION("""COMPUTED_VALUE"""),"Building 3B")</f>
        <v>Building 3B</v>
      </c>
      <c r="C11087" s="2" t="str">
        <f ca="1">IFERROR(__xludf.DUMMYFUNCTION("""COMPUTED_VALUE"""),"Building")</f>
        <v>Building</v>
      </c>
      <c r="D11087" s="2" t="str">
        <f ca="1">IFERROR(__xludf.DUMMYFUNCTION("""COMPUTED_VALUE"""),"Dubai&gt;Al Wasl&gt;City Walk&gt;Building 3B")</f>
        <v>Dubai&gt;Al Wasl&gt;City Walk&gt;Building 3B</v>
      </c>
      <c r="E11087" s="2"/>
      <c r="F11087" s="2"/>
      <c r="G11087" s="2"/>
      <c r="H11087" s="2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2"/>
      <c r="T11087" s="2"/>
      <c r="U11087" s="2"/>
      <c r="V11087" s="2"/>
      <c r="W11087" s="2"/>
      <c r="X11087" s="2"/>
      <c r="Y11087" s="2"/>
      <c r="Z11087" s="2"/>
    </row>
    <row r="11088" spans="1:26" ht="16.5" x14ac:dyDescent="0.35">
      <c r="A11088" s="2" t="str">
        <f ca="1">IFERROR(__xludf.DUMMYFUNCTION("""COMPUTED_VALUE"""),"Dubai")</f>
        <v>Dubai</v>
      </c>
      <c r="B11088" s="2" t="str">
        <f ca="1">IFERROR(__xludf.DUMMYFUNCTION("""COMPUTED_VALUE"""),"Canal Front Residences 3")</f>
        <v>Canal Front Residences 3</v>
      </c>
      <c r="C11088" s="2" t="str">
        <f ca="1">IFERROR(__xludf.DUMMYFUNCTION("""COMPUTED_VALUE"""),"Building")</f>
        <v>Building</v>
      </c>
      <c r="D11088" s="2" t="str">
        <f ca="1">IFERROR(__xludf.DUMMYFUNCTION("""COMPUTED_VALUE"""),"Dubai&gt;Al Wasl&gt;Canal Front Residences&gt;Canal Front Residences 3")</f>
        <v>Dubai&gt;Al Wasl&gt;Canal Front Residences&gt;Canal Front Residences 3</v>
      </c>
      <c r="E11088" s="2"/>
      <c r="F11088" s="2"/>
      <c r="G11088" s="2"/>
      <c r="H11088" s="2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2"/>
      <c r="T11088" s="2"/>
      <c r="U11088" s="2"/>
      <c r="V11088" s="2"/>
      <c r="W11088" s="2"/>
      <c r="X11088" s="2"/>
      <c r="Y11088" s="2"/>
      <c r="Z11088" s="2"/>
    </row>
    <row r="11089" spans="1:26" ht="16.5" x14ac:dyDescent="0.35">
      <c r="A11089" s="2" t="str">
        <f ca="1">IFERROR(__xludf.DUMMYFUNCTION("""COMPUTED_VALUE"""),"Dubai")</f>
        <v>Dubai</v>
      </c>
      <c r="B11089" s="2" t="str">
        <f ca="1">IFERROR(__xludf.DUMMYFUNCTION("""COMPUTED_VALUE"""),"The Cliffs")</f>
        <v>The Cliffs</v>
      </c>
      <c r="C11089" s="2" t="str">
        <f ca="1">IFERROR(__xludf.DUMMYFUNCTION("""COMPUTED_VALUE"""),"Building")</f>
        <v>Building</v>
      </c>
      <c r="D11089" s="2" t="str">
        <f ca="1">IFERROR(__xludf.DUMMYFUNCTION("""COMPUTED_VALUE"""),"Dubai&gt;Al Wasl&gt;The Cliffs")</f>
        <v>Dubai&gt;Al Wasl&gt;The Cliffs</v>
      </c>
      <c r="E11089" s="2"/>
      <c r="F11089" s="2"/>
      <c r="G11089" s="2"/>
      <c r="H11089" s="2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2"/>
      <c r="T11089" s="2"/>
      <c r="U11089" s="2"/>
      <c r="V11089" s="2"/>
      <c r="W11089" s="2"/>
      <c r="X11089" s="2"/>
      <c r="Y11089" s="2"/>
      <c r="Z11089" s="2"/>
    </row>
    <row r="11090" spans="1:26" ht="16.5" x14ac:dyDescent="0.35">
      <c r="A11090" s="2" t="str">
        <f ca="1">IFERROR(__xludf.DUMMYFUNCTION("""COMPUTED_VALUE"""),"Dubai")</f>
        <v>Dubai</v>
      </c>
      <c r="B11090" s="2" t="str">
        <f ca="1">IFERROR(__xludf.DUMMYFUNCTION("""COMPUTED_VALUE"""),"Arjan Heights")</f>
        <v>Arjan Heights</v>
      </c>
      <c r="C11090" s="2" t="str">
        <f ca="1">IFERROR(__xludf.DUMMYFUNCTION("""COMPUTED_VALUE"""),"Building")</f>
        <v>Building</v>
      </c>
      <c r="D11090" s="2" t="str">
        <f ca="1">IFERROR(__xludf.DUMMYFUNCTION("""COMPUTED_VALUE"""),"Dubai&gt;Arjan&gt;Arjan Heights")</f>
        <v>Dubai&gt;Arjan&gt;Arjan Heights</v>
      </c>
      <c r="E11090" s="2"/>
      <c r="F11090" s="2"/>
      <c r="G11090" s="2"/>
      <c r="H11090" s="2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2"/>
      <c r="T11090" s="2"/>
      <c r="U11090" s="2"/>
      <c r="V11090" s="2"/>
      <c r="W11090" s="2"/>
      <c r="X11090" s="2"/>
      <c r="Y11090" s="2"/>
      <c r="Z11090" s="2"/>
    </row>
    <row r="11091" spans="1:26" ht="16.5" x14ac:dyDescent="0.35">
      <c r="A11091" s="2" t="str">
        <f ca="1">IFERROR(__xludf.DUMMYFUNCTION("""COMPUTED_VALUE"""),"Dubai")</f>
        <v>Dubai</v>
      </c>
      <c r="B11091" s="2" t="str">
        <f ca="1">IFERROR(__xludf.DUMMYFUNCTION("""COMPUTED_VALUE"""),"Siraj Tower")</f>
        <v>Siraj Tower</v>
      </c>
      <c r="C11091" s="2" t="str">
        <f ca="1">IFERROR(__xludf.DUMMYFUNCTION("""COMPUTED_VALUE"""),"Building")</f>
        <v>Building</v>
      </c>
      <c r="D11091" s="2" t="str">
        <f ca="1">IFERROR(__xludf.DUMMYFUNCTION("""COMPUTED_VALUE"""),"Dubai&gt;Arjan&gt;Siraj Tower")</f>
        <v>Dubai&gt;Arjan&gt;Siraj Tower</v>
      </c>
      <c r="E11091" s="2"/>
      <c r="F11091" s="2"/>
      <c r="G11091" s="2"/>
      <c r="H11091" s="2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2"/>
      <c r="T11091" s="2"/>
      <c r="U11091" s="2"/>
      <c r="V11091" s="2"/>
      <c r="W11091" s="2"/>
      <c r="X11091" s="2"/>
      <c r="Y11091" s="2"/>
      <c r="Z11091" s="2"/>
    </row>
    <row r="11092" spans="1:26" ht="16.5" x14ac:dyDescent="0.35">
      <c r="A11092" s="2" t="str">
        <f ca="1">IFERROR(__xludf.DUMMYFUNCTION("""COMPUTED_VALUE"""),"Dubai")</f>
        <v>Dubai</v>
      </c>
      <c r="B11092" s="2" t="str">
        <f ca="1">IFERROR(__xludf.DUMMYFUNCTION("""COMPUTED_VALUE"""),"Skyz by Danube")</f>
        <v>Skyz by Danube</v>
      </c>
      <c r="C11092" s="2" t="str">
        <f ca="1">IFERROR(__xludf.DUMMYFUNCTION("""COMPUTED_VALUE"""),"Building")</f>
        <v>Building</v>
      </c>
      <c r="D11092" s="2" t="str">
        <f ca="1">IFERROR(__xludf.DUMMYFUNCTION("""COMPUTED_VALUE"""),"Dubai&gt;Arjan&gt;Skyz by Danube")</f>
        <v>Dubai&gt;Arjan&gt;Skyz by Danube</v>
      </c>
      <c r="E11092" s="2"/>
      <c r="F11092" s="2"/>
      <c r="G11092" s="2"/>
      <c r="H11092" s="2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2"/>
      <c r="T11092" s="2"/>
      <c r="U11092" s="2"/>
      <c r="V11092" s="2"/>
      <c r="W11092" s="2"/>
      <c r="X11092" s="2"/>
      <c r="Y11092" s="2"/>
      <c r="Z11092" s="2"/>
    </row>
    <row r="11093" spans="1:26" ht="16.5" x14ac:dyDescent="0.35">
      <c r="A11093" s="2" t="str">
        <f ca="1">IFERROR(__xludf.DUMMYFUNCTION("""COMPUTED_VALUE"""),"Dubai")</f>
        <v>Dubai</v>
      </c>
      <c r="B11093" s="2" t="str">
        <f ca="1">IFERROR(__xludf.DUMMYFUNCTION("""COMPUTED_VALUE"""),"Beverly Boulevard")</f>
        <v>Beverly Boulevard</v>
      </c>
      <c r="C11093" s="2" t="str">
        <f ca="1">IFERROR(__xludf.DUMMYFUNCTION("""COMPUTED_VALUE"""),"Building")</f>
        <v>Building</v>
      </c>
      <c r="D11093" s="2" t="str">
        <f ca="1">IFERROR(__xludf.DUMMYFUNCTION("""COMPUTED_VALUE"""),"Dubai&gt;Arjan&gt;Beverly Boulevard")</f>
        <v>Dubai&gt;Arjan&gt;Beverly Boulevard</v>
      </c>
      <c r="E11093" s="2"/>
      <c r="F11093" s="2"/>
      <c r="G11093" s="2"/>
      <c r="H11093" s="2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2"/>
      <c r="T11093" s="2"/>
      <c r="U11093" s="2"/>
      <c r="V11093" s="2"/>
      <c r="W11093" s="2"/>
      <c r="X11093" s="2"/>
      <c r="Y11093" s="2"/>
      <c r="Z11093" s="2"/>
    </row>
    <row r="11094" spans="1:26" ht="16.5" x14ac:dyDescent="0.35">
      <c r="A11094" s="2" t="str">
        <f ca="1">IFERROR(__xludf.DUMMYFUNCTION("""COMPUTED_VALUE"""),"Dubai")</f>
        <v>Dubai</v>
      </c>
      <c r="B11094" s="2" t="str">
        <f ca="1">IFERROR(__xludf.DUMMYFUNCTION("""COMPUTED_VALUE"""),"The Central Downtown")</f>
        <v>The Central Downtown</v>
      </c>
      <c r="C11094" s="2" t="str">
        <f ca="1">IFERROR(__xludf.DUMMYFUNCTION("""COMPUTED_VALUE"""),"Cluster")</f>
        <v>Cluster</v>
      </c>
      <c r="D11094" s="2" t="str">
        <f ca="1">IFERROR(__xludf.DUMMYFUNCTION("""COMPUTED_VALUE"""),"Dubai&gt;Arjan&gt;The Central Downtown")</f>
        <v>Dubai&gt;Arjan&gt;The Central Downtown</v>
      </c>
      <c r="E11094" s="2"/>
      <c r="F11094" s="2"/>
      <c r="G11094" s="2"/>
      <c r="H11094" s="2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2"/>
      <c r="T11094" s="2"/>
      <c r="U11094" s="2"/>
      <c r="V11094" s="2"/>
      <c r="W11094" s="2"/>
      <c r="X11094" s="2"/>
      <c r="Y11094" s="2"/>
      <c r="Z11094" s="2"/>
    </row>
    <row r="11095" spans="1:26" ht="16.5" x14ac:dyDescent="0.35">
      <c r="A11095" s="2" t="str">
        <f ca="1">IFERROR(__xludf.DUMMYFUNCTION("""COMPUTED_VALUE"""),"Dubai")</f>
        <v>Dubai</v>
      </c>
      <c r="B11095" s="2" t="str">
        <f ca="1">IFERROR(__xludf.DUMMYFUNCTION("""COMPUTED_VALUE"""),"ART PARKVIEW")</f>
        <v>ART PARKVIEW</v>
      </c>
      <c r="C11095" s="2" t="str">
        <f ca="1">IFERROR(__xludf.DUMMYFUNCTION("""COMPUTED_VALUE"""),"Building")</f>
        <v>Building</v>
      </c>
      <c r="D11095" s="2" t="str">
        <f ca="1">IFERROR(__xludf.DUMMYFUNCTION("""COMPUTED_VALUE"""),"Dubai&gt;Arjan&gt;ART PARKVIEW")</f>
        <v>Dubai&gt;Arjan&gt;ART PARKVIEW</v>
      </c>
      <c r="E11095" s="2"/>
      <c r="F11095" s="2"/>
      <c r="G11095" s="2"/>
      <c r="H11095" s="2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2"/>
      <c r="T11095" s="2"/>
      <c r="U11095" s="2"/>
      <c r="V11095" s="2"/>
      <c r="W11095" s="2"/>
      <c r="X11095" s="2"/>
      <c r="Y11095" s="2"/>
      <c r="Z11095" s="2"/>
    </row>
    <row r="11096" spans="1:26" ht="16.5" x14ac:dyDescent="0.35">
      <c r="A11096" s="2" t="str">
        <f ca="1">IFERROR(__xludf.DUMMYFUNCTION("""COMPUTED_VALUE"""),"Dubai")</f>
        <v>Dubai</v>
      </c>
      <c r="B11096" s="2" t="str">
        <f ca="1">IFERROR(__xludf.DUMMYFUNCTION("""COMPUTED_VALUE"""),"Maple Bear Nursery Al Safa")</f>
        <v>Maple Bear Nursery Al Safa</v>
      </c>
      <c r="C11096" s="2" t="str">
        <f ca="1">IFERROR(__xludf.DUMMYFUNCTION("""COMPUTED_VALUE"""),"Nursery")</f>
        <v>Nursery</v>
      </c>
      <c r="D11096" s="2" t="str">
        <f ca="1">IFERROR(__xludf.DUMMYFUNCTION("""COMPUTED_VALUE"""),"Dubai&gt;Al Safa&gt;Al Safa 1&gt;Maple Bear Nursery Al Safa")</f>
        <v>Dubai&gt;Al Safa&gt;Al Safa 1&gt;Maple Bear Nursery Al Safa</v>
      </c>
      <c r="E11096" s="2"/>
      <c r="F11096" s="2"/>
      <c r="G11096" s="2"/>
      <c r="H11096" s="2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2"/>
      <c r="T11096" s="2"/>
      <c r="U11096" s="2"/>
      <c r="V11096" s="2"/>
      <c r="W11096" s="2"/>
      <c r="X11096" s="2"/>
      <c r="Y11096" s="2"/>
      <c r="Z11096" s="2"/>
    </row>
    <row r="11097" spans="1:26" ht="16.5" x14ac:dyDescent="0.35">
      <c r="A11097" s="2" t="str">
        <f ca="1">IFERROR(__xludf.DUMMYFUNCTION("""COMPUTED_VALUE"""),"Dubai")</f>
        <v>Dubai</v>
      </c>
      <c r="B11097" s="2" t="str">
        <f ca="1">IFERROR(__xludf.DUMMYFUNCTION("""COMPUTED_VALUE"""),"Gateway Menacom Building B")</f>
        <v>Gateway Menacom Building B</v>
      </c>
      <c r="C11097" s="2" t="str">
        <f ca="1">IFERROR(__xludf.DUMMYFUNCTION("""COMPUTED_VALUE"""),"Building")</f>
        <v>Building</v>
      </c>
      <c r="D11097" s="2" t="str">
        <f ca="1">IFERROR(__xludf.DUMMYFUNCTION("""COMPUTED_VALUE"""),"Dubai&gt;Dubai Media City&gt;Gateway Menacom Building B")</f>
        <v>Dubai&gt;Dubai Media City&gt;Gateway Menacom Building B</v>
      </c>
      <c r="E11097" s="2"/>
      <c r="F11097" s="2"/>
      <c r="G11097" s="2"/>
      <c r="H11097" s="2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2"/>
      <c r="T11097" s="2"/>
      <c r="U11097" s="2"/>
      <c r="V11097" s="2"/>
      <c r="W11097" s="2"/>
      <c r="X11097" s="2"/>
      <c r="Y11097" s="2"/>
      <c r="Z11097" s="2"/>
    </row>
    <row r="11098" spans="1:26" ht="16.5" x14ac:dyDescent="0.35">
      <c r="A11098" s="2" t="str">
        <f ca="1">IFERROR(__xludf.DUMMYFUNCTION("""COMPUTED_VALUE"""),"Abu Dhabi")</f>
        <v>Abu Dhabi</v>
      </c>
      <c r="B11098" s="2" t="str">
        <f ca="1">IFERROR(__xludf.DUMMYFUNCTION("""COMPUTED_VALUE"""),"ENI Opal House")</f>
        <v>ENI Opal House</v>
      </c>
      <c r="C11098" s="2" t="str">
        <f ca="1">IFERROR(__xludf.DUMMYFUNCTION("""COMPUTED_VALUE"""),"Building")</f>
        <v>Building</v>
      </c>
      <c r="D11098" s="2" t="str">
        <f ca="1">IFERROR(__xludf.DUMMYFUNCTION("""COMPUTED_VALUE"""),"Abu Dhabi&gt;Al Nahyan&gt;ENI Opal House")</f>
        <v>Abu Dhabi&gt;Al Nahyan&gt;ENI Opal House</v>
      </c>
      <c r="E11098" s="2"/>
      <c r="F11098" s="2"/>
      <c r="G11098" s="2"/>
      <c r="H11098" s="2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2"/>
      <c r="T11098" s="2"/>
      <c r="U11098" s="2"/>
      <c r="V11098" s="2"/>
      <c r="W11098" s="2"/>
      <c r="X11098" s="2"/>
      <c r="Y11098" s="2"/>
      <c r="Z11098" s="2"/>
    </row>
    <row r="11099" spans="1:26" ht="16.5" x14ac:dyDescent="0.35">
      <c r="A11099" s="2" t="str">
        <f ca="1">IFERROR(__xludf.DUMMYFUNCTION("""COMPUTED_VALUE"""),"Abu Dhabi")</f>
        <v>Abu Dhabi</v>
      </c>
      <c r="B11099" s="2" t="str">
        <f ca="1">IFERROR(__xludf.DUMMYFUNCTION("""COMPUTED_VALUE"""),"The Abu Dhabi Edition")</f>
        <v>The Abu Dhabi Edition</v>
      </c>
      <c r="C11099" s="2" t="str">
        <f ca="1">IFERROR(__xludf.DUMMYFUNCTION("""COMPUTED_VALUE"""),"Building")</f>
        <v>Building</v>
      </c>
      <c r="D11099" s="2" t="str">
        <f ca="1">IFERROR(__xludf.DUMMYFUNCTION("""COMPUTED_VALUE"""),"Abu Dhabi&gt;Al Bateen&gt;The Abu Dhabi Edition")</f>
        <v>Abu Dhabi&gt;Al Bateen&gt;The Abu Dhabi Edition</v>
      </c>
      <c r="E11099" s="2"/>
      <c r="F11099" s="2"/>
      <c r="G11099" s="2"/>
      <c r="H11099" s="2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2"/>
      <c r="T11099" s="2"/>
      <c r="U11099" s="2"/>
      <c r="V11099" s="2"/>
      <c r="W11099" s="2"/>
      <c r="X11099" s="2"/>
      <c r="Y11099" s="2"/>
      <c r="Z11099" s="2"/>
    </row>
    <row r="11100" spans="1:26" ht="16.5" x14ac:dyDescent="0.35">
      <c r="A11100" s="2" t="str">
        <f ca="1">IFERROR(__xludf.DUMMYFUNCTION("""COMPUTED_VALUE"""),"Abu Dhabi")</f>
        <v>Abu Dhabi</v>
      </c>
      <c r="B11100" s="2" t="str">
        <f ca="1">IFERROR(__xludf.DUMMYFUNCTION("""COMPUTED_VALUE"""),"Mina Road")</f>
        <v>Mina Road</v>
      </c>
      <c r="C11100" s="2" t="str">
        <f ca="1">IFERROR(__xludf.DUMMYFUNCTION("""COMPUTED_VALUE"""),"Neighbourhood")</f>
        <v>Neighbourhood</v>
      </c>
      <c r="D11100" s="2" t="str">
        <f ca="1">IFERROR(__xludf.DUMMYFUNCTION("""COMPUTED_VALUE"""),"Abu Dhabi&gt;Tourist Club Area (TCA)&gt;Mina Road")</f>
        <v>Abu Dhabi&gt;Tourist Club Area (TCA)&gt;Mina Road</v>
      </c>
      <c r="E11100" s="2"/>
      <c r="F11100" s="2"/>
      <c r="G11100" s="2"/>
      <c r="H11100" s="2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2"/>
      <c r="T11100" s="2"/>
      <c r="U11100" s="2"/>
      <c r="V11100" s="2"/>
      <c r="W11100" s="2"/>
      <c r="X11100" s="2"/>
      <c r="Y11100" s="2"/>
      <c r="Z11100" s="2"/>
    </row>
    <row r="11101" spans="1:26" ht="16.5" x14ac:dyDescent="0.35">
      <c r="A11101" s="2" t="str">
        <f ca="1">IFERROR(__xludf.DUMMYFUNCTION("""COMPUTED_VALUE"""),"Abu Dhabi")</f>
        <v>Abu Dhabi</v>
      </c>
      <c r="B11101" s="2" t="str">
        <f ca="1">IFERROR(__xludf.DUMMYFUNCTION("""COMPUTED_VALUE"""),"Al Meena Tower")</f>
        <v>Al Meena Tower</v>
      </c>
      <c r="C11101" s="2" t="str">
        <f ca="1">IFERROR(__xludf.DUMMYFUNCTION("""COMPUTED_VALUE"""),"Building")</f>
        <v>Building</v>
      </c>
      <c r="D11101" s="2" t="str">
        <f ca="1">IFERROR(__xludf.DUMMYFUNCTION("""COMPUTED_VALUE"""),"Abu Dhabi&gt;Al Zahiyah&gt;Al Meena Tower")</f>
        <v>Abu Dhabi&gt;Al Zahiyah&gt;Al Meena Tower</v>
      </c>
      <c r="E11101" s="2"/>
      <c r="F11101" s="2"/>
      <c r="G11101" s="2"/>
      <c r="H11101" s="2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2"/>
      <c r="T11101" s="2"/>
      <c r="U11101" s="2"/>
      <c r="V11101" s="2"/>
      <c r="W11101" s="2"/>
      <c r="X11101" s="2"/>
      <c r="Y11101" s="2"/>
      <c r="Z11101" s="2"/>
    </row>
    <row r="11102" spans="1:26" ht="16.5" x14ac:dyDescent="0.35">
      <c r="A11102" s="2" t="str">
        <f ca="1">IFERROR(__xludf.DUMMYFUNCTION("""COMPUTED_VALUE"""),"Abu Dhabi")</f>
        <v>Abu Dhabi</v>
      </c>
      <c r="B11102" s="2" t="str">
        <f ca="1">IFERROR(__xludf.DUMMYFUNCTION("""COMPUTED_VALUE"""),"Shakhbout Bin Sultan Street")</f>
        <v>Shakhbout Bin Sultan Street</v>
      </c>
      <c r="C11102" s="2" t="str">
        <f ca="1">IFERROR(__xludf.DUMMYFUNCTION("""COMPUTED_VALUE"""),"Neighbourhood")</f>
        <v>Neighbourhood</v>
      </c>
      <c r="D11102" s="2" t="str">
        <f ca="1">IFERROR(__xludf.DUMMYFUNCTION("""COMPUTED_VALUE"""),"Abu Dhabi&gt;Al Mushrif&gt;Shakhbout Bin Sultan Street")</f>
        <v>Abu Dhabi&gt;Al Mushrif&gt;Shakhbout Bin Sultan Street</v>
      </c>
      <c r="E11102" s="2"/>
      <c r="F11102" s="2"/>
      <c r="G11102" s="2"/>
      <c r="H11102" s="2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2"/>
      <c r="T11102" s="2"/>
      <c r="U11102" s="2"/>
      <c r="V11102" s="2"/>
      <c r="W11102" s="2"/>
      <c r="X11102" s="2"/>
      <c r="Y11102" s="2"/>
      <c r="Z11102" s="2"/>
    </row>
    <row r="11103" spans="1:26" ht="16.5" x14ac:dyDescent="0.35">
      <c r="A11103" s="2" t="str">
        <f ca="1">IFERROR(__xludf.DUMMYFUNCTION("""COMPUTED_VALUE"""),"Abu Dhabi")</f>
        <v>Abu Dhabi</v>
      </c>
      <c r="B11103" s="2" t="str">
        <f ca="1">IFERROR(__xludf.DUMMYFUNCTION("""COMPUTED_VALUE"""),"Wave Tower")</f>
        <v>Wave Tower</v>
      </c>
      <c r="C11103" s="2"/>
      <c r="D11103" s="2" t="str">
        <f ca="1">IFERROR(__xludf.DUMMYFUNCTION("""COMPUTED_VALUE"""),"Abu Dhabi&gt;Corniche Area&gt;Wave Tower")</f>
        <v>Abu Dhabi&gt;Corniche Area&gt;Wave Tower</v>
      </c>
      <c r="E11103" s="2"/>
      <c r="F11103" s="2"/>
      <c r="G11103" s="2"/>
      <c r="H11103" s="2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2"/>
      <c r="T11103" s="2"/>
      <c r="U11103" s="2"/>
      <c r="V11103" s="2"/>
      <c r="W11103" s="2"/>
      <c r="X11103" s="2"/>
      <c r="Y11103" s="2"/>
      <c r="Z11103" s="2"/>
    </row>
    <row r="11104" spans="1:26" ht="16.5" x14ac:dyDescent="0.35">
      <c r="A11104" s="2" t="str">
        <f ca="1">IFERROR(__xludf.DUMMYFUNCTION("""COMPUTED_VALUE"""),"Abu Dhabi")</f>
        <v>Abu Dhabi</v>
      </c>
      <c r="B11104" s="2" t="str">
        <f ca="1">IFERROR(__xludf.DUMMYFUNCTION("""COMPUTED_VALUE"""),"Bawabat Al Sharq")</f>
        <v>Bawabat Al Sharq</v>
      </c>
      <c r="C11104" s="2" t="str">
        <f ca="1">IFERROR(__xludf.DUMMYFUNCTION("""COMPUTED_VALUE"""),"Building")</f>
        <v>Building</v>
      </c>
      <c r="D11104" s="2" t="str">
        <f ca="1">IFERROR(__xludf.DUMMYFUNCTION("""COMPUTED_VALUE"""),"Abu Dhabi&gt;Baniyas&gt;Bawabat Al Sharq")</f>
        <v>Abu Dhabi&gt;Baniyas&gt;Bawabat Al Sharq</v>
      </c>
      <c r="E11104" s="2"/>
      <c r="F11104" s="2"/>
      <c r="G11104" s="2"/>
      <c r="H11104" s="2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2"/>
      <c r="T11104" s="2"/>
      <c r="U11104" s="2"/>
      <c r="V11104" s="2"/>
      <c r="W11104" s="2"/>
      <c r="X11104" s="2"/>
      <c r="Y11104" s="2"/>
      <c r="Z11104" s="2"/>
    </row>
    <row r="11105" spans="1:26" ht="16.5" x14ac:dyDescent="0.35">
      <c r="A11105" s="2" t="str">
        <f ca="1">IFERROR(__xludf.DUMMYFUNCTION("""COMPUTED_VALUE"""),"Abu Dhabi")</f>
        <v>Abu Dhabi</v>
      </c>
      <c r="B11105" s="2" t="str">
        <f ca="1">IFERROR(__xludf.DUMMYFUNCTION("""COMPUTED_VALUE"""),"Bab Al Qasr Resort Residences")</f>
        <v>Bab Al Qasr Resort Residences</v>
      </c>
      <c r="C11105" s="2" t="str">
        <f ca="1">IFERROR(__xludf.DUMMYFUNCTION("""COMPUTED_VALUE"""),"Cluster")</f>
        <v>Cluster</v>
      </c>
      <c r="D11105" s="2" t="str">
        <f ca="1">IFERROR(__xludf.DUMMYFUNCTION("""COMPUTED_VALUE"""),"Abu Dhabi&gt;Masdar City&gt;Bab Al Qasr Resort Residences")</f>
        <v>Abu Dhabi&gt;Masdar City&gt;Bab Al Qasr Resort Residences</v>
      </c>
      <c r="E11105" s="2"/>
      <c r="F11105" s="2"/>
      <c r="G11105" s="2"/>
      <c r="H11105" s="2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2"/>
      <c r="T11105" s="2"/>
      <c r="U11105" s="2"/>
      <c r="V11105" s="2"/>
      <c r="W11105" s="2"/>
      <c r="X11105" s="2"/>
      <c r="Y11105" s="2"/>
      <c r="Z11105" s="2"/>
    </row>
    <row r="11106" spans="1:26" ht="16.5" x14ac:dyDescent="0.35">
      <c r="A11106" s="2" t="str">
        <f ca="1">IFERROR(__xludf.DUMMYFUNCTION("""COMPUTED_VALUE"""),"Abu Dhabi")</f>
        <v>Abu Dhabi</v>
      </c>
      <c r="B11106" s="2" t="str">
        <f ca="1">IFERROR(__xludf.DUMMYFUNCTION("""COMPUTED_VALUE"""),"Otaiba Tower")</f>
        <v>Otaiba Tower</v>
      </c>
      <c r="C11106" s="2" t="str">
        <f ca="1">IFERROR(__xludf.DUMMYFUNCTION("""COMPUTED_VALUE"""),"Building")</f>
        <v>Building</v>
      </c>
      <c r="D11106" s="2" t="str">
        <f ca="1">IFERROR(__xludf.DUMMYFUNCTION("""COMPUTED_VALUE"""),"Abu Dhabi&gt;Al Danah&gt;Otaiba Tower")</f>
        <v>Abu Dhabi&gt;Al Danah&gt;Otaiba Tower</v>
      </c>
      <c r="E11106" s="2"/>
      <c r="F11106" s="2"/>
      <c r="G11106" s="2"/>
      <c r="H11106" s="2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2"/>
      <c r="T11106" s="2"/>
      <c r="U11106" s="2"/>
      <c r="V11106" s="2"/>
      <c r="W11106" s="2"/>
      <c r="X11106" s="2"/>
      <c r="Y11106" s="2"/>
      <c r="Z11106" s="2"/>
    </row>
    <row r="11107" spans="1:26" ht="16.5" x14ac:dyDescent="0.35">
      <c r="A11107" s="2" t="str">
        <f ca="1">IFERROR(__xludf.DUMMYFUNCTION("""COMPUTED_VALUE"""),"Abu Dhabi")</f>
        <v>Abu Dhabi</v>
      </c>
      <c r="B11107" s="2" t="str">
        <f ca="1">IFERROR(__xludf.DUMMYFUNCTION("""COMPUTED_VALUE"""),"Bloom Central")</f>
        <v>Bloom Central</v>
      </c>
      <c r="C11107" s="2" t="str">
        <f ca="1">IFERROR(__xludf.DUMMYFUNCTION("""COMPUTED_VALUE"""),"Building")</f>
        <v>Building</v>
      </c>
      <c r="D11107" s="2" t="str">
        <f ca="1">IFERROR(__xludf.DUMMYFUNCTION("""COMPUTED_VALUE"""),"Abu Dhabi&gt;Al Tibbiya&gt;Bloom Central")</f>
        <v>Abu Dhabi&gt;Al Tibbiya&gt;Bloom Central</v>
      </c>
      <c r="E11107" s="2"/>
      <c r="F11107" s="2"/>
      <c r="G11107" s="2"/>
      <c r="H11107" s="2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2"/>
      <c r="T11107" s="2"/>
      <c r="U11107" s="2"/>
      <c r="V11107" s="2"/>
      <c r="W11107" s="2"/>
      <c r="X11107" s="2"/>
      <c r="Y11107" s="2"/>
      <c r="Z11107" s="2"/>
    </row>
    <row r="11108" spans="1:26" ht="16.5" x14ac:dyDescent="0.35">
      <c r="A11108" s="2" t="str">
        <f ca="1">IFERROR(__xludf.DUMMYFUNCTION("""COMPUTED_VALUE"""),"Abu Dhabi")</f>
        <v>Abu Dhabi</v>
      </c>
      <c r="B11108" s="2" t="str">
        <f ca="1">IFERROR(__xludf.DUMMYFUNCTION("""COMPUTED_VALUE"""),"The Australian School of Abu Dhabi")</f>
        <v>The Australian School of Abu Dhabi</v>
      </c>
      <c r="C11108" s="2" t="str">
        <f ca="1">IFERROR(__xludf.DUMMYFUNCTION("""COMPUTED_VALUE"""),"School")</f>
        <v>School</v>
      </c>
      <c r="D11108" s="2" t="str">
        <f ca="1">IFERROR(__xludf.DUMMYFUNCTION("""COMPUTED_VALUE"""),"Abu Dhabi&gt;Shakhbout City&gt;The Australian School of Abu Dhabi")</f>
        <v>Abu Dhabi&gt;Shakhbout City&gt;The Australian School of Abu Dhabi</v>
      </c>
      <c r="E11108" s="2"/>
      <c r="F11108" s="2"/>
      <c r="G11108" s="2"/>
      <c r="H11108" s="2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2"/>
      <c r="T11108" s="2"/>
      <c r="U11108" s="2"/>
      <c r="V11108" s="2"/>
      <c r="W11108" s="2"/>
      <c r="X11108" s="2"/>
      <c r="Y11108" s="2"/>
      <c r="Z11108" s="2"/>
    </row>
    <row r="11109" spans="1:26" ht="16.5" x14ac:dyDescent="0.35">
      <c r="A11109" s="2" t="str">
        <f ca="1">IFERROR(__xludf.DUMMYFUNCTION("""COMPUTED_VALUE"""),"Abu Dhabi")</f>
        <v>Abu Dhabi</v>
      </c>
      <c r="B11109" s="2" t="str">
        <f ca="1">IFERROR(__xludf.DUMMYFUNCTION("""COMPUTED_VALUE"""),"MSH30")</f>
        <v>MSH30</v>
      </c>
      <c r="C11109" s="2" t="str">
        <f ca="1">IFERROR(__xludf.DUMMYFUNCTION("""COMPUTED_VALUE"""),"Neighbourhood")</f>
        <v>Neighbourhood</v>
      </c>
      <c r="D11109" s="2" t="str">
        <f ca="1">IFERROR(__xludf.DUMMYFUNCTION("""COMPUTED_VALUE"""),"Abu Dhabi&gt;Shakhbout City&gt;MSH30")</f>
        <v>Abu Dhabi&gt;Shakhbout City&gt;MSH30</v>
      </c>
      <c r="E11109" s="2"/>
      <c r="F11109" s="2"/>
      <c r="G11109" s="2"/>
      <c r="H11109" s="2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2"/>
      <c r="T11109" s="2"/>
      <c r="U11109" s="2"/>
      <c r="V11109" s="2"/>
      <c r="W11109" s="2"/>
      <c r="X11109" s="2"/>
      <c r="Y11109" s="2"/>
      <c r="Z11109" s="2"/>
    </row>
    <row r="11110" spans="1:26" ht="16.5" x14ac:dyDescent="0.35">
      <c r="A11110" s="2" t="str">
        <f ca="1">IFERROR(__xludf.DUMMYFUNCTION("""COMPUTED_VALUE"""),"Abu Dhabi")</f>
        <v>Abu Dhabi</v>
      </c>
      <c r="B11110" s="2" t="str">
        <f ca="1">IFERROR(__xludf.DUMMYFUNCTION("""COMPUTED_VALUE"""),"Al Rabeeh School")</f>
        <v>Al Rabeeh School</v>
      </c>
      <c r="C11110" s="2" t="str">
        <f ca="1">IFERROR(__xludf.DUMMYFUNCTION("""COMPUTED_VALUE"""),"School")</f>
        <v>School</v>
      </c>
      <c r="D11110" s="2" t="str">
        <f ca="1">IFERROR(__xludf.DUMMYFUNCTION("""COMPUTED_VALUE"""),"Abu Dhabi&gt;Hadbat Al Zaafran&gt;Al Rabeeh School")</f>
        <v>Abu Dhabi&gt;Hadbat Al Zaafran&gt;Al Rabeeh School</v>
      </c>
      <c r="E11110" s="2"/>
      <c r="F11110" s="2"/>
      <c r="G11110" s="2"/>
      <c r="H11110" s="2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2"/>
      <c r="T11110" s="2"/>
      <c r="U11110" s="2"/>
      <c r="V11110" s="2"/>
      <c r="W11110" s="2"/>
      <c r="X11110" s="2"/>
      <c r="Y11110" s="2"/>
      <c r="Z11110" s="2"/>
    </row>
    <row r="11111" spans="1:26" ht="16.5" x14ac:dyDescent="0.35">
      <c r="A11111" s="2" t="str">
        <f ca="1">IFERROR(__xludf.DUMMYFUNCTION("""COMPUTED_VALUE"""),"Abu Dhabi")</f>
        <v>Abu Dhabi</v>
      </c>
      <c r="B11111" s="2" t="str">
        <f ca="1">IFERROR(__xludf.DUMMYFUNCTION("""COMPUTED_VALUE"""),"Asian International Private School - Al Ruwais, Abu Dhabi")</f>
        <v>Asian International Private School - Al Ruwais, Abu Dhabi</v>
      </c>
      <c r="C11111" s="2" t="str">
        <f ca="1">IFERROR(__xludf.DUMMYFUNCTION("""COMPUTED_VALUE"""),"School")</f>
        <v>School</v>
      </c>
      <c r="D11111" s="2" t="str">
        <f ca="1">IFERROR(__xludf.DUMMYFUNCTION("""COMPUTED_VALUE"""),"Abu Dhabi&gt;Al Ruwais Industrial City&gt;Asian International Private School - Al Ruwais, Abu Dhabi")</f>
        <v>Abu Dhabi&gt;Al Ruwais Industrial City&gt;Asian International Private School - Al Ruwais, Abu Dhabi</v>
      </c>
      <c r="E11111" s="2"/>
      <c r="F11111" s="2"/>
      <c r="G11111" s="2"/>
      <c r="H11111" s="2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2"/>
      <c r="T11111" s="2"/>
      <c r="U11111" s="2"/>
      <c r="V11111" s="2"/>
      <c r="W11111" s="2"/>
      <c r="X11111" s="2"/>
      <c r="Y11111" s="2"/>
      <c r="Z11111" s="2"/>
    </row>
    <row r="11112" spans="1:26" ht="16.5" x14ac:dyDescent="0.35">
      <c r="A11112" s="2" t="str">
        <f ca="1">IFERROR(__xludf.DUMMYFUNCTION("""COMPUTED_VALUE"""),"Abu Dhabi")</f>
        <v>Abu Dhabi</v>
      </c>
      <c r="B11112" s="2" t="str">
        <f ca="1">IFERROR(__xludf.DUMMYFUNCTION("""COMPUTED_VALUE"""),"Casares")</f>
        <v>Casares</v>
      </c>
      <c r="C11112" s="2" t="str">
        <f ca="1">IFERROR(__xludf.DUMMYFUNCTION("""COMPUTED_VALUE"""),"Neighbourhood")</f>
        <v>Neighbourhood</v>
      </c>
      <c r="D11112" s="2" t="str">
        <f ca="1">IFERROR(__xludf.DUMMYFUNCTION("""COMPUTED_VALUE"""),"Abu Dhabi&gt;Zayed City&gt;Bloom Living&gt;Casares")</f>
        <v>Abu Dhabi&gt;Zayed City&gt;Bloom Living&gt;Casares</v>
      </c>
      <c r="E11112" s="2"/>
      <c r="F11112" s="2"/>
      <c r="G11112" s="2"/>
      <c r="H11112" s="2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2"/>
      <c r="T11112" s="2"/>
      <c r="U11112" s="2"/>
      <c r="V11112" s="2"/>
      <c r="W11112" s="2"/>
      <c r="X11112" s="2"/>
      <c r="Y11112" s="2"/>
      <c r="Z11112" s="2"/>
    </row>
    <row r="11113" spans="1:26" ht="16.5" x14ac:dyDescent="0.35">
      <c r="A11113" s="2" t="str">
        <f ca="1">IFERROR(__xludf.DUMMYFUNCTION("""COMPUTED_VALUE"""),"Abu Dhabi")</f>
        <v>Abu Dhabi</v>
      </c>
      <c r="B11113" s="2" t="str">
        <f ca="1">IFERROR(__xludf.DUMMYFUNCTION("""COMPUTED_VALUE"""),"Electra Tower")</f>
        <v>Electra Tower</v>
      </c>
      <c r="C11113" s="2" t="str">
        <f ca="1">IFERROR(__xludf.DUMMYFUNCTION("""COMPUTED_VALUE"""),"Building")</f>
        <v>Building</v>
      </c>
      <c r="D11113" s="2" t="str">
        <f ca="1">IFERROR(__xludf.DUMMYFUNCTION("""COMPUTED_VALUE"""),"Abu Dhabi&gt;Electra Street&gt;Electra Tower")</f>
        <v>Abu Dhabi&gt;Electra Street&gt;Electra Tower</v>
      </c>
      <c r="E11113" s="2"/>
      <c r="F11113" s="2"/>
      <c r="G11113" s="2"/>
      <c r="H11113" s="2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2"/>
      <c r="T11113" s="2"/>
      <c r="U11113" s="2"/>
      <c r="V11113" s="2"/>
      <c r="W11113" s="2"/>
      <c r="X11113" s="2"/>
      <c r="Y11113" s="2"/>
      <c r="Z11113" s="2"/>
    </row>
    <row r="11114" spans="1:26" ht="16.5" x14ac:dyDescent="0.35">
      <c r="A11114" s="2" t="str">
        <f ca="1">IFERROR(__xludf.DUMMYFUNCTION("""COMPUTED_VALUE"""),"Abu Dhabi")</f>
        <v>Abu Dhabi</v>
      </c>
      <c r="B11114" s="2" t="str">
        <f ca="1">IFERROR(__xludf.DUMMYFUNCTION("""COMPUTED_VALUE"""),"Al Reem Island")</f>
        <v>Al Reem Island</v>
      </c>
      <c r="C11114" s="2" t="str">
        <f ca="1">IFERROR(__xludf.DUMMYFUNCTION("""COMPUTED_VALUE"""),"Neighbourhood")</f>
        <v>Neighbourhood</v>
      </c>
      <c r="D11114" s="2" t="str">
        <f ca="1">IFERROR(__xludf.DUMMYFUNCTION("""COMPUTED_VALUE"""),"Abu Dhabi&gt;Al Reem Island")</f>
        <v>Abu Dhabi&gt;Al Reem Island</v>
      </c>
      <c r="E11114" s="2"/>
      <c r="F11114" s="2"/>
      <c r="G11114" s="2"/>
      <c r="H11114" s="2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2"/>
      <c r="T11114" s="2"/>
      <c r="U11114" s="2"/>
      <c r="V11114" s="2"/>
      <c r="W11114" s="2"/>
      <c r="X11114" s="2"/>
      <c r="Y11114" s="2"/>
      <c r="Z11114" s="2"/>
    </row>
    <row r="11115" spans="1:26" ht="16.5" x14ac:dyDescent="0.35">
      <c r="A11115" s="2" t="str">
        <f ca="1">IFERROR(__xludf.DUMMYFUNCTION("""COMPUTED_VALUE"""),"Abu Dhabi")</f>
        <v>Abu Dhabi</v>
      </c>
      <c r="B11115" s="2" t="str">
        <f ca="1">IFERROR(__xludf.DUMMYFUNCTION("""COMPUTED_VALUE"""),"Time Towers")</f>
        <v>Time Towers</v>
      </c>
      <c r="C11115" s="2" t="str">
        <f ca="1">IFERROR(__xludf.DUMMYFUNCTION("""COMPUTED_VALUE"""),"Building")</f>
        <v>Building</v>
      </c>
      <c r="D11115" s="2" t="str">
        <f ca="1">IFERROR(__xludf.DUMMYFUNCTION("""COMPUTED_VALUE"""),"Abu Dhabi&gt;Al Reem Island&gt;Najmat Abu Dhabi&gt;Time Towers")</f>
        <v>Abu Dhabi&gt;Al Reem Island&gt;Najmat Abu Dhabi&gt;Time Towers</v>
      </c>
      <c r="E11115" s="2"/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2"/>
      <c r="T11115" s="2"/>
      <c r="U11115" s="2"/>
      <c r="V11115" s="2"/>
      <c r="W11115" s="2"/>
      <c r="X11115" s="2"/>
      <c r="Y11115" s="2"/>
      <c r="Z11115" s="2"/>
    </row>
    <row r="11116" spans="1:26" ht="16.5" x14ac:dyDescent="0.35">
      <c r="A11116" s="2" t="str">
        <f ca="1">IFERROR(__xludf.DUMMYFUNCTION("""COMPUTED_VALUE"""),"Abu Dhabi")</f>
        <v>Abu Dhabi</v>
      </c>
      <c r="B11116" s="2" t="str">
        <f ca="1">IFERROR(__xludf.DUMMYFUNCTION("""COMPUTED_VALUE"""),"Tamouh Tower")</f>
        <v>Tamouh Tower</v>
      </c>
      <c r="C11116" s="2" t="str">
        <f ca="1">IFERROR(__xludf.DUMMYFUNCTION("""COMPUTED_VALUE"""),"Building")</f>
        <v>Building</v>
      </c>
      <c r="D11116" s="2" t="str">
        <f ca="1">IFERROR(__xludf.DUMMYFUNCTION("""COMPUTED_VALUE"""),"Abu Dhabi&gt;Al Reem Island&gt;Marina Square&gt;Tamouh Tower")</f>
        <v>Abu Dhabi&gt;Al Reem Island&gt;Marina Square&gt;Tamouh Tower</v>
      </c>
      <c r="E11116" s="2"/>
      <c r="F11116" s="2"/>
      <c r="G11116" s="2"/>
      <c r="H11116" s="2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2"/>
      <c r="T11116" s="2"/>
      <c r="U11116" s="2"/>
      <c r="V11116" s="2"/>
      <c r="W11116" s="2"/>
      <c r="X11116" s="2"/>
      <c r="Y11116" s="2"/>
      <c r="Z11116" s="2"/>
    </row>
    <row r="11117" spans="1:26" ht="16.5" x14ac:dyDescent="0.35">
      <c r="A11117" s="2" t="str">
        <f ca="1">IFERROR(__xludf.DUMMYFUNCTION("""COMPUTED_VALUE"""),"Abu Dhabi")</f>
        <v>Abu Dhabi</v>
      </c>
      <c r="B11117" s="2" t="str">
        <f ca="1">IFERROR(__xludf.DUMMYFUNCTION("""COMPUTED_VALUE"""),"The Gate Tower 3")</f>
        <v>The Gate Tower 3</v>
      </c>
      <c r="C11117" s="2" t="str">
        <f ca="1">IFERROR(__xludf.DUMMYFUNCTION("""COMPUTED_VALUE"""),"Building")</f>
        <v>Building</v>
      </c>
      <c r="D11117" s="2" t="str">
        <f ca="1">IFERROR(__xludf.DUMMYFUNCTION("""COMPUTED_VALUE"""),"Abu Dhabi&gt;Al Reem Island&gt;Shams Abu Dhabi&gt;Shams Gate District&gt;The Gate Tower&gt;The Gate Tower 3")</f>
        <v>Abu Dhabi&gt;Al Reem Island&gt;Shams Abu Dhabi&gt;Shams Gate District&gt;The Gate Tower&gt;The Gate Tower 3</v>
      </c>
      <c r="E11117" s="2"/>
      <c r="F11117" s="2"/>
      <c r="G11117" s="2"/>
      <c r="H11117" s="2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2"/>
      <c r="T11117" s="2"/>
      <c r="U11117" s="2"/>
      <c r="V11117" s="2"/>
      <c r="W11117" s="2"/>
      <c r="X11117" s="2"/>
      <c r="Y11117" s="2"/>
      <c r="Z11117" s="2"/>
    </row>
    <row r="11118" spans="1:26" ht="16.5" x14ac:dyDescent="0.35">
      <c r="A11118" s="2" t="str">
        <f ca="1">IFERROR(__xludf.DUMMYFUNCTION("""COMPUTED_VALUE"""),"Abu Dhabi")</f>
        <v>Abu Dhabi</v>
      </c>
      <c r="B11118" s="2" t="str">
        <f ca="1">IFERROR(__xludf.DUMMYFUNCTION("""COMPUTED_VALUE"""),"Marlin II")</f>
        <v>Marlin II</v>
      </c>
      <c r="C11118" s="2" t="str">
        <f ca="1">IFERROR(__xludf.DUMMYFUNCTION("""COMPUTED_VALUE"""),"Building")</f>
        <v>Building</v>
      </c>
      <c r="D11118" s="2" t="str">
        <f ca="1">IFERROR(__xludf.DUMMYFUNCTION("""COMPUTED_VALUE"""),"Abu Dhabi&gt;Al Reem Island&gt;Shams Abu Dhabi&gt;Marlin II")</f>
        <v>Abu Dhabi&gt;Al Reem Island&gt;Shams Abu Dhabi&gt;Marlin II</v>
      </c>
      <c r="E11118" s="2"/>
      <c r="F11118" s="2"/>
      <c r="G11118" s="2"/>
      <c r="H11118" s="2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2"/>
      <c r="T11118" s="2"/>
      <c r="U11118" s="2"/>
      <c r="V11118" s="2"/>
      <c r="W11118" s="2"/>
      <c r="X11118" s="2"/>
      <c r="Y11118" s="2"/>
      <c r="Z11118" s="2"/>
    </row>
    <row r="11119" spans="1:26" ht="16.5" x14ac:dyDescent="0.35">
      <c r="A11119" s="2" t="str">
        <f ca="1">IFERROR(__xludf.DUMMYFUNCTION("""COMPUTED_VALUE"""),"Dubai")</f>
        <v>Dubai</v>
      </c>
      <c r="B11119" s="2" t="str">
        <f ca="1">IFERROR(__xludf.DUMMYFUNCTION("""COMPUTED_VALUE"""),"Barakat Residence")</f>
        <v>Barakat Residence</v>
      </c>
      <c r="C11119" s="2" t="str">
        <f ca="1">IFERROR(__xludf.DUMMYFUNCTION("""COMPUTED_VALUE"""),"Neighbourhood")</f>
        <v>Neighbourhood</v>
      </c>
      <c r="D11119" s="2" t="str">
        <f ca="1">IFERROR(__xludf.DUMMYFUNCTION("""COMPUTED_VALUE"""),"Dubai&gt;Al Garhoud&gt;Barakat Residence")</f>
        <v>Dubai&gt;Al Garhoud&gt;Barakat Residence</v>
      </c>
      <c r="E11119" s="2"/>
      <c r="F11119" s="2"/>
      <c r="G11119" s="2"/>
      <c r="H11119" s="2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2"/>
      <c r="T11119" s="2"/>
      <c r="U11119" s="2"/>
      <c r="V11119" s="2"/>
      <c r="W11119" s="2"/>
      <c r="X11119" s="2"/>
      <c r="Y11119" s="2"/>
      <c r="Z11119" s="2"/>
    </row>
    <row r="11120" spans="1:26" ht="16.5" x14ac:dyDescent="0.35">
      <c r="A11120" s="2" t="str">
        <f ca="1">IFERROR(__xludf.DUMMYFUNCTION("""COMPUTED_VALUE"""),"Dubai")</f>
        <v>Dubai</v>
      </c>
      <c r="B11120" s="2" t="str">
        <f ca="1">IFERROR(__xludf.DUMMYFUNCTION("""COMPUTED_VALUE"""),"Cluster 31")</f>
        <v>Cluster 31</v>
      </c>
      <c r="C11120" s="2" t="str">
        <f ca="1">IFERROR(__xludf.DUMMYFUNCTION("""COMPUTED_VALUE"""),"Neighbourhood")</f>
        <v>Neighbourhood</v>
      </c>
      <c r="D11120" s="2" t="str">
        <f ca="1">IFERROR(__xludf.DUMMYFUNCTION("""COMPUTED_VALUE"""),"Dubai&gt;Jumeirah Islands&gt;Cluster 31")</f>
        <v>Dubai&gt;Jumeirah Islands&gt;Cluster 31</v>
      </c>
      <c r="E11120" s="2"/>
      <c r="F11120" s="2"/>
      <c r="G11120" s="2"/>
      <c r="H11120" s="2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2"/>
      <c r="T11120" s="2"/>
      <c r="U11120" s="2"/>
      <c r="V11120" s="2"/>
      <c r="W11120" s="2"/>
      <c r="X11120" s="2"/>
      <c r="Y11120" s="2"/>
      <c r="Z11120" s="2"/>
    </row>
    <row r="11121" spans="1:26" ht="16.5" x14ac:dyDescent="0.35">
      <c r="A11121" s="2" t="str">
        <f ca="1">IFERROR(__xludf.DUMMYFUNCTION("""COMPUTED_VALUE"""),"Dubai")</f>
        <v>Dubai</v>
      </c>
      <c r="B11121" s="2" t="str">
        <f ca="1">IFERROR(__xludf.DUMMYFUNCTION("""COMPUTED_VALUE"""),"Garden West Apartments B")</f>
        <v>Garden West Apartments B</v>
      </c>
      <c r="C11121" s="2" t="str">
        <f ca="1">IFERROR(__xludf.DUMMYFUNCTION("""COMPUTED_VALUE"""),"Building")</f>
        <v>Building</v>
      </c>
      <c r="D11121" s="2" t="str">
        <f ca="1">IFERROR(__xludf.DUMMYFUNCTION("""COMPUTED_VALUE"""),"Dubai&gt;Green Community&gt;Garden West Apartments&gt;Garden West Apartments B")</f>
        <v>Dubai&gt;Green Community&gt;Garden West Apartments&gt;Garden West Apartments B</v>
      </c>
      <c r="E11121" s="2"/>
      <c r="F11121" s="2"/>
      <c r="G11121" s="2"/>
      <c r="H11121" s="2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2"/>
      <c r="T11121" s="2"/>
      <c r="U11121" s="2"/>
      <c r="V11121" s="2"/>
      <c r="W11121" s="2"/>
      <c r="X11121" s="2"/>
      <c r="Y11121" s="2"/>
      <c r="Z11121" s="2"/>
    </row>
    <row r="11122" spans="1:26" ht="16.5" x14ac:dyDescent="0.35">
      <c r="A11122" s="2" t="str">
        <f ca="1">IFERROR(__xludf.DUMMYFUNCTION("""COMPUTED_VALUE"""),"Dubai")</f>
        <v>Dubai</v>
      </c>
      <c r="B11122" s="2" t="str">
        <f ca="1">IFERROR(__xludf.DUMMYFUNCTION("""COMPUTED_VALUE"""),"Terrace Apartments A")</f>
        <v>Terrace Apartments A</v>
      </c>
      <c r="C11122" s="2" t="str">
        <f ca="1">IFERROR(__xludf.DUMMYFUNCTION("""COMPUTED_VALUE"""),"Building")</f>
        <v>Building</v>
      </c>
      <c r="D11122" s="2" t="str">
        <f ca="1">IFERROR(__xludf.DUMMYFUNCTION("""COMPUTED_VALUE"""),"Dubai&gt;Green Community&gt;Green Community East&gt;Terrace Apartments&gt;Terrace Apartments A")</f>
        <v>Dubai&gt;Green Community&gt;Green Community East&gt;Terrace Apartments&gt;Terrace Apartments A</v>
      </c>
      <c r="E11122" s="2"/>
      <c r="F11122" s="2"/>
      <c r="G11122" s="2"/>
      <c r="H11122" s="2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2"/>
      <c r="T11122" s="2"/>
      <c r="U11122" s="2"/>
      <c r="V11122" s="2"/>
      <c r="W11122" s="2"/>
      <c r="X11122" s="2"/>
      <c r="Y11122" s="2"/>
      <c r="Z11122" s="2"/>
    </row>
    <row r="11123" spans="1:26" ht="16.5" x14ac:dyDescent="0.35">
      <c r="A11123" s="2" t="str">
        <f ca="1">IFERROR(__xludf.DUMMYFUNCTION("""COMPUTED_VALUE"""),"Dubai")</f>
        <v>Dubai</v>
      </c>
      <c r="B11123" s="2" t="str">
        <f ca="1">IFERROR(__xludf.DUMMYFUNCTION("""COMPUTED_VALUE"""),"Victory Heights Primary School")</f>
        <v>Victory Heights Primary School</v>
      </c>
      <c r="C11123" s="2" t="str">
        <f ca="1">IFERROR(__xludf.DUMMYFUNCTION("""COMPUTED_VALUE"""),"School")</f>
        <v>School</v>
      </c>
      <c r="D11123" s="2" t="str">
        <f ca="1">IFERROR(__xludf.DUMMYFUNCTION("""COMPUTED_VALUE"""),"Dubai&gt;Dubai Sports City&gt;Victory Heights Primary School")</f>
        <v>Dubai&gt;Dubai Sports City&gt;Victory Heights Primary School</v>
      </c>
      <c r="E11123" s="2"/>
      <c r="F11123" s="2"/>
      <c r="G11123" s="2"/>
      <c r="H11123" s="2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2"/>
      <c r="T11123" s="2"/>
      <c r="U11123" s="2"/>
      <c r="V11123" s="2"/>
      <c r="W11123" s="2"/>
      <c r="X11123" s="2"/>
      <c r="Y11123" s="2"/>
      <c r="Z11123" s="2"/>
    </row>
    <row r="11124" spans="1:26" ht="16.5" x14ac:dyDescent="0.35">
      <c r="A11124" s="2" t="str">
        <f ca="1">IFERROR(__xludf.DUMMYFUNCTION("""COMPUTED_VALUE"""),"Dubai")</f>
        <v>Dubai</v>
      </c>
      <c r="B11124" s="2" t="str">
        <f ca="1">IFERROR(__xludf.DUMMYFUNCTION("""COMPUTED_VALUE"""),"V2")</f>
        <v>V2</v>
      </c>
      <c r="C11124" s="2" t="str">
        <f ca="1">IFERROR(__xludf.DUMMYFUNCTION("""COMPUTED_VALUE"""),"Building")</f>
        <v>Building</v>
      </c>
      <c r="D11124" s="2" t="str">
        <f ca="1">IFERROR(__xludf.DUMMYFUNCTION("""COMPUTED_VALUE"""),"Dubai&gt;Dubai Sports City&gt;V2")</f>
        <v>Dubai&gt;Dubai Sports City&gt;V2</v>
      </c>
      <c r="E11124" s="2"/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2"/>
      <c r="T11124" s="2"/>
      <c r="U11124" s="2"/>
      <c r="V11124" s="2"/>
      <c r="W11124" s="2"/>
      <c r="X11124" s="2"/>
      <c r="Y11124" s="2"/>
      <c r="Z11124" s="2"/>
    </row>
    <row r="11125" spans="1:26" ht="16.5" x14ac:dyDescent="0.35">
      <c r="A11125" s="2" t="str">
        <f ca="1">IFERROR(__xludf.DUMMYFUNCTION("""COMPUTED_VALUE"""),"Dubai")</f>
        <v>Dubai</v>
      </c>
      <c r="B11125" s="2" t="str">
        <f ca="1">IFERROR(__xludf.DUMMYFUNCTION("""COMPUTED_VALUE"""),"Treppan Hotel and Suites by Fakhruddin")</f>
        <v>Treppan Hotel and Suites by Fakhruddin</v>
      </c>
      <c r="C11125" s="2" t="str">
        <f ca="1">IFERROR(__xludf.DUMMYFUNCTION("""COMPUTED_VALUE"""),"Building")</f>
        <v>Building</v>
      </c>
      <c r="D11125" s="2" t="str">
        <f ca="1">IFERROR(__xludf.DUMMYFUNCTION("""COMPUTED_VALUE"""),"Dubai&gt;Dubai Sports City&gt;Treppan Hotel and Suites by Fakhruddin")</f>
        <v>Dubai&gt;Dubai Sports City&gt;Treppan Hotel and Suites by Fakhruddin</v>
      </c>
      <c r="E11125" s="2"/>
      <c r="F11125" s="2"/>
      <c r="G11125" s="2"/>
      <c r="H11125" s="2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2"/>
      <c r="T11125" s="2"/>
      <c r="U11125" s="2"/>
      <c r="V11125" s="2"/>
      <c r="W11125" s="2"/>
      <c r="X11125" s="2"/>
      <c r="Y11125" s="2"/>
      <c r="Z11125" s="2"/>
    </row>
    <row r="11126" spans="1:26" ht="16.5" x14ac:dyDescent="0.35">
      <c r="A11126" s="2" t="str">
        <f ca="1">IFERROR(__xludf.DUMMYFUNCTION("""COMPUTED_VALUE"""),"Dubai")</f>
        <v>Dubai</v>
      </c>
      <c r="B11126" s="2" t="str">
        <f ca="1">IFERROR(__xludf.DUMMYFUNCTION("""COMPUTED_VALUE"""),"Stadium Point")</f>
        <v>Stadium Point</v>
      </c>
      <c r="C11126" s="2" t="str">
        <f ca="1">IFERROR(__xludf.DUMMYFUNCTION("""COMPUTED_VALUE"""),"Building")</f>
        <v>Building</v>
      </c>
      <c r="D11126" s="2" t="str">
        <f ca="1">IFERROR(__xludf.DUMMYFUNCTION("""COMPUTED_VALUE"""),"Dubai&gt;Dubai Sports City&gt;Stadium Point")</f>
        <v>Dubai&gt;Dubai Sports City&gt;Stadium Point</v>
      </c>
      <c r="E11126" s="2"/>
      <c r="F11126" s="2"/>
      <c r="G11126" s="2"/>
      <c r="H11126" s="2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2"/>
      <c r="T11126" s="2"/>
      <c r="U11126" s="2"/>
      <c r="V11126" s="2"/>
      <c r="W11126" s="2"/>
      <c r="X11126" s="2"/>
      <c r="Y11126" s="2"/>
      <c r="Z11126" s="2"/>
    </row>
    <row r="11127" spans="1:26" ht="16.5" x14ac:dyDescent="0.35">
      <c r="A11127" s="2" t="str">
        <f ca="1">IFERROR(__xludf.DUMMYFUNCTION("""COMPUTED_VALUE"""),"Dubai")</f>
        <v>Dubai</v>
      </c>
      <c r="B11127" s="2" t="str">
        <f ca="1">IFERROR(__xludf.DUMMYFUNCTION("""COMPUTED_VALUE"""),"Champions Tower 2")</f>
        <v>Champions Tower 2</v>
      </c>
      <c r="C11127" s="2" t="str">
        <f ca="1">IFERROR(__xludf.DUMMYFUNCTION("""COMPUTED_VALUE"""),"Building")</f>
        <v>Building</v>
      </c>
      <c r="D11127" s="2" t="str">
        <f ca="1">IFERROR(__xludf.DUMMYFUNCTION("""COMPUTED_VALUE"""),"Dubai&gt;Dubai Sports City&gt;Champions Tower&gt;Champions Tower 2")</f>
        <v>Dubai&gt;Dubai Sports City&gt;Champions Tower&gt;Champions Tower 2</v>
      </c>
      <c r="E11127" s="2"/>
      <c r="F11127" s="2"/>
      <c r="G11127" s="2"/>
      <c r="H11127" s="2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2"/>
      <c r="T11127" s="2"/>
      <c r="U11127" s="2"/>
      <c r="V11127" s="2"/>
      <c r="W11127" s="2"/>
      <c r="X11127" s="2"/>
      <c r="Y11127" s="2"/>
      <c r="Z11127" s="2"/>
    </row>
    <row r="11128" spans="1:26" ht="16.5" x14ac:dyDescent="0.35">
      <c r="A11128" s="2" t="str">
        <f ca="1">IFERROR(__xludf.DUMMYFUNCTION("""COMPUTED_VALUE"""),"Dubai")</f>
        <v>Dubai</v>
      </c>
      <c r="B11128" s="2" t="str">
        <f ca="1">IFERROR(__xludf.DUMMYFUNCTION("""COMPUTED_VALUE"""),"Wasl North Heights")</f>
        <v>Wasl North Heights</v>
      </c>
      <c r="C11128" s="2" t="str">
        <f ca="1">IFERROR(__xludf.DUMMYFUNCTION("""COMPUTED_VALUE"""),"Building")</f>
        <v>Building</v>
      </c>
      <c r="D11128" s="2" t="str">
        <f ca="1">IFERROR(__xludf.DUMMYFUNCTION("""COMPUTED_VALUE"""),"Dubai&gt;Al Nahda (Dubai)&gt;Al Nahda 1&gt;Wasl North Heights")</f>
        <v>Dubai&gt;Al Nahda (Dubai)&gt;Al Nahda 1&gt;Wasl North Heights</v>
      </c>
      <c r="E11128" s="2"/>
      <c r="F11128" s="2"/>
      <c r="G11128" s="2"/>
      <c r="H11128" s="2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2"/>
      <c r="T11128" s="2"/>
      <c r="U11128" s="2"/>
      <c r="V11128" s="2"/>
      <c r="W11128" s="2"/>
      <c r="X11128" s="2"/>
      <c r="Y11128" s="2"/>
      <c r="Z11128" s="2"/>
    </row>
    <row r="11129" spans="1:26" ht="16.5" x14ac:dyDescent="0.35">
      <c r="A11129" s="2" t="str">
        <f ca="1">IFERROR(__xludf.DUMMYFUNCTION("""COMPUTED_VALUE"""),"Dubai")</f>
        <v>Dubai</v>
      </c>
      <c r="B11129" s="2" t="str">
        <f ca="1">IFERROR(__xludf.DUMMYFUNCTION("""COMPUTED_VALUE"""),"British Orchard Nursery Dubai Women’s College")</f>
        <v>British Orchard Nursery Dubai Women’s College</v>
      </c>
      <c r="C11129" s="2" t="str">
        <f ca="1">IFERROR(__xludf.DUMMYFUNCTION("""COMPUTED_VALUE"""),"Nursery")</f>
        <v>Nursery</v>
      </c>
      <c r="D11129" s="2" t="str">
        <f ca="1">IFERROR(__xludf.DUMMYFUNCTION("""COMPUTED_VALUE"""),"Dubai&gt;Al Nahda (Dubai)&gt;Al Nahda 2&gt;British Orchard Nursery Dubai Women’s College")</f>
        <v>Dubai&gt;Al Nahda (Dubai)&gt;Al Nahda 2&gt;British Orchard Nursery Dubai Women’s College</v>
      </c>
      <c r="E11129" s="2"/>
      <c r="F11129" s="2"/>
      <c r="G11129" s="2"/>
      <c r="H11129" s="2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2"/>
      <c r="T11129" s="2"/>
      <c r="U11129" s="2"/>
      <c r="V11129" s="2"/>
      <c r="W11129" s="2"/>
      <c r="X11129" s="2"/>
      <c r="Y11129" s="2"/>
      <c r="Z11129" s="2"/>
    </row>
    <row r="11130" spans="1:26" ht="16.5" x14ac:dyDescent="0.35">
      <c r="A11130" s="2" t="str">
        <f ca="1">IFERROR(__xludf.DUMMYFUNCTION("""COMPUTED_VALUE"""),"Dubai")</f>
        <v>Dubai</v>
      </c>
      <c r="B11130" s="2" t="str">
        <f ca="1">IFERROR(__xludf.DUMMYFUNCTION("""COMPUTED_VALUE"""),"Hassani Building 19")</f>
        <v>Hassani Building 19</v>
      </c>
      <c r="C11130" s="2" t="str">
        <f ca="1">IFERROR(__xludf.DUMMYFUNCTION("""COMPUTED_VALUE"""),"Building")</f>
        <v>Building</v>
      </c>
      <c r="D11130" s="2" t="str">
        <f ca="1">IFERROR(__xludf.DUMMYFUNCTION("""COMPUTED_VALUE"""),"Dubai&gt;Al Nahda (Dubai)&gt;Al Nahda 2&gt;Hassani Building 19")</f>
        <v>Dubai&gt;Al Nahda (Dubai)&gt;Al Nahda 2&gt;Hassani Building 19</v>
      </c>
      <c r="E11130" s="2"/>
      <c r="F11130" s="2"/>
      <c r="G11130" s="2"/>
      <c r="H11130" s="2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2"/>
      <c r="T11130" s="2"/>
      <c r="U11130" s="2"/>
      <c r="V11130" s="2"/>
      <c r="W11130" s="2"/>
      <c r="X11130" s="2"/>
      <c r="Y11130" s="2"/>
      <c r="Z11130" s="2"/>
    </row>
    <row r="11131" spans="1:26" ht="16.5" x14ac:dyDescent="0.35">
      <c r="A11131" s="2" t="str">
        <f ca="1">IFERROR(__xludf.DUMMYFUNCTION("""COMPUTED_VALUE"""),"Dubai")</f>
        <v>Dubai</v>
      </c>
      <c r="B11131" s="2" t="str">
        <f ca="1">IFERROR(__xludf.DUMMYFUNCTION("""COMPUTED_VALUE"""),"OBS Tower")</f>
        <v>OBS Tower</v>
      </c>
      <c r="C11131" s="2" t="str">
        <f ca="1">IFERROR(__xludf.DUMMYFUNCTION("""COMPUTED_VALUE"""),"Building")</f>
        <v>Building</v>
      </c>
      <c r="D11131" s="2" t="str">
        <f ca="1">IFERROR(__xludf.DUMMYFUNCTION("""COMPUTED_VALUE"""),"Dubai&gt;Al Nahda (Dubai)&gt;Al Nahda 2&gt;OBS Tower")</f>
        <v>Dubai&gt;Al Nahda (Dubai)&gt;Al Nahda 2&gt;OBS Tower</v>
      </c>
      <c r="E11131" s="2"/>
      <c r="F11131" s="2"/>
      <c r="G11131" s="2"/>
      <c r="H11131" s="2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2"/>
      <c r="T11131" s="2"/>
      <c r="U11131" s="2"/>
      <c r="V11131" s="2"/>
      <c r="W11131" s="2"/>
      <c r="X11131" s="2"/>
      <c r="Y11131" s="2"/>
      <c r="Z11131" s="2"/>
    </row>
    <row r="11132" spans="1:26" ht="16.5" x14ac:dyDescent="0.35">
      <c r="A11132" s="2" t="str">
        <f ca="1">IFERROR(__xludf.DUMMYFUNCTION("""COMPUTED_VALUE"""),"Dubai")</f>
        <v>Dubai</v>
      </c>
      <c r="B11132" s="2" t="str">
        <f ca="1">IFERROR(__xludf.DUMMYFUNCTION("""COMPUTED_VALUE"""),"Green Emirates Building")</f>
        <v>Green Emirates Building</v>
      </c>
      <c r="C11132" s="2" t="str">
        <f ca="1">IFERROR(__xludf.DUMMYFUNCTION("""COMPUTED_VALUE"""),"Building")</f>
        <v>Building</v>
      </c>
      <c r="D11132" s="2" t="str">
        <f ca="1">IFERROR(__xludf.DUMMYFUNCTION("""COMPUTED_VALUE"""),"Dubai&gt;Al Nahda (Dubai)&gt;Al Nahda 2&gt;Green Emirates Building")</f>
        <v>Dubai&gt;Al Nahda (Dubai)&gt;Al Nahda 2&gt;Green Emirates Building</v>
      </c>
      <c r="E11132" s="2"/>
      <c r="F11132" s="2"/>
      <c r="G11132" s="2"/>
      <c r="H11132" s="2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2"/>
      <c r="T11132" s="2"/>
      <c r="U11132" s="2"/>
      <c r="V11132" s="2"/>
      <c r="W11132" s="2"/>
      <c r="X11132" s="2"/>
      <c r="Y11132" s="2"/>
      <c r="Z11132" s="2"/>
    </row>
    <row r="11133" spans="1:26" ht="16.5" x14ac:dyDescent="0.35">
      <c r="A11133" s="2" t="str">
        <f ca="1">IFERROR(__xludf.DUMMYFUNCTION("""COMPUTED_VALUE"""),"Dubai")</f>
        <v>Dubai</v>
      </c>
      <c r="B11133" s="2" t="str">
        <f ca="1">IFERROR(__xludf.DUMMYFUNCTION("""COMPUTED_VALUE"""),"Jumeirah Park")</f>
        <v>Jumeirah Park</v>
      </c>
      <c r="C11133" s="2" t="str">
        <f ca="1">IFERROR(__xludf.DUMMYFUNCTION("""COMPUTED_VALUE"""),"Neighbourhood")</f>
        <v>Neighbourhood</v>
      </c>
      <c r="D11133" s="2" t="str">
        <f ca="1">IFERROR(__xludf.DUMMYFUNCTION("""COMPUTED_VALUE"""),"Dubai&gt;Jumeirah Park")</f>
        <v>Dubai&gt;Jumeirah Park</v>
      </c>
      <c r="E11133" s="2"/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2"/>
      <c r="T11133" s="2"/>
      <c r="U11133" s="2"/>
      <c r="V11133" s="2"/>
      <c r="W11133" s="2"/>
      <c r="X11133" s="2"/>
      <c r="Y11133" s="2"/>
      <c r="Z11133" s="2"/>
    </row>
    <row r="11134" spans="1:26" ht="16.5" x14ac:dyDescent="0.35">
      <c r="A11134" s="2" t="str">
        <f ca="1">IFERROR(__xludf.DUMMYFUNCTION("""COMPUTED_VALUE"""),"Dubai")</f>
        <v>Dubai</v>
      </c>
      <c r="B11134" s="2" t="str">
        <f ca="1">IFERROR(__xludf.DUMMYFUNCTION("""COMPUTED_VALUE"""),"Venice")</f>
        <v>Venice</v>
      </c>
      <c r="C11134" s="2" t="str">
        <f ca="1">IFERROR(__xludf.DUMMYFUNCTION("""COMPUTED_VALUE"""),"Neighbourhood")</f>
        <v>Neighbourhood</v>
      </c>
      <c r="D11134" s="2" t="str">
        <f ca="1">IFERROR(__xludf.DUMMYFUNCTION("""COMPUTED_VALUE"""),"Dubai&gt;DAMAC Lagoons&gt;Venice")</f>
        <v>Dubai&gt;DAMAC Lagoons&gt;Venice</v>
      </c>
      <c r="E11134" s="2"/>
      <c r="F11134" s="2"/>
      <c r="G11134" s="2"/>
      <c r="H11134" s="2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2"/>
      <c r="T11134" s="2"/>
      <c r="U11134" s="2"/>
      <c r="V11134" s="2"/>
      <c r="W11134" s="2"/>
      <c r="X11134" s="2"/>
      <c r="Y11134" s="2"/>
      <c r="Z11134" s="2"/>
    </row>
    <row r="11135" spans="1:26" ht="16.5" x14ac:dyDescent="0.35">
      <c r="A11135" s="2" t="str">
        <f ca="1">IFERROR(__xludf.DUMMYFUNCTION("""COMPUTED_VALUE"""),"Dubai")</f>
        <v>Dubai</v>
      </c>
      <c r="B11135" s="2" t="str">
        <f ca="1">IFERROR(__xludf.DUMMYFUNCTION("""COMPUTED_VALUE"""),"83 Residence")</f>
        <v>83 Residence</v>
      </c>
      <c r="C11135" s="2" t="str">
        <f ca="1">IFERROR(__xludf.DUMMYFUNCTION("""COMPUTED_VALUE"""),"Building")</f>
        <v>Building</v>
      </c>
      <c r="D11135" s="2" t="str">
        <f ca="1">IFERROR(__xludf.DUMMYFUNCTION("""COMPUTED_VALUE"""),"Dubai&gt;Liwan 2&gt;83 Residence")</f>
        <v>Dubai&gt;Liwan 2&gt;83 Residence</v>
      </c>
      <c r="E11135" s="2"/>
      <c r="F11135" s="2"/>
      <c r="G11135" s="2"/>
      <c r="H11135" s="2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2"/>
      <c r="T11135" s="2"/>
      <c r="U11135" s="2"/>
      <c r="V11135" s="2"/>
      <c r="W11135" s="2"/>
      <c r="X11135" s="2"/>
      <c r="Y11135" s="2"/>
      <c r="Z11135" s="2"/>
    </row>
    <row r="11136" spans="1:26" ht="16.5" x14ac:dyDescent="0.35">
      <c r="A11136" s="2" t="str">
        <f ca="1">IFERROR(__xludf.DUMMYFUNCTION("""COMPUTED_VALUE"""),"Dubai")</f>
        <v>Dubai</v>
      </c>
      <c r="B11136" s="2" t="str">
        <f ca="1">IFERROR(__xludf.DUMMYFUNCTION("""COMPUTED_VALUE"""),"Al Salam 2 Building")</f>
        <v>Al Salam 2 Building</v>
      </c>
      <c r="C11136" s="2" t="str">
        <f ca="1">IFERROR(__xludf.DUMMYFUNCTION("""COMPUTED_VALUE"""),"Building")</f>
        <v>Building</v>
      </c>
      <c r="D11136" s="2" t="str">
        <f ca="1">IFERROR(__xludf.DUMMYFUNCTION("""COMPUTED_VALUE"""),"Dubai&gt;Liwan 2&gt;Al Salam 2 Building")</f>
        <v>Dubai&gt;Liwan 2&gt;Al Salam 2 Building</v>
      </c>
      <c r="E11136" s="2"/>
      <c r="F11136" s="2"/>
      <c r="G11136" s="2"/>
      <c r="H11136" s="2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2"/>
      <c r="T11136" s="2"/>
      <c r="U11136" s="2"/>
      <c r="V11136" s="2"/>
      <c r="W11136" s="2"/>
      <c r="X11136" s="2"/>
      <c r="Y11136" s="2"/>
      <c r="Z11136" s="2"/>
    </row>
    <row r="11137" spans="1:26" ht="16.5" x14ac:dyDescent="0.35">
      <c r="A11137" s="2" t="str">
        <f ca="1">IFERROR(__xludf.DUMMYFUNCTION("""COMPUTED_VALUE"""),"Dubai")</f>
        <v>Dubai</v>
      </c>
      <c r="B11137" s="2" t="str">
        <f ca="1">IFERROR(__xludf.DUMMYFUNCTION("""COMPUTED_VALUE"""),"Nibras International School")</f>
        <v>Nibras International School</v>
      </c>
      <c r="C11137" s="2" t="str">
        <f ca="1">IFERROR(__xludf.DUMMYFUNCTION("""COMPUTED_VALUE"""),"School")</f>
        <v>School</v>
      </c>
      <c r="D11137" s="2" t="str">
        <f ca="1">IFERROR(__xludf.DUMMYFUNCTION("""COMPUTED_VALUE"""),"Dubai&gt;Dubai Investment Park (DIP)&gt;Nibras International School")</f>
        <v>Dubai&gt;Dubai Investment Park (DIP)&gt;Nibras International School</v>
      </c>
      <c r="E11137" s="2"/>
      <c r="F11137" s="2"/>
      <c r="G11137" s="2"/>
      <c r="H11137" s="2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2"/>
      <c r="T11137" s="2"/>
      <c r="U11137" s="2"/>
      <c r="V11137" s="2"/>
      <c r="W11137" s="2"/>
      <c r="X11137" s="2"/>
      <c r="Y11137" s="2"/>
      <c r="Z11137" s="2"/>
    </row>
    <row r="11138" spans="1:26" ht="16.5" x14ac:dyDescent="0.35">
      <c r="A11138" s="2" t="str">
        <f ca="1">IFERROR(__xludf.DUMMYFUNCTION("""COMPUTED_VALUE"""),"Dubai")</f>
        <v>Dubai</v>
      </c>
      <c r="B11138" s="2" t="str">
        <f ca="1">IFERROR(__xludf.DUMMYFUNCTION("""COMPUTED_VALUE"""),"The 7even")</f>
        <v>The 7even</v>
      </c>
      <c r="C11138" s="2" t="str">
        <f ca="1">IFERROR(__xludf.DUMMYFUNCTION("""COMPUTED_VALUE"""),"Cluster")</f>
        <v>Cluster</v>
      </c>
      <c r="D11138" s="2" t="str">
        <f ca="1">IFERROR(__xludf.DUMMYFUNCTION("""COMPUTED_VALUE"""),"Dubai&gt;Dubai Investment Park (DIP)&gt;Dubai Investment Park 1&gt;The 7even")</f>
        <v>Dubai&gt;Dubai Investment Park (DIP)&gt;Dubai Investment Park 1&gt;The 7even</v>
      </c>
      <c r="E11138" s="2"/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2"/>
      <c r="T11138" s="2"/>
      <c r="U11138" s="2"/>
      <c r="V11138" s="2"/>
      <c r="W11138" s="2"/>
      <c r="X11138" s="2"/>
      <c r="Y11138" s="2"/>
      <c r="Z11138" s="2"/>
    </row>
    <row r="11139" spans="1:26" ht="16.5" x14ac:dyDescent="0.35">
      <c r="A11139" s="2" t="str">
        <f ca="1">IFERROR(__xludf.DUMMYFUNCTION("""COMPUTED_VALUE"""),"Dubai")</f>
        <v>Dubai</v>
      </c>
      <c r="B11139" s="2" t="str">
        <f ca="1">IFERROR(__xludf.DUMMYFUNCTION("""COMPUTED_VALUE"""),"Palmon FZE D")</f>
        <v>Palmon FZE D</v>
      </c>
      <c r="C11139" s="2" t="str">
        <f ca="1">IFERROR(__xludf.DUMMYFUNCTION("""COMPUTED_VALUE"""),"Building")</f>
        <v>Building</v>
      </c>
      <c r="D11139" s="2" t="str">
        <f ca="1">IFERROR(__xludf.DUMMYFUNCTION("""COMPUTED_VALUE"""),"Dubai&gt;Dubai Investment Park (DIP)&gt;Dubai Investment Park 1&gt;Palmon Group FZCO Accommodation&gt;Palmon FZE D")</f>
        <v>Dubai&gt;Dubai Investment Park (DIP)&gt;Dubai Investment Park 1&gt;Palmon Group FZCO Accommodation&gt;Palmon FZE D</v>
      </c>
      <c r="E11139" s="2"/>
      <c r="F11139" s="2"/>
      <c r="G11139" s="2"/>
      <c r="H11139" s="2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2"/>
      <c r="T11139" s="2"/>
      <c r="U11139" s="2"/>
      <c r="V11139" s="2"/>
      <c r="W11139" s="2"/>
      <c r="X11139" s="2"/>
      <c r="Y11139" s="2"/>
      <c r="Z11139" s="2"/>
    </row>
    <row r="11140" spans="1:26" ht="16.5" x14ac:dyDescent="0.35">
      <c r="A11140" s="2" t="str">
        <f ca="1">IFERROR(__xludf.DUMMYFUNCTION("""COMPUTED_VALUE"""),"Dubai")</f>
        <v>Dubai</v>
      </c>
      <c r="B11140" s="2" t="str">
        <f ca="1">IFERROR(__xludf.DUMMYFUNCTION("""COMPUTED_VALUE"""),"Al Sondos Apartments Block B")</f>
        <v>Al Sondos Apartments Block B</v>
      </c>
      <c r="C11140" s="2" t="str">
        <f ca="1">IFERROR(__xludf.DUMMYFUNCTION("""COMPUTED_VALUE"""),"Building")</f>
        <v>Building</v>
      </c>
      <c r="D11140" s="2" t="str">
        <f ca="1">IFERROR(__xludf.DUMMYFUNCTION("""COMPUTED_VALUE"""),"Dubai&gt;Dubai Investment Park (DIP)&gt;Al Sondos Apartments&gt;Al Sondos Apartments Block B")</f>
        <v>Dubai&gt;Dubai Investment Park (DIP)&gt;Al Sondos Apartments&gt;Al Sondos Apartments Block B</v>
      </c>
      <c r="E11140" s="2"/>
      <c r="F11140" s="2"/>
      <c r="G11140" s="2"/>
      <c r="H11140" s="2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2"/>
      <c r="T11140" s="2"/>
      <c r="U11140" s="2"/>
      <c r="V11140" s="2"/>
      <c r="W11140" s="2"/>
      <c r="X11140" s="2"/>
      <c r="Y11140" s="2"/>
      <c r="Z11140" s="2"/>
    </row>
    <row r="11141" spans="1:26" ht="16.5" x14ac:dyDescent="0.35">
      <c r="A11141" s="2" t="str">
        <f ca="1">IFERROR(__xludf.DUMMYFUNCTION("""COMPUTED_VALUE"""),"Dubai")</f>
        <v>Dubai</v>
      </c>
      <c r="B11141" s="2" t="str">
        <f ca="1">IFERROR(__xludf.DUMMYFUNCTION("""COMPUTED_VALUE"""),"B4")</f>
        <v>B4</v>
      </c>
      <c r="C11141" s="2" t="str">
        <f ca="1">IFERROR(__xludf.DUMMYFUNCTION("""COMPUTED_VALUE"""),"Building")</f>
        <v>Building</v>
      </c>
      <c r="D11141" s="2" t="str">
        <f ca="1">IFERROR(__xludf.DUMMYFUNCTION("""COMPUTED_VALUE"""),"Dubai&gt;Dubai Investment Park (DIP)&gt;Dubai Investment Park 2&gt;Dunes Village&gt;B4")</f>
        <v>Dubai&gt;Dubai Investment Park (DIP)&gt;Dubai Investment Park 2&gt;Dunes Village&gt;B4</v>
      </c>
      <c r="E11141" s="2"/>
      <c r="F11141" s="2"/>
      <c r="G11141" s="2"/>
      <c r="H11141" s="2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2"/>
      <c r="T11141" s="2"/>
      <c r="U11141" s="2"/>
      <c r="V11141" s="2"/>
      <c r="W11141" s="2"/>
      <c r="X11141" s="2"/>
      <c r="Y11141" s="2"/>
      <c r="Z11141" s="2"/>
    </row>
    <row r="11142" spans="1:26" ht="16.5" x14ac:dyDescent="0.35">
      <c r="A11142" s="2" t="str">
        <f ca="1">IFERROR(__xludf.DUMMYFUNCTION("""COMPUTED_VALUE"""),"Dubai")</f>
        <v>Dubai</v>
      </c>
      <c r="B11142" s="2" t="str">
        <f ca="1">IFERROR(__xludf.DUMMYFUNCTION("""COMPUTED_VALUE"""),"Verdana Residence 2")</f>
        <v>Verdana Residence 2</v>
      </c>
      <c r="C11142" s="2" t="str">
        <f ca="1">IFERROR(__xludf.DUMMYFUNCTION("""COMPUTED_VALUE"""),"Building")</f>
        <v>Building</v>
      </c>
      <c r="D11142" s="2" t="str">
        <f ca="1">IFERROR(__xludf.DUMMYFUNCTION("""COMPUTED_VALUE"""),"Dubai&gt;Dubai Investment Park (DIP)&gt;Verdana 2&gt;Verdana Residence 2")</f>
        <v>Dubai&gt;Dubai Investment Park (DIP)&gt;Verdana 2&gt;Verdana Residence 2</v>
      </c>
      <c r="E11142" s="2"/>
      <c r="F11142" s="2"/>
      <c r="G11142" s="2"/>
      <c r="H11142" s="2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2"/>
      <c r="T11142" s="2"/>
      <c r="U11142" s="2"/>
      <c r="V11142" s="2"/>
      <c r="W11142" s="2"/>
      <c r="X11142" s="2"/>
      <c r="Y11142" s="2"/>
      <c r="Z11142" s="2"/>
    </row>
    <row r="11143" spans="1:26" ht="16.5" x14ac:dyDescent="0.35">
      <c r="A11143" s="2" t="str">
        <f ca="1">IFERROR(__xludf.DUMMYFUNCTION("""COMPUTED_VALUE"""),"Dubai")</f>
        <v>Dubai</v>
      </c>
      <c r="B11143" s="2" t="str">
        <f ca="1">IFERROR(__xludf.DUMMYFUNCTION("""COMPUTED_VALUE"""),"Royal 3")</f>
        <v>Royal 3</v>
      </c>
      <c r="C11143" s="2" t="str">
        <f ca="1">IFERROR(__xludf.DUMMYFUNCTION("""COMPUTED_VALUE"""),"Building")</f>
        <v>Building</v>
      </c>
      <c r="D11143" s="2" t="str">
        <f ca="1">IFERROR(__xludf.DUMMYFUNCTION("""COMPUTED_VALUE"""),"Dubai&gt;Dubai Investment Park (DIP)&gt;DAMAC Riverside&gt;Riverside Views&gt;Royal 3")</f>
        <v>Dubai&gt;Dubai Investment Park (DIP)&gt;DAMAC Riverside&gt;Riverside Views&gt;Royal 3</v>
      </c>
      <c r="E11143" s="2"/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  <c r="V11143" s="2"/>
      <c r="W11143" s="2"/>
      <c r="X11143" s="2"/>
      <c r="Y11143" s="2"/>
      <c r="Z11143" s="2"/>
    </row>
    <row r="11144" spans="1:26" ht="16.5" x14ac:dyDescent="0.35">
      <c r="A11144" s="2" t="str">
        <f ca="1">IFERROR(__xludf.DUMMYFUNCTION("""COMPUTED_VALUE"""),"Dubai")</f>
        <v>Dubai</v>
      </c>
      <c r="B11144" s="2" t="str">
        <f ca="1">IFERROR(__xludf.DUMMYFUNCTION("""COMPUTED_VALUE"""),"Majan One Residence")</f>
        <v>Majan One Residence</v>
      </c>
      <c r="C11144" s="2" t="str">
        <f ca="1">IFERROR(__xludf.DUMMYFUNCTION("""COMPUTED_VALUE"""),"Building")</f>
        <v>Building</v>
      </c>
      <c r="D11144" s="2" t="str">
        <f ca="1">IFERROR(__xludf.DUMMYFUNCTION("""COMPUTED_VALUE"""),"Dubai&gt;Majan&gt;Majan One Residence")</f>
        <v>Dubai&gt;Majan&gt;Majan One Residence</v>
      </c>
      <c r="E11144" s="2"/>
      <c r="F11144" s="2"/>
      <c r="G11144" s="2"/>
      <c r="H11144" s="2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2"/>
      <c r="T11144" s="2"/>
      <c r="U11144" s="2"/>
      <c r="V11144" s="2"/>
      <c r="W11144" s="2"/>
      <c r="X11144" s="2"/>
      <c r="Y11144" s="2"/>
      <c r="Z11144" s="2"/>
    </row>
    <row r="11145" spans="1:26" ht="16.5" x14ac:dyDescent="0.35">
      <c r="A11145" s="2" t="str">
        <f ca="1">IFERROR(__xludf.DUMMYFUNCTION("""COMPUTED_VALUE"""),"Dubai")</f>
        <v>Dubai</v>
      </c>
      <c r="B11145" s="2" t="str">
        <f ca="1">IFERROR(__xludf.DUMMYFUNCTION("""COMPUTED_VALUE"""),"MVK Central")</f>
        <v>MVK Central</v>
      </c>
      <c r="C11145" s="2" t="str">
        <f ca="1">IFERROR(__xludf.DUMMYFUNCTION("""COMPUTED_VALUE"""),"Building")</f>
        <v>Building</v>
      </c>
      <c r="D11145" s="2" t="str">
        <f ca="1">IFERROR(__xludf.DUMMYFUNCTION("""COMPUTED_VALUE"""),"Dubai&gt;Majan&gt;MVK Central")</f>
        <v>Dubai&gt;Majan&gt;MVK Central</v>
      </c>
      <c r="E11145" s="2"/>
      <c r="F11145" s="2"/>
      <c r="G11145" s="2"/>
      <c r="H11145" s="2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2"/>
      <c r="T11145" s="2"/>
      <c r="U11145" s="2"/>
      <c r="V11145" s="2"/>
      <c r="W11145" s="2"/>
      <c r="X11145" s="2"/>
      <c r="Y11145" s="2"/>
      <c r="Z11145" s="2"/>
    </row>
    <row r="11146" spans="1:26" ht="16.5" x14ac:dyDescent="0.35">
      <c r="A11146" s="2" t="str">
        <f ca="1">IFERROR(__xludf.DUMMYFUNCTION("""COMPUTED_VALUE"""),"Dubai")</f>
        <v>Dubai</v>
      </c>
      <c r="B11146" s="2" t="str">
        <f ca="1">IFERROR(__xludf.DUMMYFUNCTION("""COMPUTED_VALUE"""),"Samana Barari Views 2")</f>
        <v>Samana Barari Views 2</v>
      </c>
      <c r="C11146" s="2" t="str">
        <f ca="1">IFERROR(__xludf.DUMMYFUNCTION("""COMPUTED_VALUE"""),"Building")</f>
        <v>Building</v>
      </c>
      <c r="D11146" s="2" t="str">
        <f ca="1">IFERROR(__xludf.DUMMYFUNCTION("""COMPUTED_VALUE"""),"Dubai&gt;Majan&gt;Samana Barari Views 2")</f>
        <v>Dubai&gt;Majan&gt;Samana Barari Views 2</v>
      </c>
      <c r="E11146" s="2"/>
      <c r="F11146" s="2"/>
      <c r="G11146" s="2"/>
      <c r="H11146" s="2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2"/>
      <c r="T11146" s="2"/>
      <c r="U11146" s="2"/>
      <c r="V11146" s="2"/>
      <c r="W11146" s="2"/>
      <c r="X11146" s="2"/>
      <c r="Y11146" s="2"/>
      <c r="Z11146" s="2"/>
    </row>
    <row r="11147" spans="1:26" ht="16.5" x14ac:dyDescent="0.35">
      <c r="A11147" s="2" t="str">
        <f ca="1">IFERROR(__xludf.DUMMYFUNCTION("""COMPUTED_VALUE"""),"Dubai")</f>
        <v>Dubai</v>
      </c>
      <c r="B11147" s="2" t="str">
        <f ca="1">IFERROR(__xludf.DUMMYFUNCTION("""COMPUTED_VALUE"""),"Wadi Al Amardi")</f>
        <v>Wadi Al Amardi</v>
      </c>
      <c r="C11147" s="2" t="str">
        <f ca="1">IFERROR(__xludf.DUMMYFUNCTION("""COMPUTED_VALUE"""),"Neighbourhood")</f>
        <v>Neighbourhood</v>
      </c>
      <c r="D11147" s="2" t="str">
        <f ca="1">IFERROR(__xludf.DUMMYFUNCTION("""COMPUTED_VALUE"""),"Dubai&gt;Wadi Al Amardi")</f>
        <v>Dubai&gt;Wadi Al Amardi</v>
      </c>
      <c r="E11147" s="2"/>
      <c r="F11147" s="2"/>
      <c r="G11147" s="2"/>
      <c r="H11147" s="2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2"/>
      <c r="T11147" s="2"/>
      <c r="U11147" s="2"/>
      <c r="V11147" s="2"/>
      <c r="W11147" s="2"/>
      <c r="X11147" s="2"/>
      <c r="Y11147" s="2"/>
      <c r="Z11147" s="2"/>
    </row>
    <row r="11148" spans="1:26" ht="16.5" x14ac:dyDescent="0.35">
      <c r="A11148" s="2" t="str">
        <f ca="1">IFERROR(__xludf.DUMMYFUNCTION("""COMPUTED_VALUE"""),"Dubai")</f>
        <v>Dubai</v>
      </c>
      <c r="B11148" s="2" t="str">
        <f ca="1">IFERROR(__xludf.DUMMYFUNCTION("""COMPUTED_VALUE"""),"Glitz 3")</f>
        <v>Glitz 3</v>
      </c>
      <c r="C11148" s="2" t="str">
        <f ca="1">IFERROR(__xludf.DUMMYFUNCTION("""COMPUTED_VALUE"""),"Cluster")</f>
        <v>Cluster</v>
      </c>
      <c r="D11148" s="2" t="str">
        <f ca="1">IFERROR(__xludf.DUMMYFUNCTION("""COMPUTED_VALUE"""),"Dubai&gt;Dubai Studio City&gt;Glitz 3")</f>
        <v>Dubai&gt;Dubai Studio City&gt;Glitz 3</v>
      </c>
      <c r="E11148" s="2"/>
      <c r="F11148" s="2"/>
      <c r="G11148" s="2"/>
      <c r="H11148" s="2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2"/>
      <c r="T11148" s="2"/>
      <c r="U11148" s="2"/>
      <c r="V11148" s="2"/>
      <c r="W11148" s="2"/>
      <c r="X11148" s="2"/>
      <c r="Y11148" s="2"/>
      <c r="Z11148" s="2"/>
    </row>
    <row r="11149" spans="1:26" ht="16.5" x14ac:dyDescent="0.35">
      <c r="A11149" s="2" t="str">
        <f ca="1">IFERROR(__xludf.DUMMYFUNCTION("""COMPUTED_VALUE"""),"Dubai")</f>
        <v>Dubai</v>
      </c>
      <c r="B11149" s="2" t="str">
        <f ca="1">IFERROR(__xludf.DUMMYFUNCTION("""COMPUTED_VALUE"""),"BS-18")</f>
        <v>BS-18</v>
      </c>
      <c r="C11149" s="2" t="str">
        <f ca="1">IFERROR(__xludf.DUMMYFUNCTION("""COMPUTED_VALUE"""),"Building")</f>
        <v>Building</v>
      </c>
      <c r="D11149" s="2" t="str">
        <f ca="1">IFERROR(__xludf.DUMMYFUNCTION("""COMPUTED_VALUE"""),"Dubai&gt;Dubai Studio City&gt;Boutique Studios&gt;BS-18")</f>
        <v>Dubai&gt;Dubai Studio City&gt;Boutique Studios&gt;BS-18</v>
      </c>
      <c r="E11149" s="2"/>
      <c r="F11149" s="2"/>
      <c r="G11149" s="2"/>
      <c r="H11149" s="2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2"/>
      <c r="T11149" s="2"/>
      <c r="U11149" s="2"/>
      <c r="V11149" s="2"/>
      <c r="W11149" s="2"/>
      <c r="X11149" s="2"/>
      <c r="Y11149" s="2"/>
      <c r="Z11149" s="2"/>
    </row>
    <row r="11150" spans="1:26" ht="16.5" x14ac:dyDescent="0.35">
      <c r="A11150" s="2" t="str">
        <f ca="1">IFERROR(__xludf.DUMMYFUNCTION("""COMPUTED_VALUE"""),"Dubai")</f>
        <v>Dubai</v>
      </c>
      <c r="B11150" s="2" t="str">
        <f ca="1">IFERROR(__xludf.DUMMYFUNCTION("""COMPUTED_VALUE"""),"Wilton Park Residences")</f>
        <v>Wilton Park Residences</v>
      </c>
      <c r="C11150" s="2" t="str">
        <f ca="1">IFERROR(__xludf.DUMMYFUNCTION("""COMPUTED_VALUE"""),"Cluster")</f>
        <v>Cluster</v>
      </c>
      <c r="D11150" s="2" t="str">
        <f ca="1">IFERROR(__xludf.DUMMYFUNCTION("""COMPUTED_VALUE"""),"Dubai&gt;Sobha Hartland&gt;Wilton Park Residences")</f>
        <v>Dubai&gt;Sobha Hartland&gt;Wilton Park Residences</v>
      </c>
      <c r="E11150" s="2"/>
      <c r="F11150" s="2"/>
      <c r="G11150" s="2"/>
      <c r="H11150" s="2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2"/>
      <c r="T11150" s="2"/>
      <c r="U11150" s="2"/>
      <c r="V11150" s="2"/>
      <c r="W11150" s="2"/>
      <c r="X11150" s="2"/>
      <c r="Y11150" s="2"/>
      <c r="Z11150" s="2"/>
    </row>
    <row r="11151" spans="1:26" ht="16.5" x14ac:dyDescent="0.35">
      <c r="A11151" s="2" t="str">
        <f ca="1">IFERROR(__xludf.DUMMYFUNCTION("""COMPUTED_VALUE"""),"Dubai")</f>
        <v>Dubai</v>
      </c>
      <c r="B11151" s="2" t="str">
        <f ca="1">IFERROR(__xludf.DUMMYFUNCTION("""COMPUTED_VALUE"""),"Sobha One Tower B")</f>
        <v>Sobha One Tower B</v>
      </c>
      <c r="C11151" s="2" t="str">
        <f ca="1">IFERROR(__xludf.DUMMYFUNCTION("""COMPUTED_VALUE"""),"Building")</f>
        <v>Building</v>
      </c>
      <c r="D11151" s="2" t="str">
        <f ca="1">IFERROR(__xludf.DUMMYFUNCTION("""COMPUTED_VALUE"""),"Dubai&gt;Sobha Hartland&gt;Sobha One&gt;Sobha One Tower B")</f>
        <v>Dubai&gt;Sobha Hartland&gt;Sobha One&gt;Sobha One Tower B</v>
      </c>
      <c r="E11151" s="2"/>
      <c r="F11151" s="2"/>
      <c r="G11151" s="2"/>
      <c r="H11151" s="2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2"/>
      <c r="T11151" s="2"/>
      <c r="U11151" s="2"/>
      <c r="V11151" s="2"/>
      <c r="W11151" s="2"/>
      <c r="X11151" s="2"/>
      <c r="Y11151" s="2"/>
      <c r="Z11151" s="2"/>
    </row>
    <row r="11152" spans="1:26" ht="16.5" x14ac:dyDescent="0.35">
      <c r="A11152" s="2" t="str">
        <f ca="1">IFERROR(__xludf.DUMMYFUNCTION("""COMPUTED_VALUE"""),"Dubai")</f>
        <v>Dubai</v>
      </c>
      <c r="B11152" s="2" t="str">
        <f ca="1">IFERROR(__xludf.DUMMYFUNCTION("""COMPUTED_VALUE"""),"Building 1B")</f>
        <v>Building 1B</v>
      </c>
      <c r="C11152" s="2" t="str">
        <f ca="1">IFERROR(__xludf.DUMMYFUNCTION("""COMPUTED_VALUE"""),"Building")</f>
        <v>Building</v>
      </c>
      <c r="D11152" s="2" t="str">
        <f ca="1">IFERROR(__xludf.DUMMYFUNCTION("""COMPUTED_VALUE"""),"Dubai&gt;Expo City&gt;Expo Village&gt;Residences 1&gt;Building 1B")</f>
        <v>Dubai&gt;Expo City&gt;Expo Village&gt;Residences 1&gt;Building 1B</v>
      </c>
      <c r="E11152" s="2"/>
      <c r="F11152" s="2"/>
      <c r="G11152" s="2"/>
      <c r="H11152" s="2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2"/>
      <c r="T11152" s="2"/>
      <c r="U11152" s="2"/>
      <c r="V11152" s="2"/>
      <c r="W11152" s="2"/>
      <c r="X11152" s="2"/>
      <c r="Y11152" s="2"/>
      <c r="Z11152" s="2"/>
    </row>
    <row r="11153" spans="1:26" ht="16.5" x14ac:dyDescent="0.35">
      <c r="A11153" s="2" t="str">
        <f ca="1">IFERROR(__xludf.DUMMYFUNCTION("""COMPUTED_VALUE"""),"Dubai")</f>
        <v>Dubai</v>
      </c>
      <c r="B11153" s="2" t="str">
        <f ca="1">IFERROR(__xludf.DUMMYFUNCTION("""COMPUTED_VALUE"""),"Sidr Residences")</f>
        <v>Sidr Residences</v>
      </c>
      <c r="C11153" s="2" t="str">
        <f ca="1">IFERROR(__xludf.DUMMYFUNCTION("""COMPUTED_VALUE"""),"Building")</f>
        <v>Building</v>
      </c>
      <c r="D11153" s="2" t="str">
        <f ca="1">IFERROR(__xludf.DUMMYFUNCTION("""COMPUTED_VALUE"""),"Dubai&gt;Expo City&gt;Sidr Residences")</f>
        <v>Dubai&gt;Expo City&gt;Sidr Residences</v>
      </c>
      <c r="E11153" s="2"/>
      <c r="F11153" s="2"/>
      <c r="G11153" s="2"/>
      <c r="H11153" s="2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2"/>
      <c r="T11153" s="2"/>
      <c r="U11153" s="2"/>
      <c r="V11153" s="2"/>
      <c r="W11153" s="2"/>
      <c r="X11153" s="2"/>
      <c r="Y11153" s="2"/>
      <c r="Z11153" s="2"/>
    </row>
    <row r="11154" spans="1:26" ht="16.5" x14ac:dyDescent="0.35">
      <c r="A11154" s="2" t="str">
        <f ca="1">IFERROR(__xludf.DUMMYFUNCTION("""COMPUTED_VALUE"""),"Dubai")</f>
        <v>Dubai</v>
      </c>
      <c r="B11154" s="2" t="str">
        <f ca="1">IFERROR(__xludf.DUMMYFUNCTION("""COMPUTED_VALUE"""),"Amali Island")</f>
        <v>Amali Island</v>
      </c>
      <c r="C11154" s="2" t="str">
        <f ca="1">IFERROR(__xludf.DUMMYFUNCTION("""COMPUTED_VALUE"""),"Neighbourhood")</f>
        <v>Neighbourhood</v>
      </c>
      <c r="D11154" s="2" t="str">
        <f ca="1">IFERROR(__xludf.DUMMYFUNCTION("""COMPUTED_VALUE"""),"Dubai&gt;The World Islands&gt;Amali Island")</f>
        <v>Dubai&gt;The World Islands&gt;Amali Island</v>
      </c>
      <c r="E11154" s="2"/>
      <c r="F11154" s="2"/>
      <c r="G11154" s="2"/>
      <c r="H11154" s="2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2"/>
      <c r="T11154" s="2"/>
      <c r="U11154" s="2"/>
      <c r="V11154" s="2"/>
      <c r="W11154" s="2"/>
      <c r="X11154" s="2"/>
      <c r="Y11154" s="2"/>
      <c r="Z11154" s="2"/>
    </row>
    <row r="11155" spans="1:26" ht="16.5" x14ac:dyDescent="0.35">
      <c r="A11155" s="2" t="str">
        <f ca="1">IFERROR(__xludf.DUMMYFUNCTION("""COMPUTED_VALUE"""),"Dubai")</f>
        <v>Dubai</v>
      </c>
      <c r="B11155" s="2" t="str">
        <f ca="1">IFERROR(__xludf.DUMMYFUNCTION("""COMPUTED_VALUE"""),"Nazwah")</f>
        <v>Nazwah</v>
      </c>
      <c r="C11155" s="2" t="str">
        <f ca="1">IFERROR(__xludf.DUMMYFUNCTION("""COMPUTED_VALUE"""),"Neighbourhood")</f>
        <v>Neighbourhood</v>
      </c>
      <c r="D11155" s="2" t="str">
        <f ca="1">IFERROR(__xludf.DUMMYFUNCTION("""COMPUTED_VALUE"""),"Dubai&gt;Nazwah")</f>
        <v>Dubai&gt;Nazwah</v>
      </c>
      <c r="E11155" s="2"/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  <c r="V11155" s="2"/>
      <c r="W11155" s="2"/>
      <c r="X11155" s="2"/>
      <c r="Y11155" s="2"/>
      <c r="Z11155" s="2"/>
    </row>
    <row r="11156" spans="1:26" ht="16.5" x14ac:dyDescent="0.35">
      <c r="A11156" s="2" t="str">
        <f ca="1">IFERROR(__xludf.DUMMYFUNCTION("""COMPUTED_VALUE"""),"Dubai")</f>
        <v>Dubai</v>
      </c>
      <c r="B11156" s="2" t="str">
        <f ca="1">IFERROR(__xludf.DUMMYFUNCTION("""COMPUTED_VALUE"""),"Serra Building 1")</f>
        <v>Serra Building 1</v>
      </c>
      <c r="C11156" s="2" t="str">
        <f ca="1">IFERROR(__xludf.DUMMYFUNCTION("""COMPUTED_VALUE"""),"Building")</f>
        <v>Building</v>
      </c>
      <c r="D11156" s="2" t="str">
        <f ca="1">IFERROR(__xludf.DUMMYFUNCTION("""COMPUTED_VALUE"""),"Dubai&gt;Ghaf Woods&gt;Serra&gt;Serra Building 1")</f>
        <v>Dubai&gt;Ghaf Woods&gt;Serra&gt;Serra Building 1</v>
      </c>
      <c r="E11156" s="2"/>
      <c r="F11156" s="2"/>
      <c r="G11156" s="2"/>
      <c r="H11156" s="2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2"/>
      <c r="T11156" s="2"/>
      <c r="U11156" s="2"/>
      <c r="V11156" s="2"/>
      <c r="W11156" s="2"/>
      <c r="X11156" s="2"/>
      <c r="Y11156" s="2"/>
      <c r="Z11156" s="2"/>
    </row>
    <row r="11157" spans="1:26" ht="16.5" x14ac:dyDescent="0.35">
      <c r="A11157" s="2" t="str">
        <f ca="1">IFERROR(__xludf.DUMMYFUNCTION("""COMPUTED_VALUE"""),"Dubai")</f>
        <v>Dubai</v>
      </c>
      <c r="B11157" s="2" t="str">
        <f ca="1">IFERROR(__xludf.DUMMYFUNCTION("""COMPUTED_VALUE"""),"Maravelle Residences Building 3")</f>
        <v>Maravelle Residences Building 3</v>
      </c>
      <c r="C11157" s="2" t="str">
        <f ca="1">IFERROR(__xludf.DUMMYFUNCTION("""COMPUTED_VALUE"""),"Building")</f>
        <v>Building</v>
      </c>
      <c r="D11157" s="2" t="str">
        <f ca="1">IFERROR(__xludf.DUMMYFUNCTION("""COMPUTED_VALUE"""),"Dubai&gt;Ghaf Woods&gt;Maravelle Residences&gt;Maravelle Residences Building 3")</f>
        <v>Dubai&gt;Ghaf Woods&gt;Maravelle Residences&gt;Maravelle Residences Building 3</v>
      </c>
      <c r="E11157" s="2"/>
      <c r="F11157" s="2"/>
      <c r="G11157" s="2"/>
      <c r="H11157" s="2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2"/>
      <c r="T11157" s="2"/>
      <c r="U11157" s="2"/>
      <c r="V11157" s="2"/>
      <c r="W11157" s="2"/>
      <c r="X11157" s="2"/>
      <c r="Y11157" s="2"/>
      <c r="Z11157" s="2"/>
    </row>
    <row r="11158" spans="1:26" ht="16.5" x14ac:dyDescent="0.35">
      <c r="A11158" s="2" t="str">
        <f ca="1">IFERROR(__xludf.DUMMYFUNCTION("""COMPUTED_VALUE"""),"Dubai")</f>
        <v>Dubai</v>
      </c>
      <c r="B11158" s="2" t="str">
        <f ca="1">IFERROR(__xludf.DUMMYFUNCTION("""COMPUTED_VALUE"""),"La Vie")</f>
        <v>La Vie</v>
      </c>
      <c r="C11158" s="2" t="str">
        <f ca="1">IFERROR(__xludf.DUMMYFUNCTION("""COMPUTED_VALUE"""),"Building")</f>
        <v>Building</v>
      </c>
      <c r="D11158" s="2" t="str">
        <f ca="1">IFERROR(__xludf.DUMMYFUNCTION("""COMPUTED_VALUE"""),"Dubai&gt;Jumeirah Beach Residence (JBR)&gt;La Vie")</f>
        <v>Dubai&gt;Jumeirah Beach Residence (JBR)&gt;La Vie</v>
      </c>
      <c r="E11158" s="2"/>
      <c r="F11158" s="2"/>
      <c r="G11158" s="2"/>
      <c r="H11158" s="2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2"/>
      <c r="T11158" s="2"/>
      <c r="U11158" s="2"/>
      <c r="V11158" s="2"/>
      <c r="W11158" s="2"/>
      <c r="X11158" s="2"/>
      <c r="Y11158" s="2"/>
      <c r="Z11158" s="2"/>
    </row>
    <row r="11159" spans="1:26" ht="16.5" x14ac:dyDescent="0.35">
      <c r="A11159" s="2" t="str">
        <f ca="1">IFERROR(__xludf.DUMMYFUNCTION("""COMPUTED_VALUE"""),"Dubai")</f>
        <v>Dubai</v>
      </c>
      <c r="B11159" s="2" t="str">
        <f ca="1">IFERROR(__xludf.DUMMYFUNCTION("""COMPUTED_VALUE"""),"Sadaf 2")</f>
        <v>Sadaf 2</v>
      </c>
      <c r="C11159" s="2" t="str">
        <f ca="1">IFERROR(__xludf.DUMMYFUNCTION("""COMPUTED_VALUE"""),"Building")</f>
        <v>Building</v>
      </c>
      <c r="D11159" s="2" t="str">
        <f ca="1">IFERROR(__xludf.DUMMYFUNCTION("""COMPUTED_VALUE"""),"Dubai&gt;Jumeirah Beach Residence (JBR)&gt;Sadaf&gt;Sadaf 2")</f>
        <v>Dubai&gt;Jumeirah Beach Residence (JBR)&gt;Sadaf&gt;Sadaf 2</v>
      </c>
      <c r="E11159" s="2"/>
      <c r="F11159" s="2"/>
      <c r="G11159" s="2"/>
      <c r="H11159" s="2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2"/>
      <c r="T11159" s="2"/>
      <c r="U11159" s="2"/>
      <c r="V11159" s="2"/>
      <c r="W11159" s="2"/>
      <c r="X11159" s="2"/>
      <c r="Y11159" s="2"/>
      <c r="Z11159" s="2"/>
    </row>
    <row r="11160" spans="1:26" ht="16.5" x14ac:dyDescent="0.35">
      <c r="A11160" s="2" t="str">
        <f ca="1">IFERROR(__xludf.DUMMYFUNCTION("""COMPUTED_VALUE"""),"Dubai")</f>
        <v>Dubai</v>
      </c>
      <c r="B11160" s="2" t="str">
        <f ca="1">IFERROR(__xludf.DUMMYFUNCTION("""COMPUTED_VALUE"""),"Claydon House")</f>
        <v>Claydon House</v>
      </c>
      <c r="C11160" s="2" t="str">
        <f ca="1">IFERROR(__xludf.DUMMYFUNCTION("""COMPUTED_VALUE"""),"Building")</f>
        <v>Building</v>
      </c>
      <c r="D11160" s="2" t="str">
        <f ca="1">IFERROR(__xludf.DUMMYFUNCTION("""COMPUTED_VALUE"""),"Dubai&gt;Meydan Horizon&gt;Claydon House")</f>
        <v>Dubai&gt;Meydan Horizon&gt;Claydon House</v>
      </c>
      <c r="E11160" s="2"/>
      <c r="F11160" s="2"/>
      <c r="G11160" s="2"/>
      <c r="H11160" s="2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2"/>
      <c r="T11160" s="2"/>
      <c r="U11160" s="2"/>
      <c r="V11160" s="2"/>
      <c r="W11160" s="2"/>
      <c r="X11160" s="2"/>
      <c r="Y11160" s="2"/>
      <c r="Z11160" s="2"/>
    </row>
    <row r="11161" spans="1:26" ht="16.5" x14ac:dyDescent="0.35">
      <c r="A11161" s="2" t="str">
        <f ca="1">IFERROR(__xludf.DUMMYFUNCTION("""COMPUTED_VALUE"""),"Dubai")</f>
        <v>Dubai</v>
      </c>
      <c r="B11161" s="2" t="str">
        <f ca="1">IFERROR(__xludf.DUMMYFUNCTION("""COMPUTED_VALUE"""),"Horizon English School (HES)")</f>
        <v>Horizon English School (HES)</v>
      </c>
      <c r="C11161" s="2" t="str">
        <f ca="1">IFERROR(__xludf.DUMMYFUNCTION("""COMPUTED_VALUE"""),"School")</f>
        <v>School</v>
      </c>
      <c r="D11161" s="2" t="str">
        <f ca="1">IFERROR(__xludf.DUMMYFUNCTION("""COMPUTED_VALUE"""),"Dubai&gt;Al Wasl&gt;Horizon English School (HES)")</f>
        <v>Dubai&gt;Al Wasl&gt;Horizon English School (HES)</v>
      </c>
      <c r="E11161" s="2"/>
      <c r="F11161" s="2"/>
      <c r="G11161" s="2"/>
      <c r="H11161" s="2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2"/>
      <c r="T11161" s="2"/>
      <c r="U11161" s="2"/>
      <c r="V11161" s="2"/>
      <c r="W11161" s="2"/>
      <c r="X11161" s="2"/>
      <c r="Y11161" s="2"/>
      <c r="Z11161" s="2"/>
    </row>
    <row r="11162" spans="1:26" ht="16.5" x14ac:dyDescent="0.35">
      <c r="A11162" s="2" t="str">
        <f ca="1">IFERROR(__xludf.DUMMYFUNCTION("""COMPUTED_VALUE"""),"Dubai")</f>
        <v>Dubai</v>
      </c>
      <c r="B11162" s="2" t="str">
        <f ca="1">IFERROR(__xludf.DUMMYFUNCTION("""COMPUTED_VALUE"""),"Rove City Walk")</f>
        <v>Rove City Walk</v>
      </c>
      <c r="C11162" s="2" t="str">
        <f ca="1">IFERROR(__xludf.DUMMYFUNCTION("""COMPUTED_VALUE"""),"Building")</f>
        <v>Building</v>
      </c>
      <c r="D11162" s="2" t="str">
        <f ca="1">IFERROR(__xludf.DUMMYFUNCTION("""COMPUTED_VALUE"""),"Dubai&gt;Al Wasl&gt;City Walk&gt;Rove City Walk")</f>
        <v>Dubai&gt;Al Wasl&gt;City Walk&gt;Rove City Walk</v>
      </c>
      <c r="E11162" s="2"/>
      <c r="F11162" s="2"/>
      <c r="G11162" s="2"/>
      <c r="H11162" s="2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2"/>
      <c r="T11162" s="2"/>
      <c r="U11162" s="2"/>
      <c r="V11162" s="2"/>
      <c r="W11162" s="2"/>
      <c r="X11162" s="2"/>
      <c r="Y11162" s="2"/>
      <c r="Z11162" s="2"/>
    </row>
    <row r="11163" spans="1:26" ht="16.5" x14ac:dyDescent="0.35">
      <c r="A11163" s="2" t="str">
        <f ca="1">IFERROR(__xludf.DUMMYFUNCTION("""COMPUTED_VALUE"""),"Dubai")</f>
        <v>Dubai</v>
      </c>
      <c r="B11163" s="2" t="str">
        <f ca="1">IFERROR(__xludf.DUMMYFUNCTION("""COMPUTED_VALUE"""),"Building 19")</f>
        <v>Building 19</v>
      </c>
      <c r="C11163" s="2" t="str">
        <f ca="1">IFERROR(__xludf.DUMMYFUNCTION("""COMPUTED_VALUE"""),"Building")</f>
        <v>Building</v>
      </c>
      <c r="D11163" s="2" t="str">
        <f ca="1">IFERROR(__xludf.DUMMYFUNCTION("""COMPUTED_VALUE"""),"Dubai&gt;Al Wasl&gt;City Walk&gt;Building 19")</f>
        <v>Dubai&gt;Al Wasl&gt;City Walk&gt;Building 19</v>
      </c>
      <c r="E11163" s="2"/>
      <c r="F11163" s="2"/>
      <c r="G11163" s="2"/>
      <c r="H11163" s="2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2"/>
      <c r="T11163" s="2"/>
      <c r="U11163" s="2"/>
      <c r="V11163" s="2"/>
      <c r="W11163" s="2"/>
      <c r="X11163" s="2"/>
      <c r="Y11163" s="2"/>
      <c r="Z11163" s="2"/>
    </row>
    <row r="11164" spans="1:26" ht="16.5" x14ac:dyDescent="0.35">
      <c r="A11164" s="2" t="str">
        <f ca="1">IFERROR(__xludf.DUMMYFUNCTION("""COMPUTED_VALUE"""),"Dubai")</f>
        <v>Dubai</v>
      </c>
      <c r="B11164" s="2" t="str">
        <f ca="1">IFERROR(__xludf.DUMMYFUNCTION("""COMPUTED_VALUE"""),"Canal Front Residences 1")</f>
        <v>Canal Front Residences 1</v>
      </c>
      <c r="C11164" s="2" t="str">
        <f ca="1">IFERROR(__xludf.DUMMYFUNCTION("""COMPUTED_VALUE"""),"Building")</f>
        <v>Building</v>
      </c>
      <c r="D11164" s="2" t="str">
        <f ca="1">IFERROR(__xludf.DUMMYFUNCTION("""COMPUTED_VALUE"""),"Dubai&gt;Al Wasl&gt;Canal Front Residences&gt;Canal Front Residences 1")</f>
        <v>Dubai&gt;Al Wasl&gt;Canal Front Residences&gt;Canal Front Residences 1</v>
      </c>
      <c r="E11164" s="2"/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2"/>
      <c r="T11164" s="2"/>
      <c r="U11164" s="2"/>
      <c r="V11164" s="2"/>
      <c r="W11164" s="2"/>
      <c r="X11164" s="2"/>
      <c r="Y11164" s="2"/>
      <c r="Z11164" s="2"/>
    </row>
    <row r="11165" spans="1:26" ht="16.5" x14ac:dyDescent="0.35">
      <c r="A11165" s="2" t="str">
        <f ca="1">IFERROR(__xludf.DUMMYFUNCTION("""COMPUTED_VALUE"""),"Dubai")</f>
        <v>Dubai</v>
      </c>
      <c r="B11165" s="2" t="str">
        <f ca="1">IFERROR(__xludf.DUMMYFUNCTION("""COMPUTED_VALUE"""),"Mr. C Residences Downtown")</f>
        <v>Mr. C Residences Downtown</v>
      </c>
      <c r="C11165" s="2" t="str">
        <f ca="1">IFERROR(__xludf.DUMMYFUNCTION("""COMPUTED_VALUE"""),"Building")</f>
        <v>Building</v>
      </c>
      <c r="D11165" s="2" t="str">
        <f ca="1">IFERROR(__xludf.DUMMYFUNCTION("""COMPUTED_VALUE"""),"Dubai&gt;Al Wasl&gt;Mr. C Residences Downtown")</f>
        <v>Dubai&gt;Al Wasl&gt;Mr. C Residences Downtown</v>
      </c>
      <c r="E11165" s="2"/>
      <c r="F11165" s="2"/>
      <c r="G11165" s="2"/>
      <c r="H11165" s="2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2"/>
      <c r="T11165" s="2"/>
      <c r="U11165" s="2"/>
      <c r="V11165" s="2"/>
      <c r="W11165" s="2"/>
      <c r="X11165" s="2"/>
      <c r="Y11165" s="2"/>
      <c r="Z11165" s="2"/>
    </row>
    <row r="11166" spans="1:26" ht="16.5" x14ac:dyDescent="0.35">
      <c r="A11166" s="2" t="str">
        <f ca="1">IFERROR(__xludf.DUMMYFUNCTION("""COMPUTED_VALUE"""),"Dubai")</f>
        <v>Dubai</v>
      </c>
      <c r="B11166" s="2" t="str">
        <f ca="1">IFERROR(__xludf.DUMMYFUNCTION("""COMPUTED_VALUE"""),"Priva Living")</f>
        <v>Priva Living</v>
      </c>
      <c r="C11166" s="2" t="str">
        <f ca="1">IFERROR(__xludf.DUMMYFUNCTION("""COMPUTED_VALUE"""),"Building")</f>
        <v>Building</v>
      </c>
      <c r="D11166" s="2" t="str">
        <f ca="1">IFERROR(__xludf.DUMMYFUNCTION("""COMPUTED_VALUE"""),"Dubai&gt;Arjan&gt;Priva Living")</f>
        <v>Dubai&gt;Arjan&gt;Priva Living</v>
      </c>
      <c r="E11166" s="2"/>
      <c r="F11166" s="2"/>
      <c r="G11166" s="2"/>
      <c r="H11166" s="2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2"/>
      <c r="T11166" s="2"/>
      <c r="U11166" s="2"/>
      <c r="V11166" s="2"/>
      <c r="W11166" s="2"/>
      <c r="X11166" s="2"/>
      <c r="Y11166" s="2"/>
      <c r="Z11166" s="2"/>
    </row>
    <row r="11167" spans="1:26" ht="16.5" x14ac:dyDescent="0.35">
      <c r="A11167" s="2" t="str">
        <f ca="1">IFERROR(__xludf.DUMMYFUNCTION("""COMPUTED_VALUE"""),"Dubai")</f>
        <v>Dubai</v>
      </c>
      <c r="B11167" s="2" t="str">
        <f ca="1">IFERROR(__xludf.DUMMYFUNCTION("""COMPUTED_VALUE"""),"Green Diamond 1 Tower A")</f>
        <v>Green Diamond 1 Tower A</v>
      </c>
      <c r="C11167" s="2" t="str">
        <f ca="1">IFERROR(__xludf.DUMMYFUNCTION("""COMPUTED_VALUE"""),"Building")</f>
        <v>Building</v>
      </c>
      <c r="D11167" s="2" t="str">
        <f ca="1">IFERROR(__xludf.DUMMYFUNCTION("""COMPUTED_VALUE"""),"Dubai&gt;Arjan&gt;Green Diamond 1&gt;Green Diamond 1 Tower A")</f>
        <v>Dubai&gt;Arjan&gt;Green Diamond 1&gt;Green Diamond 1 Tower A</v>
      </c>
      <c r="E11167" s="2"/>
      <c r="F11167" s="2"/>
      <c r="G11167" s="2"/>
      <c r="H11167" s="2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2"/>
      <c r="T11167" s="2"/>
      <c r="U11167" s="2"/>
      <c r="V11167" s="2"/>
      <c r="W11167" s="2"/>
      <c r="X11167" s="2"/>
      <c r="Y11167" s="2"/>
      <c r="Z11167" s="2"/>
    </row>
    <row r="11168" spans="1:26" ht="16.5" x14ac:dyDescent="0.35">
      <c r="A11168" s="2" t="str">
        <f ca="1">IFERROR(__xludf.DUMMYFUNCTION("""COMPUTED_VALUE"""),"Dubai")</f>
        <v>Dubai</v>
      </c>
      <c r="B11168" s="2" t="str">
        <f ca="1">IFERROR(__xludf.DUMMYFUNCTION("""COMPUTED_VALUE"""),"Hamad Tower")</f>
        <v>Hamad Tower</v>
      </c>
      <c r="C11168" s="2" t="str">
        <f ca="1">IFERROR(__xludf.DUMMYFUNCTION("""COMPUTED_VALUE"""),"Building")</f>
        <v>Building</v>
      </c>
      <c r="D11168" s="2" t="str">
        <f ca="1">IFERROR(__xludf.DUMMYFUNCTION("""COMPUTED_VALUE"""),"Dubai&gt;Arjan&gt;Hamad Tower")</f>
        <v>Dubai&gt;Arjan&gt;Hamad Tower</v>
      </c>
      <c r="E11168" s="2"/>
      <c r="F11168" s="2"/>
      <c r="G11168" s="2"/>
      <c r="H11168" s="2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2"/>
      <c r="T11168" s="2"/>
      <c r="U11168" s="2"/>
      <c r="V11168" s="2"/>
      <c r="W11168" s="2"/>
      <c r="X11168" s="2"/>
      <c r="Y11168" s="2"/>
      <c r="Z11168" s="2"/>
    </row>
    <row r="11169" spans="1:26" ht="16.5" x14ac:dyDescent="0.35">
      <c r="A11169" s="2" t="str">
        <f ca="1">IFERROR(__xludf.DUMMYFUNCTION("""COMPUTED_VALUE"""),"Dubai")</f>
        <v>Dubai</v>
      </c>
      <c r="B11169" s="2" t="str">
        <f ca="1">IFERROR(__xludf.DUMMYFUNCTION("""COMPUTED_VALUE"""),"Marquis Galleria")</f>
        <v>Marquis Galleria</v>
      </c>
      <c r="C11169" s="2" t="str">
        <f ca="1">IFERROR(__xludf.DUMMYFUNCTION("""COMPUTED_VALUE"""),"Building")</f>
        <v>Building</v>
      </c>
      <c r="D11169" s="2" t="str">
        <f ca="1">IFERROR(__xludf.DUMMYFUNCTION("""COMPUTED_VALUE"""),"Dubai&gt;Arjan&gt;Marquis Galleria")</f>
        <v>Dubai&gt;Arjan&gt;Marquis Galleria</v>
      </c>
      <c r="E11169" s="2"/>
      <c r="F11169" s="2"/>
      <c r="G11169" s="2"/>
      <c r="H11169" s="2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2"/>
      <c r="T11169" s="2"/>
      <c r="U11169" s="2"/>
      <c r="V11169" s="2"/>
      <c r="W11169" s="2"/>
      <c r="X11169" s="2"/>
      <c r="Y11169" s="2"/>
      <c r="Z11169" s="2"/>
    </row>
    <row r="11170" spans="1:26" ht="16.5" x14ac:dyDescent="0.35">
      <c r="A11170" s="2" t="str">
        <f ca="1">IFERROR(__xludf.DUMMYFUNCTION("""COMPUTED_VALUE"""),"Dubai")</f>
        <v>Dubai</v>
      </c>
      <c r="B11170" s="2" t="str">
        <f ca="1">IFERROR(__xludf.DUMMYFUNCTION("""COMPUTED_VALUE"""),"Gardens 2")</f>
        <v>Gardens 2</v>
      </c>
      <c r="C11170" s="2" t="str">
        <f ca="1">IFERROR(__xludf.DUMMYFUNCTION("""COMPUTED_VALUE"""),"Building")</f>
        <v>Building</v>
      </c>
      <c r="D11170" s="2" t="str">
        <f ca="1">IFERROR(__xludf.DUMMYFUNCTION("""COMPUTED_VALUE"""),"Dubai&gt;Arjan&gt;Gardens 2")</f>
        <v>Dubai&gt;Arjan&gt;Gardens 2</v>
      </c>
      <c r="E11170" s="2"/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2"/>
      <c r="T11170" s="2"/>
      <c r="U11170" s="2"/>
      <c r="V11170" s="2"/>
      <c r="W11170" s="2"/>
      <c r="X11170" s="2"/>
      <c r="Y11170" s="2"/>
      <c r="Z11170" s="2"/>
    </row>
    <row r="11171" spans="1:26" ht="16.5" x14ac:dyDescent="0.35">
      <c r="A11171" s="2" t="str">
        <f ca="1">IFERROR(__xludf.DUMMYFUNCTION("""COMPUTED_VALUE"""),"Dubai")</f>
        <v>Dubai</v>
      </c>
      <c r="B11171" s="2" t="str">
        <f ca="1">IFERROR(__xludf.DUMMYFUNCTION("""COMPUTED_VALUE"""),"SS Tower")</f>
        <v>SS Tower</v>
      </c>
      <c r="C11171" s="2" t="str">
        <f ca="1">IFERROR(__xludf.DUMMYFUNCTION("""COMPUTED_VALUE"""),"Building")</f>
        <v>Building</v>
      </c>
      <c r="D11171" s="2" t="str">
        <f ca="1">IFERROR(__xludf.DUMMYFUNCTION("""COMPUTED_VALUE"""),"Dubai&gt;Arjan&gt;SS Tower")</f>
        <v>Dubai&gt;Arjan&gt;SS Tower</v>
      </c>
      <c r="E11171" s="2"/>
      <c r="F11171" s="2"/>
      <c r="G11171" s="2"/>
      <c r="H11171" s="2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2"/>
      <c r="T11171" s="2"/>
      <c r="U11171" s="2"/>
      <c r="V11171" s="2"/>
      <c r="W11171" s="2"/>
      <c r="X11171" s="2"/>
      <c r="Y11171" s="2"/>
      <c r="Z11171" s="2"/>
    </row>
    <row r="11172" spans="1:26" ht="16.5" x14ac:dyDescent="0.35">
      <c r="A11172" s="2" t="str">
        <f ca="1">IFERROR(__xludf.DUMMYFUNCTION("""COMPUTED_VALUE"""),"Dubai")</f>
        <v>Dubai</v>
      </c>
      <c r="B11172" s="2" t="str">
        <f ca="1">IFERROR(__xludf.DUMMYFUNCTION("""COMPUTED_VALUE"""),"The English College")</f>
        <v>The English College</v>
      </c>
      <c r="C11172" s="2" t="str">
        <f ca="1">IFERROR(__xludf.DUMMYFUNCTION("""COMPUTED_VALUE"""),"School")</f>
        <v>School</v>
      </c>
      <c r="D11172" s="2" t="str">
        <f ca="1">IFERROR(__xludf.DUMMYFUNCTION("""COMPUTED_VALUE"""),"Dubai&gt;Al Safa&gt;Al Safa 1&gt;The English College")</f>
        <v>Dubai&gt;Al Safa&gt;Al Safa 1&gt;The English College</v>
      </c>
      <c r="E11172" s="2"/>
      <c r="F11172" s="2"/>
      <c r="G11172" s="2"/>
      <c r="H11172" s="2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2"/>
      <c r="T11172" s="2"/>
      <c r="U11172" s="2"/>
      <c r="V11172" s="2"/>
      <c r="W11172" s="2"/>
      <c r="X11172" s="2"/>
      <c r="Y11172" s="2"/>
      <c r="Z11172" s="2"/>
    </row>
    <row r="11173" spans="1:26" ht="16.5" x14ac:dyDescent="0.35">
      <c r="A11173" s="2" t="str">
        <f ca="1">IFERROR(__xludf.DUMMYFUNCTION("""COMPUTED_VALUE"""),"Dubai")</f>
        <v>Dubai</v>
      </c>
      <c r="B11173" s="2" t="str">
        <f ca="1">IFERROR(__xludf.DUMMYFUNCTION("""COMPUTED_VALUE"""),"DAMAC Casa")</f>
        <v>DAMAC Casa</v>
      </c>
      <c r="C11173" s="2" t="str">
        <f ca="1">IFERROR(__xludf.DUMMYFUNCTION("""COMPUTED_VALUE"""),"Building")</f>
        <v>Building</v>
      </c>
      <c r="D11173" s="2" t="str">
        <f ca="1">IFERROR(__xludf.DUMMYFUNCTION("""COMPUTED_VALUE"""),"Dubai&gt;Dubai Media City&gt;DAMAC Casa")</f>
        <v>Dubai&gt;Dubai Media City&gt;DAMAC Casa</v>
      </c>
      <c r="E11173" s="2"/>
      <c r="F11173" s="2"/>
      <c r="G11173" s="2"/>
      <c r="H11173" s="2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2"/>
      <c r="T11173" s="2"/>
      <c r="U11173" s="2"/>
      <c r="V11173" s="2"/>
      <c r="W11173" s="2"/>
      <c r="X11173" s="2"/>
      <c r="Y11173" s="2"/>
      <c r="Z11173" s="2"/>
    </row>
    <row r="11174" spans="1:26" ht="16.5" x14ac:dyDescent="0.35">
      <c r="A11174" s="2" t="str">
        <f ca="1">IFERROR(__xludf.DUMMYFUNCTION("""COMPUTED_VALUE"""),"Abu Dhabi")</f>
        <v>Abu Dhabi</v>
      </c>
      <c r="B11174" s="2" t="str">
        <f ca="1">IFERROR(__xludf.DUMMYFUNCTION("""COMPUTED_VALUE"""),"Aya Building")</f>
        <v>Aya Building</v>
      </c>
      <c r="C11174" s="2" t="str">
        <f ca="1">IFERROR(__xludf.DUMMYFUNCTION("""COMPUTED_VALUE"""),"Building")</f>
        <v>Building</v>
      </c>
      <c r="D11174" s="2" t="str">
        <f ca="1">IFERROR(__xludf.DUMMYFUNCTION("""COMPUTED_VALUE"""),"Abu Dhabi&gt;Al Nahyan&gt;Aya Building")</f>
        <v>Abu Dhabi&gt;Al Nahyan&gt;Aya Building</v>
      </c>
      <c r="E11174" s="2"/>
      <c r="F11174" s="2"/>
      <c r="G11174" s="2"/>
      <c r="H11174" s="2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2"/>
      <c r="T11174" s="2"/>
      <c r="U11174" s="2"/>
      <c r="V11174" s="2"/>
      <c r="W11174" s="2"/>
      <c r="X11174" s="2"/>
      <c r="Y11174" s="2"/>
      <c r="Z11174" s="2"/>
    </row>
    <row r="11175" spans="1:26" ht="16.5" x14ac:dyDescent="0.35">
      <c r="A11175" s="2" t="str">
        <f ca="1">IFERROR(__xludf.DUMMYFUNCTION("""COMPUTED_VALUE"""),"Abu Dhabi")</f>
        <v>Abu Dhabi</v>
      </c>
      <c r="B11175" s="2" t="str">
        <f ca="1">IFERROR(__xludf.DUMMYFUNCTION("""COMPUTED_VALUE"""),"Six Towers Complex Al Bateen")</f>
        <v>Six Towers Complex Al Bateen</v>
      </c>
      <c r="C11175" s="2" t="str">
        <f ca="1">IFERROR(__xludf.DUMMYFUNCTION("""COMPUTED_VALUE"""),"Building")</f>
        <v>Building</v>
      </c>
      <c r="D11175" s="2" t="str">
        <f ca="1">IFERROR(__xludf.DUMMYFUNCTION("""COMPUTED_VALUE"""),"Abu Dhabi&gt;Al Bateen&gt;Six Towers Complex Al Bateen")</f>
        <v>Abu Dhabi&gt;Al Bateen&gt;Six Towers Complex Al Bateen</v>
      </c>
      <c r="E11175" s="2"/>
      <c r="F11175" s="2"/>
      <c r="G11175" s="2"/>
      <c r="H11175" s="2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2"/>
      <c r="T11175" s="2"/>
      <c r="U11175" s="2"/>
      <c r="V11175" s="2"/>
      <c r="W11175" s="2"/>
      <c r="X11175" s="2"/>
      <c r="Y11175" s="2"/>
      <c r="Z11175" s="2"/>
    </row>
    <row r="11176" spans="1:26" ht="16.5" x14ac:dyDescent="0.35">
      <c r="A11176" s="2" t="str">
        <f ca="1">IFERROR(__xludf.DUMMYFUNCTION("""COMPUTED_VALUE"""),"Abu Dhabi")</f>
        <v>Abu Dhabi</v>
      </c>
      <c r="B11176" s="2" t="str">
        <f ca="1">IFERROR(__xludf.DUMMYFUNCTION("""COMPUTED_VALUE"""),"Little Smarties Nursery")</f>
        <v>Little Smarties Nursery</v>
      </c>
      <c r="C11176" s="2" t="str">
        <f ca="1">IFERROR(__xludf.DUMMYFUNCTION("""COMPUTED_VALUE"""),"Nursery")</f>
        <v>Nursery</v>
      </c>
      <c r="D11176" s="2" t="str">
        <f ca="1">IFERROR(__xludf.DUMMYFUNCTION("""COMPUTED_VALUE"""),"Abu Dhabi&gt;Tourist Club Area (TCA)&gt;Little Smarties Nursery")</f>
        <v>Abu Dhabi&gt;Tourist Club Area (TCA)&gt;Little Smarties Nursery</v>
      </c>
      <c r="E11176" s="2"/>
      <c r="F11176" s="2"/>
      <c r="G11176" s="2"/>
      <c r="H11176" s="2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2"/>
      <c r="T11176" s="2"/>
      <c r="U11176" s="2"/>
      <c r="V11176" s="2"/>
      <c r="W11176" s="2"/>
      <c r="X11176" s="2"/>
      <c r="Y11176" s="2"/>
      <c r="Z11176" s="2"/>
    </row>
    <row r="11177" spans="1:26" ht="16.5" x14ac:dyDescent="0.35">
      <c r="A11177" s="2" t="str">
        <f ca="1">IFERROR(__xludf.DUMMYFUNCTION("""COMPUTED_VALUE"""),"Abu Dhabi")</f>
        <v>Abu Dhabi</v>
      </c>
      <c r="B11177" s="2" t="str">
        <f ca="1">IFERROR(__xludf.DUMMYFUNCTION("""COMPUTED_VALUE"""),"Abu Dhabi Grammar School")</f>
        <v>Abu Dhabi Grammar School</v>
      </c>
      <c r="C11177" s="2" t="str">
        <f ca="1">IFERROR(__xludf.DUMMYFUNCTION("""COMPUTED_VALUE"""),"School")</f>
        <v>School</v>
      </c>
      <c r="D11177" s="2" t="str">
        <f ca="1">IFERROR(__xludf.DUMMYFUNCTION("""COMPUTED_VALUE"""),"Abu Dhabi&gt;Al Zahiyah&gt;Abu Dhabi Grammar School")</f>
        <v>Abu Dhabi&gt;Al Zahiyah&gt;Abu Dhabi Grammar School</v>
      </c>
      <c r="E11177" s="2"/>
      <c r="F11177" s="2"/>
      <c r="G11177" s="2"/>
      <c r="H11177" s="2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2"/>
      <c r="T11177" s="2"/>
      <c r="U11177" s="2"/>
      <c r="V11177" s="2"/>
      <c r="W11177" s="2"/>
      <c r="X11177" s="2"/>
      <c r="Y11177" s="2"/>
      <c r="Z11177" s="2"/>
    </row>
    <row r="11178" spans="1:26" ht="16.5" x14ac:dyDescent="0.35">
      <c r="A11178" s="2" t="str">
        <f ca="1">IFERROR(__xludf.DUMMYFUNCTION("""COMPUTED_VALUE"""),"Abu Dhabi")</f>
        <v>Abu Dhabi</v>
      </c>
      <c r="B11178" s="2" t="str">
        <f ca="1">IFERROR(__xludf.DUMMYFUNCTION("""COMPUTED_VALUE"""),"Al Dhafra Street")</f>
        <v>Al Dhafra Street</v>
      </c>
      <c r="C11178" s="2"/>
      <c r="D11178" s="2" t="str">
        <f ca="1">IFERROR(__xludf.DUMMYFUNCTION("""COMPUTED_VALUE"""),"Abu Dhabi&gt;Al Mushrif&gt;Al Dhafra Street")</f>
        <v>Abu Dhabi&gt;Al Mushrif&gt;Al Dhafra Street</v>
      </c>
      <c r="E11178" s="2"/>
      <c r="F11178" s="2"/>
      <c r="G11178" s="2"/>
      <c r="H11178" s="2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2"/>
      <c r="T11178" s="2"/>
      <c r="U11178" s="2"/>
      <c r="V11178" s="2"/>
      <c r="W11178" s="2"/>
      <c r="X11178" s="2"/>
      <c r="Y11178" s="2"/>
      <c r="Z11178" s="2"/>
    </row>
    <row r="11179" spans="1:26" ht="16.5" x14ac:dyDescent="0.35">
      <c r="A11179" s="2" t="str">
        <f ca="1">IFERROR(__xludf.DUMMYFUNCTION("""COMPUTED_VALUE"""),"Abu Dhabi")</f>
        <v>Abu Dhabi</v>
      </c>
      <c r="B11179" s="2" t="str">
        <f ca="1">IFERROR(__xludf.DUMMYFUNCTION("""COMPUTED_VALUE"""),"Al Marfa")</f>
        <v>Al Marfa</v>
      </c>
      <c r="C11179" s="2" t="str">
        <f ca="1">IFERROR(__xludf.DUMMYFUNCTION("""COMPUTED_VALUE"""),"Neighbourhood")</f>
        <v>Neighbourhood</v>
      </c>
      <c r="D11179" s="2" t="str">
        <f ca="1">IFERROR(__xludf.DUMMYFUNCTION("""COMPUTED_VALUE"""),"Abu Dhabi&gt;Al Marfa")</f>
        <v>Abu Dhabi&gt;Al Marfa</v>
      </c>
      <c r="E11179" s="2"/>
      <c r="F11179" s="2"/>
      <c r="G11179" s="2"/>
      <c r="H11179" s="2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2"/>
      <c r="T11179" s="2"/>
      <c r="U11179" s="2"/>
      <c r="V11179" s="2"/>
      <c r="W11179" s="2"/>
      <c r="X11179" s="2"/>
      <c r="Y11179" s="2"/>
      <c r="Z11179" s="2"/>
    </row>
    <row r="11180" spans="1:26" ht="16.5" x14ac:dyDescent="0.35">
      <c r="A11180" s="2" t="str">
        <f ca="1">IFERROR(__xludf.DUMMYFUNCTION("""COMPUTED_VALUE"""),"Abu Dhabi")</f>
        <v>Abu Dhabi</v>
      </c>
      <c r="B11180" s="2" t="str">
        <f ca="1">IFERROR(__xludf.DUMMYFUNCTION("""COMPUTED_VALUE"""),"GEMS United Indian School")</f>
        <v>GEMS United Indian School</v>
      </c>
      <c r="C11180" s="2" t="str">
        <f ca="1">IFERROR(__xludf.DUMMYFUNCTION("""COMPUTED_VALUE"""),"School")</f>
        <v>School</v>
      </c>
      <c r="D11180" s="2" t="str">
        <f ca="1">IFERROR(__xludf.DUMMYFUNCTION("""COMPUTED_VALUE"""),"Abu Dhabi&gt;Baniyas&gt;GEMS United Indian School")</f>
        <v>Abu Dhabi&gt;Baniyas&gt;GEMS United Indian School</v>
      </c>
      <c r="E11180" s="2"/>
      <c r="F11180" s="2"/>
      <c r="G11180" s="2"/>
      <c r="H11180" s="2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2"/>
      <c r="T11180" s="2"/>
      <c r="U11180" s="2"/>
      <c r="V11180" s="2"/>
      <c r="W11180" s="2"/>
      <c r="X11180" s="2"/>
      <c r="Y11180" s="2"/>
      <c r="Z11180" s="2"/>
    </row>
    <row r="11181" spans="1:26" ht="16.5" x14ac:dyDescent="0.35">
      <c r="A11181" s="2" t="str">
        <f ca="1">IFERROR(__xludf.DUMMYFUNCTION("""COMPUTED_VALUE"""),"Abu Dhabi")</f>
        <v>Abu Dhabi</v>
      </c>
      <c r="B11181" s="2" t="str">
        <f ca="1">IFERROR(__xludf.DUMMYFUNCTION("""COMPUTED_VALUE"""),"Ville 11")</f>
        <v>Ville 11</v>
      </c>
      <c r="C11181" s="2" t="str">
        <f ca="1">IFERROR(__xludf.DUMMYFUNCTION("""COMPUTED_VALUE"""),"Building")</f>
        <v>Building</v>
      </c>
      <c r="D11181" s="2" t="str">
        <f ca="1">IFERROR(__xludf.DUMMYFUNCTION("""COMPUTED_VALUE"""),"Abu Dhabi&gt;Masdar City&gt;Ville 11")</f>
        <v>Abu Dhabi&gt;Masdar City&gt;Ville 11</v>
      </c>
      <c r="E11181" s="2"/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  <c r="V11181" s="2"/>
      <c r="W11181" s="2"/>
      <c r="X11181" s="2"/>
      <c r="Y11181" s="2"/>
      <c r="Z11181" s="2"/>
    </row>
    <row r="11182" spans="1:26" ht="16.5" x14ac:dyDescent="0.35">
      <c r="A11182" s="2" t="str">
        <f ca="1">IFERROR(__xludf.DUMMYFUNCTION("""COMPUTED_VALUE"""),"Abu Dhabi")</f>
        <v>Abu Dhabi</v>
      </c>
      <c r="B11182" s="2" t="str">
        <f ca="1">IFERROR(__xludf.DUMMYFUNCTION("""COMPUTED_VALUE"""),"Al Khazna Tower")</f>
        <v>Al Khazna Tower</v>
      </c>
      <c r="C11182" s="2" t="str">
        <f ca="1">IFERROR(__xludf.DUMMYFUNCTION("""COMPUTED_VALUE"""),"Building")</f>
        <v>Building</v>
      </c>
      <c r="D11182" s="2" t="str">
        <f ca="1">IFERROR(__xludf.DUMMYFUNCTION("""COMPUTED_VALUE"""),"Abu Dhabi&gt;Al Danah&gt;Al Khazna Tower")</f>
        <v>Abu Dhabi&gt;Al Danah&gt;Al Khazna Tower</v>
      </c>
      <c r="E11182" s="2"/>
      <c r="F11182" s="2"/>
      <c r="G11182" s="2"/>
      <c r="H11182" s="2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2"/>
      <c r="T11182" s="2"/>
      <c r="U11182" s="2"/>
      <c r="V11182" s="2"/>
      <c r="W11182" s="2"/>
      <c r="X11182" s="2"/>
      <c r="Y11182" s="2"/>
      <c r="Z11182" s="2"/>
    </row>
    <row r="11183" spans="1:26" ht="16.5" x14ac:dyDescent="0.35">
      <c r="A11183" s="2" t="str">
        <f ca="1">IFERROR(__xludf.DUMMYFUNCTION("""COMPUTED_VALUE"""),"Abu Dhabi")</f>
        <v>Abu Dhabi</v>
      </c>
      <c r="B11183" s="2" t="str">
        <f ca="1">IFERROR(__xludf.DUMMYFUNCTION("""COMPUTED_VALUE"""),"St. Regis The Residences")</f>
        <v>St. Regis The Residences</v>
      </c>
      <c r="C11183" s="2" t="str">
        <f ca="1">IFERROR(__xludf.DUMMYFUNCTION("""COMPUTED_VALUE"""),"Building")</f>
        <v>Building</v>
      </c>
      <c r="D11183" s="2" t="str">
        <f ca="1">IFERROR(__xludf.DUMMYFUNCTION("""COMPUTED_VALUE"""),"Abu Dhabi&gt;Al Maryah Island&gt;St. Regis The Residences")</f>
        <v>Abu Dhabi&gt;Al Maryah Island&gt;St. Regis The Residences</v>
      </c>
      <c r="E11183" s="2"/>
      <c r="F11183" s="2"/>
      <c r="G11183" s="2"/>
      <c r="H11183" s="2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2"/>
      <c r="T11183" s="2"/>
      <c r="U11183" s="2"/>
      <c r="V11183" s="2"/>
      <c r="W11183" s="2"/>
      <c r="X11183" s="2"/>
      <c r="Y11183" s="2"/>
      <c r="Z11183" s="2"/>
    </row>
    <row r="11184" spans="1:26" ht="16.5" x14ac:dyDescent="0.35">
      <c r="A11184" s="2" t="str">
        <f ca="1">IFERROR(__xludf.DUMMYFUNCTION("""COMPUTED_VALUE"""),"Abu Dhabi")</f>
        <v>Abu Dhabi</v>
      </c>
      <c r="B11184" s="2" t="str">
        <f ca="1">IFERROR(__xludf.DUMMYFUNCTION("""COMPUTED_VALUE"""),"Al Ittihad National Private School Shakhbout")</f>
        <v>Al Ittihad National Private School Shakhbout</v>
      </c>
      <c r="C11184" s="2" t="str">
        <f ca="1">IFERROR(__xludf.DUMMYFUNCTION("""COMPUTED_VALUE"""),"School")</f>
        <v>School</v>
      </c>
      <c r="D11184" s="2" t="str">
        <f ca="1">IFERROR(__xludf.DUMMYFUNCTION("""COMPUTED_VALUE"""),"Abu Dhabi&gt;Shakhbout City&gt;Al Ittihad National Private School Shakhbout")</f>
        <v>Abu Dhabi&gt;Shakhbout City&gt;Al Ittihad National Private School Shakhbout</v>
      </c>
      <c r="E11184" s="2"/>
      <c r="F11184" s="2"/>
      <c r="G11184" s="2"/>
      <c r="H11184" s="2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2"/>
      <c r="T11184" s="2"/>
      <c r="U11184" s="2"/>
      <c r="V11184" s="2"/>
      <c r="W11184" s="2"/>
      <c r="X11184" s="2"/>
      <c r="Y11184" s="2"/>
      <c r="Z11184" s="2"/>
    </row>
    <row r="11185" spans="1:26" ht="16.5" x14ac:dyDescent="0.35">
      <c r="A11185" s="2" t="str">
        <f ca="1">IFERROR(__xludf.DUMMYFUNCTION("""COMPUTED_VALUE"""),"Abu Dhabi")</f>
        <v>Abu Dhabi</v>
      </c>
      <c r="B11185" s="2" t="str">
        <f ca="1">IFERROR(__xludf.DUMMYFUNCTION("""COMPUTED_VALUE"""),"MSH28")</f>
        <v>MSH28</v>
      </c>
      <c r="C11185" s="2" t="str">
        <f ca="1">IFERROR(__xludf.DUMMYFUNCTION("""COMPUTED_VALUE"""),"Neighbourhood")</f>
        <v>Neighbourhood</v>
      </c>
      <c r="D11185" s="2" t="str">
        <f ca="1">IFERROR(__xludf.DUMMYFUNCTION("""COMPUTED_VALUE"""),"Abu Dhabi&gt;Shakhbout City&gt;MSH28")</f>
        <v>Abu Dhabi&gt;Shakhbout City&gt;MSH28</v>
      </c>
      <c r="E11185" s="2"/>
      <c r="F11185" s="2"/>
      <c r="G11185" s="2"/>
      <c r="H11185" s="2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2"/>
      <c r="T11185" s="2"/>
      <c r="U11185" s="2"/>
      <c r="V11185" s="2"/>
      <c r="W11185" s="2"/>
      <c r="X11185" s="2"/>
      <c r="Y11185" s="2"/>
      <c r="Z11185" s="2"/>
    </row>
    <row r="11186" spans="1:26" ht="16.5" x14ac:dyDescent="0.35">
      <c r="A11186" s="2" t="str">
        <f ca="1">IFERROR(__xludf.DUMMYFUNCTION("""COMPUTED_VALUE"""),"Abu Dhabi")</f>
        <v>Abu Dhabi</v>
      </c>
      <c r="B11186" s="2" t="str">
        <f ca="1">IFERROR(__xludf.DUMMYFUNCTION("""COMPUTED_VALUE"""),"Hadbat Al Zaafran")</f>
        <v>Hadbat Al Zaafran</v>
      </c>
      <c r="C11186" s="2" t="str">
        <f ca="1">IFERROR(__xludf.DUMMYFUNCTION("""COMPUTED_VALUE"""),"Neighbourhood")</f>
        <v>Neighbourhood</v>
      </c>
      <c r="D11186" s="2" t="str">
        <f ca="1">IFERROR(__xludf.DUMMYFUNCTION("""COMPUTED_VALUE"""),"Abu Dhabi&gt;Hadbat Al Zaafran")</f>
        <v>Abu Dhabi&gt;Hadbat Al Zaafran</v>
      </c>
      <c r="E11186" s="2"/>
      <c r="F11186" s="2"/>
      <c r="G11186" s="2"/>
      <c r="H11186" s="2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2"/>
      <c r="T11186" s="2"/>
      <c r="U11186" s="2"/>
      <c r="V11186" s="2"/>
      <c r="W11186" s="2"/>
      <c r="X11186" s="2"/>
      <c r="Y11186" s="2"/>
      <c r="Z11186" s="2"/>
    </row>
    <row r="11187" spans="1:26" ht="16.5" x14ac:dyDescent="0.35">
      <c r="A11187" s="2" t="str">
        <f ca="1">IFERROR(__xludf.DUMMYFUNCTION("""COMPUTED_VALUE"""),"Abu Dhabi")</f>
        <v>Abu Dhabi</v>
      </c>
      <c r="B11187" s="2" t="str">
        <f ca="1">IFERROR(__xludf.DUMMYFUNCTION("""COMPUTED_VALUE"""),"Al Nasr Street")</f>
        <v>Al Nasr Street</v>
      </c>
      <c r="C11187" s="2" t="str">
        <f ca="1">IFERROR(__xludf.DUMMYFUNCTION("""COMPUTED_VALUE"""),"Neighbourhood")</f>
        <v>Neighbourhood</v>
      </c>
      <c r="D11187" s="2" t="str">
        <f ca="1">IFERROR(__xludf.DUMMYFUNCTION("""COMPUTED_VALUE"""),"Abu Dhabi&gt;Al Nasr Street")</f>
        <v>Abu Dhabi&gt;Al Nasr Street</v>
      </c>
      <c r="E11187" s="2"/>
      <c r="F11187" s="2"/>
      <c r="G11187" s="2"/>
      <c r="H11187" s="2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2"/>
      <c r="T11187" s="2"/>
      <c r="U11187" s="2"/>
      <c r="V11187" s="2"/>
      <c r="W11187" s="2"/>
      <c r="X11187" s="2"/>
      <c r="Y11187" s="2"/>
      <c r="Z11187" s="2"/>
    </row>
    <row r="11188" spans="1:26" ht="16.5" x14ac:dyDescent="0.35">
      <c r="A11188" s="2" t="str">
        <f ca="1">IFERROR(__xludf.DUMMYFUNCTION("""COMPUTED_VALUE"""),"Abu Dhabi")</f>
        <v>Abu Dhabi</v>
      </c>
      <c r="B11188" s="2" t="str">
        <f ca="1">IFERROR(__xludf.DUMMYFUNCTION("""COMPUTED_VALUE"""),"Seville")</f>
        <v>Seville</v>
      </c>
      <c r="C11188" s="2" t="str">
        <f ca="1">IFERROR(__xludf.DUMMYFUNCTION("""COMPUTED_VALUE"""),"Neighbourhood")</f>
        <v>Neighbourhood</v>
      </c>
      <c r="D11188" s="2" t="str">
        <f ca="1">IFERROR(__xludf.DUMMYFUNCTION("""COMPUTED_VALUE"""),"Abu Dhabi&gt;Zayed City&gt;Bloom Living&gt;Seville")</f>
        <v>Abu Dhabi&gt;Zayed City&gt;Bloom Living&gt;Seville</v>
      </c>
      <c r="E11188" s="2"/>
      <c r="F11188" s="2"/>
      <c r="G11188" s="2"/>
      <c r="H11188" s="2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2"/>
      <c r="T11188" s="2"/>
      <c r="U11188" s="2"/>
      <c r="V11188" s="2"/>
      <c r="W11188" s="2"/>
      <c r="X11188" s="2"/>
      <c r="Y11188" s="2"/>
      <c r="Z11188" s="2"/>
    </row>
    <row r="11189" spans="1:26" ht="16.5" x14ac:dyDescent="0.35">
      <c r="A11189" s="2" t="str">
        <f ca="1">IFERROR(__xludf.DUMMYFUNCTION("""COMPUTED_VALUE"""),"Abu Dhabi")</f>
        <v>Abu Dhabi</v>
      </c>
      <c r="B11189" s="2" t="str">
        <f ca="1">IFERROR(__xludf.DUMMYFUNCTION("""COMPUTED_VALUE"""),"Hamed Center")</f>
        <v>Hamed Center</v>
      </c>
      <c r="C11189" s="2" t="str">
        <f ca="1">IFERROR(__xludf.DUMMYFUNCTION("""COMPUTED_VALUE"""),"Building")</f>
        <v>Building</v>
      </c>
      <c r="D11189" s="2" t="str">
        <f ca="1">IFERROR(__xludf.DUMMYFUNCTION("""COMPUTED_VALUE"""),"Abu Dhabi&gt;Electra Street&gt;Hamed Center")</f>
        <v>Abu Dhabi&gt;Electra Street&gt;Hamed Center</v>
      </c>
      <c r="E11189" s="2"/>
      <c r="F11189" s="2"/>
      <c r="G11189" s="2"/>
      <c r="H11189" s="2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2"/>
      <c r="T11189" s="2"/>
      <c r="U11189" s="2"/>
      <c r="V11189" s="2"/>
      <c r="W11189" s="2"/>
      <c r="X11189" s="2"/>
      <c r="Y11189" s="2"/>
      <c r="Z11189" s="2"/>
    </row>
    <row r="11190" spans="1:26" ht="16.5" x14ac:dyDescent="0.35">
      <c r="A11190" s="2" t="str">
        <f ca="1">IFERROR(__xludf.DUMMYFUNCTION("""COMPUTED_VALUE"""),"Abu Dhabi")</f>
        <v>Abu Dhabi</v>
      </c>
      <c r="B11190" s="2" t="str">
        <f ca="1">IFERROR(__xludf.DUMMYFUNCTION("""COMPUTED_VALUE"""),"Fahid Beach Terraces")</f>
        <v>Fahid Beach Terraces</v>
      </c>
      <c r="C11190" s="2" t="str">
        <f ca="1">IFERROR(__xludf.DUMMYFUNCTION("""COMPUTED_VALUE"""),"Building")</f>
        <v>Building</v>
      </c>
      <c r="D11190" s="2" t="str">
        <f ca="1">IFERROR(__xludf.DUMMYFUNCTION("""COMPUTED_VALUE"""),"Abu Dhabi&gt;Fahid Island&gt;Fahid Beach Terraces")</f>
        <v>Abu Dhabi&gt;Fahid Island&gt;Fahid Beach Terraces</v>
      </c>
      <c r="E11190" s="2"/>
      <c r="F11190" s="2"/>
      <c r="G11190" s="2"/>
      <c r="H11190" s="2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2"/>
      <c r="T11190" s="2"/>
      <c r="U11190" s="2"/>
      <c r="V11190" s="2"/>
      <c r="W11190" s="2"/>
      <c r="X11190" s="2"/>
      <c r="Y11190" s="2"/>
      <c r="Z11190" s="2"/>
    </row>
    <row r="11191" spans="1:26" ht="16.5" x14ac:dyDescent="0.35">
      <c r="A11191" s="2" t="str">
        <f ca="1">IFERROR(__xludf.DUMMYFUNCTION("""COMPUTED_VALUE"""),"Abu Dhabi")</f>
        <v>Abu Dhabi</v>
      </c>
      <c r="B11191" s="2" t="str">
        <f ca="1">IFERROR(__xludf.DUMMYFUNCTION("""COMPUTED_VALUE"""),"Bay Centre Marina")</f>
        <v>Bay Centre Marina</v>
      </c>
      <c r="C11191" s="2" t="str">
        <f ca="1">IFERROR(__xludf.DUMMYFUNCTION("""COMPUTED_VALUE"""),"Building")</f>
        <v>Building</v>
      </c>
      <c r="D11191" s="2" t="str">
        <f ca="1">IFERROR(__xludf.DUMMYFUNCTION("""COMPUTED_VALUE"""),"Abu Dhabi&gt;Al Reem Island&gt;Najmat Abu Dhabi&gt;Bay Centre Marina")</f>
        <v>Abu Dhabi&gt;Al Reem Island&gt;Najmat Abu Dhabi&gt;Bay Centre Marina</v>
      </c>
      <c r="E11191" s="2"/>
      <c r="F11191" s="2"/>
      <c r="G11191" s="2"/>
      <c r="H11191" s="2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2"/>
      <c r="T11191" s="2"/>
      <c r="U11191" s="2"/>
      <c r="V11191" s="2"/>
      <c r="W11191" s="2"/>
      <c r="X11191" s="2"/>
      <c r="Y11191" s="2"/>
      <c r="Z11191" s="2"/>
    </row>
    <row r="11192" spans="1:26" ht="16.5" x14ac:dyDescent="0.35">
      <c r="A11192" s="2" t="str">
        <f ca="1">IFERROR(__xludf.DUMMYFUNCTION("""COMPUTED_VALUE"""),"Abu Dhabi")</f>
        <v>Abu Dhabi</v>
      </c>
      <c r="B11192" s="2" t="str">
        <f ca="1">IFERROR(__xludf.DUMMYFUNCTION("""COMPUTED_VALUE"""),"MAG 5 Residence (B2 Tower)")</f>
        <v>MAG 5 Residence (B2 Tower)</v>
      </c>
      <c r="C11192" s="2" t="str">
        <f ca="1">IFERROR(__xludf.DUMMYFUNCTION("""COMPUTED_VALUE"""),"Building")</f>
        <v>Building</v>
      </c>
      <c r="D11192" s="2" t="str">
        <f ca="1">IFERROR(__xludf.DUMMYFUNCTION("""COMPUTED_VALUE"""),"Abu Dhabi&gt;Al Reem Island&gt;Marina Square&gt;MAG 5 Residence (B2 Tower)")</f>
        <v>Abu Dhabi&gt;Al Reem Island&gt;Marina Square&gt;MAG 5 Residence (B2 Tower)</v>
      </c>
      <c r="E11192" s="2"/>
      <c r="F11192" s="2"/>
      <c r="G11192" s="2"/>
      <c r="H11192" s="2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2"/>
      <c r="T11192" s="2"/>
      <c r="U11192" s="2"/>
      <c r="V11192" s="2"/>
      <c r="W11192" s="2"/>
      <c r="X11192" s="2"/>
      <c r="Y11192" s="2"/>
      <c r="Z11192" s="2"/>
    </row>
    <row r="11193" spans="1:26" ht="16.5" x14ac:dyDescent="0.35">
      <c r="A11193" s="2" t="str">
        <f ca="1">IFERROR(__xludf.DUMMYFUNCTION("""COMPUTED_VALUE"""),"Abu Dhabi")</f>
        <v>Abu Dhabi</v>
      </c>
      <c r="B11193" s="2" t="str">
        <f ca="1">IFERROR(__xludf.DUMMYFUNCTION("""COMPUTED_VALUE"""),"The Gate Tower 2")</f>
        <v>The Gate Tower 2</v>
      </c>
      <c r="C11193" s="2" t="str">
        <f ca="1">IFERROR(__xludf.DUMMYFUNCTION("""COMPUTED_VALUE"""),"Building")</f>
        <v>Building</v>
      </c>
      <c r="D11193" s="2" t="str">
        <f ca="1">IFERROR(__xludf.DUMMYFUNCTION("""COMPUTED_VALUE"""),"Abu Dhabi&gt;Al Reem Island&gt;Shams Abu Dhabi&gt;Shams Gate District&gt;The Gate Tower&gt;The Gate Tower 2")</f>
        <v>Abu Dhabi&gt;Al Reem Island&gt;Shams Abu Dhabi&gt;Shams Gate District&gt;The Gate Tower&gt;The Gate Tower 2</v>
      </c>
      <c r="E11193" s="2"/>
      <c r="F11193" s="2"/>
      <c r="G11193" s="2"/>
      <c r="H11193" s="2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2"/>
      <c r="T11193" s="2"/>
      <c r="U11193" s="2"/>
      <c r="V11193" s="2"/>
      <c r="W11193" s="2"/>
      <c r="X11193" s="2"/>
      <c r="Y11193" s="2"/>
      <c r="Z11193" s="2"/>
    </row>
    <row r="11194" spans="1:26" ht="16.5" x14ac:dyDescent="0.35">
      <c r="A11194" s="2" t="str">
        <f ca="1">IFERROR(__xludf.DUMMYFUNCTION("""COMPUTED_VALUE"""),"Abu Dhabi")</f>
        <v>Abu Dhabi</v>
      </c>
      <c r="B11194" s="2" t="str">
        <f ca="1">IFERROR(__xludf.DUMMYFUNCTION("""COMPUTED_VALUE"""),"Canal by M")</f>
        <v>Canal by M</v>
      </c>
      <c r="C11194" s="2" t="str">
        <f ca="1">IFERROR(__xludf.DUMMYFUNCTION("""COMPUTED_VALUE"""),"Building")</f>
        <v>Building</v>
      </c>
      <c r="D11194" s="2" t="str">
        <f ca="1">IFERROR(__xludf.DUMMYFUNCTION("""COMPUTED_VALUE"""),"Abu Dhabi&gt;Al Reem Island&gt;Shams Abu Dhabi&gt;Canal by M")</f>
        <v>Abu Dhabi&gt;Al Reem Island&gt;Shams Abu Dhabi&gt;Canal by M</v>
      </c>
      <c r="E11194" s="2"/>
      <c r="F11194" s="2"/>
      <c r="G11194" s="2"/>
      <c r="H11194" s="2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2"/>
      <c r="T11194" s="2"/>
      <c r="U11194" s="2"/>
      <c r="V11194" s="2"/>
      <c r="W11194" s="2"/>
      <c r="X11194" s="2"/>
      <c r="Y11194" s="2"/>
      <c r="Z11194" s="2"/>
    </row>
    <row r="11195" spans="1:26" ht="16.5" x14ac:dyDescent="0.35">
      <c r="A11195" s="2" t="str">
        <f ca="1">IFERROR(__xludf.DUMMYFUNCTION("""COMPUTED_VALUE"""),"Abu Dhabi")</f>
        <v>Abu Dhabi</v>
      </c>
      <c r="B11195" s="2" t="str">
        <f ca="1">IFERROR(__xludf.DUMMYFUNCTION("""COMPUTED_VALUE"""),"Radisson Residences Tower 1")</f>
        <v>Radisson Residences Tower 1</v>
      </c>
      <c r="C11195" s="2" t="str">
        <f ca="1">IFERROR(__xludf.DUMMYFUNCTION("""COMPUTED_VALUE"""),"Building")</f>
        <v>Building</v>
      </c>
      <c r="D11195" s="2" t="str">
        <f ca="1">IFERROR(__xludf.DUMMYFUNCTION("""COMPUTED_VALUE"""),"Abu Dhabi&gt;Al Reem Island&gt;City of Lights&gt;Radisson Residences Tower 1")</f>
        <v>Abu Dhabi&gt;Al Reem Island&gt;City of Lights&gt;Radisson Residences Tower 1</v>
      </c>
      <c r="E11195" s="2"/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2"/>
      <c r="T11195" s="2"/>
      <c r="U11195" s="2"/>
      <c r="V11195" s="2"/>
      <c r="W11195" s="2"/>
      <c r="X11195" s="2"/>
      <c r="Y11195" s="2"/>
      <c r="Z11195" s="2"/>
    </row>
    <row r="11196" spans="1:26" ht="16.5" x14ac:dyDescent="0.35">
      <c r="A11196" s="2" t="str">
        <f ca="1">IFERROR(__xludf.DUMMYFUNCTION("""COMPUTED_VALUE"""),"Abu Dhabi")</f>
        <v>Abu Dhabi</v>
      </c>
      <c r="B11196" s="2" t="str">
        <f ca="1">IFERROR(__xludf.DUMMYFUNCTION("""COMPUTED_VALUE"""),"Aman")</f>
        <v>Aman</v>
      </c>
      <c r="C11196" s="2" t="str">
        <f ca="1">IFERROR(__xludf.DUMMYFUNCTION("""COMPUTED_VALUE"""),"Building")</f>
        <v>Building</v>
      </c>
      <c r="D11196" s="2" t="str">
        <f ca="1">IFERROR(__xludf.DUMMYFUNCTION("""COMPUTED_VALUE"""),"Abu Dhabi&gt;Al Reem Island&gt;Reem Hills&gt;Aman")</f>
        <v>Abu Dhabi&gt;Al Reem Island&gt;Reem Hills&gt;Aman</v>
      </c>
      <c r="E11196" s="2"/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2"/>
      <c r="T11196" s="2"/>
      <c r="U11196" s="2"/>
      <c r="V11196" s="2"/>
      <c r="W11196" s="2"/>
      <c r="X11196" s="2"/>
      <c r="Y11196" s="2"/>
      <c r="Z11196" s="2"/>
    </row>
    <row r="11197" spans="1:26" ht="16.5" x14ac:dyDescent="0.35">
      <c r="A11197" s="2" t="str">
        <f ca="1">IFERROR(__xludf.DUMMYFUNCTION("""COMPUTED_VALUE"""),"Abu Dhabi")</f>
        <v>Abu Dhabi</v>
      </c>
      <c r="B11197" s="2" t="str">
        <f ca="1">IFERROR(__xludf.DUMMYFUNCTION("""COMPUTED_VALUE"""),"Yasmina Residence")</f>
        <v>Yasmina Residence</v>
      </c>
      <c r="C11197" s="2" t="str">
        <f ca="1">IFERROR(__xludf.DUMMYFUNCTION("""COMPUTED_VALUE"""),"Building")</f>
        <v>Building</v>
      </c>
      <c r="D11197" s="2" t="str">
        <f ca="1">IFERROR(__xludf.DUMMYFUNCTION("""COMPUTED_VALUE"""),"Abu Dhabi&gt;Al Reem Island&gt;Yasmina Residence")</f>
        <v>Abu Dhabi&gt;Al Reem Island&gt;Yasmina Residence</v>
      </c>
      <c r="E11197" s="2"/>
      <c r="F11197" s="2"/>
      <c r="G11197" s="2"/>
      <c r="H11197" s="2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2"/>
      <c r="T11197" s="2"/>
      <c r="U11197" s="2"/>
      <c r="V11197" s="2"/>
      <c r="W11197" s="2"/>
      <c r="X11197" s="2"/>
      <c r="Y11197" s="2"/>
      <c r="Z11197" s="2"/>
    </row>
    <row r="11198" spans="1:26" ht="16.5" x14ac:dyDescent="0.35">
      <c r="A11198" s="2" t="str">
        <f ca="1">IFERROR(__xludf.DUMMYFUNCTION("""COMPUTED_VALUE"""),"Abu Dhabi")</f>
        <v>Abu Dhabi</v>
      </c>
      <c r="B11198" s="2" t="str">
        <f ca="1">IFERROR(__xludf.DUMMYFUNCTION("""COMPUTED_VALUE"""),"Beach Bay")</f>
        <v>Beach Bay</v>
      </c>
      <c r="C11198" s="2" t="str">
        <f ca="1">IFERROR(__xludf.DUMMYFUNCTION("""COMPUTED_VALUE"""),"Neighbourhood")</f>
        <v>Neighbourhood</v>
      </c>
      <c r="D11198" s="2" t="str">
        <f ca="1">IFERROR(__xludf.DUMMYFUNCTION("""COMPUTED_VALUE"""),"Abu Dhabi&gt;Al Reem Island&gt;Reem Hills&gt;Beach Bay")</f>
        <v>Abu Dhabi&gt;Al Reem Island&gt;Reem Hills&gt;Beach Bay</v>
      </c>
      <c r="E11198" s="2"/>
      <c r="F11198" s="2"/>
      <c r="G11198" s="2"/>
      <c r="H11198" s="2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2"/>
      <c r="T11198" s="2"/>
      <c r="U11198" s="2"/>
      <c r="V11198" s="2"/>
      <c r="W11198" s="2"/>
      <c r="X11198" s="2"/>
      <c r="Y11198" s="2"/>
      <c r="Z11198" s="2"/>
    </row>
    <row r="11199" spans="1:26" ht="16.5" x14ac:dyDescent="0.35">
      <c r="A11199" s="2" t="str">
        <f ca="1">IFERROR(__xludf.DUMMYFUNCTION("""COMPUTED_VALUE"""),"Abu Dhabi")</f>
        <v>Abu Dhabi</v>
      </c>
      <c r="B11199" s="2" t="str">
        <f ca="1">IFERROR(__xludf.DUMMYFUNCTION("""COMPUTED_VALUE"""),"Al Jazeera Towers")</f>
        <v>Al Jazeera Towers</v>
      </c>
      <c r="C11199" s="2" t="str">
        <f ca="1">IFERROR(__xludf.DUMMYFUNCTION("""COMPUTED_VALUE"""),"Building")</f>
        <v>Building</v>
      </c>
      <c r="D11199" s="2" t="str">
        <f ca="1">IFERROR(__xludf.DUMMYFUNCTION("""COMPUTED_VALUE"""),"Abu Dhabi&gt;Hamdan Street&gt;Al Jazeera Towers")</f>
        <v>Abu Dhabi&gt;Hamdan Street&gt;Al Jazeera Towers</v>
      </c>
      <c r="E11199" s="2"/>
      <c r="F11199" s="2"/>
      <c r="G11199" s="2"/>
      <c r="H11199" s="2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2"/>
      <c r="T11199" s="2"/>
      <c r="U11199" s="2"/>
      <c r="V11199" s="2"/>
      <c r="W11199" s="2"/>
      <c r="X11199" s="2"/>
      <c r="Y11199" s="2"/>
      <c r="Z11199" s="2"/>
    </row>
    <row r="11200" spans="1:26" ht="16.5" x14ac:dyDescent="0.35">
      <c r="A11200" s="2" t="str">
        <f ca="1">IFERROR(__xludf.DUMMYFUNCTION("""COMPUTED_VALUE"""),"Abu Dhabi")</f>
        <v>Abu Dhabi</v>
      </c>
      <c r="B11200" s="2" t="str">
        <f ca="1">IFERROR(__xludf.DUMMYFUNCTION("""COMPUTED_VALUE"""),"Al Hana Tower")</f>
        <v>Al Hana Tower</v>
      </c>
      <c r="C11200" s="2" t="str">
        <f ca="1">IFERROR(__xludf.DUMMYFUNCTION("""COMPUTED_VALUE"""),"Building")</f>
        <v>Building</v>
      </c>
      <c r="D11200" s="2" t="str">
        <f ca="1">IFERROR(__xludf.DUMMYFUNCTION("""COMPUTED_VALUE"""),"Abu Dhabi&gt;Al Khalidiyah&gt;Al Hana Tower")</f>
        <v>Abu Dhabi&gt;Al Khalidiyah&gt;Al Hana Tower</v>
      </c>
      <c r="E11200" s="2"/>
      <c r="F11200" s="2"/>
      <c r="G11200" s="2"/>
      <c r="H11200" s="2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2"/>
      <c r="T11200" s="2"/>
      <c r="U11200" s="2"/>
      <c r="V11200" s="2"/>
      <c r="W11200" s="2"/>
      <c r="X11200" s="2"/>
      <c r="Y11200" s="2"/>
      <c r="Z11200" s="2"/>
    </row>
    <row r="11201" spans="1:26" ht="16.5" x14ac:dyDescent="0.35">
      <c r="A11201" s="2" t="str">
        <f ca="1">IFERROR(__xludf.DUMMYFUNCTION("""COMPUTED_VALUE"""),"Abu Dhabi")</f>
        <v>Abu Dhabi</v>
      </c>
      <c r="B11201" s="2" t="str">
        <f ca="1">IFERROR(__xludf.DUMMYFUNCTION("""COMPUTED_VALUE"""),"Ganadah Tower")</f>
        <v>Ganadah Tower</v>
      </c>
      <c r="C11201" s="2" t="str">
        <f ca="1">IFERROR(__xludf.DUMMYFUNCTION("""COMPUTED_VALUE"""),"Building")</f>
        <v>Building</v>
      </c>
      <c r="D11201" s="2" t="str">
        <f ca="1">IFERROR(__xludf.DUMMYFUNCTION("""COMPUTED_VALUE"""),"Abu Dhabi&gt;Al Khalidiyah&gt;Ganadah Tower")</f>
        <v>Abu Dhabi&gt;Al Khalidiyah&gt;Ganadah Tower</v>
      </c>
      <c r="E11201" s="2"/>
      <c r="F11201" s="2"/>
      <c r="G11201" s="2"/>
      <c r="H11201" s="2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2"/>
      <c r="T11201" s="2"/>
      <c r="U11201" s="2"/>
      <c r="V11201" s="2"/>
      <c r="W11201" s="2"/>
      <c r="X11201" s="2"/>
      <c r="Y11201" s="2"/>
      <c r="Z11201" s="2"/>
    </row>
    <row r="11202" spans="1:26" ht="16.5" x14ac:dyDescent="0.35">
      <c r="A11202" s="2" t="str">
        <f ca="1">IFERROR(__xludf.DUMMYFUNCTION("""COMPUTED_VALUE"""),"Abu Dhabi")</f>
        <v>Abu Dhabi</v>
      </c>
      <c r="B11202" s="2" t="str">
        <f ca="1">IFERROR(__xludf.DUMMYFUNCTION("""COMPUTED_VALUE"""),"Narjis")</f>
        <v>Narjis</v>
      </c>
      <c r="C11202" s="2" t="str">
        <f ca="1">IFERROR(__xludf.DUMMYFUNCTION("""COMPUTED_VALUE"""),"Neighbourhood")</f>
        <v>Neighbourhood</v>
      </c>
      <c r="D11202" s="2" t="str">
        <f ca="1">IFERROR(__xludf.DUMMYFUNCTION("""COMPUTED_VALUE"""),"Abu Dhabi&gt;Khalifa City&gt;Golf Gardens&gt;Narjis")</f>
        <v>Abu Dhabi&gt;Khalifa City&gt;Golf Gardens&gt;Narjis</v>
      </c>
      <c r="E11202" s="2"/>
      <c r="F11202" s="2"/>
      <c r="G11202" s="2"/>
      <c r="H11202" s="2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2"/>
      <c r="T11202" s="2"/>
      <c r="U11202" s="2"/>
      <c r="V11202" s="2"/>
      <c r="W11202" s="2"/>
      <c r="X11202" s="2"/>
      <c r="Y11202" s="2"/>
      <c r="Z11202" s="2"/>
    </row>
    <row r="11203" spans="1:26" ht="16.5" x14ac:dyDescent="0.35">
      <c r="A11203" s="2" t="str">
        <f ca="1">IFERROR(__xludf.DUMMYFUNCTION("""COMPUTED_VALUE"""),"Abu Dhabi")</f>
        <v>Abu Dhabi</v>
      </c>
      <c r="B11203" s="2" t="str">
        <f ca="1">IFERROR(__xludf.DUMMYFUNCTION("""COMPUTED_VALUE"""),"Al Reem Tower")</f>
        <v>Al Reem Tower</v>
      </c>
      <c r="C11203" s="2" t="str">
        <f ca="1">IFERROR(__xludf.DUMMYFUNCTION("""COMPUTED_VALUE"""),"Building")</f>
        <v>Building</v>
      </c>
      <c r="D11203" s="2" t="str">
        <f ca="1">IFERROR(__xludf.DUMMYFUNCTION("""COMPUTED_VALUE"""),"Abu Dhabi&gt;Al Markaziya&gt;Al Reem Tower")</f>
        <v>Abu Dhabi&gt;Al Markaziya&gt;Al Reem Tower</v>
      </c>
      <c r="E11203" s="2"/>
      <c r="F11203" s="2"/>
      <c r="G11203" s="2"/>
      <c r="H11203" s="2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2"/>
      <c r="T11203" s="2"/>
      <c r="U11203" s="2"/>
      <c r="V11203" s="2"/>
      <c r="W11203" s="2"/>
      <c r="X11203" s="2"/>
      <c r="Y11203" s="2"/>
      <c r="Z11203" s="2"/>
    </row>
    <row r="11204" spans="1:26" ht="16.5" x14ac:dyDescent="0.35">
      <c r="A11204" s="2" t="str">
        <f ca="1">IFERROR(__xludf.DUMMYFUNCTION("""COMPUTED_VALUE"""),"Abu Dhabi")</f>
        <v>Abu Dhabi</v>
      </c>
      <c r="B11204" s="2" t="str">
        <f ca="1">IFERROR(__xludf.DUMMYFUNCTION("""COMPUTED_VALUE"""),"Al Neem Tower")</f>
        <v>Al Neem Tower</v>
      </c>
      <c r="C11204" s="2" t="str">
        <f ca="1">IFERROR(__xludf.DUMMYFUNCTION("""COMPUTED_VALUE"""),"Building")</f>
        <v>Building</v>
      </c>
      <c r="D11204" s="2" t="str">
        <f ca="1">IFERROR(__xludf.DUMMYFUNCTION("""COMPUTED_VALUE"""),"Abu Dhabi&gt;Al Markaziya&gt;Al Neem Tower")</f>
        <v>Abu Dhabi&gt;Al Markaziya&gt;Al Neem Tower</v>
      </c>
      <c r="E11204" s="2"/>
      <c r="F11204" s="2"/>
      <c r="G11204" s="2"/>
      <c r="H11204" s="2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2"/>
      <c r="T11204" s="2"/>
      <c r="U11204" s="2"/>
      <c r="V11204" s="2"/>
      <c r="W11204" s="2"/>
      <c r="X11204" s="2"/>
      <c r="Y11204" s="2"/>
      <c r="Z11204" s="2"/>
    </row>
    <row r="11205" spans="1:26" ht="16.5" x14ac:dyDescent="0.35">
      <c r="A11205" s="2" t="str">
        <f ca="1">IFERROR(__xludf.DUMMYFUNCTION("""COMPUTED_VALUE"""),"Abu Dhabi")</f>
        <v>Abu Dhabi</v>
      </c>
      <c r="B11205" s="2" t="str">
        <f ca="1">IFERROR(__xludf.DUMMYFUNCTION("""COMPUTED_VALUE"""),"Saadiyat Reserve")</f>
        <v>Saadiyat Reserve</v>
      </c>
      <c r="C11205" s="2" t="str">
        <f ca="1">IFERROR(__xludf.DUMMYFUNCTION("""COMPUTED_VALUE"""),"Neighbourhood")</f>
        <v>Neighbourhood</v>
      </c>
      <c r="D11205" s="2" t="str">
        <f ca="1">IFERROR(__xludf.DUMMYFUNCTION("""COMPUTED_VALUE"""),"Abu Dhabi&gt;Saadiyat Island&gt;Saadiyat Reserve")</f>
        <v>Abu Dhabi&gt;Saadiyat Island&gt;Saadiyat Reserve</v>
      </c>
      <c r="E11205" s="2"/>
      <c r="F11205" s="2"/>
      <c r="G11205" s="2"/>
      <c r="H11205" s="2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2"/>
      <c r="T11205" s="2"/>
      <c r="U11205" s="2"/>
      <c r="V11205" s="2"/>
      <c r="W11205" s="2"/>
      <c r="X11205" s="2"/>
      <c r="Y11205" s="2"/>
      <c r="Z11205" s="2"/>
    </row>
    <row r="11206" spans="1:26" ht="16.5" x14ac:dyDescent="0.35">
      <c r="A11206" s="2" t="str">
        <f ca="1">IFERROR(__xludf.DUMMYFUNCTION("""COMPUTED_VALUE"""),"Abu Dhabi")</f>
        <v>Abu Dhabi</v>
      </c>
      <c r="B11206" s="2" t="str">
        <f ca="1">IFERROR(__xludf.DUMMYFUNCTION("""COMPUTED_VALUE"""),"Mandarin Oriental The Residences")</f>
        <v>Mandarin Oriental The Residences</v>
      </c>
      <c r="C11206" s="2" t="str">
        <f ca="1">IFERROR(__xludf.DUMMYFUNCTION("""COMPUTED_VALUE"""),"Cluster")</f>
        <v>Cluster</v>
      </c>
      <c r="D11206" s="2" t="str">
        <f ca="1">IFERROR(__xludf.DUMMYFUNCTION("""COMPUTED_VALUE"""),"Abu Dhabi&gt;Saadiyat Island&gt;Saadiyat Cultural District&gt;Mandarin Oriental The Residences")</f>
        <v>Abu Dhabi&gt;Saadiyat Island&gt;Saadiyat Cultural District&gt;Mandarin Oriental The Residences</v>
      </c>
      <c r="E11206" s="2"/>
      <c r="F11206" s="2"/>
      <c r="G11206" s="2"/>
      <c r="H11206" s="2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2"/>
      <c r="T11206" s="2"/>
      <c r="U11206" s="2"/>
      <c r="V11206" s="2"/>
      <c r="W11206" s="2"/>
      <c r="X11206" s="2"/>
      <c r="Y11206" s="2"/>
      <c r="Z11206" s="2"/>
    </row>
    <row r="11207" spans="1:26" ht="16.5" x14ac:dyDescent="0.35">
      <c r="A11207" s="2" t="str">
        <f ca="1">IFERROR(__xludf.DUMMYFUNCTION("""COMPUTED_VALUE"""),"Abu Dhabi")</f>
        <v>Abu Dhabi</v>
      </c>
      <c r="B11207" s="2" t="str">
        <f ca="1">IFERROR(__xludf.DUMMYFUNCTION("""COMPUTED_VALUE"""),"Promenade Building")</f>
        <v>Promenade Building</v>
      </c>
      <c r="C11207" s="2" t="str">
        <f ca="1">IFERROR(__xludf.DUMMYFUNCTION("""COMPUTED_VALUE"""),"Building")</f>
        <v>Building</v>
      </c>
      <c r="D11207" s="2" t="str">
        <f ca="1">IFERROR(__xludf.DUMMYFUNCTION("""COMPUTED_VALUE"""),"Abu Dhabi&gt;Saadiyat Island&gt;Saadiyat Beach&gt;The Pearl Residences&gt;Promenade Building")</f>
        <v>Abu Dhabi&gt;Saadiyat Island&gt;Saadiyat Beach&gt;The Pearl Residences&gt;Promenade Building</v>
      </c>
      <c r="E11207" s="2"/>
      <c r="F11207" s="2"/>
      <c r="G11207" s="2"/>
      <c r="H11207" s="2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2"/>
      <c r="T11207" s="2"/>
      <c r="U11207" s="2"/>
      <c r="V11207" s="2"/>
      <c r="W11207" s="2"/>
      <c r="X11207" s="2"/>
      <c r="Y11207" s="2"/>
      <c r="Z11207" s="2"/>
    </row>
    <row r="11208" spans="1:26" ht="16.5" x14ac:dyDescent="0.35">
      <c r="A11208" s="2" t="str">
        <f ca="1">IFERROR(__xludf.DUMMYFUNCTION("""COMPUTED_VALUE"""),"Abu Dhabi")</f>
        <v>Abu Dhabi</v>
      </c>
      <c r="B11208" s="2" t="str">
        <f ca="1">IFERROR(__xludf.DUMMYFUNCTION("""COMPUTED_VALUE"""),"Lamar Residence")</f>
        <v>Lamar Residence</v>
      </c>
      <c r="C11208" s="2" t="str">
        <f ca="1">IFERROR(__xludf.DUMMYFUNCTION("""COMPUTED_VALUE"""),"Building")</f>
        <v>Building</v>
      </c>
      <c r="D11208" s="2" t="str">
        <f ca="1">IFERROR(__xludf.DUMMYFUNCTION("""COMPUTED_VALUE"""),"Abu Dhabi&gt;Al Raha Beach&gt;Lamar Residence")</f>
        <v>Abu Dhabi&gt;Al Raha Beach&gt;Lamar Residence</v>
      </c>
      <c r="E11208" s="2"/>
      <c r="F11208" s="2"/>
      <c r="G11208" s="2"/>
      <c r="H11208" s="2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2"/>
      <c r="T11208" s="2"/>
      <c r="U11208" s="2"/>
      <c r="V11208" s="2"/>
      <c r="W11208" s="2"/>
      <c r="X11208" s="2"/>
      <c r="Y11208" s="2"/>
      <c r="Z11208" s="2"/>
    </row>
    <row r="11209" spans="1:26" ht="16.5" x14ac:dyDescent="0.35">
      <c r="A11209" s="2" t="str">
        <f ca="1">IFERROR(__xludf.DUMMYFUNCTION("""COMPUTED_VALUE"""),"Abu Dhabi")</f>
        <v>Abu Dhabi</v>
      </c>
      <c r="B11209" s="2" t="str">
        <f ca="1">IFERROR(__xludf.DUMMYFUNCTION("""COMPUTED_VALUE"""),"Al Zeina Building F")</f>
        <v>Al Zeina Building F</v>
      </c>
      <c r="C11209" s="2" t="str">
        <f ca="1">IFERROR(__xludf.DUMMYFUNCTION("""COMPUTED_VALUE"""),"Building")</f>
        <v>Building</v>
      </c>
      <c r="D11209" s="2" t="str">
        <f ca="1">IFERROR(__xludf.DUMMYFUNCTION("""COMPUTED_VALUE"""),"Abu Dhabi&gt;Al Raha Beach&gt;Al Zeina&gt;Al Zeina Building F")</f>
        <v>Abu Dhabi&gt;Al Raha Beach&gt;Al Zeina&gt;Al Zeina Building F</v>
      </c>
      <c r="E11209" s="2"/>
      <c r="F11209" s="2"/>
      <c r="G11209" s="2"/>
      <c r="H11209" s="2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2"/>
      <c r="T11209" s="2"/>
      <c r="U11209" s="2"/>
      <c r="V11209" s="2"/>
      <c r="W11209" s="2"/>
      <c r="X11209" s="2"/>
      <c r="Y11209" s="2"/>
      <c r="Z11209" s="2"/>
    </row>
    <row r="11210" spans="1:26" ht="16.5" x14ac:dyDescent="0.35">
      <c r="A11210" s="2" t="str">
        <f ca="1">IFERROR(__xludf.DUMMYFUNCTION("""COMPUTED_VALUE"""),"Abu Dhabi")</f>
        <v>Abu Dhabi</v>
      </c>
      <c r="B11210" s="2" t="str">
        <f ca="1">IFERROR(__xludf.DUMMYFUNCTION("""COMPUTED_VALUE"""),"Jamam Residences")</f>
        <v>Jamam Residences</v>
      </c>
      <c r="C11210" s="2" t="str">
        <f ca="1">IFERROR(__xludf.DUMMYFUNCTION("""COMPUTED_VALUE"""),"Building")</f>
        <v>Building</v>
      </c>
      <c r="D11210" s="2" t="str">
        <f ca="1">IFERROR(__xludf.DUMMYFUNCTION("""COMPUTED_VALUE"""),"Abu Dhabi&gt;Al Raha Beach&gt;Jamam Residences")</f>
        <v>Abu Dhabi&gt;Al Raha Beach&gt;Jamam Residences</v>
      </c>
      <c r="E11210" s="2"/>
      <c r="F11210" s="2"/>
      <c r="G11210" s="2"/>
      <c r="H11210" s="2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2"/>
      <c r="T11210" s="2"/>
      <c r="U11210" s="2"/>
      <c r="V11210" s="2"/>
      <c r="W11210" s="2"/>
      <c r="X11210" s="2"/>
      <c r="Y11210" s="2"/>
      <c r="Z11210" s="2"/>
    </row>
    <row r="11211" spans="1:26" ht="16.5" x14ac:dyDescent="0.35">
      <c r="A11211" s="2" t="str">
        <f ca="1">IFERROR(__xludf.DUMMYFUNCTION("""COMPUTED_VALUE"""),"Abu Dhabi")</f>
        <v>Abu Dhabi</v>
      </c>
      <c r="B11211" s="2" t="str">
        <f ca="1">IFERROR(__xludf.DUMMYFUNCTION("""COMPUTED_VALUE"""),"P-2836")</f>
        <v>P-2836</v>
      </c>
      <c r="C11211" s="2" t="str">
        <f ca="1">IFERROR(__xludf.DUMMYFUNCTION("""COMPUTED_VALUE"""),"Building")</f>
        <v>Building</v>
      </c>
      <c r="D11211" s="2" t="str">
        <f ca="1">IFERROR(__xludf.DUMMYFUNCTION("""COMPUTED_VALUE"""),"Abu Dhabi&gt;Al Raha Beach&gt;P-2836")</f>
        <v>Abu Dhabi&gt;Al Raha Beach&gt;P-2836</v>
      </c>
      <c r="E11211" s="2"/>
      <c r="F11211" s="2"/>
      <c r="G11211" s="2"/>
      <c r="H11211" s="2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2"/>
      <c r="T11211" s="2"/>
      <c r="U11211" s="2"/>
      <c r="V11211" s="2"/>
      <c r="W11211" s="2"/>
      <c r="X11211" s="2"/>
      <c r="Y11211" s="2"/>
      <c r="Z11211" s="2"/>
    </row>
    <row r="11212" spans="1:26" ht="16.5" x14ac:dyDescent="0.35">
      <c r="A11212" s="2" t="str">
        <f ca="1">IFERROR(__xludf.DUMMYFUNCTION("""COMPUTED_VALUE"""),"Abu Dhabi")</f>
        <v>Abu Dhabi</v>
      </c>
      <c r="B11212" s="2" t="str">
        <f ca="1">IFERROR(__xludf.DUMMYFUNCTION("""COMPUTED_VALUE"""),"Burj Al Jewn")</f>
        <v>Burj Al Jewn</v>
      </c>
      <c r="C11212" s="2" t="str">
        <f ca="1">IFERROR(__xludf.DUMMYFUNCTION("""COMPUTED_VALUE"""),"Building")</f>
        <v>Building</v>
      </c>
      <c r="D11212" s="2" t="str">
        <f ca="1">IFERROR(__xludf.DUMMYFUNCTION("""COMPUTED_VALUE"""),"Abu Dhabi&gt;Danet Abu Dhabi&gt;Burj Al Jewn")</f>
        <v>Abu Dhabi&gt;Danet Abu Dhabi&gt;Burj Al Jewn</v>
      </c>
      <c r="E11212" s="2"/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2"/>
      <c r="T11212" s="2"/>
      <c r="U11212" s="2"/>
      <c r="V11212" s="2"/>
      <c r="W11212" s="2"/>
      <c r="X11212" s="2"/>
      <c r="Y11212" s="2"/>
      <c r="Z11212" s="2"/>
    </row>
    <row r="11213" spans="1:26" ht="16.5" x14ac:dyDescent="0.35">
      <c r="A11213" s="2" t="str">
        <f ca="1">IFERROR(__xludf.DUMMYFUNCTION("""COMPUTED_VALUE"""),"Abu Dhabi")</f>
        <v>Abu Dhabi</v>
      </c>
      <c r="B11213" s="2" t="str">
        <f ca="1">IFERROR(__xludf.DUMMYFUNCTION("""COMPUTED_VALUE"""),"Bright Riders School Abu Dhabi")</f>
        <v>Bright Riders School Abu Dhabi</v>
      </c>
      <c r="C11213" s="2" t="str">
        <f ca="1">IFERROR(__xludf.DUMMYFUNCTION("""COMPUTED_VALUE"""),"School")</f>
        <v>School</v>
      </c>
      <c r="D11213" s="2" t="str">
        <f ca="1">IFERROR(__xludf.DUMMYFUNCTION("""COMPUTED_VALUE"""),"Abu Dhabi&gt;Mohamed Bin Zayed City&gt;Bright Riders School Abu Dhabi")</f>
        <v>Abu Dhabi&gt;Mohamed Bin Zayed City&gt;Bright Riders School Abu Dhabi</v>
      </c>
      <c r="E11213" s="2"/>
      <c r="F11213" s="2"/>
      <c r="G11213" s="2"/>
      <c r="H11213" s="2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2"/>
      <c r="T11213" s="2"/>
      <c r="U11213" s="2"/>
      <c r="V11213" s="2"/>
      <c r="W11213" s="2"/>
      <c r="X11213" s="2"/>
      <c r="Y11213" s="2"/>
      <c r="Z11213" s="2"/>
    </row>
    <row r="11214" spans="1:26" ht="16.5" x14ac:dyDescent="0.35">
      <c r="A11214" s="2" t="str">
        <f ca="1">IFERROR(__xludf.DUMMYFUNCTION("""COMPUTED_VALUE"""),"Abu Dhabi")</f>
        <v>Abu Dhabi</v>
      </c>
      <c r="B11214" s="2" t="str">
        <f ca="1">IFERROR(__xludf.DUMMYFUNCTION("""COMPUTED_VALUE"""),"Ghantoot Complex")</f>
        <v>Ghantoot Complex</v>
      </c>
      <c r="C11214" s="2" t="str">
        <f ca="1">IFERROR(__xludf.DUMMYFUNCTION("""COMPUTED_VALUE"""),"Neighbourhood")</f>
        <v>Neighbourhood</v>
      </c>
      <c r="D11214" s="2" t="str">
        <f ca="1">IFERROR(__xludf.DUMMYFUNCTION("""COMPUTED_VALUE"""),"Abu Dhabi&gt;Mohamed Bin Zayed City&gt;Ghantoot Complex")</f>
        <v>Abu Dhabi&gt;Mohamed Bin Zayed City&gt;Ghantoot Complex</v>
      </c>
      <c r="E11214" s="2"/>
      <c r="F11214" s="2"/>
      <c r="G11214" s="2"/>
      <c r="H11214" s="2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2"/>
      <c r="T11214" s="2"/>
      <c r="U11214" s="2"/>
      <c r="V11214" s="2"/>
      <c r="W11214" s="2"/>
      <c r="X11214" s="2"/>
      <c r="Y11214" s="2"/>
      <c r="Z11214" s="2"/>
    </row>
    <row r="11215" spans="1:26" ht="16.5" x14ac:dyDescent="0.35">
      <c r="A11215" s="2" t="str">
        <f ca="1">IFERROR(__xludf.DUMMYFUNCTION("""COMPUTED_VALUE"""),"Abu Dhabi")</f>
        <v>Abu Dhabi</v>
      </c>
      <c r="B11215" s="2" t="str">
        <f ca="1">IFERROR(__xludf.DUMMYFUNCTION("""COMPUTED_VALUE"""),"Palm Tower")</f>
        <v>Palm Tower</v>
      </c>
      <c r="C11215" s="2" t="str">
        <f ca="1">IFERROR(__xludf.DUMMYFUNCTION("""COMPUTED_VALUE"""),"Building")</f>
        <v>Building</v>
      </c>
      <c r="D11215" s="2" t="str">
        <f ca="1">IFERROR(__xludf.DUMMYFUNCTION("""COMPUTED_VALUE"""),"Abu Dhabi&gt;Mohamed Bin Zayed City&gt;Palm Tower")</f>
        <v>Abu Dhabi&gt;Mohamed Bin Zayed City&gt;Palm Tower</v>
      </c>
      <c r="E11215" s="2"/>
      <c r="F11215" s="2"/>
      <c r="G11215" s="2"/>
      <c r="H11215" s="2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2"/>
      <c r="T11215" s="2"/>
      <c r="U11215" s="2"/>
      <c r="V11215" s="2"/>
      <c r="W11215" s="2"/>
      <c r="X11215" s="2"/>
      <c r="Y11215" s="2"/>
      <c r="Z11215" s="2"/>
    </row>
    <row r="11216" spans="1:26" ht="16.5" x14ac:dyDescent="0.35">
      <c r="A11216" s="2" t="str">
        <f ca="1">IFERROR(__xludf.DUMMYFUNCTION("""COMPUTED_VALUE"""),"Abu Dhabi")</f>
        <v>Abu Dhabi</v>
      </c>
      <c r="B11216" s="2" t="str">
        <f ca="1">IFERROR(__xludf.DUMMYFUNCTION("""COMPUTED_VALUE"""),"Building 16")</f>
        <v>Building 16</v>
      </c>
      <c r="C11216" s="2" t="str">
        <f ca="1">IFERROR(__xludf.DUMMYFUNCTION("""COMPUTED_VALUE"""),"Building")</f>
        <v>Building</v>
      </c>
      <c r="D11216" s="2" t="str">
        <f ca="1">IFERROR(__xludf.DUMMYFUNCTION("""COMPUTED_VALUE"""),"Abu Dhabi&gt;Al Reef&gt;Al Reef Downtown&gt;Building 16")</f>
        <v>Abu Dhabi&gt;Al Reef&gt;Al Reef Downtown&gt;Building 16</v>
      </c>
      <c r="E11216" s="2"/>
      <c r="F11216" s="2"/>
      <c r="G11216" s="2"/>
      <c r="H11216" s="2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2"/>
      <c r="T11216" s="2"/>
      <c r="U11216" s="2"/>
      <c r="V11216" s="2"/>
      <c r="W11216" s="2"/>
      <c r="X11216" s="2"/>
      <c r="Y11216" s="2"/>
      <c r="Z11216" s="2"/>
    </row>
    <row r="11217" spans="1:26" ht="16.5" x14ac:dyDescent="0.35">
      <c r="A11217" s="2" t="str">
        <f ca="1">IFERROR(__xludf.DUMMYFUNCTION("""COMPUTED_VALUE"""),"Abu Dhabi")</f>
        <v>Abu Dhabi</v>
      </c>
      <c r="B11217" s="2" t="str">
        <f ca="1">IFERROR(__xludf.DUMMYFUNCTION("""COMPUTED_VALUE"""),"Hydra Village")</f>
        <v>Hydra Village</v>
      </c>
      <c r="C11217" s="2" t="str">
        <f ca="1">IFERROR(__xludf.DUMMYFUNCTION("""COMPUTED_VALUE"""),"Neighbourhood")</f>
        <v>Neighbourhood</v>
      </c>
      <c r="D11217" s="2" t="str">
        <f ca="1">IFERROR(__xludf.DUMMYFUNCTION("""COMPUTED_VALUE"""),"Abu Dhabi&gt;Hydra Village")</f>
        <v>Abu Dhabi&gt;Hydra Village</v>
      </c>
      <c r="E11217" s="2"/>
      <c r="F11217" s="2"/>
      <c r="G11217" s="2"/>
      <c r="H11217" s="2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2"/>
      <c r="T11217" s="2"/>
      <c r="U11217" s="2"/>
      <c r="V11217" s="2"/>
      <c r="W11217" s="2"/>
      <c r="X11217" s="2"/>
      <c r="Y11217" s="2"/>
      <c r="Z11217" s="2"/>
    </row>
    <row r="11218" spans="1:26" ht="16.5" x14ac:dyDescent="0.35">
      <c r="A11218" s="2" t="str">
        <f ca="1">IFERROR(__xludf.DUMMYFUNCTION("""COMPUTED_VALUE"""),"Abu Dhabi")</f>
        <v>Abu Dhabi</v>
      </c>
      <c r="B11218" s="2" t="str">
        <f ca="1">IFERROR(__xludf.DUMMYFUNCTION("""COMPUTED_VALUE"""),"Pearl MAAM Residence")</f>
        <v>Pearl MAAM Residence</v>
      </c>
      <c r="C11218" s="2" t="str">
        <f ca="1">IFERROR(__xludf.DUMMYFUNCTION("""COMPUTED_VALUE"""),"Building")</f>
        <v>Building</v>
      </c>
      <c r="D11218" s="2" t="str">
        <f ca="1">IFERROR(__xludf.DUMMYFUNCTION("""COMPUTED_VALUE"""),"Abu Dhabi&gt;Sheikh Khalifa Bin Zayed Street&gt;Pearl MAAM Residence")</f>
        <v>Abu Dhabi&gt;Sheikh Khalifa Bin Zayed Street&gt;Pearl MAAM Residence</v>
      </c>
      <c r="E11218" s="2"/>
      <c r="F11218" s="2"/>
      <c r="G11218" s="2"/>
      <c r="H11218" s="2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2"/>
      <c r="T11218" s="2"/>
      <c r="U11218" s="2"/>
      <c r="V11218" s="2"/>
      <c r="W11218" s="2"/>
      <c r="X11218" s="2"/>
      <c r="Y11218" s="2"/>
      <c r="Z11218" s="2"/>
    </row>
    <row r="11219" spans="1:26" ht="16.5" x14ac:dyDescent="0.35">
      <c r="A11219" s="2" t="str">
        <f ca="1">IFERROR(__xludf.DUMMYFUNCTION("""COMPUTED_VALUE"""),"Abu Dhabi")</f>
        <v>Abu Dhabi</v>
      </c>
      <c r="B11219" s="2" t="str">
        <f ca="1">IFERROR(__xludf.DUMMYFUNCTION("""COMPUTED_VALUE"""),"Zayed Military City Tower 3")</f>
        <v>Zayed Military City Tower 3</v>
      </c>
      <c r="C11219" s="2" t="str">
        <f ca="1">IFERROR(__xludf.DUMMYFUNCTION("""COMPUTED_VALUE"""),"Building")</f>
        <v>Building</v>
      </c>
      <c r="D11219" s="2" t="str">
        <f ca="1">IFERROR(__xludf.DUMMYFUNCTION("""COMPUTED_VALUE"""),"Abu Dhabi&gt;Zayed Military City&gt;Zayed Military City Tower 3")</f>
        <v>Abu Dhabi&gt;Zayed Military City&gt;Zayed Military City Tower 3</v>
      </c>
      <c r="E11219" s="2"/>
      <c r="F11219" s="2"/>
      <c r="G11219" s="2"/>
      <c r="H11219" s="2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2"/>
      <c r="T11219" s="2"/>
      <c r="U11219" s="2"/>
      <c r="V11219" s="2"/>
      <c r="W11219" s="2"/>
      <c r="X11219" s="2"/>
      <c r="Y11219" s="2"/>
      <c r="Z11219" s="2"/>
    </row>
    <row r="11220" spans="1:26" ht="16.5" x14ac:dyDescent="0.35">
      <c r="A11220" s="2" t="str">
        <f ca="1">IFERROR(__xludf.DUMMYFUNCTION("""COMPUTED_VALUE"""),"Abu Dhabi")</f>
        <v>Abu Dhabi</v>
      </c>
      <c r="B11220" s="2" t="str">
        <f ca="1">IFERROR(__xludf.DUMMYFUNCTION("""COMPUTED_VALUE"""),"Ansam 1")</f>
        <v>Ansam 1</v>
      </c>
      <c r="C11220" s="2" t="str">
        <f ca="1">IFERROR(__xludf.DUMMYFUNCTION("""COMPUTED_VALUE"""),"Building")</f>
        <v>Building</v>
      </c>
      <c r="D11220" s="2" t="str">
        <f ca="1">IFERROR(__xludf.DUMMYFUNCTION("""COMPUTED_VALUE"""),"Abu Dhabi&gt;Yas Island&gt;Ansam&gt;Ansam 1")</f>
        <v>Abu Dhabi&gt;Yas Island&gt;Ansam&gt;Ansam 1</v>
      </c>
      <c r="E11220" s="2"/>
      <c r="F11220" s="2"/>
      <c r="G11220" s="2"/>
      <c r="H11220" s="2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2"/>
      <c r="T11220" s="2"/>
      <c r="U11220" s="2"/>
      <c r="V11220" s="2"/>
      <c r="W11220" s="2"/>
      <c r="X11220" s="2"/>
      <c r="Y11220" s="2"/>
      <c r="Z11220" s="2"/>
    </row>
    <row r="11221" spans="1:26" ht="16.5" x14ac:dyDescent="0.35">
      <c r="A11221" s="2" t="str">
        <f ca="1">IFERROR(__xludf.DUMMYFUNCTION("""COMPUTED_VALUE"""),"Abu Dhabi")</f>
        <v>Abu Dhabi</v>
      </c>
      <c r="B11221" s="2" t="str">
        <f ca="1">IFERROR(__xludf.DUMMYFUNCTION("""COMPUTED_VALUE"""),"Apartments 3")</f>
        <v>Apartments 3</v>
      </c>
      <c r="C11221" s="2" t="str">
        <f ca="1">IFERROR(__xludf.DUMMYFUNCTION("""COMPUTED_VALUE"""),"Building")</f>
        <v>Building</v>
      </c>
      <c r="D11221" s="2" t="str">
        <f ca="1">IFERROR(__xludf.DUMMYFUNCTION("""COMPUTED_VALUE"""),"Abu Dhabi&gt;Yas Island&gt;Yas Golf Collection&gt;Apartments 3")</f>
        <v>Abu Dhabi&gt;Yas Island&gt;Yas Golf Collection&gt;Apartments 3</v>
      </c>
      <c r="E11221" s="2"/>
      <c r="F11221" s="2"/>
      <c r="G11221" s="2"/>
      <c r="H11221" s="2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2"/>
      <c r="T11221" s="2"/>
      <c r="U11221" s="2"/>
      <c r="V11221" s="2"/>
      <c r="W11221" s="2"/>
      <c r="X11221" s="2"/>
      <c r="Y11221" s="2"/>
      <c r="Z11221" s="2"/>
    </row>
    <row r="11222" spans="1:26" ht="16.5" x14ac:dyDescent="0.35">
      <c r="A11222" s="2" t="str">
        <f ca="1">IFERROR(__xludf.DUMMYFUNCTION("""COMPUTED_VALUE"""),"Abu Dhabi")</f>
        <v>Abu Dhabi</v>
      </c>
      <c r="B11222" s="2" t="str">
        <f ca="1">IFERROR(__xludf.DUMMYFUNCTION("""COMPUTED_VALUE"""),"Wadeem")</f>
        <v>Wadeem</v>
      </c>
      <c r="C11222" s="2" t="str">
        <f ca="1">IFERROR(__xludf.DUMMYFUNCTION("""COMPUTED_VALUE"""),"Neighbourhood")</f>
        <v>Neighbourhood</v>
      </c>
      <c r="D11222" s="2" t="str">
        <f ca="1">IFERROR(__xludf.DUMMYFUNCTION("""COMPUTED_VALUE"""),"Abu Dhabi&gt;Al Hudayriat Island&gt;Wadeem")</f>
        <v>Abu Dhabi&gt;Al Hudayriat Island&gt;Wadeem</v>
      </c>
      <c r="E11222" s="2"/>
      <c r="F11222" s="2"/>
      <c r="G11222" s="2"/>
      <c r="H11222" s="2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2"/>
      <c r="T11222" s="2"/>
      <c r="U11222" s="2"/>
      <c r="V11222" s="2"/>
      <c r="W11222" s="2"/>
      <c r="X11222" s="2"/>
      <c r="Y11222" s="2"/>
      <c r="Z11222" s="2"/>
    </row>
    <row r="11223" spans="1:26" ht="16.5" x14ac:dyDescent="0.35">
      <c r="A11223" s="2" t="str">
        <f ca="1">IFERROR(__xludf.DUMMYFUNCTION("""COMPUTED_VALUE"""),"Abu Dhabi")</f>
        <v>Abu Dhabi</v>
      </c>
      <c r="B11223" s="2" t="str">
        <f ca="1">IFERROR(__xludf.DUMMYFUNCTION("""COMPUTED_VALUE"""),"Mussafah Industrial Area")</f>
        <v>Mussafah Industrial Area</v>
      </c>
      <c r="C11223" s="2" t="str">
        <f ca="1">IFERROR(__xludf.DUMMYFUNCTION("""COMPUTED_VALUE"""),"Neighbourhood")</f>
        <v>Neighbourhood</v>
      </c>
      <c r="D11223" s="2" t="str">
        <f ca="1">IFERROR(__xludf.DUMMYFUNCTION("""COMPUTED_VALUE"""),"Abu Dhabi&gt;Mussafah&gt;Mussafah Industrial Area")</f>
        <v>Abu Dhabi&gt;Mussafah&gt;Mussafah Industrial Area</v>
      </c>
      <c r="E11223" s="2"/>
      <c r="F11223" s="2"/>
      <c r="G11223" s="2"/>
      <c r="H11223" s="2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2"/>
      <c r="T11223" s="2"/>
      <c r="U11223" s="2"/>
      <c r="V11223" s="2"/>
      <c r="W11223" s="2"/>
      <c r="X11223" s="2"/>
      <c r="Y11223" s="2"/>
      <c r="Z11223" s="2"/>
    </row>
    <row r="11224" spans="1:26" ht="16.5" x14ac:dyDescent="0.35">
      <c r="A11224" s="2" t="str">
        <f ca="1">IFERROR(__xludf.DUMMYFUNCTION("""COMPUTED_VALUE"""),"Ajman")</f>
        <v>Ajman</v>
      </c>
      <c r="B11224" s="2" t="str">
        <f ca="1">IFERROR(__xludf.DUMMYFUNCTION("""COMPUTED_VALUE"""),"The International School of Choueifat – Ajman")</f>
        <v>The International School of Choueifat – Ajman</v>
      </c>
      <c r="C11224" s="2" t="str">
        <f ca="1">IFERROR(__xludf.DUMMYFUNCTION("""COMPUTED_VALUE"""),"School")</f>
        <v>School</v>
      </c>
      <c r="D11224" s="2" t="str">
        <f ca="1">IFERROR(__xludf.DUMMYFUNCTION("""COMPUTED_VALUE"""),"Ajman&gt;Al Tallah 2&gt;The International School of Choueifat – Ajman")</f>
        <v>Ajman&gt;Al Tallah 2&gt;The International School of Choueifat – Ajman</v>
      </c>
      <c r="E11224" s="2"/>
      <c r="F11224" s="2"/>
      <c r="G11224" s="2"/>
      <c r="H11224" s="2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2"/>
      <c r="T11224" s="2"/>
      <c r="U11224" s="2"/>
      <c r="V11224" s="2"/>
      <c r="W11224" s="2"/>
      <c r="X11224" s="2"/>
      <c r="Y11224" s="2"/>
      <c r="Z11224" s="2"/>
    </row>
    <row r="11225" spans="1:26" ht="16.5" x14ac:dyDescent="0.35">
      <c r="A11225" s="2" t="str">
        <f ca="1">IFERROR(__xludf.DUMMYFUNCTION("""COMPUTED_VALUE"""),"Ajman")</f>
        <v>Ajman</v>
      </c>
      <c r="B11225" s="2" t="str">
        <f ca="1">IFERROR(__xludf.DUMMYFUNCTION("""COMPUTED_VALUE"""),"Orbit Tower")</f>
        <v>Orbit Tower</v>
      </c>
      <c r="C11225" s="2" t="str">
        <f ca="1">IFERROR(__xludf.DUMMYFUNCTION("""COMPUTED_VALUE"""),"Building")</f>
        <v>Building</v>
      </c>
      <c r="D11225" s="2" t="str">
        <f ca="1">IFERROR(__xludf.DUMMYFUNCTION("""COMPUTED_VALUE"""),"Ajman&gt;Emirates City&gt;Orbit Tower")</f>
        <v>Ajman&gt;Emirates City&gt;Orbit Tower</v>
      </c>
      <c r="E11225" s="2"/>
      <c r="F11225" s="2"/>
      <c r="G11225" s="2"/>
      <c r="H11225" s="2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2"/>
      <c r="T11225" s="2"/>
      <c r="U11225" s="2"/>
      <c r="V11225" s="2"/>
      <c r="W11225" s="2"/>
      <c r="X11225" s="2"/>
      <c r="Y11225" s="2"/>
      <c r="Z11225" s="2"/>
    </row>
    <row r="11226" spans="1:26" ht="16.5" x14ac:dyDescent="0.35">
      <c r="A11226" s="2" t="str">
        <f ca="1">IFERROR(__xludf.DUMMYFUNCTION("""COMPUTED_VALUE"""),"Ajman")</f>
        <v>Ajman</v>
      </c>
      <c r="B11226" s="2" t="str">
        <f ca="1">IFERROR(__xludf.DUMMYFUNCTION("""COMPUTED_VALUE"""),"Al Rashed Tower")</f>
        <v>Al Rashed Tower</v>
      </c>
      <c r="C11226" s="2" t="str">
        <f ca="1">IFERROR(__xludf.DUMMYFUNCTION("""COMPUTED_VALUE"""),"Cluster")</f>
        <v>Cluster</v>
      </c>
      <c r="D11226" s="2" t="str">
        <f ca="1">IFERROR(__xludf.DUMMYFUNCTION("""COMPUTED_VALUE"""),"Ajman&gt;Emirates City&gt;Al Rashed Tower")</f>
        <v>Ajman&gt;Emirates City&gt;Al Rashed Tower</v>
      </c>
      <c r="E11226" s="2"/>
      <c r="F11226" s="2"/>
      <c r="G11226" s="2"/>
      <c r="H11226" s="2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2"/>
      <c r="T11226" s="2"/>
      <c r="U11226" s="2"/>
      <c r="V11226" s="2"/>
      <c r="W11226" s="2"/>
      <c r="X11226" s="2"/>
      <c r="Y11226" s="2"/>
      <c r="Z11226" s="2"/>
    </row>
    <row r="11227" spans="1:26" ht="16.5" x14ac:dyDescent="0.35">
      <c r="A11227" s="2" t="str">
        <f ca="1">IFERROR(__xludf.DUMMYFUNCTION("""COMPUTED_VALUE"""),"Ajman")</f>
        <v>Ajman</v>
      </c>
      <c r="B11227" s="2" t="str">
        <f ca="1">IFERROR(__xludf.DUMMYFUNCTION("""COMPUTED_VALUE"""),"Al Jurf 1")</f>
        <v>Al Jurf 1</v>
      </c>
      <c r="C11227" s="2" t="str">
        <f ca="1">IFERROR(__xludf.DUMMYFUNCTION("""COMPUTED_VALUE"""),"Neighbourhood")</f>
        <v>Neighbourhood</v>
      </c>
      <c r="D11227" s="2" t="str">
        <f ca="1">IFERROR(__xludf.DUMMYFUNCTION("""COMPUTED_VALUE"""),"Ajman&gt;Al Jurf&gt;Al Jurf 1")</f>
        <v>Ajman&gt;Al Jurf&gt;Al Jurf 1</v>
      </c>
      <c r="E11227" s="2"/>
      <c r="F11227" s="2"/>
      <c r="G11227" s="2"/>
      <c r="H11227" s="2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2"/>
      <c r="T11227" s="2"/>
      <c r="U11227" s="2"/>
      <c r="V11227" s="2"/>
      <c r="W11227" s="2"/>
      <c r="X11227" s="2"/>
      <c r="Y11227" s="2"/>
      <c r="Z11227" s="2"/>
    </row>
    <row r="11228" spans="1:26" ht="16.5" x14ac:dyDescent="0.35">
      <c r="A11228" s="2" t="str">
        <f ca="1">IFERROR(__xludf.DUMMYFUNCTION("""COMPUTED_VALUE"""),"Ajman")</f>
        <v>Ajman</v>
      </c>
      <c r="B11228" s="2" t="str">
        <f ca="1">IFERROR(__xludf.DUMMYFUNCTION("""COMPUTED_VALUE"""),"Al Shorafa 1 Building")</f>
        <v>Al Shorafa 1 Building</v>
      </c>
      <c r="C11228" s="2"/>
      <c r="D11228" s="2" t="str">
        <f ca="1">IFERROR(__xludf.DUMMYFUNCTION("""COMPUTED_VALUE"""),"Ajman&gt;Al Rumaila&gt;Al Shorafa 1 Building")</f>
        <v>Ajman&gt;Al Rumaila&gt;Al Shorafa 1 Building</v>
      </c>
      <c r="E11228" s="2"/>
      <c r="F11228" s="2"/>
      <c r="G11228" s="2"/>
      <c r="H11228" s="2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2"/>
      <c r="T11228" s="2"/>
      <c r="U11228" s="2"/>
      <c r="V11228" s="2"/>
      <c r="W11228" s="2"/>
      <c r="X11228" s="2"/>
      <c r="Y11228" s="2"/>
      <c r="Z11228" s="2"/>
    </row>
    <row r="11229" spans="1:26" ht="16.5" x14ac:dyDescent="0.35">
      <c r="A11229" s="2" t="str">
        <f ca="1">IFERROR(__xludf.DUMMYFUNCTION("""COMPUTED_VALUE"""),"Ajman")</f>
        <v>Ajman</v>
      </c>
      <c r="B11229" s="2" t="str">
        <f ca="1">IFERROR(__xludf.DUMMYFUNCTION("""COMPUTED_VALUE"""),"Al Rashidiya 3")</f>
        <v>Al Rashidiya 3</v>
      </c>
      <c r="C11229" s="2" t="str">
        <f ca="1">IFERROR(__xludf.DUMMYFUNCTION("""COMPUTED_VALUE"""),"Neighbourhood")</f>
        <v>Neighbourhood</v>
      </c>
      <c r="D11229" s="2" t="str">
        <f ca="1">IFERROR(__xludf.DUMMYFUNCTION("""COMPUTED_VALUE"""),"Ajman&gt;Al Rashidiya&gt;Al Rashidiya 3")</f>
        <v>Ajman&gt;Al Rashidiya&gt;Al Rashidiya 3</v>
      </c>
      <c r="E11229" s="2"/>
      <c r="F11229" s="2"/>
      <c r="G11229" s="2"/>
      <c r="H11229" s="2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2"/>
      <c r="T11229" s="2"/>
      <c r="U11229" s="2"/>
      <c r="V11229" s="2"/>
      <c r="W11229" s="2"/>
      <c r="X11229" s="2"/>
      <c r="Y11229" s="2"/>
      <c r="Z11229" s="2"/>
    </row>
    <row r="11230" spans="1:26" ht="16.5" x14ac:dyDescent="0.35">
      <c r="A11230" s="2" t="str">
        <f ca="1">IFERROR(__xludf.DUMMYFUNCTION("""COMPUTED_VALUE"""),"Ajman")</f>
        <v>Ajman</v>
      </c>
      <c r="B11230" s="2" t="str">
        <f ca="1">IFERROR(__xludf.DUMMYFUNCTION("""COMPUTED_VALUE"""),"Al Rawda 1")</f>
        <v>Al Rawda 1</v>
      </c>
      <c r="C11230" s="2" t="str">
        <f ca="1">IFERROR(__xludf.DUMMYFUNCTION("""COMPUTED_VALUE"""),"Neighbourhood")</f>
        <v>Neighbourhood</v>
      </c>
      <c r="D11230" s="2" t="str">
        <f ca="1">IFERROR(__xludf.DUMMYFUNCTION("""COMPUTED_VALUE"""),"Ajman&gt;Al Rawda&gt;Al Rawda 1")</f>
        <v>Ajman&gt;Al Rawda&gt;Al Rawda 1</v>
      </c>
      <c r="E11230" s="2"/>
      <c r="F11230" s="2"/>
      <c r="G11230" s="2"/>
      <c r="H11230" s="2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2"/>
      <c r="T11230" s="2"/>
      <c r="U11230" s="2"/>
      <c r="V11230" s="2"/>
      <c r="W11230" s="2"/>
      <c r="X11230" s="2"/>
      <c r="Y11230" s="2"/>
      <c r="Z11230" s="2"/>
    </row>
    <row r="11231" spans="1:26" ht="16.5" x14ac:dyDescent="0.35">
      <c r="A11231" s="2" t="str">
        <f ca="1">IFERROR(__xludf.DUMMYFUNCTION("""COMPUTED_VALUE"""),"Ajman")</f>
        <v>Ajman</v>
      </c>
      <c r="B11231" s="2" t="str">
        <f ca="1">IFERROR(__xludf.DUMMYFUNCTION("""COMPUTED_VALUE"""),"Lake View Twin Towers")</f>
        <v>Lake View Twin Towers</v>
      </c>
      <c r="C11231" s="2"/>
      <c r="D11231" s="2" t="str">
        <f ca="1">IFERROR(__xludf.DUMMYFUNCTION("""COMPUTED_VALUE"""),"Ajman&gt;Ain Ajman&gt;Lake View Twin Towers")</f>
        <v>Ajman&gt;Ain Ajman&gt;Lake View Twin Towers</v>
      </c>
      <c r="E11231" s="2"/>
      <c r="F11231" s="2"/>
      <c r="G11231" s="2"/>
      <c r="H11231" s="2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2"/>
      <c r="T11231" s="2"/>
      <c r="U11231" s="2"/>
      <c r="V11231" s="2"/>
      <c r="W11231" s="2"/>
      <c r="X11231" s="2"/>
      <c r="Y11231" s="2"/>
      <c r="Z11231" s="2"/>
    </row>
    <row r="11232" spans="1:26" ht="16.5" x14ac:dyDescent="0.35">
      <c r="A11232" s="2" t="str">
        <f ca="1">IFERROR(__xludf.DUMMYFUNCTION("""COMPUTED_VALUE"""),"Ajman")</f>
        <v>Ajman</v>
      </c>
      <c r="B11232" s="2" t="str">
        <f ca="1">IFERROR(__xludf.DUMMYFUNCTION("""COMPUTED_VALUE"""),"Burj Royale")</f>
        <v>Burj Royale</v>
      </c>
      <c r="C11232" s="2" t="str">
        <f ca="1">IFERROR(__xludf.DUMMYFUNCTION("""COMPUTED_VALUE"""),"Building")</f>
        <v>Building</v>
      </c>
      <c r="D11232" s="2" t="str">
        <f ca="1">IFERROR(__xludf.DUMMYFUNCTION("""COMPUTED_VALUE"""),"Ajman&gt;Marmooka City&gt;Burj Royale")</f>
        <v>Ajman&gt;Marmooka City&gt;Burj Royale</v>
      </c>
      <c r="E11232" s="2"/>
      <c r="F11232" s="2"/>
      <c r="G11232" s="2"/>
      <c r="H11232" s="2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2"/>
      <c r="T11232" s="2"/>
      <c r="U11232" s="2"/>
      <c r="V11232" s="2"/>
      <c r="W11232" s="2"/>
      <c r="X11232" s="2"/>
      <c r="Y11232" s="2"/>
      <c r="Z11232" s="2"/>
    </row>
    <row r="11233" spans="1:26" ht="16.5" x14ac:dyDescent="0.35">
      <c r="A11233" s="2" t="str">
        <f ca="1">IFERROR(__xludf.DUMMYFUNCTION("""COMPUTED_VALUE"""),"Ajman")</f>
        <v>Ajman</v>
      </c>
      <c r="B11233" s="2" t="str">
        <f ca="1">IFERROR(__xludf.DUMMYFUNCTION("""COMPUTED_VALUE"""),"Sea Glints Mansions")</f>
        <v>Sea Glints Mansions</v>
      </c>
      <c r="C11233" s="2" t="str">
        <f ca="1">IFERROR(__xludf.DUMMYFUNCTION("""COMPUTED_VALUE"""),"Neighbourhood")</f>
        <v>Neighbourhood</v>
      </c>
      <c r="D11233" s="2" t="str">
        <f ca="1">IFERROR(__xludf.DUMMYFUNCTION("""COMPUTED_VALUE"""),"Ajman&gt;Al Zorah&gt;Sea Glints Mansions")</f>
        <v>Ajman&gt;Al Zorah&gt;Sea Glints Mansions</v>
      </c>
      <c r="E11233" s="2"/>
      <c r="F11233" s="2"/>
      <c r="G11233" s="2"/>
      <c r="H11233" s="2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2"/>
      <c r="T11233" s="2"/>
      <c r="U11233" s="2"/>
      <c r="V11233" s="2"/>
      <c r="W11233" s="2"/>
      <c r="X11233" s="2"/>
      <c r="Y11233" s="2"/>
      <c r="Z11233" s="2"/>
    </row>
    <row r="11234" spans="1:26" ht="16.5" x14ac:dyDescent="0.35">
      <c r="A11234" s="2" t="str">
        <f ca="1">IFERROR(__xludf.DUMMYFUNCTION("""COMPUTED_VALUE"""),"Ajman")</f>
        <v>Ajman</v>
      </c>
      <c r="B11234" s="2" t="str">
        <f ca="1">IFERROR(__xludf.DUMMYFUNCTION("""COMPUTED_VALUE"""),"Arabian Twin Tower")</f>
        <v>Arabian Twin Tower</v>
      </c>
      <c r="C11234" s="2"/>
      <c r="D11234" s="2" t="str">
        <f ca="1">IFERROR(__xludf.DUMMYFUNCTION("""COMPUTED_VALUE"""),"Ajman&gt;Al Humaid City&gt;Arabian Twin Tower")</f>
        <v>Ajman&gt;Al Humaid City&gt;Arabian Twin Tower</v>
      </c>
      <c r="E11234" s="2"/>
      <c r="F11234" s="2"/>
      <c r="G11234" s="2"/>
      <c r="H11234" s="2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2"/>
      <c r="T11234" s="2"/>
      <c r="U11234" s="2"/>
      <c r="V11234" s="2"/>
      <c r="W11234" s="2"/>
      <c r="X11234" s="2"/>
      <c r="Y11234" s="2"/>
      <c r="Z11234" s="2"/>
    </row>
    <row r="11235" spans="1:26" ht="16.5" x14ac:dyDescent="0.35">
      <c r="A11235" s="2" t="str">
        <f ca="1">IFERROR(__xludf.DUMMYFUNCTION("""COMPUTED_VALUE"""),"Ajman")</f>
        <v>Ajman</v>
      </c>
      <c r="B11235" s="2" t="str">
        <f ca="1">IFERROR(__xludf.DUMMYFUNCTION("""COMPUTED_VALUE"""),"Al Nuaimiya")</f>
        <v>Al Nuaimiya</v>
      </c>
      <c r="C11235" s="2" t="str">
        <f ca="1">IFERROR(__xludf.DUMMYFUNCTION("""COMPUTED_VALUE"""),"Neighbourhood")</f>
        <v>Neighbourhood</v>
      </c>
      <c r="D11235" s="2" t="str">
        <f ca="1">IFERROR(__xludf.DUMMYFUNCTION("""COMPUTED_VALUE"""),"Ajman&gt;Al Nuaimiya")</f>
        <v>Ajman&gt;Al Nuaimiya</v>
      </c>
      <c r="E11235" s="2"/>
      <c r="F11235" s="2"/>
      <c r="G11235" s="2"/>
      <c r="H11235" s="2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2"/>
      <c r="T11235" s="2"/>
      <c r="U11235" s="2"/>
      <c r="V11235" s="2"/>
      <c r="W11235" s="2"/>
      <c r="X11235" s="2"/>
      <c r="Y11235" s="2"/>
      <c r="Z11235" s="2"/>
    </row>
    <row r="11236" spans="1:26" ht="16.5" x14ac:dyDescent="0.35">
      <c r="A11236" s="2" t="str">
        <f ca="1">IFERROR(__xludf.DUMMYFUNCTION("""COMPUTED_VALUE"""),"Ajman")</f>
        <v>Ajman</v>
      </c>
      <c r="B11236" s="2" t="str">
        <f ca="1">IFERROR(__xludf.DUMMYFUNCTION("""COMPUTED_VALUE"""),"Abou Jameza Building")</f>
        <v>Abou Jameza Building</v>
      </c>
      <c r="C11236" s="2"/>
      <c r="D11236" s="2" t="str">
        <f ca="1">IFERROR(__xludf.DUMMYFUNCTION("""COMPUTED_VALUE"""),"Ajman&gt;Al Nuaimiya&gt;Al Nuaimiya 2&gt;Abou Jameza Building")</f>
        <v>Ajman&gt;Al Nuaimiya&gt;Al Nuaimiya 2&gt;Abou Jameza Building</v>
      </c>
      <c r="E11236" s="2"/>
      <c r="F11236" s="2"/>
      <c r="G11236" s="2"/>
      <c r="H11236" s="2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2"/>
      <c r="T11236" s="2"/>
      <c r="U11236" s="2"/>
      <c r="V11236" s="2"/>
      <c r="W11236" s="2"/>
      <c r="X11236" s="2"/>
      <c r="Y11236" s="2"/>
      <c r="Z11236" s="2"/>
    </row>
    <row r="11237" spans="1:26" ht="16.5" x14ac:dyDescent="0.35">
      <c r="A11237" s="2" t="str">
        <f ca="1">IFERROR(__xludf.DUMMYFUNCTION("""COMPUTED_VALUE"""),"Sharjah")</f>
        <v>Sharjah</v>
      </c>
      <c r="B11237" s="2" t="str">
        <f ca="1">IFERROR(__xludf.DUMMYFUNCTION("""COMPUTED_VALUE"""),"Sahara Towers")</f>
        <v>Sahara Towers</v>
      </c>
      <c r="C11237" s="2" t="str">
        <f ca="1">IFERROR(__xludf.DUMMYFUNCTION("""COMPUTED_VALUE"""),"Cluster")</f>
        <v>Cluster</v>
      </c>
      <c r="D11237" s="2" t="str">
        <f ca="1">IFERROR(__xludf.DUMMYFUNCTION("""COMPUTED_VALUE"""),"Sharjah&gt;Al Nahda (Sharjah)&gt;Sahara Towers")</f>
        <v>Sharjah&gt;Al Nahda (Sharjah)&gt;Sahara Towers</v>
      </c>
      <c r="E11237" s="2"/>
      <c r="F11237" s="2"/>
      <c r="G11237" s="2"/>
      <c r="H11237" s="2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2"/>
      <c r="T11237" s="2"/>
      <c r="U11237" s="2"/>
      <c r="V11237" s="2"/>
      <c r="W11237" s="2"/>
      <c r="X11237" s="2"/>
      <c r="Y11237" s="2"/>
      <c r="Z11237" s="2"/>
    </row>
    <row r="11238" spans="1:26" ht="16.5" x14ac:dyDescent="0.35">
      <c r="A11238" s="2" t="str">
        <f ca="1">IFERROR(__xludf.DUMMYFUNCTION("""COMPUTED_VALUE"""),"Sharjah")</f>
        <v>Sharjah</v>
      </c>
      <c r="B11238" s="2" t="str">
        <f ca="1">IFERROR(__xludf.DUMMYFUNCTION("""COMPUTED_VALUE"""),"Al Shaiba 291")</f>
        <v>Al Shaiba 291</v>
      </c>
      <c r="C11238" s="2"/>
      <c r="D11238" s="2" t="str">
        <f ca="1">IFERROR(__xludf.DUMMYFUNCTION("""COMPUTED_VALUE"""),"Sharjah&gt;Al Nahda (Sharjah)&gt;Al Shaiba 291")</f>
        <v>Sharjah&gt;Al Nahda (Sharjah)&gt;Al Shaiba 291</v>
      </c>
      <c r="E11238" s="2"/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2"/>
      <c r="T11238" s="2"/>
      <c r="U11238" s="2"/>
      <c r="V11238" s="2"/>
      <c r="W11238" s="2"/>
      <c r="X11238" s="2"/>
      <c r="Y11238" s="2"/>
      <c r="Z11238" s="2"/>
    </row>
    <row r="11239" spans="1:26" ht="16.5" x14ac:dyDescent="0.35">
      <c r="A11239" s="2" t="str">
        <f ca="1">IFERROR(__xludf.DUMMYFUNCTION("""COMPUTED_VALUE"""),"Sharjah")</f>
        <v>Sharjah</v>
      </c>
      <c r="B11239" s="2" t="str">
        <f ca="1">IFERROR(__xludf.DUMMYFUNCTION("""COMPUTED_VALUE"""),"Orchids Tower Al Nahda")</f>
        <v>Orchids Tower Al Nahda</v>
      </c>
      <c r="C11239" s="2" t="str">
        <f ca="1">IFERROR(__xludf.DUMMYFUNCTION("""COMPUTED_VALUE"""),"Building")</f>
        <v>Building</v>
      </c>
      <c r="D11239" s="2" t="str">
        <f ca="1">IFERROR(__xludf.DUMMYFUNCTION("""COMPUTED_VALUE"""),"Sharjah&gt;Al Nahda (Sharjah)&gt;Orchids Tower Al Nahda")</f>
        <v>Sharjah&gt;Al Nahda (Sharjah)&gt;Orchids Tower Al Nahda</v>
      </c>
      <c r="E11239" s="2"/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2"/>
      <c r="T11239" s="2"/>
      <c r="U11239" s="2"/>
      <c r="V11239" s="2"/>
      <c r="W11239" s="2"/>
      <c r="X11239" s="2"/>
      <c r="Y11239" s="2"/>
      <c r="Z11239" s="2"/>
    </row>
    <row r="11240" spans="1:26" ht="16.5" x14ac:dyDescent="0.35">
      <c r="A11240" s="2" t="str">
        <f ca="1">IFERROR(__xludf.DUMMYFUNCTION("""COMPUTED_VALUE"""),"Sharjah")</f>
        <v>Sharjah</v>
      </c>
      <c r="B11240" s="2" t="str">
        <f ca="1">IFERROR(__xludf.DUMMYFUNCTION("""COMPUTED_VALUE"""),"Golden Sands Tower")</f>
        <v>Golden Sands Tower</v>
      </c>
      <c r="C11240" s="2" t="str">
        <f ca="1">IFERROR(__xludf.DUMMYFUNCTION("""COMPUTED_VALUE"""),"Building")</f>
        <v>Building</v>
      </c>
      <c r="D11240" s="2" t="str">
        <f ca="1">IFERROR(__xludf.DUMMYFUNCTION("""COMPUTED_VALUE"""),"Sharjah&gt;Al Nahda (Sharjah)&gt;Golden Sands Tower")</f>
        <v>Sharjah&gt;Al Nahda (Sharjah)&gt;Golden Sands Tower</v>
      </c>
      <c r="E11240" s="2"/>
      <c r="F11240" s="2"/>
      <c r="G11240" s="2"/>
      <c r="H11240" s="2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2"/>
      <c r="T11240" s="2"/>
      <c r="U11240" s="2"/>
      <c r="V11240" s="2"/>
      <c r="W11240" s="2"/>
      <c r="X11240" s="2"/>
      <c r="Y11240" s="2"/>
      <c r="Z11240" s="2"/>
    </row>
    <row r="11241" spans="1:26" ht="16.5" x14ac:dyDescent="0.35">
      <c r="A11241" s="2" t="str">
        <f ca="1">IFERROR(__xludf.DUMMYFUNCTION("""COMPUTED_VALUE"""),"Sharjah")</f>
        <v>Sharjah</v>
      </c>
      <c r="B11241" s="2" t="str">
        <f ca="1">IFERROR(__xludf.DUMMYFUNCTION("""COMPUTED_VALUE"""),"Hili Tower A")</f>
        <v>Hili Tower A</v>
      </c>
      <c r="C11241" s="2" t="str">
        <f ca="1">IFERROR(__xludf.DUMMYFUNCTION("""COMPUTED_VALUE"""),"Building")</f>
        <v>Building</v>
      </c>
      <c r="D11241" s="2" t="str">
        <f ca="1">IFERROR(__xludf.DUMMYFUNCTION("""COMPUTED_VALUE"""),"Sharjah&gt;Al Nahda (Sharjah)&gt;Hili Tower A")</f>
        <v>Sharjah&gt;Al Nahda (Sharjah)&gt;Hili Tower A</v>
      </c>
      <c r="E11241" s="2"/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2"/>
      <c r="T11241" s="2"/>
      <c r="U11241" s="2"/>
      <c r="V11241" s="2"/>
      <c r="W11241" s="2"/>
      <c r="X11241" s="2"/>
      <c r="Y11241" s="2"/>
      <c r="Z11241" s="2"/>
    </row>
    <row r="11242" spans="1:26" ht="16.5" x14ac:dyDescent="0.35">
      <c r="A11242" s="2" t="str">
        <f ca="1">IFERROR(__xludf.DUMMYFUNCTION("""COMPUTED_VALUE"""),"Sharjah")</f>
        <v>Sharjah</v>
      </c>
      <c r="B11242" s="2" t="str">
        <f ca="1">IFERROR(__xludf.DUMMYFUNCTION("""COMPUTED_VALUE"""),"Al Burdi")</f>
        <v>Al Burdi</v>
      </c>
      <c r="C11242" s="2" t="str">
        <f ca="1">IFERROR(__xludf.DUMMYFUNCTION("""COMPUTED_VALUE"""),"Neighbourhood")</f>
        <v>Neighbourhood</v>
      </c>
      <c r="D11242" s="2" t="str">
        <f ca="1">IFERROR(__xludf.DUMMYFUNCTION("""COMPUTED_VALUE"""),"Sharjah&gt;Khor Fakkan&gt;Al Burdi")</f>
        <v>Sharjah&gt;Khor Fakkan&gt;Al Burdi</v>
      </c>
      <c r="E11242" s="2"/>
      <c r="F11242" s="2"/>
      <c r="G11242" s="2"/>
      <c r="H11242" s="2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2"/>
      <c r="T11242" s="2"/>
      <c r="U11242" s="2"/>
      <c r="V11242" s="2"/>
      <c r="W11242" s="2"/>
      <c r="X11242" s="2"/>
      <c r="Y11242" s="2"/>
      <c r="Z11242" s="2"/>
    </row>
    <row r="11243" spans="1:26" ht="16.5" x14ac:dyDescent="0.35">
      <c r="A11243" s="2" t="str">
        <f ca="1">IFERROR(__xludf.DUMMYFUNCTION("""COMPUTED_VALUE"""),"Sharjah")</f>
        <v>Sharjah</v>
      </c>
      <c r="B11243" s="2" t="str">
        <f ca="1">IFERROR(__xludf.DUMMYFUNCTION("""COMPUTED_VALUE"""),"Nest 9")</f>
        <v>Nest 9</v>
      </c>
      <c r="C11243" s="2" t="str">
        <f ca="1">IFERROR(__xludf.DUMMYFUNCTION("""COMPUTED_VALUE"""),"Building")</f>
        <v>Building</v>
      </c>
      <c r="D11243" s="2" t="str">
        <f ca="1">IFERROR(__xludf.DUMMYFUNCTION("""COMPUTED_VALUE"""),"Sharjah&gt;Aljada&gt;Nest Student Accommodation&gt;Nest 9")</f>
        <v>Sharjah&gt;Aljada&gt;Nest Student Accommodation&gt;Nest 9</v>
      </c>
      <c r="E11243" s="2"/>
      <c r="F11243" s="2"/>
      <c r="G11243" s="2"/>
      <c r="H11243" s="2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2"/>
      <c r="T11243" s="2"/>
      <c r="U11243" s="2"/>
      <c r="V11243" s="2"/>
      <c r="W11243" s="2"/>
      <c r="X11243" s="2"/>
      <c r="Y11243" s="2"/>
      <c r="Z11243" s="2"/>
    </row>
    <row r="11244" spans="1:26" ht="16.5" x14ac:dyDescent="0.35">
      <c r="A11244" s="2" t="str">
        <f ca="1">IFERROR(__xludf.DUMMYFUNCTION("""COMPUTED_VALUE"""),"Sharjah")</f>
        <v>Sharjah</v>
      </c>
      <c r="B11244" s="2" t="str">
        <f ca="1">IFERROR(__xludf.DUMMYFUNCTION("""COMPUTED_VALUE"""),"The Gate 2")</f>
        <v>The Gate 2</v>
      </c>
      <c r="C11244" s="2" t="str">
        <f ca="1">IFERROR(__xludf.DUMMYFUNCTION("""COMPUTED_VALUE"""),"Building")</f>
        <v>Building</v>
      </c>
      <c r="D11244" s="2" t="str">
        <f ca="1">IFERROR(__xludf.DUMMYFUNCTION("""COMPUTED_VALUE"""),"Sharjah&gt;Aljada&gt;The Gate&gt;The Gate 2")</f>
        <v>Sharjah&gt;Aljada&gt;The Gate&gt;The Gate 2</v>
      </c>
      <c r="E11244" s="2"/>
      <c r="F11244" s="2"/>
      <c r="G11244" s="2"/>
      <c r="H11244" s="2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2"/>
      <c r="T11244" s="2"/>
      <c r="U11244" s="2"/>
      <c r="V11244" s="2"/>
      <c r="W11244" s="2"/>
      <c r="X11244" s="2"/>
      <c r="Y11244" s="2"/>
      <c r="Z11244" s="2"/>
    </row>
    <row r="11245" spans="1:26" ht="16.5" x14ac:dyDescent="0.35">
      <c r="A11245" s="2" t="str">
        <f ca="1">IFERROR(__xludf.DUMMYFUNCTION("""COMPUTED_VALUE"""),"Sharjah")</f>
        <v>Sharjah</v>
      </c>
      <c r="B11245" s="2" t="str">
        <f ca="1">IFERROR(__xludf.DUMMYFUNCTION("""COMPUTED_VALUE"""),"Safa 5")</f>
        <v>Safa 5</v>
      </c>
      <c r="C11245" s="2" t="str">
        <f ca="1">IFERROR(__xludf.DUMMYFUNCTION("""COMPUTED_VALUE"""),"Building")</f>
        <v>Building</v>
      </c>
      <c r="D11245" s="2" t="str">
        <f ca="1">IFERROR(__xludf.DUMMYFUNCTION("""COMPUTED_VALUE"""),"Sharjah&gt;Aljada&gt;Safa&gt;Safa 5")</f>
        <v>Sharjah&gt;Aljada&gt;Safa&gt;Safa 5</v>
      </c>
      <c r="E11245" s="2"/>
      <c r="F11245" s="2"/>
      <c r="G11245" s="2"/>
      <c r="H11245" s="2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2"/>
      <c r="T11245" s="2"/>
      <c r="U11245" s="2"/>
      <c r="V11245" s="2"/>
      <c r="W11245" s="2"/>
      <c r="X11245" s="2"/>
      <c r="Y11245" s="2"/>
      <c r="Z11245" s="2"/>
    </row>
    <row r="11246" spans="1:26" ht="16.5" x14ac:dyDescent="0.35">
      <c r="A11246" s="2" t="str">
        <f ca="1">IFERROR(__xludf.DUMMYFUNCTION("""COMPUTED_VALUE"""),"Sharjah")</f>
        <v>Sharjah</v>
      </c>
      <c r="B11246" s="2" t="str">
        <f ca="1">IFERROR(__xludf.DUMMYFUNCTION("""COMPUTED_VALUE"""),"Al Ojan Building")</f>
        <v>Al Ojan Building</v>
      </c>
      <c r="C11246" s="2"/>
      <c r="D11246" s="2" t="str">
        <f ca="1">IFERROR(__xludf.DUMMYFUNCTION("""COMPUTED_VALUE"""),"Sharjah&gt;Abu Shagara&gt;Al Ojan Building")</f>
        <v>Sharjah&gt;Abu Shagara&gt;Al Ojan Building</v>
      </c>
      <c r="E11246" s="2"/>
      <c r="F11246" s="2"/>
      <c r="G11246" s="2"/>
      <c r="H11246" s="2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2"/>
      <c r="T11246" s="2"/>
      <c r="U11246" s="2"/>
      <c r="V11246" s="2"/>
      <c r="W11246" s="2"/>
      <c r="X11246" s="2"/>
      <c r="Y11246" s="2"/>
      <c r="Z11246" s="2"/>
    </row>
    <row r="11247" spans="1:26" ht="16.5" x14ac:dyDescent="0.35">
      <c r="A11247" s="2" t="str">
        <f ca="1">IFERROR(__xludf.DUMMYFUNCTION("""COMPUTED_VALUE"""),"Sharjah")</f>
        <v>Sharjah</v>
      </c>
      <c r="B11247" s="2" t="str">
        <f ca="1">IFERROR(__xludf.DUMMYFUNCTION("""COMPUTED_VALUE"""),"Pakistan Islamia Higher Secondary School, Sharjah")</f>
        <v>Pakistan Islamia Higher Secondary School, Sharjah</v>
      </c>
      <c r="C11247" s="2" t="str">
        <f ca="1">IFERROR(__xludf.DUMMYFUNCTION("""COMPUTED_VALUE"""),"School")</f>
        <v>School</v>
      </c>
      <c r="D11247" s="2" t="str">
        <f ca="1">IFERROR(__xludf.DUMMYFUNCTION("""COMPUTED_VALUE"""),"Sharjah&gt;Al Ghubaiba&gt;Pakistan Islamia Higher Secondary School, Sharjah")</f>
        <v>Sharjah&gt;Al Ghubaiba&gt;Pakistan Islamia Higher Secondary School, Sharjah</v>
      </c>
      <c r="E11247" s="2"/>
      <c r="F11247" s="2"/>
      <c r="G11247" s="2"/>
      <c r="H11247" s="2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2"/>
      <c r="T11247" s="2"/>
      <c r="U11247" s="2"/>
      <c r="V11247" s="2"/>
      <c r="W11247" s="2"/>
      <c r="X11247" s="2"/>
      <c r="Y11247" s="2"/>
      <c r="Z11247" s="2"/>
    </row>
    <row r="11248" spans="1:26" ht="16.5" x14ac:dyDescent="0.35">
      <c r="A11248" s="2" t="str">
        <f ca="1">IFERROR(__xludf.DUMMYFUNCTION("""COMPUTED_VALUE"""),"Sharjah")</f>
        <v>Sharjah</v>
      </c>
      <c r="B11248" s="2" t="str">
        <f ca="1">IFERROR(__xludf.DUMMYFUNCTION("""COMPUTED_VALUE"""),"Al Ansar International School")</f>
        <v>Al Ansar International School</v>
      </c>
      <c r="C11248" s="2" t="str">
        <f ca="1">IFERROR(__xludf.DUMMYFUNCTION("""COMPUTED_VALUE"""),"School")</f>
        <v>School</v>
      </c>
      <c r="D11248" s="2" t="str">
        <f ca="1">IFERROR(__xludf.DUMMYFUNCTION("""COMPUTED_VALUE"""),"Sharjah&gt;Al Qarayen&gt;Al Ansar International School")</f>
        <v>Sharjah&gt;Al Qarayen&gt;Al Ansar International School</v>
      </c>
      <c r="E11248" s="2"/>
      <c r="F11248" s="2"/>
      <c r="G11248" s="2"/>
      <c r="H11248" s="2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2"/>
      <c r="T11248" s="2"/>
      <c r="U11248" s="2"/>
      <c r="V11248" s="2"/>
      <c r="W11248" s="2"/>
      <c r="X11248" s="2"/>
      <c r="Y11248" s="2"/>
      <c r="Z11248" s="2"/>
    </row>
    <row r="11249" spans="1:26" ht="16.5" x14ac:dyDescent="0.35">
      <c r="A11249" s="2" t="str">
        <f ca="1">IFERROR(__xludf.DUMMYFUNCTION("""COMPUTED_VALUE"""),"Sharjah")</f>
        <v>Sharjah</v>
      </c>
      <c r="B11249" s="2" t="str">
        <f ca="1">IFERROR(__xludf.DUMMYFUNCTION("""COMPUTED_VALUE"""),"Sendian Villas")</f>
        <v>Sendian Villas</v>
      </c>
      <c r="C11249" s="2" t="str">
        <f ca="1">IFERROR(__xludf.DUMMYFUNCTION("""COMPUTED_VALUE"""),"Neighbourhood")</f>
        <v>Neighbourhood</v>
      </c>
      <c r="D11249" s="2" t="str">
        <f ca="1">IFERROR(__xludf.DUMMYFUNCTION("""COMPUTED_VALUE"""),"Sharjah&gt;Tilal City&gt;Masaar&gt;Sendian Villas")</f>
        <v>Sharjah&gt;Tilal City&gt;Masaar&gt;Sendian Villas</v>
      </c>
      <c r="E11249" s="2"/>
      <c r="F11249" s="2"/>
      <c r="G11249" s="2"/>
      <c r="H11249" s="2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2"/>
      <c r="T11249" s="2"/>
      <c r="U11249" s="2"/>
      <c r="V11249" s="2"/>
      <c r="W11249" s="2"/>
      <c r="X11249" s="2"/>
      <c r="Y11249" s="2"/>
      <c r="Z11249" s="2"/>
    </row>
    <row r="11250" spans="1:26" ht="16.5" x14ac:dyDescent="0.35">
      <c r="A11250" s="2" t="str">
        <f ca="1">IFERROR(__xludf.DUMMYFUNCTION("""COMPUTED_VALUE"""),"Sharjah")</f>
        <v>Sharjah</v>
      </c>
      <c r="B11250" s="2" t="str">
        <f ca="1">IFERROR(__xludf.DUMMYFUNCTION("""COMPUTED_VALUE"""),"Turrfa")</f>
        <v>Turrfa</v>
      </c>
      <c r="C11250" s="2" t="str">
        <f ca="1">IFERROR(__xludf.DUMMYFUNCTION("""COMPUTED_VALUE"""),"Neighbourhood")</f>
        <v>Neighbourhood</v>
      </c>
      <c r="D11250" s="2" t="str">
        <f ca="1">IFERROR(__xludf.DUMMYFUNCTION("""COMPUTED_VALUE"""),"Sharjah&gt;Turrfa")</f>
        <v>Sharjah&gt;Turrfa</v>
      </c>
      <c r="E11250" s="2"/>
      <c r="F11250" s="2"/>
      <c r="G11250" s="2"/>
      <c r="H11250" s="2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2"/>
      <c r="T11250" s="2"/>
      <c r="U11250" s="2"/>
      <c r="V11250" s="2"/>
      <c r="W11250" s="2"/>
      <c r="X11250" s="2"/>
      <c r="Y11250" s="2"/>
      <c r="Z11250" s="2"/>
    </row>
    <row r="11251" spans="1:26" ht="16.5" x14ac:dyDescent="0.35">
      <c r="A11251" s="2" t="str">
        <f ca="1">IFERROR(__xludf.DUMMYFUNCTION("""COMPUTED_VALUE"""),"Sharjah")</f>
        <v>Sharjah</v>
      </c>
      <c r="B11251" s="2" t="str">
        <f ca="1">IFERROR(__xludf.DUMMYFUNCTION("""COMPUTED_VALUE"""),"Al Mosala Tower")</f>
        <v>Al Mosala Tower</v>
      </c>
      <c r="C11251" s="2" t="str">
        <f ca="1">IFERROR(__xludf.DUMMYFUNCTION("""COMPUTED_VALUE"""),"Building")</f>
        <v>Building</v>
      </c>
      <c r="D11251" s="2" t="str">
        <f ca="1">IFERROR(__xludf.DUMMYFUNCTION("""COMPUTED_VALUE"""),"Sharjah&gt;Al Musalla&gt;Al Mosala Tower")</f>
        <v>Sharjah&gt;Al Musalla&gt;Al Mosala Tower</v>
      </c>
      <c r="E11251" s="2"/>
      <c r="F11251" s="2"/>
      <c r="G11251" s="2"/>
      <c r="H11251" s="2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2"/>
      <c r="T11251" s="2"/>
      <c r="U11251" s="2"/>
      <c r="V11251" s="2"/>
      <c r="W11251" s="2"/>
      <c r="X11251" s="2"/>
      <c r="Y11251" s="2"/>
      <c r="Z11251" s="2"/>
    </row>
    <row r="11252" spans="1:26" ht="16.5" x14ac:dyDescent="0.35">
      <c r="A11252" s="2" t="str">
        <f ca="1">IFERROR(__xludf.DUMMYFUNCTION("""COMPUTED_VALUE"""),"Sharjah")</f>
        <v>Sharjah</v>
      </c>
      <c r="B11252" s="2" t="str">
        <f ca="1">IFERROR(__xludf.DUMMYFUNCTION("""COMPUTED_VALUE"""),"Al Shahba")</f>
        <v>Al Shahba</v>
      </c>
      <c r="C11252" s="2" t="str">
        <f ca="1">IFERROR(__xludf.DUMMYFUNCTION("""COMPUTED_VALUE"""),"Neighbourhood")</f>
        <v>Neighbourhood</v>
      </c>
      <c r="D11252" s="2" t="str">
        <f ca="1">IFERROR(__xludf.DUMMYFUNCTION("""COMPUTED_VALUE"""),"Sharjah&gt;Al Shahba")</f>
        <v>Sharjah&gt;Al Shahba</v>
      </c>
      <c r="E11252" s="2"/>
      <c r="F11252" s="2"/>
      <c r="G11252" s="2"/>
      <c r="H11252" s="2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2"/>
      <c r="T11252" s="2"/>
      <c r="U11252" s="2"/>
      <c r="V11252" s="2"/>
      <c r="W11252" s="2"/>
      <c r="X11252" s="2"/>
      <c r="Y11252" s="2"/>
      <c r="Z11252" s="2"/>
    </row>
    <row r="11253" spans="1:26" ht="16.5" x14ac:dyDescent="0.35">
      <c r="A11253" s="2" t="str">
        <f ca="1">IFERROR(__xludf.DUMMYFUNCTION("""COMPUTED_VALUE"""),"Sharjah")</f>
        <v>Sharjah</v>
      </c>
      <c r="B11253" s="2" t="str">
        <f ca="1">IFERROR(__xludf.DUMMYFUNCTION("""COMPUTED_VALUE"""),"Bank Of Broda Building")</f>
        <v>Bank Of Broda Building</v>
      </c>
      <c r="C11253" s="2"/>
      <c r="D11253" s="2" t="str">
        <f ca="1">IFERROR(__xludf.DUMMYFUNCTION("""COMPUTED_VALUE"""),"Sharjah&gt;Al Mareija&gt;Bank Of Broda Building")</f>
        <v>Sharjah&gt;Al Mareija&gt;Bank Of Broda Building</v>
      </c>
      <c r="E11253" s="2"/>
      <c r="F11253" s="2"/>
      <c r="G11253" s="2"/>
      <c r="H11253" s="2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2"/>
      <c r="T11253" s="2"/>
      <c r="U11253" s="2"/>
      <c r="V11253" s="2"/>
      <c r="W11253" s="2"/>
      <c r="X11253" s="2"/>
      <c r="Y11253" s="2"/>
      <c r="Z11253" s="2"/>
    </row>
    <row r="11254" spans="1:26" ht="16.5" x14ac:dyDescent="0.35">
      <c r="A11254" s="2" t="str">
        <f ca="1">IFERROR(__xludf.DUMMYFUNCTION("""COMPUTED_VALUE"""),"Sharjah")</f>
        <v>Sharjah</v>
      </c>
      <c r="B11254" s="2" t="str">
        <f ca="1">IFERROR(__xludf.DUMMYFUNCTION("""COMPUTED_VALUE"""),"Damas Tower")</f>
        <v>Damas Tower</v>
      </c>
      <c r="C11254" s="2" t="str">
        <f ca="1">IFERROR(__xludf.DUMMYFUNCTION("""COMPUTED_VALUE"""),"Building")</f>
        <v>Building</v>
      </c>
      <c r="D11254" s="2" t="str">
        <f ca="1">IFERROR(__xludf.DUMMYFUNCTION("""COMPUTED_VALUE"""),"Sharjah&gt;Um Tarafa&gt;Damas Tower")</f>
        <v>Sharjah&gt;Um Tarafa&gt;Damas Tower</v>
      </c>
      <c r="E11254" s="2"/>
      <c r="F11254" s="2"/>
      <c r="G11254" s="2"/>
      <c r="H11254" s="2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2"/>
      <c r="T11254" s="2"/>
      <c r="U11254" s="2"/>
      <c r="V11254" s="2"/>
      <c r="W11254" s="2"/>
      <c r="X11254" s="2"/>
      <c r="Y11254" s="2"/>
      <c r="Z11254" s="2"/>
    </row>
    <row r="11255" spans="1:26" ht="16.5" x14ac:dyDescent="0.35">
      <c r="A11255" s="2" t="str">
        <f ca="1">IFERROR(__xludf.DUMMYFUNCTION("""COMPUTED_VALUE"""),"Sharjah")</f>
        <v>Sharjah</v>
      </c>
      <c r="B11255" s="2" t="str">
        <f ca="1">IFERROR(__xludf.DUMMYFUNCTION("""COMPUTED_VALUE"""),"Shaghrafa 3")</f>
        <v>Shaghrafa 3</v>
      </c>
      <c r="C11255" s="2" t="str">
        <f ca="1">IFERROR(__xludf.DUMMYFUNCTION("""COMPUTED_VALUE"""),"Neighbourhood")</f>
        <v>Neighbourhood</v>
      </c>
      <c r="D11255" s="2" t="str">
        <f ca="1">IFERROR(__xludf.DUMMYFUNCTION("""COMPUTED_VALUE"""),"Sharjah&gt;Al Rahmaniya&gt;Shaghrafa 3")</f>
        <v>Sharjah&gt;Al Rahmaniya&gt;Shaghrafa 3</v>
      </c>
      <c r="E11255" s="2"/>
      <c r="F11255" s="2"/>
      <c r="G11255" s="2"/>
      <c r="H11255" s="2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2"/>
      <c r="T11255" s="2"/>
      <c r="U11255" s="2"/>
      <c r="V11255" s="2"/>
      <c r="W11255" s="2"/>
      <c r="X11255" s="2"/>
      <c r="Y11255" s="2"/>
      <c r="Z11255" s="2"/>
    </row>
    <row r="11256" spans="1:26" ht="16.5" x14ac:dyDescent="0.35">
      <c r="A11256" s="2" t="str">
        <f ca="1">IFERROR(__xludf.DUMMYFUNCTION("""COMPUTED_VALUE"""),"Sharjah")</f>
        <v>Sharjah</v>
      </c>
      <c r="B11256" s="2" t="str">
        <f ca="1">IFERROR(__xludf.DUMMYFUNCTION("""COMPUTED_VALUE"""),"Sharjah Premier Hotel And Resort")</f>
        <v>Sharjah Premier Hotel And Resort</v>
      </c>
      <c r="C11256" s="2"/>
      <c r="D11256" s="2" t="str">
        <f ca="1">IFERROR(__xludf.DUMMYFUNCTION("""COMPUTED_VALUE"""),"Sharjah&gt;Al Layyeh Suburb&gt;Sharjah Premier Hotel And Resort")</f>
        <v>Sharjah&gt;Al Layyeh Suburb&gt;Sharjah Premier Hotel And Resort</v>
      </c>
      <c r="E11256" s="2"/>
      <c r="F11256" s="2"/>
      <c r="G11256" s="2"/>
      <c r="H11256" s="2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2"/>
      <c r="T11256" s="2"/>
      <c r="U11256" s="2"/>
      <c r="V11256" s="2"/>
      <c r="W11256" s="2"/>
      <c r="X11256" s="2"/>
      <c r="Y11256" s="2"/>
      <c r="Z11256" s="2"/>
    </row>
    <row r="11257" spans="1:26" ht="16.5" x14ac:dyDescent="0.35">
      <c r="A11257" s="2" t="str">
        <f ca="1">IFERROR(__xludf.DUMMYFUNCTION("""COMPUTED_VALUE"""),"Sharjah")</f>
        <v>Sharjah</v>
      </c>
      <c r="B11257" s="2" t="str">
        <f ca="1">IFERROR(__xludf.DUMMYFUNCTION("""COMPUTED_VALUE"""),"Majestic Tower")</f>
        <v>Majestic Tower</v>
      </c>
      <c r="C11257" s="2" t="str">
        <f ca="1">IFERROR(__xludf.DUMMYFUNCTION("""COMPUTED_VALUE"""),"Building")</f>
        <v>Building</v>
      </c>
      <c r="D11257" s="2" t="str">
        <f ca="1">IFERROR(__xludf.DUMMYFUNCTION("""COMPUTED_VALUE"""),"Sharjah&gt;Al Khan&gt;Majestic Tower")</f>
        <v>Sharjah&gt;Al Khan&gt;Majestic Tower</v>
      </c>
      <c r="E11257" s="2"/>
      <c r="F11257" s="2"/>
      <c r="G11257" s="2"/>
      <c r="H11257" s="2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2"/>
      <c r="T11257" s="2"/>
      <c r="U11257" s="2"/>
      <c r="V11257" s="2"/>
      <c r="W11257" s="2"/>
      <c r="X11257" s="2"/>
      <c r="Y11257" s="2"/>
      <c r="Z11257" s="2"/>
    </row>
    <row r="11258" spans="1:26" ht="16.5" x14ac:dyDescent="0.35">
      <c r="A11258" s="2" t="str">
        <f ca="1">IFERROR(__xludf.DUMMYFUNCTION("""COMPUTED_VALUE"""),"Sharjah")</f>
        <v>Sharjah</v>
      </c>
      <c r="B11258" s="2" t="str">
        <f ca="1">IFERROR(__xludf.DUMMYFUNCTION("""COMPUTED_VALUE"""),"Naseem Residences")</f>
        <v>Naseem Residences</v>
      </c>
      <c r="C11258" s="2" t="str">
        <f ca="1">IFERROR(__xludf.DUMMYFUNCTION("""COMPUTED_VALUE"""),"Building")</f>
        <v>Building</v>
      </c>
      <c r="D11258" s="2" t="str">
        <f ca="1">IFERROR(__xludf.DUMMYFUNCTION("""COMPUTED_VALUE"""),"Sharjah&gt;Al Khan&gt;Maryam Island&gt;Maryam Gate Residences&gt;Naseem Residences")</f>
        <v>Sharjah&gt;Al Khan&gt;Maryam Island&gt;Maryam Gate Residences&gt;Naseem Residences</v>
      </c>
      <c r="E11258" s="2"/>
      <c r="F11258" s="2"/>
      <c r="G11258" s="2"/>
      <c r="H11258" s="2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2"/>
      <c r="T11258" s="2"/>
      <c r="U11258" s="2"/>
      <c r="V11258" s="2"/>
      <c r="W11258" s="2"/>
      <c r="X11258" s="2"/>
      <c r="Y11258" s="2"/>
      <c r="Z11258" s="2"/>
    </row>
    <row r="11259" spans="1:26" ht="16.5" x14ac:dyDescent="0.35">
      <c r="A11259" s="2" t="str">
        <f ca="1">IFERROR(__xludf.DUMMYFUNCTION("""COMPUTED_VALUE"""),"Sharjah")</f>
        <v>Sharjah</v>
      </c>
      <c r="B11259" s="2" t="str">
        <f ca="1">IFERROR(__xludf.DUMMYFUNCTION("""COMPUTED_VALUE"""),"Al Nahrain")</f>
        <v>Al Nahrain</v>
      </c>
      <c r="C11259" s="2"/>
      <c r="D11259" s="2" t="str">
        <f ca="1">IFERROR(__xludf.DUMMYFUNCTION("""COMPUTED_VALUE"""),"Sharjah&gt;Al Khan&gt;Al Nahrain")</f>
        <v>Sharjah&gt;Al Khan&gt;Al Nahrain</v>
      </c>
      <c r="E11259" s="2"/>
      <c r="F11259" s="2"/>
      <c r="G11259" s="2"/>
      <c r="H11259" s="2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2"/>
      <c r="T11259" s="2"/>
      <c r="U11259" s="2"/>
      <c r="V11259" s="2"/>
      <c r="W11259" s="2"/>
      <c r="X11259" s="2"/>
      <c r="Y11259" s="2"/>
      <c r="Z11259" s="2"/>
    </row>
    <row r="11260" spans="1:26" ht="16.5" x14ac:dyDescent="0.35">
      <c r="A11260" s="2" t="str">
        <f ca="1">IFERROR(__xludf.DUMMYFUNCTION("""COMPUTED_VALUE"""),"Sharjah")</f>
        <v>Sharjah</v>
      </c>
      <c r="B11260" s="2" t="str">
        <f ca="1">IFERROR(__xludf.DUMMYFUNCTION("""COMPUTED_VALUE"""),"88 Tower")</f>
        <v>88 Tower</v>
      </c>
      <c r="C11260" s="2" t="str">
        <f ca="1">IFERROR(__xludf.DUMMYFUNCTION("""COMPUTED_VALUE"""),"Building")</f>
        <v>Building</v>
      </c>
      <c r="D11260" s="2" t="str">
        <f ca="1">IFERROR(__xludf.DUMMYFUNCTION("""COMPUTED_VALUE"""),"Sharjah&gt;Al Khan&gt;88 Tower")</f>
        <v>Sharjah&gt;Al Khan&gt;88 Tower</v>
      </c>
      <c r="E11260" s="2"/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  <c r="V11260" s="2"/>
      <c r="W11260" s="2"/>
      <c r="X11260" s="2"/>
      <c r="Y11260" s="2"/>
      <c r="Z11260" s="2"/>
    </row>
    <row r="11261" spans="1:26" ht="16.5" x14ac:dyDescent="0.35">
      <c r="A11261" s="2" t="str">
        <f ca="1">IFERROR(__xludf.DUMMYFUNCTION("""COMPUTED_VALUE"""),"Sharjah")</f>
        <v>Sharjah</v>
      </c>
      <c r="B11261" s="2" t="str">
        <f ca="1">IFERROR(__xludf.DUMMYFUNCTION("""COMPUTED_VALUE"""),"Abu Jameza Building")</f>
        <v>Abu Jameza Building</v>
      </c>
      <c r="C11261" s="2"/>
      <c r="D11261" s="2" t="str">
        <f ca="1">IFERROR(__xludf.DUMMYFUNCTION("""COMPUTED_VALUE"""),"Sharjah&gt;Al Majaz&gt;Al Majaz 2&gt;Abu Jameza Building")</f>
        <v>Sharjah&gt;Al Majaz&gt;Al Majaz 2&gt;Abu Jameza Building</v>
      </c>
      <c r="E11261" s="2"/>
      <c r="F11261" s="2"/>
      <c r="G11261" s="2"/>
      <c r="H11261" s="2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2"/>
      <c r="T11261" s="2"/>
      <c r="U11261" s="2"/>
      <c r="V11261" s="2"/>
      <c r="W11261" s="2"/>
      <c r="X11261" s="2"/>
      <c r="Y11261" s="2"/>
      <c r="Z11261" s="2"/>
    </row>
    <row r="11262" spans="1:26" ht="16.5" x14ac:dyDescent="0.35">
      <c r="A11262" s="2" t="str">
        <f ca="1">IFERROR(__xludf.DUMMYFUNCTION("""COMPUTED_VALUE"""),"Sharjah")</f>
        <v>Sharjah</v>
      </c>
      <c r="B11262" s="2" t="str">
        <f ca="1">IFERROR(__xludf.DUMMYFUNCTION("""COMPUTED_VALUE"""),"Marco Building")</f>
        <v>Marco Building</v>
      </c>
      <c r="C11262" s="2"/>
      <c r="D11262" s="2" t="str">
        <f ca="1">IFERROR(__xludf.DUMMYFUNCTION("""COMPUTED_VALUE"""),"Sharjah&gt;Al Majaz&gt;Al Majaz 2&gt;Marco Building")</f>
        <v>Sharjah&gt;Al Majaz&gt;Al Majaz 2&gt;Marco Building</v>
      </c>
      <c r="E11262" s="2"/>
      <c r="F11262" s="2"/>
      <c r="G11262" s="2"/>
      <c r="H11262" s="2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2"/>
      <c r="T11262" s="2"/>
      <c r="U11262" s="2"/>
      <c r="V11262" s="2"/>
      <c r="W11262" s="2"/>
      <c r="X11262" s="2"/>
      <c r="Y11262" s="2"/>
      <c r="Z11262" s="2"/>
    </row>
    <row r="11263" spans="1:26" ht="16.5" x14ac:dyDescent="0.35">
      <c r="A11263" s="2" t="str">
        <f ca="1">IFERROR(__xludf.DUMMYFUNCTION("""COMPUTED_VALUE"""),"Sharjah")</f>
        <v>Sharjah</v>
      </c>
      <c r="B11263" s="2" t="str">
        <f ca="1">IFERROR(__xludf.DUMMYFUNCTION("""COMPUTED_VALUE"""),"Al Ghanem Business Centre")</f>
        <v>Al Ghanem Business Centre</v>
      </c>
      <c r="C11263" s="2"/>
      <c r="D11263" s="2" t="str">
        <f ca="1">IFERROR(__xludf.DUMMYFUNCTION("""COMPUTED_VALUE"""),"Sharjah&gt;Al Majaz&gt;Al Majaz 3&gt;Al Ghanem Business Centre")</f>
        <v>Sharjah&gt;Al Majaz&gt;Al Majaz 3&gt;Al Ghanem Business Centre</v>
      </c>
      <c r="E11263" s="2"/>
      <c r="F11263" s="2"/>
      <c r="G11263" s="2"/>
      <c r="H11263" s="2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2"/>
      <c r="T11263" s="2"/>
      <c r="U11263" s="2"/>
      <c r="V11263" s="2"/>
      <c r="W11263" s="2"/>
      <c r="X11263" s="2"/>
      <c r="Y11263" s="2"/>
      <c r="Z11263" s="2"/>
    </row>
    <row r="11264" spans="1:26" ht="16.5" x14ac:dyDescent="0.35">
      <c r="A11264" s="2" t="str">
        <f ca="1">IFERROR(__xludf.DUMMYFUNCTION("""COMPUTED_VALUE"""),"Sharjah")</f>
        <v>Sharjah</v>
      </c>
      <c r="B11264" s="2" t="str">
        <f ca="1">IFERROR(__xludf.DUMMYFUNCTION("""COMPUTED_VALUE"""),"Bin Kamil Building")</f>
        <v>Bin Kamil Building</v>
      </c>
      <c r="C11264" s="2"/>
      <c r="D11264" s="2" t="str">
        <f ca="1">IFERROR(__xludf.DUMMYFUNCTION("""COMPUTED_VALUE"""),"Sharjah&gt;Al Majaz&gt;Al Majaz 3&gt;Bin Kamil Building")</f>
        <v>Sharjah&gt;Al Majaz&gt;Al Majaz 3&gt;Bin Kamil Building</v>
      </c>
      <c r="E11264" s="2"/>
      <c r="F11264" s="2"/>
      <c r="G11264" s="2"/>
      <c r="H11264" s="2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2"/>
      <c r="T11264" s="2"/>
      <c r="U11264" s="2"/>
      <c r="V11264" s="2"/>
      <c r="W11264" s="2"/>
      <c r="X11264" s="2"/>
      <c r="Y11264" s="2"/>
      <c r="Z11264" s="2"/>
    </row>
    <row r="11265" spans="1:26" ht="16.5" x14ac:dyDescent="0.35">
      <c r="A11265" s="2" t="str">
        <f ca="1">IFERROR(__xludf.DUMMYFUNCTION("""COMPUTED_VALUE"""),"Sharjah")</f>
        <v>Sharjah</v>
      </c>
      <c r="B11265" s="2" t="str">
        <f ca="1">IFERROR(__xludf.DUMMYFUNCTION("""COMPUTED_VALUE"""),"The First Tower")</f>
        <v>The First Tower</v>
      </c>
      <c r="C11265" s="2" t="str">
        <f ca="1">IFERROR(__xludf.DUMMYFUNCTION("""COMPUTED_VALUE"""),"Building")</f>
        <v>Building</v>
      </c>
      <c r="D11265" s="2" t="str">
        <f ca="1">IFERROR(__xludf.DUMMYFUNCTION("""COMPUTED_VALUE"""),"Sharjah&gt;Al Majaz&gt;Al Majaz 3&gt;The First Tower")</f>
        <v>Sharjah&gt;Al Majaz&gt;Al Majaz 3&gt;The First Tower</v>
      </c>
      <c r="E11265" s="2"/>
      <c r="F11265" s="2"/>
      <c r="G11265" s="2"/>
      <c r="H11265" s="2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2"/>
      <c r="T11265" s="2"/>
      <c r="U11265" s="2"/>
      <c r="V11265" s="2"/>
      <c r="W11265" s="2"/>
      <c r="X11265" s="2"/>
      <c r="Y11265" s="2"/>
      <c r="Z11265" s="2"/>
    </row>
    <row r="11266" spans="1:26" ht="16.5" x14ac:dyDescent="0.35">
      <c r="A11266" s="2" t="str">
        <f ca="1">IFERROR(__xludf.DUMMYFUNCTION("""COMPUTED_VALUE"""),"Sharjah")</f>
        <v>Sharjah</v>
      </c>
      <c r="B11266" s="2" t="str">
        <f ca="1">IFERROR(__xludf.DUMMYFUNCTION("""COMPUTED_VALUE"""),"Bel Rashid Tower 2")</f>
        <v>Bel Rashid Tower 2</v>
      </c>
      <c r="C11266" s="2" t="str">
        <f ca="1">IFERROR(__xludf.DUMMYFUNCTION("""COMPUTED_VALUE"""),"Building")</f>
        <v>Building</v>
      </c>
      <c r="D11266" s="2" t="str">
        <f ca="1">IFERROR(__xludf.DUMMYFUNCTION("""COMPUTED_VALUE"""),"Sharjah&gt;Al Majaz&gt;Al Majaz 1&gt;Bel Rashid Tower 2")</f>
        <v>Sharjah&gt;Al Majaz&gt;Al Majaz 1&gt;Bel Rashid Tower 2</v>
      </c>
      <c r="E11266" s="2"/>
      <c r="F11266" s="2"/>
      <c r="G11266" s="2"/>
      <c r="H11266" s="2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2"/>
      <c r="T11266" s="2"/>
      <c r="U11266" s="2"/>
      <c r="V11266" s="2"/>
      <c r="W11266" s="2"/>
      <c r="X11266" s="2"/>
      <c r="Y11266" s="2"/>
      <c r="Z11266" s="2"/>
    </row>
    <row r="11267" spans="1:26" ht="16.5" x14ac:dyDescent="0.35">
      <c r="A11267" s="2" t="str">
        <f ca="1">IFERROR(__xludf.DUMMYFUNCTION("""COMPUTED_VALUE"""),"Sharjah")</f>
        <v>Sharjah</v>
      </c>
      <c r="B11267" s="2" t="str">
        <f ca="1">IFERROR(__xludf.DUMMYFUNCTION("""COMPUTED_VALUE"""),"Al Maliha")</f>
        <v>Al Maliha</v>
      </c>
      <c r="C11267" s="2" t="str">
        <f ca="1">IFERROR(__xludf.DUMMYFUNCTION("""COMPUTED_VALUE"""),"Neighbourhood")</f>
        <v>Neighbourhood</v>
      </c>
      <c r="D11267" s="2" t="str">
        <f ca="1">IFERROR(__xludf.DUMMYFUNCTION("""COMPUTED_VALUE"""),"Sharjah&gt;Al Maliha")</f>
        <v>Sharjah&gt;Al Maliha</v>
      </c>
      <c r="E11267" s="2"/>
      <c r="F11267" s="2"/>
      <c r="G11267" s="2"/>
      <c r="H11267" s="2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2"/>
      <c r="T11267" s="2"/>
      <c r="U11267" s="2"/>
      <c r="V11267" s="2"/>
      <c r="W11267" s="2"/>
      <c r="X11267" s="2"/>
      <c r="Y11267" s="2"/>
      <c r="Z11267" s="2"/>
    </row>
    <row r="11268" spans="1:26" ht="16.5" x14ac:dyDescent="0.35">
      <c r="A11268" s="2" t="str">
        <f ca="1">IFERROR(__xludf.DUMMYFUNCTION("""COMPUTED_VALUE"""),"Sharjah")</f>
        <v>Sharjah</v>
      </c>
      <c r="B11268" s="2" t="str">
        <f ca="1">IFERROR(__xludf.DUMMYFUNCTION("""COMPUTED_VALUE"""),"Bin Ham Tower B")</f>
        <v>Bin Ham Tower B</v>
      </c>
      <c r="C11268" s="2" t="str">
        <f ca="1">IFERROR(__xludf.DUMMYFUNCTION("""COMPUTED_VALUE"""),"Building")</f>
        <v>Building</v>
      </c>
      <c r="D11268" s="2" t="str">
        <f ca="1">IFERROR(__xludf.DUMMYFUNCTION("""COMPUTED_VALUE"""),"Sharjah&gt;Al Taawun&gt;Bin Ham Towers&gt;Bin Ham Tower B")</f>
        <v>Sharjah&gt;Al Taawun&gt;Bin Ham Towers&gt;Bin Ham Tower B</v>
      </c>
      <c r="E11268" s="2"/>
      <c r="F11268" s="2"/>
      <c r="G11268" s="2"/>
      <c r="H11268" s="2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2"/>
      <c r="T11268" s="2"/>
      <c r="U11268" s="2"/>
      <c r="V11268" s="2"/>
      <c r="W11268" s="2"/>
      <c r="X11268" s="2"/>
      <c r="Y11268" s="2"/>
      <c r="Z11268" s="2"/>
    </row>
    <row r="11269" spans="1:26" ht="16.5" x14ac:dyDescent="0.35">
      <c r="A11269" s="2" t="str">
        <f ca="1">IFERROR(__xludf.DUMMYFUNCTION("""COMPUTED_VALUE"""),"Sharjah")</f>
        <v>Sharjah</v>
      </c>
      <c r="B11269" s="2" t="str">
        <f ca="1">IFERROR(__xludf.DUMMYFUNCTION("""COMPUTED_VALUE"""),"Al Khaleej Plaza")</f>
        <v>Al Khaleej Plaza</v>
      </c>
      <c r="C11269" s="2" t="str">
        <f ca="1">IFERROR(__xludf.DUMMYFUNCTION("""COMPUTED_VALUE"""),"Building")</f>
        <v>Building</v>
      </c>
      <c r="D11269" s="2" t="str">
        <f ca="1">IFERROR(__xludf.DUMMYFUNCTION("""COMPUTED_VALUE"""),"Sharjah&gt;Al Taawun&gt;Al Khaleej Plaza")</f>
        <v>Sharjah&gt;Al Taawun&gt;Al Khaleej Plaza</v>
      </c>
      <c r="E11269" s="2"/>
      <c r="F11269" s="2"/>
      <c r="G11269" s="2"/>
      <c r="H11269" s="2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2"/>
      <c r="T11269" s="2"/>
      <c r="U11269" s="2"/>
      <c r="V11269" s="2"/>
      <c r="W11269" s="2"/>
      <c r="X11269" s="2"/>
      <c r="Y11269" s="2"/>
      <c r="Z11269" s="2"/>
    </row>
    <row r="11270" spans="1:26" ht="16.5" x14ac:dyDescent="0.35">
      <c r="A11270" s="2" t="str">
        <f ca="1">IFERROR(__xludf.DUMMYFUNCTION("""COMPUTED_VALUE"""),"Sharjah")</f>
        <v>Sharjah</v>
      </c>
      <c r="B11270" s="2" t="str">
        <f ca="1">IFERROR(__xludf.DUMMYFUNCTION("""COMPUTED_VALUE"""),"Al Arbash Tower")</f>
        <v>Al Arbash Tower</v>
      </c>
      <c r="C11270" s="2"/>
      <c r="D11270" s="2" t="str">
        <f ca="1">IFERROR(__xludf.DUMMYFUNCTION("""COMPUTED_VALUE"""),"Sharjah&gt;Al Qasimia&gt;Al Nad&gt;Al Arbash Tower")</f>
        <v>Sharjah&gt;Al Qasimia&gt;Al Nad&gt;Al Arbash Tower</v>
      </c>
      <c r="E11270" s="2"/>
      <c r="F11270" s="2"/>
      <c r="G11270" s="2"/>
      <c r="H11270" s="2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2"/>
      <c r="T11270" s="2"/>
      <c r="U11270" s="2"/>
      <c r="V11270" s="2"/>
      <c r="W11270" s="2"/>
      <c r="X11270" s="2"/>
      <c r="Y11270" s="2"/>
      <c r="Z11270" s="2"/>
    </row>
    <row r="11271" spans="1:26" ht="16.5" x14ac:dyDescent="0.35">
      <c r="A11271" s="2" t="str">
        <f ca="1">IFERROR(__xludf.DUMMYFUNCTION("""COMPUTED_VALUE"""),"Sharjah")</f>
        <v>Sharjah</v>
      </c>
      <c r="B11271" s="2" t="str">
        <f ca="1">IFERROR(__xludf.DUMMYFUNCTION("""COMPUTED_VALUE"""),"Fatima Al Awais 1 Building")</f>
        <v>Fatima Al Awais 1 Building</v>
      </c>
      <c r="C11271" s="2"/>
      <c r="D11271" s="2" t="str">
        <f ca="1">IFERROR(__xludf.DUMMYFUNCTION("""COMPUTED_VALUE"""),"Sharjah&gt;Al Qasimia&gt;Al Nad&gt;Fatima Al Awais 1 Building")</f>
        <v>Sharjah&gt;Al Qasimia&gt;Al Nad&gt;Fatima Al Awais 1 Building</v>
      </c>
      <c r="E11271" s="2"/>
      <c r="F11271" s="2"/>
      <c r="G11271" s="2"/>
      <c r="H11271" s="2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2"/>
      <c r="T11271" s="2"/>
      <c r="U11271" s="2"/>
      <c r="V11271" s="2"/>
      <c r="W11271" s="2"/>
      <c r="X11271" s="2"/>
      <c r="Y11271" s="2"/>
      <c r="Z11271" s="2"/>
    </row>
    <row r="11272" spans="1:26" ht="16.5" x14ac:dyDescent="0.35">
      <c r="A11272" s="2" t="str">
        <f ca="1">IFERROR(__xludf.DUMMYFUNCTION("""COMPUTED_VALUE"""),"Sharjah")</f>
        <v>Sharjah</v>
      </c>
      <c r="B11272" s="2" t="str">
        <f ca="1">IFERROR(__xludf.DUMMYFUNCTION("""COMPUTED_VALUE"""),"Al Marzouqi Tower B")</f>
        <v>Al Marzouqi Tower B</v>
      </c>
      <c r="C11272" s="2" t="str">
        <f ca="1">IFERROR(__xludf.DUMMYFUNCTION("""COMPUTED_VALUE"""),"Building")</f>
        <v>Building</v>
      </c>
      <c r="D11272" s="2" t="str">
        <f ca="1">IFERROR(__xludf.DUMMYFUNCTION("""COMPUTED_VALUE"""),"Sharjah&gt;Al Qasimia&gt;Al Marzouqi Towers&gt;Al Marzouqi Tower B")</f>
        <v>Sharjah&gt;Al Qasimia&gt;Al Marzouqi Towers&gt;Al Marzouqi Tower B</v>
      </c>
      <c r="E11272" s="2"/>
      <c r="F11272" s="2"/>
      <c r="G11272" s="2"/>
      <c r="H11272" s="2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2"/>
      <c r="T11272" s="2"/>
      <c r="U11272" s="2"/>
      <c r="V11272" s="2"/>
      <c r="W11272" s="2"/>
      <c r="X11272" s="2"/>
      <c r="Y11272" s="2"/>
      <c r="Z11272" s="2"/>
    </row>
    <row r="11273" spans="1:26" ht="16.5" x14ac:dyDescent="0.35">
      <c r="A11273" s="2" t="str">
        <f ca="1">IFERROR(__xludf.DUMMYFUNCTION("""COMPUTED_VALUE"""),"Sharjah")</f>
        <v>Sharjah</v>
      </c>
      <c r="B11273" s="2" t="str">
        <f ca="1">IFERROR(__xludf.DUMMYFUNCTION("""COMPUTED_VALUE"""),"Al Mubarak Centre Residence")</f>
        <v>Al Mubarak Centre Residence</v>
      </c>
      <c r="C11273" s="2"/>
      <c r="D11273" s="2" t="str">
        <f ca="1">IFERROR(__xludf.DUMMYFUNCTION("""COMPUTED_VALUE"""),"Sharjah&gt;Al Nabba&gt;Al Mubarak Centre Residence")</f>
        <v>Sharjah&gt;Al Nabba&gt;Al Mubarak Centre Residence</v>
      </c>
      <c r="E11273" s="2"/>
      <c r="F11273" s="2"/>
      <c r="G11273" s="2"/>
      <c r="H11273" s="2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2"/>
      <c r="T11273" s="2"/>
      <c r="U11273" s="2"/>
      <c r="V11273" s="2"/>
      <c r="W11273" s="2"/>
      <c r="X11273" s="2"/>
      <c r="Y11273" s="2"/>
      <c r="Z11273" s="2"/>
    </row>
    <row r="11274" spans="1:26" ht="16.5" x14ac:dyDescent="0.35">
      <c r="A11274" s="2" t="str">
        <f ca="1">IFERROR(__xludf.DUMMYFUNCTION("""COMPUTED_VALUE"""),"Sharjah")</f>
        <v>Sharjah</v>
      </c>
      <c r="B11274" s="2" t="str">
        <f ca="1">IFERROR(__xludf.DUMMYFUNCTION("""COMPUTED_VALUE"""),"International School of Choueifat (ISC) Sharjah")</f>
        <v>International School of Choueifat (ISC) Sharjah</v>
      </c>
      <c r="C11274" s="2" t="str">
        <f ca="1">IFERROR(__xludf.DUMMYFUNCTION("""COMPUTED_VALUE"""),"School")</f>
        <v>School</v>
      </c>
      <c r="D11274" s="2" t="str">
        <f ca="1">IFERROR(__xludf.DUMMYFUNCTION("""COMPUTED_VALUE"""),"Sharjah&gt;Industrial Area&gt;Industrial Area 6&gt;International School of Choueifat (ISC) Sharjah")</f>
        <v>Sharjah&gt;Industrial Area&gt;Industrial Area 6&gt;International School of Choueifat (ISC) Sharjah</v>
      </c>
      <c r="E11274" s="2"/>
      <c r="F11274" s="2"/>
      <c r="G11274" s="2"/>
      <c r="H11274" s="2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2"/>
      <c r="T11274" s="2"/>
      <c r="U11274" s="2"/>
      <c r="V11274" s="2"/>
      <c r="W11274" s="2"/>
      <c r="X11274" s="2"/>
      <c r="Y11274" s="2"/>
      <c r="Z11274" s="2"/>
    </row>
    <row r="11275" spans="1:26" ht="16.5" x14ac:dyDescent="0.35">
      <c r="A11275" s="2" t="str">
        <f ca="1">IFERROR(__xludf.DUMMYFUNCTION("""COMPUTED_VALUE"""),"Sharjah")</f>
        <v>Sharjah</v>
      </c>
      <c r="B11275" s="2" t="str">
        <f ca="1">IFERROR(__xludf.DUMMYFUNCTION("""COMPUTED_VALUE"""),"Industrial Area 11")</f>
        <v>Industrial Area 11</v>
      </c>
      <c r="C11275" s="2" t="str">
        <f ca="1">IFERROR(__xludf.DUMMYFUNCTION("""COMPUTED_VALUE"""),"Neighbourhood")</f>
        <v>Neighbourhood</v>
      </c>
      <c r="D11275" s="2" t="str">
        <f ca="1">IFERROR(__xludf.DUMMYFUNCTION("""COMPUTED_VALUE"""),"Sharjah&gt;Industrial Area&gt;Industrial Area 11")</f>
        <v>Sharjah&gt;Industrial Area&gt;Industrial Area 11</v>
      </c>
      <c r="E11275" s="2"/>
      <c r="F11275" s="2"/>
      <c r="G11275" s="2"/>
      <c r="H11275" s="2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2"/>
      <c r="T11275" s="2"/>
      <c r="U11275" s="2"/>
      <c r="V11275" s="2"/>
      <c r="W11275" s="2"/>
      <c r="X11275" s="2"/>
      <c r="Y11275" s="2"/>
      <c r="Z11275" s="2"/>
    </row>
    <row r="11276" spans="1:26" ht="16.5" x14ac:dyDescent="0.35">
      <c r="A11276" s="2" t="str">
        <f ca="1">IFERROR(__xludf.DUMMYFUNCTION("""COMPUTED_VALUE"""),"Sharjah")</f>
        <v>Sharjah</v>
      </c>
      <c r="B11276" s="2" t="str">
        <f ca="1">IFERROR(__xludf.DUMMYFUNCTION("""COMPUTED_VALUE"""),"RB 4")</f>
        <v>RB 4</v>
      </c>
      <c r="C11276" s="2" t="str">
        <f ca="1">IFERROR(__xludf.DUMMYFUNCTION("""COMPUTED_VALUE"""),"Building")</f>
        <v>Building</v>
      </c>
      <c r="D11276" s="2" t="str">
        <f ca="1">IFERROR(__xludf.DUMMYFUNCTION("""COMPUTED_VALUE"""),"Sharjah&gt;Muwaileh&gt;Al Mamsha&gt;Souks Residential&gt;RB 4")</f>
        <v>Sharjah&gt;Muwaileh&gt;Al Mamsha&gt;Souks Residential&gt;RB 4</v>
      </c>
      <c r="E11276" s="2"/>
      <c r="F11276" s="2"/>
      <c r="G11276" s="2"/>
      <c r="H11276" s="2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2"/>
      <c r="T11276" s="2"/>
      <c r="U11276" s="2"/>
      <c r="V11276" s="2"/>
      <c r="W11276" s="2"/>
      <c r="X11276" s="2"/>
      <c r="Y11276" s="2"/>
      <c r="Z11276" s="2"/>
    </row>
    <row r="11277" spans="1:26" ht="16.5" x14ac:dyDescent="0.35">
      <c r="A11277" s="2" t="str">
        <f ca="1">IFERROR(__xludf.DUMMYFUNCTION("""COMPUTED_VALUE"""),"Abu Dhabi")</f>
        <v>Abu Dhabi</v>
      </c>
      <c r="B11277" s="2" t="str">
        <f ca="1">IFERROR(__xludf.DUMMYFUNCTION("""COMPUTED_VALUE"""),"Al Otaiba Tower")</f>
        <v>Al Otaiba Tower</v>
      </c>
      <c r="C11277" s="2" t="str">
        <f ca="1">IFERROR(__xludf.DUMMYFUNCTION("""COMPUTED_VALUE"""),"Building")</f>
        <v>Building</v>
      </c>
      <c r="D11277" s="2" t="str">
        <f ca="1">IFERROR(__xludf.DUMMYFUNCTION("""COMPUTED_VALUE"""),"Abu Dhabi&gt;Hamdan Street&gt;Al Otaiba Tower")</f>
        <v>Abu Dhabi&gt;Hamdan Street&gt;Al Otaiba Tower</v>
      </c>
      <c r="E11277" s="2"/>
      <c r="F11277" s="2"/>
      <c r="G11277" s="2"/>
      <c r="H11277" s="2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2"/>
      <c r="T11277" s="2"/>
      <c r="U11277" s="2"/>
      <c r="V11277" s="2"/>
      <c r="W11277" s="2"/>
      <c r="X11277" s="2"/>
      <c r="Y11277" s="2"/>
      <c r="Z11277" s="2"/>
    </row>
    <row r="11278" spans="1:26" ht="16.5" x14ac:dyDescent="0.35">
      <c r="A11278" s="2" t="str">
        <f ca="1">IFERROR(__xludf.DUMMYFUNCTION("""COMPUTED_VALUE"""),"Abu Dhabi")</f>
        <v>Abu Dhabi</v>
      </c>
      <c r="B11278" s="2" t="str">
        <f ca="1">IFERROR(__xludf.DUMMYFUNCTION("""COMPUTED_VALUE"""),"Waqf Sheikh Zayed Residential Building")</f>
        <v>Waqf Sheikh Zayed Residential Building</v>
      </c>
      <c r="C11278" s="2" t="str">
        <f ca="1">IFERROR(__xludf.DUMMYFUNCTION("""COMPUTED_VALUE"""),"Building")</f>
        <v>Building</v>
      </c>
      <c r="D11278" s="2" t="str">
        <f ca="1">IFERROR(__xludf.DUMMYFUNCTION("""COMPUTED_VALUE"""),"Abu Dhabi&gt;Al Khalidiyah&gt;Zayed The First Street&gt;Waqf Sheikh Zayed Residential Building")</f>
        <v>Abu Dhabi&gt;Al Khalidiyah&gt;Zayed The First Street&gt;Waqf Sheikh Zayed Residential Building</v>
      </c>
      <c r="E11278" s="2"/>
      <c r="F11278" s="2"/>
      <c r="G11278" s="2"/>
      <c r="H11278" s="2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2"/>
      <c r="T11278" s="2"/>
      <c r="U11278" s="2"/>
      <c r="V11278" s="2"/>
      <c r="W11278" s="2"/>
      <c r="X11278" s="2"/>
      <c r="Y11278" s="2"/>
      <c r="Z11278" s="2"/>
    </row>
    <row r="11279" spans="1:26" ht="16.5" x14ac:dyDescent="0.35">
      <c r="A11279" s="2" t="str">
        <f ca="1">IFERROR(__xludf.DUMMYFUNCTION("""COMPUTED_VALUE"""),"Abu Dhabi")</f>
        <v>Abu Dhabi</v>
      </c>
      <c r="B11279" s="2" t="str">
        <f ca="1">IFERROR(__xludf.DUMMYFUNCTION("""COMPUTED_VALUE"""),"Oryx Tower")</f>
        <v>Oryx Tower</v>
      </c>
      <c r="C11279" s="2" t="str">
        <f ca="1">IFERROR(__xludf.DUMMYFUNCTION("""COMPUTED_VALUE"""),"Building")</f>
        <v>Building</v>
      </c>
      <c r="D11279" s="2" t="str">
        <f ca="1">IFERROR(__xludf.DUMMYFUNCTION("""COMPUTED_VALUE"""),"Abu Dhabi&gt;Al Khalidiyah&gt;Oryx Tower")</f>
        <v>Abu Dhabi&gt;Al Khalidiyah&gt;Oryx Tower</v>
      </c>
      <c r="E11279" s="2"/>
      <c r="F11279" s="2"/>
      <c r="G11279" s="2"/>
      <c r="H11279" s="2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2"/>
      <c r="T11279" s="2"/>
      <c r="U11279" s="2"/>
      <c r="V11279" s="2"/>
      <c r="W11279" s="2"/>
      <c r="X11279" s="2"/>
      <c r="Y11279" s="2"/>
      <c r="Z11279" s="2"/>
    </row>
    <row r="11280" spans="1:26" ht="16.5" x14ac:dyDescent="0.35">
      <c r="A11280" s="2" t="str">
        <f ca="1">IFERROR(__xludf.DUMMYFUNCTION("""COMPUTED_VALUE"""),"Abu Dhabi")</f>
        <v>Abu Dhabi</v>
      </c>
      <c r="B11280" s="2" t="str">
        <f ca="1">IFERROR(__xludf.DUMMYFUNCTION("""COMPUTED_VALUE"""),"Orchid")</f>
        <v>Orchid</v>
      </c>
      <c r="C11280" s="2" t="str">
        <f ca="1">IFERROR(__xludf.DUMMYFUNCTION("""COMPUTED_VALUE"""),"Neighbourhood")</f>
        <v>Neighbourhood</v>
      </c>
      <c r="D11280" s="2" t="str">
        <f ca="1">IFERROR(__xludf.DUMMYFUNCTION("""COMPUTED_VALUE"""),"Abu Dhabi&gt;Khalifa City&gt;Golf Gardens&gt;Orchid")</f>
        <v>Abu Dhabi&gt;Khalifa City&gt;Golf Gardens&gt;Orchid</v>
      </c>
      <c r="E11280" s="2"/>
      <c r="F11280" s="2"/>
      <c r="G11280" s="2"/>
      <c r="H11280" s="2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2"/>
      <c r="T11280" s="2"/>
      <c r="U11280" s="2"/>
      <c r="V11280" s="2"/>
      <c r="W11280" s="2"/>
      <c r="X11280" s="2"/>
      <c r="Y11280" s="2"/>
      <c r="Z11280" s="2"/>
    </row>
    <row r="11281" spans="1:26" ht="16.5" x14ac:dyDescent="0.35">
      <c r="A11281" s="2" t="str">
        <f ca="1">IFERROR(__xludf.DUMMYFUNCTION("""COMPUTED_VALUE"""),"Abu Dhabi")</f>
        <v>Abu Dhabi</v>
      </c>
      <c r="B11281" s="2" t="str">
        <f ca="1">IFERROR(__xludf.DUMMYFUNCTION("""COMPUTED_VALUE"""),"Al Markaziya")</f>
        <v>Al Markaziya</v>
      </c>
      <c r="C11281" s="2" t="str">
        <f ca="1">IFERROR(__xludf.DUMMYFUNCTION("""COMPUTED_VALUE"""),"Neighbourhood")</f>
        <v>Neighbourhood</v>
      </c>
      <c r="D11281" s="2" t="str">
        <f ca="1">IFERROR(__xludf.DUMMYFUNCTION("""COMPUTED_VALUE"""),"Abu Dhabi&gt;Al Markaziya")</f>
        <v>Abu Dhabi&gt;Al Markaziya</v>
      </c>
      <c r="E11281" s="2"/>
      <c r="F11281" s="2"/>
      <c r="G11281" s="2"/>
      <c r="H11281" s="2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2"/>
      <c r="T11281" s="2"/>
      <c r="U11281" s="2"/>
      <c r="V11281" s="2"/>
      <c r="W11281" s="2"/>
      <c r="X11281" s="2"/>
      <c r="Y11281" s="2"/>
      <c r="Z11281" s="2"/>
    </row>
    <row r="11282" spans="1:26" ht="16.5" x14ac:dyDescent="0.35">
      <c r="A11282" s="2" t="str">
        <f ca="1">IFERROR(__xludf.DUMMYFUNCTION("""COMPUTED_VALUE"""),"Abu Dhabi")</f>
        <v>Abu Dhabi</v>
      </c>
      <c r="B11282" s="2" t="str">
        <f ca="1">IFERROR(__xludf.DUMMYFUNCTION("""COMPUTED_VALUE"""),"Dhabi Tower")</f>
        <v>Dhabi Tower</v>
      </c>
      <c r="C11282" s="2" t="str">
        <f ca="1">IFERROR(__xludf.DUMMYFUNCTION("""COMPUTED_VALUE"""),"Building")</f>
        <v>Building</v>
      </c>
      <c r="D11282" s="2" t="str">
        <f ca="1">IFERROR(__xludf.DUMMYFUNCTION("""COMPUTED_VALUE"""),"Abu Dhabi&gt;Al Markaziya&gt;Dhabi Tower")</f>
        <v>Abu Dhabi&gt;Al Markaziya&gt;Dhabi Tower</v>
      </c>
      <c r="E11282" s="2"/>
      <c r="F11282" s="2"/>
      <c r="G11282" s="2"/>
      <c r="H11282" s="2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2"/>
      <c r="T11282" s="2"/>
      <c r="U11282" s="2"/>
      <c r="V11282" s="2"/>
      <c r="W11282" s="2"/>
      <c r="X11282" s="2"/>
      <c r="Y11282" s="2"/>
      <c r="Z11282" s="2"/>
    </row>
    <row r="11283" spans="1:26" ht="16.5" x14ac:dyDescent="0.35">
      <c r="A11283" s="2" t="str">
        <f ca="1">IFERROR(__xludf.DUMMYFUNCTION("""COMPUTED_VALUE"""),"Abu Dhabi")</f>
        <v>Abu Dhabi</v>
      </c>
      <c r="B11283" s="2" t="str">
        <f ca="1">IFERROR(__xludf.DUMMYFUNCTION("""COMPUTED_VALUE"""),"Bright Beginnings Nursery Saadiyat Island")</f>
        <v>Bright Beginnings Nursery Saadiyat Island</v>
      </c>
      <c r="C11283" s="2" t="str">
        <f ca="1">IFERROR(__xludf.DUMMYFUNCTION("""COMPUTED_VALUE"""),"Nursery")</f>
        <v>Nursery</v>
      </c>
      <c r="D11283" s="2" t="str">
        <f ca="1">IFERROR(__xludf.DUMMYFUNCTION("""COMPUTED_VALUE"""),"Abu Dhabi&gt;Saadiyat Island&gt;Bright Beginnings Nursery Saadiyat Island")</f>
        <v>Abu Dhabi&gt;Saadiyat Island&gt;Bright Beginnings Nursery Saadiyat Island</v>
      </c>
      <c r="E11283" s="2"/>
      <c r="F11283" s="2"/>
      <c r="G11283" s="2"/>
      <c r="H11283" s="2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2"/>
      <c r="T11283" s="2"/>
      <c r="U11283" s="2"/>
      <c r="V11283" s="2"/>
      <c r="W11283" s="2"/>
      <c r="X11283" s="2"/>
      <c r="Y11283" s="2"/>
      <c r="Z11283" s="2"/>
    </row>
    <row r="11284" spans="1:26" ht="16.5" x14ac:dyDescent="0.35">
      <c r="A11284" s="2" t="str">
        <f ca="1">IFERROR(__xludf.DUMMYFUNCTION("""COMPUTED_VALUE"""),"Abu Dhabi")</f>
        <v>Abu Dhabi</v>
      </c>
      <c r="B11284" s="2" t="str">
        <f ca="1">IFERROR(__xludf.DUMMYFUNCTION("""COMPUTED_VALUE"""),"Mamsha Gardens Building 7")</f>
        <v>Mamsha Gardens Building 7</v>
      </c>
      <c r="C11284" s="2" t="str">
        <f ca="1">IFERROR(__xludf.DUMMYFUNCTION("""COMPUTED_VALUE"""),"Building")</f>
        <v>Building</v>
      </c>
      <c r="D11284" s="2" t="str">
        <f ca="1">IFERROR(__xludf.DUMMYFUNCTION("""COMPUTED_VALUE"""),"Abu Dhabi&gt;Saadiyat Island&gt;Saadiyat Cultural District&gt;Mamsha Gardens&gt;Mamsha Gardens Building 7")</f>
        <v>Abu Dhabi&gt;Saadiyat Island&gt;Saadiyat Cultural District&gt;Mamsha Gardens&gt;Mamsha Gardens Building 7</v>
      </c>
      <c r="E11284" s="2"/>
      <c r="F11284" s="2"/>
      <c r="G11284" s="2"/>
      <c r="H11284" s="2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2"/>
      <c r="T11284" s="2"/>
      <c r="U11284" s="2"/>
      <c r="V11284" s="2"/>
      <c r="W11284" s="2"/>
      <c r="X11284" s="2"/>
      <c r="Y11284" s="2"/>
      <c r="Z11284" s="2"/>
    </row>
    <row r="11285" spans="1:26" ht="16.5" x14ac:dyDescent="0.35">
      <c r="A11285" s="2" t="str">
        <f ca="1">IFERROR(__xludf.DUMMYFUNCTION("""COMPUTED_VALUE"""),"Abu Dhabi")</f>
        <v>Abu Dhabi</v>
      </c>
      <c r="B11285" s="2" t="str">
        <f ca="1">IFERROR(__xludf.DUMMYFUNCTION("""COMPUTED_VALUE"""),"Gateway Building")</f>
        <v>Gateway Building</v>
      </c>
      <c r="C11285" s="2" t="str">
        <f ca="1">IFERROR(__xludf.DUMMYFUNCTION("""COMPUTED_VALUE"""),"Building")</f>
        <v>Building</v>
      </c>
      <c r="D11285" s="2" t="str">
        <f ca="1">IFERROR(__xludf.DUMMYFUNCTION("""COMPUTED_VALUE"""),"Abu Dhabi&gt;Saadiyat Island&gt;Saadiyat Beach&gt;The Pearl Residences&gt;Gateway Building")</f>
        <v>Abu Dhabi&gt;Saadiyat Island&gt;Saadiyat Beach&gt;The Pearl Residences&gt;Gateway Building</v>
      </c>
      <c r="E11285" s="2"/>
      <c r="F11285" s="2"/>
      <c r="G11285" s="2"/>
      <c r="H11285" s="2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2"/>
      <c r="T11285" s="2"/>
      <c r="U11285" s="2"/>
      <c r="V11285" s="2"/>
      <c r="W11285" s="2"/>
      <c r="X11285" s="2"/>
      <c r="Y11285" s="2"/>
      <c r="Z11285" s="2"/>
    </row>
    <row r="11286" spans="1:26" ht="16.5" x14ac:dyDescent="0.35">
      <c r="A11286" s="2" t="str">
        <f ca="1">IFERROR(__xludf.DUMMYFUNCTION("""COMPUTED_VALUE"""),"Abu Dhabi")</f>
        <v>Abu Dhabi</v>
      </c>
      <c r="B11286" s="2" t="str">
        <f ca="1">IFERROR(__xludf.DUMMYFUNCTION("""COMPUTED_VALUE"""),"Al Raha Beach")</f>
        <v>Al Raha Beach</v>
      </c>
      <c r="C11286" s="2" t="str">
        <f ca="1">IFERROR(__xludf.DUMMYFUNCTION("""COMPUTED_VALUE"""),"Neighbourhood")</f>
        <v>Neighbourhood</v>
      </c>
      <c r="D11286" s="2" t="str">
        <f ca="1">IFERROR(__xludf.DUMMYFUNCTION("""COMPUTED_VALUE"""),"Abu Dhabi&gt;Al Raha Beach")</f>
        <v>Abu Dhabi&gt;Al Raha Beach</v>
      </c>
      <c r="E11286" s="2"/>
      <c r="F11286" s="2"/>
      <c r="G11286" s="2"/>
      <c r="H11286" s="2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2"/>
      <c r="T11286" s="2"/>
      <c r="U11286" s="2"/>
      <c r="V11286" s="2"/>
      <c r="W11286" s="2"/>
      <c r="X11286" s="2"/>
      <c r="Y11286" s="2"/>
      <c r="Z11286" s="2"/>
    </row>
    <row r="11287" spans="1:26" ht="16.5" x14ac:dyDescent="0.35">
      <c r="A11287" s="2" t="str">
        <f ca="1">IFERROR(__xludf.DUMMYFUNCTION("""COMPUTED_VALUE"""),"Abu Dhabi")</f>
        <v>Abu Dhabi</v>
      </c>
      <c r="B11287" s="2" t="str">
        <f ca="1">IFERROR(__xludf.DUMMYFUNCTION("""COMPUTED_VALUE"""),"Al Zeina")</f>
        <v>Al Zeina</v>
      </c>
      <c r="C11287" s="2" t="str">
        <f ca="1">IFERROR(__xludf.DUMMYFUNCTION("""COMPUTED_VALUE"""),"Neighbourhood")</f>
        <v>Neighbourhood</v>
      </c>
      <c r="D11287" s="2" t="str">
        <f ca="1">IFERROR(__xludf.DUMMYFUNCTION("""COMPUTED_VALUE"""),"Abu Dhabi&gt;Al Raha Beach&gt;Al Zeina")</f>
        <v>Abu Dhabi&gt;Al Raha Beach&gt;Al Zeina</v>
      </c>
      <c r="E11287" s="2"/>
      <c r="F11287" s="2"/>
      <c r="G11287" s="2"/>
      <c r="H11287" s="2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2"/>
      <c r="T11287" s="2"/>
      <c r="U11287" s="2"/>
      <c r="V11287" s="2"/>
      <c r="W11287" s="2"/>
      <c r="X11287" s="2"/>
      <c r="Y11287" s="2"/>
      <c r="Z11287" s="2"/>
    </row>
    <row r="11288" spans="1:26" ht="16.5" x14ac:dyDescent="0.35">
      <c r="A11288" s="2" t="str">
        <f ca="1">IFERROR(__xludf.DUMMYFUNCTION("""COMPUTED_VALUE"""),"Abu Dhabi")</f>
        <v>Abu Dhabi</v>
      </c>
      <c r="B11288" s="2" t="str">
        <f ca="1">IFERROR(__xludf.DUMMYFUNCTION("""COMPUTED_VALUE"""),"Al Raha Lofts 1")</f>
        <v>Al Raha Lofts 1</v>
      </c>
      <c r="C11288" s="2" t="str">
        <f ca="1">IFERROR(__xludf.DUMMYFUNCTION("""COMPUTED_VALUE"""),"Building")</f>
        <v>Building</v>
      </c>
      <c r="D11288" s="2" t="str">
        <f ca="1">IFERROR(__xludf.DUMMYFUNCTION("""COMPUTED_VALUE"""),"Abu Dhabi&gt;Al Raha Beach&gt;Al Raha Lofts&gt;Al Raha Lofts 1")</f>
        <v>Abu Dhabi&gt;Al Raha Beach&gt;Al Raha Lofts&gt;Al Raha Lofts 1</v>
      </c>
      <c r="E11288" s="2"/>
      <c r="F11288" s="2"/>
      <c r="G11288" s="2"/>
      <c r="H11288" s="2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2"/>
      <c r="T11288" s="2"/>
      <c r="U11288" s="2"/>
      <c r="V11288" s="2"/>
      <c r="W11288" s="2"/>
      <c r="X11288" s="2"/>
      <c r="Y11288" s="2"/>
      <c r="Z11288" s="2"/>
    </row>
    <row r="11289" spans="1:26" ht="16.5" x14ac:dyDescent="0.35">
      <c r="A11289" s="2" t="str">
        <f ca="1">IFERROR(__xludf.DUMMYFUNCTION("""COMPUTED_VALUE"""),"Abu Dhabi")</f>
        <v>Abu Dhabi</v>
      </c>
      <c r="B11289" s="2" t="str">
        <f ca="1">IFERROR(__xludf.DUMMYFUNCTION("""COMPUTED_VALUE"""),"P-2695 Building")</f>
        <v>P-2695 Building</v>
      </c>
      <c r="C11289" s="2" t="str">
        <f ca="1">IFERROR(__xludf.DUMMYFUNCTION("""COMPUTED_VALUE"""),"Building")</f>
        <v>Building</v>
      </c>
      <c r="D11289" s="2" t="str">
        <f ca="1">IFERROR(__xludf.DUMMYFUNCTION("""COMPUTED_VALUE"""),"Abu Dhabi&gt;Al Raha Beach&gt;P-2695 Building")</f>
        <v>Abu Dhabi&gt;Al Raha Beach&gt;P-2695 Building</v>
      </c>
      <c r="E11289" s="2"/>
      <c r="F11289" s="2"/>
      <c r="G11289" s="2"/>
      <c r="H11289" s="2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2"/>
      <c r="T11289" s="2"/>
      <c r="U11289" s="2"/>
      <c r="V11289" s="2"/>
      <c r="W11289" s="2"/>
      <c r="X11289" s="2"/>
      <c r="Y11289" s="2"/>
      <c r="Z11289" s="2"/>
    </row>
    <row r="11290" spans="1:26" ht="16.5" x14ac:dyDescent="0.35">
      <c r="A11290" s="2" t="str">
        <f ca="1">IFERROR(__xludf.DUMMYFUNCTION("""COMPUTED_VALUE"""),"Abu Dhabi")</f>
        <v>Abu Dhabi</v>
      </c>
      <c r="B11290" s="2" t="str">
        <f ca="1">IFERROR(__xludf.DUMMYFUNCTION("""COMPUTED_VALUE"""),"Saraya Tower")</f>
        <v>Saraya Tower</v>
      </c>
      <c r="C11290" s="2" t="str">
        <f ca="1">IFERROR(__xludf.DUMMYFUNCTION("""COMPUTED_VALUE"""),"Building")</f>
        <v>Building</v>
      </c>
      <c r="D11290" s="2" t="str">
        <f ca="1">IFERROR(__xludf.DUMMYFUNCTION("""COMPUTED_VALUE"""),"Abu Dhabi&gt;Danet Abu Dhabi&gt;Saraya Tower")</f>
        <v>Abu Dhabi&gt;Danet Abu Dhabi&gt;Saraya Tower</v>
      </c>
      <c r="E11290" s="2"/>
      <c r="F11290" s="2"/>
      <c r="G11290" s="2"/>
      <c r="H11290" s="2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2"/>
      <c r="T11290" s="2"/>
      <c r="U11290" s="2"/>
      <c r="V11290" s="2"/>
      <c r="W11290" s="2"/>
      <c r="X11290" s="2"/>
      <c r="Y11290" s="2"/>
      <c r="Z11290" s="2"/>
    </row>
    <row r="11291" spans="1:26" ht="16.5" x14ac:dyDescent="0.35">
      <c r="A11291" s="2" t="str">
        <f ca="1">IFERROR(__xludf.DUMMYFUNCTION("""COMPUTED_VALUE"""),"Abu Dhabi")</f>
        <v>Abu Dhabi</v>
      </c>
      <c r="B11291" s="2" t="str">
        <f ca="1">IFERROR(__xludf.DUMMYFUNCTION("""COMPUTED_VALUE"""),"Al Murooj Scientific Private School")</f>
        <v>Al Murooj Scientific Private School</v>
      </c>
      <c r="C11291" s="2" t="str">
        <f ca="1">IFERROR(__xludf.DUMMYFUNCTION("""COMPUTED_VALUE"""),"School")</f>
        <v>School</v>
      </c>
      <c r="D11291" s="2" t="str">
        <f ca="1">IFERROR(__xludf.DUMMYFUNCTION("""COMPUTED_VALUE"""),"Abu Dhabi&gt;Mohamed Bin Zayed City&gt;Al Murooj Scientific Private School")</f>
        <v>Abu Dhabi&gt;Mohamed Bin Zayed City&gt;Al Murooj Scientific Private School</v>
      </c>
      <c r="E11291" s="2"/>
      <c r="F11291" s="2"/>
      <c r="G11291" s="2"/>
      <c r="H11291" s="2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2"/>
      <c r="T11291" s="2"/>
      <c r="U11291" s="2"/>
      <c r="V11291" s="2"/>
      <c r="W11291" s="2"/>
      <c r="X11291" s="2"/>
      <c r="Y11291" s="2"/>
      <c r="Z11291" s="2"/>
    </row>
    <row r="11292" spans="1:26" ht="16.5" x14ac:dyDescent="0.35">
      <c r="A11292" s="2" t="str">
        <f ca="1">IFERROR(__xludf.DUMMYFUNCTION("""COMPUTED_VALUE"""),"Abu Dhabi")</f>
        <v>Abu Dhabi</v>
      </c>
      <c r="B11292" s="2" t="str">
        <f ca="1">IFERROR(__xludf.DUMMYFUNCTION("""COMPUTED_VALUE"""),"Zone 13")</f>
        <v>Zone 13</v>
      </c>
      <c r="C11292" s="2" t="str">
        <f ca="1">IFERROR(__xludf.DUMMYFUNCTION("""COMPUTED_VALUE"""),"Neighbourhood")</f>
        <v>Neighbourhood</v>
      </c>
      <c r="D11292" s="2" t="str">
        <f ca="1">IFERROR(__xludf.DUMMYFUNCTION("""COMPUTED_VALUE"""),"Abu Dhabi&gt;Mohamed Bin Zayed City&gt;Zone 13")</f>
        <v>Abu Dhabi&gt;Mohamed Bin Zayed City&gt;Zone 13</v>
      </c>
      <c r="E11292" s="2"/>
      <c r="F11292" s="2"/>
      <c r="G11292" s="2"/>
      <c r="H11292" s="2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2"/>
      <c r="T11292" s="2"/>
      <c r="U11292" s="2"/>
      <c r="V11292" s="2"/>
      <c r="W11292" s="2"/>
      <c r="X11292" s="2"/>
      <c r="Y11292" s="2"/>
      <c r="Z11292" s="2"/>
    </row>
    <row r="11293" spans="1:26" ht="16.5" x14ac:dyDescent="0.35">
      <c r="A11293" s="2" t="str">
        <f ca="1">IFERROR(__xludf.DUMMYFUNCTION("""COMPUTED_VALUE"""),"Abu Dhabi")</f>
        <v>Abu Dhabi</v>
      </c>
      <c r="B11293" s="2" t="str">
        <f ca="1">IFERROR(__xludf.DUMMYFUNCTION("""COMPUTED_VALUE"""),"Mohamed Bin Zayed Centre")</f>
        <v>Mohamed Bin Zayed Centre</v>
      </c>
      <c r="C11293" s="2" t="str">
        <f ca="1">IFERROR(__xludf.DUMMYFUNCTION("""COMPUTED_VALUE"""),"Building")</f>
        <v>Building</v>
      </c>
      <c r="D11293" s="2" t="str">
        <f ca="1">IFERROR(__xludf.DUMMYFUNCTION("""COMPUTED_VALUE"""),"Abu Dhabi&gt;Mohamed Bin Zayed City&gt;Mohamed Bin Zayed Centre")</f>
        <v>Abu Dhabi&gt;Mohamed Bin Zayed City&gt;Mohamed Bin Zayed Centre</v>
      </c>
      <c r="E11293" s="2"/>
      <c r="F11293" s="2"/>
      <c r="G11293" s="2"/>
      <c r="H11293" s="2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2"/>
      <c r="T11293" s="2"/>
      <c r="U11293" s="2"/>
      <c r="V11293" s="2"/>
      <c r="W11293" s="2"/>
      <c r="X11293" s="2"/>
      <c r="Y11293" s="2"/>
      <c r="Z11293" s="2"/>
    </row>
    <row r="11294" spans="1:26" ht="16.5" x14ac:dyDescent="0.35">
      <c r="A11294" s="2" t="str">
        <f ca="1">IFERROR(__xludf.DUMMYFUNCTION("""COMPUTED_VALUE"""),"Abu Dhabi")</f>
        <v>Abu Dhabi</v>
      </c>
      <c r="B11294" s="2" t="str">
        <f ca="1">IFERROR(__xludf.DUMMYFUNCTION("""COMPUTED_VALUE"""),"Building 44")</f>
        <v>Building 44</v>
      </c>
      <c r="C11294" s="2" t="str">
        <f ca="1">IFERROR(__xludf.DUMMYFUNCTION("""COMPUTED_VALUE"""),"Building")</f>
        <v>Building</v>
      </c>
      <c r="D11294" s="2" t="str">
        <f ca="1">IFERROR(__xludf.DUMMYFUNCTION("""COMPUTED_VALUE"""),"Abu Dhabi&gt;Al Reef&gt;Al Reef Downtown&gt;Building 44")</f>
        <v>Abu Dhabi&gt;Al Reef&gt;Al Reef Downtown&gt;Building 44</v>
      </c>
      <c r="E11294" s="2"/>
      <c r="F11294" s="2"/>
      <c r="G11294" s="2"/>
      <c r="H11294" s="2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2"/>
      <c r="T11294" s="2"/>
      <c r="U11294" s="2"/>
      <c r="V11294" s="2"/>
      <c r="W11294" s="2"/>
      <c r="X11294" s="2"/>
      <c r="Y11294" s="2"/>
      <c r="Z11294" s="2"/>
    </row>
    <row r="11295" spans="1:26" ht="16.5" x14ac:dyDescent="0.35">
      <c r="A11295" s="2" t="str">
        <f ca="1">IFERROR(__xludf.DUMMYFUNCTION("""COMPUTED_VALUE"""),"Abu Dhabi")</f>
        <v>Abu Dhabi</v>
      </c>
      <c r="B11295" s="2" t="str">
        <f ca="1">IFERROR(__xludf.DUMMYFUNCTION("""COMPUTED_VALUE"""),"Sas Al Nakhl Village")</f>
        <v>Sas Al Nakhl Village</v>
      </c>
      <c r="C11295" s="2" t="str">
        <f ca="1">IFERROR(__xludf.DUMMYFUNCTION("""COMPUTED_VALUE"""),"Neighbourhood")</f>
        <v>Neighbourhood</v>
      </c>
      <c r="D11295" s="2" t="str">
        <f ca="1">IFERROR(__xludf.DUMMYFUNCTION("""COMPUTED_VALUE"""),"Abu Dhabi&gt;Sas Al Nakhl Village")</f>
        <v>Abu Dhabi&gt;Sas Al Nakhl Village</v>
      </c>
      <c r="E11295" s="2"/>
      <c r="F11295" s="2"/>
      <c r="G11295" s="2"/>
      <c r="H11295" s="2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2"/>
      <c r="T11295" s="2"/>
      <c r="U11295" s="2"/>
      <c r="V11295" s="2"/>
      <c r="W11295" s="2"/>
      <c r="X11295" s="2"/>
      <c r="Y11295" s="2"/>
      <c r="Z11295" s="2"/>
    </row>
    <row r="11296" spans="1:26" ht="16.5" x14ac:dyDescent="0.35">
      <c r="A11296" s="2" t="str">
        <f ca="1">IFERROR(__xludf.DUMMYFUNCTION("""COMPUTED_VALUE"""),"Abu Dhabi")</f>
        <v>Abu Dhabi</v>
      </c>
      <c r="B11296" s="2" t="str">
        <f ca="1">IFERROR(__xludf.DUMMYFUNCTION("""COMPUTED_VALUE"""),"Al Noor Tower")</f>
        <v>Al Noor Tower</v>
      </c>
      <c r="C11296" s="2" t="str">
        <f ca="1">IFERROR(__xludf.DUMMYFUNCTION("""COMPUTED_VALUE"""),"Building")</f>
        <v>Building</v>
      </c>
      <c r="D11296" s="2" t="str">
        <f ca="1">IFERROR(__xludf.DUMMYFUNCTION("""COMPUTED_VALUE"""),"Abu Dhabi&gt;Sheikh Khalifa Bin Zayed Street&gt;Al Noor Tower")</f>
        <v>Abu Dhabi&gt;Sheikh Khalifa Bin Zayed Street&gt;Al Noor Tower</v>
      </c>
      <c r="E11296" s="2"/>
      <c r="F11296" s="2"/>
      <c r="G11296" s="2"/>
      <c r="H11296" s="2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2"/>
      <c r="T11296" s="2"/>
      <c r="U11296" s="2"/>
      <c r="V11296" s="2"/>
      <c r="W11296" s="2"/>
      <c r="X11296" s="2"/>
      <c r="Y11296" s="2"/>
      <c r="Z11296" s="2"/>
    </row>
    <row r="11297" spans="1:26" ht="16.5" x14ac:dyDescent="0.35">
      <c r="A11297" s="2" t="str">
        <f ca="1">IFERROR(__xludf.DUMMYFUNCTION("""COMPUTED_VALUE"""),"Abu Dhabi")</f>
        <v>Abu Dhabi</v>
      </c>
      <c r="B11297" s="2" t="str">
        <f ca="1">IFERROR(__xludf.DUMMYFUNCTION("""COMPUTED_VALUE"""),"Zayed Military City Tower 1")</f>
        <v>Zayed Military City Tower 1</v>
      </c>
      <c r="C11297" s="2" t="str">
        <f ca="1">IFERROR(__xludf.DUMMYFUNCTION("""COMPUTED_VALUE"""),"Building")</f>
        <v>Building</v>
      </c>
      <c r="D11297" s="2" t="str">
        <f ca="1">IFERROR(__xludf.DUMMYFUNCTION("""COMPUTED_VALUE"""),"Abu Dhabi&gt;Zayed Military City&gt;Zayed Military City Tower 1")</f>
        <v>Abu Dhabi&gt;Zayed Military City&gt;Zayed Military City Tower 1</v>
      </c>
      <c r="E11297" s="2"/>
      <c r="F11297" s="2"/>
      <c r="G11297" s="2"/>
      <c r="H11297" s="2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2"/>
      <c r="T11297" s="2"/>
      <c r="U11297" s="2"/>
      <c r="V11297" s="2"/>
      <c r="W11297" s="2"/>
      <c r="X11297" s="2"/>
      <c r="Y11297" s="2"/>
      <c r="Z11297" s="2"/>
    </row>
    <row r="11298" spans="1:26" ht="16.5" x14ac:dyDescent="0.35">
      <c r="A11298" s="2" t="str">
        <f ca="1">IFERROR(__xludf.DUMMYFUNCTION("""COMPUTED_VALUE"""),"Abu Dhabi")</f>
        <v>Abu Dhabi</v>
      </c>
      <c r="B11298" s="2" t="str">
        <f ca="1">IFERROR(__xludf.DUMMYFUNCTION("""COMPUTED_VALUE"""),"Diva")</f>
        <v>Diva</v>
      </c>
      <c r="C11298" s="2" t="str">
        <f ca="1">IFERROR(__xludf.DUMMYFUNCTION("""COMPUTED_VALUE"""),"Building")</f>
        <v>Building</v>
      </c>
      <c r="D11298" s="2" t="str">
        <f ca="1">IFERROR(__xludf.DUMMYFUNCTION("""COMPUTED_VALUE"""),"Abu Dhabi&gt;Yas Island&gt;Diva")</f>
        <v>Abu Dhabi&gt;Yas Island&gt;Diva</v>
      </c>
      <c r="E11298" s="2"/>
      <c r="F11298" s="2"/>
      <c r="G11298" s="2"/>
      <c r="H11298" s="2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2"/>
      <c r="T11298" s="2"/>
      <c r="U11298" s="2"/>
      <c r="V11298" s="2"/>
      <c r="W11298" s="2"/>
      <c r="X11298" s="2"/>
      <c r="Y11298" s="2"/>
      <c r="Z11298" s="2"/>
    </row>
    <row r="11299" spans="1:26" ht="16.5" x14ac:dyDescent="0.35">
      <c r="A11299" s="2" t="str">
        <f ca="1">IFERROR(__xludf.DUMMYFUNCTION("""COMPUTED_VALUE"""),"Abu Dhabi")</f>
        <v>Abu Dhabi</v>
      </c>
      <c r="B11299" s="2" t="str">
        <f ca="1">IFERROR(__xludf.DUMMYFUNCTION("""COMPUTED_VALUE"""),"Residences E")</f>
        <v>Residences E</v>
      </c>
      <c r="C11299" s="2" t="str">
        <f ca="1">IFERROR(__xludf.DUMMYFUNCTION("""COMPUTED_VALUE"""),"Building")</f>
        <v>Building</v>
      </c>
      <c r="D11299" s="2" t="str">
        <f ca="1">IFERROR(__xludf.DUMMYFUNCTION("""COMPUTED_VALUE"""),"Abu Dhabi&gt;Yas Island&gt;Yas Golf Collection&gt;Residences E")</f>
        <v>Abu Dhabi&gt;Yas Island&gt;Yas Golf Collection&gt;Residences E</v>
      </c>
      <c r="E11299" s="2"/>
      <c r="F11299" s="2"/>
      <c r="G11299" s="2"/>
      <c r="H11299" s="2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2"/>
      <c r="T11299" s="2"/>
      <c r="U11299" s="2"/>
      <c r="V11299" s="2"/>
      <c r="W11299" s="2"/>
      <c r="X11299" s="2"/>
      <c r="Y11299" s="2"/>
      <c r="Z11299" s="2"/>
    </row>
    <row r="11300" spans="1:26" ht="16.5" x14ac:dyDescent="0.35">
      <c r="A11300" s="2" t="str">
        <f ca="1">IFERROR(__xludf.DUMMYFUNCTION("""COMPUTED_VALUE"""),"Abu Dhabi")</f>
        <v>Abu Dhabi</v>
      </c>
      <c r="B11300" s="2" t="str">
        <f ca="1">IFERROR(__xludf.DUMMYFUNCTION("""COMPUTED_VALUE"""),"Nawayef Park Views")</f>
        <v>Nawayef Park Views</v>
      </c>
      <c r="C11300" s="2" t="str">
        <f ca="1">IFERROR(__xludf.DUMMYFUNCTION("""COMPUTED_VALUE"""),"Cluster")</f>
        <v>Cluster</v>
      </c>
      <c r="D11300" s="2" t="str">
        <f ca="1">IFERROR(__xludf.DUMMYFUNCTION("""COMPUTED_VALUE"""),"Abu Dhabi&gt;Al Hudayriat Island&gt;Nawayef Park Views")</f>
        <v>Abu Dhabi&gt;Al Hudayriat Island&gt;Nawayef Park Views</v>
      </c>
      <c r="E11300" s="2"/>
      <c r="F11300" s="2"/>
      <c r="G11300" s="2"/>
      <c r="H11300" s="2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2"/>
      <c r="T11300" s="2"/>
      <c r="U11300" s="2"/>
      <c r="V11300" s="2"/>
      <c r="W11300" s="2"/>
      <c r="X11300" s="2"/>
      <c r="Y11300" s="2"/>
      <c r="Z11300" s="2"/>
    </row>
    <row r="11301" spans="1:26" ht="16.5" x14ac:dyDescent="0.35">
      <c r="A11301" s="2" t="str">
        <f ca="1">IFERROR(__xludf.DUMMYFUNCTION("""COMPUTED_VALUE"""),"Abu Dhabi")</f>
        <v>Abu Dhabi</v>
      </c>
      <c r="B11301" s="2" t="str">
        <f ca="1">IFERROR(__xludf.DUMMYFUNCTION("""COMPUTED_VALUE"""),"SH7")</f>
        <v>SH7</v>
      </c>
      <c r="C11301" s="2" t="str">
        <f ca="1">IFERROR(__xludf.DUMMYFUNCTION("""COMPUTED_VALUE"""),"Neighbourhood")</f>
        <v>Neighbourhood</v>
      </c>
      <c r="D11301" s="2" t="str">
        <f ca="1">IFERROR(__xludf.DUMMYFUNCTION("""COMPUTED_VALUE"""),"Abu Dhabi&gt;Al Shamkha&gt;SH7")</f>
        <v>Abu Dhabi&gt;Al Shamkha&gt;SH7</v>
      </c>
      <c r="E11301" s="2"/>
      <c r="F11301" s="2"/>
      <c r="G11301" s="2"/>
      <c r="H11301" s="2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2"/>
      <c r="T11301" s="2"/>
      <c r="U11301" s="2"/>
      <c r="V11301" s="2"/>
      <c r="W11301" s="2"/>
      <c r="X11301" s="2"/>
      <c r="Y11301" s="2"/>
      <c r="Z11301" s="2"/>
    </row>
    <row r="11302" spans="1:26" ht="16.5" x14ac:dyDescent="0.35">
      <c r="A11302" s="2" t="str">
        <f ca="1">IFERROR(__xludf.DUMMYFUNCTION("""COMPUTED_VALUE"""),"Ajman")</f>
        <v>Ajman</v>
      </c>
      <c r="B11302" s="2" t="str">
        <f ca="1">IFERROR(__xludf.DUMMYFUNCTION("""COMPUTED_VALUE"""),"City School Ajman")</f>
        <v>City School Ajman</v>
      </c>
      <c r="C11302" s="2" t="str">
        <f ca="1">IFERROR(__xludf.DUMMYFUNCTION("""COMPUTED_VALUE"""),"School")</f>
        <v>School</v>
      </c>
      <c r="D11302" s="2" t="str">
        <f ca="1">IFERROR(__xludf.DUMMYFUNCTION("""COMPUTED_VALUE"""),"Ajman&gt;Al Tallah 2&gt;City School Ajman")</f>
        <v>Ajman&gt;Al Tallah 2&gt;City School Ajman</v>
      </c>
      <c r="E11302" s="2"/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  <c r="V11302" s="2"/>
      <c r="W11302" s="2"/>
      <c r="X11302" s="2"/>
      <c r="Y11302" s="2"/>
      <c r="Z11302" s="2"/>
    </row>
    <row r="11303" spans="1:26" ht="16.5" x14ac:dyDescent="0.35">
      <c r="A11303" s="2" t="str">
        <f ca="1">IFERROR(__xludf.DUMMYFUNCTION("""COMPUTED_VALUE"""),"Ajman")</f>
        <v>Ajman</v>
      </c>
      <c r="B11303" s="2" t="str">
        <f ca="1">IFERROR(__xludf.DUMMYFUNCTION("""COMPUTED_VALUE"""),"Chapal The Harmony")</f>
        <v>Chapal The Harmony</v>
      </c>
      <c r="C11303" s="2" t="str">
        <f ca="1">IFERROR(__xludf.DUMMYFUNCTION("""COMPUTED_VALUE"""),"Building")</f>
        <v>Building</v>
      </c>
      <c r="D11303" s="2" t="str">
        <f ca="1">IFERROR(__xludf.DUMMYFUNCTION("""COMPUTED_VALUE"""),"Ajman&gt;Emirates City&gt;Chapal The Harmony")</f>
        <v>Ajman&gt;Emirates City&gt;Chapal The Harmony</v>
      </c>
      <c r="E11303" s="2"/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  <c r="V11303" s="2"/>
      <c r="W11303" s="2"/>
      <c r="X11303" s="2"/>
      <c r="Y11303" s="2"/>
      <c r="Z11303" s="2"/>
    </row>
    <row r="11304" spans="1:26" ht="16.5" x14ac:dyDescent="0.35">
      <c r="A11304" s="2" t="str">
        <f ca="1">IFERROR(__xludf.DUMMYFUNCTION("""COMPUTED_VALUE"""),"Ajman")</f>
        <v>Ajman</v>
      </c>
      <c r="B11304" s="2" t="str">
        <f ca="1">IFERROR(__xludf.DUMMYFUNCTION("""COMPUTED_VALUE"""),"Money Tower")</f>
        <v>Money Tower</v>
      </c>
      <c r="C11304" s="2" t="str">
        <f ca="1">IFERROR(__xludf.DUMMYFUNCTION("""COMPUTED_VALUE"""),"Building")</f>
        <v>Building</v>
      </c>
      <c r="D11304" s="2" t="str">
        <f ca="1">IFERROR(__xludf.DUMMYFUNCTION("""COMPUTED_VALUE"""),"Ajman&gt;Emirates City&gt;Money Tower")</f>
        <v>Ajman&gt;Emirates City&gt;Money Tower</v>
      </c>
      <c r="E11304" s="2"/>
      <c r="F11304" s="2"/>
      <c r="G11304" s="2"/>
      <c r="H11304" s="2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2"/>
      <c r="T11304" s="2"/>
      <c r="U11304" s="2"/>
      <c r="V11304" s="2"/>
      <c r="W11304" s="2"/>
      <c r="X11304" s="2"/>
      <c r="Y11304" s="2"/>
      <c r="Z11304" s="2"/>
    </row>
    <row r="11305" spans="1:26" ht="16.5" x14ac:dyDescent="0.35">
      <c r="A11305" s="2" t="str">
        <f ca="1">IFERROR(__xludf.DUMMYFUNCTION("""COMPUTED_VALUE"""),"Ajman")</f>
        <v>Ajman</v>
      </c>
      <c r="B11305" s="2" t="str">
        <f ca="1">IFERROR(__xludf.DUMMYFUNCTION("""COMPUTED_VALUE"""),"Al Jurf Industrial 2")</f>
        <v>Al Jurf Industrial 2</v>
      </c>
      <c r="C11305" s="2" t="str">
        <f ca="1">IFERROR(__xludf.DUMMYFUNCTION("""COMPUTED_VALUE"""),"Neighbourhood")</f>
        <v>Neighbourhood</v>
      </c>
      <c r="D11305" s="2" t="str">
        <f ca="1">IFERROR(__xludf.DUMMYFUNCTION("""COMPUTED_VALUE"""),"Ajman&gt;Al Jurf&gt;Al Jurf Industrial Area&gt;Al Jurf Industrial 2")</f>
        <v>Ajman&gt;Al Jurf&gt;Al Jurf Industrial Area&gt;Al Jurf Industrial 2</v>
      </c>
      <c r="E11305" s="2"/>
      <c r="F11305" s="2"/>
      <c r="G11305" s="2"/>
      <c r="H11305" s="2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2"/>
      <c r="T11305" s="2"/>
      <c r="U11305" s="2"/>
      <c r="V11305" s="2"/>
      <c r="W11305" s="2"/>
      <c r="X11305" s="2"/>
      <c r="Y11305" s="2"/>
      <c r="Z11305" s="2"/>
    </row>
    <row r="11306" spans="1:26" ht="16.5" x14ac:dyDescent="0.35">
      <c r="A11306" s="2" t="str">
        <f ca="1">IFERROR(__xludf.DUMMYFUNCTION("""COMPUTED_VALUE"""),"Ajman")</f>
        <v>Ajman</v>
      </c>
      <c r="B11306" s="2" t="str">
        <f ca="1">IFERROR(__xludf.DUMMYFUNCTION("""COMPUTED_VALUE"""),"Chubby Cheeks Ajman")</f>
        <v>Chubby Cheeks Ajman</v>
      </c>
      <c r="C11306" s="2" t="str">
        <f ca="1">IFERROR(__xludf.DUMMYFUNCTION("""COMPUTED_VALUE"""),"School")</f>
        <v>School</v>
      </c>
      <c r="D11306" s="2" t="str">
        <f ca="1">IFERROR(__xludf.DUMMYFUNCTION("""COMPUTED_VALUE"""),"Ajman&gt;Al Rumaila&gt;Chubby Cheeks Ajman")</f>
        <v>Ajman&gt;Al Rumaila&gt;Chubby Cheeks Ajman</v>
      </c>
      <c r="E11306" s="2"/>
      <c r="F11306" s="2"/>
      <c r="G11306" s="2"/>
      <c r="H11306" s="2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2"/>
      <c r="T11306" s="2"/>
      <c r="U11306" s="2"/>
      <c r="V11306" s="2"/>
      <c r="W11306" s="2"/>
      <c r="X11306" s="2"/>
      <c r="Y11306" s="2"/>
      <c r="Z11306" s="2"/>
    </row>
    <row r="11307" spans="1:26" ht="16.5" x14ac:dyDescent="0.35">
      <c r="A11307" s="2" t="str">
        <f ca="1">IFERROR(__xludf.DUMMYFUNCTION("""COMPUTED_VALUE"""),"Ajman")</f>
        <v>Ajman</v>
      </c>
      <c r="B11307" s="2" t="str">
        <f ca="1">IFERROR(__xludf.DUMMYFUNCTION("""COMPUTED_VALUE"""),"Al Samar Building")</f>
        <v>Al Samar Building</v>
      </c>
      <c r="C11307" s="2"/>
      <c r="D11307" s="2" t="str">
        <f ca="1">IFERROR(__xludf.DUMMYFUNCTION("""COMPUTED_VALUE"""),"Ajman&gt;Al Rashidiya&gt;Al Rashidiya 2&gt;Al Samar Building")</f>
        <v>Ajman&gt;Al Rashidiya&gt;Al Rashidiya 2&gt;Al Samar Building</v>
      </c>
      <c r="E11307" s="2"/>
      <c r="F11307" s="2"/>
      <c r="G11307" s="2"/>
      <c r="H11307" s="2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2"/>
      <c r="T11307" s="2"/>
      <c r="U11307" s="2"/>
      <c r="V11307" s="2"/>
      <c r="W11307" s="2"/>
      <c r="X11307" s="2"/>
      <c r="Y11307" s="2"/>
      <c r="Z11307" s="2"/>
    </row>
    <row r="11308" spans="1:26" ht="16.5" x14ac:dyDescent="0.35">
      <c r="A11308" s="2" t="str">
        <f ca="1">IFERROR(__xludf.DUMMYFUNCTION("""COMPUTED_VALUE"""),"Ajman")</f>
        <v>Ajman</v>
      </c>
      <c r="B11308" s="2" t="str">
        <f ca="1">IFERROR(__xludf.DUMMYFUNCTION("""COMPUTED_VALUE"""),"Uzair Building")</f>
        <v>Uzair Building</v>
      </c>
      <c r="C11308" s="2" t="str">
        <f ca="1">IFERROR(__xludf.DUMMYFUNCTION("""COMPUTED_VALUE"""),"Building")</f>
        <v>Building</v>
      </c>
      <c r="D11308" s="2" t="str">
        <f ca="1">IFERROR(__xludf.DUMMYFUNCTION("""COMPUTED_VALUE"""),"Ajman&gt;Al Rawda&gt;Al Rawda 3&gt;Uzair Building")</f>
        <v>Ajman&gt;Al Rawda&gt;Al Rawda 3&gt;Uzair Building</v>
      </c>
      <c r="E11308" s="2"/>
      <c r="F11308" s="2"/>
      <c r="G11308" s="2"/>
      <c r="H11308" s="2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2"/>
      <c r="T11308" s="2"/>
      <c r="U11308" s="2"/>
      <c r="V11308" s="2"/>
      <c r="W11308" s="2"/>
      <c r="X11308" s="2"/>
      <c r="Y11308" s="2"/>
      <c r="Z11308" s="2"/>
    </row>
    <row r="11309" spans="1:26" ht="16.5" x14ac:dyDescent="0.35">
      <c r="A11309" s="2" t="str">
        <f ca="1">IFERROR(__xludf.DUMMYFUNCTION("""COMPUTED_VALUE"""),"Ajman")</f>
        <v>Ajman</v>
      </c>
      <c r="B11309" s="2" t="str">
        <f ca="1">IFERROR(__xludf.DUMMYFUNCTION("""COMPUTED_VALUE"""),"The Black Square")</f>
        <v>The Black Square</v>
      </c>
      <c r="C11309" s="2"/>
      <c r="D11309" s="2" t="str">
        <f ca="1">IFERROR(__xludf.DUMMYFUNCTION("""COMPUTED_VALUE"""),"Ajman&gt;Sheikh Khalifa Bin Zayed Street&gt;The Black Square")</f>
        <v>Ajman&gt;Sheikh Khalifa Bin Zayed Street&gt;The Black Square</v>
      </c>
      <c r="E11309" s="2"/>
      <c r="F11309" s="2"/>
      <c r="G11309" s="2"/>
      <c r="H11309" s="2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2"/>
      <c r="T11309" s="2"/>
      <c r="U11309" s="2"/>
      <c r="V11309" s="2"/>
      <c r="W11309" s="2"/>
      <c r="X11309" s="2"/>
      <c r="Y11309" s="2"/>
      <c r="Z11309" s="2"/>
    </row>
    <row r="11310" spans="1:26" ht="16.5" x14ac:dyDescent="0.35">
      <c r="A11310" s="2" t="str">
        <f ca="1">IFERROR(__xludf.DUMMYFUNCTION("""COMPUTED_VALUE"""),"Ajman")</f>
        <v>Ajman</v>
      </c>
      <c r="B11310" s="2" t="str">
        <f ca="1">IFERROR(__xludf.DUMMYFUNCTION("""COMPUTED_VALUE"""),"Dio Twin Tower")</f>
        <v>Dio Twin Tower</v>
      </c>
      <c r="C11310" s="2" t="str">
        <f ca="1">IFERROR(__xludf.DUMMYFUNCTION("""COMPUTED_VALUE"""),"Building")</f>
        <v>Building</v>
      </c>
      <c r="D11310" s="2" t="str">
        <f ca="1">IFERROR(__xludf.DUMMYFUNCTION("""COMPUTED_VALUE"""),"Ajman&gt;Marmooka City&gt;Dio Twin Tower")</f>
        <v>Ajman&gt;Marmooka City&gt;Dio Twin Tower</v>
      </c>
      <c r="E11310" s="2"/>
      <c r="F11310" s="2"/>
      <c r="G11310" s="2"/>
      <c r="H11310" s="2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2"/>
      <c r="T11310" s="2"/>
      <c r="U11310" s="2"/>
      <c r="V11310" s="2"/>
      <c r="W11310" s="2"/>
      <c r="X11310" s="2"/>
      <c r="Y11310" s="2"/>
      <c r="Z11310" s="2"/>
    </row>
    <row r="11311" spans="1:26" ht="16.5" x14ac:dyDescent="0.35">
      <c r="A11311" s="2" t="str">
        <f ca="1">IFERROR(__xludf.DUMMYFUNCTION("""COMPUTED_VALUE"""),"Ajman")</f>
        <v>Ajman</v>
      </c>
      <c r="B11311" s="2" t="str">
        <f ca="1">IFERROR(__xludf.DUMMYFUNCTION("""COMPUTED_VALUE"""),"Gateway")</f>
        <v>Gateway</v>
      </c>
      <c r="C11311" s="2" t="str">
        <f ca="1">IFERROR(__xludf.DUMMYFUNCTION("""COMPUTED_VALUE"""),"Building")</f>
        <v>Building</v>
      </c>
      <c r="D11311" s="2" t="str">
        <f ca="1">IFERROR(__xludf.DUMMYFUNCTION("""COMPUTED_VALUE"""),"Ajman&gt;Al Zorah&gt;Gateway")</f>
        <v>Ajman&gt;Al Zorah&gt;Gateway</v>
      </c>
      <c r="E11311" s="2"/>
      <c r="F11311" s="2"/>
      <c r="G11311" s="2"/>
      <c r="H11311" s="2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2"/>
      <c r="T11311" s="2"/>
      <c r="U11311" s="2"/>
      <c r="V11311" s="2"/>
      <c r="W11311" s="2"/>
      <c r="X11311" s="2"/>
      <c r="Y11311" s="2"/>
      <c r="Z11311" s="2"/>
    </row>
    <row r="11312" spans="1:26" ht="16.5" x14ac:dyDescent="0.35">
      <c r="A11312" s="2" t="str">
        <f ca="1">IFERROR(__xludf.DUMMYFUNCTION("""COMPUTED_VALUE"""),"Ajman")</f>
        <v>Ajman</v>
      </c>
      <c r="B11312" s="2" t="str">
        <f ca="1">IFERROR(__xludf.DUMMYFUNCTION("""COMPUTED_VALUE"""),"Blossom Tower")</f>
        <v>Blossom Tower</v>
      </c>
      <c r="C11312" s="2" t="str">
        <f ca="1">IFERROR(__xludf.DUMMYFUNCTION("""COMPUTED_VALUE"""),"Building")</f>
        <v>Building</v>
      </c>
      <c r="D11312" s="2" t="str">
        <f ca="1">IFERROR(__xludf.DUMMYFUNCTION("""COMPUTED_VALUE"""),"Ajman&gt;Al Humaid City&gt;Blossom Tower")</f>
        <v>Ajman&gt;Al Humaid City&gt;Blossom Tower</v>
      </c>
      <c r="E11312" s="2"/>
      <c r="F11312" s="2"/>
      <c r="G11312" s="2"/>
      <c r="H11312" s="2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2"/>
      <c r="T11312" s="2"/>
      <c r="U11312" s="2"/>
      <c r="V11312" s="2"/>
      <c r="W11312" s="2"/>
      <c r="X11312" s="2"/>
      <c r="Y11312" s="2"/>
      <c r="Z11312" s="2"/>
    </row>
    <row r="11313" spans="1:26" ht="16.5" x14ac:dyDescent="0.35">
      <c r="A11313" s="2" t="str">
        <f ca="1">IFERROR(__xludf.DUMMYFUNCTION("""COMPUTED_VALUE"""),"Ajman")</f>
        <v>Ajman</v>
      </c>
      <c r="B11313" s="2" t="str">
        <f ca="1">IFERROR(__xludf.DUMMYFUNCTION("""COMPUTED_VALUE"""),"Jasmine Towers")</f>
        <v>Jasmine Towers</v>
      </c>
      <c r="C11313" s="2"/>
      <c r="D11313" s="2" t="str">
        <f ca="1">IFERROR(__xludf.DUMMYFUNCTION("""COMPUTED_VALUE"""),"Ajman&gt;Garden City&gt;Jasmine Towers")</f>
        <v>Ajman&gt;Garden City&gt;Jasmine Towers</v>
      </c>
      <c r="E11313" s="2"/>
      <c r="F11313" s="2"/>
      <c r="G11313" s="2"/>
      <c r="H11313" s="2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2"/>
      <c r="T11313" s="2"/>
      <c r="U11313" s="2"/>
      <c r="V11313" s="2"/>
      <c r="W11313" s="2"/>
      <c r="X11313" s="2"/>
      <c r="Y11313" s="2"/>
      <c r="Z11313" s="2"/>
    </row>
    <row r="11314" spans="1:26" ht="16.5" x14ac:dyDescent="0.35">
      <c r="A11314" s="2" t="str">
        <f ca="1">IFERROR(__xludf.DUMMYFUNCTION("""COMPUTED_VALUE"""),"Ajman")</f>
        <v>Ajman</v>
      </c>
      <c r="B11314" s="2" t="str">
        <f ca="1">IFERROR(__xludf.DUMMYFUNCTION("""COMPUTED_VALUE"""),"Al Shawi 2")</f>
        <v>Al Shawi 2</v>
      </c>
      <c r="C11314" s="2"/>
      <c r="D11314" s="2" t="str">
        <f ca="1">IFERROR(__xludf.DUMMYFUNCTION("""COMPUTED_VALUE"""),"Ajman&gt;Al Nuaimiya&gt;Al Nuaimiya 2&gt;Al Shawi 2")</f>
        <v>Ajman&gt;Al Nuaimiya&gt;Al Nuaimiya 2&gt;Al Shawi 2</v>
      </c>
      <c r="E11314" s="2"/>
      <c r="F11314" s="2"/>
      <c r="G11314" s="2"/>
      <c r="H11314" s="2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2"/>
      <c r="T11314" s="2"/>
      <c r="U11314" s="2"/>
      <c r="V11314" s="2"/>
      <c r="W11314" s="2"/>
      <c r="X11314" s="2"/>
      <c r="Y11314" s="2"/>
      <c r="Z11314" s="2"/>
    </row>
    <row r="11315" spans="1:26" ht="16.5" x14ac:dyDescent="0.35">
      <c r="A11315" s="2" t="str">
        <f ca="1">IFERROR(__xludf.DUMMYFUNCTION("""COMPUTED_VALUE"""),"Sharjah")</f>
        <v>Sharjah</v>
      </c>
      <c r="B11315" s="2" t="str">
        <f ca="1">IFERROR(__xludf.DUMMYFUNCTION("""COMPUTED_VALUE"""),"Al Rayyan Complex")</f>
        <v>Al Rayyan Complex</v>
      </c>
      <c r="C11315" s="2"/>
      <c r="D11315" s="2" t="str">
        <f ca="1">IFERROR(__xludf.DUMMYFUNCTION("""COMPUTED_VALUE"""),"Sharjah&gt;Al Nahda (Sharjah)&gt;Al Rayyan Complex")</f>
        <v>Sharjah&gt;Al Nahda (Sharjah)&gt;Al Rayyan Complex</v>
      </c>
      <c r="E11315" s="2"/>
      <c r="F11315" s="2"/>
      <c r="G11315" s="2"/>
      <c r="H11315" s="2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2"/>
      <c r="T11315" s="2"/>
      <c r="U11315" s="2"/>
      <c r="V11315" s="2"/>
      <c r="W11315" s="2"/>
      <c r="X11315" s="2"/>
      <c r="Y11315" s="2"/>
      <c r="Z11315" s="2"/>
    </row>
    <row r="11316" spans="1:26" ht="16.5" x14ac:dyDescent="0.35">
      <c r="A11316" s="2" t="str">
        <f ca="1">IFERROR(__xludf.DUMMYFUNCTION("""COMPUTED_VALUE"""),"Sharjah")</f>
        <v>Sharjah</v>
      </c>
      <c r="B11316" s="2" t="str">
        <f ca="1">IFERROR(__xludf.DUMMYFUNCTION("""COMPUTED_VALUE"""),"Al Qadesia")</f>
        <v>Al Qadesia</v>
      </c>
      <c r="C11316" s="2"/>
      <c r="D11316" s="2" t="str">
        <f ca="1">IFERROR(__xludf.DUMMYFUNCTION("""COMPUTED_VALUE"""),"Sharjah&gt;Al Nahda (Sharjah)&gt;Al Qadesia")</f>
        <v>Sharjah&gt;Al Nahda (Sharjah)&gt;Al Qadesia</v>
      </c>
      <c r="E11316" s="2"/>
      <c r="F11316" s="2"/>
      <c r="G11316" s="2"/>
      <c r="H11316" s="2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2"/>
      <c r="T11316" s="2"/>
      <c r="U11316" s="2"/>
      <c r="V11316" s="2"/>
      <c r="W11316" s="2"/>
      <c r="X11316" s="2"/>
      <c r="Y11316" s="2"/>
      <c r="Z11316" s="2"/>
    </row>
    <row r="11317" spans="1:26" ht="16.5" x14ac:dyDescent="0.35">
      <c r="A11317" s="2" t="str">
        <f ca="1">IFERROR(__xludf.DUMMYFUNCTION("""COMPUTED_VALUE"""),"Sharjah")</f>
        <v>Sharjah</v>
      </c>
      <c r="B11317" s="2" t="str">
        <f ca="1">IFERROR(__xludf.DUMMYFUNCTION("""COMPUTED_VALUE"""),"Al Reef Tower 2")</f>
        <v>Al Reef Tower 2</v>
      </c>
      <c r="C11317" s="2" t="str">
        <f ca="1">IFERROR(__xludf.DUMMYFUNCTION("""COMPUTED_VALUE"""),"Building")</f>
        <v>Building</v>
      </c>
      <c r="D11317" s="2" t="str">
        <f ca="1">IFERROR(__xludf.DUMMYFUNCTION("""COMPUTED_VALUE"""),"Sharjah&gt;Al Nahda (Sharjah)&gt;Al Reef Tower 2")</f>
        <v>Sharjah&gt;Al Nahda (Sharjah)&gt;Al Reef Tower 2</v>
      </c>
      <c r="E11317" s="2"/>
      <c r="F11317" s="2"/>
      <c r="G11317" s="2"/>
      <c r="H11317" s="2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2"/>
      <c r="T11317" s="2"/>
      <c r="U11317" s="2"/>
      <c r="V11317" s="2"/>
      <c r="W11317" s="2"/>
      <c r="X11317" s="2"/>
      <c r="Y11317" s="2"/>
      <c r="Z11317" s="2"/>
    </row>
    <row r="11318" spans="1:26" ht="16.5" x14ac:dyDescent="0.35">
      <c r="A11318" s="2" t="str">
        <f ca="1">IFERROR(__xludf.DUMMYFUNCTION("""COMPUTED_VALUE"""),"Sharjah")</f>
        <v>Sharjah</v>
      </c>
      <c r="B11318" s="2" t="str">
        <f ca="1">IFERROR(__xludf.DUMMYFUNCTION("""COMPUTED_VALUE"""),"Faisal Towers")</f>
        <v>Faisal Towers</v>
      </c>
      <c r="C11318" s="2"/>
      <c r="D11318" s="2" t="str">
        <f ca="1">IFERROR(__xludf.DUMMYFUNCTION("""COMPUTED_VALUE"""),"Sharjah&gt;Al Nahda (Sharjah)&gt;Faisal Towers")</f>
        <v>Sharjah&gt;Al Nahda (Sharjah)&gt;Faisal Towers</v>
      </c>
      <c r="E11318" s="2"/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  <c r="V11318" s="2"/>
      <c r="W11318" s="2"/>
      <c r="X11318" s="2"/>
      <c r="Y11318" s="2"/>
      <c r="Z11318" s="2"/>
    </row>
    <row r="11319" spans="1:26" ht="16.5" x14ac:dyDescent="0.35">
      <c r="A11319" s="2" t="str">
        <f ca="1">IFERROR(__xludf.DUMMYFUNCTION("""COMPUTED_VALUE"""),"Sharjah")</f>
        <v>Sharjah</v>
      </c>
      <c r="B11319" s="2" t="str">
        <f ca="1">IFERROR(__xludf.DUMMYFUNCTION("""COMPUTED_VALUE"""),"Ganda Tower")</f>
        <v>Ganda Tower</v>
      </c>
      <c r="C11319" s="2" t="str">
        <f ca="1">IFERROR(__xludf.DUMMYFUNCTION("""COMPUTED_VALUE"""),"Building")</f>
        <v>Building</v>
      </c>
      <c r="D11319" s="2" t="str">
        <f ca="1">IFERROR(__xludf.DUMMYFUNCTION("""COMPUTED_VALUE"""),"Sharjah&gt;Al Nahda (Sharjah)&gt;Ganda Tower")</f>
        <v>Sharjah&gt;Al Nahda (Sharjah)&gt;Ganda Tower</v>
      </c>
      <c r="E11319" s="2"/>
      <c r="F11319" s="2"/>
      <c r="G11319" s="2"/>
      <c r="H11319" s="2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2"/>
      <c r="T11319" s="2"/>
      <c r="U11319" s="2"/>
      <c r="V11319" s="2"/>
      <c r="W11319" s="2"/>
      <c r="X11319" s="2"/>
      <c r="Y11319" s="2"/>
      <c r="Z11319" s="2"/>
    </row>
    <row r="11320" spans="1:26" ht="16.5" x14ac:dyDescent="0.35">
      <c r="A11320" s="2" t="str">
        <f ca="1">IFERROR(__xludf.DUMMYFUNCTION("""COMPUTED_VALUE"""),"Sharjah")</f>
        <v>Sharjah</v>
      </c>
      <c r="B11320" s="2" t="str">
        <f ca="1">IFERROR(__xludf.DUMMYFUNCTION("""COMPUTED_VALUE"""),"East Coast English School, Sharjah")</f>
        <v>East Coast English School, Sharjah</v>
      </c>
      <c r="C11320" s="2" t="str">
        <f ca="1">IFERROR(__xludf.DUMMYFUNCTION("""COMPUTED_VALUE"""),"School")</f>
        <v>School</v>
      </c>
      <c r="D11320" s="2" t="str">
        <f ca="1">IFERROR(__xludf.DUMMYFUNCTION("""COMPUTED_VALUE"""),"Sharjah&gt;Khor Fakkan&gt;East Coast English School, Sharjah")</f>
        <v>Sharjah&gt;Khor Fakkan&gt;East Coast English School, Sharjah</v>
      </c>
      <c r="E11320" s="2"/>
      <c r="F11320" s="2"/>
      <c r="G11320" s="2"/>
      <c r="H11320" s="2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2"/>
      <c r="T11320" s="2"/>
      <c r="U11320" s="2"/>
      <c r="V11320" s="2"/>
      <c r="W11320" s="2"/>
      <c r="X11320" s="2"/>
      <c r="Y11320" s="2"/>
      <c r="Z11320" s="2"/>
    </row>
    <row r="11321" spans="1:26" ht="16.5" x14ac:dyDescent="0.35">
      <c r="A11321" s="2" t="str">
        <f ca="1">IFERROR(__xludf.DUMMYFUNCTION("""COMPUTED_VALUE"""),"Sharjah")</f>
        <v>Sharjah</v>
      </c>
      <c r="B11321" s="2" t="str">
        <f ca="1">IFERROR(__xludf.DUMMYFUNCTION("""COMPUTED_VALUE"""),"Nest Student Accommodation")</f>
        <v>Nest Student Accommodation</v>
      </c>
      <c r="C11321" s="2" t="str">
        <f ca="1">IFERROR(__xludf.DUMMYFUNCTION("""COMPUTED_VALUE"""),"Cluster")</f>
        <v>Cluster</v>
      </c>
      <c r="D11321" s="2" t="str">
        <f ca="1">IFERROR(__xludf.DUMMYFUNCTION("""COMPUTED_VALUE"""),"Sharjah&gt;Aljada&gt;Nest Student Accommodation")</f>
        <v>Sharjah&gt;Aljada&gt;Nest Student Accommodation</v>
      </c>
      <c r="E11321" s="2"/>
      <c r="F11321" s="2"/>
      <c r="G11321" s="2"/>
      <c r="H11321" s="2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2"/>
      <c r="T11321" s="2"/>
      <c r="U11321" s="2"/>
      <c r="V11321" s="2"/>
      <c r="W11321" s="2"/>
      <c r="X11321" s="2"/>
      <c r="Y11321" s="2"/>
      <c r="Z11321" s="2"/>
    </row>
    <row r="11322" spans="1:26" ht="16.5" x14ac:dyDescent="0.35">
      <c r="A11322" s="2" t="str">
        <f ca="1">IFERROR(__xludf.DUMMYFUNCTION("""COMPUTED_VALUE"""),"Sharjah")</f>
        <v>Sharjah</v>
      </c>
      <c r="B11322" s="2" t="str">
        <f ca="1">IFERROR(__xludf.DUMMYFUNCTION("""COMPUTED_VALUE"""),"The Gate")</f>
        <v>The Gate</v>
      </c>
      <c r="C11322" s="2" t="str">
        <f ca="1">IFERROR(__xludf.DUMMYFUNCTION("""COMPUTED_VALUE"""),"Cluster")</f>
        <v>Cluster</v>
      </c>
      <c r="D11322" s="2" t="str">
        <f ca="1">IFERROR(__xludf.DUMMYFUNCTION("""COMPUTED_VALUE"""),"Sharjah&gt;Aljada&gt;The Gate")</f>
        <v>Sharjah&gt;Aljada&gt;The Gate</v>
      </c>
      <c r="E11322" s="2"/>
      <c r="F11322" s="2"/>
      <c r="G11322" s="2"/>
      <c r="H11322" s="2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2"/>
      <c r="T11322" s="2"/>
      <c r="U11322" s="2"/>
      <c r="V11322" s="2"/>
      <c r="W11322" s="2"/>
      <c r="X11322" s="2"/>
      <c r="Y11322" s="2"/>
      <c r="Z11322" s="2"/>
    </row>
    <row r="11323" spans="1:26" ht="16.5" x14ac:dyDescent="0.35">
      <c r="A11323" s="2" t="str">
        <f ca="1">IFERROR(__xludf.DUMMYFUNCTION("""COMPUTED_VALUE"""),"Sharjah")</f>
        <v>Sharjah</v>
      </c>
      <c r="B11323" s="2" t="str">
        <f ca="1">IFERROR(__xludf.DUMMYFUNCTION("""COMPUTED_VALUE"""),"Safa 3")</f>
        <v>Safa 3</v>
      </c>
      <c r="C11323" s="2" t="str">
        <f ca="1">IFERROR(__xludf.DUMMYFUNCTION("""COMPUTED_VALUE"""),"Building")</f>
        <v>Building</v>
      </c>
      <c r="D11323" s="2" t="str">
        <f ca="1">IFERROR(__xludf.DUMMYFUNCTION("""COMPUTED_VALUE"""),"Sharjah&gt;Aljada&gt;Safa&gt;Safa 3")</f>
        <v>Sharjah&gt;Aljada&gt;Safa&gt;Safa 3</v>
      </c>
      <c r="E11323" s="2"/>
      <c r="F11323" s="2"/>
      <c r="G11323" s="2"/>
      <c r="H11323" s="2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2"/>
      <c r="T11323" s="2"/>
      <c r="U11323" s="2"/>
      <c r="V11323" s="2"/>
      <c r="W11323" s="2"/>
      <c r="X11323" s="2"/>
      <c r="Y11323" s="2"/>
      <c r="Z11323" s="2"/>
    </row>
    <row r="11324" spans="1:26" ht="16.5" x14ac:dyDescent="0.35">
      <c r="A11324" s="2" t="str">
        <f ca="1">IFERROR(__xludf.DUMMYFUNCTION("""COMPUTED_VALUE"""),"Sharjah")</f>
        <v>Sharjah</v>
      </c>
      <c r="B11324" s="2" t="str">
        <f ca="1">IFERROR(__xludf.DUMMYFUNCTION("""COMPUTED_VALUE"""),"City Embassy Building")</f>
        <v>City Embassy Building</v>
      </c>
      <c r="C11324" s="2"/>
      <c r="D11324" s="2" t="str">
        <f ca="1">IFERROR(__xludf.DUMMYFUNCTION("""COMPUTED_VALUE"""),"Sharjah&gt;Abu Shagara&gt;City Embassy Building")</f>
        <v>Sharjah&gt;Abu Shagara&gt;City Embassy Building</v>
      </c>
      <c r="E11324" s="2"/>
      <c r="F11324" s="2"/>
      <c r="G11324" s="2"/>
      <c r="H11324" s="2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2"/>
      <c r="T11324" s="2"/>
      <c r="U11324" s="2"/>
      <c r="V11324" s="2"/>
      <c r="W11324" s="2"/>
      <c r="X11324" s="2"/>
      <c r="Y11324" s="2"/>
      <c r="Z11324" s="2"/>
    </row>
    <row r="11325" spans="1:26" ht="16.5" x14ac:dyDescent="0.35">
      <c r="A11325" s="2" t="str">
        <f ca="1">IFERROR(__xludf.DUMMYFUNCTION("""COMPUTED_VALUE"""),"Sharjah")</f>
        <v>Sharjah</v>
      </c>
      <c r="B11325" s="2" t="str">
        <f ca="1">IFERROR(__xludf.DUMMYFUNCTION("""COMPUTED_VALUE"""),"Al Fayha")</f>
        <v>Al Fayha</v>
      </c>
      <c r="C11325" s="2" t="str">
        <f ca="1">IFERROR(__xludf.DUMMYFUNCTION("""COMPUTED_VALUE"""),"Neighbourhood")</f>
        <v>Neighbourhood</v>
      </c>
      <c r="D11325" s="2" t="str">
        <f ca="1">IFERROR(__xludf.DUMMYFUNCTION("""COMPUTED_VALUE"""),"Sharjah&gt;Al Fayha")</f>
        <v>Sharjah&gt;Al Fayha</v>
      </c>
      <c r="E11325" s="2"/>
      <c r="F11325" s="2"/>
      <c r="G11325" s="2"/>
      <c r="H11325" s="2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2"/>
      <c r="T11325" s="2"/>
      <c r="U11325" s="2"/>
      <c r="V11325" s="2"/>
      <c r="W11325" s="2"/>
      <c r="X11325" s="2"/>
      <c r="Y11325" s="2"/>
      <c r="Z11325" s="2"/>
    </row>
    <row r="11326" spans="1:26" ht="16.5" x14ac:dyDescent="0.35">
      <c r="A11326" s="2" t="str">
        <f ca="1">IFERROR(__xludf.DUMMYFUNCTION("""COMPUTED_VALUE"""),"Sharjah")</f>
        <v>Sharjah</v>
      </c>
      <c r="B11326" s="2" t="str">
        <f ca="1">IFERROR(__xludf.DUMMYFUNCTION("""COMPUTED_VALUE"""),"Joud")</f>
        <v>Joud</v>
      </c>
      <c r="C11326" s="2" t="str">
        <f ca="1">IFERROR(__xludf.DUMMYFUNCTION("""COMPUTED_VALUE"""),"Building")</f>
        <v>Building</v>
      </c>
      <c r="D11326" s="2" t="str">
        <f ca="1">IFERROR(__xludf.DUMMYFUNCTION("""COMPUTED_VALUE"""),"Sharjah&gt;Al Mamzar&gt;Joud")</f>
        <v>Sharjah&gt;Al Mamzar&gt;Joud</v>
      </c>
      <c r="E11326" s="2"/>
      <c r="F11326" s="2"/>
      <c r="G11326" s="2"/>
      <c r="H11326" s="2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2"/>
      <c r="T11326" s="2"/>
      <c r="U11326" s="2"/>
      <c r="V11326" s="2"/>
      <c r="W11326" s="2"/>
      <c r="X11326" s="2"/>
      <c r="Y11326" s="2"/>
      <c r="Z11326" s="2"/>
    </row>
    <row r="11327" spans="1:26" ht="16.5" x14ac:dyDescent="0.35">
      <c r="A11327" s="2" t="str">
        <f ca="1">IFERROR(__xludf.DUMMYFUNCTION("""COMPUTED_VALUE"""),"Sharjah")</f>
        <v>Sharjah</v>
      </c>
      <c r="B11327" s="2" t="str">
        <f ca="1">IFERROR(__xludf.DUMMYFUNCTION("""COMPUTED_VALUE"""),"Tilal City")</f>
        <v>Tilal City</v>
      </c>
      <c r="C11327" s="2" t="str">
        <f ca="1">IFERROR(__xludf.DUMMYFUNCTION("""COMPUTED_VALUE"""),"Neighbourhood")</f>
        <v>Neighbourhood</v>
      </c>
      <c r="D11327" s="2" t="str">
        <f ca="1">IFERROR(__xludf.DUMMYFUNCTION("""COMPUTED_VALUE"""),"Sharjah&gt;Tilal City")</f>
        <v>Sharjah&gt;Tilal City</v>
      </c>
      <c r="E11327" s="2"/>
      <c r="F11327" s="2"/>
      <c r="G11327" s="2"/>
      <c r="H11327" s="2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2"/>
      <c r="T11327" s="2"/>
      <c r="U11327" s="2"/>
      <c r="V11327" s="2"/>
      <c r="W11327" s="2"/>
      <c r="X11327" s="2"/>
      <c r="Y11327" s="2"/>
      <c r="Z11327" s="2"/>
    </row>
    <row r="11328" spans="1:26" ht="16.5" x14ac:dyDescent="0.35">
      <c r="A11328" s="2" t="str">
        <f ca="1">IFERROR(__xludf.DUMMYFUNCTION("""COMPUTED_VALUE"""),"Sharjah")</f>
        <v>Sharjah</v>
      </c>
      <c r="B11328" s="2" t="str">
        <f ca="1">IFERROR(__xludf.DUMMYFUNCTION("""COMPUTED_VALUE"""),"Ibn Khaldoun Private School, Sharjah")</f>
        <v>Ibn Khaldoun Private School, Sharjah</v>
      </c>
      <c r="C11328" s="2" t="str">
        <f ca="1">IFERROR(__xludf.DUMMYFUNCTION("""COMPUTED_VALUE"""),"School")</f>
        <v>School</v>
      </c>
      <c r="D11328" s="2" t="str">
        <f ca="1">IFERROR(__xludf.DUMMYFUNCTION("""COMPUTED_VALUE"""),"Sharjah&gt;Al Azra&gt;Ibn Khaldoun Private School, Sharjah")</f>
        <v>Sharjah&gt;Al Azra&gt;Ibn Khaldoun Private School, Sharjah</v>
      </c>
      <c r="E11328" s="2"/>
      <c r="F11328" s="2"/>
      <c r="G11328" s="2"/>
      <c r="H11328" s="2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2"/>
      <c r="T11328" s="2"/>
      <c r="U11328" s="2"/>
      <c r="V11328" s="2"/>
      <c r="W11328" s="2"/>
      <c r="X11328" s="2"/>
      <c r="Y11328" s="2"/>
      <c r="Z11328" s="2"/>
    </row>
    <row r="11329" spans="1:26" ht="16.5" x14ac:dyDescent="0.35">
      <c r="A11329" s="2" t="str">
        <f ca="1">IFERROR(__xludf.DUMMYFUNCTION("""COMPUTED_VALUE"""),"Sharjah")</f>
        <v>Sharjah</v>
      </c>
      <c r="B11329" s="2" t="str">
        <f ca="1">IFERROR(__xludf.DUMMYFUNCTION("""COMPUTED_VALUE"""),"Al Thuraya Building")</f>
        <v>Al Thuraya Building</v>
      </c>
      <c r="C11329" s="2" t="str">
        <f ca="1">IFERROR(__xludf.DUMMYFUNCTION("""COMPUTED_VALUE"""),"Building")</f>
        <v>Building</v>
      </c>
      <c r="D11329" s="2" t="str">
        <f ca="1">IFERROR(__xludf.DUMMYFUNCTION("""COMPUTED_VALUE"""),"Sharjah&gt;Bu Daniq&gt;Al Thuraya Building")</f>
        <v>Sharjah&gt;Bu Daniq&gt;Al Thuraya Building</v>
      </c>
      <c r="E11329" s="2"/>
      <c r="F11329" s="2"/>
      <c r="G11329" s="2"/>
      <c r="H11329" s="2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2"/>
      <c r="T11329" s="2"/>
      <c r="U11329" s="2"/>
      <c r="V11329" s="2"/>
      <c r="W11329" s="2"/>
      <c r="X11329" s="2"/>
      <c r="Y11329" s="2"/>
      <c r="Z11329" s="2"/>
    </row>
    <row r="11330" spans="1:26" ht="16.5" x14ac:dyDescent="0.35">
      <c r="A11330" s="2" t="str">
        <f ca="1">IFERROR(__xludf.DUMMYFUNCTION("""COMPUTED_VALUE"""),"Sharjah")</f>
        <v>Sharjah</v>
      </c>
      <c r="B11330" s="2" t="str">
        <f ca="1">IFERROR(__xludf.DUMMYFUNCTION("""COMPUTED_VALUE"""),"Al Riqaibah 3")</f>
        <v>Al Riqaibah 3</v>
      </c>
      <c r="C11330" s="2" t="str">
        <f ca="1">IFERROR(__xludf.DUMMYFUNCTION("""COMPUTED_VALUE"""),"Neighbourhood")</f>
        <v>Neighbourhood</v>
      </c>
      <c r="D11330" s="2" t="str">
        <f ca="1">IFERROR(__xludf.DUMMYFUNCTION("""COMPUTED_VALUE"""),"Sharjah&gt;Al Suyoh&gt;Al Riqaibah 3")</f>
        <v>Sharjah&gt;Al Suyoh&gt;Al Riqaibah 3</v>
      </c>
      <c r="E11330" s="2"/>
      <c r="F11330" s="2"/>
      <c r="G11330" s="2"/>
      <c r="H11330" s="2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2"/>
      <c r="T11330" s="2"/>
      <c r="U11330" s="2"/>
      <c r="V11330" s="2"/>
      <c r="W11330" s="2"/>
      <c r="X11330" s="2"/>
      <c r="Y11330" s="2"/>
      <c r="Z11330" s="2"/>
    </row>
    <row r="11331" spans="1:26" ht="16.5" x14ac:dyDescent="0.35">
      <c r="A11331" s="2" t="str">
        <f ca="1">IFERROR(__xludf.DUMMYFUNCTION("""COMPUTED_VALUE"""),"Sharjah")</f>
        <v>Sharjah</v>
      </c>
      <c r="B11331" s="2" t="str">
        <f ca="1">IFERROR(__xludf.DUMMYFUNCTION("""COMPUTED_VALUE"""),"Al Yasmin Plaza")</f>
        <v>Al Yasmin Plaza</v>
      </c>
      <c r="C11331" s="2"/>
      <c r="D11331" s="2" t="str">
        <f ca="1">IFERROR(__xludf.DUMMYFUNCTION("""COMPUTED_VALUE"""),"Sharjah&gt;Al Mareija&gt;Al Yasmin Plaza")</f>
        <v>Sharjah&gt;Al Mareija&gt;Al Yasmin Plaza</v>
      </c>
      <c r="E11331" s="2"/>
      <c r="F11331" s="2"/>
      <c r="G11331" s="2"/>
      <c r="H11331" s="2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2"/>
      <c r="T11331" s="2"/>
      <c r="U11331" s="2"/>
      <c r="V11331" s="2"/>
      <c r="W11331" s="2"/>
      <c r="X11331" s="2"/>
      <c r="Y11331" s="2"/>
      <c r="Z11331" s="2"/>
    </row>
    <row r="11332" spans="1:26" ht="16.5" x14ac:dyDescent="0.35">
      <c r="A11332" s="2" t="str">
        <f ca="1">IFERROR(__xludf.DUMMYFUNCTION("""COMPUTED_VALUE"""),"Sharjah")</f>
        <v>Sharjah</v>
      </c>
      <c r="B11332" s="2" t="str">
        <f ca="1">IFERROR(__xludf.DUMMYFUNCTION("""COMPUTED_VALUE"""),"Tiger Tower")</f>
        <v>Tiger Tower</v>
      </c>
      <c r="C11332" s="2" t="str">
        <f ca="1">IFERROR(__xludf.DUMMYFUNCTION("""COMPUTED_VALUE"""),"Building")</f>
        <v>Building</v>
      </c>
      <c r="D11332" s="2" t="str">
        <f ca="1">IFERROR(__xludf.DUMMYFUNCTION("""COMPUTED_VALUE"""),"Sharjah&gt;Al Gharb&gt;Tiger Tower")</f>
        <v>Sharjah&gt;Al Gharb&gt;Tiger Tower</v>
      </c>
      <c r="E11332" s="2"/>
      <c r="F11332" s="2"/>
      <c r="G11332" s="2"/>
      <c r="H11332" s="2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2"/>
      <c r="T11332" s="2"/>
      <c r="U11332" s="2"/>
      <c r="V11332" s="2"/>
      <c r="W11332" s="2"/>
      <c r="X11332" s="2"/>
      <c r="Y11332" s="2"/>
      <c r="Z11332" s="2"/>
    </row>
    <row r="11333" spans="1:26" ht="16.5" x14ac:dyDescent="0.35">
      <c r="A11333" s="2" t="str">
        <f ca="1">IFERROR(__xludf.DUMMYFUNCTION("""COMPUTED_VALUE"""),"Sharjah")</f>
        <v>Sharjah</v>
      </c>
      <c r="B11333" s="2" t="str">
        <f ca="1">IFERROR(__xludf.DUMMYFUNCTION("""COMPUTED_VALUE"""),"Shaghrafa 1")</f>
        <v>Shaghrafa 1</v>
      </c>
      <c r="C11333" s="2" t="str">
        <f ca="1">IFERROR(__xludf.DUMMYFUNCTION("""COMPUTED_VALUE"""),"Neighbourhood")</f>
        <v>Neighbourhood</v>
      </c>
      <c r="D11333" s="2" t="str">
        <f ca="1">IFERROR(__xludf.DUMMYFUNCTION("""COMPUTED_VALUE"""),"Sharjah&gt;Al Rahmaniya&gt;Shaghrafa 1")</f>
        <v>Sharjah&gt;Al Rahmaniya&gt;Shaghrafa 1</v>
      </c>
      <c r="E11333" s="2"/>
      <c r="F11333" s="2"/>
      <c r="G11333" s="2"/>
      <c r="H11333" s="2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2"/>
      <c r="T11333" s="2"/>
      <c r="U11333" s="2"/>
      <c r="V11333" s="2"/>
      <c r="W11333" s="2"/>
      <c r="X11333" s="2"/>
      <c r="Y11333" s="2"/>
      <c r="Z11333" s="2"/>
    </row>
    <row r="11334" spans="1:26" ht="16.5" x14ac:dyDescent="0.35">
      <c r="A11334" s="2" t="str">
        <f ca="1">IFERROR(__xludf.DUMMYFUNCTION("""COMPUTED_VALUE"""),"Sharjah")</f>
        <v>Sharjah</v>
      </c>
      <c r="B11334" s="2" t="str">
        <f ca="1">IFERROR(__xludf.DUMMYFUNCTION("""COMPUTED_VALUE"""),"Golden Beach Motel")</f>
        <v>Golden Beach Motel</v>
      </c>
      <c r="C11334" s="2"/>
      <c r="D11334" s="2" t="str">
        <f ca="1">IFERROR(__xludf.DUMMYFUNCTION("""COMPUTED_VALUE"""),"Sharjah&gt;Al Layyeh Suburb&gt;Golden Beach Motel")</f>
        <v>Sharjah&gt;Al Layyeh Suburb&gt;Golden Beach Motel</v>
      </c>
      <c r="E11334" s="2"/>
      <c r="F11334" s="2"/>
      <c r="G11334" s="2"/>
      <c r="H11334" s="2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2"/>
      <c r="T11334" s="2"/>
      <c r="U11334" s="2"/>
      <c r="V11334" s="2"/>
      <c r="W11334" s="2"/>
      <c r="X11334" s="2"/>
      <c r="Y11334" s="2"/>
      <c r="Z11334" s="2"/>
    </row>
    <row r="11335" spans="1:26" ht="16.5" x14ac:dyDescent="0.35">
      <c r="A11335" s="2" t="str">
        <f ca="1">IFERROR(__xludf.DUMMYFUNCTION("""COMPUTED_VALUE"""),"Sharjah")</f>
        <v>Sharjah</v>
      </c>
      <c r="B11335" s="2" t="str">
        <f ca="1">IFERROR(__xludf.DUMMYFUNCTION("""COMPUTED_VALUE"""),"Beach Tower 1")</f>
        <v>Beach Tower 1</v>
      </c>
      <c r="C11335" s="2"/>
      <c r="D11335" s="2" t="str">
        <f ca="1">IFERROR(__xludf.DUMMYFUNCTION("""COMPUTED_VALUE"""),"Sharjah&gt;Al Khan&gt;Beach Towers&gt;Beach Tower 1")</f>
        <v>Sharjah&gt;Al Khan&gt;Beach Towers&gt;Beach Tower 1</v>
      </c>
      <c r="E11335" s="2"/>
      <c r="F11335" s="2"/>
      <c r="G11335" s="2"/>
      <c r="H11335" s="2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2"/>
      <c r="T11335" s="2"/>
      <c r="U11335" s="2"/>
      <c r="V11335" s="2"/>
      <c r="W11335" s="2"/>
      <c r="X11335" s="2"/>
      <c r="Y11335" s="2"/>
      <c r="Z11335" s="2"/>
    </row>
    <row r="11336" spans="1:26" ht="16.5" x14ac:dyDescent="0.35">
      <c r="A11336" s="2" t="str">
        <f ca="1">IFERROR(__xludf.DUMMYFUNCTION("""COMPUTED_VALUE"""),"Sharjah")</f>
        <v>Sharjah</v>
      </c>
      <c r="B11336" s="2" t="str">
        <f ca="1">IFERROR(__xludf.DUMMYFUNCTION("""COMPUTED_VALUE"""),"Maryam Gate Residences")</f>
        <v>Maryam Gate Residences</v>
      </c>
      <c r="C11336" s="2" t="str">
        <f ca="1">IFERROR(__xludf.DUMMYFUNCTION("""COMPUTED_VALUE"""),"Neighbourhood")</f>
        <v>Neighbourhood</v>
      </c>
      <c r="D11336" s="2" t="str">
        <f ca="1">IFERROR(__xludf.DUMMYFUNCTION("""COMPUTED_VALUE"""),"Sharjah&gt;Al Khan&gt;Maryam Island&gt;Maryam Gate Residences")</f>
        <v>Sharjah&gt;Al Khan&gt;Maryam Island&gt;Maryam Gate Residences</v>
      </c>
      <c r="E11336" s="2"/>
      <c r="F11336" s="2"/>
      <c r="G11336" s="2"/>
      <c r="H11336" s="2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2"/>
      <c r="T11336" s="2"/>
      <c r="U11336" s="2"/>
      <c r="V11336" s="2"/>
      <c r="W11336" s="2"/>
      <c r="X11336" s="2"/>
      <c r="Y11336" s="2"/>
      <c r="Z11336" s="2"/>
    </row>
    <row r="11337" spans="1:26" ht="16.5" x14ac:dyDescent="0.35">
      <c r="A11337" s="2" t="str">
        <f ca="1">IFERROR(__xludf.DUMMYFUNCTION("""COMPUTED_VALUE"""),"Sharjah")</f>
        <v>Sharjah</v>
      </c>
      <c r="B11337" s="2" t="str">
        <f ca="1">IFERROR(__xludf.DUMMYFUNCTION("""COMPUTED_VALUE"""),"Al Maidan Residential Complex")</f>
        <v>Al Maidan Residential Complex</v>
      </c>
      <c r="C11337" s="2"/>
      <c r="D11337" s="2" t="str">
        <f ca="1">IFERROR(__xludf.DUMMYFUNCTION("""COMPUTED_VALUE"""),"Sharjah&gt;Al Khan&gt;Al Maidan Residential Complex")</f>
        <v>Sharjah&gt;Al Khan&gt;Al Maidan Residential Complex</v>
      </c>
      <c r="E11337" s="2"/>
      <c r="F11337" s="2"/>
      <c r="G11337" s="2"/>
      <c r="H11337" s="2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2"/>
      <c r="T11337" s="2"/>
      <c r="U11337" s="2"/>
      <c r="V11337" s="2"/>
      <c r="W11337" s="2"/>
      <c r="X11337" s="2"/>
      <c r="Y11337" s="2"/>
      <c r="Z11337" s="2"/>
    </row>
    <row r="11338" spans="1:26" ht="16.5" x14ac:dyDescent="0.35">
      <c r="A11338" s="2" t="str">
        <f ca="1">IFERROR(__xludf.DUMMYFUNCTION("""COMPUTED_VALUE"""),"Sharjah")</f>
        <v>Sharjah</v>
      </c>
      <c r="B11338" s="2" t="str">
        <f ca="1">IFERROR(__xludf.DUMMYFUNCTION("""COMPUTED_VALUE"""),"Al Alia Tower")</f>
        <v>Al Alia Tower</v>
      </c>
      <c r="C11338" s="2" t="str">
        <f ca="1">IFERROR(__xludf.DUMMYFUNCTION("""COMPUTED_VALUE"""),"Building")</f>
        <v>Building</v>
      </c>
      <c r="D11338" s="2" t="str">
        <f ca="1">IFERROR(__xludf.DUMMYFUNCTION("""COMPUTED_VALUE"""),"Sharjah&gt;Al Khan&gt;Al Alia Tower")</f>
        <v>Sharjah&gt;Al Khan&gt;Al Alia Tower</v>
      </c>
      <c r="E11338" s="2"/>
      <c r="F11338" s="2"/>
      <c r="G11338" s="2"/>
      <c r="H11338" s="2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2"/>
      <c r="T11338" s="2"/>
      <c r="U11338" s="2"/>
      <c r="V11338" s="2"/>
      <c r="W11338" s="2"/>
      <c r="X11338" s="2"/>
      <c r="Y11338" s="2"/>
      <c r="Z11338" s="2"/>
    </row>
    <row r="11339" spans="1:26" ht="16.5" x14ac:dyDescent="0.35">
      <c r="A11339" s="2" t="str">
        <f ca="1">IFERROR(__xludf.DUMMYFUNCTION("""COMPUTED_VALUE"""),"Sharjah")</f>
        <v>Sharjah</v>
      </c>
      <c r="B11339" s="2" t="str">
        <f ca="1">IFERROR(__xludf.DUMMYFUNCTION("""COMPUTED_VALUE"""),"Abdullah Sultan Building")</f>
        <v>Abdullah Sultan Building</v>
      </c>
      <c r="C11339" s="2"/>
      <c r="D11339" s="2" t="str">
        <f ca="1">IFERROR(__xludf.DUMMYFUNCTION("""COMPUTED_VALUE"""),"Sharjah&gt;Al Majaz&gt;Al Majaz 2&gt;Abdullah Sultan Building")</f>
        <v>Sharjah&gt;Al Majaz&gt;Al Majaz 2&gt;Abdullah Sultan Building</v>
      </c>
      <c r="E11339" s="2"/>
      <c r="F11339" s="2"/>
      <c r="G11339" s="2"/>
      <c r="H11339" s="2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2"/>
      <c r="T11339" s="2"/>
      <c r="U11339" s="2"/>
      <c r="V11339" s="2"/>
      <c r="W11339" s="2"/>
      <c r="X11339" s="2"/>
      <c r="Y11339" s="2"/>
      <c r="Z11339" s="2"/>
    </row>
    <row r="11340" spans="1:26" ht="16.5" x14ac:dyDescent="0.35">
      <c r="A11340" s="2" t="str">
        <f ca="1">IFERROR(__xludf.DUMMYFUNCTION("""COMPUTED_VALUE"""),"Sharjah")</f>
        <v>Sharjah</v>
      </c>
      <c r="B11340" s="2" t="str">
        <f ca="1">IFERROR(__xludf.DUMMYFUNCTION("""COMPUTED_VALUE"""),"Khalid Tower")</f>
        <v>Khalid Tower</v>
      </c>
      <c r="C11340" s="2"/>
      <c r="D11340" s="2" t="str">
        <f ca="1">IFERROR(__xludf.DUMMYFUNCTION("""COMPUTED_VALUE"""),"Sharjah&gt;Al Majaz&gt;Al Majaz 2&gt;Khalid Tower")</f>
        <v>Sharjah&gt;Al Majaz&gt;Al Majaz 2&gt;Khalid Tower</v>
      </c>
      <c r="E11340" s="2"/>
      <c r="F11340" s="2"/>
      <c r="G11340" s="2"/>
      <c r="H11340" s="2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2"/>
      <c r="T11340" s="2"/>
      <c r="U11340" s="2"/>
      <c r="V11340" s="2"/>
      <c r="W11340" s="2"/>
      <c r="X11340" s="2"/>
      <c r="Y11340" s="2"/>
      <c r="Z11340" s="2"/>
    </row>
    <row r="11341" spans="1:26" ht="16.5" x14ac:dyDescent="0.35">
      <c r="A11341" s="2" t="str">
        <f ca="1">IFERROR(__xludf.DUMMYFUNCTION("""COMPUTED_VALUE"""),"Sharjah")</f>
        <v>Sharjah</v>
      </c>
      <c r="B11341" s="2" t="str">
        <f ca="1">IFERROR(__xludf.DUMMYFUNCTION("""COMPUTED_VALUE"""),"Al Bassam Tower")</f>
        <v>Al Bassam Tower</v>
      </c>
      <c r="C11341" s="2"/>
      <c r="D11341" s="2" t="str">
        <f ca="1">IFERROR(__xludf.DUMMYFUNCTION("""COMPUTED_VALUE"""),"Sharjah&gt;Al Majaz&gt;Al Majaz 3&gt;Al Bassam Tower")</f>
        <v>Sharjah&gt;Al Majaz&gt;Al Majaz 3&gt;Al Bassam Tower</v>
      </c>
      <c r="E11341" s="2"/>
      <c r="F11341" s="2"/>
      <c r="G11341" s="2"/>
      <c r="H11341" s="2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2"/>
      <c r="T11341" s="2"/>
      <c r="U11341" s="2"/>
      <c r="V11341" s="2"/>
      <c r="W11341" s="2"/>
      <c r="X11341" s="2"/>
      <c r="Y11341" s="2"/>
      <c r="Z11341" s="2"/>
    </row>
    <row r="11342" spans="1:26" ht="16.5" x14ac:dyDescent="0.35">
      <c r="A11342" s="2" t="str">
        <f ca="1">IFERROR(__xludf.DUMMYFUNCTION("""COMPUTED_VALUE"""),"Sharjah")</f>
        <v>Sharjah</v>
      </c>
      <c r="B11342" s="2" t="str">
        <f ca="1">IFERROR(__xludf.DUMMYFUNCTION("""COMPUTED_VALUE"""),"Arcadia Hotel")</f>
        <v>Arcadia Hotel</v>
      </c>
      <c r="C11342" s="2"/>
      <c r="D11342" s="2" t="str">
        <f ca="1">IFERROR(__xludf.DUMMYFUNCTION("""COMPUTED_VALUE"""),"Sharjah&gt;Al Majaz&gt;Al Majaz 3&gt;Arcadia Hotel")</f>
        <v>Sharjah&gt;Al Majaz&gt;Al Majaz 3&gt;Arcadia Hotel</v>
      </c>
      <c r="E11342" s="2"/>
      <c r="F11342" s="2"/>
      <c r="G11342" s="2"/>
      <c r="H11342" s="2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2"/>
      <c r="T11342" s="2"/>
      <c r="U11342" s="2"/>
      <c r="V11342" s="2"/>
      <c r="W11342" s="2"/>
      <c r="X11342" s="2"/>
      <c r="Y11342" s="2"/>
      <c r="Z11342" s="2"/>
    </row>
    <row r="11343" spans="1:26" ht="16.5" x14ac:dyDescent="0.35">
      <c r="A11343" s="2" t="str">
        <f ca="1">IFERROR(__xludf.DUMMYFUNCTION("""COMPUTED_VALUE"""),"Sharjah")</f>
        <v>Sharjah</v>
      </c>
      <c r="B11343" s="2" t="str">
        <f ca="1">IFERROR(__xludf.DUMMYFUNCTION("""COMPUTED_VALUE"""),"Sidrah Building")</f>
        <v>Sidrah Building</v>
      </c>
      <c r="C11343" s="2"/>
      <c r="D11343" s="2" t="str">
        <f ca="1">IFERROR(__xludf.DUMMYFUNCTION("""COMPUTED_VALUE"""),"Sharjah&gt;Al Majaz&gt;Al Majaz 3&gt;Sidrah Building")</f>
        <v>Sharjah&gt;Al Majaz&gt;Al Majaz 3&gt;Sidrah Building</v>
      </c>
      <c r="E11343" s="2"/>
      <c r="F11343" s="2"/>
      <c r="G11343" s="2"/>
      <c r="H11343" s="2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2"/>
      <c r="T11343" s="2"/>
      <c r="U11343" s="2"/>
      <c r="V11343" s="2"/>
      <c r="W11343" s="2"/>
      <c r="X11343" s="2"/>
      <c r="Y11343" s="2"/>
      <c r="Z11343" s="2"/>
    </row>
    <row r="11344" spans="1:26" ht="16.5" x14ac:dyDescent="0.35">
      <c r="A11344" s="2" t="str">
        <f ca="1">IFERROR(__xludf.DUMMYFUNCTION("""COMPUTED_VALUE"""),"Sharjah")</f>
        <v>Sharjah</v>
      </c>
      <c r="B11344" s="2" t="str">
        <f ca="1">IFERROR(__xludf.DUMMYFUNCTION("""COMPUTED_VALUE"""),"Arab Bank Tower")</f>
        <v>Arab Bank Tower</v>
      </c>
      <c r="C11344" s="2"/>
      <c r="D11344" s="2" t="str">
        <f ca="1">IFERROR(__xludf.DUMMYFUNCTION("""COMPUTED_VALUE"""),"Sharjah&gt;Al Majaz&gt;Al Majaz 1&gt;Arab Bank Tower")</f>
        <v>Sharjah&gt;Al Majaz&gt;Al Majaz 1&gt;Arab Bank Tower</v>
      </c>
      <c r="E11344" s="2"/>
      <c r="F11344" s="2"/>
      <c r="G11344" s="2"/>
      <c r="H11344" s="2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2"/>
      <c r="T11344" s="2"/>
      <c r="U11344" s="2"/>
      <c r="V11344" s="2"/>
      <c r="W11344" s="2"/>
      <c r="X11344" s="2"/>
      <c r="Y11344" s="2"/>
      <c r="Z11344" s="2"/>
    </row>
    <row r="11345" spans="1:26" ht="16.5" x14ac:dyDescent="0.35">
      <c r="A11345" s="2" t="str">
        <f ca="1">IFERROR(__xludf.DUMMYFUNCTION("""COMPUTED_VALUE"""),"Sharjah")</f>
        <v>Sharjah</v>
      </c>
      <c r="B11345" s="2" t="str">
        <f ca="1">IFERROR(__xludf.DUMMYFUNCTION("""COMPUTED_VALUE"""),"Al Tay East")</f>
        <v>Al Tay East</v>
      </c>
      <c r="C11345" s="2" t="str">
        <f ca="1">IFERROR(__xludf.DUMMYFUNCTION("""COMPUTED_VALUE"""),"Neighbourhood")</f>
        <v>Neighbourhood</v>
      </c>
      <c r="D11345" s="2" t="str">
        <f ca="1">IFERROR(__xludf.DUMMYFUNCTION("""COMPUTED_VALUE"""),"Sharjah&gt;Al Tay East")</f>
        <v>Sharjah&gt;Al Tay East</v>
      </c>
      <c r="E11345" s="2"/>
      <c r="F11345" s="2"/>
      <c r="G11345" s="2"/>
      <c r="H11345" s="2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2"/>
      <c r="T11345" s="2"/>
      <c r="U11345" s="2"/>
      <c r="V11345" s="2"/>
      <c r="W11345" s="2"/>
      <c r="X11345" s="2"/>
      <c r="Y11345" s="2"/>
      <c r="Z11345" s="2"/>
    </row>
    <row r="11346" spans="1:26" ht="16.5" x14ac:dyDescent="0.35">
      <c r="A11346" s="2" t="str">
        <f ca="1">IFERROR(__xludf.DUMMYFUNCTION("""COMPUTED_VALUE"""),"Sharjah")</f>
        <v>Sharjah</v>
      </c>
      <c r="B11346" s="2" t="str">
        <f ca="1">IFERROR(__xludf.DUMMYFUNCTION("""COMPUTED_VALUE"""),"Bin Ham Towers")</f>
        <v>Bin Ham Towers</v>
      </c>
      <c r="C11346" s="2" t="str">
        <f ca="1">IFERROR(__xludf.DUMMYFUNCTION("""COMPUTED_VALUE"""),"Neighbourhood")</f>
        <v>Neighbourhood</v>
      </c>
      <c r="D11346" s="2" t="str">
        <f ca="1">IFERROR(__xludf.DUMMYFUNCTION("""COMPUTED_VALUE"""),"Sharjah&gt;Al Taawun&gt;Bin Ham Towers")</f>
        <v>Sharjah&gt;Al Taawun&gt;Bin Ham Towers</v>
      </c>
      <c r="E11346" s="2"/>
      <c r="F11346" s="2"/>
      <c r="G11346" s="2"/>
      <c r="H11346" s="2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2"/>
      <c r="T11346" s="2"/>
      <c r="U11346" s="2"/>
      <c r="V11346" s="2"/>
      <c r="W11346" s="2"/>
      <c r="X11346" s="2"/>
      <c r="Y11346" s="2"/>
      <c r="Z11346" s="2"/>
    </row>
    <row r="11347" spans="1:26" ht="16.5" x14ac:dyDescent="0.35">
      <c r="A11347" s="2" t="str">
        <f ca="1">IFERROR(__xludf.DUMMYFUNCTION("""COMPUTED_VALUE"""),"Sharjah")</f>
        <v>Sharjah</v>
      </c>
      <c r="B11347" s="2" t="str">
        <f ca="1">IFERROR(__xludf.DUMMYFUNCTION("""COMPUTED_VALUE"""),"Al Nayli 4 Building")</f>
        <v>Al Nayli 4 Building</v>
      </c>
      <c r="C11347" s="2" t="str">
        <f ca="1">IFERROR(__xludf.DUMMYFUNCTION("""COMPUTED_VALUE"""),"Building")</f>
        <v>Building</v>
      </c>
      <c r="D11347" s="2" t="str">
        <f ca="1">IFERROR(__xludf.DUMMYFUNCTION("""COMPUTED_VALUE"""),"Sharjah&gt;Al Taawun&gt;Al Nayli 4 Building")</f>
        <v>Sharjah&gt;Al Taawun&gt;Al Nayli 4 Building</v>
      </c>
      <c r="E11347" s="2"/>
      <c r="F11347" s="2"/>
      <c r="G11347" s="2"/>
      <c r="H11347" s="2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2"/>
      <c r="T11347" s="2"/>
      <c r="U11347" s="2"/>
      <c r="V11347" s="2"/>
      <c r="W11347" s="2"/>
      <c r="X11347" s="2"/>
      <c r="Y11347" s="2"/>
      <c r="Z11347" s="2"/>
    </row>
    <row r="11348" spans="1:26" ht="16.5" x14ac:dyDescent="0.35">
      <c r="A11348" s="2" t="str">
        <f ca="1">IFERROR(__xludf.DUMMYFUNCTION("""COMPUTED_VALUE"""),"Sharjah")</f>
        <v>Sharjah</v>
      </c>
      <c r="B11348" s="2" t="str">
        <f ca="1">IFERROR(__xludf.DUMMYFUNCTION("""COMPUTED_VALUE"""),"Ahmed Al Tameem")</f>
        <v>Ahmed Al Tameem</v>
      </c>
      <c r="C11348" s="2"/>
      <c r="D11348" s="2" t="str">
        <f ca="1">IFERROR(__xludf.DUMMYFUNCTION("""COMPUTED_VALUE"""),"Sharjah&gt;Al Qasimia&gt;Al Nad&gt;Ahmed Al Tameem")</f>
        <v>Sharjah&gt;Al Qasimia&gt;Al Nad&gt;Ahmed Al Tameem</v>
      </c>
      <c r="E11348" s="2"/>
      <c r="F11348" s="2"/>
      <c r="G11348" s="2"/>
      <c r="H11348" s="2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2"/>
      <c r="T11348" s="2"/>
      <c r="U11348" s="2"/>
      <c r="V11348" s="2"/>
      <c r="W11348" s="2"/>
      <c r="X11348" s="2"/>
      <c r="Y11348" s="2"/>
      <c r="Z11348" s="2"/>
    </row>
    <row r="11349" spans="1:26" ht="16.5" x14ac:dyDescent="0.35">
      <c r="A11349" s="2" t="str">
        <f ca="1">IFERROR(__xludf.DUMMYFUNCTION("""COMPUTED_VALUE"""),"Sharjah")</f>
        <v>Sharjah</v>
      </c>
      <c r="B11349" s="2" t="str">
        <f ca="1">IFERROR(__xludf.DUMMYFUNCTION("""COMPUTED_VALUE"""),"Dubai Islamic Bank Building")</f>
        <v>Dubai Islamic Bank Building</v>
      </c>
      <c r="C11349" s="2" t="str">
        <f ca="1">IFERROR(__xludf.DUMMYFUNCTION("""COMPUTED_VALUE"""),"Building")</f>
        <v>Building</v>
      </c>
      <c r="D11349" s="2" t="str">
        <f ca="1">IFERROR(__xludf.DUMMYFUNCTION("""COMPUTED_VALUE"""),"Sharjah&gt;Al Qasimia&gt;Al Nad&gt;Dubai Islamic Bank Building")</f>
        <v>Sharjah&gt;Al Qasimia&gt;Al Nad&gt;Dubai Islamic Bank Building</v>
      </c>
      <c r="E11349" s="2"/>
      <c r="F11349" s="2"/>
      <c r="G11349" s="2"/>
      <c r="H11349" s="2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2"/>
      <c r="T11349" s="2"/>
      <c r="U11349" s="2"/>
      <c r="V11349" s="2"/>
      <c r="W11349" s="2"/>
      <c r="X11349" s="2"/>
      <c r="Y11349" s="2"/>
      <c r="Z11349" s="2"/>
    </row>
    <row r="11350" spans="1:26" ht="16.5" x14ac:dyDescent="0.35">
      <c r="A11350" s="2" t="str">
        <f ca="1">IFERROR(__xludf.DUMMYFUNCTION("""COMPUTED_VALUE"""),"Sharjah")</f>
        <v>Sharjah</v>
      </c>
      <c r="B11350" s="2" t="str">
        <f ca="1">IFERROR(__xludf.DUMMYFUNCTION("""COMPUTED_VALUE"""),"Al Marzouqi Towers")</f>
        <v>Al Marzouqi Towers</v>
      </c>
      <c r="C11350" s="2" t="str">
        <f ca="1">IFERROR(__xludf.DUMMYFUNCTION("""COMPUTED_VALUE"""),"Cluster")</f>
        <v>Cluster</v>
      </c>
      <c r="D11350" s="2" t="str">
        <f ca="1">IFERROR(__xludf.DUMMYFUNCTION("""COMPUTED_VALUE"""),"Sharjah&gt;Al Qasimia&gt;Al Marzouqi Towers")</f>
        <v>Sharjah&gt;Al Qasimia&gt;Al Marzouqi Towers</v>
      </c>
      <c r="E11350" s="2"/>
      <c r="F11350" s="2"/>
      <c r="G11350" s="2"/>
      <c r="H11350" s="2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2"/>
      <c r="T11350" s="2"/>
      <c r="U11350" s="2"/>
      <c r="V11350" s="2"/>
      <c r="W11350" s="2"/>
      <c r="X11350" s="2"/>
      <c r="Y11350" s="2"/>
      <c r="Z11350" s="2"/>
    </row>
    <row r="11351" spans="1:26" ht="16.5" x14ac:dyDescent="0.35">
      <c r="A11351" s="2" t="str">
        <f ca="1">IFERROR(__xludf.DUMMYFUNCTION("""COMPUTED_VALUE"""),"Sharjah")</f>
        <v>Sharjah</v>
      </c>
      <c r="B11351" s="2" t="str">
        <f ca="1">IFERROR(__xludf.DUMMYFUNCTION("""COMPUTED_VALUE"""),"Al Khalifa Hamdan Building")</f>
        <v>Al Khalifa Hamdan Building</v>
      </c>
      <c r="C11351" s="2" t="str">
        <f ca="1">IFERROR(__xludf.DUMMYFUNCTION("""COMPUTED_VALUE"""),"Building")</f>
        <v>Building</v>
      </c>
      <c r="D11351" s="2" t="str">
        <f ca="1">IFERROR(__xludf.DUMMYFUNCTION("""COMPUTED_VALUE"""),"Sharjah&gt;Al Nabba&gt;Al Khalifa Hamdan Building")</f>
        <v>Sharjah&gt;Al Nabba&gt;Al Khalifa Hamdan Building</v>
      </c>
      <c r="E11351" s="2"/>
      <c r="F11351" s="2"/>
      <c r="G11351" s="2"/>
      <c r="H11351" s="2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2"/>
      <c r="T11351" s="2"/>
      <c r="U11351" s="2"/>
      <c r="V11351" s="2"/>
      <c r="W11351" s="2"/>
      <c r="X11351" s="2"/>
      <c r="Y11351" s="2"/>
      <c r="Z11351" s="2"/>
    </row>
    <row r="11352" spans="1:26" ht="16.5" x14ac:dyDescent="0.35">
      <c r="A11352" s="2" t="str">
        <f ca="1">IFERROR(__xludf.DUMMYFUNCTION("""COMPUTED_VALUE"""),"Sharjah")</f>
        <v>Sharjah</v>
      </c>
      <c r="B11352" s="2" t="str">
        <f ca="1">IFERROR(__xludf.DUMMYFUNCTION("""COMPUTED_VALUE"""),"Industrial Area 6")</f>
        <v>Industrial Area 6</v>
      </c>
      <c r="C11352" s="2" t="str">
        <f ca="1">IFERROR(__xludf.DUMMYFUNCTION("""COMPUTED_VALUE"""),"Neighbourhood")</f>
        <v>Neighbourhood</v>
      </c>
      <c r="D11352" s="2" t="str">
        <f ca="1">IFERROR(__xludf.DUMMYFUNCTION("""COMPUTED_VALUE"""),"Sharjah&gt;Industrial Area&gt;Industrial Area 6")</f>
        <v>Sharjah&gt;Industrial Area&gt;Industrial Area 6</v>
      </c>
      <c r="E11352" s="2"/>
      <c r="F11352" s="2"/>
      <c r="G11352" s="2"/>
      <c r="H11352" s="2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2"/>
      <c r="T11352" s="2"/>
      <c r="U11352" s="2"/>
      <c r="V11352" s="2"/>
      <c r="W11352" s="2"/>
      <c r="X11352" s="2"/>
      <c r="Y11352" s="2"/>
      <c r="Z11352" s="2"/>
    </row>
    <row r="11353" spans="1:26" ht="16.5" x14ac:dyDescent="0.35">
      <c r="A11353" s="2" t="str">
        <f ca="1">IFERROR(__xludf.DUMMYFUNCTION("""COMPUTED_VALUE"""),"Sharjah")</f>
        <v>Sharjah</v>
      </c>
      <c r="B11353" s="2" t="str">
        <f ca="1">IFERROR(__xludf.DUMMYFUNCTION("""COMPUTED_VALUE"""),"Dina Building")</f>
        <v>Dina Building</v>
      </c>
      <c r="C11353" s="2" t="str">
        <f ca="1">IFERROR(__xludf.DUMMYFUNCTION("""COMPUTED_VALUE"""),"Building")</f>
        <v>Building</v>
      </c>
      <c r="D11353" s="2" t="str">
        <f ca="1">IFERROR(__xludf.DUMMYFUNCTION("""COMPUTED_VALUE"""),"Sharjah&gt;Industrial Area&gt;Industrial Area 4&gt;Dina Building")</f>
        <v>Sharjah&gt;Industrial Area&gt;Industrial Area 4&gt;Dina Building</v>
      </c>
      <c r="E11353" s="2"/>
      <c r="F11353" s="2"/>
      <c r="G11353" s="2"/>
      <c r="H11353" s="2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2"/>
      <c r="T11353" s="2"/>
      <c r="U11353" s="2"/>
      <c r="V11353" s="2"/>
      <c r="W11353" s="2"/>
      <c r="X11353" s="2"/>
      <c r="Y11353" s="2"/>
      <c r="Z11353" s="2"/>
    </row>
    <row r="11354" spans="1:26" ht="16.5" x14ac:dyDescent="0.35">
      <c r="A11354" s="2" t="str">
        <f ca="1">IFERROR(__xludf.DUMMYFUNCTION("""COMPUTED_VALUE"""),"Sharjah")</f>
        <v>Sharjah</v>
      </c>
      <c r="B11354" s="2" t="str">
        <f ca="1">IFERROR(__xludf.DUMMYFUNCTION("""COMPUTED_VALUE"""),"RB 2")</f>
        <v>RB 2</v>
      </c>
      <c r="C11354" s="2" t="str">
        <f ca="1">IFERROR(__xludf.DUMMYFUNCTION("""COMPUTED_VALUE"""),"Building")</f>
        <v>Building</v>
      </c>
      <c r="D11354" s="2" t="str">
        <f ca="1">IFERROR(__xludf.DUMMYFUNCTION("""COMPUTED_VALUE"""),"Sharjah&gt;Muwaileh&gt;Al Mamsha&gt;Souks Residential&gt;RB 2")</f>
        <v>Sharjah&gt;Muwaileh&gt;Al Mamsha&gt;Souks Residential&gt;RB 2</v>
      </c>
      <c r="E11354" s="2"/>
      <c r="F11354" s="2"/>
      <c r="G11354" s="2"/>
      <c r="H11354" s="2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2"/>
      <c r="T11354" s="2"/>
      <c r="U11354" s="2"/>
      <c r="V11354" s="2"/>
      <c r="W11354" s="2"/>
      <c r="X11354" s="2"/>
      <c r="Y11354" s="2"/>
      <c r="Z11354" s="2"/>
    </row>
    <row r="11355" spans="1:26" ht="16.5" x14ac:dyDescent="0.35">
      <c r="A11355" s="2" t="str">
        <f ca="1">IFERROR(__xludf.DUMMYFUNCTION("""COMPUTED_VALUE"""),"Sharjah")</f>
        <v>Sharjah</v>
      </c>
      <c r="B11355" s="2" t="str">
        <f ca="1">IFERROR(__xludf.DUMMYFUNCTION("""COMPUTED_VALUE"""),"UpTown Al Zahia")</f>
        <v>UpTown Al Zahia</v>
      </c>
      <c r="C11355" s="2" t="str">
        <f ca="1">IFERROR(__xludf.DUMMYFUNCTION("""COMPUTED_VALUE"""),"Neighbourhood")</f>
        <v>Neighbourhood</v>
      </c>
      <c r="D11355" s="2" t="str">
        <f ca="1">IFERROR(__xludf.DUMMYFUNCTION("""COMPUTED_VALUE"""),"Sharjah&gt;Muwaileh&gt;Al Zahia&gt;UpTown Al Zahia")</f>
        <v>Sharjah&gt;Muwaileh&gt;Al Zahia&gt;UpTown Al Zahia</v>
      </c>
      <c r="E11355" s="2"/>
      <c r="F11355" s="2"/>
      <c r="G11355" s="2"/>
      <c r="H11355" s="2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2"/>
      <c r="T11355" s="2"/>
      <c r="U11355" s="2"/>
      <c r="V11355" s="2"/>
      <c r="W11355" s="2"/>
      <c r="X11355" s="2"/>
      <c r="Y11355" s="2"/>
      <c r="Z11355" s="2"/>
    </row>
    <row r="11356" spans="1:26" ht="16.5" x14ac:dyDescent="0.35">
      <c r="A11356" s="2" t="str">
        <f ca="1">IFERROR(__xludf.DUMMYFUNCTION("""COMPUTED_VALUE"""),"Sharjah")</f>
        <v>Sharjah</v>
      </c>
      <c r="B11356" s="2" t="str">
        <f ca="1">IFERROR(__xludf.DUMMYFUNCTION("""COMPUTED_VALUE"""),"Ryan International School, Sharjah")</f>
        <v>Ryan International School, Sharjah</v>
      </c>
      <c r="C11356" s="2" t="str">
        <f ca="1">IFERROR(__xludf.DUMMYFUNCTION("""COMPUTED_VALUE"""),"School")</f>
        <v>School</v>
      </c>
      <c r="D11356" s="2" t="str">
        <f ca="1">IFERROR(__xludf.DUMMYFUNCTION("""COMPUTED_VALUE"""),"Sharjah&gt;Muwaileh Commercial&gt;Ryan International School, Sharjah")</f>
        <v>Sharjah&gt;Muwaileh Commercial&gt;Ryan International School, Sharjah</v>
      </c>
      <c r="E11356" s="2"/>
      <c r="F11356" s="2"/>
      <c r="G11356" s="2"/>
      <c r="H11356" s="2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2"/>
      <c r="T11356" s="2"/>
      <c r="U11356" s="2"/>
      <c r="V11356" s="2"/>
      <c r="W11356" s="2"/>
      <c r="X11356" s="2"/>
      <c r="Y11356" s="2"/>
      <c r="Z11356" s="2"/>
    </row>
    <row r="11357" spans="1:26" ht="16.5" x14ac:dyDescent="0.35">
      <c r="A11357" s="2" t="str">
        <f ca="1">IFERROR(__xludf.DUMMYFUNCTION("""COMPUTED_VALUE"""),"Sharjah")</f>
        <v>Sharjah</v>
      </c>
      <c r="B11357" s="2" t="str">
        <f ca="1">IFERROR(__xludf.DUMMYFUNCTION("""COMPUTED_VALUE"""),"Garden Residence")</f>
        <v>Garden Residence</v>
      </c>
      <c r="C11357" s="2"/>
      <c r="D11357" s="2" t="str">
        <f ca="1">IFERROR(__xludf.DUMMYFUNCTION("""COMPUTED_VALUE"""),"Sharjah&gt;Muwaileh Commercial&gt;Garden Residence")</f>
        <v>Sharjah&gt;Muwaileh Commercial&gt;Garden Residence</v>
      </c>
      <c r="E11357" s="2"/>
      <c r="F11357" s="2"/>
      <c r="G11357" s="2"/>
      <c r="H11357" s="2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2"/>
      <c r="T11357" s="2"/>
      <c r="U11357" s="2"/>
      <c r="V11357" s="2"/>
      <c r="W11357" s="2"/>
      <c r="X11357" s="2"/>
      <c r="Y11357" s="2"/>
      <c r="Z11357" s="2"/>
    </row>
    <row r="11358" spans="1:26" ht="16.5" x14ac:dyDescent="0.35">
      <c r="A11358" s="2" t="str">
        <f ca="1">IFERROR(__xludf.DUMMYFUNCTION("""COMPUTED_VALUE"""),"Sharjah")</f>
        <v>Sharjah</v>
      </c>
      <c r="B11358" s="2" t="str">
        <f ca="1">IFERROR(__xludf.DUMMYFUNCTION("""COMPUTED_VALUE"""),"Woroud 1")</f>
        <v>Woroud 1</v>
      </c>
      <c r="C11358" s="2" t="str">
        <f ca="1">IFERROR(__xludf.DUMMYFUNCTION("""COMPUTED_VALUE"""),"Building")</f>
        <v>Building</v>
      </c>
      <c r="D11358" s="2" t="str">
        <f ca="1">IFERROR(__xludf.DUMMYFUNCTION("""COMPUTED_VALUE"""),"Sharjah&gt;Muwaileh&gt;Al Zahia&gt;UpTown Al Zahia&gt;Woroud&gt;Woroud 1")</f>
        <v>Sharjah&gt;Muwaileh&gt;Al Zahia&gt;UpTown Al Zahia&gt;Woroud&gt;Woroud 1</v>
      </c>
      <c r="E11358" s="2"/>
      <c r="F11358" s="2"/>
      <c r="G11358" s="2"/>
      <c r="H11358" s="2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2"/>
      <c r="T11358" s="2"/>
      <c r="U11358" s="2"/>
      <c r="V11358" s="2"/>
      <c r="W11358" s="2"/>
      <c r="X11358" s="2"/>
      <c r="Y11358" s="2"/>
      <c r="Z11358" s="2"/>
    </row>
    <row r="11359" spans="1:26" ht="16.5" x14ac:dyDescent="0.35">
      <c r="A11359" s="2" t="str">
        <f ca="1">IFERROR(__xludf.DUMMYFUNCTION("""COMPUTED_VALUE"""),"Sharjah")</f>
        <v>Sharjah</v>
      </c>
      <c r="B11359" s="2" t="str">
        <f ca="1">IFERROR(__xludf.DUMMYFUNCTION("""COMPUTED_VALUE"""),"Sharjah Ambassador School")</f>
        <v>Sharjah Ambassador School</v>
      </c>
      <c r="C11359" s="2" t="str">
        <f ca="1">IFERROR(__xludf.DUMMYFUNCTION("""COMPUTED_VALUE"""),"School")</f>
        <v>School</v>
      </c>
      <c r="D11359" s="2" t="str">
        <f ca="1">IFERROR(__xludf.DUMMYFUNCTION("""COMPUTED_VALUE"""),"Sharjah&gt;Muwaileh Commercial&gt;Sharjah Ambassador School")</f>
        <v>Sharjah&gt;Muwaileh Commercial&gt;Sharjah Ambassador School</v>
      </c>
      <c r="E11359" s="2"/>
      <c r="F11359" s="2"/>
      <c r="G11359" s="2"/>
      <c r="H11359" s="2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2"/>
      <c r="T11359" s="2"/>
      <c r="U11359" s="2"/>
      <c r="V11359" s="2"/>
      <c r="W11359" s="2"/>
      <c r="X11359" s="2"/>
      <c r="Y11359" s="2"/>
      <c r="Z11359" s="2"/>
    </row>
    <row r="11360" spans="1:26" ht="16.5" x14ac:dyDescent="0.35">
      <c r="A11360" s="2" t="str">
        <f ca="1">IFERROR(__xludf.DUMMYFUNCTION("""COMPUTED_VALUE"""),"Sharjah")</f>
        <v>Sharjah</v>
      </c>
      <c r="B11360" s="2" t="str">
        <f ca="1">IFERROR(__xludf.DUMMYFUNCTION("""COMPUTED_VALUE"""),"Zar 2 Building")</f>
        <v>Zar 2 Building</v>
      </c>
      <c r="C11360" s="2"/>
      <c r="D11360" s="2" t="str">
        <f ca="1">IFERROR(__xludf.DUMMYFUNCTION("""COMPUTED_VALUE"""),"Sharjah&gt;Muwaileh Commercial&gt;Zar 2 Building")</f>
        <v>Sharjah&gt;Muwaileh Commercial&gt;Zar 2 Building</v>
      </c>
      <c r="E11360" s="2"/>
      <c r="F11360" s="2"/>
      <c r="G11360" s="2"/>
      <c r="H11360" s="2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2"/>
      <c r="T11360" s="2"/>
      <c r="U11360" s="2"/>
      <c r="V11360" s="2"/>
      <c r="W11360" s="2"/>
      <c r="X11360" s="2"/>
      <c r="Y11360" s="2"/>
      <c r="Z11360" s="2"/>
    </row>
    <row r="11361" spans="1:26" ht="16.5" x14ac:dyDescent="0.35">
      <c r="A11361" s="2" t="str">
        <f ca="1">IFERROR(__xludf.DUMMYFUNCTION("""COMPUTED_VALUE"""),"Sharjah")</f>
        <v>Sharjah</v>
      </c>
      <c r="B11361" s="2" t="str">
        <f ca="1">IFERROR(__xludf.DUMMYFUNCTION("""COMPUTED_VALUE"""),"Building 779")</f>
        <v>Building 779</v>
      </c>
      <c r="C11361" s="2" t="str">
        <f ca="1">IFERROR(__xludf.DUMMYFUNCTION("""COMPUTED_VALUE"""),"Building")</f>
        <v>Building</v>
      </c>
      <c r="D11361" s="2" t="str">
        <f ca="1">IFERROR(__xludf.DUMMYFUNCTION("""COMPUTED_VALUE"""),"Sharjah&gt;Muwaileh Commercial&gt;Building 779")</f>
        <v>Sharjah&gt;Muwaileh Commercial&gt;Building 779</v>
      </c>
      <c r="E11361" s="2"/>
      <c r="F11361" s="2"/>
      <c r="G11361" s="2"/>
      <c r="H11361" s="2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2"/>
      <c r="T11361" s="2"/>
      <c r="U11361" s="2"/>
      <c r="V11361" s="2"/>
      <c r="W11361" s="2"/>
      <c r="X11361" s="2"/>
      <c r="Y11361" s="2"/>
      <c r="Z11361" s="2"/>
    </row>
    <row r="11362" spans="1:26" ht="16.5" x14ac:dyDescent="0.35">
      <c r="A11362" s="2" t="str">
        <f ca="1">IFERROR(__xludf.DUMMYFUNCTION("""COMPUTED_VALUE"""),"Al Ain")</f>
        <v>Al Ain</v>
      </c>
      <c r="B11362" s="2" t="str">
        <f ca="1">IFERROR(__xludf.DUMMYFUNCTION("""COMPUTED_VALUE"""),"Al Ajban")</f>
        <v>Al Ajban</v>
      </c>
      <c r="C11362" s="2" t="str">
        <f ca="1">IFERROR(__xludf.DUMMYFUNCTION("""COMPUTED_VALUE"""),"Neighbourhood")</f>
        <v>Neighbourhood</v>
      </c>
      <c r="D11362" s="2" t="str">
        <f ca="1">IFERROR(__xludf.DUMMYFUNCTION("""COMPUTED_VALUE"""),"Al Ain&gt;Al Ajban")</f>
        <v>Al Ain&gt;Al Ajban</v>
      </c>
      <c r="E11362" s="2"/>
      <c r="F11362" s="2"/>
      <c r="G11362" s="2"/>
      <c r="H11362" s="2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2"/>
      <c r="T11362" s="2"/>
      <c r="U11362" s="2"/>
      <c r="V11362" s="2"/>
      <c r="W11362" s="2"/>
      <c r="X11362" s="2"/>
      <c r="Y11362" s="2"/>
      <c r="Z11362" s="2"/>
    </row>
    <row r="11363" spans="1:26" ht="16.5" x14ac:dyDescent="0.35">
      <c r="A11363" s="2" t="str">
        <f ca="1">IFERROR(__xludf.DUMMYFUNCTION("""COMPUTED_VALUE"""),"Al Ain")</f>
        <v>Al Ain</v>
      </c>
      <c r="B11363" s="2" t="str">
        <f ca="1">IFERROR(__xludf.DUMMYFUNCTION("""COMPUTED_VALUE"""),"Hai Al Humaira")</f>
        <v>Hai Al Humaira</v>
      </c>
      <c r="C11363" s="2" t="str">
        <f ca="1">IFERROR(__xludf.DUMMYFUNCTION("""COMPUTED_VALUE"""),"Neighbourhood")</f>
        <v>Neighbourhood</v>
      </c>
      <c r="D11363" s="2" t="str">
        <f ca="1">IFERROR(__xludf.DUMMYFUNCTION("""COMPUTED_VALUE"""),"Al Ain&gt;Central District&gt;Hai Al Humaira")</f>
        <v>Al Ain&gt;Central District&gt;Hai Al Humaira</v>
      </c>
      <c r="E11363" s="2"/>
      <c r="F11363" s="2"/>
      <c r="G11363" s="2"/>
      <c r="H11363" s="2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2"/>
      <c r="T11363" s="2"/>
      <c r="U11363" s="2"/>
      <c r="V11363" s="2"/>
      <c r="W11363" s="2"/>
      <c r="X11363" s="2"/>
      <c r="Y11363" s="2"/>
      <c r="Z11363" s="2"/>
    </row>
    <row r="11364" spans="1:26" ht="16.5" x14ac:dyDescent="0.35">
      <c r="A11364" s="2" t="str">
        <f ca="1">IFERROR(__xludf.DUMMYFUNCTION("""COMPUTED_VALUE"""),"Al Ain")</f>
        <v>Al Ain</v>
      </c>
      <c r="B11364" s="2" t="str">
        <f ca="1">IFERROR(__xludf.DUMMYFUNCTION("""COMPUTED_VALUE"""),"Al Dhafra Private School, Al Ain")</f>
        <v>Al Dhafra Private School, Al Ain</v>
      </c>
      <c r="C11364" s="2" t="str">
        <f ca="1">IFERROR(__xludf.DUMMYFUNCTION("""COMPUTED_VALUE"""),"School")</f>
        <v>School</v>
      </c>
      <c r="D11364" s="2" t="str">
        <f ca="1">IFERROR(__xludf.DUMMYFUNCTION("""COMPUTED_VALUE"""),"Al Ain&gt;Al Muwaiji&gt;Al Ruwaikah&gt;Al Dhafra Private School, Al Ain")</f>
        <v>Al Ain&gt;Al Muwaiji&gt;Al Ruwaikah&gt;Al Dhafra Private School, Al Ain</v>
      </c>
      <c r="E11364" s="2"/>
      <c r="F11364" s="2"/>
      <c r="G11364" s="2"/>
      <c r="H11364" s="2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2"/>
      <c r="T11364" s="2"/>
      <c r="U11364" s="2"/>
      <c r="V11364" s="2"/>
      <c r="W11364" s="2"/>
      <c r="X11364" s="2"/>
      <c r="Y11364" s="2"/>
      <c r="Z11364" s="2"/>
    </row>
    <row r="11365" spans="1:26" ht="16.5" x14ac:dyDescent="0.35">
      <c r="A11365" s="2" t="str">
        <f ca="1">IFERROR(__xludf.DUMMYFUNCTION("""COMPUTED_VALUE"""),"Al Ain")</f>
        <v>Al Ain</v>
      </c>
      <c r="B11365" s="2" t="str">
        <f ca="1">IFERROR(__xludf.DUMMYFUNCTION("""COMPUTED_VALUE"""),"Hili 16")</f>
        <v>Hili 16</v>
      </c>
      <c r="C11365" s="2" t="str">
        <f ca="1">IFERROR(__xludf.DUMMYFUNCTION("""COMPUTED_VALUE"""),"Neighbourhood")</f>
        <v>Neighbourhood</v>
      </c>
      <c r="D11365" s="2" t="str">
        <f ca="1">IFERROR(__xludf.DUMMYFUNCTION("""COMPUTED_VALUE"""),"Al Ain&gt;Hili&gt;Hili 16")</f>
        <v>Al Ain&gt;Hili&gt;Hili 16</v>
      </c>
      <c r="E11365" s="2"/>
      <c r="F11365" s="2"/>
      <c r="G11365" s="2"/>
      <c r="H11365" s="2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2"/>
      <c r="T11365" s="2"/>
      <c r="U11365" s="2"/>
      <c r="V11365" s="2"/>
      <c r="W11365" s="2"/>
      <c r="X11365" s="2"/>
      <c r="Y11365" s="2"/>
      <c r="Z11365" s="2"/>
    </row>
    <row r="11366" spans="1:26" ht="16.5" x14ac:dyDescent="0.35">
      <c r="A11366" s="2" t="str">
        <f ca="1">IFERROR(__xludf.DUMMYFUNCTION("""COMPUTED_VALUE"""),"Al Ain")</f>
        <v>Al Ain</v>
      </c>
      <c r="B11366" s="2" t="str">
        <f ca="1">IFERROR(__xludf.DUMMYFUNCTION("""COMPUTED_VALUE"""),"Mohammed Bin Khalid Al Nahyan (MBK) School")</f>
        <v>Mohammed Bin Khalid Al Nahyan (MBK) School</v>
      </c>
      <c r="C11366" s="2" t="str">
        <f ca="1">IFERROR(__xludf.DUMMYFUNCTION("""COMPUTED_VALUE"""),"School")</f>
        <v>School</v>
      </c>
      <c r="D11366" s="2" t="str">
        <f ca="1">IFERROR(__xludf.DUMMYFUNCTION("""COMPUTED_VALUE"""),"Al Ain&gt;Falaj Hazzaa&gt;Mohammed Bin Khalid Al Nahyan (MBK) School")</f>
        <v>Al Ain&gt;Falaj Hazzaa&gt;Mohammed Bin Khalid Al Nahyan (MBK) School</v>
      </c>
      <c r="E11366" s="2"/>
      <c r="F11366" s="2"/>
      <c r="G11366" s="2"/>
      <c r="H11366" s="2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2"/>
      <c r="T11366" s="2"/>
      <c r="U11366" s="2"/>
      <c r="V11366" s="2"/>
      <c r="W11366" s="2"/>
      <c r="X11366" s="2"/>
      <c r="Y11366" s="2"/>
      <c r="Z11366" s="2"/>
    </row>
    <row r="11367" spans="1:26" ht="16.5" x14ac:dyDescent="0.35">
      <c r="A11367" s="2" t="str">
        <f ca="1">IFERROR(__xludf.DUMMYFUNCTION("""COMPUTED_VALUE"""),"Al Ain")</f>
        <v>Al Ain</v>
      </c>
      <c r="B11367" s="2" t="str">
        <f ca="1">IFERROR(__xludf.DUMMYFUNCTION("""COMPUTED_VALUE"""),"Shabiyat Al Maqam")</f>
        <v>Shabiyat Al Maqam</v>
      </c>
      <c r="C11367" s="2" t="str">
        <f ca="1">IFERROR(__xludf.DUMMYFUNCTION("""COMPUTED_VALUE"""),"Neighbourhood")</f>
        <v>Neighbourhood</v>
      </c>
      <c r="D11367" s="2" t="str">
        <f ca="1">IFERROR(__xludf.DUMMYFUNCTION("""COMPUTED_VALUE"""),"Al Ain&gt;Al Maqam&gt;Shabiyat Al Maqam")</f>
        <v>Al Ain&gt;Al Maqam&gt;Shabiyat Al Maqam</v>
      </c>
      <c r="E11367" s="2"/>
      <c r="F11367" s="2"/>
      <c r="G11367" s="2"/>
      <c r="H11367" s="2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2"/>
      <c r="T11367" s="2"/>
      <c r="U11367" s="2"/>
      <c r="V11367" s="2"/>
      <c r="W11367" s="2"/>
      <c r="X11367" s="2"/>
      <c r="Y11367" s="2"/>
      <c r="Z11367" s="2"/>
    </row>
    <row r="11368" spans="1:26" ht="16.5" x14ac:dyDescent="0.35">
      <c r="A11368" s="2" t="str">
        <f ca="1">IFERROR(__xludf.DUMMYFUNCTION("""COMPUTED_VALUE"""),"Al Ain")</f>
        <v>Al Ain</v>
      </c>
      <c r="B11368" s="2" t="str">
        <f ca="1">IFERROR(__xludf.DUMMYFUNCTION("""COMPUTED_VALUE"""),"Al Rawdah")</f>
        <v>Al Rawdah</v>
      </c>
      <c r="C11368" s="2" t="str">
        <f ca="1">IFERROR(__xludf.DUMMYFUNCTION("""COMPUTED_VALUE"""),"Neighbourhood")</f>
        <v>Neighbourhood</v>
      </c>
      <c r="D11368" s="2" t="str">
        <f ca="1">IFERROR(__xludf.DUMMYFUNCTION("""COMPUTED_VALUE"""),"Al Ain&gt;Al Rawdah")</f>
        <v>Al Ain&gt;Al Rawdah</v>
      </c>
      <c r="E11368" s="2"/>
      <c r="F11368" s="2"/>
      <c r="G11368" s="2"/>
      <c r="H11368" s="2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2"/>
      <c r="T11368" s="2"/>
      <c r="U11368" s="2"/>
      <c r="V11368" s="2"/>
      <c r="W11368" s="2"/>
      <c r="X11368" s="2"/>
      <c r="Y11368" s="2"/>
      <c r="Z11368" s="2"/>
    </row>
    <row r="11369" spans="1:26" ht="16.5" x14ac:dyDescent="0.35">
      <c r="A11369" s="2" t="str">
        <f ca="1">IFERROR(__xludf.DUMMYFUNCTION("""COMPUTED_VALUE"""),"Ras Al Khaimah")</f>
        <v>Ras Al Khaimah</v>
      </c>
      <c r="B11369" s="2" t="str">
        <f ca="1">IFERROR(__xludf.DUMMYFUNCTION("""COMPUTED_VALUE"""),"Nasim Lofts")</f>
        <v>Nasim Lofts</v>
      </c>
      <c r="C11369" s="2" t="str">
        <f ca="1">IFERROR(__xludf.DUMMYFUNCTION("""COMPUTED_VALUE"""),"Building")</f>
        <v>Building</v>
      </c>
      <c r="D11369" s="2" t="str">
        <f ca="1">IFERROR(__xludf.DUMMYFUNCTION("""COMPUTED_VALUE"""),"Ras Al Khaimah&gt;Mina Al Arab&gt;Hayat Island&gt;Nasim Lofts")</f>
        <v>Ras Al Khaimah&gt;Mina Al Arab&gt;Hayat Island&gt;Nasim Lofts</v>
      </c>
      <c r="E11369" s="2"/>
      <c r="F11369" s="2"/>
      <c r="G11369" s="2"/>
      <c r="H11369" s="2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2"/>
      <c r="T11369" s="2"/>
      <c r="U11369" s="2"/>
      <c r="V11369" s="2"/>
      <c r="W11369" s="2"/>
      <c r="X11369" s="2"/>
      <c r="Y11369" s="2"/>
      <c r="Z11369" s="2"/>
    </row>
    <row r="11370" spans="1:26" ht="16.5" x14ac:dyDescent="0.35">
      <c r="A11370" s="2" t="str">
        <f ca="1">IFERROR(__xludf.DUMMYFUNCTION("""COMPUTED_VALUE"""),"Ras Al Khaimah")</f>
        <v>Ras Al Khaimah</v>
      </c>
      <c r="B11370" s="2" t="str">
        <f ca="1">IFERROR(__xludf.DUMMYFUNCTION("""COMPUTED_VALUE"""),"Marbella Bay - West")</f>
        <v>Marbella Bay - West</v>
      </c>
      <c r="C11370" s="2" t="str">
        <f ca="1">IFERROR(__xludf.DUMMYFUNCTION("""COMPUTED_VALUE"""),"Building")</f>
        <v>Building</v>
      </c>
      <c r="D11370" s="2" t="str">
        <f ca="1">IFERROR(__xludf.DUMMYFUNCTION("""COMPUTED_VALUE"""),"Ras Al Khaimah&gt;Al Marjan Island&gt;Marbella Bay - West")</f>
        <v>Ras Al Khaimah&gt;Al Marjan Island&gt;Marbella Bay - West</v>
      </c>
      <c r="E11370" s="2"/>
      <c r="F11370" s="2"/>
      <c r="G11370" s="2"/>
      <c r="H11370" s="2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2"/>
      <c r="T11370" s="2"/>
      <c r="U11370" s="2"/>
      <c r="V11370" s="2"/>
      <c r="W11370" s="2"/>
      <c r="X11370" s="2"/>
      <c r="Y11370" s="2"/>
      <c r="Z11370" s="2"/>
    </row>
    <row r="11371" spans="1:26" ht="16.5" x14ac:dyDescent="0.35">
      <c r="A11371" s="2" t="str">
        <f ca="1">IFERROR(__xludf.DUMMYFUNCTION("""COMPUTED_VALUE"""),"Ras Al Khaimah")</f>
        <v>Ras Al Khaimah</v>
      </c>
      <c r="B11371" s="2" t="str">
        <f ca="1">IFERROR(__xludf.DUMMYFUNCTION("""COMPUTED_VALUE"""),"Sunshine Bay")</f>
        <v>Sunshine Bay</v>
      </c>
      <c r="C11371" s="2" t="str">
        <f ca="1">IFERROR(__xludf.DUMMYFUNCTION("""COMPUTED_VALUE"""),"Building")</f>
        <v>Building</v>
      </c>
      <c r="D11371" s="2" t="str">
        <f ca="1">IFERROR(__xludf.DUMMYFUNCTION("""COMPUTED_VALUE"""),"Ras Al Khaimah&gt;Al Marjan Island&gt;Sunshine Bay")</f>
        <v>Ras Al Khaimah&gt;Al Marjan Island&gt;Sunshine Bay</v>
      </c>
      <c r="E11371" s="2"/>
      <c r="F11371" s="2"/>
      <c r="G11371" s="2"/>
      <c r="H11371" s="2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2"/>
      <c r="T11371" s="2"/>
      <c r="U11371" s="2"/>
      <c r="V11371" s="2"/>
      <c r="W11371" s="2"/>
      <c r="X11371" s="2"/>
      <c r="Y11371" s="2"/>
      <c r="Z11371" s="2"/>
    </row>
    <row r="11372" spans="1:26" ht="16.5" x14ac:dyDescent="0.35">
      <c r="A11372" s="2" t="str">
        <f ca="1">IFERROR(__xludf.DUMMYFUNCTION("""COMPUTED_VALUE"""),"Ras Al Khaimah")</f>
        <v>Ras Al Khaimah</v>
      </c>
      <c r="B11372" s="2" t="str">
        <f ca="1">IFERROR(__xludf.DUMMYFUNCTION("""COMPUTED_VALUE"""),"Al Hamra Village")</f>
        <v>Al Hamra Village</v>
      </c>
      <c r="C11372" s="2" t="str">
        <f ca="1">IFERROR(__xludf.DUMMYFUNCTION("""COMPUTED_VALUE"""),"Neighbourhood")</f>
        <v>Neighbourhood</v>
      </c>
      <c r="D11372" s="2" t="str">
        <f ca="1">IFERROR(__xludf.DUMMYFUNCTION("""COMPUTED_VALUE"""),"Ras Al Khaimah&gt;Al Hamra Village")</f>
        <v>Ras Al Khaimah&gt;Al Hamra Village</v>
      </c>
      <c r="E11372" s="2"/>
      <c r="F11372" s="2"/>
      <c r="G11372" s="2"/>
      <c r="H11372" s="2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2"/>
      <c r="T11372" s="2"/>
      <c r="U11372" s="2"/>
      <c r="V11372" s="2"/>
      <c r="W11372" s="2"/>
      <c r="X11372" s="2"/>
      <c r="Y11372" s="2"/>
      <c r="Z11372" s="2"/>
    </row>
    <row r="11373" spans="1:26" ht="16.5" x14ac:dyDescent="0.35">
      <c r="A11373" s="2" t="str">
        <f ca="1">IFERROR(__xludf.DUMMYFUNCTION("""COMPUTED_VALUE"""),"Ras Al Khaimah")</f>
        <v>Ras Al Khaimah</v>
      </c>
      <c r="B11373" s="2" t="str">
        <f ca="1">IFERROR(__xludf.DUMMYFUNCTION("""COMPUTED_VALUE"""),"Al Hamra Waterfront Tower C")</f>
        <v>Al Hamra Waterfront Tower C</v>
      </c>
      <c r="C11373" s="2" t="str">
        <f ca="1">IFERROR(__xludf.DUMMYFUNCTION("""COMPUTED_VALUE"""),"Building")</f>
        <v>Building</v>
      </c>
      <c r="D11373" s="2" t="str">
        <f ca="1">IFERROR(__xludf.DUMMYFUNCTION("""COMPUTED_VALUE"""),"Ras Al Khaimah&gt;Al Hamra Village&gt;Al Hamra Waterfront Tower C")</f>
        <v>Ras Al Khaimah&gt;Al Hamra Village&gt;Al Hamra Waterfront Tower C</v>
      </c>
      <c r="E11373" s="2"/>
      <c r="F11373" s="2"/>
      <c r="G11373" s="2"/>
      <c r="H11373" s="2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2"/>
      <c r="T11373" s="2"/>
      <c r="U11373" s="2"/>
      <c r="V11373" s="2"/>
      <c r="W11373" s="2"/>
      <c r="X11373" s="2"/>
      <c r="Y11373" s="2"/>
      <c r="Z11373" s="2"/>
    </row>
    <row r="11374" spans="1:26" ht="16.5" x14ac:dyDescent="0.35">
      <c r="A11374" s="2" t="str">
        <f ca="1">IFERROR(__xludf.DUMMYFUNCTION("""COMPUTED_VALUE"""),"Ras Al Khaimah")</f>
        <v>Ras Al Khaimah</v>
      </c>
      <c r="B11374" s="2" t="str">
        <f ca="1">IFERROR(__xludf.DUMMYFUNCTION("""COMPUTED_VALUE"""),"Al Dhait North")</f>
        <v>Al Dhait North</v>
      </c>
      <c r="C11374" s="2"/>
      <c r="D11374" s="2" t="str">
        <f ca="1">IFERROR(__xludf.DUMMYFUNCTION("""COMPUTED_VALUE"""),"Ras Al Khaimah&gt;Al Dhait&gt;Al Dhait North")</f>
        <v>Ras Al Khaimah&gt;Al Dhait&gt;Al Dhait North</v>
      </c>
      <c r="E11374" s="2"/>
      <c r="F11374" s="2"/>
      <c r="G11374" s="2"/>
      <c r="H11374" s="2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2"/>
      <c r="T11374" s="2"/>
      <c r="U11374" s="2"/>
      <c r="V11374" s="2"/>
      <c r="W11374" s="2"/>
      <c r="X11374" s="2"/>
      <c r="Y11374" s="2"/>
      <c r="Z11374" s="2"/>
    </row>
    <row r="11375" spans="1:26" ht="16.5" x14ac:dyDescent="0.35">
      <c r="A11375" s="2" t="str">
        <f ca="1">IFERROR(__xludf.DUMMYFUNCTION("""COMPUTED_VALUE"""),"Ras Al Khaimah")</f>
        <v>Ras Al Khaimah</v>
      </c>
      <c r="B11375" s="2" t="str">
        <f ca="1">IFERROR(__xludf.DUMMYFUNCTION("""COMPUTED_VALUE"""),"Al Hudaibah")</f>
        <v>Al Hudaibah</v>
      </c>
      <c r="C11375" s="2" t="str">
        <f ca="1">IFERROR(__xludf.DUMMYFUNCTION("""COMPUTED_VALUE"""),"Neighbourhood")</f>
        <v>Neighbourhood</v>
      </c>
      <c r="D11375" s="2" t="str">
        <f ca="1">IFERROR(__xludf.DUMMYFUNCTION("""COMPUTED_VALUE"""),"Ras Al Khaimah&gt;Al Hudaibah")</f>
        <v>Ras Al Khaimah&gt;Al Hudaibah</v>
      </c>
      <c r="E11375" s="2"/>
      <c r="F11375" s="2"/>
      <c r="G11375" s="2"/>
      <c r="H11375" s="2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2"/>
      <c r="T11375" s="2"/>
      <c r="U11375" s="2"/>
      <c r="V11375" s="2"/>
      <c r="W11375" s="2"/>
      <c r="X11375" s="2"/>
      <c r="Y11375" s="2"/>
      <c r="Z11375" s="2"/>
    </row>
    <row r="11376" spans="1:26" ht="16.5" x14ac:dyDescent="0.35">
      <c r="A11376" s="2" t="str">
        <f ca="1">IFERROR(__xludf.DUMMYFUNCTION("""COMPUTED_VALUE"""),"Ras Al Khaimah")</f>
        <v>Ras Al Khaimah</v>
      </c>
      <c r="B11376" s="2" t="str">
        <f ca="1">IFERROR(__xludf.DUMMYFUNCTION("""COMPUTED_VALUE"""),"RAK Academy British School Khuzam (BSK)")</f>
        <v>RAK Academy British School Khuzam (BSK)</v>
      </c>
      <c r="C11376" s="2" t="str">
        <f ca="1">IFERROR(__xludf.DUMMYFUNCTION("""COMPUTED_VALUE"""),"School")</f>
        <v>School</v>
      </c>
      <c r="D11376" s="2" t="str">
        <f ca="1">IFERROR(__xludf.DUMMYFUNCTION("""COMPUTED_VALUE"""),"Ras Al Khaimah&gt;Dafan Al Khor&gt;RAK Academy British School Khuzam (BSK)")</f>
        <v>Ras Al Khaimah&gt;Dafan Al Khor&gt;RAK Academy British School Khuzam (BSK)</v>
      </c>
      <c r="E11376" s="2"/>
      <c r="F11376" s="2"/>
      <c r="G11376" s="2"/>
      <c r="H11376" s="2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2"/>
      <c r="T11376" s="2"/>
      <c r="U11376" s="2"/>
      <c r="V11376" s="2"/>
      <c r="W11376" s="2"/>
      <c r="X11376" s="2"/>
      <c r="Y11376" s="2"/>
      <c r="Z11376" s="2"/>
    </row>
    <row r="11377" spans="1:26" ht="16.5" x14ac:dyDescent="0.35">
      <c r="A11377" s="2" t="str">
        <f ca="1">IFERROR(__xludf.DUMMYFUNCTION("""COMPUTED_VALUE"""),"Ras Al Khaimah")</f>
        <v>Ras Al Khaimah</v>
      </c>
      <c r="B11377" s="2" t="str">
        <f ca="1">IFERROR(__xludf.DUMMYFUNCTION("""COMPUTED_VALUE"""),"Diftah")</f>
        <v>Diftah</v>
      </c>
      <c r="C11377" s="2" t="str">
        <f ca="1">IFERROR(__xludf.DUMMYFUNCTION("""COMPUTED_VALUE"""),"Neighbourhood")</f>
        <v>Neighbourhood</v>
      </c>
      <c r="D11377" s="2" t="str">
        <f ca="1">IFERROR(__xludf.DUMMYFUNCTION("""COMPUTED_VALUE"""),"Ras Al Khaimah&gt;Diftah")</f>
        <v>Ras Al Khaimah&gt;Diftah</v>
      </c>
      <c r="E11377" s="2"/>
      <c r="F11377" s="2"/>
      <c r="G11377" s="2"/>
      <c r="H11377" s="2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2"/>
      <c r="T11377" s="2"/>
      <c r="U11377" s="2"/>
      <c r="V11377" s="2"/>
      <c r="W11377" s="2"/>
      <c r="X11377" s="2"/>
      <c r="Y11377" s="2"/>
      <c r="Z11377" s="2"/>
    </row>
    <row r="11378" spans="1:26" ht="16.5" x14ac:dyDescent="0.35">
      <c r="A11378" s="2" t="str">
        <f ca="1">IFERROR(__xludf.DUMMYFUNCTION("""COMPUTED_VALUE"""),"Umm Al Quwain")</f>
        <v>Umm Al Quwain</v>
      </c>
      <c r="B11378" s="2" t="str">
        <f ca="1">IFERROR(__xludf.DUMMYFUNCTION("""COMPUTED_VALUE"""),"Al Salamah 1")</f>
        <v>Al Salamah 1</v>
      </c>
      <c r="C11378" s="2" t="str">
        <f ca="1">IFERROR(__xludf.DUMMYFUNCTION("""COMPUTED_VALUE"""),"Neighbourhood")</f>
        <v>Neighbourhood</v>
      </c>
      <c r="D11378" s="2" t="str">
        <f ca="1">IFERROR(__xludf.DUMMYFUNCTION("""COMPUTED_VALUE"""),"Umm Al Quwain&gt;Al Salamah&gt;Al Salamah 1")</f>
        <v>Umm Al Quwain&gt;Al Salamah&gt;Al Salamah 1</v>
      </c>
      <c r="E11378" s="2"/>
      <c r="F11378" s="2"/>
      <c r="G11378" s="2"/>
      <c r="H11378" s="2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2"/>
      <c r="T11378" s="2"/>
      <c r="U11378" s="2"/>
      <c r="V11378" s="2"/>
      <c r="W11378" s="2"/>
      <c r="X11378" s="2"/>
      <c r="Y11378" s="2"/>
      <c r="Z11378" s="2"/>
    </row>
    <row r="11379" spans="1:26" ht="16.5" x14ac:dyDescent="0.35">
      <c r="A11379" s="2" t="str">
        <f ca="1">IFERROR(__xludf.DUMMYFUNCTION("""COMPUTED_VALUE"""),"Umm Al Quwain")</f>
        <v>Umm Al Quwain</v>
      </c>
      <c r="B11379" s="2" t="str">
        <f ca="1">IFERROR(__xludf.DUMMYFUNCTION("""COMPUTED_VALUE"""),"Al Rass B")</f>
        <v>Al Rass B</v>
      </c>
      <c r="C11379" s="2"/>
      <c r="D11379" s="2" t="str">
        <f ca="1">IFERROR(__xludf.DUMMYFUNCTION("""COMPUTED_VALUE"""),"Umm Al Quwain&gt;Al Rass&gt;Al Rass B")</f>
        <v>Umm Al Quwain&gt;Al Rass&gt;Al Rass B</v>
      </c>
      <c r="E11379" s="2"/>
      <c r="F11379" s="2"/>
      <c r="G11379" s="2"/>
      <c r="H11379" s="2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2"/>
      <c r="T11379" s="2"/>
      <c r="U11379" s="2"/>
      <c r="V11379" s="2"/>
      <c r="W11379" s="2"/>
      <c r="X11379" s="2"/>
      <c r="Y11379" s="2"/>
      <c r="Z11379" s="2"/>
    </row>
    <row r="11380" spans="1:26" ht="16.5" x14ac:dyDescent="0.35">
      <c r="A11380" s="2" t="str">
        <f ca="1">IFERROR(__xludf.DUMMYFUNCTION("""COMPUTED_VALUE"""),"Umm Al Quwain")</f>
        <v>Umm Al Quwain</v>
      </c>
      <c r="B11380" s="2" t="str">
        <f ca="1">IFERROR(__xludf.DUMMYFUNCTION("""COMPUTED_VALUE"""),"Coastline Beach Residences Tower B")</f>
        <v>Coastline Beach Residences Tower B</v>
      </c>
      <c r="C11380" s="2" t="str">
        <f ca="1">IFERROR(__xludf.DUMMYFUNCTION("""COMPUTED_VALUE"""),"Building")</f>
        <v>Building</v>
      </c>
      <c r="D11380" s="2" t="str">
        <f ca="1">IFERROR(__xludf.DUMMYFUNCTION("""COMPUTED_VALUE"""),"Umm Al Quwain&gt;Al Seanneeah&gt;Sobha Siniya Island&gt;Coastline Beach Residences&gt;Coastline Beach Residences Tower B")</f>
        <v>Umm Al Quwain&gt;Al Seanneeah&gt;Sobha Siniya Island&gt;Coastline Beach Residences&gt;Coastline Beach Residences Tower B</v>
      </c>
      <c r="E11380" s="2"/>
      <c r="F11380" s="2"/>
      <c r="G11380" s="2"/>
      <c r="H11380" s="2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2"/>
      <c r="T11380" s="2"/>
      <c r="U11380" s="2"/>
      <c r="V11380" s="2"/>
      <c r="W11380" s="2"/>
      <c r="X11380" s="2"/>
      <c r="Y11380" s="2"/>
      <c r="Z11380" s="2"/>
    </row>
    <row r="11381" spans="1:26" ht="16.5" x14ac:dyDescent="0.35">
      <c r="A11381" s="2" t="str">
        <f ca="1">IFERROR(__xludf.DUMMYFUNCTION("""COMPUTED_VALUE"""),"Umm Al Quwain")</f>
        <v>Umm Al Quwain</v>
      </c>
      <c r="B11381" s="2" t="str">
        <f ca="1">IFERROR(__xludf.DUMMYFUNCTION("""COMPUTED_VALUE"""),"Kabir")</f>
        <v>Kabir</v>
      </c>
      <c r="C11381" s="2" t="str">
        <f ca="1">IFERROR(__xludf.DUMMYFUNCTION("""COMPUTED_VALUE"""),"Neighbourhood")</f>
        <v>Neighbourhood</v>
      </c>
      <c r="D11381" s="2" t="str">
        <f ca="1">IFERROR(__xludf.DUMMYFUNCTION("""COMPUTED_VALUE"""),"Umm Al Quwain&gt;Kabir")</f>
        <v>Umm Al Quwain&gt;Kabir</v>
      </c>
      <c r="E11381" s="2"/>
      <c r="F11381" s="2"/>
      <c r="G11381" s="2"/>
      <c r="H11381" s="2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2"/>
      <c r="T11381" s="2"/>
      <c r="U11381" s="2"/>
      <c r="V11381" s="2"/>
      <c r="W11381" s="2"/>
      <c r="X11381" s="2"/>
      <c r="Y11381" s="2"/>
      <c r="Z11381" s="2"/>
    </row>
    <row r="11382" spans="1:26" ht="16.5" x14ac:dyDescent="0.35">
      <c r="A11382" s="2" t="str">
        <f ca="1">IFERROR(__xludf.DUMMYFUNCTION("""COMPUTED_VALUE"""),"Fujairah")</f>
        <v>Fujairah</v>
      </c>
      <c r="B11382" s="2" t="str">
        <f ca="1">IFERROR(__xludf.DUMMYFUNCTION("""COMPUTED_VALUE"""),"Ishwais")</f>
        <v>Ishwais</v>
      </c>
      <c r="C11382" s="2" t="str">
        <f ca="1">IFERROR(__xludf.DUMMYFUNCTION("""COMPUTED_VALUE"""),"Neighbourhood")</f>
        <v>Neighbourhood</v>
      </c>
      <c r="D11382" s="2" t="str">
        <f ca="1">IFERROR(__xludf.DUMMYFUNCTION("""COMPUTED_VALUE"""),"Fujairah&gt;Ishwais")</f>
        <v>Fujairah&gt;Ishwais</v>
      </c>
      <c r="E11382" s="2"/>
      <c r="F11382" s="2"/>
      <c r="G11382" s="2"/>
      <c r="H11382" s="2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2"/>
      <c r="T11382" s="2"/>
      <c r="U11382" s="2"/>
      <c r="V11382" s="2"/>
      <c r="W11382" s="2"/>
      <c r="X11382" s="2"/>
      <c r="Y11382" s="2"/>
      <c r="Z11382" s="2"/>
    </row>
    <row r="11383" spans="1:26" ht="16.5" x14ac:dyDescent="0.35">
      <c r="A11383" s="2" t="str">
        <f ca="1">IFERROR(__xludf.DUMMYFUNCTION("""COMPUTED_VALUE"""),"Fujairah")</f>
        <v>Fujairah</v>
      </c>
      <c r="B11383" s="2" t="str">
        <f ca="1">IFERROR(__xludf.DUMMYFUNCTION("""COMPUTED_VALUE"""),"Al Wurayah Valley")</f>
        <v>Al Wurayah Valley</v>
      </c>
      <c r="C11383" s="2"/>
      <c r="D11383" s="2" t="str">
        <f ca="1">IFERROR(__xludf.DUMMYFUNCTION("""COMPUTED_VALUE"""),"Fujairah&gt;Al Wurayah Valley")</f>
        <v>Fujairah&gt;Al Wurayah Valley</v>
      </c>
      <c r="E11383" s="2"/>
      <c r="F11383" s="2"/>
      <c r="G11383" s="2"/>
      <c r="H11383" s="2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2"/>
      <c r="T11383" s="2"/>
      <c r="U11383" s="2"/>
      <c r="V11383" s="2"/>
      <c r="W11383" s="2"/>
      <c r="X11383" s="2"/>
      <c r="Y11383" s="2"/>
      <c r="Z11383" s="2"/>
    </row>
    <row r="11384" spans="1:26" ht="16.5" x14ac:dyDescent="0.35">
      <c r="A11384" s="2" t="str">
        <f ca="1">IFERROR(__xludf.DUMMYFUNCTION("""COMPUTED_VALUE"""),"Sharjah")</f>
        <v>Sharjah</v>
      </c>
      <c r="B11384" s="2" t="str">
        <f ca="1">IFERROR(__xludf.DUMMYFUNCTION("""COMPUTED_VALUE"""),"Building 92")</f>
        <v>Building 92</v>
      </c>
      <c r="C11384" s="2" t="str">
        <f ca="1">IFERROR(__xludf.DUMMYFUNCTION("""COMPUTED_VALUE"""),"Building")</f>
        <v>Building</v>
      </c>
      <c r="D11384" s="2" t="str">
        <f ca="1">IFERROR(__xludf.DUMMYFUNCTION("""COMPUTED_VALUE"""),"Sharjah&gt;Muwaileh Commercial&gt;Building 92")</f>
        <v>Sharjah&gt;Muwaileh Commercial&gt;Building 92</v>
      </c>
      <c r="E11384" s="2"/>
      <c r="F11384" s="2"/>
      <c r="G11384" s="2"/>
      <c r="H11384" s="2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2"/>
      <c r="T11384" s="2"/>
      <c r="U11384" s="2"/>
      <c r="V11384" s="2"/>
      <c r="W11384" s="2"/>
      <c r="X11384" s="2"/>
      <c r="Y11384" s="2"/>
      <c r="Z11384" s="2"/>
    </row>
    <row r="11385" spans="1:26" ht="16.5" x14ac:dyDescent="0.35">
      <c r="A11385" s="2" t="str">
        <f ca="1">IFERROR(__xludf.DUMMYFUNCTION("""COMPUTED_VALUE"""),"Al Ain")</f>
        <v>Al Ain</v>
      </c>
      <c r="B11385" s="2" t="str">
        <f ca="1">IFERROR(__xludf.DUMMYFUNCTION("""COMPUTED_VALUE"""),"Sweihan")</f>
        <v>Sweihan</v>
      </c>
      <c r="C11385" s="2" t="str">
        <f ca="1">IFERROR(__xludf.DUMMYFUNCTION("""COMPUTED_VALUE"""),"Neighbourhood")</f>
        <v>Neighbourhood</v>
      </c>
      <c r="D11385" s="2" t="str">
        <f ca="1">IFERROR(__xludf.DUMMYFUNCTION("""COMPUTED_VALUE"""),"Al Ain&gt;Sweihan")</f>
        <v>Al Ain&gt;Sweihan</v>
      </c>
      <c r="E11385" s="2"/>
      <c r="F11385" s="2"/>
      <c r="G11385" s="2"/>
      <c r="H11385" s="2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2"/>
      <c r="T11385" s="2"/>
      <c r="U11385" s="2"/>
      <c r="V11385" s="2"/>
      <c r="W11385" s="2"/>
      <c r="X11385" s="2"/>
      <c r="Y11385" s="2"/>
      <c r="Z11385" s="2"/>
    </row>
    <row r="11386" spans="1:26" ht="16.5" x14ac:dyDescent="0.35">
      <c r="A11386" s="2" t="str">
        <f ca="1">IFERROR(__xludf.DUMMYFUNCTION("""COMPUTED_VALUE"""),"Al Ain")</f>
        <v>Al Ain</v>
      </c>
      <c r="B11386" s="2" t="str">
        <f ca="1">IFERROR(__xludf.DUMMYFUNCTION("""COMPUTED_VALUE"""),"Al Andalus Housing Complex")</f>
        <v>Al Andalus Housing Complex</v>
      </c>
      <c r="C11386" s="2" t="str">
        <f ca="1">IFERROR(__xludf.DUMMYFUNCTION("""COMPUTED_VALUE"""),"Neighbourhood")</f>
        <v>Neighbourhood</v>
      </c>
      <c r="D11386" s="2" t="str">
        <f ca="1">IFERROR(__xludf.DUMMYFUNCTION("""COMPUTED_VALUE"""),"Al Ain&gt;Central District&gt;Al Kuwaitat&gt;Al Andalus Housing Complex")</f>
        <v>Al Ain&gt;Central District&gt;Al Kuwaitat&gt;Al Andalus Housing Complex</v>
      </c>
      <c r="E11386" s="2"/>
      <c r="F11386" s="2"/>
      <c r="G11386" s="2"/>
      <c r="H11386" s="2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2"/>
      <c r="T11386" s="2"/>
      <c r="U11386" s="2"/>
      <c r="V11386" s="2"/>
      <c r="W11386" s="2"/>
      <c r="X11386" s="2"/>
      <c r="Y11386" s="2"/>
      <c r="Z11386" s="2"/>
    </row>
    <row r="11387" spans="1:26" ht="16.5" x14ac:dyDescent="0.35">
      <c r="A11387" s="2" t="str">
        <f ca="1">IFERROR(__xludf.DUMMYFUNCTION("""COMPUTED_VALUE"""),"Al Ain")</f>
        <v>Al Ain</v>
      </c>
      <c r="B11387" s="2" t="str">
        <f ca="1">IFERROR(__xludf.DUMMYFUNCTION("""COMPUTED_VALUE"""),"Kids Land Nursery")</f>
        <v>Kids Land Nursery</v>
      </c>
      <c r="C11387" s="2" t="str">
        <f ca="1">IFERROR(__xludf.DUMMYFUNCTION("""COMPUTED_VALUE"""),"Nursery")</f>
        <v>Nursery</v>
      </c>
      <c r="D11387" s="2" t="str">
        <f ca="1">IFERROR(__xludf.DUMMYFUNCTION("""COMPUTED_VALUE"""),"Al Ain&gt;Al Muwaiji&gt;Kids Land Nursery")</f>
        <v>Al Ain&gt;Al Muwaiji&gt;Kids Land Nursery</v>
      </c>
      <c r="E11387" s="2"/>
      <c r="F11387" s="2"/>
      <c r="G11387" s="2"/>
      <c r="H11387" s="2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2"/>
      <c r="T11387" s="2"/>
      <c r="U11387" s="2"/>
      <c r="V11387" s="2"/>
      <c r="W11387" s="2"/>
      <c r="X11387" s="2"/>
      <c r="Y11387" s="2"/>
      <c r="Z11387" s="2"/>
    </row>
    <row r="11388" spans="1:26" ht="16.5" x14ac:dyDescent="0.35">
      <c r="A11388" s="2" t="str">
        <f ca="1">IFERROR(__xludf.DUMMYFUNCTION("""COMPUTED_VALUE"""),"Al Ain")</f>
        <v>Al Ain</v>
      </c>
      <c r="B11388" s="2" t="str">
        <f ca="1">IFERROR(__xludf.DUMMYFUNCTION("""COMPUTED_VALUE"""),"Al Graifah")</f>
        <v>Al Graifah</v>
      </c>
      <c r="C11388" s="2" t="str">
        <f ca="1">IFERROR(__xludf.DUMMYFUNCTION("""COMPUTED_VALUE"""),"Neighbourhood")</f>
        <v>Neighbourhood</v>
      </c>
      <c r="D11388" s="2" t="str">
        <f ca="1">IFERROR(__xludf.DUMMYFUNCTION("""COMPUTED_VALUE"""),"Al Ain&gt;Hili&gt;Al Graifah")</f>
        <v>Al Ain&gt;Hili&gt;Al Graifah</v>
      </c>
      <c r="E11388" s="2"/>
      <c r="F11388" s="2"/>
      <c r="G11388" s="2"/>
      <c r="H11388" s="2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2"/>
      <c r="T11388" s="2"/>
      <c r="U11388" s="2"/>
      <c r="V11388" s="2"/>
      <c r="W11388" s="2"/>
      <c r="X11388" s="2"/>
      <c r="Y11388" s="2"/>
      <c r="Z11388" s="2"/>
    </row>
    <row r="11389" spans="1:26" ht="16.5" x14ac:dyDescent="0.35">
      <c r="A11389" s="2" t="str">
        <f ca="1">IFERROR(__xludf.DUMMYFUNCTION("""COMPUTED_VALUE"""),"Al Ain")</f>
        <v>Al Ain</v>
      </c>
      <c r="B11389" s="2" t="str">
        <f ca="1">IFERROR(__xludf.DUMMYFUNCTION("""COMPUTED_VALUE"""),"Al Qattara")</f>
        <v>Al Qattara</v>
      </c>
      <c r="C11389" s="2" t="str">
        <f ca="1">IFERROR(__xludf.DUMMYFUNCTION("""COMPUTED_VALUE"""),"Neighbourhood")</f>
        <v>Neighbourhood</v>
      </c>
      <c r="D11389" s="2" t="str">
        <f ca="1">IFERROR(__xludf.DUMMYFUNCTION("""COMPUTED_VALUE"""),"Al Ain&gt;Al Qattara")</f>
        <v>Al Ain&gt;Al Qattara</v>
      </c>
      <c r="E11389" s="2"/>
      <c r="F11389" s="2"/>
      <c r="G11389" s="2"/>
      <c r="H11389" s="2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2"/>
      <c r="T11389" s="2"/>
      <c r="U11389" s="2"/>
      <c r="V11389" s="2"/>
      <c r="W11389" s="2"/>
      <c r="X11389" s="2"/>
      <c r="Y11389" s="2"/>
      <c r="Z11389" s="2"/>
    </row>
    <row r="11390" spans="1:26" ht="16.5" x14ac:dyDescent="0.35">
      <c r="A11390" s="2" t="str">
        <f ca="1">IFERROR(__xludf.DUMMYFUNCTION("""COMPUTED_VALUE"""),"Al Ain")</f>
        <v>Al Ain</v>
      </c>
      <c r="B11390" s="2" t="str">
        <f ca="1">IFERROR(__xludf.DUMMYFUNCTION("""COMPUTED_VALUE"""),"Abdulla bin Zubair (ABZ) Private School, Abu Dhabi")</f>
        <v>Abdulla bin Zubair (ABZ) Private School, Abu Dhabi</v>
      </c>
      <c r="C11390" s="2" t="str">
        <f ca="1">IFERROR(__xludf.DUMMYFUNCTION("""COMPUTED_VALUE"""),"School")</f>
        <v>School</v>
      </c>
      <c r="D11390" s="2" t="str">
        <f ca="1">IFERROR(__xludf.DUMMYFUNCTION("""COMPUTED_VALUE"""),"Al Ain&gt;Al Maqam&gt;Abdulla bin Zubair (ABZ) Private School, Abu Dhabi")</f>
        <v>Al Ain&gt;Al Maqam&gt;Abdulla bin Zubair (ABZ) Private School, Abu Dhabi</v>
      </c>
      <c r="E11390" s="2"/>
      <c r="F11390" s="2"/>
      <c r="G11390" s="2"/>
      <c r="H11390" s="2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2"/>
      <c r="T11390" s="2"/>
      <c r="U11390" s="2"/>
      <c r="V11390" s="2"/>
      <c r="W11390" s="2"/>
      <c r="X11390" s="2"/>
      <c r="Y11390" s="2"/>
      <c r="Z11390" s="2"/>
    </row>
    <row r="11391" spans="1:26" ht="16.5" x14ac:dyDescent="0.35">
      <c r="A11391" s="2" t="str">
        <f ca="1">IFERROR(__xludf.DUMMYFUNCTION("""COMPUTED_VALUE"""),"Al Ain")</f>
        <v>Al Ain</v>
      </c>
      <c r="B11391" s="2" t="str">
        <f ca="1">IFERROR(__xludf.DUMMYFUNCTION("""COMPUTED_VALUE"""),"Hal Al Wadi")</f>
        <v>Hal Al Wadi</v>
      </c>
      <c r="C11391" s="2" t="str">
        <f ca="1">IFERROR(__xludf.DUMMYFUNCTION("""COMPUTED_VALUE"""),"Neighbourhood")</f>
        <v>Neighbourhood</v>
      </c>
      <c r="D11391" s="2" t="str">
        <f ca="1">IFERROR(__xludf.DUMMYFUNCTION("""COMPUTED_VALUE"""),"Al Ain&gt;Al Sarouj&gt;Hal Al Wadi")</f>
        <v>Al Ain&gt;Al Sarouj&gt;Hal Al Wadi</v>
      </c>
      <c r="E11391" s="2"/>
      <c r="F11391" s="2"/>
      <c r="G11391" s="2"/>
      <c r="H11391" s="2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2"/>
      <c r="T11391" s="2"/>
      <c r="U11391" s="2"/>
      <c r="V11391" s="2"/>
      <c r="W11391" s="2"/>
      <c r="X11391" s="2"/>
      <c r="Y11391" s="2"/>
      <c r="Z11391" s="2"/>
    </row>
    <row r="11392" spans="1:26" ht="16.5" x14ac:dyDescent="0.35">
      <c r="A11392" s="2" t="str">
        <f ca="1">IFERROR(__xludf.DUMMYFUNCTION("""COMPUTED_VALUE"""),"Ras Al Khaimah")</f>
        <v>Ras Al Khaimah</v>
      </c>
      <c r="B11392" s="2" t="str">
        <f ca="1">IFERROR(__xludf.DUMMYFUNCTION("""COMPUTED_VALUE"""),"Cape Hayat Tower 3")</f>
        <v>Cape Hayat Tower 3</v>
      </c>
      <c r="C11392" s="2" t="str">
        <f ca="1">IFERROR(__xludf.DUMMYFUNCTION("""COMPUTED_VALUE"""),"Building")</f>
        <v>Building</v>
      </c>
      <c r="D11392" s="2" t="str">
        <f ca="1">IFERROR(__xludf.DUMMYFUNCTION("""COMPUTED_VALUE"""),"Ras Al Khaimah&gt;Mina Al Arab&gt;Hayat Island&gt;Cape Hayat&gt;Cape Hayat Tower 3")</f>
        <v>Ras Al Khaimah&gt;Mina Al Arab&gt;Hayat Island&gt;Cape Hayat&gt;Cape Hayat Tower 3</v>
      </c>
      <c r="E11392" s="2"/>
      <c r="F11392" s="2"/>
      <c r="G11392" s="2"/>
      <c r="H11392" s="2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2"/>
      <c r="T11392" s="2"/>
      <c r="U11392" s="2"/>
      <c r="V11392" s="2"/>
      <c r="W11392" s="2"/>
      <c r="X11392" s="2"/>
      <c r="Y11392" s="2"/>
      <c r="Z11392" s="2"/>
    </row>
    <row r="11393" spans="1:26" ht="16.5" x14ac:dyDescent="0.35">
      <c r="A11393" s="2" t="str">
        <f ca="1">IFERROR(__xludf.DUMMYFUNCTION("""COMPUTED_VALUE"""),"Ras Al Khaimah")</f>
        <v>Ras Al Khaimah</v>
      </c>
      <c r="B11393" s="2" t="str">
        <f ca="1">IFERROR(__xludf.DUMMYFUNCTION("""COMPUTED_VALUE"""),"Yakout Building")</f>
        <v>Yakout Building</v>
      </c>
      <c r="C11393" s="2"/>
      <c r="D11393" s="2" t="str">
        <f ca="1">IFERROR(__xludf.DUMMYFUNCTION("""COMPUTED_VALUE"""),"Ras Al Khaimah&gt;Al Marjan Island&gt;Bab Al Bahr Residences&gt;Yakout Building")</f>
        <v>Ras Al Khaimah&gt;Al Marjan Island&gt;Bab Al Bahr Residences&gt;Yakout Building</v>
      </c>
      <c r="E11393" s="2"/>
      <c r="F11393" s="2"/>
      <c r="G11393" s="2"/>
      <c r="H11393" s="2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2"/>
      <c r="T11393" s="2"/>
      <c r="U11393" s="2"/>
      <c r="V11393" s="2"/>
      <c r="W11393" s="2"/>
      <c r="X11393" s="2"/>
      <c r="Y11393" s="2"/>
      <c r="Z11393" s="2"/>
    </row>
    <row r="11394" spans="1:26" ht="16.5" x14ac:dyDescent="0.35">
      <c r="A11394" s="2" t="str">
        <f ca="1">IFERROR(__xludf.DUMMYFUNCTION("""COMPUTED_VALUE"""),"Ras Al Khaimah")</f>
        <v>Ras Al Khaimah</v>
      </c>
      <c r="B11394" s="2" t="str">
        <f ca="1">IFERROR(__xludf.DUMMYFUNCTION("""COMPUTED_VALUE"""),"La Mer by Elie Saab Isle 2")</f>
        <v>La Mer by Elie Saab Isle 2</v>
      </c>
      <c r="C11394" s="2" t="str">
        <f ca="1">IFERROR(__xludf.DUMMYFUNCTION("""COMPUTED_VALUE"""),"Building")</f>
        <v>Building</v>
      </c>
      <c r="D11394" s="2" t="str">
        <f ca="1">IFERROR(__xludf.DUMMYFUNCTION("""COMPUTED_VALUE"""),"Ras Al Khaimah&gt;Al Marjan Island&gt;La Mer by Elie Saab&gt;La Mer by Elie Saab Isle 2")</f>
        <v>Ras Al Khaimah&gt;Al Marjan Island&gt;La Mer by Elie Saab&gt;La Mer by Elie Saab Isle 2</v>
      </c>
      <c r="E11394" s="2"/>
      <c r="F11394" s="2"/>
      <c r="G11394" s="2"/>
      <c r="H11394" s="2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2"/>
      <c r="T11394" s="2"/>
      <c r="U11394" s="2"/>
      <c r="V11394" s="2"/>
      <c r="W11394" s="2"/>
      <c r="X11394" s="2"/>
      <c r="Y11394" s="2"/>
      <c r="Z11394" s="2"/>
    </row>
    <row r="11395" spans="1:26" ht="16.5" x14ac:dyDescent="0.35">
      <c r="A11395" s="2" t="str">
        <f ca="1">IFERROR(__xludf.DUMMYFUNCTION("""COMPUTED_VALUE"""),"Ras Al Khaimah")</f>
        <v>Ras Al Khaimah</v>
      </c>
      <c r="B11395" s="2" t="str">
        <f ca="1">IFERROR(__xludf.DUMMYFUNCTION("""COMPUTED_VALUE"""),"Jacob &amp; Co Residences")</f>
        <v>Jacob &amp; Co Residences</v>
      </c>
      <c r="C11395" s="2" t="str">
        <f ca="1">IFERROR(__xludf.DUMMYFUNCTION("""COMPUTED_VALUE"""),"Building")</f>
        <v>Building</v>
      </c>
      <c r="D11395" s="2" t="str">
        <f ca="1">IFERROR(__xludf.DUMMYFUNCTION("""COMPUTED_VALUE"""),"Ras Al Khaimah&gt;Al Marjan Island&gt;Jacob &amp; Co Residences")</f>
        <v>Ras Al Khaimah&gt;Al Marjan Island&gt;Jacob &amp; Co Residences</v>
      </c>
      <c r="E11395" s="2"/>
      <c r="F11395" s="2"/>
      <c r="G11395" s="2"/>
      <c r="H11395" s="2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2"/>
      <c r="T11395" s="2"/>
      <c r="U11395" s="2"/>
      <c r="V11395" s="2"/>
      <c r="W11395" s="2"/>
      <c r="X11395" s="2"/>
      <c r="Y11395" s="2"/>
      <c r="Z11395" s="2"/>
    </row>
    <row r="11396" spans="1:26" ht="16.5" x14ac:dyDescent="0.35">
      <c r="A11396" s="2" t="str">
        <f ca="1">IFERROR(__xludf.DUMMYFUNCTION("""COMPUTED_VALUE"""),"Ras Al Khaimah")</f>
        <v>Ras Al Khaimah</v>
      </c>
      <c r="B11396" s="2" t="str">
        <f ca="1">IFERROR(__xludf.DUMMYFUNCTION("""COMPUTED_VALUE"""),"Al Hamra Waterfront Tower A")</f>
        <v>Al Hamra Waterfront Tower A</v>
      </c>
      <c r="C11396" s="2" t="str">
        <f ca="1">IFERROR(__xludf.DUMMYFUNCTION("""COMPUTED_VALUE"""),"Building")</f>
        <v>Building</v>
      </c>
      <c r="D11396" s="2" t="str">
        <f ca="1">IFERROR(__xludf.DUMMYFUNCTION("""COMPUTED_VALUE"""),"Ras Al Khaimah&gt;Al Hamra Village&gt;Al Hamra Waterfront Tower A")</f>
        <v>Ras Al Khaimah&gt;Al Hamra Village&gt;Al Hamra Waterfront Tower A</v>
      </c>
      <c r="E11396" s="2"/>
      <c r="F11396" s="2"/>
      <c r="G11396" s="2"/>
      <c r="H11396" s="2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2"/>
      <c r="T11396" s="2"/>
      <c r="U11396" s="2"/>
      <c r="V11396" s="2"/>
      <c r="W11396" s="2"/>
      <c r="X11396" s="2"/>
      <c r="Y11396" s="2"/>
      <c r="Z11396" s="2"/>
    </row>
    <row r="11397" spans="1:26" ht="16.5" x14ac:dyDescent="0.35">
      <c r="A11397" s="2" t="str">
        <f ca="1">IFERROR(__xludf.DUMMYFUNCTION("""COMPUTED_VALUE"""),"Ras Al Khaimah")</f>
        <v>Ras Al Khaimah</v>
      </c>
      <c r="B11397" s="2" t="str">
        <f ca="1">IFERROR(__xludf.DUMMYFUNCTION("""COMPUTED_VALUE"""),"Delhi Private School Ras Al Khaimah")</f>
        <v>Delhi Private School Ras Al Khaimah</v>
      </c>
      <c r="C11397" s="2" t="str">
        <f ca="1">IFERROR(__xludf.DUMMYFUNCTION("""COMPUTED_VALUE"""),"School")</f>
        <v>School</v>
      </c>
      <c r="D11397" s="2" t="str">
        <f ca="1">IFERROR(__xludf.DUMMYFUNCTION("""COMPUTED_VALUE"""),"Ras Al Khaimah&gt;Al Dhait&gt;Al Dhait South&gt;Delhi Private School Ras Al Khaimah")</f>
        <v>Ras Al Khaimah&gt;Al Dhait&gt;Al Dhait South&gt;Delhi Private School Ras Al Khaimah</v>
      </c>
      <c r="E11397" s="2"/>
      <c r="F11397" s="2"/>
      <c r="G11397" s="2"/>
      <c r="H11397" s="2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2"/>
      <c r="T11397" s="2"/>
      <c r="U11397" s="2"/>
      <c r="V11397" s="2"/>
      <c r="W11397" s="2"/>
      <c r="X11397" s="2"/>
      <c r="Y11397" s="2"/>
      <c r="Z11397" s="2"/>
    </row>
    <row r="11398" spans="1:26" ht="16.5" x14ac:dyDescent="0.35">
      <c r="A11398" s="2" t="str">
        <f ca="1">IFERROR(__xludf.DUMMYFUNCTION("""COMPUTED_VALUE"""),"Ras Al Khaimah")</f>
        <v>Ras Al Khaimah</v>
      </c>
      <c r="B11398" s="2" t="str">
        <f ca="1">IFERROR(__xludf.DUMMYFUNCTION("""COMPUTED_VALUE"""),"Granada Complex")</f>
        <v>Granada Complex</v>
      </c>
      <c r="C11398" s="2"/>
      <c r="D11398" s="2" t="str">
        <f ca="1">IFERROR(__xludf.DUMMYFUNCTION("""COMPUTED_VALUE"""),"Ras Al Khaimah&gt;Al Kharran&gt;Granada Complex")</f>
        <v>Ras Al Khaimah&gt;Al Kharran&gt;Granada Complex</v>
      </c>
      <c r="E11398" s="2"/>
      <c r="F11398" s="2"/>
      <c r="G11398" s="2"/>
      <c r="H11398" s="2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2"/>
      <c r="T11398" s="2"/>
      <c r="U11398" s="2"/>
      <c r="V11398" s="2"/>
      <c r="W11398" s="2"/>
      <c r="X11398" s="2"/>
      <c r="Y11398" s="2"/>
      <c r="Z11398" s="2"/>
    </row>
    <row r="11399" spans="1:26" ht="16.5" x14ac:dyDescent="0.35">
      <c r="A11399" s="2" t="str">
        <f ca="1">IFERROR(__xludf.DUMMYFUNCTION("""COMPUTED_VALUE"""),"Ras Al Khaimah")</f>
        <v>Ras Al Khaimah</v>
      </c>
      <c r="B11399" s="2" t="str">
        <f ca="1">IFERROR(__xludf.DUMMYFUNCTION("""COMPUTED_VALUE"""),"Dafan Al Khor")</f>
        <v>Dafan Al Khor</v>
      </c>
      <c r="C11399" s="2" t="str">
        <f ca="1">IFERROR(__xludf.DUMMYFUNCTION("""COMPUTED_VALUE"""),"Neighbourhood")</f>
        <v>Neighbourhood</v>
      </c>
      <c r="D11399" s="2" t="str">
        <f ca="1">IFERROR(__xludf.DUMMYFUNCTION("""COMPUTED_VALUE"""),"Ras Al Khaimah&gt;Dafan Al Khor")</f>
        <v>Ras Al Khaimah&gt;Dafan Al Khor</v>
      </c>
      <c r="E11399" s="2"/>
      <c r="F11399" s="2"/>
      <c r="G11399" s="2"/>
      <c r="H11399" s="2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2"/>
      <c r="T11399" s="2"/>
      <c r="U11399" s="2"/>
      <c r="V11399" s="2"/>
      <c r="W11399" s="2"/>
      <c r="X11399" s="2"/>
      <c r="Y11399" s="2"/>
      <c r="Z11399" s="2"/>
    </row>
    <row r="11400" spans="1:26" ht="16.5" x14ac:dyDescent="0.35">
      <c r="A11400" s="2" t="str">
        <f ca="1">IFERROR(__xludf.DUMMYFUNCTION("""COMPUTED_VALUE"""),"Ras Al Khaimah")</f>
        <v>Ras Al Khaimah</v>
      </c>
      <c r="B11400" s="2" t="str">
        <f ca="1">IFERROR(__xludf.DUMMYFUNCTION("""COMPUTED_VALUE"""),"Al Salihia")</f>
        <v>Al Salihia</v>
      </c>
      <c r="C11400" s="2" t="str">
        <f ca="1">IFERROR(__xludf.DUMMYFUNCTION("""COMPUTED_VALUE"""),"Neighbourhood")</f>
        <v>Neighbourhood</v>
      </c>
      <c r="D11400" s="2" t="str">
        <f ca="1">IFERROR(__xludf.DUMMYFUNCTION("""COMPUTED_VALUE"""),"Ras Al Khaimah&gt;Al Salihia")</f>
        <v>Ras Al Khaimah&gt;Al Salihia</v>
      </c>
      <c r="E11400" s="2"/>
      <c r="F11400" s="2"/>
      <c r="G11400" s="2"/>
      <c r="H11400" s="2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2"/>
      <c r="T11400" s="2"/>
      <c r="U11400" s="2"/>
      <c r="V11400" s="2"/>
      <c r="W11400" s="2"/>
      <c r="X11400" s="2"/>
      <c r="Y11400" s="2"/>
      <c r="Z11400" s="2"/>
    </row>
    <row r="11401" spans="1:26" ht="16.5" x14ac:dyDescent="0.35">
      <c r="A11401" s="2" t="str">
        <f ca="1">IFERROR(__xludf.DUMMYFUNCTION("""COMPUTED_VALUE"""),"Umm Al Quwain")</f>
        <v>Umm Al Quwain</v>
      </c>
      <c r="B11401" s="2" t="str">
        <f ca="1">IFERROR(__xludf.DUMMYFUNCTION("""COMPUTED_VALUE"""),"Al Salamah 3")</f>
        <v>Al Salamah 3</v>
      </c>
      <c r="C11401" s="2" t="str">
        <f ca="1">IFERROR(__xludf.DUMMYFUNCTION("""COMPUTED_VALUE"""),"Neighbourhood")</f>
        <v>Neighbourhood</v>
      </c>
      <c r="D11401" s="2" t="str">
        <f ca="1">IFERROR(__xludf.DUMMYFUNCTION("""COMPUTED_VALUE"""),"Umm Al Quwain&gt;Al Salamah&gt;Al Salamah 3")</f>
        <v>Umm Al Quwain&gt;Al Salamah&gt;Al Salamah 3</v>
      </c>
      <c r="E11401" s="2"/>
      <c r="F11401" s="2"/>
      <c r="G11401" s="2"/>
      <c r="H11401" s="2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2"/>
      <c r="T11401" s="2"/>
      <c r="U11401" s="2"/>
      <c r="V11401" s="2"/>
      <c r="W11401" s="2"/>
      <c r="X11401" s="2"/>
      <c r="Y11401" s="2"/>
      <c r="Z11401" s="2"/>
    </row>
    <row r="11402" spans="1:26" ht="16.5" x14ac:dyDescent="0.35">
      <c r="A11402" s="2" t="str">
        <f ca="1">IFERROR(__xludf.DUMMYFUNCTION("""COMPUTED_VALUE"""),"Umm Al Quwain")</f>
        <v>Umm Al Quwain</v>
      </c>
      <c r="B11402" s="2" t="str">
        <f ca="1">IFERROR(__xludf.DUMMYFUNCTION("""COMPUTED_VALUE"""),"Al Rass")</f>
        <v>Al Rass</v>
      </c>
      <c r="C11402" s="2" t="str">
        <f ca="1">IFERROR(__xludf.DUMMYFUNCTION("""COMPUTED_VALUE"""),"Neighbourhood")</f>
        <v>Neighbourhood</v>
      </c>
      <c r="D11402" s="2" t="str">
        <f ca="1">IFERROR(__xludf.DUMMYFUNCTION("""COMPUTED_VALUE"""),"Umm Al Quwain&gt;Al Rass")</f>
        <v>Umm Al Quwain&gt;Al Rass</v>
      </c>
      <c r="E11402" s="2"/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2"/>
      <c r="T11402" s="2"/>
      <c r="U11402" s="2"/>
      <c r="V11402" s="2"/>
      <c r="W11402" s="2"/>
      <c r="X11402" s="2"/>
      <c r="Y11402" s="2"/>
      <c r="Z11402" s="2"/>
    </row>
    <row r="11403" spans="1:26" ht="16.5" x14ac:dyDescent="0.35">
      <c r="A11403" s="2" t="str">
        <f ca="1">IFERROR(__xludf.DUMMYFUNCTION("""COMPUTED_VALUE"""),"Umm Al Quwain")</f>
        <v>Umm Al Quwain</v>
      </c>
      <c r="B11403" s="2" t="str">
        <f ca="1">IFERROR(__xludf.DUMMYFUNCTION("""COMPUTED_VALUE"""),"Coastline Beach Residences")</f>
        <v>Coastline Beach Residences</v>
      </c>
      <c r="C11403" s="2" t="str">
        <f ca="1">IFERROR(__xludf.DUMMYFUNCTION("""COMPUTED_VALUE"""),"Cluster")</f>
        <v>Cluster</v>
      </c>
      <c r="D11403" s="2" t="str">
        <f ca="1">IFERROR(__xludf.DUMMYFUNCTION("""COMPUTED_VALUE"""),"Umm Al Quwain&gt;Al Seanneeah&gt;Sobha Siniya Island&gt;Coastline Beach Residences")</f>
        <v>Umm Al Quwain&gt;Al Seanneeah&gt;Sobha Siniya Island&gt;Coastline Beach Residences</v>
      </c>
      <c r="E11403" s="2"/>
      <c r="F11403" s="2"/>
      <c r="G11403" s="2"/>
      <c r="H11403" s="2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2"/>
      <c r="T11403" s="2"/>
      <c r="U11403" s="2"/>
      <c r="V11403" s="2"/>
      <c r="W11403" s="2"/>
      <c r="X11403" s="2"/>
      <c r="Y11403" s="2"/>
      <c r="Z11403" s="2"/>
    </row>
    <row r="11404" spans="1:26" ht="16.5" x14ac:dyDescent="0.35">
      <c r="A11404" s="2" t="str">
        <f ca="1">IFERROR(__xludf.DUMMYFUNCTION("""COMPUTED_VALUE"""),"Umm Al Quwain")</f>
        <v>Umm Al Quwain</v>
      </c>
      <c r="B11404" s="2" t="str">
        <f ca="1">IFERROR(__xludf.DUMMYFUNCTION("""COMPUTED_VALUE"""),"Pearlside Marina Residences Tower B")</f>
        <v>Pearlside Marina Residences Tower B</v>
      </c>
      <c r="C11404" s="2" t="str">
        <f ca="1">IFERROR(__xludf.DUMMYFUNCTION("""COMPUTED_VALUE"""),"Building")</f>
        <v>Building</v>
      </c>
      <c r="D11404" s="2" t="str">
        <f ca="1">IFERROR(__xludf.DUMMYFUNCTION("""COMPUTED_VALUE"""),"Umm Al Quwain&gt;Al Seanneeah&gt;Sobha Siniya Island&gt;Pearlside Marina Residences&gt;Pearlside Marina Residences Tower B")</f>
        <v>Umm Al Quwain&gt;Al Seanneeah&gt;Sobha Siniya Island&gt;Pearlside Marina Residences&gt;Pearlside Marina Residences Tower B</v>
      </c>
      <c r="E11404" s="2"/>
      <c r="F11404" s="2"/>
      <c r="G11404" s="2"/>
      <c r="H11404" s="2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2"/>
      <c r="T11404" s="2"/>
      <c r="U11404" s="2"/>
      <c r="V11404" s="2"/>
      <c r="W11404" s="2"/>
      <c r="X11404" s="2"/>
      <c r="Y11404" s="2"/>
      <c r="Z11404" s="2"/>
    </row>
    <row r="11405" spans="1:26" ht="16.5" x14ac:dyDescent="0.35">
      <c r="A11405" s="2" t="str">
        <f ca="1">IFERROR(__xludf.DUMMYFUNCTION("""COMPUTED_VALUE"""),"Fujairah")</f>
        <v>Fujairah</v>
      </c>
      <c r="B11405" s="2" t="str">
        <f ca="1">IFERROR(__xludf.DUMMYFUNCTION("""COMPUTED_VALUE"""),"Address Residences Fujairah Resort")</f>
        <v>Address Residences Fujairah Resort</v>
      </c>
      <c r="C11405" s="2" t="str">
        <f ca="1">IFERROR(__xludf.DUMMYFUNCTION("""COMPUTED_VALUE"""),"Neighbourhood")</f>
        <v>Neighbourhood</v>
      </c>
      <c r="D11405" s="2" t="str">
        <f ca="1">IFERROR(__xludf.DUMMYFUNCTION("""COMPUTED_VALUE"""),"Fujairah&gt;Address Fujairah Beach Resort&gt;Address Residences Fujairah Resort")</f>
        <v>Fujairah&gt;Address Fujairah Beach Resort&gt;Address Residences Fujairah Resort</v>
      </c>
      <c r="E11405" s="2"/>
      <c r="F11405" s="2"/>
      <c r="G11405" s="2"/>
      <c r="H11405" s="2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2"/>
      <c r="T11405" s="2"/>
      <c r="U11405" s="2"/>
      <c r="V11405" s="2"/>
      <c r="W11405" s="2"/>
      <c r="X11405" s="2"/>
      <c r="Y11405" s="2"/>
      <c r="Z11405" s="2"/>
    </row>
    <row r="11406" spans="1:26" ht="16.5" x14ac:dyDescent="0.35">
      <c r="A11406" s="2" t="str">
        <f ca="1">IFERROR(__xludf.DUMMYFUNCTION("""COMPUTED_VALUE"""),"Fujairah")</f>
        <v>Fujairah</v>
      </c>
      <c r="B11406" s="2" t="str">
        <f ca="1">IFERROR(__xludf.DUMMYFUNCTION("""COMPUTED_VALUE"""),"Eminence Private School, Fujairah")</f>
        <v>Eminence Private School, Fujairah</v>
      </c>
      <c r="C11406" s="2" t="str">
        <f ca="1">IFERROR(__xludf.DUMMYFUNCTION("""COMPUTED_VALUE"""),"School")</f>
        <v>School</v>
      </c>
      <c r="D11406" s="2" t="str">
        <f ca="1">IFERROR(__xludf.DUMMYFUNCTION("""COMPUTED_VALUE"""),"Fujairah&gt;Sakamkam&gt;Eminence Private School, Fujairah")</f>
        <v>Fujairah&gt;Sakamkam&gt;Eminence Private School, Fujairah</v>
      </c>
      <c r="E11406" s="2"/>
      <c r="F11406" s="2"/>
      <c r="G11406" s="2"/>
      <c r="H11406" s="2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2"/>
      <c r="T11406" s="2"/>
      <c r="U11406" s="2"/>
      <c r="V11406" s="2"/>
      <c r="W11406" s="2"/>
      <c r="X11406" s="2"/>
      <c r="Y11406" s="2"/>
      <c r="Z11406" s="2"/>
    </row>
    <row r="11407" spans="1:26" ht="16.5" x14ac:dyDescent="0.35">
      <c r="A11407" s="2" t="str">
        <f ca="1">IFERROR(__xludf.DUMMYFUNCTION("""COMPUTED_VALUE"""),"Dubai")</f>
        <v>Dubai</v>
      </c>
      <c r="B11407" s="2" t="str">
        <f ca="1">IFERROR(__xludf.DUMMYFUNCTION("""COMPUTED_VALUE"""),"One Central")</f>
        <v>One Central</v>
      </c>
      <c r="C11407" s="2" t="str">
        <f ca="1">IFERROR(__xludf.DUMMYFUNCTION("""COMPUTED_VALUE"""),"Neighbourhood")</f>
        <v>Neighbourhood</v>
      </c>
      <c r="D11407" s="2" t="str">
        <f ca="1">IFERROR(__xludf.DUMMYFUNCTION("""COMPUTED_VALUE"""),"Dubai&gt;World Trade Centre&gt;One Central")</f>
        <v>Dubai&gt;World Trade Centre&gt;One Central</v>
      </c>
      <c r="E11407" s="2"/>
      <c r="F11407" s="2"/>
      <c r="G11407" s="2"/>
      <c r="H11407" s="2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2"/>
      <c r="T11407" s="2"/>
      <c r="U11407" s="2"/>
      <c r="V11407" s="2"/>
      <c r="W11407" s="2"/>
      <c r="X11407" s="2"/>
      <c r="Y11407" s="2"/>
      <c r="Z11407" s="2"/>
    </row>
    <row r="11408" spans="1:26" ht="16.5" x14ac:dyDescent="0.35">
      <c r="A11408" s="2" t="str">
        <f ca="1">IFERROR(__xludf.DUMMYFUNCTION("""COMPUTED_VALUE"""),"Dubai")</f>
        <v>Dubai</v>
      </c>
      <c r="B11408" s="2" t="str">
        <f ca="1">IFERROR(__xludf.DUMMYFUNCTION("""COMPUTED_VALUE"""),"Andalusia Court Yard Mall")</f>
        <v>Andalusia Court Yard Mall</v>
      </c>
      <c r="C11408" s="2" t="str">
        <f ca="1">IFERROR(__xludf.DUMMYFUNCTION("""COMPUTED_VALUE"""),"Building")</f>
        <v>Building</v>
      </c>
      <c r="D11408" s="2" t="str">
        <f ca="1">IFERROR(__xludf.DUMMYFUNCTION("""COMPUTED_VALUE"""),"Dubai&gt;Living Legends&gt;Andalusia Court Yard Mall")</f>
        <v>Dubai&gt;Living Legends&gt;Andalusia Court Yard Mall</v>
      </c>
      <c r="E11408" s="2"/>
      <c r="F11408" s="2"/>
      <c r="G11408" s="2"/>
      <c r="H11408" s="2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2"/>
      <c r="T11408" s="2"/>
      <c r="U11408" s="2"/>
      <c r="V11408" s="2"/>
      <c r="W11408" s="2"/>
      <c r="X11408" s="2"/>
      <c r="Y11408" s="2"/>
      <c r="Z11408" s="2"/>
    </row>
    <row r="11409" spans="1:26" ht="16.5" x14ac:dyDescent="0.35">
      <c r="A11409" s="2" t="str">
        <f ca="1">IFERROR(__xludf.DUMMYFUNCTION("""COMPUTED_VALUE"""),"Dubai")</f>
        <v>Dubai</v>
      </c>
      <c r="B11409" s="2" t="str">
        <f ca="1">IFERROR(__xludf.DUMMYFUNCTION("""COMPUTED_VALUE"""),"Amity School Dubai")</f>
        <v>Amity School Dubai</v>
      </c>
      <c r="C11409" s="2" t="str">
        <f ca="1">IFERROR(__xludf.DUMMYFUNCTION("""COMPUTED_VALUE"""),"School")</f>
        <v>School</v>
      </c>
      <c r="D11409" s="2" t="str">
        <f ca="1">IFERROR(__xludf.DUMMYFUNCTION("""COMPUTED_VALUE"""),"Dubai&gt;Al Qusais&gt;Al Qusais Residential Area&gt;Al Qusais 1&gt;Amity School Dubai")</f>
        <v>Dubai&gt;Al Qusais&gt;Al Qusais Residential Area&gt;Al Qusais 1&gt;Amity School Dubai</v>
      </c>
      <c r="E11409" s="2"/>
      <c r="F11409" s="2"/>
      <c r="G11409" s="2"/>
      <c r="H11409" s="2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2"/>
      <c r="T11409" s="2"/>
      <c r="U11409" s="2"/>
      <c r="V11409" s="2"/>
      <c r="W11409" s="2"/>
      <c r="X11409" s="2"/>
      <c r="Y11409" s="2"/>
      <c r="Z11409" s="2"/>
    </row>
    <row r="11410" spans="1:26" ht="16.5" x14ac:dyDescent="0.35">
      <c r="A11410" s="2" t="str">
        <f ca="1">IFERROR(__xludf.DUMMYFUNCTION("""COMPUTED_VALUE"""),"Dubai")</f>
        <v>Dubai</v>
      </c>
      <c r="B11410" s="2" t="str">
        <f ca="1">IFERROR(__xludf.DUMMYFUNCTION("""COMPUTED_VALUE"""),"Rainbow Residence 8")</f>
        <v>Rainbow Residence 8</v>
      </c>
      <c r="C11410" s="2" t="str">
        <f ca="1">IFERROR(__xludf.DUMMYFUNCTION("""COMPUTED_VALUE"""),"Building")</f>
        <v>Building</v>
      </c>
      <c r="D11410" s="2" t="str">
        <f ca="1">IFERROR(__xludf.DUMMYFUNCTION("""COMPUTED_VALUE"""),"Dubai&gt;Al Qusais&gt;Al Qusais Residential Area&gt;Al Qusais 1&gt;Rainbow Residences&gt;Rainbow Residence 8")</f>
        <v>Dubai&gt;Al Qusais&gt;Al Qusais Residential Area&gt;Al Qusais 1&gt;Rainbow Residences&gt;Rainbow Residence 8</v>
      </c>
      <c r="E11410" s="2"/>
      <c r="F11410" s="2"/>
      <c r="G11410" s="2"/>
      <c r="H11410" s="2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2"/>
      <c r="T11410" s="2"/>
      <c r="U11410" s="2"/>
      <c r="V11410" s="2"/>
      <c r="W11410" s="2"/>
      <c r="X11410" s="2"/>
      <c r="Y11410" s="2"/>
      <c r="Z11410" s="2"/>
    </row>
    <row r="11411" spans="1:26" ht="16.5" x14ac:dyDescent="0.35">
      <c r="A11411" s="2" t="str">
        <f ca="1">IFERROR(__xludf.DUMMYFUNCTION("""COMPUTED_VALUE"""),"Dubai")</f>
        <v>Dubai</v>
      </c>
      <c r="B11411" s="2" t="str">
        <f ca="1">IFERROR(__xludf.DUMMYFUNCTION("""COMPUTED_VALUE"""),"Hassani Three Tower")</f>
        <v>Hassani Three Tower</v>
      </c>
      <c r="C11411" s="2" t="str">
        <f ca="1">IFERROR(__xludf.DUMMYFUNCTION("""COMPUTED_VALUE"""),"Building")</f>
        <v>Building</v>
      </c>
      <c r="D11411" s="2" t="str">
        <f ca="1">IFERROR(__xludf.DUMMYFUNCTION("""COMPUTED_VALUE"""),"Dubai&gt;Al Qusais&gt;Al Qusais Industrial Area&gt;Al Qusais Industrial 5&gt;Hassani Three Tower")</f>
        <v>Dubai&gt;Al Qusais&gt;Al Qusais Industrial Area&gt;Al Qusais Industrial 5&gt;Hassani Three Tower</v>
      </c>
      <c r="E11411" s="2"/>
      <c r="F11411" s="2"/>
      <c r="G11411" s="2"/>
      <c r="H11411" s="2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2"/>
      <c r="T11411" s="2"/>
      <c r="U11411" s="2"/>
      <c r="V11411" s="2"/>
      <c r="W11411" s="2"/>
      <c r="X11411" s="2"/>
      <c r="Y11411" s="2"/>
      <c r="Z11411" s="2"/>
    </row>
    <row r="11412" spans="1:26" ht="16.5" x14ac:dyDescent="0.35">
      <c r="A11412" s="2" t="str">
        <f ca="1">IFERROR(__xludf.DUMMYFUNCTION("""COMPUTED_VALUE"""),"Dubai")</f>
        <v>Dubai</v>
      </c>
      <c r="B11412" s="2" t="str">
        <f ca="1">IFERROR(__xludf.DUMMYFUNCTION("""COMPUTED_VALUE"""),"GEMS International School (GIS) Al Khail")</f>
        <v>GEMS International School (GIS) Al Khail</v>
      </c>
      <c r="C11412" s="2" t="str">
        <f ca="1">IFERROR(__xludf.DUMMYFUNCTION("""COMPUTED_VALUE"""),"School")</f>
        <v>School</v>
      </c>
      <c r="D11412" s="2" t="str">
        <f ca="1">IFERROR(__xludf.DUMMYFUNCTION("""COMPUTED_VALUE"""),"Dubai&gt;Dubai Hills Estate&gt;GEMS International School (GIS) Al Khail")</f>
        <v>Dubai&gt;Dubai Hills Estate&gt;GEMS International School (GIS) Al Khail</v>
      </c>
      <c r="E11412" s="2"/>
      <c r="F11412" s="2"/>
      <c r="G11412" s="2"/>
      <c r="H11412" s="2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2"/>
      <c r="T11412" s="2"/>
      <c r="U11412" s="2"/>
      <c r="V11412" s="2"/>
      <c r="W11412" s="2"/>
      <c r="X11412" s="2"/>
      <c r="Y11412" s="2"/>
      <c r="Z11412" s="2"/>
    </row>
    <row r="11413" spans="1:26" ht="16.5" x14ac:dyDescent="0.35">
      <c r="A11413" s="2" t="str">
        <f ca="1">IFERROR(__xludf.DUMMYFUNCTION("""COMPUTED_VALUE"""),"Dubai")</f>
        <v>Dubai</v>
      </c>
      <c r="B11413" s="2" t="str">
        <f ca="1">IFERROR(__xludf.DUMMYFUNCTION("""COMPUTED_VALUE"""),"Park Ridge")</f>
        <v>Park Ridge</v>
      </c>
      <c r="C11413" s="2" t="str">
        <f ca="1">IFERROR(__xludf.DUMMYFUNCTION("""COMPUTED_VALUE"""),"Cluster")</f>
        <v>Cluster</v>
      </c>
      <c r="D11413" s="2" t="str">
        <f ca="1">IFERROR(__xludf.DUMMYFUNCTION("""COMPUTED_VALUE"""),"Dubai&gt;Dubai Hills Estate&gt;Park Ridge")</f>
        <v>Dubai&gt;Dubai Hills Estate&gt;Park Ridge</v>
      </c>
      <c r="E11413" s="2"/>
      <c r="F11413" s="2"/>
      <c r="G11413" s="2"/>
      <c r="H11413" s="2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2"/>
      <c r="T11413" s="2"/>
      <c r="U11413" s="2"/>
      <c r="V11413" s="2"/>
      <c r="W11413" s="2"/>
      <c r="X11413" s="2"/>
      <c r="Y11413" s="2"/>
      <c r="Z11413" s="2"/>
    </row>
    <row r="11414" spans="1:26" ht="16.5" x14ac:dyDescent="0.35">
      <c r="A11414" s="2" t="str">
        <f ca="1">IFERROR(__xludf.DUMMYFUNCTION("""COMPUTED_VALUE"""),"Dubai")</f>
        <v>Dubai</v>
      </c>
      <c r="B11414" s="2" t="str">
        <f ca="1">IFERROR(__xludf.DUMMYFUNCTION("""COMPUTED_VALUE"""),"Collective")</f>
        <v>Collective</v>
      </c>
      <c r="C11414" s="2" t="str">
        <f ca="1">IFERROR(__xludf.DUMMYFUNCTION("""COMPUTED_VALUE"""),"Cluster")</f>
        <v>Cluster</v>
      </c>
      <c r="D11414" s="2" t="str">
        <f ca="1">IFERROR(__xludf.DUMMYFUNCTION("""COMPUTED_VALUE"""),"Dubai&gt;Dubai Hills Estate&gt;Collective")</f>
        <v>Dubai&gt;Dubai Hills Estate&gt;Collective</v>
      </c>
      <c r="E11414" s="2"/>
      <c r="F11414" s="2"/>
      <c r="G11414" s="2"/>
      <c r="H11414" s="2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2"/>
      <c r="T11414" s="2"/>
      <c r="U11414" s="2"/>
      <c r="V11414" s="2"/>
      <c r="W11414" s="2"/>
      <c r="X11414" s="2"/>
      <c r="Y11414" s="2"/>
      <c r="Z11414" s="2"/>
    </row>
    <row r="11415" spans="1:26" ht="16.5" x14ac:dyDescent="0.35">
      <c r="A11415" s="2" t="str">
        <f ca="1">IFERROR(__xludf.DUMMYFUNCTION("""COMPUTED_VALUE"""),"Dubai")</f>
        <v>Dubai</v>
      </c>
      <c r="B11415" s="2" t="str">
        <f ca="1">IFERROR(__xludf.DUMMYFUNCTION("""COMPUTED_VALUE"""),"399 Hills Park B")</f>
        <v>399 Hills Park B</v>
      </c>
      <c r="C11415" s="2" t="str">
        <f ca="1">IFERROR(__xludf.DUMMYFUNCTION("""COMPUTED_VALUE"""),"Building")</f>
        <v>Building</v>
      </c>
      <c r="D11415" s="2" t="str">
        <f ca="1">IFERROR(__xludf.DUMMYFUNCTION("""COMPUTED_VALUE"""),"Dubai&gt;Dubai Hills Estate&gt;399 Hills Park&gt;399 Hills Park B")</f>
        <v>Dubai&gt;Dubai Hills Estate&gt;399 Hills Park&gt;399 Hills Park B</v>
      </c>
      <c r="E11415" s="2"/>
      <c r="F11415" s="2"/>
      <c r="G11415" s="2"/>
      <c r="H11415" s="2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2"/>
      <c r="T11415" s="2"/>
      <c r="U11415" s="2"/>
      <c r="V11415" s="2"/>
      <c r="W11415" s="2"/>
      <c r="X11415" s="2"/>
      <c r="Y11415" s="2"/>
      <c r="Z11415" s="2"/>
    </row>
    <row r="11416" spans="1:26" ht="16.5" x14ac:dyDescent="0.35">
      <c r="A11416" s="2" t="str">
        <f ca="1">IFERROR(__xludf.DUMMYFUNCTION("""COMPUTED_VALUE"""),"Dubai")</f>
        <v>Dubai</v>
      </c>
      <c r="B11416" s="2" t="str">
        <f ca="1">IFERROR(__xludf.DUMMYFUNCTION("""COMPUTED_VALUE"""),"Club Place Tower A")</f>
        <v>Club Place Tower A</v>
      </c>
      <c r="C11416" s="2" t="str">
        <f ca="1">IFERROR(__xludf.DUMMYFUNCTION("""COMPUTED_VALUE"""),"Building")</f>
        <v>Building</v>
      </c>
      <c r="D11416" s="2" t="str">
        <f ca="1">IFERROR(__xludf.DUMMYFUNCTION("""COMPUTED_VALUE"""),"Dubai&gt;Dubai Hills Estate&gt;Club Place&gt;Club Place Tower A")</f>
        <v>Dubai&gt;Dubai Hills Estate&gt;Club Place&gt;Club Place Tower A</v>
      </c>
      <c r="E11416" s="2"/>
      <c r="F11416" s="2"/>
      <c r="G11416" s="2"/>
      <c r="H11416" s="2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2"/>
      <c r="T11416" s="2"/>
      <c r="U11416" s="2"/>
      <c r="V11416" s="2"/>
      <c r="W11416" s="2"/>
      <c r="X11416" s="2"/>
      <c r="Y11416" s="2"/>
      <c r="Z11416" s="2"/>
    </row>
    <row r="11417" spans="1:26" ht="16.5" x14ac:dyDescent="0.35">
      <c r="A11417" s="2" t="str">
        <f ca="1">IFERROR(__xludf.DUMMYFUNCTION("""COMPUTED_VALUE"""),"Dubai")</f>
        <v>Dubai</v>
      </c>
      <c r="B11417" s="2" t="str">
        <f ca="1">IFERROR(__xludf.DUMMYFUNCTION("""COMPUTED_VALUE"""),"Dar Al Buteen 1")</f>
        <v>Dar Al Buteen 1</v>
      </c>
      <c r="C11417" s="2" t="str">
        <f ca="1">IFERROR(__xludf.DUMMYFUNCTION("""COMPUTED_VALUE"""),"Building")</f>
        <v>Building</v>
      </c>
      <c r="D11417" s="2" t="str">
        <f ca="1">IFERROR(__xludf.DUMMYFUNCTION("""COMPUTED_VALUE"""),"Dubai&gt;Deira&gt;Al Muraqqabat&gt;Dar Al Buteen 1")</f>
        <v>Dubai&gt;Deira&gt;Al Muraqqabat&gt;Dar Al Buteen 1</v>
      </c>
      <c r="E11417" s="2"/>
      <c r="F11417" s="2"/>
      <c r="G11417" s="2"/>
      <c r="H11417" s="2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2"/>
      <c r="T11417" s="2"/>
      <c r="U11417" s="2"/>
      <c r="V11417" s="2"/>
      <c r="W11417" s="2"/>
      <c r="X11417" s="2"/>
      <c r="Y11417" s="2"/>
      <c r="Z11417" s="2"/>
    </row>
    <row r="11418" spans="1:26" ht="16.5" x14ac:dyDescent="0.35">
      <c r="A11418" s="2" t="str">
        <f ca="1">IFERROR(__xludf.DUMMYFUNCTION("""COMPUTED_VALUE"""),"Dubai")</f>
        <v>Dubai</v>
      </c>
      <c r="B11418" s="2" t="str">
        <f ca="1">IFERROR(__xludf.DUMMYFUNCTION("""COMPUTED_VALUE"""),"Al Murqabat 270")</f>
        <v>Al Murqabat 270</v>
      </c>
      <c r="C11418" s="2" t="str">
        <f ca="1">IFERROR(__xludf.DUMMYFUNCTION("""COMPUTED_VALUE"""),"Building")</f>
        <v>Building</v>
      </c>
      <c r="D11418" s="2" t="str">
        <f ca="1">IFERROR(__xludf.DUMMYFUNCTION("""COMPUTED_VALUE"""),"Dubai&gt;Deira&gt;Al Muraqqabat&gt;Al Murqabat 270")</f>
        <v>Dubai&gt;Deira&gt;Al Muraqqabat&gt;Al Murqabat 270</v>
      </c>
      <c r="E11418" s="2"/>
      <c r="F11418" s="2"/>
      <c r="G11418" s="2"/>
      <c r="H11418" s="2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2"/>
      <c r="T11418" s="2"/>
      <c r="U11418" s="2"/>
      <c r="V11418" s="2"/>
      <c r="W11418" s="2"/>
      <c r="X11418" s="2"/>
      <c r="Y11418" s="2"/>
      <c r="Z11418" s="2"/>
    </row>
    <row r="11419" spans="1:26" ht="16.5" x14ac:dyDescent="0.35">
      <c r="A11419" s="2" t="str">
        <f ca="1">IFERROR(__xludf.DUMMYFUNCTION("""COMPUTED_VALUE"""),"Dubai")</f>
        <v>Dubai</v>
      </c>
      <c r="B11419" s="2" t="str">
        <f ca="1">IFERROR(__xludf.DUMMYFUNCTION("""COMPUTED_VALUE"""),"Emirates Concord - Office Tower")</f>
        <v>Emirates Concord - Office Tower</v>
      </c>
      <c r="C11419" s="2" t="str">
        <f ca="1">IFERROR(__xludf.DUMMYFUNCTION("""COMPUTED_VALUE"""),"Building")</f>
        <v>Building</v>
      </c>
      <c r="D11419" s="2" t="str">
        <f ca="1">IFERROR(__xludf.DUMMYFUNCTION("""COMPUTED_VALUE"""),"Dubai&gt;Deira&gt;Riggat Al Buteen&gt;Emirates Concord - Office Tower")</f>
        <v>Dubai&gt;Deira&gt;Riggat Al Buteen&gt;Emirates Concord - Office Tower</v>
      </c>
      <c r="E11419" s="2"/>
      <c r="F11419" s="2"/>
      <c r="G11419" s="2"/>
      <c r="H11419" s="2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2"/>
      <c r="T11419" s="2"/>
      <c r="U11419" s="2"/>
      <c r="V11419" s="2"/>
      <c r="W11419" s="2"/>
      <c r="X11419" s="2"/>
      <c r="Y11419" s="2"/>
      <c r="Z11419" s="2"/>
    </row>
    <row r="11420" spans="1:26" ht="16.5" x14ac:dyDescent="0.35">
      <c r="A11420" s="2" t="str">
        <f ca="1">IFERROR(__xludf.DUMMYFUNCTION("""COMPUTED_VALUE"""),"Dubai")</f>
        <v>Dubai</v>
      </c>
      <c r="B11420" s="2" t="str">
        <f ca="1">IFERROR(__xludf.DUMMYFUNCTION("""COMPUTED_VALUE"""),"Al Shenqaiti BG-4 Building")</f>
        <v>Al Shenqaiti BG-4 Building</v>
      </c>
      <c r="C11420" s="2" t="str">
        <f ca="1">IFERROR(__xludf.DUMMYFUNCTION("""COMPUTED_VALUE"""),"Building")</f>
        <v>Building</v>
      </c>
      <c r="D11420" s="2" t="str">
        <f ca="1">IFERROR(__xludf.DUMMYFUNCTION("""COMPUTED_VALUE"""),"Dubai&gt;Deira&gt;Hor Al Anz&gt;Al Shenqaiti BG-4 Building")</f>
        <v>Dubai&gt;Deira&gt;Hor Al Anz&gt;Al Shenqaiti BG-4 Building</v>
      </c>
      <c r="E11420" s="2"/>
      <c r="F11420" s="2"/>
      <c r="G11420" s="2"/>
      <c r="H11420" s="2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2"/>
      <c r="T11420" s="2"/>
      <c r="U11420" s="2"/>
      <c r="V11420" s="2"/>
      <c r="W11420" s="2"/>
      <c r="X11420" s="2"/>
      <c r="Y11420" s="2"/>
      <c r="Z11420" s="2"/>
    </row>
    <row r="11421" spans="1:26" ht="16.5" x14ac:dyDescent="0.35">
      <c r="A11421" s="2" t="str">
        <f ca="1">IFERROR(__xludf.DUMMYFUNCTION("""COMPUTED_VALUE"""),"Dubai")</f>
        <v>Dubai</v>
      </c>
      <c r="B11421" s="2" t="str">
        <f ca="1">IFERROR(__xludf.DUMMYFUNCTION("""COMPUTED_VALUE"""),"Sanam Residence")</f>
        <v>Sanam Residence</v>
      </c>
      <c r="C11421" s="2" t="str">
        <f ca="1">IFERROR(__xludf.DUMMYFUNCTION("""COMPUTED_VALUE"""),"Building")</f>
        <v>Building</v>
      </c>
      <c r="D11421" s="2" t="str">
        <f ca="1">IFERROR(__xludf.DUMMYFUNCTION("""COMPUTED_VALUE"""),"Dubai&gt;Deira&gt;Hor Al Anz&gt;Sanam Residence")</f>
        <v>Dubai&gt;Deira&gt;Hor Al Anz&gt;Sanam Residence</v>
      </c>
      <c r="E11421" s="2"/>
      <c r="F11421" s="2"/>
      <c r="G11421" s="2"/>
      <c r="H11421" s="2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2"/>
      <c r="T11421" s="2"/>
      <c r="U11421" s="2"/>
      <c r="V11421" s="2"/>
      <c r="W11421" s="2"/>
      <c r="X11421" s="2"/>
      <c r="Y11421" s="2"/>
      <c r="Z11421" s="2"/>
    </row>
    <row r="11422" spans="1:26" ht="16.5" x14ac:dyDescent="0.35">
      <c r="A11422" s="2" t="str">
        <f ca="1">IFERROR(__xludf.DUMMYFUNCTION("""COMPUTED_VALUE"""),"Dubai")</f>
        <v>Dubai</v>
      </c>
      <c r="B11422" s="2" t="str">
        <f ca="1">IFERROR(__xludf.DUMMYFUNCTION("""COMPUTED_VALUE"""),"Al Ashram Building")</f>
        <v>Al Ashram Building</v>
      </c>
      <c r="C11422" s="2" t="str">
        <f ca="1">IFERROR(__xludf.DUMMYFUNCTION("""COMPUTED_VALUE"""),"Building")</f>
        <v>Building</v>
      </c>
      <c r="D11422" s="2" t="str">
        <f ca="1">IFERROR(__xludf.DUMMYFUNCTION("""COMPUTED_VALUE"""),"Dubai&gt;Deira&gt;Al Muteena&gt;Al Ashram Building")</f>
        <v>Dubai&gt;Deira&gt;Al Muteena&gt;Al Ashram Building</v>
      </c>
      <c r="E11422" s="2"/>
      <c r="F11422" s="2"/>
      <c r="G11422" s="2"/>
      <c r="H11422" s="2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2"/>
      <c r="T11422" s="2"/>
      <c r="U11422" s="2"/>
      <c r="V11422" s="2"/>
      <c r="W11422" s="2"/>
      <c r="X11422" s="2"/>
      <c r="Y11422" s="2"/>
      <c r="Z11422" s="2"/>
    </row>
    <row r="11423" spans="1:26" ht="16.5" x14ac:dyDescent="0.35">
      <c r="A11423" s="2" t="str">
        <f ca="1">IFERROR(__xludf.DUMMYFUNCTION("""COMPUTED_VALUE"""),"Dubai")</f>
        <v>Dubai</v>
      </c>
      <c r="B11423" s="2" t="str">
        <f ca="1">IFERROR(__xludf.DUMMYFUNCTION("""COMPUTED_VALUE"""),"Baniyas Center")</f>
        <v>Baniyas Center</v>
      </c>
      <c r="C11423" s="2" t="str">
        <f ca="1">IFERROR(__xludf.DUMMYFUNCTION("""COMPUTED_VALUE"""),"Building")</f>
        <v>Building</v>
      </c>
      <c r="D11423" s="2" t="str">
        <f ca="1">IFERROR(__xludf.DUMMYFUNCTION("""COMPUTED_VALUE"""),"Dubai&gt;Deira&gt;Al Rigga&gt;Baniyas Center")</f>
        <v>Dubai&gt;Deira&gt;Al Rigga&gt;Baniyas Center</v>
      </c>
      <c r="E11423" s="2"/>
      <c r="F11423" s="2"/>
      <c r="G11423" s="2"/>
      <c r="H11423" s="2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2"/>
      <c r="T11423" s="2"/>
      <c r="U11423" s="2"/>
      <c r="V11423" s="2"/>
      <c r="W11423" s="2"/>
      <c r="X11423" s="2"/>
      <c r="Y11423" s="2"/>
      <c r="Z11423" s="2"/>
    </row>
    <row r="11424" spans="1:26" ht="16.5" x14ac:dyDescent="0.35">
      <c r="A11424" s="2" t="str">
        <f ca="1">IFERROR(__xludf.DUMMYFUNCTION("""COMPUTED_VALUE"""),"Dubai")</f>
        <v>Dubai</v>
      </c>
      <c r="B11424" s="2" t="str">
        <f ca="1">IFERROR(__xludf.DUMMYFUNCTION("""COMPUTED_VALUE"""),"Maitha Plaza 2")</f>
        <v>Maitha Plaza 2</v>
      </c>
      <c r="C11424" s="2" t="str">
        <f ca="1">IFERROR(__xludf.DUMMYFUNCTION("""COMPUTED_VALUE"""),"Building")</f>
        <v>Building</v>
      </c>
      <c r="D11424" s="2" t="str">
        <f ca="1">IFERROR(__xludf.DUMMYFUNCTION("""COMPUTED_VALUE"""),"Dubai&gt;Deira&gt;Deira Enrichment Project&gt;Maitha Plaza&gt;Maitha Plaza 2")</f>
        <v>Dubai&gt;Deira&gt;Deira Enrichment Project&gt;Maitha Plaza&gt;Maitha Plaza 2</v>
      </c>
      <c r="E11424" s="2"/>
      <c r="F11424" s="2"/>
      <c r="G11424" s="2"/>
      <c r="H11424" s="2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2"/>
      <c r="T11424" s="2"/>
      <c r="U11424" s="2"/>
      <c r="V11424" s="2"/>
      <c r="W11424" s="2"/>
      <c r="X11424" s="2"/>
      <c r="Y11424" s="2"/>
      <c r="Z11424" s="2"/>
    </row>
    <row r="11425" spans="1:26" ht="16.5" x14ac:dyDescent="0.35">
      <c r="A11425" s="2" t="str">
        <f ca="1">IFERROR(__xludf.DUMMYFUNCTION("""COMPUTED_VALUE"""),"Dubai")</f>
        <v>Dubai</v>
      </c>
      <c r="B11425" s="2" t="str">
        <f ca="1">IFERROR(__xludf.DUMMYFUNCTION("""COMPUTED_VALUE"""),"Naif")</f>
        <v>Naif</v>
      </c>
      <c r="C11425" s="2" t="str">
        <f ca="1">IFERROR(__xludf.DUMMYFUNCTION("""COMPUTED_VALUE"""),"Neighbourhood")</f>
        <v>Neighbourhood</v>
      </c>
      <c r="D11425" s="2" t="str">
        <f ca="1">IFERROR(__xludf.DUMMYFUNCTION("""COMPUTED_VALUE"""),"Dubai&gt;Deira&gt;Naif")</f>
        <v>Dubai&gt;Deira&gt;Naif</v>
      </c>
      <c r="E11425" s="2"/>
      <c r="F11425" s="2"/>
      <c r="G11425" s="2"/>
      <c r="H11425" s="2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2"/>
      <c r="T11425" s="2"/>
      <c r="U11425" s="2"/>
      <c r="V11425" s="2"/>
      <c r="W11425" s="2"/>
      <c r="X11425" s="2"/>
      <c r="Y11425" s="2"/>
      <c r="Z11425" s="2"/>
    </row>
    <row r="11426" spans="1:26" ht="16.5" x14ac:dyDescent="0.35">
      <c r="A11426" s="2" t="str">
        <f ca="1">IFERROR(__xludf.DUMMYFUNCTION("""COMPUTED_VALUE"""),"Dubai")</f>
        <v>Dubai</v>
      </c>
      <c r="B11426" s="2" t="str">
        <f ca="1">IFERROR(__xludf.DUMMYFUNCTION("""COMPUTED_VALUE"""),"Al Salam Shopping Centre")</f>
        <v>Al Salam Shopping Centre</v>
      </c>
      <c r="C11426" s="2" t="str">
        <f ca="1">IFERROR(__xludf.DUMMYFUNCTION("""COMPUTED_VALUE"""),"Building")</f>
        <v>Building</v>
      </c>
      <c r="D11426" s="2" t="str">
        <f ca="1">IFERROR(__xludf.DUMMYFUNCTION("""COMPUTED_VALUE"""),"Dubai&gt;Deira&gt;Naif&gt;Al Salam Shopping Centre")</f>
        <v>Dubai&gt;Deira&gt;Naif&gt;Al Salam Shopping Centre</v>
      </c>
      <c r="E11426" s="2"/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2"/>
      <c r="T11426" s="2"/>
      <c r="U11426" s="2"/>
      <c r="V11426" s="2"/>
      <c r="W11426" s="2"/>
      <c r="X11426" s="2"/>
      <c r="Y11426" s="2"/>
      <c r="Z11426" s="2"/>
    </row>
    <row r="11427" spans="1:26" ht="16.5" x14ac:dyDescent="0.35">
      <c r="A11427" s="2" t="str">
        <f ca="1">IFERROR(__xludf.DUMMYFUNCTION("""COMPUTED_VALUE"""),"Dubai")</f>
        <v>Dubai</v>
      </c>
      <c r="B11427" s="2" t="str">
        <f ca="1">IFERROR(__xludf.DUMMYFUNCTION("""COMPUTED_VALUE"""),"Hamad Ahmed Bin Sougat")</f>
        <v>Hamad Ahmed Bin Sougat</v>
      </c>
      <c r="C11427" s="2" t="str">
        <f ca="1">IFERROR(__xludf.DUMMYFUNCTION("""COMPUTED_VALUE"""),"Building")</f>
        <v>Building</v>
      </c>
      <c r="D11427" s="2" t="str">
        <f ca="1">IFERROR(__xludf.DUMMYFUNCTION("""COMPUTED_VALUE"""),"Dubai&gt;Deira&gt;Al Murar&gt;Hamad Ahmed Bin Sougat")</f>
        <v>Dubai&gt;Deira&gt;Al Murar&gt;Hamad Ahmed Bin Sougat</v>
      </c>
      <c r="E11427" s="2"/>
      <c r="F11427" s="2"/>
      <c r="G11427" s="2"/>
      <c r="H11427" s="2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2"/>
      <c r="T11427" s="2"/>
      <c r="U11427" s="2"/>
      <c r="V11427" s="2"/>
      <c r="W11427" s="2"/>
      <c r="X11427" s="2"/>
      <c r="Y11427" s="2"/>
      <c r="Z11427" s="2"/>
    </row>
    <row r="11428" spans="1:26" ht="16.5" x14ac:dyDescent="0.35">
      <c r="A11428" s="2" t="str">
        <f ca="1">IFERROR(__xludf.DUMMYFUNCTION("""COMPUTED_VALUE"""),"Dubai")</f>
        <v>Dubai</v>
      </c>
      <c r="B11428" s="2" t="str">
        <f ca="1">IFERROR(__xludf.DUMMYFUNCTION("""COMPUTED_VALUE"""),"Al Khor Building")</f>
        <v>Al Khor Building</v>
      </c>
      <c r="C11428" s="2" t="str">
        <f ca="1">IFERROR(__xludf.DUMMYFUNCTION("""COMPUTED_VALUE"""),"Building")</f>
        <v>Building</v>
      </c>
      <c r="D11428" s="2" t="str">
        <f ca="1">IFERROR(__xludf.DUMMYFUNCTION("""COMPUTED_VALUE"""),"Dubai&gt;Deira&gt;Al Buteen&gt;Al Khor Building")</f>
        <v>Dubai&gt;Deira&gt;Al Buteen&gt;Al Khor Building</v>
      </c>
      <c r="E11428" s="2"/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2"/>
      <c r="T11428" s="2"/>
      <c r="U11428" s="2"/>
      <c r="V11428" s="2"/>
      <c r="W11428" s="2"/>
      <c r="X11428" s="2"/>
      <c r="Y11428" s="2"/>
      <c r="Z11428" s="2"/>
    </row>
    <row r="11429" spans="1:26" ht="16.5" x14ac:dyDescent="0.35">
      <c r="A11429" s="2" t="str">
        <f ca="1">IFERROR(__xludf.DUMMYFUNCTION("""COMPUTED_VALUE"""),"Dubai")</f>
        <v>Dubai</v>
      </c>
      <c r="B11429" s="2" t="str">
        <f ca="1">IFERROR(__xludf.DUMMYFUNCTION("""COMPUTED_VALUE"""),"City Gate Building")</f>
        <v>City Gate Building</v>
      </c>
      <c r="C11429" s="2" t="str">
        <f ca="1">IFERROR(__xludf.DUMMYFUNCTION("""COMPUTED_VALUE"""),"Building")</f>
        <v>Building</v>
      </c>
      <c r="D11429" s="2" t="str">
        <f ca="1">IFERROR(__xludf.DUMMYFUNCTION("""COMPUTED_VALUE"""),"Dubai&gt;Deira&gt;Port Saeed&gt;City Gate Building")</f>
        <v>Dubai&gt;Deira&gt;Port Saeed&gt;City Gate Building</v>
      </c>
      <c r="E11429" s="2"/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2"/>
      <c r="T11429" s="2"/>
      <c r="U11429" s="2"/>
      <c r="V11429" s="2"/>
      <c r="W11429" s="2"/>
      <c r="X11429" s="2"/>
      <c r="Y11429" s="2"/>
      <c r="Z11429" s="2"/>
    </row>
    <row r="11430" spans="1:26" ht="16.5" x14ac:dyDescent="0.35">
      <c r="A11430" s="2" t="str">
        <f ca="1">IFERROR(__xludf.DUMMYFUNCTION("""COMPUTED_VALUE"""),"Dubai")</f>
        <v>Dubai</v>
      </c>
      <c r="B11430" s="2" t="str">
        <f ca="1">IFERROR(__xludf.DUMMYFUNCTION("""COMPUTED_VALUE"""),"Hilton Dubai Creek Hotel &amp; Residences")</f>
        <v>Hilton Dubai Creek Hotel &amp; Residences</v>
      </c>
      <c r="C11430" s="2" t="str">
        <f ca="1">IFERROR(__xludf.DUMMYFUNCTION("""COMPUTED_VALUE"""),"Building")</f>
        <v>Building</v>
      </c>
      <c r="D11430" s="2" t="str">
        <f ca="1">IFERROR(__xludf.DUMMYFUNCTION("""COMPUTED_VALUE"""),"Dubai&gt;Deira&gt;Port Saeed&gt;Hilton Dubai Creek Hotel &amp; Residences")</f>
        <v>Dubai&gt;Deira&gt;Port Saeed&gt;Hilton Dubai Creek Hotel &amp; Residences</v>
      </c>
      <c r="E11430" s="2"/>
      <c r="F11430" s="2"/>
      <c r="G11430" s="2"/>
      <c r="H11430" s="2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2"/>
      <c r="T11430" s="2"/>
      <c r="U11430" s="2"/>
      <c r="V11430" s="2"/>
      <c r="W11430" s="2"/>
      <c r="X11430" s="2"/>
      <c r="Y11430" s="2"/>
      <c r="Z11430" s="2"/>
    </row>
    <row r="11431" spans="1:26" ht="16.5" x14ac:dyDescent="0.35">
      <c r="A11431" s="2" t="str">
        <f ca="1">IFERROR(__xludf.DUMMYFUNCTION("""COMPUTED_VALUE"""),"Dubai")</f>
        <v>Dubai</v>
      </c>
      <c r="B11431" s="2" t="str">
        <f ca="1">IFERROR(__xludf.DUMMYFUNCTION("""COMPUTED_VALUE"""),"Executive Bay Tower A")</f>
        <v>Executive Bay Tower A</v>
      </c>
      <c r="C11431" s="2" t="str">
        <f ca="1">IFERROR(__xludf.DUMMYFUNCTION("""COMPUTED_VALUE"""),"Building")</f>
        <v>Building</v>
      </c>
      <c r="D11431" s="2" t="str">
        <f ca="1">IFERROR(__xludf.DUMMYFUNCTION("""COMPUTED_VALUE"""),"Dubai&gt;Business Bay&gt;The Executive Bay&gt;Executive Bay Tower A")</f>
        <v>Dubai&gt;Business Bay&gt;The Executive Bay&gt;Executive Bay Tower A</v>
      </c>
      <c r="E11431" s="2"/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2"/>
      <c r="T11431" s="2"/>
      <c r="U11431" s="2"/>
      <c r="V11431" s="2"/>
      <c r="W11431" s="2"/>
      <c r="X11431" s="2"/>
      <c r="Y11431" s="2"/>
      <c r="Z11431" s="2"/>
    </row>
    <row r="11432" spans="1:26" ht="16.5" x14ac:dyDescent="0.35">
      <c r="A11432" s="2" t="str">
        <f ca="1">IFERROR(__xludf.DUMMYFUNCTION("""COMPUTED_VALUE"""),"Dubai")</f>
        <v>Dubai</v>
      </c>
      <c r="B11432" s="2" t="str">
        <f ca="1">IFERROR(__xludf.DUMMYFUNCTION("""COMPUTED_VALUE"""),"Executive Tower D (Aspect Tower)")</f>
        <v>Executive Tower D (Aspect Tower)</v>
      </c>
      <c r="C11432" s="2" t="str">
        <f ca="1">IFERROR(__xludf.DUMMYFUNCTION("""COMPUTED_VALUE"""),"Building")</f>
        <v>Building</v>
      </c>
      <c r="D11432" s="2" t="str">
        <f ca="1">IFERROR(__xludf.DUMMYFUNCTION("""COMPUTED_VALUE"""),"Dubai&gt;Business Bay&gt;Executive Towers&gt;Executive Tower D (Aspect Tower)")</f>
        <v>Dubai&gt;Business Bay&gt;Executive Towers&gt;Executive Tower D (Aspect Tower)</v>
      </c>
      <c r="E11432" s="2"/>
      <c r="F11432" s="2"/>
      <c r="G11432" s="2"/>
      <c r="H11432" s="2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2"/>
      <c r="T11432" s="2"/>
      <c r="U11432" s="2"/>
      <c r="V11432" s="2"/>
      <c r="W11432" s="2"/>
      <c r="X11432" s="2"/>
      <c r="Y11432" s="2"/>
      <c r="Z11432" s="2"/>
    </row>
    <row r="11433" spans="1:26" ht="16.5" x14ac:dyDescent="0.35">
      <c r="A11433" s="2" t="str">
        <f ca="1">IFERROR(__xludf.DUMMYFUNCTION("""COMPUTED_VALUE"""),"Dubai")</f>
        <v>Dubai</v>
      </c>
      <c r="B11433" s="2" t="str">
        <f ca="1">IFERROR(__xludf.DUMMYFUNCTION("""COMPUTED_VALUE"""),"Anantara Downtown Towers")</f>
        <v>Anantara Downtown Towers</v>
      </c>
      <c r="C11433" s="2" t="str">
        <f ca="1">IFERROR(__xludf.DUMMYFUNCTION("""COMPUTED_VALUE"""),"Cluster")</f>
        <v>Cluster</v>
      </c>
      <c r="D11433" s="2" t="str">
        <f ca="1">IFERROR(__xludf.DUMMYFUNCTION("""COMPUTED_VALUE"""),"Dubai&gt;Business Bay&gt;Anantara Downtown Towers")</f>
        <v>Dubai&gt;Business Bay&gt;Anantara Downtown Towers</v>
      </c>
      <c r="E11433" s="2"/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2"/>
      <c r="T11433" s="2"/>
      <c r="U11433" s="2"/>
      <c r="V11433" s="2"/>
      <c r="W11433" s="2"/>
      <c r="X11433" s="2"/>
      <c r="Y11433" s="2"/>
      <c r="Z11433" s="2"/>
    </row>
    <row r="11434" spans="1:26" ht="16.5" x14ac:dyDescent="0.35">
      <c r="A11434" s="2" t="str">
        <f ca="1">IFERROR(__xludf.DUMMYFUNCTION("""COMPUTED_VALUE"""),"Dubai")</f>
        <v>Dubai</v>
      </c>
      <c r="B11434" s="2" t="str">
        <f ca="1">IFERROR(__xludf.DUMMYFUNCTION("""COMPUTED_VALUE"""),"Churchill Towers")</f>
        <v>Churchill Towers</v>
      </c>
      <c r="C11434" s="2" t="str">
        <f ca="1">IFERROR(__xludf.DUMMYFUNCTION("""COMPUTED_VALUE"""),"Cluster")</f>
        <v>Cluster</v>
      </c>
      <c r="D11434" s="2" t="str">
        <f ca="1">IFERROR(__xludf.DUMMYFUNCTION("""COMPUTED_VALUE"""),"Dubai&gt;Business Bay&gt;Churchill Towers")</f>
        <v>Dubai&gt;Business Bay&gt;Churchill Towers</v>
      </c>
      <c r="E11434" s="2"/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2"/>
      <c r="T11434" s="2"/>
      <c r="U11434" s="2"/>
      <c r="V11434" s="2"/>
      <c r="W11434" s="2"/>
      <c r="X11434" s="2"/>
      <c r="Y11434" s="2"/>
      <c r="Z11434" s="2"/>
    </row>
    <row r="11435" spans="1:26" ht="16.5" x14ac:dyDescent="0.35">
      <c r="A11435" s="2" t="str">
        <f ca="1">IFERROR(__xludf.DUMMYFUNCTION("""COMPUTED_VALUE"""),"Dubai")</f>
        <v>Dubai</v>
      </c>
      <c r="B11435" s="2" t="str">
        <f ca="1">IFERROR(__xludf.DUMMYFUNCTION("""COMPUTED_VALUE"""),"Al Shafar Tower")</f>
        <v>Al Shafar Tower</v>
      </c>
      <c r="C11435" s="2" t="str">
        <f ca="1">IFERROR(__xludf.DUMMYFUNCTION("""COMPUTED_VALUE"""),"Building")</f>
        <v>Building</v>
      </c>
      <c r="D11435" s="2" t="str">
        <f ca="1">IFERROR(__xludf.DUMMYFUNCTION("""COMPUTED_VALUE"""),"Dubai&gt;Business Bay&gt;Al Shafar Tower")</f>
        <v>Dubai&gt;Business Bay&gt;Al Shafar Tower</v>
      </c>
      <c r="E11435" s="2"/>
      <c r="F11435" s="2"/>
      <c r="G11435" s="2"/>
      <c r="H11435" s="2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2"/>
      <c r="T11435" s="2"/>
      <c r="U11435" s="2"/>
      <c r="V11435" s="2"/>
      <c r="W11435" s="2"/>
      <c r="X11435" s="2"/>
      <c r="Y11435" s="2"/>
      <c r="Z11435" s="2"/>
    </row>
    <row r="11436" spans="1:26" ht="16.5" x14ac:dyDescent="0.35">
      <c r="A11436" s="2" t="str">
        <f ca="1">IFERROR(__xludf.DUMMYFUNCTION("""COMPUTED_VALUE"""),"Dubai")</f>
        <v>Dubai</v>
      </c>
      <c r="B11436" s="2" t="str">
        <f ca="1">IFERROR(__xludf.DUMMYFUNCTION("""COMPUTED_VALUE"""),"The Vision Tower")</f>
        <v>The Vision Tower</v>
      </c>
      <c r="C11436" s="2" t="str">
        <f ca="1">IFERROR(__xludf.DUMMYFUNCTION("""COMPUTED_VALUE"""),"Building")</f>
        <v>Building</v>
      </c>
      <c r="D11436" s="2" t="str">
        <f ca="1">IFERROR(__xludf.DUMMYFUNCTION("""COMPUTED_VALUE"""),"Dubai&gt;Business Bay&gt;The Vision Tower")</f>
        <v>Dubai&gt;Business Bay&gt;The Vision Tower</v>
      </c>
      <c r="E11436" s="2"/>
      <c r="F11436" s="2"/>
      <c r="G11436" s="2"/>
      <c r="H11436" s="2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2"/>
      <c r="T11436" s="2"/>
      <c r="U11436" s="2"/>
      <c r="V11436" s="2"/>
      <c r="W11436" s="2"/>
      <c r="X11436" s="2"/>
      <c r="Y11436" s="2"/>
      <c r="Z11436" s="2"/>
    </row>
    <row r="11437" spans="1:26" ht="16.5" x14ac:dyDescent="0.35">
      <c r="A11437" s="2" t="str">
        <f ca="1">IFERROR(__xludf.DUMMYFUNCTION("""COMPUTED_VALUE"""),"Dubai")</f>
        <v>Dubai</v>
      </c>
      <c r="B11437" s="2" t="str">
        <f ca="1">IFERROR(__xludf.DUMMYFUNCTION("""COMPUTED_VALUE"""),"Burj Binghatti Jacob &amp; Co Residences")</f>
        <v>Burj Binghatti Jacob &amp; Co Residences</v>
      </c>
      <c r="C11437" s="2" t="str">
        <f ca="1">IFERROR(__xludf.DUMMYFUNCTION("""COMPUTED_VALUE"""),"Building")</f>
        <v>Building</v>
      </c>
      <c r="D11437" s="2" t="str">
        <f ca="1">IFERROR(__xludf.DUMMYFUNCTION("""COMPUTED_VALUE"""),"Dubai&gt;Business Bay&gt;Burj Binghatti Jacob &amp; Co Residences")</f>
        <v>Dubai&gt;Business Bay&gt;Burj Binghatti Jacob &amp; Co Residences</v>
      </c>
      <c r="E11437" s="2"/>
      <c r="F11437" s="2"/>
      <c r="G11437" s="2"/>
      <c r="H11437" s="2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2"/>
      <c r="T11437" s="2"/>
      <c r="U11437" s="2"/>
      <c r="V11437" s="2"/>
      <c r="W11437" s="2"/>
      <c r="X11437" s="2"/>
      <c r="Y11437" s="2"/>
      <c r="Z11437" s="2"/>
    </row>
    <row r="11438" spans="1:26" ht="16.5" x14ac:dyDescent="0.35">
      <c r="A11438" s="2" t="str">
        <f ca="1">IFERROR(__xludf.DUMMYFUNCTION("""COMPUTED_VALUE"""),"Dubai")</f>
        <v>Dubai</v>
      </c>
      <c r="B11438" s="2" t="str">
        <f ca="1">IFERROR(__xludf.DUMMYFUNCTION("""COMPUTED_VALUE"""),"The Waterfront Simplexes at Peninsula One")</f>
        <v>The Waterfront Simplexes at Peninsula One</v>
      </c>
      <c r="C11438" s="2" t="str">
        <f ca="1">IFERROR(__xludf.DUMMYFUNCTION("""COMPUTED_VALUE"""),"Building")</f>
        <v>Building</v>
      </c>
      <c r="D11438" s="2" t="str">
        <f ca="1">IFERROR(__xludf.DUMMYFUNCTION("""COMPUTED_VALUE"""),"Dubai&gt;Business Bay&gt;The Waterfront Simplexes at Peninsula One")</f>
        <v>Dubai&gt;Business Bay&gt;The Waterfront Simplexes at Peninsula One</v>
      </c>
      <c r="E11438" s="2"/>
      <c r="F11438" s="2"/>
      <c r="G11438" s="2"/>
      <c r="H11438" s="2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2"/>
      <c r="T11438" s="2"/>
      <c r="U11438" s="2"/>
      <c r="V11438" s="2"/>
      <c r="W11438" s="2"/>
      <c r="X11438" s="2"/>
      <c r="Y11438" s="2"/>
      <c r="Z11438" s="2"/>
    </row>
    <row r="11439" spans="1:26" ht="16.5" x14ac:dyDescent="0.35">
      <c r="A11439" s="2" t="str">
        <f ca="1">IFERROR(__xludf.DUMMYFUNCTION("""COMPUTED_VALUE"""),"Dubai")</f>
        <v>Dubai</v>
      </c>
      <c r="B11439" s="2" t="str">
        <f ca="1">IFERROR(__xludf.DUMMYFUNCTION("""COMPUTED_VALUE"""),"Royal Regency Suites")</f>
        <v>Royal Regency Suites</v>
      </c>
      <c r="C11439" s="2" t="str">
        <f ca="1">IFERROR(__xludf.DUMMYFUNCTION("""COMPUTED_VALUE"""),"Cluster")</f>
        <v>Cluster</v>
      </c>
      <c r="D11439" s="2" t="str">
        <f ca="1">IFERROR(__xludf.DUMMYFUNCTION("""COMPUTED_VALUE"""),"Dubai&gt;Business Bay&gt;Royal Regency Suites")</f>
        <v>Dubai&gt;Business Bay&gt;Royal Regency Suites</v>
      </c>
      <c r="E11439" s="2"/>
      <c r="F11439" s="2"/>
      <c r="G11439" s="2"/>
      <c r="H11439" s="2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2"/>
      <c r="T11439" s="2"/>
      <c r="U11439" s="2"/>
      <c r="V11439" s="2"/>
      <c r="W11439" s="2"/>
      <c r="X11439" s="2"/>
      <c r="Y11439" s="2"/>
      <c r="Z11439" s="2"/>
    </row>
    <row r="11440" spans="1:26" ht="16.5" x14ac:dyDescent="0.35">
      <c r="A11440" s="2" t="str">
        <f ca="1">IFERROR(__xludf.DUMMYFUNCTION("""COMPUTED_VALUE"""),"Dubai")</f>
        <v>Dubai</v>
      </c>
      <c r="B11440" s="2" t="str">
        <f ca="1">IFERROR(__xludf.DUMMYFUNCTION("""COMPUTED_VALUE"""),"Desert Palm")</f>
        <v>Desert Palm</v>
      </c>
      <c r="C11440" s="2" t="str">
        <f ca="1">IFERROR(__xludf.DUMMYFUNCTION("""COMPUTED_VALUE"""),"Neighbourhood")</f>
        <v>Neighbourhood</v>
      </c>
      <c r="D11440" s="2" t="str">
        <f ca="1">IFERROR(__xludf.DUMMYFUNCTION("""COMPUTED_VALUE"""),"Dubai&gt;Al Warsan&gt;Warsan 2&gt;Desert Palm")</f>
        <v>Dubai&gt;Al Warsan&gt;Warsan 2&gt;Desert Palm</v>
      </c>
      <c r="E11440" s="2"/>
      <c r="F11440" s="2"/>
      <c r="G11440" s="2"/>
      <c r="H11440" s="2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2"/>
      <c r="T11440" s="2"/>
      <c r="U11440" s="2"/>
      <c r="V11440" s="2"/>
      <c r="W11440" s="2"/>
      <c r="X11440" s="2"/>
      <c r="Y11440" s="2"/>
      <c r="Z11440" s="2"/>
    </row>
    <row r="11441" spans="1:26" ht="16.5" x14ac:dyDescent="0.35">
      <c r="A11441" s="2" t="str">
        <f ca="1">IFERROR(__xludf.DUMMYFUNCTION("""COMPUTED_VALUE"""),"Dubai")</f>
        <v>Dubai</v>
      </c>
      <c r="B11441" s="2" t="str">
        <f ca="1">IFERROR(__xludf.DUMMYFUNCTION("""COMPUTED_VALUE"""),"District 8H")</f>
        <v>District 8H</v>
      </c>
      <c r="C11441" s="2" t="str">
        <f ca="1">IFERROR(__xludf.DUMMYFUNCTION("""COMPUTED_VALUE"""),"Neighbourhood")</f>
        <v>Neighbourhood</v>
      </c>
      <c r="D11441" s="2" t="str">
        <f ca="1">IFERROR(__xludf.DUMMYFUNCTION("""COMPUTED_VALUE"""),"Dubai&gt;Jumeirah Village Triangle (JVT)&gt;JVT District 8&gt;District 8H")</f>
        <v>Dubai&gt;Jumeirah Village Triangle (JVT)&gt;JVT District 8&gt;District 8H</v>
      </c>
      <c r="E11441" s="2"/>
      <c r="F11441" s="2"/>
      <c r="G11441" s="2"/>
      <c r="H11441" s="2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2"/>
      <c r="T11441" s="2"/>
      <c r="U11441" s="2"/>
      <c r="V11441" s="2"/>
      <c r="W11441" s="2"/>
      <c r="X11441" s="2"/>
      <c r="Y11441" s="2"/>
      <c r="Z11441" s="2"/>
    </row>
    <row r="11442" spans="1:26" ht="16.5" x14ac:dyDescent="0.35">
      <c r="A11442" s="2" t="str">
        <f ca="1">IFERROR(__xludf.DUMMYFUNCTION("""COMPUTED_VALUE"""),"Dubai")</f>
        <v>Dubai</v>
      </c>
      <c r="B11442" s="2" t="str">
        <f ca="1">IFERROR(__xludf.DUMMYFUNCTION("""COMPUTED_VALUE"""),"Noor Apartment 1")</f>
        <v>Noor Apartment 1</v>
      </c>
      <c r="C11442" s="2" t="str">
        <f ca="1">IFERROR(__xludf.DUMMYFUNCTION("""COMPUTED_VALUE"""),"Building")</f>
        <v>Building</v>
      </c>
      <c r="D11442" s="2" t="str">
        <f ca="1">IFERROR(__xludf.DUMMYFUNCTION("""COMPUTED_VALUE"""),"Dubai&gt;Jumeirah Village Triangle (JVT)&gt;JVT District 2&gt;Noor Apartment 1")</f>
        <v>Dubai&gt;Jumeirah Village Triangle (JVT)&gt;JVT District 2&gt;Noor Apartment 1</v>
      </c>
      <c r="E11442" s="2"/>
      <c r="F11442" s="2"/>
      <c r="G11442" s="2"/>
      <c r="H11442" s="2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2"/>
      <c r="T11442" s="2"/>
      <c r="U11442" s="2"/>
      <c r="V11442" s="2"/>
      <c r="W11442" s="2"/>
      <c r="X11442" s="2"/>
      <c r="Y11442" s="2"/>
      <c r="Z11442" s="2"/>
    </row>
    <row r="11443" spans="1:26" ht="16.5" x14ac:dyDescent="0.35">
      <c r="A11443" s="2" t="str">
        <f ca="1">IFERROR(__xludf.DUMMYFUNCTION("""COMPUTED_VALUE"""),"Dubai")</f>
        <v>Dubai</v>
      </c>
      <c r="B11443" s="2" t="str">
        <f ca="1">IFERROR(__xludf.DUMMYFUNCTION("""COMPUTED_VALUE"""),"Silver Lining Apartments")</f>
        <v>Silver Lining Apartments</v>
      </c>
      <c r="C11443" s="2" t="str">
        <f ca="1">IFERROR(__xludf.DUMMYFUNCTION("""COMPUTED_VALUE"""),"Building")</f>
        <v>Building</v>
      </c>
      <c r="D11443" s="2" t="str">
        <f ca="1">IFERROR(__xludf.DUMMYFUNCTION("""COMPUTED_VALUE"""),"Dubai&gt;Jumeirah Village Triangle (JVT)&gt;JVT District 7&gt;Silver Lining Apartments")</f>
        <v>Dubai&gt;Jumeirah Village Triangle (JVT)&gt;JVT District 7&gt;Silver Lining Apartments</v>
      </c>
      <c r="E11443" s="2"/>
      <c r="F11443" s="2"/>
      <c r="G11443" s="2"/>
      <c r="H11443" s="2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2"/>
      <c r="T11443" s="2"/>
      <c r="U11443" s="2"/>
      <c r="V11443" s="2"/>
      <c r="W11443" s="2"/>
      <c r="X11443" s="2"/>
      <c r="Y11443" s="2"/>
      <c r="Z11443" s="2"/>
    </row>
    <row r="11444" spans="1:26" ht="16.5" x14ac:dyDescent="0.35">
      <c r="A11444" s="2" t="str">
        <f ca="1">IFERROR(__xludf.DUMMYFUNCTION("""COMPUTED_VALUE"""),"Dubai")</f>
        <v>Dubai</v>
      </c>
      <c r="B11444" s="2" t="str">
        <f ca="1">IFERROR(__xludf.DUMMYFUNCTION("""COMPUTED_VALUE"""),"03 Residence by Ned Al Ghurair")</f>
        <v>03 Residence by Ned Al Ghurair</v>
      </c>
      <c r="C11444" s="2" t="str">
        <f ca="1">IFERROR(__xludf.DUMMYFUNCTION("""COMPUTED_VALUE"""),"Building")</f>
        <v>Building</v>
      </c>
      <c r="D11444" s="2" t="str">
        <f ca="1">IFERROR(__xludf.DUMMYFUNCTION("""COMPUTED_VALUE"""),"Dubai&gt;Jumeirah Village Triangle (JVT)&gt;JVT District 1&gt;03 Residence by Ned Al Ghurair")</f>
        <v>Dubai&gt;Jumeirah Village Triangle (JVT)&gt;JVT District 1&gt;03 Residence by Ned Al Ghurair</v>
      </c>
      <c r="E11444" s="2"/>
      <c r="F11444" s="2"/>
      <c r="G11444" s="2"/>
      <c r="H11444" s="2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2"/>
      <c r="T11444" s="2"/>
      <c r="U11444" s="2"/>
      <c r="V11444" s="2"/>
      <c r="W11444" s="2"/>
      <c r="X11444" s="2"/>
      <c r="Y11444" s="2"/>
      <c r="Z11444" s="2"/>
    </row>
    <row r="11445" spans="1:26" ht="16.5" x14ac:dyDescent="0.35">
      <c r="A11445" s="2" t="str">
        <f ca="1">IFERROR(__xludf.DUMMYFUNCTION("""COMPUTED_VALUE"""),"Dubai")</f>
        <v>Dubai</v>
      </c>
      <c r="B11445" s="2" t="str">
        <f ca="1">IFERROR(__xludf.DUMMYFUNCTION("""COMPUTED_VALUE"""),"Binghatti Luxuria")</f>
        <v>Binghatti Luxuria</v>
      </c>
      <c r="C11445" s="2" t="str">
        <f ca="1">IFERROR(__xludf.DUMMYFUNCTION("""COMPUTED_VALUE"""),"Building")</f>
        <v>Building</v>
      </c>
      <c r="D11445" s="2" t="str">
        <f ca="1">IFERROR(__xludf.DUMMYFUNCTION("""COMPUTED_VALUE"""),"Dubai&gt;Jumeirah Village Triangle (JVT)&gt;JVT District 4&gt;Binghatti Luxuria")</f>
        <v>Dubai&gt;Jumeirah Village Triangle (JVT)&gt;JVT District 4&gt;Binghatti Luxuria</v>
      </c>
      <c r="E11445" s="2"/>
      <c r="F11445" s="2"/>
      <c r="G11445" s="2"/>
      <c r="H11445" s="2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2"/>
      <c r="T11445" s="2"/>
      <c r="U11445" s="2"/>
      <c r="V11445" s="2"/>
      <c r="W11445" s="2"/>
      <c r="X11445" s="2"/>
      <c r="Y11445" s="2"/>
      <c r="Z11445" s="2"/>
    </row>
    <row r="11446" spans="1:26" ht="16.5" x14ac:dyDescent="0.35">
      <c r="A11446" s="2" t="str">
        <f ca="1">IFERROR(__xludf.DUMMYFUNCTION("""COMPUTED_VALUE"""),"Dubai")</f>
        <v>Dubai</v>
      </c>
      <c r="B11446" s="2" t="str">
        <f ca="1">IFERROR(__xludf.DUMMYFUNCTION("""COMPUTED_VALUE"""),"Al Ramth 57")</f>
        <v>Al Ramth 57</v>
      </c>
      <c r="C11446" s="2" t="str">
        <f ca="1">IFERROR(__xludf.DUMMYFUNCTION("""COMPUTED_VALUE"""),"Building")</f>
        <v>Building</v>
      </c>
      <c r="D11446" s="2" t="str">
        <f ca="1">IFERROR(__xludf.DUMMYFUNCTION("""COMPUTED_VALUE"""),"Dubai&gt;Remraam&gt;Al Ramth&gt;Al Ramth 57")</f>
        <v>Dubai&gt;Remraam&gt;Al Ramth&gt;Al Ramth 57</v>
      </c>
      <c r="E11446" s="2"/>
      <c r="F11446" s="2"/>
      <c r="G11446" s="2"/>
      <c r="H11446" s="2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2"/>
      <c r="T11446" s="2"/>
      <c r="U11446" s="2"/>
      <c r="V11446" s="2"/>
      <c r="W11446" s="2"/>
      <c r="X11446" s="2"/>
      <c r="Y11446" s="2"/>
      <c r="Z11446" s="2"/>
    </row>
    <row r="11447" spans="1:26" ht="16.5" x14ac:dyDescent="0.35">
      <c r="A11447" s="2" t="str">
        <f ca="1">IFERROR(__xludf.DUMMYFUNCTION("""COMPUTED_VALUE"""),"Dubai")</f>
        <v>Dubai</v>
      </c>
      <c r="B11447" s="2" t="str">
        <f ca="1">IFERROR(__xludf.DUMMYFUNCTION("""COMPUTED_VALUE"""),"Al Ramth 55")</f>
        <v>Al Ramth 55</v>
      </c>
      <c r="C11447" s="2" t="str">
        <f ca="1">IFERROR(__xludf.DUMMYFUNCTION("""COMPUTED_VALUE"""),"Building")</f>
        <v>Building</v>
      </c>
      <c r="D11447" s="2" t="str">
        <f ca="1">IFERROR(__xludf.DUMMYFUNCTION("""COMPUTED_VALUE"""),"Dubai&gt;Remraam&gt;Al Ramth&gt;Al Ramth 55")</f>
        <v>Dubai&gt;Remraam&gt;Al Ramth&gt;Al Ramth 55</v>
      </c>
      <c r="E11447" s="2"/>
      <c r="F11447" s="2"/>
      <c r="G11447" s="2"/>
      <c r="H11447" s="2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2"/>
      <c r="T11447" s="2"/>
      <c r="U11447" s="2"/>
      <c r="V11447" s="2"/>
      <c r="W11447" s="2"/>
      <c r="X11447" s="2"/>
      <c r="Y11447" s="2"/>
      <c r="Z11447" s="2"/>
    </row>
    <row r="11448" spans="1:26" ht="16.5" x14ac:dyDescent="0.35">
      <c r="A11448" s="2" t="str">
        <f ca="1">IFERROR(__xludf.DUMMYFUNCTION("""COMPUTED_VALUE"""),"Dubai")</f>
        <v>Dubai</v>
      </c>
      <c r="B11448" s="2" t="str">
        <f ca="1">IFERROR(__xludf.DUMMYFUNCTION("""COMPUTED_VALUE"""),"Al Thamam 22")</f>
        <v>Al Thamam 22</v>
      </c>
      <c r="C11448" s="2" t="str">
        <f ca="1">IFERROR(__xludf.DUMMYFUNCTION("""COMPUTED_VALUE"""),"Building")</f>
        <v>Building</v>
      </c>
      <c r="D11448" s="2" t="str">
        <f ca="1">IFERROR(__xludf.DUMMYFUNCTION("""COMPUTED_VALUE"""),"Dubai&gt;Remraam&gt;Al Thamam&gt;Al Thamam 22")</f>
        <v>Dubai&gt;Remraam&gt;Al Thamam&gt;Al Thamam 22</v>
      </c>
      <c r="E11448" s="2"/>
      <c r="F11448" s="2"/>
      <c r="G11448" s="2"/>
      <c r="H11448" s="2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2"/>
      <c r="T11448" s="2"/>
      <c r="U11448" s="2"/>
      <c r="V11448" s="2"/>
      <c r="W11448" s="2"/>
      <c r="X11448" s="2"/>
      <c r="Y11448" s="2"/>
      <c r="Z11448" s="2"/>
    </row>
    <row r="11449" spans="1:26" ht="16.5" x14ac:dyDescent="0.35">
      <c r="A11449" s="2" t="str">
        <f ca="1">IFERROR(__xludf.DUMMYFUNCTION("""COMPUTED_VALUE"""),"Dubai")</f>
        <v>Dubai</v>
      </c>
      <c r="B11449" s="2" t="str">
        <f ca="1">IFERROR(__xludf.DUMMYFUNCTION("""COMPUTED_VALUE"""),"HE Hotel Apartment")</f>
        <v>HE Hotel Apartment</v>
      </c>
      <c r="C11449" s="2" t="str">
        <f ca="1">IFERROR(__xludf.DUMMYFUNCTION("""COMPUTED_VALUE"""),"Building")</f>
        <v>Building</v>
      </c>
      <c r="D11449" s="2" t="str">
        <f ca="1">IFERROR(__xludf.DUMMYFUNCTION("""COMPUTED_VALUE"""),"Dubai&gt;Jumeirah Village Circle (JVC)&gt;JVC District 17&gt;HE Hotel Apartment")</f>
        <v>Dubai&gt;Jumeirah Village Circle (JVC)&gt;JVC District 17&gt;HE Hotel Apartment</v>
      </c>
      <c r="E11449" s="2"/>
      <c r="F11449" s="2"/>
      <c r="G11449" s="2"/>
      <c r="H11449" s="2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2"/>
      <c r="T11449" s="2"/>
      <c r="U11449" s="2"/>
      <c r="V11449" s="2"/>
      <c r="W11449" s="2"/>
      <c r="X11449" s="2"/>
      <c r="Y11449" s="2"/>
      <c r="Z11449" s="2"/>
    </row>
    <row r="11450" spans="1:26" ht="16.5" x14ac:dyDescent="0.35">
      <c r="A11450" s="2" t="str">
        <f ca="1">IFERROR(__xludf.DUMMYFUNCTION("""COMPUTED_VALUE"""),"Dubai")</f>
        <v>Dubai</v>
      </c>
      <c r="B11450" s="2" t="str">
        <f ca="1">IFERROR(__xludf.DUMMYFUNCTION("""COMPUTED_VALUE"""),"Lolena Residence")</f>
        <v>Lolena Residence</v>
      </c>
      <c r="C11450" s="2" t="str">
        <f ca="1">IFERROR(__xludf.DUMMYFUNCTION("""COMPUTED_VALUE"""),"Building")</f>
        <v>Building</v>
      </c>
      <c r="D11450" s="2" t="str">
        <f ca="1">IFERROR(__xludf.DUMMYFUNCTION("""COMPUTED_VALUE"""),"Dubai&gt;Jumeirah Village Circle (JVC)&gt;JVC District 12&gt;Lolena Residence")</f>
        <v>Dubai&gt;Jumeirah Village Circle (JVC)&gt;JVC District 12&gt;Lolena Residence</v>
      </c>
      <c r="E11450" s="2"/>
      <c r="F11450" s="2"/>
      <c r="G11450" s="2"/>
      <c r="H11450" s="2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2"/>
      <c r="T11450" s="2"/>
      <c r="U11450" s="2"/>
      <c r="V11450" s="2"/>
      <c r="W11450" s="2"/>
      <c r="X11450" s="2"/>
      <c r="Y11450" s="2"/>
      <c r="Z11450" s="2"/>
    </row>
    <row r="11451" spans="1:26" ht="16.5" x14ac:dyDescent="0.35">
      <c r="A11451" s="2" t="str">
        <f ca="1">IFERROR(__xludf.DUMMYFUNCTION("""COMPUTED_VALUE"""),"Dubai")</f>
        <v>Dubai</v>
      </c>
      <c r="B11451" s="2" t="str">
        <f ca="1">IFERROR(__xludf.DUMMYFUNCTION("""COMPUTED_VALUE"""),"Catch Residences")</f>
        <v>Catch Residences</v>
      </c>
      <c r="C11451" s="2" t="str">
        <f ca="1">IFERROR(__xludf.DUMMYFUNCTION("""COMPUTED_VALUE"""),"Building")</f>
        <v>Building</v>
      </c>
      <c r="D11451" s="2" t="str">
        <f ca="1">IFERROR(__xludf.DUMMYFUNCTION("""COMPUTED_VALUE"""),"Dubai&gt;Jumeirah Village Circle (JVC)&gt;JVC District 12&gt;Catch Residences")</f>
        <v>Dubai&gt;Jumeirah Village Circle (JVC)&gt;JVC District 12&gt;Catch Residences</v>
      </c>
      <c r="E11451" s="2"/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2"/>
      <c r="T11451" s="2"/>
      <c r="U11451" s="2"/>
      <c r="V11451" s="2"/>
      <c r="W11451" s="2"/>
      <c r="X11451" s="2"/>
      <c r="Y11451" s="2"/>
      <c r="Z11451" s="2"/>
    </row>
    <row r="11452" spans="1:26" ht="16.5" x14ac:dyDescent="0.35">
      <c r="A11452" s="2" t="str">
        <f ca="1">IFERROR(__xludf.DUMMYFUNCTION("""COMPUTED_VALUE"""),"Dubai")</f>
        <v>Dubai</v>
      </c>
      <c r="B11452" s="2" t="str">
        <f ca="1">IFERROR(__xludf.DUMMYFUNCTION("""COMPUTED_VALUE"""),"Avant Garde Residences by Skyline")</f>
        <v>Avant Garde Residences by Skyline</v>
      </c>
      <c r="C11452" s="2" t="str">
        <f ca="1">IFERROR(__xludf.DUMMYFUNCTION("""COMPUTED_VALUE"""),"Building")</f>
        <v>Building</v>
      </c>
      <c r="D11452" s="2" t="str">
        <f ca="1">IFERROR(__xludf.DUMMYFUNCTION("""COMPUTED_VALUE"""),"Dubai&gt;Jumeirah Village Circle (JVC)&gt;JVC District 12&gt;Avant Garde Residences by Skyline")</f>
        <v>Dubai&gt;Jumeirah Village Circle (JVC)&gt;JVC District 12&gt;Avant Garde Residences by Skyline</v>
      </c>
      <c r="E11452" s="2"/>
      <c r="F11452" s="2"/>
      <c r="G11452" s="2"/>
      <c r="H11452" s="2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2"/>
      <c r="T11452" s="2"/>
      <c r="U11452" s="2"/>
      <c r="V11452" s="2"/>
      <c r="W11452" s="2"/>
      <c r="X11452" s="2"/>
      <c r="Y11452" s="2"/>
      <c r="Z11452" s="2"/>
    </row>
    <row r="11453" spans="1:26" ht="16.5" x14ac:dyDescent="0.35">
      <c r="A11453" s="2" t="str">
        <f ca="1">IFERROR(__xludf.DUMMYFUNCTION("""COMPUTED_VALUE"""),"Dubai")</f>
        <v>Dubai</v>
      </c>
      <c r="B11453" s="2" t="str">
        <f ca="1">IFERROR(__xludf.DUMMYFUNCTION("""COMPUTED_VALUE"""),"Plaza Residences")</f>
        <v>Plaza Residences</v>
      </c>
      <c r="C11453" s="2" t="str">
        <f ca="1">IFERROR(__xludf.DUMMYFUNCTION("""COMPUTED_VALUE"""),"Cluster")</f>
        <v>Cluster</v>
      </c>
      <c r="D11453" s="2" t="str">
        <f ca="1">IFERROR(__xludf.DUMMYFUNCTION("""COMPUTED_VALUE"""),"Dubai&gt;Jumeirah Village Circle (JVC)&gt;JVC District 13&gt;Plaza Residences")</f>
        <v>Dubai&gt;Jumeirah Village Circle (JVC)&gt;JVC District 13&gt;Plaza Residences</v>
      </c>
      <c r="E11453" s="2"/>
      <c r="F11453" s="2"/>
      <c r="G11453" s="2"/>
      <c r="H11453" s="2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2"/>
      <c r="T11453" s="2"/>
      <c r="U11453" s="2"/>
      <c r="V11453" s="2"/>
      <c r="W11453" s="2"/>
      <c r="X11453" s="2"/>
      <c r="Y11453" s="2"/>
      <c r="Z11453" s="2"/>
    </row>
    <row r="11454" spans="1:26" ht="16.5" x14ac:dyDescent="0.35">
      <c r="A11454" s="2" t="str">
        <f ca="1">IFERROR(__xludf.DUMMYFUNCTION("""COMPUTED_VALUE"""),"Dubai")</f>
        <v>Dubai</v>
      </c>
      <c r="B11454" s="2" t="str">
        <f ca="1">IFERROR(__xludf.DUMMYFUNCTION("""COMPUTED_VALUE"""),"Excellence Residence")</f>
        <v>Excellence Residence</v>
      </c>
      <c r="C11454" s="2" t="str">
        <f ca="1">IFERROR(__xludf.DUMMYFUNCTION("""COMPUTED_VALUE"""),"Building")</f>
        <v>Building</v>
      </c>
      <c r="D11454" s="2" t="str">
        <f ca="1">IFERROR(__xludf.DUMMYFUNCTION("""COMPUTED_VALUE"""),"Dubai&gt;Jumeirah Village Circle (JVC)&gt;JVC District 13&gt;Excellence Residence")</f>
        <v>Dubai&gt;Jumeirah Village Circle (JVC)&gt;JVC District 13&gt;Excellence Residence</v>
      </c>
      <c r="E11454" s="2"/>
      <c r="F11454" s="2"/>
      <c r="G11454" s="2"/>
      <c r="H11454" s="2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2"/>
      <c r="T11454" s="2"/>
      <c r="U11454" s="2"/>
      <c r="V11454" s="2"/>
      <c r="W11454" s="2"/>
      <c r="X11454" s="2"/>
      <c r="Y11454" s="2"/>
      <c r="Z11454" s="2"/>
    </row>
    <row r="11455" spans="1:26" ht="16.5" x14ac:dyDescent="0.35">
      <c r="A11455" s="2" t="str">
        <f ca="1">IFERROR(__xludf.DUMMYFUNCTION("""COMPUTED_VALUE"""),"Dubai")</f>
        <v>Dubai</v>
      </c>
      <c r="B11455" s="2" t="str">
        <f ca="1">IFERROR(__xludf.DUMMYFUNCTION("""COMPUTED_VALUE"""),"311 Boulevard")</f>
        <v>311 Boulevard</v>
      </c>
      <c r="C11455" s="2" t="str">
        <f ca="1">IFERROR(__xludf.DUMMYFUNCTION("""COMPUTED_VALUE"""),"Building")</f>
        <v>Building</v>
      </c>
      <c r="D11455" s="2" t="str">
        <f ca="1">IFERROR(__xludf.DUMMYFUNCTION("""COMPUTED_VALUE"""),"Dubai&gt;Jumeirah Village Circle (JVC)&gt;JVC District 13&gt;311 Boulevard")</f>
        <v>Dubai&gt;Jumeirah Village Circle (JVC)&gt;JVC District 13&gt;311 Boulevard</v>
      </c>
      <c r="E11455" s="2"/>
      <c r="F11455" s="2"/>
      <c r="G11455" s="2"/>
      <c r="H11455" s="2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2"/>
      <c r="T11455" s="2"/>
      <c r="U11455" s="2"/>
      <c r="V11455" s="2"/>
      <c r="W11455" s="2"/>
      <c r="X11455" s="2"/>
      <c r="Y11455" s="2"/>
      <c r="Z11455" s="2"/>
    </row>
    <row r="11456" spans="1:26" ht="16.5" x14ac:dyDescent="0.35">
      <c r="A11456" s="2" t="str">
        <f ca="1">IFERROR(__xludf.DUMMYFUNCTION("""COMPUTED_VALUE"""),"Dubai")</f>
        <v>Dubai</v>
      </c>
      <c r="B11456" s="2" t="str">
        <f ca="1">IFERROR(__xludf.DUMMYFUNCTION("""COMPUTED_VALUE"""),"Binghatti Royale")</f>
        <v>Binghatti Royale</v>
      </c>
      <c r="C11456" s="2" t="str">
        <f ca="1">IFERROR(__xludf.DUMMYFUNCTION("""COMPUTED_VALUE"""),"Building")</f>
        <v>Building</v>
      </c>
      <c r="D11456" s="2" t="str">
        <f ca="1">IFERROR(__xludf.DUMMYFUNCTION("""COMPUTED_VALUE"""),"Dubai&gt;Jumeirah Village Circle (JVC)&gt;JVC District 18&gt;Binghatti Royale")</f>
        <v>Dubai&gt;Jumeirah Village Circle (JVC)&gt;JVC District 18&gt;Binghatti Royale</v>
      </c>
      <c r="E11456" s="2"/>
      <c r="F11456" s="2"/>
      <c r="G11456" s="2"/>
      <c r="H11456" s="2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2"/>
      <c r="T11456" s="2"/>
      <c r="U11456" s="2"/>
      <c r="V11456" s="2"/>
      <c r="W11456" s="2"/>
      <c r="X11456" s="2"/>
      <c r="Y11456" s="2"/>
      <c r="Z11456" s="2"/>
    </row>
    <row r="11457" spans="1:26" ht="16.5" x14ac:dyDescent="0.35">
      <c r="A11457" s="2" t="str">
        <f ca="1">IFERROR(__xludf.DUMMYFUNCTION("""COMPUTED_VALUE"""),"Dubai")</f>
        <v>Dubai</v>
      </c>
      <c r="B11457" s="2" t="str">
        <f ca="1">IFERROR(__xludf.DUMMYFUNCTION("""COMPUTED_VALUE"""),"Laval Residences")</f>
        <v>Laval Residences</v>
      </c>
      <c r="C11457" s="2" t="str">
        <f ca="1">IFERROR(__xludf.DUMMYFUNCTION("""COMPUTED_VALUE"""),"Building")</f>
        <v>Building</v>
      </c>
      <c r="D11457" s="2" t="str">
        <f ca="1">IFERROR(__xludf.DUMMYFUNCTION("""COMPUTED_VALUE"""),"Dubai&gt;Jumeirah Village Circle (JVC)&gt;JVC District 10&gt;Laval Residences")</f>
        <v>Dubai&gt;Jumeirah Village Circle (JVC)&gt;JVC District 10&gt;Laval Residences</v>
      </c>
      <c r="E11457" s="2"/>
      <c r="F11457" s="2"/>
      <c r="G11457" s="2"/>
      <c r="H11457" s="2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2"/>
      <c r="T11457" s="2"/>
      <c r="U11457" s="2"/>
      <c r="V11457" s="2"/>
      <c r="W11457" s="2"/>
      <c r="X11457" s="2"/>
      <c r="Y11457" s="2"/>
      <c r="Z11457" s="2"/>
    </row>
    <row r="11458" spans="1:26" ht="16.5" x14ac:dyDescent="0.35">
      <c r="A11458" s="2" t="str">
        <f ca="1">IFERROR(__xludf.DUMMYFUNCTION("""COMPUTED_VALUE"""),"Dubai")</f>
        <v>Dubai</v>
      </c>
      <c r="B11458" s="2" t="str">
        <f ca="1">IFERROR(__xludf.DUMMYFUNCTION("""COMPUTED_VALUE"""),"Arezzo 1")</f>
        <v>Arezzo 1</v>
      </c>
      <c r="C11458" s="2" t="str">
        <f ca="1">IFERROR(__xludf.DUMMYFUNCTION("""COMPUTED_VALUE"""),"Building")</f>
        <v>Building</v>
      </c>
      <c r="D11458" s="2" t="str">
        <f ca="1">IFERROR(__xludf.DUMMYFUNCTION("""COMPUTED_VALUE"""),"Dubai&gt;Jumeirah Village Circle (JVC)&gt;JVC District 10&gt;Tuscan Residence&gt;Arezzo&gt;Arezzo 1")</f>
        <v>Dubai&gt;Jumeirah Village Circle (JVC)&gt;JVC District 10&gt;Tuscan Residence&gt;Arezzo&gt;Arezzo 1</v>
      </c>
      <c r="E11458" s="2"/>
      <c r="F11458" s="2"/>
      <c r="G11458" s="2"/>
      <c r="H11458" s="2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2"/>
      <c r="T11458" s="2"/>
      <c r="U11458" s="2"/>
      <c r="V11458" s="2"/>
      <c r="W11458" s="2"/>
      <c r="X11458" s="2"/>
      <c r="Y11458" s="2"/>
      <c r="Z11458" s="2"/>
    </row>
    <row r="11459" spans="1:26" ht="16.5" x14ac:dyDescent="0.35">
      <c r="A11459" s="2" t="str">
        <f ca="1">IFERROR(__xludf.DUMMYFUNCTION("""COMPUTED_VALUE"""),"Dubai")</f>
        <v>Dubai</v>
      </c>
      <c r="B11459" s="2" t="str">
        <f ca="1">IFERROR(__xludf.DUMMYFUNCTION("""COMPUTED_VALUE"""),"Gateway by Premier Choice")</f>
        <v>Gateway by Premier Choice</v>
      </c>
      <c r="C11459" s="2" t="str">
        <f ca="1">IFERROR(__xludf.DUMMYFUNCTION("""COMPUTED_VALUE"""),"Building")</f>
        <v>Building</v>
      </c>
      <c r="D11459" s="2" t="str">
        <f ca="1">IFERROR(__xludf.DUMMYFUNCTION("""COMPUTED_VALUE"""),"Dubai&gt;Jumeirah Village Circle (JVC)&gt;JVC District 10&gt;Gateway by Premier Choice")</f>
        <v>Dubai&gt;Jumeirah Village Circle (JVC)&gt;JVC District 10&gt;Gateway by Premier Choice</v>
      </c>
      <c r="E11459" s="2"/>
      <c r="F11459" s="2"/>
      <c r="G11459" s="2"/>
      <c r="H11459" s="2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2"/>
      <c r="T11459" s="2"/>
      <c r="U11459" s="2"/>
      <c r="V11459" s="2"/>
      <c r="W11459" s="2"/>
      <c r="X11459" s="2"/>
      <c r="Y11459" s="2"/>
      <c r="Z11459" s="2"/>
    </row>
    <row r="11460" spans="1:26" ht="16.5" x14ac:dyDescent="0.35">
      <c r="A11460" s="2" t="str">
        <f ca="1">IFERROR(__xludf.DUMMYFUNCTION("""COMPUTED_VALUE"""),"Dubai")</f>
        <v>Dubai</v>
      </c>
      <c r="B11460" s="2" t="str">
        <f ca="1">IFERROR(__xludf.DUMMYFUNCTION("""COMPUTED_VALUE"""),"The Autograph Villas")</f>
        <v>The Autograph Villas</v>
      </c>
      <c r="C11460" s="2" t="str">
        <f ca="1">IFERROR(__xludf.DUMMYFUNCTION("""COMPUTED_VALUE"""),"Neighbourhood")</f>
        <v>Neighbourhood</v>
      </c>
      <c r="D11460" s="2" t="str">
        <f ca="1">IFERROR(__xludf.DUMMYFUNCTION("""COMPUTED_VALUE"""),"Dubai&gt;Jumeirah Village Circle (JVC)&gt;JVC District 10&gt;The Autograph Villas")</f>
        <v>Dubai&gt;Jumeirah Village Circle (JVC)&gt;JVC District 10&gt;The Autograph Villas</v>
      </c>
      <c r="E11460" s="2"/>
      <c r="F11460" s="2"/>
      <c r="G11460" s="2"/>
      <c r="H11460" s="2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2"/>
      <c r="T11460" s="2"/>
      <c r="U11460" s="2"/>
      <c r="V11460" s="2"/>
      <c r="W11460" s="2"/>
      <c r="X11460" s="2"/>
      <c r="Y11460" s="2"/>
      <c r="Z11460" s="2"/>
    </row>
    <row r="11461" spans="1:26" ht="16.5" x14ac:dyDescent="0.35">
      <c r="A11461" s="2" t="str">
        <f ca="1">IFERROR(__xludf.DUMMYFUNCTION("""COMPUTED_VALUE"""),"Dubai")</f>
        <v>Dubai</v>
      </c>
      <c r="B11461" s="2" t="str">
        <f ca="1">IFERROR(__xludf.DUMMYFUNCTION("""COMPUTED_VALUE"""),"Maxi Lilio Residences by London Gate Real Estate Development")</f>
        <v>Maxi Lilio Residences by London Gate Real Estate Development</v>
      </c>
      <c r="C11461" s="2" t="str">
        <f ca="1">IFERROR(__xludf.DUMMYFUNCTION("""COMPUTED_VALUE"""),"Building")</f>
        <v>Building</v>
      </c>
      <c r="D11461" s="2" t="str">
        <f ca="1">IFERROR(__xludf.DUMMYFUNCTION("""COMPUTED_VALUE"""),"Dubai&gt;Jumeirah Village Circle (JVC)&gt;JVC District 16&gt;Maxi Lilio Residences by London Gate Real Estate Development")</f>
        <v>Dubai&gt;Jumeirah Village Circle (JVC)&gt;JVC District 16&gt;Maxi Lilio Residences by London Gate Real Estate Development</v>
      </c>
      <c r="E11461" s="2"/>
      <c r="F11461" s="2"/>
      <c r="G11461" s="2"/>
      <c r="H11461" s="2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2"/>
      <c r="T11461" s="2"/>
      <c r="U11461" s="2"/>
      <c r="V11461" s="2"/>
      <c r="W11461" s="2"/>
      <c r="X11461" s="2"/>
      <c r="Y11461" s="2"/>
      <c r="Z11461" s="2"/>
    </row>
    <row r="11462" spans="1:26" ht="16.5" x14ac:dyDescent="0.35">
      <c r="A11462" s="2" t="str">
        <f ca="1">IFERROR(__xludf.DUMMYFUNCTION("""COMPUTED_VALUE"""),"Dubai")</f>
        <v>Dubai</v>
      </c>
      <c r="B11462" s="2" t="str">
        <f ca="1">IFERROR(__xludf.DUMMYFUNCTION("""COMPUTED_VALUE"""),"Bloom Heights")</f>
        <v>Bloom Heights</v>
      </c>
      <c r="C11462" s="2" t="str">
        <f ca="1">IFERROR(__xludf.DUMMYFUNCTION("""COMPUTED_VALUE"""),"Cluster")</f>
        <v>Cluster</v>
      </c>
      <c r="D11462" s="2" t="str">
        <f ca="1">IFERROR(__xludf.DUMMYFUNCTION("""COMPUTED_VALUE"""),"Dubai&gt;Jumeirah Village Circle (JVC)&gt;JVC District 15&gt;Bloom Heights")</f>
        <v>Dubai&gt;Jumeirah Village Circle (JVC)&gt;JVC District 15&gt;Bloom Heights</v>
      </c>
      <c r="E11462" s="2"/>
      <c r="F11462" s="2"/>
      <c r="G11462" s="2"/>
      <c r="H11462" s="2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2"/>
      <c r="T11462" s="2"/>
      <c r="U11462" s="2"/>
      <c r="V11462" s="2"/>
      <c r="W11462" s="2"/>
      <c r="X11462" s="2"/>
      <c r="Y11462" s="2"/>
      <c r="Z11462" s="2"/>
    </row>
    <row r="11463" spans="1:26" ht="16.5" x14ac:dyDescent="0.35">
      <c r="A11463" s="2" t="str">
        <f ca="1">IFERROR(__xludf.DUMMYFUNCTION("""COMPUTED_VALUE"""),"Dubai")</f>
        <v>Dubai</v>
      </c>
      <c r="B11463" s="2" t="str">
        <f ca="1">IFERROR(__xludf.DUMMYFUNCTION("""COMPUTED_VALUE"""),"Vero Residence 8")</f>
        <v>Vero Residence 8</v>
      </c>
      <c r="C11463" s="2" t="str">
        <f ca="1">IFERROR(__xludf.DUMMYFUNCTION("""COMPUTED_VALUE"""),"Building")</f>
        <v>Building</v>
      </c>
      <c r="D11463" s="2" t="str">
        <f ca="1">IFERROR(__xludf.DUMMYFUNCTION("""COMPUTED_VALUE"""),"Dubai&gt;Jumeirah Village Circle (JVC)&gt;JVC District 15&gt;Vero Residence 8")</f>
        <v>Dubai&gt;Jumeirah Village Circle (JVC)&gt;JVC District 15&gt;Vero Residence 8</v>
      </c>
      <c r="E11463" s="2"/>
      <c r="F11463" s="2"/>
      <c r="G11463" s="2"/>
      <c r="H11463" s="2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2"/>
      <c r="T11463" s="2"/>
      <c r="U11463" s="2"/>
      <c r="V11463" s="2"/>
      <c r="W11463" s="2"/>
      <c r="X11463" s="2"/>
      <c r="Y11463" s="2"/>
      <c r="Z11463" s="2"/>
    </row>
    <row r="11464" spans="1:26" ht="16.5" x14ac:dyDescent="0.35">
      <c r="A11464" s="2" t="str">
        <f ca="1">IFERROR(__xludf.DUMMYFUNCTION("""COMPUTED_VALUE"""),"Dubai")</f>
        <v>Dubai</v>
      </c>
      <c r="B11464" s="2" t="str">
        <f ca="1">IFERROR(__xludf.DUMMYFUNCTION("""COMPUTED_VALUE"""),"Sunset Gardens")</f>
        <v>Sunset Gardens</v>
      </c>
      <c r="C11464" s="2" t="str">
        <f ca="1">IFERROR(__xludf.DUMMYFUNCTION("""COMPUTED_VALUE"""),"Neighbourhood")</f>
        <v>Neighbourhood</v>
      </c>
      <c r="D11464" s="2" t="str">
        <f ca="1">IFERROR(__xludf.DUMMYFUNCTION("""COMPUTED_VALUE"""),"Dubai&gt;Jumeirah Village Circle (JVC)&gt;JVC District 11&gt;Sunset Gardens")</f>
        <v>Dubai&gt;Jumeirah Village Circle (JVC)&gt;JVC District 11&gt;Sunset Gardens</v>
      </c>
      <c r="E11464" s="2"/>
      <c r="F11464" s="2"/>
      <c r="G11464" s="2"/>
      <c r="H11464" s="2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2"/>
      <c r="T11464" s="2"/>
      <c r="U11464" s="2"/>
      <c r="V11464" s="2"/>
      <c r="W11464" s="2"/>
      <c r="X11464" s="2"/>
      <c r="Y11464" s="2"/>
      <c r="Z11464" s="2"/>
    </row>
    <row r="11465" spans="1:26" ht="16.5" x14ac:dyDescent="0.35">
      <c r="A11465" s="2" t="str">
        <f ca="1">IFERROR(__xludf.DUMMYFUNCTION("""COMPUTED_VALUE"""),"Dubai")</f>
        <v>Dubai</v>
      </c>
      <c r="B11465" s="2" t="str">
        <f ca="1">IFERROR(__xludf.DUMMYFUNCTION("""COMPUTED_VALUE"""),"Maimoon Gardens Tower A")</f>
        <v>Maimoon Gardens Tower A</v>
      </c>
      <c r="C11465" s="2" t="str">
        <f ca="1">IFERROR(__xludf.DUMMYFUNCTION("""COMPUTED_VALUE"""),"Building")</f>
        <v>Building</v>
      </c>
      <c r="D11465" s="2" t="str">
        <f ca="1">IFERROR(__xludf.DUMMYFUNCTION("""COMPUTED_VALUE"""),"Dubai&gt;Jumeirah Village Circle (JVC)&gt;JVC District 11&gt;Maimoon Gardens&gt;Maimoon Gardens Tower A")</f>
        <v>Dubai&gt;Jumeirah Village Circle (JVC)&gt;JVC District 11&gt;Maimoon Gardens&gt;Maimoon Gardens Tower A</v>
      </c>
      <c r="E11465" s="2"/>
      <c r="F11465" s="2"/>
      <c r="G11465" s="2"/>
      <c r="H11465" s="2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2"/>
      <c r="T11465" s="2"/>
      <c r="U11465" s="2"/>
      <c r="V11465" s="2"/>
      <c r="W11465" s="2"/>
      <c r="X11465" s="2"/>
      <c r="Y11465" s="2"/>
      <c r="Z11465" s="2"/>
    </row>
    <row r="11466" spans="1:26" ht="16.5" x14ac:dyDescent="0.35">
      <c r="A11466" s="2" t="str">
        <f ca="1">IFERROR(__xludf.DUMMYFUNCTION("""COMPUTED_VALUE"""),"Dubai")</f>
        <v>Dubai</v>
      </c>
      <c r="B11466" s="2" t="str">
        <f ca="1">IFERROR(__xludf.DUMMYFUNCTION("""COMPUTED_VALUE"""),"Riviera Lodge")</f>
        <v>Riviera Lodge</v>
      </c>
      <c r="C11466" s="2" t="str">
        <f ca="1">IFERROR(__xludf.DUMMYFUNCTION("""COMPUTED_VALUE"""),"Building")</f>
        <v>Building</v>
      </c>
      <c r="D11466" s="2" t="str">
        <f ca="1">IFERROR(__xludf.DUMMYFUNCTION("""COMPUTED_VALUE"""),"Dubai&gt;Jumeirah Village Circle (JVC)&gt;JVC District 11&gt;Riviera Lodge")</f>
        <v>Dubai&gt;Jumeirah Village Circle (JVC)&gt;JVC District 11&gt;Riviera Lodge</v>
      </c>
      <c r="E11466" s="2"/>
      <c r="F11466" s="2"/>
      <c r="G11466" s="2"/>
      <c r="H11466" s="2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2"/>
      <c r="T11466" s="2"/>
      <c r="U11466" s="2"/>
      <c r="V11466" s="2"/>
      <c r="W11466" s="2"/>
      <c r="X11466" s="2"/>
      <c r="Y11466" s="2"/>
      <c r="Z11466" s="2"/>
    </row>
    <row r="11467" spans="1:26" ht="16.5" x14ac:dyDescent="0.35">
      <c r="A11467" s="2" t="str">
        <f ca="1">IFERROR(__xludf.DUMMYFUNCTION("""COMPUTED_VALUE"""),"Dubai")</f>
        <v>Dubai</v>
      </c>
      <c r="B11467" s="2" t="str">
        <f ca="1">IFERROR(__xludf.DUMMYFUNCTION("""COMPUTED_VALUE"""),"Mulberry 2")</f>
        <v>Mulberry 2</v>
      </c>
      <c r="C11467" s="2" t="str">
        <f ca="1">IFERROR(__xludf.DUMMYFUNCTION("""COMPUTED_VALUE"""),"Building")</f>
        <v>Building</v>
      </c>
      <c r="D11467" s="2" t="str">
        <f ca="1">IFERROR(__xludf.DUMMYFUNCTION("""COMPUTED_VALUE"""),"Dubai&gt;Jumeirah Village Circle (JVC)&gt;JVC District 14&gt;Emirates Gardens 2&gt;Mulberry 2")</f>
        <v>Dubai&gt;Jumeirah Village Circle (JVC)&gt;JVC District 14&gt;Emirates Gardens 2&gt;Mulberry 2</v>
      </c>
      <c r="E11467" s="2"/>
      <c r="F11467" s="2"/>
      <c r="G11467" s="2"/>
      <c r="H11467" s="2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2"/>
      <c r="T11467" s="2"/>
      <c r="U11467" s="2"/>
      <c r="V11467" s="2"/>
      <c r="W11467" s="2"/>
      <c r="X11467" s="2"/>
      <c r="Y11467" s="2"/>
      <c r="Z11467" s="2"/>
    </row>
    <row r="11468" spans="1:26" ht="16.5" x14ac:dyDescent="0.35">
      <c r="A11468" s="2" t="str">
        <f ca="1">IFERROR(__xludf.DUMMYFUNCTION("""COMPUTED_VALUE"""),"Dubai")</f>
        <v>Dubai</v>
      </c>
      <c r="B11468" s="2" t="str">
        <f ca="1">IFERROR(__xludf.DUMMYFUNCTION("""COMPUTED_VALUE"""),"Indigo Ville 5")</f>
        <v>Indigo Ville 5</v>
      </c>
      <c r="C11468" s="2" t="str">
        <f ca="1">IFERROR(__xludf.DUMMYFUNCTION("""COMPUTED_VALUE"""),"Neighbourhood")</f>
        <v>Neighbourhood</v>
      </c>
      <c r="D11468" s="2" t="str">
        <f ca="1">IFERROR(__xludf.DUMMYFUNCTION("""COMPUTED_VALUE"""),"Dubai&gt;Jumeirah Village Circle (JVC)&gt;JVC District 14&gt;Indigo Ville 5")</f>
        <v>Dubai&gt;Jumeirah Village Circle (JVC)&gt;JVC District 14&gt;Indigo Ville 5</v>
      </c>
      <c r="E11468" s="2"/>
      <c r="F11468" s="2"/>
      <c r="G11468" s="2"/>
      <c r="H11468" s="2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2"/>
      <c r="T11468" s="2"/>
      <c r="U11468" s="2"/>
      <c r="V11468" s="2"/>
      <c r="W11468" s="2"/>
      <c r="X11468" s="2"/>
      <c r="Y11468" s="2"/>
      <c r="Z11468" s="2"/>
    </row>
    <row r="11469" spans="1:26" ht="16.5" x14ac:dyDescent="0.35">
      <c r="A11469" s="2" t="str">
        <f ca="1">IFERROR(__xludf.DUMMYFUNCTION("""COMPUTED_VALUE"""),"Dubai")</f>
        <v>Dubai</v>
      </c>
      <c r="B11469" s="2" t="str">
        <f ca="1">IFERROR(__xludf.DUMMYFUNCTION("""COMPUTED_VALUE"""),"Violet Tower")</f>
        <v>Violet Tower</v>
      </c>
      <c r="C11469" s="2" t="str">
        <f ca="1">IFERROR(__xludf.DUMMYFUNCTION("""COMPUTED_VALUE"""),"Building")</f>
        <v>Building</v>
      </c>
      <c r="D11469" s="2" t="str">
        <f ca="1">IFERROR(__xludf.DUMMYFUNCTION("""COMPUTED_VALUE"""),"Dubai&gt;Jumeirah Village Circle (JVC)&gt;JVC District 14&gt;Violet Tower")</f>
        <v>Dubai&gt;Jumeirah Village Circle (JVC)&gt;JVC District 14&gt;Violet Tower</v>
      </c>
      <c r="E11469" s="2"/>
      <c r="F11469" s="2"/>
      <c r="G11469" s="2"/>
      <c r="H11469" s="2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2"/>
      <c r="T11469" s="2"/>
      <c r="U11469" s="2"/>
      <c r="V11469" s="2"/>
      <c r="W11469" s="2"/>
      <c r="X11469" s="2"/>
      <c r="Y11469" s="2"/>
      <c r="Z11469" s="2"/>
    </row>
    <row r="11470" spans="1:26" ht="16.5" x14ac:dyDescent="0.35">
      <c r="A11470" s="2" t="str">
        <f ca="1">IFERROR(__xludf.DUMMYFUNCTION("""COMPUTED_VALUE"""),"Dubai")</f>
        <v>Dubai</v>
      </c>
      <c r="B11470" s="2" t="str">
        <f ca="1">IFERROR(__xludf.DUMMYFUNCTION("""COMPUTED_VALUE"""),"Sondos Zinnia")</f>
        <v>Sondos Zinnia</v>
      </c>
      <c r="C11470" s="2" t="str">
        <f ca="1">IFERROR(__xludf.DUMMYFUNCTION("""COMPUTED_VALUE"""),"Building")</f>
        <v>Building</v>
      </c>
      <c r="D11470" s="2" t="str">
        <f ca="1">IFERROR(__xludf.DUMMYFUNCTION("""COMPUTED_VALUE"""),"Dubai&gt;Dubai Land Residence Complex&gt;Sondos Zinnia")</f>
        <v>Dubai&gt;Dubai Land Residence Complex&gt;Sondos Zinnia</v>
      </c>
      <c r="E11470" s="2"/>
      <c r="F11470" s="2"/>
      <c r="G11470" s="2"/>
      <c r="H11470" s="2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2"/>
      <c r="T11470" s="2"/>
      <c r="U11470" s="2"/>
      <c r="V11470" s="2"/>
      <c r="W11470" s="2"/>
      <c r="X11470" s="2"/>
      <c r="Y11470" s="2"/>
      <c r="Z11470" s="2"/>
    </row>
    <row r="11471" spans="1:26" ht="16.5" x14ac:dyDescent="0.35">
      <c r="A11471" s="2" t="str">
        <f ca="1">IFERROR(__xludf.DUMMYFUNCTION("""COMPUTED_VALUE"""),"Dubai")</f>
        <v>Dubai</v>
      </c>
      <c r="B11471" s="2" t="str">
        <f ca="1">IFERROR(__xludf.DUMMYFUNCTION("""COMPUTED_VALUE"""),"Al Awazi Residences")</f>
        <v>Al Awazi Residences</v>
      </c>
      <c r="C11471" s="2" t="str">
        <f ca="1">IFERROR(__xludf.DUMMYFUNCTION("""COMPUTED_VALUE"""),"Building")</f>
        <v>Building</v>
      </c>
      <c r="D11471" s="2" t="str">
        <f ca="1">IFERROR(__xludf.DUMMYFUNCTION("""COMPUTED_VALUE"""),"Dubai&gt;Dubai Land Residence Complex&gt;Al Awazi Residences")</f>
        <v>Dubai&gt;Dubai Land Residence Complex&gt;Al Awazi Residences</v>
      </c>
      <c r="E11471" s="2"/>
      <c r="F11471" s="2"/>
      <c r="G11471" s="2"/>
      <c r="H11471" s="2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2"/>
      <c r="T11471" s="2"/>
      <c r="U11471" s="2"/>
      <c r="V11471" s="2"/>
      <c r="W11471" s="2"/>
      <c r="X11471" s="2"/>
      <c r="Y11471" s="2"/>
      <c r="Z11471" s="2"/>
    </row>
    <row r="11472" spans="1:26" ht="16.5" x14ac:dyDescent="0.35">
      <c r="A11472" s="2" t="str">
        <f ca="1">IFERROR(__xludf.DUMMYFUNCTION("""COMPUTED_VALUE"""),"Dubai")</f>
        <v>Dubai</v>
      </c>
      <c r="B11472" s="2" t="str">
        <f ca="1">IFERROR(__xludf.DUMMYFUNCTION("""COMPUTED_VALUE"""),"AG 9ine")</f>
        <v>AG 9ine</v>
      </c>
      <c r="C11472" s="2" t="str">
        <f ca="1">IFERROR(__xludf.DUMMYFUNCTION("""COMPUTED_VALUE"""),"Building")</f>
        <v>Building</v>
      </c>
      <c r="D11472" s="2" t="str">
        <f ca="1">IFERROR(__xludf.DUMMYFUNCTION("""COMPUTED_VALUE"""),"Dubai&gt;Dubai Land Residence Complex&gt;AG 9ine")</f>
        <v>Dubai&gt;Dubai Land Residence Complex&gt;AG 9ine</v>
      </c>
      <c r="E11472" s="2"/>
      <c r="F11472" s="2"/>
      <c r="G11472" s="2"/>
      <c r="H11472" s="2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2"/>
      <c r="T11472" s="2"/>
      <c r="U11472" s="2"/>
      <c r="V11472" s="2"/>
      <c r="W11472" s="2"/>
      <c r="X11472" s="2"/>
      <c r="Y11472" s="2"/>
      <c r="Z11472" s="2"/>
    </row>
    <row r="11473" spans="1:26" ht="16.5" x14ac:dyDescent="0.35">
      <c r="A11473" s="2" t="str">
        <f ca="1">IFERROR(__xludf.DUMMYFUNCTION("""COMPUTED_VALUE"""),"Dubai")</f>
        <v>Dubai</v>
      </c>
      <c r="B11473" s="2" t="str">
        <f ca="1">IFERROR(__xludf.DUMMYFUNCTION("""COMPUTED_VALUE"""),"The Boulevard by Prestige One")</f>
        <v>The Boulevard by Prestige One</v>
      </c>
      <c r="C11473" s="2" t="str">
        <f ca="1">IFERROR(__xludf.DUMMYFUNCTION("""COMPUTED_VALUE"""),"Building")</f>
        <v>Building</v>
      </c>
      <c r="D11473" s="2" t="str">
        <f ca="1">IFERROR(__xludf.DUMMYFUNCTION("""COMPUTED_VALUE"""),"Dubai&gt;Dubai Land Residence Complex&gt;The Boulevard by Prestige One")</f>
        <v>Dubai&gt;Dubai Land Residence Complex&gt;The Boulevard by Prestige One</v>
      </c>
      <c r="E11473" s="2"/>
      <c r="F11473" s="2"/>
      <c r="G11473" s="2"/>
      <c r="H11473" s="2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2"/>
      <c r="T11473" s="2"/>
      <c r="U11473" s="2"/>
      <c r="V11473" s="2"/>
      <c r="W11473" s="2"/>
      <c r="X11473" s="2"/>
      <c r="Y11473" s="2"/>
      <c r="Z11473" s="2"/>
    </row>
    <row r="11474" spans="1:26" ht="16.5" x14ac:dyDescent="0.35">
      <c r="A11474" s="2" t="str">
        <f ca="1">IFERROR(__xludf.DUMMYFUNCTION("""COMPUTED_VALUE"""),"Dubai")</f>
        <v>Dubai</v>
      </c>
      <c r="B11474" s="2" t="str">
        <f ca="1">IFERROR(__xludf.DUMMYFUNCTION("""COMPUTED_VALUE"""),"Seraph by Wadan")</f>
        <v>Seraph by Wadan</v>
      </c>
      <c r="C11474" s="2" t="str">
        <f ca="1">IFERROR(__xludf.DUMMYFUNCTION("""COMPUTED_VALUE"""),"Building")</f>
        <v>Building</v>
      </c>
      <c r="D11474" s="2" t="str">
        <f ca="1">IFERROR(__xludf.DUMMYFUNCTION("""COMPUTED_VALUE"""),"Dubai&gt;Dubai Land Residence Complex&gt;Seraph by Wadan")</f>
        <v>Dubai&gt;Dubai Land Residence Complex&gt;Seraph by Wadan</v>
      </c>
      <c r="E11474" s="2"/>
      <c r="F11474" s="2"/>
      <c r="G11474" s="2"/>
      <c r="H11474" s="2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2"/>
      <c r="T11474" s="2"/>
      <c r="U11474" s="2"/>
      <c r="V11474" s="2"/>
      <c r="W11474" s="2"/>
      <c r="X11474" s="2"/>
      <c r="Y11474" s="2"/>
      <c r="Z11474" s="2"/>
    </row>
    <row r="11475" spans="1:26" ht="16.5" x14ac:dyDescent="0.35">
      <c r="A11475" s="2" t="str">
        <f ca="1">IFERROR(__xludf.DUMMYFUNCTION("""COMPUTED_VALUE"""),"Dubai")</f>
        <v>Dubai</v>
      </c>
      <c r="B11475" s="2" t="str">
        <f ca="1">IFERROR(__xludf.DUMMYFUNCTION("""COMPUTED_VALUE"""),"Step by Step Nursery Mirdif")</f>
        <v>Step by Step Nursery Mirdif</v>
      </c>
      <c r="C11475" s="2" t="str">
        <f ca="1">IFERROR(__xludf.DUMMYFUNCTION("""COMPUTED_VALUE"""),"Nursery")</f>
        <v>Nursery</v>
      </c>
      <c r="D11475" s="2" t="str">
        <f ca="1">IFERROR(__xludf.DUMMYFUNCTION("""COMPUTED_VALUE"""),"Dubai&gt;Mirdif&gt;Shorooq Mirdif&gt;Step by Step Nursery Mirdif")</f>
        <v>Dubai&gt;Mirdif&gt;Shorooq Mirdif&gt;Step by Step Nursery Mirdif</v>
      </c>
      <c r="E11475" s="2"/>
      <c r="F11475" s="2"/>
      <c r="G11475" s="2"/>
      <c r="H11475" s="2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2"/>
      <c r="T11475" s="2"/>
      <c r="U11475" s="2"/>
      <c r="V11475" s="2"/>
      <c r="W11475" s="2"/>
      <c r="X11475" s="2"/>
      <c r="Y11475" s="2"/>
      <c r="Z11475" s="2"/>
    </row>
    <row r="11476" spans="1:26" ht="16.5" x14ac:dyDescent="0.35">
      <c r="A11476" s="2" t="str">
        <f ca="1">IFERROR(__xludf.DUMMYFUNCTION("""COMPUTED_VALUE"""),"Dubai")</f>
        <v>Dubai</v>
      </c>
      <c r="B11476" s="2" t="str">
        <f ca="1">IFERROR(__xludf.DUMMYFUNCTION("""COMPUTED_VALUE"""),"Aswaaq")</f>
        <v>Aswaaq</v>
      </c>
      <c r="C11476" s="2" t="str">
        <f ca="1">IFERROR(__xludf.DUMMYFUNCTION("""COMPUTED_VALUE"""),"Building")</f>
        <v>Building</v>
      </c>
      <c r="D11476" s="2" t="str">
        <f ca="1">IFERROR(__xludf.DUMMYFUNCTION("""COMPUTED_VALUE"""),"Dubai&gt;Mirdif&gt;Aswaaq")</f>
        <v>Dubai&gt;Mirdif&gt;Aswaaq</v>
      </c>
      <c r="E11476" s="2"/>
      <c r="F11476" s="2"/>
      <c r="G11476" s="2"/>
      <c r="H11476" s="2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2"/>
      <c r="T11476" s="2"/>
      <c r="U11476" s="2"/>
      <c r="V11476" s="2"/>
      <c r="W11476" s="2"/>
      <c r="X11476" s="2"/>
      <c r="Y11476" s="2"/>
      <c r="Z11476" s="2"/>
    </row>
    <row r="11477" spans="1:26" ht="16.5" x14ac:dyDescent="0.35">
      <c r="A11477" s="2" t="str">
        <f ca="1">IFERROR(__xludf.DUMMYFUNCTION("""COMPUTED_VALUE"""),"Dubai")</f>
        <v>Dubai</v>
      </c>
      <c r="B11477" s="2" t="str">
        <f ca="1">IFERROR(__xludf.DUMMYFUNCTION("""COMPUTED_VALUE"""),"Maeen 2")</f>
        <v>Maeen 2</v>
      </c>
      <c r="C11477" s="2" t="str">
        <f ca="1">IFERROR(__xludf.DUMMYFUNCTION("""COMPUTED_VALUE"""),"Neighbourhood")</f>
        <v>Neighbourhood</v>
      </c>
      <c r="D11477" s="2" t="str">
        <f ca="1">IFERROR(__xludf.DUMMYFUNCTION("""COMPUTED_VALUE"""),"Dubai&gt;The Lakes&gt;Maeen&gt;Maeen 2")</f>
        <v>Dubai&gt;The Lakes&gt;Maeen&gt;Maeen 2</v>
      </c>
      <c r="E11477" s="2"/>
      <c r="F11477" s="2"/>
      <c r="G11477" s="2"/>
      <c r="H11477" s="2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2"/>
      <c r="T11477" s="2"/>
      <c r="U11477" s="2"/>
      <c r="V11477" s="2"/>
      <c r="W11477" s="2"/>
      <c r="X11477" s="2"/>
      <c r="Y11477" s="2"/>
      <c r="Z11477" s="2"/>
    </row>
    <row r="11478" spans="1:26" ht="16.5" x14ac:dyDescent="0.35">
      <c r="A11478" s="2" t="str">
        <f ca="1">IFERROR(__xludf.DUMMYFUNCTION("""COMPUTED_VALUE"""),"Dubai")</f>
        <v>Dubai</v>
      </c>
      <c r="B11478" s="2" t="str">
        <f ca="1">IFERROR(__xludf.DUMMYFUNCTION("""COMPUTED_VALUE"""),"Dana Al Garhoud")</f>
        <v>Dana Al Garhoud</v>
      </c>
      <c r="C11478" s="2" t="str">
        <f ca="1">IFERROR(__xludf.DUMMYFUNCTION("""COMPUTED_VALUE"""),"Building")</f>
        <v>Building</v>
      </c>
      <c r="D11478" s="2" t="str">
        <f ca="1">IFERROR(__xludf.DUMMYFUNCTION("""COMPUTED_VALUE"""),"Dubai&gt;Al Garhoud&gt;Dana Al Garhoud")</f>
        <v>Dubai&gt;Al Garhoud&gt;Dana Al Garhoud</v>
      </c>
      <c r="E11478" s="2"/>
      <c r="F11478" s="2"/>
      <c r="G11478" s="2"/>
      <c r="H11478" s="2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2"/>
      <c r="T11478" s="2"/>
      <c r="U11478" s="2"/>
      <c r="V11478" s="2"/>
      <c r="W11478" s="2"/>
      <c r="X11478" s="2"/>
      <c r="Y11478" s="2"/>
      <c r="Z11478" s="2"/>
    </row>
    <row r="11479" spans="1:26" ht="16.5" x14ac:dyDescent="0.35">
      <c r="A11479" s="2" t="str">
        <f ca="1">IFERROR(__xludf.DUMMYFUNCTION("""COMPUTED_VALUE"""),"Dubai")</f>
        <v>Dubai</v>
      </c>
      <c r="B11479" s="2" t="str">
        <f ca="1">IFERROR(__xludf.DUMMYFUNCTION("""COMPUTED_VALUE"""),"Ithraa Tower")</f>
        <v>Ithraa Tower</v>
      </c>
      <c r="C11479" s="2" t="str">
        <f ca="1">IFERROR(__xludf.DUMMYFUNCTION("""COMPUTED_VALUE"""),"Building")</f>
        <v>Building</v>
      </c>
      <c r="D11479" s="2" t="str">
        <f ca="1">IFERROR(__xludf.DUMMYFUNCTION("""COMPUTED_VALUE"""),"Dubai&gt;Al Garhoud&gt;Ithraa Tower")</f>
        <v>Dubai&gt;Al Garhoud&gt;Ithraa Tower</v>
      </c>
      <c r="E11479" s="2"/>
      <c r="F11479" s="2"/>
      <c r="G11479" s="2"/>
      <c r="H11479" s="2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2"/>
      <c r="T11479" s="2"/>
      <c r="U11479" s="2"/>
      <c r="V11479" s="2"/>
      <c r="W11479" s="2"/>
      <c r="X11479" s="2"/>
      <c r="Y11479" s="2"/>
      <c r="Z11479" s="2"/>
    </row>
    <row r="11480" spans="1:26" ht="16.5" x14ac:dyDescent="0.35">
      <c r="A11480" s="2" t="str">
        <f ca="1">IFERROR(__xludf.DUMMYFUNCTION("""COMPUTED_VALUE"""),"Dubai")</f>
        <v>Dubai</v>
      </c>
      <c r="B11480" s="2" t="str">
        <f ca="1">IFERROR(__xludf.DUMMYFUNCTION("""COMPUTED_VALUE"""),"La Moon Villas")</f>
        <v>La Moon Villas</v>
      </c>
      <c r="C11480" s="2" t="str">
        <f ca="1">IFERROR(__xludf.DUMMYFUNCTION("""COMPUTED_VALUE"""),"Neighbourhood")</f>
        <v>Neighbourhood</v>
      </c>
      <c r="D11480" s="2" t="str">
        <f ca="1">IFERROR(__xludf.DUMMYFUNCTION("""COMPUTED_VALUE"""),"Dubai&gt;Al Garhoud&gt;La Moon Villas")</f>
        <v>Dubai&gt;Al Garhoud&gt;La Moon Villas</v>
      </c>
      <c r="E11480" s="2"/>
      <c r="F11480" s="2"/>
      <c r="G11480" s="2"/>
      <c r="H11480" s="2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2"/>
      <c r="T11480" s="2"/>
      <c r="U11480" s="2"/>
      <c r="V11480" s="2"/>
      <c r="W11480" s="2"/>
      <c r="X11480" s="2"/>
      <c r="Y11480" s="2"/>
      <c r="Z11480" s="2"/>
    </row>
    <row r="11481" spans="1:26" ht="16.5" x14ac:dyDescent="0.35">
      <c r="A11481" s="2" t="str">
        <f ca="1">IFERROR(__xludf.DUMMYFUNCTION("""COMPUTED_VALUE"""),"Dubai")</f>
        <v>Dubai</v>
      </c>
      <c r="B11481" s="2" t="str">
        <f ca="1">IFERROR(__xludf.DUMMYFUNCTION("""COMPUTED_VALUE"""),"Cluster 32")</f>
        <v>Cluster 32</v>
      </c>
      <c r="C11481" s="2" t="str">
        <f ca="1">IFERROR(__xludf.DUMMYFUNCTION("""COMPUTED_VALUE"""),"Neighbourhood")</f>
        <v>Neighbourhood</v>
      </c>
      <c r="D11481" s="2" t="str">
        <f ca="1">IFERROR(__xludf.DUMMYFUNCTION("""COMPUTED_VALUE"""),"Dubai&gt;Jumeirah Islands&gt;Cluster 32")</f>
        <v>Dubai&gt;Jumeirah Islands&gt;Cluster 32</v>
      </c>
      <c r="E11481" s="2"/>
      <c r="F11481" s="2"/>
      <c r="G11481" s="2"/>
      <c r="H11481" s="2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2"/>
      <c r="T11481" s="2"/>
      <c r="U11481" s="2"/>
      <c r="V11481" s="2"/>
      <c r="W11481" s="2"/>
      <c r="X11481" s="2"/>
      <c r="Y11481" s="2"/>
      <c r="Z11481" s="2"/>
    </row>
    <row r="11482" spans="1:26" ht="16.5" x14ac:dyDescent="0.35">
      <c r="A11482" s="2" t="str">
        <f ca="1">IFERROR(__xludf.DUMMYFUNCTION("""COMPUTED_VALUE"""),"Dubai")</f>
        <v>Dubai</v>
      </c>
      <c r="B11482" s="2" t="str">
        <f ca="1">IFERROR(__xludf.DUMMYFUNCTION("""COMPUTED_VALUE"""),"Garden West Apartments C")</f>
        <v>Garden West Apartments C</v>
      </c>
      <c r="C11482" s="2" t="str">
        <f ca="1">IFERROR(__xludf.DUMMYFUNCTION("""COMPUTED_VALUE"""),"Building")</f>
        <v>Building</v>
      </c>
      <c r="D11482" s="2" t="str">
        <f ca="1">IFERROR(__xludf.DUMMYFUNCTION("""COMPUTED_VALUE"""),"Dubai&gt;Green Community&gt;Garden West Apartments&gt;Garden West Apartments C")</f>
        <v>Dubai&gt;Green Community&gt;Garden West Apartments&gt;Garden West Apartments C</v>
      </c>
      <c r="E11482" s="2"/>
      <c r="F11482" s="2"/>
      <c r="G11482" s="2"/>
      <c r="H11482" s="2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2"/>
      <c r="T11482" s="2"/>
      <c r="U11482" s="2"/>
      <c r="V11482" s="2"/>
      <c r="W11482" s="2"/>
      <c r="X11482" s="2"/>
      <c r="Y11482" s="2"/>
      <c r="Z11482" s="2"/>
    </row>
    <row r="11483" spans="1:26" ht="16.5" x14ac:dyDescent="0.35">
      <c r="A11483" s="2" t="str">
        <f ca="1">IFERROR(__xludf.DUMMYFUNCTION("""COMPUTED_VALUE"""),"Dubai")</f>
        <v>Dubai</v>
      </c>
      <c r="B11483" s="2" t="str">
        <f ca="1">IFERROR(__xludf.DUMMYFUNCTION("""COMPUTED_VALUE"""),"Terrace Apartments B")</f>
        <v>Terrace Apartments B</v>
      </c>
      <c r="C11483" s="2" t="str">
        <f ca="1">IFERROR(__xludf.DUMMYFUNCTION("""COMPUTED_VALUE"""),"Building")</f>
        <v>Building</v>
      </c>
      <c r="D11483" s="2" t="str">
        <f ca="1">IFERROR(__xludf.DUMMYFUNCTION("""COMPUTED_VALUE"""),"Dubai&gt;Green Community&gt;Green Community East&gt;Terrace Apartments&gt;Terrace Apartments B")</f>
        <v>Dubai&gt;Green Community&gt;Green Community East&gt;Terrace Apartments&gt;Terrace Apartments B</v>
      </c>
      <c r="E11483" s="2"/>
      <c r="F11483" s="2"/>
      <c r="G11483" s="2"/>
      <c r="H11483" s="2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2"/>
      <c r="T11483" s="2"/>
      <c r="U11483" s="2"/>
      <c r="V11483" s="2"/>
      <c r="W11483" s="2"/>
      <c r="X11483" s="2"/>
      <c r="Y11483" s="2"/>
      <c r="Z11483" s="2"/>
    </row>
    <row r="11484" spans="1:26" ht="16.5" x14ac:dyDescent="0.35">
      <c r="A11484" s="2" t="str">
        <f ca="1">IFERROR(__xludf.DUMMYFUNCTION("""COMPUTED_VALUE"""),"Dubai")</f>
        <v>Dubai</v>
      </c>
      <c r="B11484" s="2" t="str">
        <f ca="1">IFERROR(__xludf.DUMMYFUNCTION("""COMPUTED_VALUE"""),"Dwight School Dubai")</f>
        <v>Dwight School Dubai</v>
      </c>
      <c r="C11484" s="2" t="str">
        <f ca="1">IFERROR(__xludf.DUMMYFUNCTION("""COMPUTED_VALUE"""),"School")</f>
        <v>School</v>
      </c>
      <c r="D11484" s="2" t="str">
        <f ca="1">IFERROR(__xludf.DUMMYFUNCTION("""COMPUTED_VALUE"""),"Dubai&gt;Dubai Sports City&gt;Dwight School Dubai")</f>
        <v>Dubai&gt;Dubai Sports City&gt;Dwight School Dubai</v>
      </c>
      <c r="E11484" s="2"/>
      <c r="F11484" s="2"/>
      <c r="G11484" s="2"/>
      <c r="H11484" s="2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2"/>
      <c r="T11484" s="2"/>
      <c r="U11484" s="2"/>
      <c r="V11484" s="2"/>
      <c r="W11484" s="2"/>
      <c r="X11484" s="2"/>
      <c r="Y11484" s="2"/>
      <c r="Z11484" s="2"/>
    </row>
    <row r="11485" spans="1:26" ht="16.5" x14ac:dyDescent="0.35">
      <c r="A11485" s="2" t="str">
        <f ca="1">IFERROR(__xludf.DUMMYFUNCTION("""COMPUTED_VALUE"""),"Dubai")</f>
        <v>Dubai</v>
      </c>
      <c r="B11485" s="2" t="str">
        <f ca="1">IFERROR(__xludf.DUMMYFUNCTION("""COMPUTED_VALUE"""),"Eden Gardens")</f>
        <v>Eden Gardens</v>
      </c>
      <c r="C11485" s="2" t="str">
        <f ca="1">IFERROR(__xludf.DUMMYFUNCTION("""COMPUTED_VALUE"""),"Building")</f>
        <v>Building</v>
      </c>
      <c r="D11485" s="2" t="str">
        <f ca="1">IFERROR(__xludf.DUMMYFUNCTION("""COMPUTED_VALUE"""),"Dubai&gt;Dubai Sports City&gt;Eden Gardens")</f>
        <v>Dubai&gt;Dubai Sports City&gt;Eden Gardens</v>
      </c>
      <c r="E11485" s="2"/>
      <c r="F11485" s="2"/>
      <c r="G11485" s="2"/>
      <c r="H11485" s="2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2"/>
      <c r="T11485" s="2"/>
      <c r="U11485" s="2"/>
      <c r="V11485" s="2"/>
      <c r="W11485" s="2"/>
      <c r="X11485" s="2"/>
      <c r="Y11485" s="2"/>
      <c r="Z11485" s="2"/>
    </row>
    <row r="11486" spans="1:26" ht="16.5" x14ac:dyDescent="0.35">
      <c r="A11486" s="2" t="str">
        <f ca="1">IFERROR(__xludf.DUMMYFUNCTION("""COMPUTED_VALUE"""),"Dubai")</f>
        <v>Dubai</v>
      </c>
      <c r="B11486" s="2" t="str">
        <f ca="1">IFERROR(__xludf.DUMMYFUNCTION("""COMPUTED_VALUE"""),"Cricket Tower")</f>
        <v>Cricket Tower</v>
      </c>
      <c r="C11486" s="2" t="str">
        <f ca="1">IFERROR(__xludf.DUMMYFUNCTION("""COMPUTED_VALUE"""),"Building")</f>
        <v>Building</v>
      </c>
      <c r="D11486" s="2" t="str">
        <f ca="1">IFERROR(__xludf.DUMMYFUNCTION("""COMPUTED_VALUE"""),"Dubai&gt;Dubai Sports City&gt;Cricket Tower")</f>
        <v>Dubai&gt;Dubai Sports City&gt;Cricket Tower</v>
      </c>
      <c r="E11486" s="2"/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  <c r="V11486" s="2"/>
      <c r="W11486" s="2"/>
      <c r="X11486" s="2"/>
      <c r="Y11486" s="2"/>
      <c r="Z11486" s="2"/>
    </row>
    <row r="11487" spans="1:26" ht="16.5" x14ac:dyDescent="0.35">
      <c r="A11487" s="2" t="str">
        <f ca="1">IFERROR(__xludf.DUMMYFUNCTION("""COMPUTED_VALUE"""),"Dubai")</f>
        <v>Dubai</v>
      </c>
      <c r="B11487" s="2" t="str">
        <f ca="1">IFERROR(__xludf.DUMMYFUNCTION("""COMPUTED_VALUE"""),"Giovanni Boutique Suites")</f>
        <v>Giovanni Boutique Suites</v>
      </c>
      <c r="C11487" s="2" t="str">
        <f ca="1">IFERROR(__xludf.DUMMYFUNCTION("""COMPUTED_VALUE"""),"Building")</f>
        <v>Building</v>
      </c>
      <c r="D11487" s="2" t="str">
        <f ca="1">IFERROR(__xludf.DUMMYFUNCTION("""COMPUTED_VALUE"""),"Dubai&gt;Dubai Sports City&gt;Giovanni Boutique Suites")</f>
        <v>Dubai&gt;Dubai Sports City&gt;Giovanni Boutique Suites</v>
      </c>
      <c r="E11487" s="2"/>
      <c r="F11487" s="2"/>
      <c r="G11487" s="2"/>
      <c r="H11487" s="2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2"/>
      <c r="T11487" s="2"/>
      <c r="U11487" s="2"/>
      <c r="V11487" s="2"/>
      <c r="W11487" s="2"/>
      <c r="X11487" s="2"/>
      <c r="Y11487" s="2"/>
      <c r="Z11487" s="2"/>
    </row>
    <row r="11488" spans="1:26" ht="16.5" x14ac:dyDescent="0.35">
      <c r="A11488" s="2" t="str">
        <f ca="1">IFERROR(__xludf.DUMMYFUNCTION("""COMPUTED_VALUE"""),"Dubai")</f>
        <v>Dubai</v>
      </c>
      <c r="B11488" s="2" t="str">
        <f ca="1">IFERROR(__xludf.DUMMYFUNCTION("""COMPUTED_VALUE"""),"Champions Tower 3")</f>
        <v>Champions Tower 3</v>
      </c>
      <c r="C11488" s="2" t="str">
        <f ca="1">IFERROR(__xludf.DUMMYFUNCTION("""COMPUTED_VALUE"""),"Building")</f>
        <v>Building</v>
      </c>
      <c r="D11488" s="2" t="str">
        <f ca="1">IFERROR(__xludf.DUMMYFUNCTION("""COMPUTED_VALUE"""),"Dubai&gt;Dubai Sports City&gt;Champions Tower&gt;Champions Tower 3")</f>
        <v>Dubai&gt;Dubai Sports City&gt;Champions Tower&gt;Champions Tower 3</v>
      </c>
      <c r="E11488" s="2"/>
      <c r="F11488" s="2"/>
      <c r="G11488" s="2"/>
      <c r="H11488" s="2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2"/>
      <c r="T11488" s="2"/>
      <c r="U11488" s="2"/>
      <c r="V11488" s="2"/>
      <c r="W11488" s="2"/>
      <c r="X11488" s="2"/>
      <c r="Y11488" s="2"/>
      <c r="Z11488" s="2"/>
    </row>
    <row r="11489" spans="1:26" ht="16.5" x14ac:dyDescent="0.35">
      <c r="A11489" s="2" t="str">
        <f ca="1">IFERROR(__xludf.DUMMYFUNCTION("""COMPUTED_VALUE"""),"Dubai")</f>
        <v>Dubai</v>
      </c>
      <c r="B11489" s="2" t="str">
        <f ca="1">IFERROR(__xludf.DUMMYFUNCTION("""COMPUTED_VALUE"""),"Nashma Tower")</f>
        <v>Nashma Tower</v>
      </c>
      <c r="C11489" s="2" t="str">
        <f ca="1">IFERROR(__xludf.DUMMYFUNCTION("""COMPUTED_VALUE"""),"Building")</f>
        <v>Building</v>
      </c>
      <c r="D11489" s="2" t="str">
        <f ca="1">IFERROR(__xludf.DUMMYFUNCTION("""COMPUTED_VALUE"""),"Dubai&gt;Al Nahda (Dubai)&gt;Al Nahda 1&gt;Nashma Tower")</f>
        <v>Dubai&gt;Al Nahda (Dubai)&gt;Al Nahda 1&gt;Nashma Tower</v>
      </c>
      <c r="E11489" s="2"/>
      <c r="F11489" s="2"/>
      <c r="G11489" s="2"/>
      <c r="H11489" s="2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2"/>
      <c r="T11489" s="2"/>
      <c r="U11489" s="2"/>
      <c r="V11489" s="2"/>
      <c r="W11489" s="2"/>
      <c r="X11489" s="2"/>
      <c r="Y11489" s="2"/>
      <c r="Z11489" s="2"/>
    </row>
    <row r="11490" spans="1:26" ht="16.5" x14ac:dyDescent="0.35">
      <c r="A11490" s="2" t="str">
        <f ca="1">IFERROR(__xludf.DUMMYFUNCTION("""COMPUTED_VALUE"""),"Dubai")</f>
        <v>Dubai</v>
      </c>
      <c r="B11490" s="2" t="str">
        <f ca="1">IFERROR(__xludf.DUMMYFUNCTION("""COMPUTED_VALUE"""),"Al Hawai Twin Towers")</f>
        <v>Al Hawai Twin Towers</v>
      </c>
      <c r="C11490" s="2" t="str">
        <f ca="1">IFERROR(__xludf.DUMMYFUNCTION("""COMPUTED_VALUE"""),"Building")</f>
        <v>Building</v>
      </c>
      <c r="D11490" s="2" t="str">
        <f ca="1">IFERROR(__xludf.DUMMYFUNCTION("""COMPUTED_VALUE"""),"Dubai&gt;Al Nahda (Dubai)&gt;Al Nahda 2&gt;Al Hawai Twin Towers")</f>
        <v>Dubai&gt;Al Nahda (Dubai)&gt;Al Nahda 2&gt;Al Hawai Twin Towers</v>
      </c>
      <c r="E11490" s="2"/>
      <c r="F11490" s="2"/>
      <c r="G11490" s="2"/>
      <c r="H11490" s="2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2"/>
      <c r="T11490" s="2"/>
      <c r="U11490" s="2"/>
      <c r="V11490" s="2"/>
      <c r="W11490" s="2"/>
      <c r="X11490" s="2"/>
      <c r="Y11490" s="2"/>
      <c r="Z11490" s="2"/>
    </row>
    <row r="11491" spans="1:26" ht="16.5" x14ac:dyDescent="0.35">
      <c r="A11491" s="2" t="str">
        <f ca="1">IFERROR(__xludf.DUMMYFUNCTION("""COMPUTED_VALUE"""),"Dubai")</f>
        <v>Dubai</v>
      </c>
      <c r="B11491" s="2" t="str">
        <f ca="1">IFERROR(__xludf.DUMMYFUNCTION("""COMPUTED_VALUE"""),"Masafi 2")</f>
        <v>Masafi 2</v>
      </c>
      <c r="C11491" s="2" t="str">
        <f ca="1">IFERROR(__xludf.DUMMYFUNCTION("""COMPUTED_VALUE"""),"Building")</f>
        <v>Building</v>
      </c>
      <c r="D11491" s="2" t="str">
        <f ca="1">IFERROR(__xludf.DUMMYFUNCTION("""COMPUTED_VALUE"""),"Dubai&gt;Al Nahda (Dubai)&gt;Al Nahda 2&gt;Masafi 2")</f>
        <v>Dubai&gt;Al Nahda (Dubai)&gt;Al Nahda 2&gt;Masafi 2</v>
      </c>
      <c r="E11491" s="2"/>
      <c r="F11491" s="2"/>
      <c r="G11491" s="2"/>
      <c r="H11491" s="2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2"/>
      <c r="T11491" s="2"/>
      <c r="U11491" s="2"/>
      <c r="V11491" s="2"/>
      <c r="W11491" s="2"/>
      <c r="X11491" s="2"/>
      <c r="Y11491" s="2"/>
      <c r="Z11491" s="2"/>
    </row>
    <row r="11492" spans="1:26" ht="16.5" x14ac:dyDescent="0.35">
      <c r="A11492" s="2" t="str">
        <f ca="1">IFERROR(__xludf.DUMMYFUNCTION("""COMPUTED_VALUE"""),"Dubai")</f>
        <v>Dubai</v>
      </c>
      <c r="B11492" s="2" t="str">
        <f ca="1">IFERROR(__xludf.DUMMYFUNCTION("""COMPUTED_VALUE"""),"Al Basha Residence")</f>
        <v>Al Basha Residence</v>
      </c>
      <c r="C11492" s="2" t="str">
        <f ca="1">IFERROR(__xludf.DUMMYFUNCTION("""COMPUTED_VALUE"""),"Building")</f>
        <v>Building</v>
      </c>
      <c r="D11492" s="2" t="str">
        <f ca="1">IFERROR(__xludf.DUMMYFUNCTION("""COMPUTED_VALUE"""),"Dubai&gt;Al Nahda (Dubai)&gt;Al Nahda 2&gt;Al Basha Residence")</f>
        <v>Dubai&gt;Al Nahda (Dubai)&gt;Al Nahda 2&gt;Al Basha Residence</v>
      </c>
      <c r="E11492" s="2"/>
      <c r="F11492" s="2"/>
      <c r="G11492" s="2"/>
      <c r="H11492" s="2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2"/>
      <c r="T11492" s="2"/>
      <c r="U11492" s="2"/>
      <c r="V11492" s="2"/>
      <c r="W11492" s="2"/>
      <c r="X11492" s="2"/>
      <c r="Y11492" s="2"/>
      <c r="Z11492" s="2"/>
    </row>
    <row r="11493" spans="1:26" ht="16.5" x14ac:dyDescent="0.35">
      <c r="A11493" s="2" t="str">
        <f ca="1">IFERROR(__xludf.DUMMYFUNCTION("""COMPUTED_VALUE"""),"Dubai")</f>
        <v>Dubai</v>
      </c>
      <c r="B11493" s="2" t="str">
        <f ca="1">IFERROR(__xludf.DUMMYFUNCTION("""COMPUTED_VALUE"""),"H.E.Abdulrahman Ghanem A.Almutaiwee Building")</f>
        <v>H.E.Abdulrahman Ghanem A.Almutaiwee Building</v>
      </c>
      <c r="C11493" s="2" t="str">
        <f ca="1">IFERROR(__xludf.DUMMYFUNCTION("""COMPUTED_VALUE"""),"Building")</f>
        <v>Building</v>
      </c>
      <c r="D11493" s="2" t="str">
        <f ca="1">IFERROR(__xludf.DUMMYFUNCTION("""COMPUTED_VALUE"""),"Dubai&gt;Al Nahda (Dubai)&gt;Al Nahda 2&gt;H.E.Abdulrahman Ghanem A.Almutaiwee Building")</f>
        <v>Dubai&gt;Al Nahda (Dubai)&gt;Al Nahda 2&gt;H.E.Abdulrahman Ghanem A.Almutaiwee Building</v>
      </c>
      <c r="E11493" s="2"/>
      <c r="F11493" s="2"/>
      <c r="G11493" s="2"/>
      <c r="H11493" s="2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2"/>
      <c r="T11493" s="2"/>
      <c r="U11493" s="2"/>
      <c r="V11493" s="2"/>
      <c r="W11493" s="2"/>
      <c r="X11493" s="2"/>
      <c r="Y11493" s="2"/>
      <c r="Z11493" s="2"/>
    </row>
    <row r="11494" spans="1:26" ht="16.5" x14ac:dyDescent="0.35">
      <c r="A11494" s="2" t="str">
        <f ca="1">IFERROR(__xludf.DUMMYFUNCTION("""COMPUTED_VALUE"""),"Dubai")</f>
        <v>Dubai</v>
      </c>
      <c r="B11494" s="2" t="str">
        <f ca="1">IFERROR(__xludf.DUMMYFUNCTION("""COMPUTED_VALUE"""),"Dubai British School, Jumeirah Park")</f>
        <v>Dubai British School, Jumeirah Park</v>
      </c>
      <c r="C11494" s="2" t="str">
        <f ca="1">IFERROR(__xludf.DUMMYFUNCTION("""COMPUTED_VALUE"""),"School")</f>
        <v>School</v>
      </c>
      <c r="D11494" s="2" t="str">
        <f ca="1">IFERROR(__xludf.DUMMYFUNCTION("""COMPUTED_VALUE"""),"Dubai&gt;Jumeirah Park&gt;Dubai British School, Jumeirah Park")</f>
        <v>Dubai&gt;Jumeirah Park&gt;Dubai British School, Jumeirah Park</v>
      </c>
      <c r="E11494" s="2"/>
      <c r="F11494" s="2"/>
      <c r="G11494" s="2"/>
      <c r="H11494" s="2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2"/>
      <c r="T11494" s="2"/>
      <c r="U11494" s="2"/>
      <c r="V11494" s="2"/>
      <c r="W11494" s="2"/>
      <c r="X11494" s="2"/>
      <c r="Y11494" s="2"/>
      <c r="Z11494" s="2"/>
    </row>
    <row r="11495" spans="1:26" ht="16.5" x14ac:dyDescent="0.35">
      <c r="A11495" s="2" t="str">
        <f ca="1">IFERROR(__xludf.DUMMYFUNCTION("""COMPUTED_VALUE"""),"Dubai")</f>
        <v>Dubai</v>
      </c>
      <c r="B11495" s="2" t="str">
        <f ca="1">IFERROR(__xludf.DUMMYFUNCTION("""COMPUTED_VALUE"""),"Marbella")</f>
        <v>Marbella</v>
      </c>
      <c r="C11495" s="2" t="str">
        <f ca="1">IFERROR(__xludf.DUMMYFUNCTION("""COMPUTED_VALUE"""),"Neighbourhood")</f>
        <v>Neighbourhood</v>
      </c>
      <c r="D11495" s="2" t="str">
        <f ca="1">IFERROR(__xludf.DUMMYFUNCTION("""COMPUTED_VALUE"""),"Dubai&gt;DAMAC Lagoons&gt;Marbella")</f>
        <v>Dubai&gt;DAMAC Lagoons&gt;Marbella</v>
      </c>
      <c r="E11495" s="2"/>
      <c r="F11495" s="2"/>
      <c r="G11495" s="2"/>
      <c r="H11495" s="2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2"/>
      <c r="T11495" s="2"/>
      <c r="U11495" s="2"/>
      <c r="V11495" s="2"/>
      <c r="W11495" s="2"/>
      <c r="X11495" s="2"/>
      <c r="Y11495" s="2"/>
      <c r="Z11495" s="2"/>
    </row>
    <row r="11496" spans="1:26" ht="16.5" x14ac:dyDescent="0.35">
      <c r="A11496" s="2" t="str">
        <f ca="1">IFERROR(__xludf.DUMMYFUNCTION("""COMPUTED_VALUE"""),"Dubai")</f>
        <v>Dubai</v>
      </c>
      <c r="B11496" s="2" t="str">
        <f ca="1">IFERROR(__xludf.DUMMYFUNCTION("""COMPUTED_VALUE"""),"Morjan Building")</f>
        <v>Morjan Building</v>
      </c>
      <c r="C11496" s="2" t="str">
        <f ca="1">IFERROR(__xludf.DUMMYFUNCTION("""COMPUTED_VALUE"""),"Building")</f>
        <v>Building</v>
      </c>
      <c r="D11496" s="2" t="str">
        <f ca="1">IFERROR(__xludf.DUMMYFUNCTION("""COMPUTED_VALUE"""),"Dubai&gt;Liwan 2&gt;Morjan Building")</f>
        <v>Dubai&gt;Liwan 2&gt;Morjan Building</v>
      </c>
      <c r="E11496" s="2"/>
      <c r="F11496" s="2"/>
      <c r="G11496" s="2"/>
      <c r="H11496" s="2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2"/>
      <c r="T11496" s="2"/>
      <c r="U11496" s="2"/>
      <c r="V11496" s="2"/>
      <c r="W11496" s="2"/>
      <c r="X11496" s="2"/>
      <c r="Y11496" s="2"/>
      <c r="Z11496" s="2"/>
    </row>
    <row r="11497" spans="1:26" ht="16.5" x14ac:dyDescent="0.35">
      <c r="A11497" s="2" t="str">
        <f ca="1">IFERROR(__xludf.DUMMYFUNCTION("""COMPUTED_VALUE"""),"Dubai")</f>
        <v>Dubai</v>
      </c>
      <c r="B11497" s="2" t="str">
        <f ca="1">IFERROR(__xludf.DUMMYFUNCTION("""COMPUTED_VALUE"""),"Amana Jewels")</f>
        <v>Amana Jewels</v>
      </c>
      <c r="C11497" s="2" t="str">
        <f ca="1">IFERROR(__xludf.DUMMYFUNCTION("""COMPUTED_VALUE"""),"Building")</f>
        <v>Building</v>
      </c>
      <c r="D11497" s="2" t="str">
        <f ca="1">IFERROR(__xludf.DUMMYFUNCTION("""COMPUTED_VALUE"""),"Dubai&gt;Liwan 2&gt;Amana Jewels")</f>
        <v>Dubai&gt;Liwan 2&gt;Amana Jewels</v>
      </c>
      <c r="E11497" s="2"/>
      <c r="F11497" s="2"/>
      <c r="G11497" s="2"/>
      <c r="H11497" s="2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2"/>
      <c r="T11497" s="2"/>
      <c r="U11497" s="2"/>
      <c r="V11497" s="2"/>
      <c r="W11497" s="2"/>
      <c r="X11497" s="2"/>
      <c r="Y11497" s="2"/>
      <c r="Z11497" s="2"/>
    </row>
    <row r="11498" spans="1:26" ht="16.5" x14ac:dyDescent="0.35">
      <c r="A11498" s="2" t="str">
        <f ca="1">IFERROR(__xludf.DUMMYFUNCTION("""COMPUTED_VALUE"""),"Dubai")</f>
        <v>Dubai</v>
      </c>
      <c r="B11498" s="2" t="str">
        <f ca="1">IFERROR(__xludf.DUMMYFUNCTION("""COMPUTED_VALUE"""),"Chubby Cheeks DIP")</f>
        <v>Chubby Cheeks DIP</v>
      </c>
      <c r="C11498" s="2" t="str">
        <f ca="1">IFERROR(__xludf.DUMMYFUNCTION("""COMPUTED_VALUE"""),"Nursery")</f>
        <v>Nursery</v>
      </c>
      <c r="D11498" s="2" t="str">
        <f ca="1">IFERROR(__xludf.DUMMYFUNCTION("""COMPUTED_VALUE"""),"Dubai&gt;Dubai Investment Park (DIP)&gt;Chubby Cheeks DIP")</f>
        <v>Dubai&gt;Dubai Investment Park (DIP)&gt;Chubby Cheeks DIP</v>
      </c>
      <c r="E11498" s="2"/>
      <c r="F11498" s="2"/>
      <c r="G11498" s="2"/>
      <c r="H11498" s="2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2"/>
      <c r="T11498" s="2"/>
      <c r="U11498" s="2"/>
      <c r="V11498" s="2"/>
      <c r="W11498" s="2"/>
      <c r="X11498" s="2"/>
      <c r="Y11498" s="2"/>
      <c r="Z11498" s="2"/>
    </row>
    <row r="11499" spans="1:26" ht="16.5" x14ac:dyDescent="0.35">
      <c r="A11499" s="2" t="str">
        <f ca="1">IFERROR(__xludf.DUMMYFUNCTION("""COMPUTED_VALUE"""),"Dubai")</f>
        <v>Dubai</v>
      </c>
      <c r="B11499" s="2" t="str">
        <f ca="1">IFERROR(__xludf.DUMMYFUNCTION("""COMPUTED_VALUE"""),"The 7even Block A")</f>
        <v>The 7even Block A</v>
      </c>
      <c r="C11499" s="2" t="str">
        <f ca="1">IFERROR(__xludf.DUMMYFUNCTION("""COMPUTED_VALUE"""),"Building")</f>
        <v>Building</v>
      </c>
      <c r="D11499" s="2" t="str">
        <f ca="1">IFERROR(__xludf.DUMMYFUNCTION("""COMPUTED_VALUE"""),"Dubai&gt;Dubai Investment Park (DIP)&gt;Dubai Investment Park 1&gt;The 7even&gt;The 7even Block A")</f>
        <v>Dubai&gt;Dubai Investment Park (DIP)&gt;Dubai Investment Park 1&gt;The 7even&gt;The 7even Block A</v>
      </c>
      <c r="E11499" s="2"/>
      <c r="F11499" s="2"/>
      <c r="G11499" s="2"/>
      <c r="H11499" s="2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2"/>
      <c r="T11499" s="2"/>
      <c r="U11499" s="2"/>
      <c r="V11499" s="2"/>
      <c r="W11499" s="2"/>
      <c r="X11499" s="2"/>
      <c r="Y11499" s="2"/>
      <c r="Z11499" s="2"/>
    </row>
    <row r="11500" spans="1:26" ht="16.5" x14ac:dyDescent="0.35">
      <c r="A11500" s="2" t="str">
        <f ca="1">IFERROR(__xludf.DUMMYFUNCTION("""COMPUTED_VALUE"""),"Dubai")</f>
        <v>Dubai</v>
      </c>
      <c r="B11500" s="2" t="str">
        <f ca="1">IFERROR(__xludf.DUMMYFUNCTION("""COMPUTED_VALUE"""),"Palmon FZE E")</f>
        <v>Palmon FZE E</v>
      </c>
      <c r="C11500" s="2" t="str">
        <f ca="1">IFERROR(__xludf.DUMMYFUNCTION("""COMPUTED_VALUE"""),"Building")</f>
        <v>Building</v>
      </c>
      <c r="D11500" s="2" t="str">
        <f ca="1">IFERROR(__xludf.DUMMYFUNCTION("""COMPUTED_VALUE"""),"Dubai&gt;Dubai Investment Park (DIP)&gt;Dubai Investment Park 1&gt;Palmon Group FZCO Accommodation&gt;Palmon FZE E")</f>
        <v>Dubai&gt;Dubai Investment Park (DIP)&gt;Dubai Investment Park 1&gt;Palmon Group FZCO Accommodation&gt;Palmon FZE E</v>
      </c>
      <c r="E11500" s="2"/>
      <c r="F11500" s="2"/>
      <c r="G11500" s="2"/>
      <c r="H11500" s="2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2"/>
      <c r="T11500" s="2"/>
      <c r="U11500" s="2"/>
      <c r="V11500" s="2"/>
      <c r="W11500" s="2"/>
      <c r="X11500" s="2"/>
      <c r="Y11500" s="2"/>
      <c r="Z11500" s="2"/>
    </row>
    <row r="11501" spans="1:26" ht="16.5" x14ac:dyDescent="0.35">
      <c r="A11501" s="2" t="str">
        <f ca="1">IFERROR(__xludf.DUMMYFUNCTION("""COMPUTED_VALUE"""),"Dubai")</f>
        <v>Dubai</v>
      </c>
      <c r="B11501" s="2" t="str">
        <f ca="1">IFERROR(__xludf.DUMMYFUNCTION("""COMPUTED_VALUE"""),"Al Sondos Apartments Block C")</f>
        <v>Al Sondos Apartments Block C</v>
      </c>
      <c r="C11501" s="2" t="str">
        <f ca="1">IFERROR(__xludf.DUMMYFUNCTION("""COMPUTED_VALUE"""),"Building")</f>
        <v>Building</v>
      </c>
      <c r="D11501" s="2" t="str">
        <f ca="1">IFERROR(__xludf.DUMMYFUNCTION("""COMPUTED_VALUE"""),"Dubai&gt;Dubai Investment Park (DIP)&gt;Al Sondos Apartments&gt;Al Sondos Apartments Block C")</f>
        <v>Dubai&gt;Dubai Investment Park (DIP)&gt;Al Sondos Apartments&gt;Al Sondos Apartments Block C</v>
      </c>
      <c r="E11501" s="2"/>
      <c r="F11501" s="2"/>
      <c r="G11501" s="2"/>
      <c r="H11501" s="2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2"/>
      <c r="T11501" s="2"/>
      <c r="U11501" s="2"/>
      <c r="V11501" s="2"/>
      <c r="W11501" s="2"/>
      <c r="X11501" s="2"/>
      <c r="Y11501" s="2"/>
      <c r="Z11501" s="2"/>
    </row>
    <row r="11502" spans="1:26" ht="16.5" x14ac:dyDescent="0.35">
      <c r="A11502" s="2" t="str">
        <f ca="1">IFERROR(__xludf.DUMMYFUNCTION("""COMPUTED_VALUE"""),"Dubai")</f>
        <v>Dubai</v>
      </c>
      <c r="B11502" s="2" t="str">
        <f ca="1">IFERROR(__xludf.DUMMYFUNCTION("""COMPUTED_VALUE"""),"B5")</f>
        <v>B5</v>
      </c>
      <c r="C11502" s="2" t="str">
        <f ca="1">IFERROR(__xludf.DUMMYFUNCTION("""COMPUTED_VALUE"""),"Building")</f>
        <v>Building</v>
      </c>
      <c r="D11502" s="2" t="str">
        <f ca="1">IFERROR(__xludf.DUMMYFUNCTION("""COMPUTED_VALUE"""),"Dubai&gt;Dubai Investment Park (DIP)&gt;Dubai Investment Park 2&gt;Dunes Village&gt;B5")</f>
        <v>Dubai&gt;Dubai Investment Park (DIP)&gt;Dubai Investment Park 2&gt;Dunes Village&gt;B5</v>
      </c>
      <c r="E11502" s="2"/>
      <c r="F11502" s="2"/>
      <c r="G11502" s="2"/>
      <c r="H11502" s="2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2"/>
      <c r="T11502" s="2"/>
      <c r="U11502" s="2"/>
      <c r="V11502" s="2"/>
      <c r="W11502" s="2"/>
      <c r="X11502" s="2"/>
      <c r="Y11502" s="2"/>
      <c r="Z11502" s="2"/>
    </row>
    <row r="11503" spans="1:26" ht="16.5" x14ac:dyDescent="0.35">
      <c r="A11503" s="2" t="str">
        <f ca="1">IFERROR(__xludf.DUMMYFUNCTION("""COMPUTED_VALUE"""),"Dubai")</f>
        <v>Dubai</v>
      </c>
      <c r="B11503" s="2" t="str">
        <f ca="1">IFERROR(__xludf.DUMMYFUNCTION("""COMPUTED_VALUE"""),"Alemas Courtyard")</f>
        <v>Alemas Courtyard</v>
      </c>
      <c r="C11503" s="2" t="str">
        <f ca="1">IFERROR(__xludf.DUMMYFUNCTION("""COMPUTED_VALUE"""),"Building")</f>
        <v>Building</v>
      </c>
      <c r="D11503" s="2" t="str">
        <f ca="1">IFERROR(__xludf.DUMMYFUNCTION("""COMPUTED_VALUE"""),"Dubai&gt;Dubai Investment Park (DIP)&gt;Alemas Courtyard")</f>
        <v>Dubai&gt;Dubai Investment Park (DIP)&gt;Alemas Courtyard</v>
      </c>
      <c r="E11503" s="2"/>
      <c r="F11503" s="2"/>
      <c r="G11503" s="2"/>
      <c r="H11503" s="2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2"/>
      <c r="T11503" s="2"/>
      <c r="U11503" s="2"/>
      <c r="V11503" s="2"/>
      <c r="W11503" s="2"/>
      <c r="X11503" s="2"/>
      <c r="Y11503" s="2"/>
      <c r="Z11503" s="2"/>
    </row>
    <row r="11504" spans="1:26" ht="16.5" x14ac:dyDescent="0.35">
      <c r="A11504" s="2" t="str">
        <f ca="1">IFERROR(__xludf.DUMMYFUNCTION("""COMPUTED_VALUE"""),"Dubai")</f>
        <v>Dubai</v>
      </c>
      <c r="B11504" s="2" t="str">
        <f ca="1">IFERROR(__xludf.DUMMYFUNCTION("""COMPUTED_VALUE"""),"Royal 4")</f>
        <v>Royal 4</v>
      </c>
      <c r="C11504" s="2" t="str">
        <f ca="1">IFERROR(__xludf.DUMMYFUNCTION("""COMPUTED_VALUE"""),"Building")</f>
        <v>Building</v>
      </c>
      <c r="D11504" s="2" t="str">
        <f ca="1">IFERROR(__xludf.DUMMYFUNCTION("""COMPUTED_VALUE"""),"Dubai&gt;Dubai Investment Park (DIP)&gt;DAMAC Riverside&gt;Riverside Views&gt;Royal 4")</f>
        <v>Dubai&gt;Dubai Investment Park (DIP)&gt;DAMAC Riverside&gt;Riverside Views&gt;Royal 4</v>
      </c>
      <c r="E11504" s="2"/>
      <c r="F11504" s="2"/>
      <c r="G11504" s="2"/>
      <c r="H11504" s="2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2"/>
      <c r="T11504" s="2"/>
      <c r="U11504" s="2"/>
      <c r="V11504" s="2"/>
      <c r="W11504" s="2"/>
      <c r="X11504" s="2"/>
      <c r="Y11504" s="2"/>
      <c r="Z11504" s="2"/>
    </row>
    <row r="11505" spans="1:26" ht="16.5" x14ac:dyDescent="0.35">
      <c r="A11505" s="2" t="str">
        <f ca="1">IFERROR(__xludf.DUMMYFUNCTION("""COMPUTED_VALUE"""),"Dubai")</f>
        <v>Dubai</v>
      </c>
      <c r="B11505" s="2" t="str">
        <f ca="1">IFERROR(__xludf.DUMMYFUNCTION("""COMPUTED_VALUE"""),"Aras Residence")</f>
        <v>Aras Residence</v>
      </c>
      <c r="C11505" s="2" t="str">
        <f ca="1">IFERROR(__xludf.DUMMYFUNCTION("""COMPUTED_VALUE"""),"Building")</f>
        <v>Building</v>
      </c>
      <c r="D11505" s="2" t="str">
        <f ca="1">IFERROR(__xludf.DUMMYFUNCTION("""COMPUTED_VALUE"""),"Dubai&gt;Majan&gt;Aras Residence")</f>
        <v>Dubai&gt;Majan&gt;Aras Residence</v>
      </c>
      <c r="E11505" s="2"/>
      <c r="F11505" s="2"/>
      <c r="G11505" s="2"/>
      <c r="H11505" s="2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2"/>
      <c r="T11505" s="2"/>
      <c r="U11505" s="2"/>
      <c r="V11505" s="2"/>
      <c r="W11505" s="2"/>
      <c r="X11505" s="2"/>
      <c r="Y11505" s="2"/>
      <c r="Z11505" s="2"/>
    </row>
    <row r="11506" spans="1:26" ht="16.5" x14ac:dyDescent="0.35">
      <c r="A11506" s="2" t="str">
        <f ca="1">IFERROR(__xludf.DUMMYFUNCTION("""COMPUTED_VALUE"""),"Dubai")</f>
        <v>Dubai</v>
      </c>
      <c r="B11506" s="2" t="str">
        <f ca="1">IFERROR(__xludf.DUMMYFUNCTION("""COMPUTED_VALUE"""),"Mezan 1 Building")</f>
        <v>Mezan 1 Building</v>
      </c>
      <c r="C11506" s="2" t="str">
        <f ca="1">IFERROR(__xludf.DUMMYFUNCTION("""COMPUTED_VALUE"""),"Building")</f>
        <v>Building</v>
      </c>
      <c r="D11506" s="2" t="str">
        <f ca="1">IFERROR(__xludf.DUMMYFUNCTION("""COMPUTED_VALUE"""),"Dubai&gt;Majan&gt;Mezan 1 Building")</f>
        <v>Dubai&gt;Majan&gt;Mezan 1 Building</v>
      </c>
      <c r="E11506" s="2"/>
      <c r="F11506" s="2"/>
      <c r="G11506" s="2"/>
      <c r="H11506" s="2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2"/>
      <c r="T11506" s="2"/>
      <c r="U11506" s="2"/>
      <c r="V11506" s="2"/>
      <c r="W11506" s="2"/>
      <c r="X11506" s="2"/>
      <c r="Y11506" s="2"/>
      <c r="Z11506" s="2"/>
    </row>
    <row r="11507" spans="1:26" ht="16.5" x14ac:dyDescent="0.35">
      <c r="A11507" s="2" t="str">
        <f ca="1">IFERROR(__xludf.DUMMYFUNCTION("""COMPUTED_VALUE"""),"Dubai")</f>
        <v>Dubai</v>
      </c>
      <c r="B11507" s="2" t="str">
        <f ca="1">IFERROR(__xludf.DUMMYFUNCTION("""COMPUTED_VALUE"""),"Samana Barari Heights")</f>
        <v>Samana Barari Heights</v>
      </c>
      <c r="C11507" s="2" t="str">
        <f ca="1">IFERROR(__xludf.DUMMYFUNCTION("""COMPUTED_VALUE"""),"Building")</f>
        <v>Building</v>
      </c>
      <c r="D11507" s="2" t="str">
        <f ca="1">IFERROR(__xludf.DUMMYFUNCTION("""COMPUTED_VALUE"""),"Dubai&gt;Majan&gt;Samana Barari Heights")</f>
        <v>Dubai&gt;Majan&gt;Samana Barari Heights</v>
      </c>
      <c r="E11507" s="2"/>
      <c r="F11507" s="2"/>
      <c r="G11507" s="2"/>
      <c r="H11507" s="2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2"/>
      <c r="T11507" s="2"/>
      <c r="U11507" s="2"/>
      <c r="V11507" s="2"/>
      <c r="W11507" s="2"/>
      <c r="X11507" s="2"/>
      <c r="Y11507" s="2"/>
      <c r="Z11507" s="2"/>
    </row>
    <row r="11508" spans="1:26" ht="16.5" x14ac:dyDescent="0.35">
      <c r="A11508" s="2" t="str">
        <f ca="1">IFERROR(__xludf.DUMMYFUNCTION("""COMPUTED_VALUE"""),"Dubai")</f>
        <v>Dubai</v>
      </c>
      <c r="B11508" s="2" t="str">
        <f ca="1">IFERROR(__xludf.DUMMYFUNCTION("""COMPUTED_VALUE"""),"Sobha Hartland 2")</f>
        <v>Sobha Hartland 2</v>
      </c>
      <c r="C11508" s="2" t="str">
        <f ca="1">IFERROR(__xludf.DUMMYFUNCTION("""COMPUTED_VALUE"""),"Neighbourhood")</f>
        <v>Neighbourhood</v>
      </c>
      <c r="D11508" s="2" t="str">
        <f ca="1">IFERROR(__xludf.DUMMYFUNCTION("""COMPUTED_VALUE"""),"Dubai&gt;Sobha Hartland 2")</f>
        <v>Dubai&gt;Sobha Hartland 2</v>
      </c>
      <c r="E11508" s="2"/>
      <c r="F11508" s="2"/>
      <c r="G11508" s="2"/>
      <c r="H11508" s="2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2"/>
      <c r="T11508" s="2"/>
      <c r="U11508" s="2"/>
      <c r="V11508" s="2"/>
      <c r="W11508" s="2"/>
      <c r="X11508" s="2"/>
      <c r="Y11508" s="2"/>
      <c r="Z11508" s="2"/>
    </row>
    <row r="11509" spans="1:26" ht="16.5" x14ac:dyDescent="0.35">
      <c r="A11509" s="2" t="str">
        <f ca="1">IFERROR(__xludf.DUMMYFUNCTION("""COMPUTED_VALUE"""),"Dubai")</f>
        <v>Dubai</v>
      </c>
      <c r="B11509" s="2" t="str">
        <f ca="1">IFERROR(__xludf.DUMMYFUNCTION("""COMPUTED_VALUE"""),"Glitz 3 Tower 1")</f>
        <v>Glitz 3 Tower 1</v>
      </c>
      <c r="C11509" s="2" t="str">
        <f ca="1">IFERROR(__xludf.DUMMYFUNCTION("""COMPUTED_VALUE"""),"Building")</f>
        <v>Building</v>
      </c>
      <c r="D11509" s="2" t="str">
        <f ca="1">IFERROR(__xludf.DUMMYFUNCTION("""COMPUTED_VALUE"""),"Dubai&gt;Dubai Studio City&gt;Glitz 3&gt;Glitz 3 Tower 1")</f>
        <v>Dubai&gt;Dubai Studio City&gt;Glitz 3&gt;Glitz 3 Tower 1</v>
      </c>
      <c r="E11509" s="2"/>
      <c r="F11509" s="2"/>
      <c r="G11509" s="2"/>
      <c r="H11509" s="2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2"/>
      <c r="T11509" s="2"/>
      <c r="U11509" s="2"/>
      <c r="V11509" s="2"/>
      <c r="W11509" s="2"/>
      <c r="X11509" s="2"/>
      <c r="Y11509" s="2"/>
      <c r="Z11509" s="2"/>
    </row>
    <row r="11510" spans="1:26" ht="16.5" x14ac:dyDescent="0.35">
      <c r="A11510" s="2" t="str">
        <f ca="1">IFERROR(__xludf.DUMMYFUNCTION("""COMPUTED_VALUE"""),"Dubai")</f>
        <v>Dubai</v>
      </c>
      <c r="B11510" s="2" t="str">
        <f ca="1">IFERROR(__xludf.DUMMYFUNCTION("""COMPUTED_VALUE"""),"BS-19")</f>
        <v>BS-19</v>
      </c>
      <c r="C11510" s="2" t="str">
        <f ca="1">IFERROR(__xludf.DUMMYFUNCTION("""COMPUTED_VALUE"""),"Building")</f>
        <v>Building</v>
      </c>
      <c r="D11510" s="2" t="str">
        <f ca="1">IFERROR(__xludf.DUMMYFUNCTION("""COMPUTED_VALUE"""),"Dubai&gt;Dubai Studio City&gt;Boutique Studios&gt;BS-19")</f>
        <v>Dubai&gt;Dubai Studio City&gt;Boutique Studios&gt;BS-19</v>
      </c>
      <c r="E11510" s="2"/>
      <c r="F11510" s="2"/>
      <c r="G11510" s="2"/>
      <c r="H11510" s="2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2"/>
      <c r="T11510" s="2"/>
      <c r="U11510" s="2"/>
      <c r="V11510" s="2"/>
      <c r="W11510" s="2"/>
      <c r="X11510" s="2"/>
      <c r="Y11510" s="2"/>
      <c r="Z11510" s="2"/>
    </row>
    <row r="11511" spans="1:26" ht="16.5" x14ac:dyDescent="0.35">
      <c r="A11511" s="2" t="str">
        <f ca="1">IFERROR(__xludf.DUMMYFUNCTION("""COMPUTED_VALUE"""),"Dubai")</f>
        <v>Dubai</v>
      </c>
      <c r="B11511" s="2" t="str">
        <f ca="1">IFERROR(__xludf.DUMMYFUNCTION("""COMPUTED_VALUE"""),"Wilton Park Residences I")</f>
        <v>Wilton Park Residences I</v>
      </c>
      <c r="C11511" s="2" t="str">
        <f ca="1">IFERROR(__xludf.DUMMYFUNCTION("""COMPUTED_VALUE"""),"Building")</f>
        <v>Building</v>
      </c>
      <c r="D11511" s="2" t="str">
        <f ca="1">IFERROR(__xludf.DUMMYFUNCTION("""COMPUTED_VALUE"""),"Dubai&gt;Sobha Hartland&gt;Wilton Park Residences&gt;Wilton Park Residences I")</f>
        <v>Dubai&gt;Sobha Hartland&gt;Wilton Park Residences&gt;Wilton Park Residences I</v>
      </c>
      <c r="E11511" s="2"/>
      <c r="F11511" s="2"/>
      <c r="G11511" s="2"/>
      <c r="H11511" s="2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2"/>
      <c r="T11511" s="2"/>
      <c r="U11511" s="2"/>
      <c r="V11511" s="2"/>
      <c r="W11511" s="2"/>
      <c r="X11511" s="2"/>
      <c r="Y11511" s="2"/>
      <c r="Z11511" s="2"/>
    </row>
    <row r="11512" spans="1:26" ht="16.5" x14ac:dyDescent="0.35">
      <c r="A11512" s="2" t="str">
        <f ca="1">IFERROR(__xludf.DUMMYFUNCTION("""COMPUTED_VALUE"""),"Dubai")</f>
        <v>Dubai</v>
      </c>
      <c r="B11512" s="2" t="str">
        <f ca="1">IFERROR(__xludf.DUMMYFUNCTION("""COMPUTED_VALUE"""),"Sobha One Tower C")</f>
        <v>Sobha One Tower C</v>
      </c>
      <c r="C11512" s="2" t="str">
        <f ca="1">IFERROR(__xludf.DUMMYFUNCTION("""COMPUTED_VALUE"""),"Building")</f>
        <v>Building</v>
      </c>
      <c r="D11512" s="2" t="str">
        <f ca="1">IFERROR(__xludf.DUMMYFUNCTION("""COMPUTED_VALUE"""),"Dubai&gt;Sobha Hartland&gt;Sobha One&gt;Sobha One Tower C")</f>
        <v>Dubai&gt;Sobha Hartland&gt;Sobha One&gt;Sobha One Tower C</v>
      </c>
      <c r="E11512" s="2"/>
      <c r="F11512" s="2"/>
      <c r="G11512" s="2"/>
      <c r="H11512" s="2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2"/>
      <c r="T11512" s="2"/>
      <c r="U11512" s="2"/>
      <c r="V11512" s="2"/>
      <c r="W11512" s="2"/>
      <c r="X11512" s="2"/>
      <c r="Y11512" s="2"/>
      <c r="Z11512" s="2"/>
    </row>
    <row r="11513" spans="1:26" ht="16.5" x14ac:dyDescent="0.35">
      <c r="A11513" s="2" t="str">
        <f ca="1">IFERROR(__xludf.DUMMYFUNCTION("""COMPUTED_VALUE"""),"Dubai")</f>
        <v>Dubai</v>
      </c>
      <c r="B11513" s="2" t="str">
        <f ca="1">IFERROR(__xludf.DUMMYFUNCTION("""COMPUTED_VALUE"""),"Building 1C")</f>
        <v>Building 1C</v>
      </c>
      <c r="C11513" s="2" t="str">
        <f ca="1">IFERROR(__xludf.DUMMYFUNCTION("""COMPUTED_VALUE"""),"Building")</f>
        <v>Building</v>
      </c>
      <c r="D11513" s="2" t="str">
        <f ca="1">IFERROR(__xludf.DUMMYFUNCTION("""COMPUTED_VALUE"""),"Dubai&gt;Expo City&gt;Expo Village&gt;Residences 1&gt;Building 1C")</f>
        <v>Dubai&gt;Expo City&gt;Expo Village&gt;Residences 1&gt;Building 1C</v>
      </c>
      <c r="E11513" s="2"/>
      <c r="F11513" s="2"/>
      <c r="G11513" s="2"/>
      <c r="H11513" s="2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2"/>
      <c r="T11513" s="2"/>
      <c r="U11513" s="2"/>
      <c r="V11513" s="2"/>
      <c r="W11513" s="2"/>
      <c r="X11513" s="2"/>
      <c r="Y11513" s="2"/>
      <c r="Z11513" s="2"/>
    </row>
    <row r="11514" spans="1:26" ht="16.5" x14ac:dyDescent="0.35">
      <c r="A11514" s="2" t="str">
        <f ca="1">IFERROR(__xludf.DUMMYFUNCTION("""COMPUTED_VALUE"""),"Dubai")</f>
        <v>Dubai</v>
      </c>
      <c r="B11514" s="2" t="str">
        <f ca="1">IFERROR(__xludf.DUMMYFUNCTION("""COMPUTED_VALUE"""),"Terra Heights")</f>
        <v>Terra Heights</v>
      </c>
      <c r="C11514" s="2" t="str">
        <f ca="1">IFERROR(__xludf.DUMMYFUNCTION("""COMPUTED_VALUE"""),"Cluster")</f>
        <v>Cluster</v>
      </c>
      <c r="D11514" s="2" t="str">
        <f ca="1">IFERROR(__xludf.DUMMYFUNCTION("""COMPUTED_VALUE"""),"Dubai&gt;Expo City&gt;Terra Heights")</f>
        <v>Dubai&gt;Expo City&gt;Terra Heights</v>
      </c>
      <c r="E11514" s="2"/>
      <c r="F11514" s="2"/>
      <c r="G11514" s="2"/>
      <c r="H11514" s="2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2"/>
      <c r="T11514" s="2"/>
      <c r="U11514" s="2"/>
      <c r="V11514" s="2"/>
      <c r="W11514" s="2"/>
      <c r="X11514" s="2"/>
      <c r="Y11514" s="2"/>
      <c r="Z11514" s="2"/>
    </row>
    <row r="11515" spans="1:26" ht="16.5" x14ac:dyDescent="0.35">
      <c r="A11515" s="2" t="str">
        <f ca="1">IFERROR(__xludf.DUMMYFUNCTION("""COMPUTED_VALUE"""),"Dubai")</f>
        <v>Dubai</v>
      </c>
      <c r="B11515" s="2" t="str">
        <f ca="1">IFERROR(__xludf.DUMMYFUNCTION("""COMPUTED_VALUE"""),"Haven by Aldar")</f>
        <v>Haven by Aldar</v>
      </c>
      <c r="C11515" s="2" t="str">
        <f ca="1">IFERROR(__xludf.DUMMYFUNCTION("""COMPUTED_VALUE"""),"Neighbourhood")</f>
        <v>Neighbourhood</v>
      </c>
      <c r="D11515" s="2" t="str">
        <f ca="1">IFERROR(__xludf.DUMMYFUNCTION("""COMPUTED_VALUE"""),"Dubai&gt;Haven by Aldar")</f>
        <v>Dubai&gt;Haven by Aldar</v>
      </c>
      <c r="E11515" s="2"/>
      <c r="F11515" s="2"/>
      <c r="G11515" s="2"/>
      <c r="H11515" s="2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2"/>
      <c r="T11515" s="2"/>
      <c r="U11515" s="2"/>
      <c r="V11515" s="2"/>
      <c r="W11515" s="2"/>
      <c r="X11515" s="2"/>
      <c r="Y11515" s="2"/>
      <c r="Z11515" s="2"/>
    </row>
    <row r="11516" spans="1:26" ht="16.5" x14ac:dyDescent="0.35">
      <c r="A11516" s="2" t="str">
        <f ca="1">IFERROR(__xludf.DUMMYFUNCTION("""COMPUTED_VALUE"""),"Dubai")</f>
        <v>Dubai</v>
      </c>
      <c r="B11516" s="2" t="str">
        <f ca="1">IFERROR(__xludf.DUMMYFUNCTION("""COMPUTED_VALUE"""),"Mereiyeel")</f>
        <v>Mereiyeel</v>
      </c>
      <c r="C11516" s="2" t="str">
        <f ca="1">IFERROR(__xludf.DUMMYFUNCTION("""COMPUTED_VALUE"""),"Neighbourhood")</f>
        <v>Neighbourhood</v>
      </c>
      <c r="D11516" s="2" t="str">
        <f ca="1">IFERROR(__xludf.DUMMYFUNCTION("""COMPUTED_VALUE"""),"Dubai&gt;Mereiyeel")</f>
        <v>Dubai&gt;Mereiyeel</v>
      </c>
      <c r="E11516" s="2"/>
      <c r="F11516" s="2"/>
      <c r="G11516" s="2"/>
      <c r="H11516" s="2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2"/>
      <c r="T11516" s="2"/>
      <c r="U11516" s="2"/>
      <c r="V11516" s="2"/>
      <c r="W11516" s="2"/>
      <c r="X11516" s="2"/>
      <c r="Y11516" s="2"/>
      <c r="Z11516" s="2"/>
    </row>
    <row r="11517" spans="1:26" ht="16.5" x14ac:dyDescent="0.35">
      <c r="A11517" s="2" t="str">
        <f ca="1">IFERROR(__xludf.DUMMYFUNCTION("""COMPUTED_VALUE"""),"Dubai")</f>
        <v>Dubai</v>
      </c>
      <c r="B11517" s="2" t="str">
        <f ca="1">IFERROR(__xludf.DUMMYFUNCTION("""COMPUTED_VALUE"""),"Serra Building 2")</f>
        <v>Serra Building 2</v>
      </c>
      <c r="C11517" s="2" t="str">
        <f ca="1">IFERROR(__xludf.DUMMYFUNCTION("""COMPUTED_VALUE"""),"Building")</f>
        <v>Building</v>
      </c>
      <c r="D11517" s="2" t="str">
        <f ca="1">IFERROR(__xludf.DUMMYFUNCTION("""COMPUTED_VALUE"""),"Dubai&gt;Ghaf Woods&gt;Serra&gt;Serra Building 2")</f>
        <v>Dubai&gt;Ghaf Woods&gt;Serra&gt;Serra Building 2</v>
      </c>
      <c r="E11517" s="2"/>
      <c r="F11517" s="2"/>
      <c r="G11517" s="2"/>
      <c r="H11517" s="2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2"/>
      <c r="T11517" s="2"/>
      <c r="U11517" s="2"/>
      <c r="V11517" s="2"/>
      <c r="W11517" s="2"/>
      <c r="X11517" s="2"/>
      <c r="Y11517" s="2"/>
      <c r="Z11517" s="2"/>
    </row>
    <row r="11518" spans="1:26" ht="16.5" x14ac:dyDescent="0.35">
      <c r="A11518" s="2" t="str">
        <f ca="1">IFERROR(__xludf.DUMMYFUNCTION("""COMPUTED_VALUE"""),"Dubai")</f>
        <v>Dubai</v>
      </c>
      <c r="B11518" s="2" t="str">
        <f ca="1">IFERROR(__xludf.DUMMYFUNCTION("""COMPUTED_VALUE"""),"Maravelle Residences Building 4")</f>
        <v>Maravelle Residences Building 4</v>
      </c>
      <c r="C11518" s="2" t="str">
        <f ca="1">IFERROR(__xludf.DUMMYFUNCTION("""COMPUTED_VALUE"""),"Building")</f>
        <v>Building</v>
      </c>
      <c r="D11518" s="2" t="str">
        <f ca="1">IFERROR(__xludf.DUMMYFUNCTION("""COMPUTED_VALUE"""),"Dubai&gt;Ghaf Woods&gt;Maravelle Residences&gt;Maravelle Residences Building 4")</f>
        <v>Dubai&gt;Ghaf Woods&gt;Maravelle Residences&gt;Maravelle Residences Building 4</v>
      </c>
      <c r="E11518" s="2"/>
      <c r="F11518" s="2"/>
      <c r="G11518" s="2"/>
      <c r="H11518" s="2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2"/>
      <c r="T11518" s="2"/>
      <c r="U11518" s="2"/>
      <c r="V11518" s="2"/>
      <c r="W11518" s="2"/>
      <c r="X11518" s="2"/>
      <c r="Y11518" s="2"/>
      <c r="Z11518" s="2"/>
    </row>
    <row r="11519" spans="1:26" ht="16.5" x14ac:dyDescent="0.35">
      <c r="A11519" s="2" t="str">
        <f ca="1">IFERROR(__xludf.DUMMYFUNCTION("""COMPUTED_VALUE"""),"Dubai")</f>
        <v>Dubai</v>
      </c>
      <c r="B11519" s="2" t="str">
        <f ca="1">IFERROR(__xludf.DUMMYFUNCTION("""COMPUTED_VALUE"""),"Al Fattan Crystal Towers")</f>
        <v>Al Fattan Crystal Towers</v>
      </c>
      <c r="C11519" s="2" t="str">
        <f ca="1">IFERROR(__xludf.DUMMYFUNCTION("""COMPUTED_VALUE"""),"Building")</f>
        <v>Building</v>
      </c>
      <c r="D11519" s="2" t="str">
        <f ca="1">IFERROR(__xludf.DUMMYFUNCTION("""COMPUTED_VALUE"""),"Dubai&gt;Jumeirah Beach Residence (JBR)&gt;Al Fattan Crystal Towers")</f>
        <v>Dubai&gt;Jumeirah Beach Residence (JBR)&gt;Al Fattan Crystal Towers</v>
      </c>
      <c r="E11519" s="2"/>
      <c r="F11519" s="2"/>
      <c r="G11519" s="2"/>
      <c r="H11519" s="2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2"/>
      <c r="T11519" s="2"/>
      <c r="U11519" s="2"/>
      <c r="V11519" s="2"/>
      <c r="W11519" s="2"/>
      <c r="X11519" s="2"/>
      <c r="Y11519" s="2"/>
      <c r="Z11519" s="2"/>
    </row>
    <row r="11520" spans="1:26" ht="16.5" x14ac:dyDescent="0.35">
      <c r="A11520" s="2" t="str">
        <f ca="1">IFERROR(__xludf.DUMMYFUNCTION("""COMPUTED_VALUE"""),"Dubai")</f>
        <v>Dubai</v>
      </c>
      <c r="B11520" s="2" t="str">
        <f ca="1">IFERROR(__xludf.DUMMYFUNCTION("""COMPUTED_VALUE"""),"Sadaf 8")</f>
        <v>Sadaf 8</v>
      </c>
      <c r="C11520" s="2" t="str">
        <f ca="1">IFERROR(__xludf.DUMMYFUNCTION("""COMPUTED_VALUE"""),"Building")</f>
        <v>Building</v>
      </c>
      <c r="D11520" s="2" t="str">
        <f ca="1">IFERROR(__xludf.DUMMYFUNCTION("""COMPUTED_VALUE"""),"Dubai&gt;Jumeirah Beach Residence (JBR)&gt;Sadaf&gt;Sadaf 8")</f>
        <v>Dubai&gt;Jumeirah Beach Residence (JBR)&gt;Sadaf&gt;Sadaf 8</v>
      </c>
      <c r="E11520" s="2"/>
      <c r="F11520" s="2"/>
      <c r="G11520" s="2"/>
      <c r="H11520" s="2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2"/>
      <c r="T11520" s="2"/>
      <c r="U11520" s="2"/>
      <c r="V11520" s="2"/>
      <c r="W11520" s="2"/>
      <c r="X11520" s="2"/>
      <c r="Y11520" s="2"/>
      <c r="Z11520" s="2"/>
    </row>
    <row r="11521" spans="1:26" ht="16.5" x14ac:dyDescent="0.35">
      <c r="A11521" s="2" t="str">
        <f ca="1">IFERROR(__xludf.DUMMYFUNCTION("""COMPUTED_VALUE"""),"Dubai")</f>
        <v>Dubai</v>
      </c>
      <c r="B11521" s="2" t="str">
        <f ca="1">IFERROR(__xludf.DUMMYFUNCTION("""COMPUTED_VALUE"""),"Belgrove Residences")</f>
        <v>Belgrove Residences</v>
      </c>
      <c r="C11521" s="2" t="str">
        <f ca="1">IFERROR(__xludf.DUMMYFUNCTION("""COMPUTED_VALUE"""),"Building")</f>
        <v>Building</v>
      </c>
      <c r="D11521" s="2" t="str">
        <f ca="1">IFERROR(__xludf.DUMMYFUNCTION("""COMPUTED_VALUE"""),"Dubai&gt;Meydan Horizon&gt;Belgrove Residences")</f>
        <v>Dubai&gt;Meydan Horizon&gt;Belgrove Residences</v>
      </c>
      <c r="E11521" s="2"/>
      <c r="F11521" s="2"/>
      <c r="G11521" s="2"/>
      <c r="H11521" s="2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2"/>
      <c r="T11521" s="2"/>
      <c r="U11521" s="2"/>
      <c r="V11521" s="2"/>
      <c r="W11521" s="2"/>
      <c r="X11521" s="2"/>
      <c r="Y11521" s="2"/>
      <c r="Z11521" s="2"/>
    </row>
    <row r="11522" spans="1:26" ht="16.5" x14ac:dyDescent="0.35">
      <c r="A11522" s="2" t="str">
        <f ca="1">IFERROR(__xludf.DUMMYFUNCTION("""COMPUTED_VALUE"""),"Dubai")</f>
        <v>Dubai</v>
      </c>
      <c r="B11522" s="2" t="str">
        <f ca="1">IFERROR(__xludf.DUMMYFUNCTION("""COMPUTED_VALUE"""),"JSS Private School")</f>
        <v>JSS Private School</v>
      </c>
      <c r="C11522" s="2" t="str">
        <f ca="1">IFERROR(__xludf.DUMMYFUNCTION("""COMPUTED_VALUE"""),"School")</f>
        <v>School</v>
      </c>
      <c r="D11522" s="2" t="str">
        <f ca="1">IFERROR(__xludf.DUMMYFUNCTION("""COMPUTED_VALUE"""),"Dubai&gt;Al Wasl&gt;JSS Private School")</f>
        <v>Dubai&gt;Al Wasl&gt;JSS Private School</v>
      </c>
      <c r="E11522" s="2"/>
      <c r="F11522" s="2"/>
      <c r="G11522" s="2"/>
      <c r="H11522" s="2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2"/>
      <c r="T11522" s="2"/>
      <c r="U11522" s="2"/>
      <c r="V11522" s="2"/>
      <c r="W11522" s="2"/>
      <c r="X11522" s="2"/>
      <c r="Y11522" s="2"/>
      <c r="Z11522" s="2"/>
    </row>
    <row r="11523" spans="1:26" ht="16.5" x14ac:dyDescent="0.35">
      <c r="A11523" s="2" t="str">
        <f ca="1">IFERROR(__xludf.DUMMYFUNCTION("""COMPUTED_VALUE"""),"Dubai")</f>
        <v>Dubai</v>
      </c>
      <c r="B11523" s="2" t="str">
        <f ca="1">IFERROR(__xludf.DUMMYFUNCTION("""COMPUTED_VALUE"""),"Building 15")</f>
        <v>Building 15</v>
      </c>
      <c r="C11523" s="2" t="str">
        <f ca="1">IFERROR(__xludf.DUMMYFUNCTION("""COMPUTED_VALUE"""),"Building")</f>
        <v>Building</v>
      </c>
      <c r="D11523" s="2" t="str">
        <f ca="1">IFERROR(__xludf.DUMMYFUNCTION("""COMPUTED_VALUE"""),"Dubai&gt;Al Wasl&gt;City Walk&gt;Building 15")</f>
        <v>Dubai&gt;Al Wasl&gt;City Walk&gt;Building 15</v>
      </c>
      <c r="E11523" s="2"/>
      <c r="F11523" s="2"/>
      <c r="G11523" s="2"/>
      <c r="H11523" s="2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2"/>
      <c r="T11523" s="2"/>
      <c r="U11523" s="2"/>
      <c r="V11523" s="2"/>
      <c r="W11523" s="2"/>
      <c r="X11523" s="2"/>
      <c r="Y11523" s="2"/>
      <c r="Z11523" s="2"/>
    </row>
    <row r="11524" spans="1:26" ht="16.5" x14ac:dyDescent="0.35">
      <c r="A11524" s="2" t="str">
        <f ca="1">IFERROR(__xludf.DUMMYFUNCTION("""COMPUTED_VALUE"""),"Dubai")</f>
        <v>Dubai</v>
      </c>
      <c r="B11524" s="2" t="str">
        <f ca="1">IFERROR(__xludf.DUMMYFUNCTION("""COMPUTED_VALUE"""),"Building 2B")</f>
        <v>Building 2B</v>
      </c>
      <c r="C11524" s="2" t="str">
        <f ca="1">IFERROR(__xludf.DUMMYFUNCTION("""COMPUTED_VALUE"""),"Building")</f>
        <v>Building</v>
      </c>
      <c r="D11524" s="2" t="str">
        <f ca="1">IFERROR(__xludf.DUMMYFUNCTION("""COMPUTED_VALUE"""),"Dubai&gt;Al Wasl&gt;City Walk&gt;Building 2B")</f>
        <v>Dubai&gt;Al Wasl&gt;City Walk&gt;Building 2B</v>
      </c>
      <c r="E11524" s="2"/>
      <c r="F11524" s="2"/>
      <c r="G11524" s="2"/>
      <c r="H11524" s="2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2"/>
      <c r="T11524" s="2"/>
      <c r="U11524" s="2"/>
      <c r="V11524" s="2"/>
      <c r="W11524" s="2"/>
      <c r="X11524" s="2"/>
      <c r="Y11524" s="2"/>
      <c r="Z11524" s="2"/>
    </row>
    <row r="11525" spans="1:26" ht="16.5" x14ac:dyDescent="0.35">
      <c r="A11525" s="2" t="str">
        <f ca="1">IFERROR(__xludf.DUMMYFUNCTION("""COMPUTED_VALUE"""),"Dubai")</f>
        <v>Dubai</v>
      </c>
      <c r="B11525" s="2" t="str">
        <f ca="1">IFERROR(__xludf.DUMMYFUNCTION("""COMPUTED_VALUE"""),"Canal Front Residences 2")</f>
        <v>Canal Front Residences 2</v>
      </c>
      <c r="C11525" s="2" t="str">
        <f ca="1">IFERROR(__xludf.DUMMYFUNCTION("""COMPUTED_VALUE"""),"Building")</f>
        <v>Building</v>
      </c>
      <c r="D11525" s="2" t="str">
        <f ca="1">IFERROR(__xludf.DUMMYFUNCTION("""COMPUTED_VALUE"""),"Dubai&gt;Al Wasl&gt;Canal Front Residences&gt;Canal Front Residences 2")</f>
        <v>Dubai&gt;Al Wasl&gt;Canal Front Residences&gt;Canal Front Residences 2</v>
      </c>
      <c r="E11525" s="2"/>
      <c r="F11525" s="2"/>
      <c r="G11525" s="2"/>
      <c r="H11525" s="2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2"/>
      <c r="T11525" s="2"/>
      <c r="U11525" s="2"/>
      <c r="V11525" s="2"/>
      <c r="W11525" s="2"/>
      <c r="X11525" s="2"/>
      <c r="Y11525" s="2"/>
      <c r="Z11525" s="2"/>
    </row>
    <row r="11526" spans="1:26" ht="16.5" x14ac:dyDescent="0.35">
      <c r="A11526" s="2" t="str">
        <f ca="1">IFERROR(__xludf.DUMMYFUNCTION("""COMPUTED_VALUE"""),"Dubai")</f>
        <v>Dubai</v>
      </c>
      <c r="B11526" s="2" t="str">
        <f ca="1">IFERROR(__xludf.DUMMYFUNCTION("""COMPUTED_VALUE"""),"Safa Gate")</f>
        <v>Safa Gate</v>
      </c>
      <c r="C11526" s="2" t="str">
        <f ca="1">IFERROR(__xludf.DUMMYFUNCTION("""COMPUTED_VALUE"""),"Building")</f>
        <v>Building</v>
      </c>
      <c r="D11526" s="2" t="str">
        <f ca="1">IFERROR(__xludf.DUMMYFUNCTION("""COMPUTED_VALUE"""),"Dubai&gt;Al Wasl&gt;Safa Gate")</f>
        <v>Dubai&gt;Al Wasl&gt;Safa Gate</v>
      </c>
      <c r="E11526" s="2"/>
      <c r="F11526" s="2"/>
      <c r="G11526" s="2"/>
      <c r="H11526" s="2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2"/>
      <c r="T11526" s="2"/>
      <c r="U11526" s="2"/>
      <c r="V11526" s="2"/>
      <c r="W11526" s="2"/>
      <c r="X11526" s="2"/>
      <c r="Y11526" s="2"/>
      <c r="Z11526" s="2"/>
    </row>
    <row r="11527" spans="1:26" ht="16.5" x14ac:dyDescent="0.35">
      <c r="A11527" s="2" t="str">
        <f ca="1">IFERROR(__xludf.DUMMYFUNCTION("""COMPUTED_VALUE"""),"Dubai")</f>
        <v>Dubai</v>
      </c>
      <c r="B11527" s="2" t="str">
        <f ca="1">IFERROR(__xludf.DUMMYFUNCTION("""COMPUTED_VALUE"""),"2020 Marquis")</f>
        <v>2020 Marquis</v>
      </c>
      <c r="C11527" s="2" t="str">
        <f ca="1">IFERROR(__xludf.DUMMYFUNCTION("""COMPUTED_VALUE"""),"Building")</f>
        <v>Building</v>
      </c>
      <c r="D11527" s="2" t="str">
        <f ca="1">IFERROR(__xludf.DUMMYFUNCTION("""COMPUTED_VALUE"""),"Dubai&gt;Arjan&gt;2020 Marquis")</f>
        <v>Dubai&gt;Arjan&gt;2020 Marquis</v>
      </c>
      <c r="E11527" s="2"/>
      <c r="F11527" s="2"/>
      <c r="G11527" s="2"/>
      <c r="H11527" s="2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2"/>
      <c r="T11527" s="2"/>
      <c r="U11527" s="2"/>
      <c r="V11527" s="2"/>
      <c r="W11527" s="2"/>
      <c r="X11527" s="2"/>
      <c r="Y11527" s="2"/>
      <c r="Z11527" s="2"/>
    </row>
    <row r="11528" spans="1:26" ht="16.5" x14ac:dyDescent="0.35">
      <c r="A11528" s="2" t="str">
        <f ca="1">IFERROR(__xludf.DUMMYFUNCTION("""COMPUTED_VALUE"""),"Dubai")</f>
        <v>Dubai</v>
      </c>
      <c r="B11528" s="2" t="str">
        <f ca="1">IFERROR(__xludf.DUMMYFUNCTION("""COMPUTED_VALUE"""),"Green Diamond 1 Tower B")</f>
        <v>Green Diamond 1 Tower B</v>
      </c>
      <c r="C11528" s="2" t="str">
        <f ca="1">IFERROR(__xludf.DUMMYFUNCTION("""COMPUTED_VALUE"""),"Building")</f>
        <v>Building</v>
      </c>
      <c r="D11528" s="2" t="str">
        <f ca="1">IFERROR(__xludf.DUMMYFUNCTION("""COMPUTED_VALUE"""),"Dubai&gt;Arjan&gt;Green Diamond 1&gt;Green Diamond 1 Tower B")</f>
        <v>Dubai&gt;Arjan&gt;Green Diamond 1&gt;Green Diamond 1 Tower B</v>
      </c>
      <c r="E11528" s="2"/>
      <c r="F11528" s="2"/>
      <c r="G11528" s="2"/>
      <c r="H11528" s="2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2"/>
      <c r="T11528" s="2"/>
      <c r="U11528" s="2"/>
      <c r="V11528" s="2"/>
      <c r="W11528" s="2"/>
      <c r="X11528" s="2"/>
      <c r="Y11528" s="2"/>
      <c r="Z11528" s="2"/>
    </row>
    <row r="11529" spans="1:26" ht="16.5" x14ac:dyDescent="0.35">
      <c r="A11529" s="2" t="str">
        <f ca="1">IFERROR(__xludf.DUMMYFUNCTION("""COMPUTED_VALUE"""),"Dubai")</f>
        <v>Dubai</v>
      </c>
      <c r="B11529" s="2" t="str">
        <f ca="1">IFERROR(__xludf.DUMMYFUNCTION("""COMPUTED_VALUE"""),"Divine Residences")</f>
        <v>Divine Residences</v>
      </c>
      <c r="C11529" s="2" t="str">
        <f ca="1">IFERROR(__xludf.DUMMYFUNCTION("""COMPUTED_VALUE"""),"Building")</f>
        <v>Building</v>
      </c>
      <c r="D11529" s="2" t="str">
        <f ca="1">IFERROR(__xludf.DUMMYFUNCTION("""COMPUTED_VALUE"""),"Dubai&gt;Arjan&gt;Divine Residences")</f>
        <v>Dubai&gt;Arjan&gt;Divine Residences</v>
      </c>
      <c r="E11529" s="2"/>
      <c r="F11529" s="2"/>
      <c r="G11529" s="2"/>
      <c r="H11529" s="2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2"/>
      <c r="T11529" s="2"/>
      <c r="U11529" s="2"/>
      <c r="V11529" s="2"/>
      <c r="W11529" s="2"/>
      <c r="X11529" s="2"/>
      <c r="Y11529" s="2"/>
      <c r="Z11529" s="2"/>
    </row>
    <row r="11530" spans="1:26" ht="16.5" x14ac:dyDescent="0.35">
      <c r="A11530" s="2" t="str">
        <f ca="1">IFERROR(__xludf.DUMMYFUNCTION("""COMPUTED_VALUE"""),"Dubai")</f>
        <v>Dubai</v>
      </c>
      <c r="B11530" s="2" t="str">
        <f ca="1">IFERROR(__xludf.DUMMYFUNCTION("""COMPUTED_VALUE"""),"Al Barsha South Building")</f>
        <v>Al Barsha South Building</v>
      </c>
      <c r="C11530" s="2" t="str">
        <f ca="1">IFERROR(__xludf.DUMMYFUNCTION("""COMPUTED_VALUE"""),"Building")</f>
        <v>Building</v>
      </c>
      <c r="D11530" s="2" t="str">
        <f ca="1">IFERROR(__xludf.DUMMYFUNCTION("""COMPUTED_VALUE"""),"Dubai&gt;Arjan&gt;Al Barsha South Building")</f>
        <v>Dubai&gt;Arjan&gt;Al Barsha South Building</v>
      </c>
      <c r="E11530" s="2"/>
      <c r="F11530" s="2"/>
      <c r="G11530" s="2"/>
      <c r="H11530" s="2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2"/>
      <c r="T11530" s="2"/>
      <c r="U11530" s="2"/>
      <c r="V11530" s="2"/>
      <c r="W11530" s="2"/>
      <c r="X11530" s="2"/>
      <c r="Y11530" s="2"/>
      <c r="Z11530" s="2"/>
    </row>
    <row r="11531" spans="1:26" ht="16.5" x14ac:dyDescent="0.35">
      <c r="A11531" s="2" t="str">
        <f ca="1">IFERROR(__xludf.DUMMYFUNCTION("""COMPUTED_VALUE"""),"Dubai")</f>
        <v>Dubai</v>
      </c>
      <c r="B11531" s="2" t="str">
        <f ca="1">IFERROR(__xludf.DUMMYFUNCTION("""COMPUTED_VALUE"""),"NAS 3")</f>
        <v>NAS 3</v>
      </c>
      <c r="C11531" s="2" t="str">
        <f ca="1">IFERROR(__xludf.DUMMYFUNCTION("""COMPUTED_VALUE"""),"Building")</f>
        <v>Building</v>
      </c>
      <c r="D11531" s="2" t="str">
        <f ca="1">IFERROR(__xludf.DUMMYFUNCTION("""COMPUTED_VALUE"""),"Dubai&gt;Arjan&gt;NAS 3")</f>
        <v>Dubai&gt;Arjan&gt;NAS 3</v>
      </c>
      <c r="E11531" s="2"/>
      <c r="F11531" s="2"/>
      <c r="G11531" s="2"/>
      <c r="H11531" s="2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2"/>
      <c r="T11531" s="2"/>
      <c r="U11531" s="2"/>
      <c r="V11531" s="2"/>
      <c r="W11531" s="2"/>
      <c r="X11531" s="2"/>
      <c r="Y11531" s="2"/>
      <c r="Z11531" s="2"/>
    </row>
    <row r="11532" spans="1:26" ht="16.5" x14ac:dyDescent="0.35">
      <c r="A11532" s="2" t="str">
        <f ca="1">IFERROR(__xludf.DUMMYFUNCTION("""COMPUTED_VALUE"""),"Dubai")</f>
        <v>Dubai</v>
      </c>
      <c r="B11532" s="2" t="str">
        <f ca="1">IFERROR(__xludf.DUMMYFUNCTION("""COMPUTED_VALUE"""),"Aura Central")</f>
        <v>Aura Central</v>
      </c>
      <c r="C11532" s="2" t="str">
        <f ca="1">IFERROR(__xludf.DUMMYFUNCTION("""COMPUTED_VALUE"""),"Building")</f>
        <v>Building</v>
      </c>
      <c r="D11532" s="2" t="str">
        <f ca="1">IFERROR(__xludf.DUMMYFUNCTION("""COMPUTED_VALUE"""),"Dubai&gt;Arjan&gt;Aura Central")</f>
        <v>Dubai&gt;Arjan&gt;Aura Central</v>
      </c>
      <c r="E11532" s="2"/>
      <c r="F11532" s="2"/>
      <c r="G11532" s="2"/>
      <c r="H11532" s="2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2"/>
      <c r="T11532" s="2"/>
      <c r="U11532" s="2"/>
      <c r="V11532" s="2"/>
      <c r="W11532" s="2"/>
      <c r="X11532" s="2"/>
      <c r="Y11532" s="2"/>
      <c r="Z11532" s="2"/>
    </row>
    <row r="11533" spans="1:26" ht="16.5" x14ac:dyDescent="0.35">
      <c r="A11533" s="2" t="str">
        <f ca="1">IFERROR(__xludf.DUMMYFUNCTION("""COMPUTED_VALUE"""),"Dubai")</f>
        <v>Dubai</v>
      </c>
      <c r="B11533" s="2" t="str">
        <f ca="1">IFERROR(__xludf.DUMMYFUNCTION("""COMPUTED_VALUE"""),"Le Petit Poucet Dubai")</f>
        <v>Le Petit Poucet Dubai</v>
      </c>
      <c r="C11533" s="2" t="str">
        <f ca="1">IFERROR(__xludf.DUMMYFUNCTION("""COMPUTED_VALUE"""),"Nursery")</f>
        <v>Nursery</v>
      </c>
      <c r="D11533" s="2" t="str">
        <f ca="1">IFERROR(__xludf.DUMMYFUNCTION("""COMPUTED_VALUE"""),"Dubai&gt;Al Safa&gt;Al Safa 1&gt;Le Petit Poucet Dubai")</f>
        <v>Dubai&gt;Al Safa&gt;Al Safa 1&gt;Le Petit Poucet Dubai</v>
      </c>
      <c r="E11533" s="2"/>
      <c r="F11533" s="2"/>
      <c r="G11533" s="2"/>
      <c r="H11533" s="2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2"/>
      <c r="T11533" s="2"/>
      <c r="U11533" s="2"/>
      <c r="V11533" s="2"/>
      <c r="W11533" s="2"/>
      <c r="X11533" s="2"/>
      <c r="Y11533" s="2"/>
      <c r="Z11533" s="2"/>
    </row>
    <row r="11534" spans="1:26" ht="16.5" x14ac:dyDescent="0.35">
      <c r="A11534" s="2" t="str">
        <f ca="1">IFERROR(__xludf.DUMMYFUNCTION("""COMPUTED_VALUE"""),"Dubai")</f>
        <v>Dubai</v>
      </c>
      <c r="B11534" s="2" t="str">
        <f ca="1">IFERROR(__xludf.DUMMYFUNCTION("""COMPUTED_VALUE"""),"VISA CEMEA HQ")</f>
        <v>VISA CEMEA HQ</v>
      </c>
      <c r="C11534" s="2" t="str">
        <f ca="1">IFERROR(__xludf.DUMMYFUNCTION("""COMPUTED_VALUE"""),"Building")</f>
        <v>Building</v>
      </c>
      <c r="D11534" s="2" t="str">
        <f ca="1">IFERROR(__xludf.DUMMYFUNCTION("""COMPUTED_VALUE"""),"Dubai&gt;Dubai Media City&gt;VISA CEMEA HQ")</f>
        <v>Dubai&gt;Dubai Media City&gt;VISA CEMEA HQ</v>
      </c>
      <c r="E11534" s="2"/>
      <c r="F11534" s="2"/>
      <c r="G11534" s="2"/>
      <c r="H11534" s="2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2"/>
      <c r="T11534" s="2"/>
      <c r="U11534" s="2"/>
      <c r="V11534" s="2"/>
      <c r="W11534" s="2"/>
      <c r="X11534" s="2"/>
      <c r="Y11534" s="2"/>
      <c r="Z11534" s="2"/>
    </row>
    <row r="11535" spans="1:26" ht="16.5" x14ac:dyDescent="0.35">
      <c r="A11535" s="2" t="str">
        <f ca="1">IFERROR(__xludf.DUMMYFUNCTION("""COMPUTED_VALUE"""),"Abu Dhabi")</f>
        <v>Abu Dhabi</v>
      </c>
      <c r="B11535" s="2" t="str">
        <f ca="1">IFERROR(__xludf.DUMMYFUNCTION("""COMPUTED_VALUE"""),"Y Tower")</f>
        <v>Y Tower</v>
      </c>
      <c r="C11535" s="2" t="str">
        <f ca="1">IFERROR(__xludf.DUMMYFUNCTION("""COMPUTED_VALUE"""),"Building")</f>
        <v>Building</v>
      </c>
      <c r="D11535" s="2" t="str">
        <f ca="1">IFERROR(__xludf.DUMMYFUNCTION("""COMPUTED_VALUE"""),"Abu Dhabi&gt;Al Nahyan&gt;Y Tower")</f>
        <v>Abu Dhabi&gt;Al Nahyan&gt;Y Tower</v>
      </c>
      <c r="E11535" s="2"/>
      <c r="F11535" s="2"/>
      <c r="G11535" s="2"/>
      <c r="H11535" s="2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2"/>
      <c r="T11535" s="2"/>
      <c r="U11535" s="2"/>
      <c r="V11535" s="2"/>
      <c r="W11535" s="2"/>
      <c r="X11535" s="2"/>
      <c r="Y11535" s="2"/>
      <c r="Z11535" s="2"/>
    </row>
    <row r="11536" spans="1:26" ht="16.5" x14ac:dyDescent="0.35">
      <c r="A11536" s="2" t="str">
        <f ca="1">IFERROR(__xludf.DUMMYFUNCTION("""COMPUTED_VALUE"""),"Abu Dhabi")</f>
        <v>Abu Dhabi</v>
      </c>
      <c r="B11536" s="2" t="str">
        <f ca="1">IFERROR(__xludf.DUMMYFUNCTION("""COMPUTED_VALUE"""),"Al Bateen Gardens Business Center")</f>
        <v>Al Bateen Gardens Business Center</v>
      </c>
      <c r="C11536" s="2" t="str">
        <f ca="1">IFERROR(__xludf.DUMMYFUNCTION("""COMPUTED_VALUE"""),"Building")</f>
        <v>Building</v>
      </c>
      <c r="D11536" s="2" t="str">
        <f ca="1">IFERROR(__xludf.DUMMYFUNCTION("""COMPUTED_VALUE"""),"Abu Dhabi&gt;Al Bateen&gt;Al Bateen Gardens Business Center")</f>
        <v>Abu Dhabi&gt;Al Bateen&gt;Al Bateen Gardens Business Center</v>
      </c>
      <c r="E11536" s="2"/>
      <c r="F11536" s="2"/>
      <c r="G11536" s="2"/>
      <c r="H11536" s="2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2"/>
      <c r="T11536" s="2"/>
      <c r="U11536" s="2"/>
      <c r="V11536" s="2"/>
      <c r="W11536" s="2"/>
      <c r="X11536" s="2"/>
      <c r="Y11536" s="2"/>
      <c r="Z11536" s="2"/>
    </row>
    <row r="11537" spans="1:26" ht="16.5" x14ac:dyDescent="0.35">
      <c r="A11537" s="2" t="str">
        <f ca="1">IFERROR(__xludf.DUMMYFUNCTION("""COMPUTED_VALUE"""),"Abu Dhabi")</f>
        <v>Abu Dhabi</v>
      </c>
      <c r="B11537" s="2" t="str">
        <f ca="1">IFERROR(__xludf.DUMMYFUNCTION("""COMPUTED_VALUE"""),"Al Firdous Street")</f>
        <v>Al Firdous Street</v>
      </c>
      <c r="C11537" s="2"/>
      <c r="D11537" s="2" t="str">
        <f ca="1">IFERROR(__xludf.DUMMYFUNCTION("""COMPUTED_VALUE"""),"Abu Dhabi&gt;Tourist Club Area (TCA)&gt;Al Firdous Street")</f>
        <v>Abu Dhabi&gt;Tourist Club Area (TCA)&gt;Al Firdous Street</v>
      </c>
      <c r="E11537" s="2"/>
      <c r="F11537" s="2"/>
      <c r="G11537" s="2"/>
      <c r="H11537" s="2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2"/>
      <c r="T11537" s="2"/>
      <c r="U11537" s="2"/>
      <c r="V11537" s="2"/>
      <c r="W11537" s="2"/>
      <c r="X11537" s="2"/>
      <c r="Y11537" s="2"/>
      <c r="Z11537" s="2"/>
    </row>
    <row r="11538" spans="1:26" ht="16.5" x14ac:dyDescent="0.35">
      <c r="A11538" s="2" t="str">
        <f ca="1">IFERROR(__xludf.DUMMYFUNCTION("""COMPUTED_VALUE"""),"Abu Dhabi")</f>
        <v>Abu Dhabi</v>
      </c>
      <c r="B11538" s="2" t="str">
        <f ca="1">IFERROR(__xludf.DUMMYFUNCTION("""COMPUTED_VALUE"""),"Al Salama Building")</f>
        <v>Al Salama Building</v>
      </c>
      <c r="C11538" s="2" t="str">
        <f ca="1">IFERROR(__xludf.DUMMYFUNCTION("""COMPUTED_VALUE"""),"Building")</f>
        <v>Building</v>
      </c>
      <c r="D11538" s="2" t="str">
        <f ca="1">IFERROR(__xludf.DUMMYFUNCTION("""COMPUTED_VALUE"""),"Abu Dhabi&gt;Al Zahiyah&gt;Al Salama Building")</f>
        <v>Abu Dhabi&gt;Al Zahiyah&gt;Al Salama Building</v>
      </c>
      <c r="E11538" s="2"/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  <c r="V11538" s="2"/>
      <c r="W11538" s="2"/>
      <c r="X11538" s="2"/>
      <c r="Y11538" s="2"/>
      <c r="Z11538" s="2"/>
    </row>
    <row r="11539" spans="1:26" ht="16.5" x14ac:dyDescent="0.35">
      <c r="A11539" s="2" t="str">
        <f ca="1">IFERROR(__xludf.DUMMYFUNCTION("""COMPUTED_VALUE"""),"Abu Dhabi")</f>
        <v>Abu Dhabi</v>
      </c>
      <c r="B11539" s="2" t="str">
        <f ca="1">IFERROR(__xludf.DUMMYFUNCTION("""COMPUTED_VALUE"""),"Mushrif Park")</f>
        <v>Mushrif Park</v>
      </c>
      <c r="C11539" s="2" t="str">
        <f ca="1">IFERROR(__xludf.DUMMYFUNCTION("""COMPUTED_VALUE"""),"Neighbourhood")</f>
        <v>Neighbourhood</v>
      </c>
      <c r="D11539" s="2" t="str">
        <f ca="1">IFERROR(__xludf.DUMMYFUNCTION("""COMPUTED_VALUE"""),"Abu Dhabi&gt;Al Mushrif&gt;Mushrif Park")</f>
        <v>Abu Dhabi&gt;Al Mushrif&gt;Mushrif Park</v>
      </c>
      <c r="E11539" s="2"/>
      <c r="F11539" s="2"/>
      <c r="G11539" s="2"/>
      <c r="H11539" s="2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2"/>
      <c r="T11539" s="2"/>
      <c r="U11539" s="2"/>
      <c r="V11539" s="2"/>
      <c r="W11539" s="2"/>
      <c r="X11539" s="2"/>
      <c r="Y11539" s="2"/>
      <c r="Z11539" s="2"/>
    </row>
    <row r="11540" spans="1:26" ht="16.5" x14ac:dyDescent="0.35">
      <c r="A11540" s="2" t="str">
        <f ca="1">IFERROR(__xludf.DUMMYFUNCTION("""COMPUTED_VALUE"""),"Abu Dhabi")</f>
        <v>Abu Dhabi</v>
      </c>
      <c r="B11540" s="2" t="str">
        <f ca="1">IFERROR(__xludf.DUMMYFUNCTION("""COMPUTED_VALUE"""),"Corniche Area")</f>
        <v>Corniche Area</v>
      </c>
      <c r="C11540" s="2" t="str">
        <f ca="1">IFERROR(__xludf.DUMMYFUNCTION("""COMPUTED_VALUE"""),"Neighbourhood")</f>
        <v>Neighbourhood</v>
      </c>
      <c r="D11540" s="2" t="str">
        <f ca="1">IFERROR(__xludf.DUMMYFUNCTION("""COMPUTED_VALUE"""),"Abu Dhabi&gt;Corniche Area")</f>
        <v>Abu Dhabi&gt;Corniche Area</v>
      </c>
      <c r="E11540" s="2"/>
      <c r="F11540" s="2"/>
      <c r="G11540" s="2"/>
      <c r="H11540" s="2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2"/>
      <c r="T11540" s="2"/>
      <c r="U11540" s="2"/>
      <c r="V11540" s="2"/>
      <c r="W11540" s="2"/>
      <c r="X11540" s="2"/>
      <c r="Y11540" s="2"/>
      <c r="Z11540" s="2"/>
    </row>
    <row r="11541" spans="1:26" ht="16.5" x14ac:dyDescent="0.35">
      <c r="A11541" s="2" t="str">
        <f ca="1">IFERROR(__xludf.DUMMYFUNCTION("""COMPUTED_VALUE"""),"Abu Dhabi")</f>
        <v>Abu Dhabi</v>
      </c>
      <c r="B11541" s="2" t="str">
        <f ca="1">IFERROR(__xludf.DUMMYFUNCTION("""COMPUTED_VALUE"""),"Future Leaders International Private School")</f>
        <v>Future Leaders International Private School</v>
      </c>
      <c r="C11541" s="2" t="str">
        <f ca="1">IFERROR(__xludf.DUMMYFUNCTION("""COMPUTED_VALUE"""),"School")</f>
        <v>School</v>
      </c>
      <c r="D11541" s="2" t="str">
        <f ca="1">IFERROR(__xludf.DUMMYFUNCTION("""COMPUTED_VALUE"""),"Abu Dhabi&gt;Baniyas&gt;Future Leaders International Private School")</f>
        <v>Abu Dhabi&gt;Baniyas&gt;Future Leaders International Private School</v>
      </c>
      <c r="E11541" s="2"/>
      <c r="F11541" s="2"/>
      <c r="G11541" s="2"/>
      <c r="H11541" s="2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2"/>
      <c r="T11541" s="2"/>
      <c r="U11541" s="2"/>
      <c r="V11541" s="2"/>
      <c r="W11541" s="2"/>
      <c r="X11541" s="2"/>
      <c r="Y11541" s="2"/>
      <c r="Z11541" s="2"/>
    </row>
    <row r="11542" spans="1:26" ht="16.5" x14ac:dyDescent="0.35">
      <c r="A11542" s="2" t="str">
        <f ca="1">IFERROR(__xludf.DUMMYFUNCTION("""COMPUTED_VALUE"""),"Abu Dhabi")</f>
        <v>Abu Dhabi</v>
      </c>
      <c r="B11542" s="2" t="str">
        <f ca="1">IFERROR(__xludf.DUMMYFUNCTION("""COMPUTED_VALUE"""),"Ville 12")</f>
        <v>Ville 12</v>
      </c>
      <c r="C11542" s="2" t="str">
        <f ca="1">IFERROR(__xludf.DUMMYFUNCTION("""COMPUTED_VALUE"""),"Cluster")</f>
        <v>Cluster</v>
      </c>
      <c r="D11542" s="2" t="str">
        <f ca="1">IFERROR(__xludf.DUMMYFUNCTION("""COMPUTED_VALUE"""),"Abu Dhabi&gt;Masdar City&gt;Ville 12")</f>
        <v>Abu Dhabi&gt;Masdar City&gt;Ville 12</v>
      </c>
      <c r="E11542" s="2"/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  <c r="V11542" s="2"/>
      <c r="W11542" s="2"/>
      <c r="X11542" s="2"/>
      <c r="Y11542" s="2"/>
      <c r="Z11542" s="2"/>
    </row>
    <row r="11543" spans="1:26" ht="16.5" x14ac:dyDescent="0.35">
      <c r="A11543" s="2" t="str">
        <f ca="1">IFERROR(__xludf.DUMMYFUNCTION("""COMPUTED_VALUE"""),"Abu Dhabi")</f>
        <v>Abu Dhabi</v>
      </c>
      <c r="B11543" s="2" t="str">
        <f ca="1">IFERROR(__xludf.DUMMYFUNCTION("""COMPUTED_VALUE"""),"C106")</f>
        <v>C106</v>
      </c>
      <c r="C11543" s="2" t="str">
        <f ca="1">IFERROR(__xludf.DUMMYFUNCTION("""COMPUTED_VALUE"""),"Building")</f>
        <v>Building</v>
      </c>
      <c r="D11543" s="2" t="str">
        <f ca="1">IFERROR(__xludf.DUMMYFUNCTION("""COMPUTED_VALUE"""),"Abu Dhabi&gt;Al Danah&gt;C106")</f>
        <v>Abu Dhabi&gt;Al Danah&gt;C106</v>
      </c>
      <c r="E11543" s="2"/>
      <c r="F11543" s="2"/>
      <c r="G11543" s="2"/>
      <c r="H11543" s="2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2"/>
      <c r="T11543" s="2"/>
      <c r="U11543" s="2"/>
      <c r="V11543" s="2"/>
      <c r="W11543" s="2"/>
      <c r="X11543" s="2"/>
      <c r="Y11543" s="2"/>
      <c r="Z11543" s="2"/>
    </row>
    <row r="11544" spans="1:26" ht="16.5" x14ac:dyDescent="0.35">
      <c r="A11544" s="2" t="str">
        <f ca="1">IFERROR(__xludf.DUMMYFUNCTION("""COMPUTED_VALUE"""),"Abu Dhabi")</f>
        <v>Abu Dhabi</v>
      </c>
      <c r="B11544" s="2" t="str">
        <f ca="1">IFERROR(__xludf.DUMMYFUNCTION("""COMPUTED_VALUE"""),"Al Tibbiya")</f>
        <v>Al Tibbiya</v>
      </c>
      <c r="C11544" s="2" t="str">
        <f ca="1">IFERROR(__xludf.DUMMYFUNCTION("""COMPUTED_VALUE"""),"Neighbourhood")</f>
        <v>Neighbourhood</v>
      </c>
      <c r="D11544" s="2" t="str">
        <f ca="1">IFERROR(__xludf.DUMMYFUNCTION("""COMPUTED_VALUE"""),"Abu Dhabi&gt;Al Tibbiya")</f>
        <v>Abu Dhabi&gt;Al Tibbiya</v>
      </c>
      <c r="E11544" s="2"/>
      <c r="F11544" s="2"/>
      <c r="G11544" s="2"/>
      <c r="H11544" s="2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2"/>
      <c r="T11544" s="2"/>
      <c r="U11544" s="2"/>
      <c r="V11544" s="2"/>
      <c r="W11544" s="2"/>
      <c r="X11544" s="2"/>
      <c r="Y11544" s="2"/>
      <c r="Z11544" s="2"/>
    </row>
    <row r="11545" spans="1:26" ht="16.5" x14ac:dyDescent="0.35">
      <c r="A11545" s="2" t="str">
        <f ca="1">IFERROR(__xludf.DUMMYFUNCTION("""COMPUTED_VALUE"""),"Abu Dhabi")</f>
        <v>Abu Dhabi</v>
      </c>
      <c r="B11545" s="2" t="str">
        <f ca="1">IFERROR(__xludf.DUMMYFUNCTION("""COMPUTED_VALUE"""),"Sharjah American International School, Abu Dhabi")</f>
        <v>Sharjah American International School, Abu Dhabi</v>
      </c>
      <c r="C11545" s="2" t="str">
        <f ca="1">IFERROR(__xludf.DUMMYFUNCTION("""COMPUTED_VALUE"""),"School")</f>
        <v>School</v>
      </c>
      <c r="D11545" s="2" t="str">
        <f ca="1">IFERROR(__xludf.DUMMYFUNCTION("""COMPUTED_VALUE"""),"Abu Dhabi&gt;Shakhbout City&gt;Sharjah American International School, Abu Dhabi")</f>
        <v>Abu Dhabi&gt;Shakhbout City&gt;Sharjah American International School, Abu Dhabi</v>
      </c>
      <c r="E11545" s="2"/>
      <c r="F11545" s="2"/>
      <c r="G11545" s="2"/>
      <c r="H11545" s="2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2"/>
      <c r="T11545" s="2"/>
      <c r="U11545" s="2"/>
      <c r="V11545" s="2"/>
      <c r="W11545" s="2"/>
      <c r="X11545" s="2"/>
      <c r="Y11545" s="2"/>
      <c r="Z11545" s="2"/>
    </row>
    <row r="11546" spans="1:26" ht="16.5" x14ac:dyDescent="0.35">
      <c r="A11546" s="2" t="str">
        <f ca="1">IFERROR(__xludf.DUMMYFUNCTION("""COMPUTED_VALUE"""),"Abu Dhabi")</f>
        <v>Abu Dhabi</v>
      </c>
      <c r="B11546" s="2" t="str">
        <f ca="1">IFERROR(__xludf.DUMMYFUNCTION("""COMPUTED_VALUE"""),"MSH29")</f>
        <v>MSH29</v>
      </c>
      <c r="C11546" s="2" t="str">
        <f ca="1">IFERROR(__xludf.DUMMYFUNCTION("""COMPUTED_VALUE"""),"Neighbourhood")</f>
        <v>Neighbourhood</v>
      </c>
      <c r="D11546" s="2" t="str">
        <f ca="1">IFERROR(__xludf.DUMMYFUNCTION("""COMPUTED_VALUE"""),"Abu Dhabi&gt;Shakhbout City&gt;MSH29")</f>
        <v>Abu Dhabi&gt;Shakhbout City&gt;MSH29</v>
      </c>
      <c r="E11546" s="2"/>
      <c r="F11546" s="2"/>
      <c r="G11546" s="2"/>
      <c r="H11546" s="2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2"/>
      <c r="T11546" s="2"/>
      <c r="U11546" s="2"/>
      <c r="V11546" s="2"/>
      <c r="W11546" s="2"/>
      <c r="X11546" s="2"/>
      <c r="Y11546" s="2"/>
      <c r="Z11546" s="2"/>
    </row>
    <row r="11547" spans="1:26" ht="16.5" x14ac:dyDescent="0.35">
      <c r="A11547" s="2" t="str">
        <f ca="1">IFERROR(__xludf.DUMMYFUNCTION("""COMPUTED_VALUE"""),"Abu Dhabi")</f>
        <v>Abu Dhabi</v>
      </c>
      <c r="B11547" s="2" t="str">
        <f ca="1">IFERROR(__xludf.DUMMYFUNCTION("""COMPUTED_VALUE"""),"Abu Dhabi Indian School")</f>
        <v>Abu Dhabi Indian School</v>
      </c>
      <c r="C11547" s="2" t="str">
        <f ca="1">IFERROR(__xludf.DUMMYFUNCTION("""COMPUTED_VALUE"""),"School")</f>
        <v>School</v>
      </c>
      <c r="D11547" s="2" t="str">
        <f ca="1">IFERROR(__xludf.DUMMYFUNCTION("""COMPUTED_VALUE"""),"Abu Dhabi&gt;Hadbat Al Zaafran&gt;Abu Dhabi Indian School")</f>
        <v>Abu Dhabi&gt;Hadbat Al Zaafran&gt;Abu Dhabi Indian School</v>
      </c>
      <c r="E11547" s="2"/>
      <c r="F11547" s="2"/>
      <c r="G11547" s="2"/>
      <c r="H11547" s="2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2"/>
      <c r="T11547" s="2"/>
      <c r="U11547" s="2"/>
      <c r="V11547" s="2"/>
      <c r="W11547" s="2"/>
      <c r="X11547" s="2"/>
      <c r="Y11547" s="2"/>
      <c r="Z11547" s="2"/>
    </row>
    <row r="11548" spans="1:26" ht="16.5" x14ac:dyDescent="0.35">
      <c r="A11548" s="2" t="str">
        <f ca="1">IFERROR(__xludf.DUMMYFUNCTION("""COMPUTED_VALUE"""),"Abu Dhabi")</f>
        <v>Abu Dhabi</v>
      </c>
      <c r="B11548" s="2" t="str">
        <f ca="1">IFERROR(__xludf.DUMMYFUNCTION("""COMPUTED_VALUE"""),"Al Ruwais Industrial City")</f>
        <v>Al Ruwais Industrial City</v>
      </c>
      <c r="C11548" s="2" t="str">
        <f ca="1">IFERROR(__xludf.DUMMYFUNCTION("""COMPUTED_VALUE"""),"Neighbourhood")</f>
        <v>Neighbourhood</v>
      </c>
      <c r="D11548" s="2" t="str">
        <f ca="1">IFERROR(__xludf.DUMMYFUNCTION("""COMPUTED_VALUE"""),"Abu Dhabi&gt;Al Ruwais Industrial City")</f>
        <v>Abu Dhabi&gt;Al Ruwais Industrial City</v>
      </c>
      <c r="E11548" s="2"/>
      <c r="F11548" s="2"/>
      <c r="G11548" s="2"/>
      <c r="H11548" s="2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2"/>
      <c r="T11548" s="2"/>
      <c r="U11548" s="2"/>
      <c r="V11548" s="2"/>
      <c r="W11548" s="2"/>
      <c r="X11548" s="2"/>
      <c r="Y11548" s="2"/>
      <c r="Z11548" s="2"/>
    </row>
    <row r="11549" spans="1:26" ht="16.5" x14ac:dyDescent="0.35">
      <c r="A11549" s="2" t="str">
        <f ca="1">IFERROR(__xludf.DUMMYFUNCTION("""COMPUTED_VALUE"""),"Abu Dhabi")</f>
        <v>Abu Dhabi</v>
      </c>
      <c r="B11549" s="2" t="str">
        <f ca="1">IFERROR(__xludf.DUMMYFUNCTION("""COMPUTED_VALUE"""),"Granada")</f>
        <v>Granada</v>
      </c>
      <c r="C11549" s="2" t="str">
        <f ca="1">IFERROR(__xludf.DUMMYFUNCTION("""COMPUTED_VALUE"""),"Neighbourhood")</f>
        <v>Neighbourhood</v>
      </c>
      <c r="D11549" s="2" t="str">
        <f ca="1">IFERROR(__xludf.DUMMYFUNCTION("""COMPUTED_VALUE"""),"Abu Dhabi&gt;Zayed City&gt;Bloom Living&gt;Granada")</f>
        <v>Abu Dhabi&gt;Zayed City&gt;Bloom Living&gt;Granada</v>
      </c>
      <c r="E11549" s="2"/>
      <c r="F11549" s="2"/>
      <c r="G11549" s="2"/>
      <c r="H11549" s="2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2"/>
      <c r="T11549" s="2"/>
      <c r="U11549" s="2"/>
      <c r="V11549" s="2"/>
      <c r="W11549" s="2"/>
      <c r="X11549" s="2"/>
      <c r="Y11549" s="2"/>
      <c r="Z11549" s="2"/>
    </row>
    <row r="11550" spans="1:26" ht="16.5" x14ac:dyDescent="0.35">
      <c r="A11550" s="2" t="str">
        <f ca="1">IFERROR(__xludf.DUMMYFUNCTION("""COMPUTED_VALUE"""),"Abu Dhabi")</f>
        <v>Abu Dhabi</v>
      </c>
      <c r="B11550" s="2" t="str">
        <f ca="1">IFERROR(__xludf.DUMMYFUNCTION("""COMPUTED_VALUE"""),"Sama Tower")</f>
        <v>Sama Tower</v>
      </c>
      <c r="C11550" s="2" t="str">
        <f ca="1">IFERROR(__xludf.DUMMYFUNCTION("""COMPUTED_VALUE"""),"Building")</f>
        <v>Building</v>
      </c>
      <c r="D11550" s="2" t="str">
        <f ca="1">IFERROR(__xludf.DUMMYFUNCTION("""COMPUTED_VALUE"""),"Abu Dhabi&gt;Electra Street&gt;Sama Tower")</f>
        <v>Abu Dhabi&gt;Electra Street&gt;Sama Tower</v>
      </c>
      <c r="E11550" s="2"/>
      <c r="F11550" s="2"/>
      <c r="G11550" s="2"/>
      <c r="H11550" s="2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2"/>
      <c r="T11550" s="2"/>
      <c r="U11550" s="2"/>
      <c r="V11550" s="2"/>
      <c r="W11550" s="2"/>
      <c r="X11550" s="2"/>
      <c r="Y11550" s="2"/>
      <c r="Z11550" s="2"/>
    </row>
    <row r="11551" spans="1:26" ht="16.5" x14ac:dyDescent="0.35">
      <c r="A11551" s="2" t="str">
        <f ca="1">IFERROR(__xludf.DUMMYFUNCTION("""COMPUTED_VALUE"""),"Abu Dhabi")</f>
        <v>Abu Dhabi</v>
      </c>
      <c r="B11551" s="2" t="str">
        <f ca="1">IFERROR(__xludf.DUMMYFUNCTION("""COMPUTED_VALUE"""),"Liwa Street")</f>
        <v>Liwa Street</v>
      </c>
      <c r="C11551" s="2" t="str">
        <f ca="1">IFERROR(__xludf.DUMMYFUNCTION("""COMPUTED_VALUE"""),"Neighbourhood")</f>
        <v>Neighbourhood</v>
      </c>
      <c r="D11551" s="2" t="str">
        <f ca="1">IFERROR(__xludf.DUMMYFUNCTION("""COMPUTED_VALUE"""),"Abu Dhabi&gt;Liwa Street")</f>
        <v>Abu Dhabi&gt;Liwa Street</v>
      </c>
      <c r="E11551" s="2"/>
      <c r="F11551" s="2"/>
      <c r="G11551" s="2"/>
      <c r="H11551" s="2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2"/>
      <c r="T11551" s="2"/>
      <c r="U11551" s="2"/>
      <c r="V11551" s="2"/>
      <c r="W11551" s="2"/>
      <c r="X11551" s="2"/>
      <c r="Y11551" s="2"/>
      <c r="Z11551" s="2"/>
    </row>
    <row r="11552" spans="1:26" ht="16.5" x14ac:dyDescent="0.35">
      <c r="A11552" s="2" t="str">
        <f ca="1">IFERROR(__xludf.DUMMYFUNCTION("""COMPUTED_VALUE"""),"Abu Dhabi")</f>
        <v>Abu Dhabi</v>
      </c>
      <c r="B11552" s="2" t="str">
        <f ca="1">IFERROR(__xludf.DUMMYFUNCTION("""COMPUTED_VALUE"""),"Pearl Bay")</f>
        <v>Pearl Bay</v>
      </c>
      <c r="C11552" s="2" t="str">
        <f ca="1">IFERROR(__xludf.DUMMYFUNCTION("""COMPUTED_VALUE"""),"Building")</f>
        <v>Building</v>
      </c>
      <c r="D11552" s="2" t="str">
        <f ca="1">IFERROR(__xludf.DUMMYFUNCTION("""COMPUTED_VALUE"""),"Abu Dhabi&gt;Al Reem Island&gt;Najmat Abu Dhabi&gt;Pearl Bay")</f>
        <v>Abu Dhabi&gt;Al Reem Island&gt;Najmat Abu Dhabi&gt;Pearl Bay</v>
      </c>
      <c r="E11552" s="2"/>
      <c r="F11552" s="2"/>
      <c r="G11552" s="2"/>
      <c r="H11552" s="2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2"/>
      <c r="T11552" s="2"/>
      <c r="U11552" s="2"/>
      <c r="V11552" s="2"/>
      <c r="W11552" s="2"/>
      <c r="X11552" s="2"/>
      <c r="Y11552" s="2"/>
      <c r="Z11552" s="2"/>
    </row>
    <row r="11553" spans="1:26" ht="16.5" x14ac:dyDescent="0.35">
      <c r="A11553" s="2" t="str">
        <f ca="1">IFERROR(__xludf.DUMMYFUNCTION("""COMPUTED_VALUE"""),"Abu Dhabi")</f>
        <v>Abu Dhabi</v>
      </c>
      <c r="B11553" s="2" t="str">
        <f ca="1">IFERROR(__xludf.DUMMYFUNCTION("""COMPUTED_VALUE"""),"Bay View Tower")</f>
        <v>Bay View Tower</v>
      </c>
      <c r="C11553" s="2" t="str">
        <f ca="1">IFERROR(__xludf.DUMMYFUNCTION("""COMPUTED_VALUE"""),"Building")</f>
        <v>Building</v>
      </c>
      <c r="D11553" s="2" t="str">
        <f ca="1">IFERROR(__xludf.DUMMYFUNCTION("""COMPUTED_VALUE"""),"Abu Dhabi&gt;Al Reem Island&gt;Marina Square&gt;Bay View Tower")</f>
        <v>Abu Dhabi&gt;Al Reem Island&gt;Marina Square&gt;Bay View Tower</v>
      </c>
      <c r="E11553" s="2"/>
      <c r="F11553" s="2"/>
      <c r="G11553" s="2"/>
      <c r="H11553" s="2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2"/>
      <c r="T11553" s="2"/>
      <c r="U11553" s="2"/>
      <c r="V11553" s="2"/>
      <c r="W11553" s="2"/>
      <c r="X11553" s="2"/>
      <c r="Y11553" s="2"/>
      <c r="Z11553" s="2"/>
    </row>
    <row r="11554" spans="1:26" ht="16.5" x14ac:dyDescent="0.35">
      <c r="A11554" s="2" t="str">
        <f ca="1">IFERROR(__xludf.DUMMYFUNCTION("""COMPUTED_VALUE"""),"Abu Dhabi")</f>
        <v>Abu Dhabi</v>
      </c>
      <c r="B11554" s="2" t="str">
        <f ca="1">IFERROR(__xludf.DUMMYFUNCTION("""COMPUTED_VALUE"""),"The Gate Tower 1")</f>
        <v>The Gate Tower 1</v>
      </c>
      <c r="C11554" s="2" t="str">
        <f ca="1">IFERROR(__xludf.DUMMYFUNCTION("""COMPUTED_VALUE"""),"Building")</f>
        <v>Building</v>
      </c>
      <c r="D11554" s="2" t="str">
        <f ca="1">IFERROR(__xludf.DUMMYFUNCTION("""COMPUTED_VALUE"""),"Abu Dhabi&gt;Al Reem Island&gt;Shams Abu Dhabi&gt;Shams Gate District&gt;The Gate Tower&gt;The Gate Tower 1")</f>
        <v>Abu Dhabi&gt;Al Reem Island&gt;Shams Abu Dhabi&gt;Shams Gate District&gt;The Gate Tower&gt;The Gate Tower 1</v>
      </c>
      <c r="E11554" s="2"/>
      <c r="F11554" s="2"/>
      <c r="G11554" s="2"/>
      <c r="H11554" s="2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2"/>
      <c r="T11554" s="2"/>
      <c r="U11554" s="2"/>
      <c r="V11554" s="2"/>
      <c r="W11554" s="2"/>
      <c r="X11554" s="2"/>
      <c r="Y11554" s="2"/>
      <c r="Z11554" s="2"/>
    </row>
    <row r="11555" spans="1:26" ht="16.5" x14ac:dyDescent="0.35">
      <c r="A11555" s="2" t="str">
        <f ca="1">IFERROR(__xludf.DUMMYFUNCTION("""COMPUTED_VALUE"""),"Abu Dhabi")</f>
        <v>Abu Dhabi</v>
      </c>
      <c r="B11555" s="2" t="str">
        <f ca="1">IFERROR(__xludf.DUMMYFUNCTION("""COMPUTED_VALUE"""),"SAAS Heights")</f>
        <v>SAAS Heights</v>
      </c>
      <c r="C11555" s="2" t="str">
        <f ca="1">IFERROR(__xludf.DUMMYFUNCTION("""COMPUTED_VALUE"""),"Building")</f>
        <v>Building</v>
      </c>
      <c r="D11555" s="2" t="str">
        <f ca="1">IFERROR(__xludf.DUMMYFUNCTION("""COMPUTED_VALUE"""),"Abu Dhabi&gt;Al Reem Island&gt;Shams Abu Dhabi&gt;SAAS Heights")</f>
        <v>Abu Dhabi&gt;Al Reem Island&gt;Shams Abu Dhabi&gt;SAAS Heights</v>
      </c>
      <c r="E11555" s="2"/>
      <c r="F11555" s="2"/>
      <c r="G11555" s="2"/>
      <c r="H11555" s="2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2"/>
      <c r="T11555" s="2"/>
      <c r="U11555" s="2"/>
      <c r="V11555" s="2"/>
      <c r="W11555" s="2"/>
      <c r="X11555" s="2"/>
      <c r="Y11555" s="2"/>
      <c r="Z11555" s="2"/>
    </row>
    <row r="11556" spans="1:26" ht="16.5" x14ac:dyDescent="0.35">
      <c r="A11556" s="2" t="str">
        <f ca="1">IFERROR(__xludf.DUMMYFUNCTION("""COMPUTED_VALUE"""),"Abu Dhabi")</f>
        <v>Abu Dhabi</v>
      </c>
      <c r="B11556" s="2" t="str">
        <f ca="1">IFERROR(__xludf.DUMMYFUNCTION("""COMPUTED_VALUE"""),"Amaya Towers")</f>
        <v>Amaya Towers</v>
      </c>
      <c r="C11556" s="2" t="str">
        <f ca="1">IFERROR(__xludf.DUMMYFUNCTION("""COMPUTED_VALUE"""),"Building")</f>
        <v>Building</v>
      </c>
      <c r="D11556" s="2" t="str">
        <f ca="1">IFERROR(__xludf.DUMMYFUNCTION("""COMPUTED_VALUE"""),"Abu Dhabi&gt;Al Reem Island&gt;Amaya Towers")</f>
        <v>Abu Dhabi&gt;Al Reem Island&gt;Amaya Towers</v>
      </c>
      <c r="E11556" s="2"/>
      <c r="F11556" s="2"/>
      <c r="G11556" s="2"/>
      <c r="H11556" s="2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2"/>
      <c r="T11556" s="2"/>
      <c r="U11556" s="2"/>
      <c r="V11556" s="2"/>
      <c r="W11556" s="2"/>
      <c r="X11556" s="2"/>
      <c r="Y11556" s="2"/>
      <c r="Z11556" s="2"/>
    </row>
    <row r="11557" spans="1:26" ht="16.5" x14ac:dyDescent="0.35">
      <c r="A11557" s="2" t="str">
        <f ca="1">IFERROR(__xludf.DUMMYFUNCTION("""COMPUTED_VALUE"""),"Abu Dhabi")</f>
        <v>Abu Dhabi</v>
      </c>
      <c r="B11557" s="2" t="str">
        <f ca="1">IFERROR(__xludf.DUMMYFUNCTION("""COMPUTED_VALUE"""),"Coast Way")</f>
        <v>Coast Way</v>
      </c>
      <c r="C11557" s="2" t="str">
        <f ca="1">IFERROR(__xludf.DUMMYFUNCTION("""COMPUTED_VALUE"""),"Neighbourhood")</f>
        <v>Neighbourhood</v>
      </c>
      <c r="D11557" s="2" t="str">
        <f ca="1">IFERROR(__xludf.DUMMYFUNCTION("""COMPUTED_VALUE"""),"Abu Dhabi&gt;Al Reem Island&gt;Reem Hills&gt;Coast Way")</f>
        <v>Abu Dhabi&gt;Al Reem Island&gt;Reem Hills&gt;Coast Way</v>
      </c>
      <c r="E11557" s="2"/>
      <c r="F11557" s="2"/>
      <c r="G11557" s="2"/>
      <c r="H11557" s="2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2"/>
      <c r="T11557" s="2"/>
      <c r="U11557" s="2"/>
      <c r="V11557" s="2"/>
      <c r="W11557" s="2"/>
      <c r="X11557" s="2"/>
      <c r="Y11557" s="2"/>
      <c r="Z11557" s="2"/>
    </row>
    <row r="11558" spans="1:26" ht="16.5" x14ac:dyDescent="0.35">
      <c r="A11558" s="2" t="str">
        <f ca="1">IFERROR(__xludf.DUMMYFUNCTION("""COMPUTED_VALUE"""),"Abu Dhabi")</f>
        <v>Abu Dhabi</v>
      </c>
      <c r="B11558" s="2" t="str">
        <f ca="1">IFERROR(__xludf.DUMMYFUNCTION("""COMPUTED_VALUE"""),"Crystal Tower")</f>
        <v>Crystal Tower</v>
      </c>
      <c r="C11558" s="2" t="str">
        <f ca="1">IFERROR(__xludf.DUMMYFUNCTION("""COMPUTED_VALUE"""),"Building")</f>
        <v>Building</v>
      </c>
      <c r="D11558" s="2" t="str">
        <f ca="1">IFERROR(__xludf.DUMMYFUNCTION("""COMPUTED_VALUE"""),"Abu Dhabi&gt;Hamdan Street&gt;Crystal Tower")</f>
        <v>Abu Dhabi&gt;Hamdan Street&gt;Crystal Tower</v>
      </c>
      <c r="E11558" s="2"/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2"/>
      <c r="T11558" s="2"/>
      <c r="U11558" s="2"/>
      <c r="V11558" s="2"/>
      <c r="W11558" s="2"/>
      <c r="X11558" s="2"/>
      <c r="Y11558" s="2"/>
      <c r="Z11558" s="2"/>
    </row>
    <row r="11559" spans="1:26" ht="16.5" x14ac:dyDescent="0.35">
      <c r="A11559" s="2" t="str">
        <f ca="1">IFERROR(__xludf.DUMMYFUNCTION("""COMPUTED_VALUE"""),"Abu Dhabi")</f>
        <v>Abu Dhabi</v>
      </c>
      <c r="B11559" s="2" t="str">
        <f ca="1">IFERROR(__xludf.DUMMYFUNCTION("""COMPUTED_VALUE"""),"Areej Tower")</f>
        <v>Areej Tower</v>
      </c>
      <c r="C11559" s="2" t="str">
        <f ca="1">IFERROR(__xludf.DUMMYFUNCTION("""COMPUTED_VALUE"""),"Building")</f>
        <v>Building</v>
      </c>
      <c r="D11559" s="2" t="str">
        <f ca="1">IFERROR(__xludf.DUMMYFUNCTION("""COMPUTED_VALUE"""),"Abu Dhabi&gt;Al Khalidiyah&gt;Zayed The First Street&gt;Areej Tower")</f>
        <v>Abu Dhabi&gt;Al Khalidiyah&gt;Zayed The First Street&gt;Areej Tower</v>
      </c>
      <c r="E11559" s="2"/>
      <c r="F11559" s="2"/>
      <c r="G11559" s="2"/>
      <c r="H11559" s="2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2"/>
      <c r="T11559" s="2"/>
      <c r="U11559" s="2"/>
      <c r="V11559" s="2"/>
      <c r="W11559" s="2"/>
      <c r="X11559" s="2"/>
      <c r="Y11559" s="2"/>
      <c r="Z11559" s="2"/>
    </row>
    <row r="11560" spans="1:26" ht="16.5" x14ac:dyDescent="0.35">
      <c r="A11560" s="2" t="str">
        <f ca="1">IFERROR(__xludf.DUMMYFUNCTION("""COMPUTED_VALUE"""),"Abu Dhabi")</f>
        <v>Abu Dhabi</v>
      </c>
      <c r="B11560" s="2" t="str">
        <f ca="1">IFERROR(__xludf.DUMMYFUNCTION("""COMPUTED_VALUE"""),"Al Shaheen Tower")</f>
        <v>Al Shaheen Tower</v>
      </c>
      <c r="C11560" s="2" t="str">
        <f ca="1">IFERROR(__xludf.DUMMYFUNCTION("""COMPUTED_VALUE"""),"Building")</f>
        <v>Building</v>
      </c>
      <c r="D11560" s="2" t="str">
        <f ca="1">IFERROR(__xludf.DUMMYFUNCTION("""COMPUTED_VALUE"""),"Abu Dhabi&gt;Al Khalidiyah&gt;Al Shaheen Tower")</f>
        <v>Abu Dhabi&gt;Al Khalidiyah&gt;Al Shaheen Tower</v>
      </c>
      <c r="E11560" s="2"/>
      <c r="F11560" s="2"/>
      <c r="G11560" s="2"/>
      <c r="H11560" s="2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2"/>
      <c r="T11560" s="2"/>
      <c r="U11560" s="2"/>
      <c r="V11560" s="2"/>
      <c r="W11560" s="2"/>
      <c r="X11560" s="2"/>
      <c r="Y11560" s="2"/>
      <c r="Z11560" s="2"/>
    </row>
    <row r="11561" spans="1:26" ht="16.5" x14ac:dyDescent="0.35">
      <c r="A11561" s="2" t="str">
        <f ca="1">IFERROR(__xludf.DUMMYFUNCTION("""COMPUTED_VALUE"""),"Abu Dhabi")</f>
        <v>Abu Dhabi</v>
      </c>
      <c r="B11561" s="2" t="str">
        <f ca="1">IFERROR(__xludf.DUMMYFUNCTION("""COMPUTED_VALUE"""),"Gardenia")</f>
        <v>Gardenia</v>
      </c>
      <c r="C11561" s="2" t="str">
        <f ca="1">IFERROR(__xludf.DUMMYFUNCTION("""COMPUTED_VALUE"""),"Neighbourhood")</f>
        <v>Neighbourhood</v>
      </c>
      <c r="D11561" s="2" t="str">
        <f ca="1">IFERROR(__xludf.DUMMYFUNCTION("""COMPUTED_VALUE"""),"Abu Dhabi&gt;Khalifa City&gt;Golf Gardens&gt;Gardenia")</f>
        <v>Abu Dhabi&gt;Khalifa City&gt;Golf Gardens&gt;Gardenia</v>
      </c>
      <c r="E11561" s="2"/>
      <c r="F11561" s="2"/>
      <c r="G11561" s="2"/>
      <c r="H11561" s="2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2"/>
      <c r="T11561" s="2"/>
      <c r="U11561" s="2"/>
      <c r="V11561" s="2"/>
      <c r="W11561" s="2"/>
      <c r="X11561" s="2"/>
      <c r="Y11561" s="2"/>
      <c r="Z11561" s="2"/>
    </row>
    <row r="11562" spans="1:26" ht="16.5" x14ac:dyDescent="0.35">
      <c r="A11562" s="2" t="str">
        <f ca="1">IFERROR(__xludf.DUMMYFUNCTION("""COMPUTED_VALUE"""),"Abu Dhabi")</f>
        <v>Abu Dhabi</v>
      </c>
      <c r="B11562" s="2" t="str">
        <f ca="1">IFERROR(__xludf.DUMMYFUNCTION("""COMPUTED_VALUE"""),"World Trade Centre")</f>
        <v>World Trade Centre</v>
      </c>
      <c r="C11562" s="2" t="str">
        <f ca="1">IFERROR(__xludf.DUMMYFUNCTION("""COMPUTED_VALUE"""),"Building")</f>
        <v>Building</v>
      </c>
      <c r="D11562" s="2" t="str">
        <f ca="1">IFERROR(__xludf.DUMMYFUNCTION("""COMPUTED_VALUE"""),"Abu Dhabi&gt;Al Markaziya&gt;World Trade Centre")</f>
        <v>Abu Dhabi&gt;Al Markaziya&gt;World Trade Centre</v>
      </c>
      <c r="E11562" s="2"/>
      <c r="F11562" s="2"/>
      <c r="G11562" s="2"/>
      <c r="H11562" s="2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2"/>
      <c r="T11562" s="2"/>
      <c r="U11562" s="2"/>
      <c r="V11562" s="2"/>
      <c r="W11562" s="2"/>
      <c r="X11562" s="2"/>
      <c r="Y11562" s="2"/>
      <c r="Z11562" s="2"/>
    </row>
    <row r="11563" spans="1:26" ht="16.5" x14ac:dyDescent="0.35">
      <c r="A11563" s="2" t="str">
        <f ca="1">IFERROR(__xludf.DUMMYFUNCTION("""COMPUTED_VALUE"""),"Abu Dhabi")</f>
        <v>Abu Dhabi</v>
      </c>
      <c r="B11563" s="2" t="str">
        <f ca="1">IFERROR(__xludf.DUMMYFUNCTION("""COMPUTED_VALUE"""),"Baniyas Tower")</f>
        <v>Baniyas Tower</v>
      </c>
      <c r="C11563" s="2" t="str">
        <f ca="1">IFERROR(__xludf.DUMMYFUNCTION("""COMPUTED_VALUE"""),"Building")</f>
        <v>Building</v>
      </c>
      <c r="D11563" s="2" t="str">
        <f ca="1">IFERROR(__xludf.DUMMYFUNCTION("""COMPUTED_VALUE"""),"Abu Dhabi&gt;Al Markaziya&gt;Baniyas Tower")</f>
        <v>Abu Dhabi&gt;Al Markaziya&gt;Baniyas Tower</v>
      </c>
      <c r="E11563" s="2"/>
      <c r="F11563" s="2"/>
      <c r="G11563" s="2"/>
      <c r="H11563" s="2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2"/>
      <c r="T11563" s="2"/>
      <c r="U11563" s="2"/>
      <c r="V11563" s="2"/>
      <c r="W11563" s="2"/>
      <c r="X11563" s="2"/>
      <c r="Y11563" s="2"/>
      <c r="Z11563" s="2"/>
    </row>
    <row r="11564" spans="1:26" ht="16.5" x14ac:dyDescent="0.35">
      <c r="A11564" s="2" t="str">
        <f ca="1">IFERROR(__xludf.DUMMYFUNCTION("""COMPUTED_VALUE"""),"Abu Dhabi")</f>
        <v>Abu Dhabi</v>
      </c>
      <c r="B11564" s="2" t="str">
        <f ca="1">IFERROR(__xludf.DUMMYFUNCTION("""COMPUTED_VALUE"""),"Jawaher Saadiyat")</f>
        <v>Jawaher Saadiyat</v>
      </c>
      <c r="C11564" s="2" t="str">
        <f ca="1">IFERROR(__xludf.DUMMYFUNCTION("""COMPUTED_VALUE"""),"Neighbourhood")</f>
        <v>Neighbourhood</v>
      </c>
      <c r="D11564" s="2" t="str">
        <f ca="1">IFERROR(__xludf.DUMMYFUNCTION("""COMPUTED_VALUE"""),"Abu Dhabi&gt;Saadiyat Island&gt;Jawaher Saadiyat")</f>
        <v>Abu Dhabi&gt;Saadiyat Island&gt;Jawaher Saadiyat</v>
      </c>
      <c r="E11564" s="2"/>
      <c r="F11564" s="2"/>
      <c r="G11564" s="2"/>
      <c r="H11564" s="2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2"/>
      <c r="T11564" s="2"/>
      <c r="U11564" s="2"/>
      <c r="V11564" s="2"/>
      <c r="W11564" s="2"/>
      <c r="X11564" s="2"/>
      <c r="Y11564" s="2"/>
      <c r="Z11564" s="2"/>
    </row>
    <row r="11565" spans="1:26" ht="16.5" x14ac:dyDescent="0.35">
      <c r="A11565" s="2" t="str">
        <f ca="1">IFERROR(__xludf.DUMMYFUNCTION("""COMPUTED_VALUE"""),"Abu Dhabi")</f>
        <v>Abu Dhabi</v>
      </c>
      <c r="B11565" s="2" t="str">
        <f ca="1">IFERROR(__xludf.DUMMYFUNCTION("""COMPUTED_VALUE"""),"Mamsha Palm")</f>
        <v>Mamsha Palm</v>
      </c>
      <c r="C11565" s="2" t="str">
        <f ca="1">IFERROR(__xludf.DUMMYFUNCTION("""COMPUTED_VALUE"""),"Building")</f>
        <v>Building</v>
      </c>
      <c r="D11565" s="2" t="str">
        <f ca="1">IFERROR(__xludf.DUMMYFUNCTION("""COMPUTED_VALUE"""),"Abu Dhabi&gt;Saadiyat Island&gt;Saadiyat Cultural District&gt;Mamsha Palm")</f>
        <v>Abu Dhabi&gt;Saadiyat Island&gt;Saadiyat Cultural District&gt;Mamsha Palm</v>
      </c>
      <c r="E11565" s="2"/>
      <c r="F11565" s="2"/>
      <c r="G11565" s="2"/>
      <c r="H11565" s="2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2"/>
      <c r="T11565" s="2"/>
      <c r="U11565" s="2"/>
      <c r="V11565" s="2"/>
      <c r="W11565" s="2"/>
      <c r="X11565" s="2"/>
      <c r="Y11565" s="2"/>
      <c r="Z11565" s="2"/>
    </row>
    <row r="11566" spans="1:26" ht="16.5" x14ac:dyDescent="0.35">
      <c r="A11566" s="2" t="str">
        <f ca="1">IFERROR(__xludf.DUMMYFUNCTION("""COMPUTED_VALUE"""),"Abu Dhabi")</f>
        <v>Abu Dhabi</v>
      </c>
      <c r="B11566" s="2" t="str">
        <f ca="1">IFERROR(__xludf.DUMMYFUNCTION("""COMPUTED_VALUE"""),"Groves Building")</f>
        <v>Groves Building</v>
      </c>
      <c r="C11566" s="2" t="str">
        <f ca="1">IFERROR(__xludf.DUMMYFUNCTION("""COMPUTED_VALUE"""),"Building")</f>
        <v>Building</v>
      </c>
      <c r="D11566" s="2" t="str">
        <f ca="1">IFERROR(__xludf.DUMMYFUNCTION("""COMPUTED_VALUE"""),"Abu Dhabi&gt;Saadiyat Island&gt;Saadiyat Beach&gt;The Pearl Residences&gt;Groves Building")</f>
        <v>Abu Dhabi&gt;Saadiyat Island&gt;Saadiyat Beach&gt;The Pearl Residences&gt;Groves Building</v>
      </c>
      <c r="E11566" s="2"/>
      <c r="F11566" s="2"/>
      <c r="G11566" s="2"/>
      <c r="H11566" s="2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2"/>
      <c r="T11566" s="2"/>
      <c r="U11566" s="2"/>
      <c r="V11566" s="2"/>
      <c r="W11566" s="2"/>
      <c r="X11566" s="2"/>
      <c r="Y11566" s="2"/>
      <c r="Z11566" s="2"/>
    </row>
    <row r="11567" spans="1:26" ht="16.5" x14ac:dyDescent="0.35">
      <c r="A11567" s="2" t="str">
        <f ca="1">IFERROR(__xludf.DUMMYFUNCTION("""COMPUTED_VALUE"""),"Abu Dhabi")</f>
        <v>Abu Dhabi</v>
      </c>
      <c r="B11567" s="2" t="str">
        <f ca="1">IFERROR(__xludf.DUMMYFUNCTION("""COMPUTED_VALUE"""),"Muzoon Building")</f>
        <v>Muzoon Building</v>
      </c>
      <c r="C11567" s="2" t="str">
        <f ca="1">IFERROR(__xludf.DUMMYFUNCTION("""COMPUTED_VALUE"""),"Building")</f>
        <v>Building</v>
      </c>
      <c r="D11567" s="2" t="str">
        <f ca="1">IFERROR(__xludf.DUMMYFUNCTION("""COMPUTED_VALUE"""),"Abu Dhabi&gt;Al Raha Beach&gt;Muzoon Building")</f>
        <v>Abu Dhabi&gt;Al Raha Beach&gt;Muzoon Building</v>
      </c>
      <c r="E11567" s="2"/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2"/>
      <c r="T11567" s="2"/>
      <c r="U11567" s="2"/>
      <c r="V11567" s="2"/>
      <c r="W11567" s="2"/>
      <c r="X11567" s="2"/>
      <c r="Y11567" s="2"/>
      <c r="Z11567" s="2"/>
    </row>
    <row r="11568" spans="1:26" ht="16.5" x14ac:dyDescent="0.35">
      <c r="A11568" s="2" t="str">
        <f ca="1">IFERROR(__xludf.DUMMYFUNCTION("""COMPUTED_VALUE"""),"Abu Dhabi")</f>
        <v>Abu Dhabi</v>
      </c>
      <c r="B11568" s="2" t="str">
        <f ca="1">IFERROR(__xludf.DUMMYFUNCTION("""COMPUTED_VALUE"""),"Yellow Submarine Nursery Al Zeina")</f>
        <v>Yellow Submarine Nursery Al Zeina</v>
      </c>
      <c r="C11568" s="2" t="str">
        <f ca="1">IFERROR(__xludf.DUMMYFUNCTION("""COMPUTED_VALUE"""),"Nursery")</f>
        <v>Nursery</v>
      </c>
      <c r="D11568" s="2" t="str">
        <f ca="1">IFERROR(__xludf.DUMMYFUNCTION("""COMPUTED_VALUE"""),"Abu Dhabi&gt;Al Raha Beach&gt;Al Zeina&gt;Yellow Submarine Nursery Al Zeina")</f>
        <v>Abu Dhabi&gt;Al Raha Beach&gt;Al Zeina&gt;Yellow Submarine Nursery Al Zeina</v>
      </c>
      <c r="E11568" s="2"/>
      <c r="F11568" s="2"/>
      <c r="G11568" s="2"/>
      <c r="H11568" s="2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2"/>
      <c r="T11568" s="2"/>
      <c r="U11568" s="2"/>
      <c r="V11568" s="2"/>
      <c r="W11568" s="2"/>
      <c r="X11568" s="2"/>
      <c r="Y11568" s="2"/>
      <c r="Z11568" s="2"/>
    </row>
    <row r="11569" spans="1:26" ht="16.5" x14ac:dyDescent="0.35">
      <c r="A11569" s="2" t="str">
        <f ca="1">IFERROR(__xludf.DUMMYFUNCTION("""COMPUTED_VALUE"""),"Abu Dhabi")</f>
        <v>Abu Dhabi</v>
      </c>
      <c r="B11569" s="2" t="str">
        <f ca="1">IFERROR(__xludf.DUMMYFUNCTION("""COMPUTED_VALUE"""),"Al Raha Lofts 2")</f>
        <v>Al Raha Lofts 2</v>
      </c>
      <c r="C11569" s="2" t="str">
        <f ca="1">IFERROR(__xludf.DUMMYFUNCTION("""COMPUTED_VALUE"""),"Building")</f>
        <v>Building</v>
      </c>
      <c r="D11569" s="2" t="str">
        <f ca="1">IFERROR(__xludf.DUMMYFUNCTION("""COMPUTED_VALUE"""),"Abu Dhabi&gt;Al Raha Beach&gt;Al Raha Lofts&gt;Al Raha Lofts 2")</f>
        <v>Abu Dhabi&gt;Al Raha Beach&gt;Al Raha Lofts&gt;Al Raha Lofts 2</v>
      </c>
      <c r="E11569" s="2"/>
      <c r="F11569" s="2"/>
      <c r="G11569" s="2"/>
      <c r="H11569" s="2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2"/>
      <c r="T11569" s="2"/>
      <c r="U11569" s="2"/>
      <c r="V11569" s="2"/>
      <c r="W11569" s="2"/>
      <c r="X11569" s="2"/>
      <c r="Y11569" s="2"/>
      <c r="Z11569" s="2"/>
    </row>
    <row r="11570" spans="1:26" ht="16.5" x14ac:dyDescent="0.35">
      <c r="A11570" s="2" t="str">
        <f ca="1">IFERROR(__xludf.DUMMYFUNCTION("""COMPUTED_VALUE"""),"Abu Dhabi")</f>
        <v>Abu Dhabi</v>
      </c>
      <c r="B11570" s="2" t="str">
        <f ca="1">IFERROR(__xludf.DUMMYFUNCTION("""COMPUTED_VALUE"""),"P2520 Al Raha Beach Building")</f>
        <v>P2520 Al Raha Beach Building</v>
      </c>
      <c r="C11570" s="2" t="str">
        <f ca="1">IFERROR(__xludf.DUMMYFUNCTION("""COMPUTED_VALUE"""),"Building")</f>
        <v>Building</v>
      </c>
      <c r="D11570" s="2" t="str">
        <f ca="1">IFERROR(__xludf.DUMMYFUNCTION("""COMPUTED_VALUE"""),"Abu Dhabi&gt;Al Raha Beach&gt;P2520 Al Raha Beach Building")</f>
        <v>Abu Dhabi&gt;Al Raha Beach&gt;P2520 Al Raha Beach Building</v>
      </c>
      <c r="E11570" s="2"/>
      <c r="F11570" s="2"/>
      <c r="G11570" s="2"/>
      <c r="H11570" s="2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2"/>
      <c r="T11570" s="2"/>
      <c r="U11570" s="2"/>
      <c r="V11570" s="2"/>
      <c r="W11570" s="2"/>
      <c r="X11570" s="2"/>
      <c r="Y11570" s="2"/>
      <c r="Z11570" s="2"/>
    </row>
    <row r="11571" spans="1:26" ht="16.5" x14ac:dyDescent="0.35">
      <c r="A11571" s="2" t="str">
        <f ca="1">IFERROR(__xludf.DUMMYFUNCTION("""COMPUTED_VALUE"""),"Abu Dhabi")</f>
        <v>Abu Dhabi</v>
      </c>
      <c r="B11571" s="2" t="str">
        <f ca="1">IFERROR(__xludf.DUMMYFUNCTION("""COMPUTED_VALUE"""),"Al Murjan Tower")</f>
        <v>Al Murjan Tower</v>
      </c>
      <c r="C11571" s="2" t="str">
        <f ca="1">IFERROR(__xludf.DUMMYFUNCTION("""COMPUTED_VALUE"""),"Building")</f>
        <v>Building</v>
      </c>
      <c r="D11571" s="2" t="str">
        <f ca="1">IFERROR(__xludf.DUMMYFUNCTION("""COMPUTED_VALUE"""),"Abu Dhabi&gt;Danet Abu Dhabi&gt;Al Murjan Tower")</f>
        <v>Abu Dhabi&gt;Danet Abu Dhabi&gt;Al Murjan Tower</v>
      </c>
      <c r="E11571" s="2"/>
      <c r="F11571" s="2"/>
      <c r="G11571" s="2"/>
      <c r="H11571" s="2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2"/>
      <c r="T11571" s="2"/>
      <c r="U11571" s="2"/>
      <c r="V11571" s="2"/>
      <c r="W11571" s="2"/>
      <c r="X11571" s="2"/>
      <c r="Y11571" s="2"/>
      <c r="Z11571" s="2"/>
    </row>
    <row r="11572" spans="1:26" ht="16.5" x14ac:dyDescent="0.35">
      <c r="A11572" s="2" t="str">
        <f ca="1">IFERROR(__xludf.DUMMYFUNCTION("""COMPUTED_VALUE"""),"Abu Dhabi")</f>
        <v>Abu Dhabi</v>
      </c>
      <c r="B11572" s="2" t="str">
        <f ca="1">IFERROR(__xludf.DUMMYFUNCTION("""COMPUTED_VALUE"""),"Al Rabeeh Academy, MBZ City")</f>
        <v>Al Rabeeh Academy, MBZ City</v>
      </c>
      <c r="C11572" s="2" t="str">
        <f ca="1">IFERROR(__xludf.DUMMYFUNCTION("""COMPUTED_VALUE"""),"School")</f>
        <v>School</v>
      </c>
      <c r="D11572" s="2" t="str">
        <f ca="1">IFERROR(__xludf.DUMMYFUNCTION("""COMPUTED_VALUE"""),"Abu Dhabi&gt;Mohamed Bin Zayed City&gt;Al Rabeeh Academy, MBZ City")</f>
        <v>Abu Dhabi&gt;Mohamed Bin Zayed City&gt;Al Rabeeh Academy, MBZ City</v>
      </c>
      <c r="E11572" s="2"/>
      <c r="F11572" s="2"/>
      <c r="G11572" s="2"/>
      <c r="H11572" s="2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2"/>
      <c r="T11572" s="2"/>
      <c r="U11572" s="2"/>
      <c r="V11572" s="2"/>
      <c r="W11572" s="2"/>
      <c r="X11572" s="2"/>
      <c r="Y11572" s="2"/>
      <c r="Z11572" s="2"/>
    </row>
    <row r="11573" spans="1:26" ht="16.5" x14ac:dyDescent="0.35">
      <c r="A11573" s="2" t="str">
        <f ca="1">IFERROR(__xludf.DUMMYFUNCTION("""COMPUTED_VALUE"""),"Abu Dhabi")</f>
        <v>Abu Dhabi</v>
      </c>
      <c r="B11573" s="2" t="str">
        <f ca="1">IFERROR(__xludf.DUMMYFUNCTION("""COMPUTED_VALUE"""),"Sahara Complex")</f>
        <v>Sahara Complex</v>
      </c>
      <c r="C11573" s="2" t="str">
        <f ca="1">IFERROR(__xludf.DUMMYFUNCTION("""COMPUTED_VALUE"""),"Neighbourhood")</f>
        <v>Neighbourhood</v>
      </c>
      <c r="D11573" s="2" t="str">
        <f ca="1">IFERROR(__xludf.DUMMYFUNCTION("""COMPUTED_VALUE"""),"Abu Dhabi&gt;Mohamed Bin Zayed City&gt;Sahara Complex")</f>
        <v>Abu Dhabi&gt;Mohamed Bin Zayed City&gt;Sahara Complex</v>
      </c>
      <c r="E11573" s="2"/>
      <c r="F11573" s="2"/>
      <c r="G11573" s="2"/>
      <c r="H11573" s="2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2"/>
      <c r="T11573" s="2"/>
      <c r="U11573" s="2"/>
      <c r="V11573" s="2"/>
      <c r="W11573" s="2"/>
      <c r="X11573" s="2"/>
      <c r="Y11573" s="2"/>
      <c r="Z11573" s="2"/>
    </row>
    <row r="11574" spans="1:26" ht="16.5" x14ac:dyDescent="0.35">
      <c r="A11574" s="2" t="str">
        <f ca="1">IFERROR(__xludf.DUMMYFUNCTION("""COMPUTED_VALUE"""),"Abu Dhabi")</f>
        <v>Abu Dhabi</v>
      </c>
      <c r="B11574" s="2" t="str">
        <f ca="1">IFERROR(__xludf.DUMMYFUNCTION("""COMPUTED_VALUE"""),"Zone 6")</f>
        <v>Zone 6</v>
      </c>
      <c r="C11574" s="2" t="str">
        <f ca="1">IFERROR(__xludf.DUMMYFUNCTION("""COMPUTED_VALUE"""),"Neighbourhood")</f>
        <v>Neighbourhood</v>
      </c>
      <c r="D11574" s="2" t="str">
        <f ca="1">IFERROR(__xludf.DUMMYFUNCTION("""COMPUTED_VALUE"""),"Abu Dhabi&gt;Mohamed Bin Zayed City&gt;Zone 6")</f>
        <v>Abu Dhabi&gt;Mohamed Bin Zayed City&gt;Zone 6</v>
      </c>
      <c r="E11574" s="2"/>
      <c r="F11574" s="2"/>
      <c r="G11574" s="2"/>
      <c r="H11574" s="2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2"/>
      <c r="T11574" s="2"/>
      <c r="U11574" s="2"/>
      <c r="V11574" s="2"/>
      <c r="W11574" s="2"/>
      <c r="X11574" s="2"/>
      <c r="Y11574" s="2"/>
      <c r="Z11574" s="2"/>
    </row>
    <row r="11575" spans="1:26" ht="16.5" x14ac:dyDescent="0.35">
      <c r="A11575" s="2" t="str">
        <f ca="1">IFERROR(__xludf.DUMMYFUNCTION("""COMPUTED_VALUE"""),"Abu Dhabi")</f>
        <v>Abu Dhabi</v>
      </c>
      <c r="B11575" s="2" t="str">
        <f ca="1">IFERROR(__xludf.DUMMYFUNCTION("""COMPUTED_VALUE"""),"Building 6")</f>
        <v>Building 6</v>
      </c>
      <c r="C11575" s="2" t="str">
        <f ca="1">IFERROR(__xludf.DUMMYFUNCTION("""COMPUTED_VALUE"""),"Building")</f>
        <v>Building</v>
      </c>
      <c r="D11575" s="2" t="str">
        <f ca="1">IFERROR(__xludf.DUMMYFUNCTION("""COMPUTED_VALUE"""),"Abu Dhabi&gt;Al Reef&gt;Al Reef Downtown&gt;Building 6")</f>
        <v>Abu Dhabi&gt;Al Reef&gt;Al Reef Downtown&gt;Building 6</v>
      </c>
      <c r="E11575" s="2"/>
      <c r="F11575" s="2"/>
      <c r="G11575" s="2"/>
      <c r="H11575" s="2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2"/>
      <c r="T11575" s="2"/>
      <c r="U11575" s="2"/>
      <c r="V11575" s="2"/>
      <c r="W11575" s="2"/>
      <c r="X11575" s="2"/>
      <c r="Y11575" s="2"/>
      <c r="Z11575" s="2"/>
    </row>
    <row r="11576" spans="1:26" ht="16.5" x14ac:dyDescent="0.35">
      <c r="A11576" s="2" t="str">
        <f ca="1">IFERROR(__xludf.DUMMYFUNCTION("""COMPUTED_VALUE"""),"Abu Dhabi")</f>
        <v>Abu Dhabi</v>
      </c>
      <c r="B11576" s="2" t="str">
        <f ca="1">IFERROR(__xludf.DUMMYFUNCTION("""COMPUTED_VALUE"""),"ADNOC Schools Sas Al Nakhl")</f>
        <v>ADNOC Schools Sas Al Nakhl</v>
      </c>
      <c r="C11576" s="2" t="str">
        <f ca="1">IFERROR(__xludf.DUMMYFUNCTION("""COMPUTED_VALUE"""),"School")</f>
        <v>School</v>
      </c>
      <c r="D11576" s="2" t="str">
        <f ca="1">IFERROR(__xludf.DUMMYFUNCTION("""COMPUTED_VALUE"""),"Abu Dhabi&gt;Sas Al Nakhl Village&gt;ADNOC Schools Sas Al Nakhl")</f>
        <v>Abu Dhabi&gt;Sas Al Nakhl Village&gt;ADNOC Schools Sas Al Nakhl</v>
      </c>
      <c r="E11576" s="2"/>
      <c r="F11576" s="2"/>
      <c r="G11576" s="2"/>
      <c r="H11576" s="2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2"/>
      <c r="T11576" s="2"/>
      <c r="U11576" s="2"/>
      <c r="V11576" s="2"/>
      <c r="W11576" s="2"/>
      <c r="X11576" s="2"/>
      <c r="Y11576" s="2"/>
      <c r="Z11576" s="2"/>
    </row>
    <row r="11577" spans="1:26" ht="16.5" x14ac:dyDescent="0.35">
      <c r="A11577" s="2" t="str">
        <f ca="1">IFERROR(__xludf.DUMMYFUNCTION("""COMPUTED_VALUE"""),"Abu Dhabi")</f>
        <v>Abu Dhabi</v>
      </c>
      <c r="B11577" s="2" t="str">
        <f ca="1">IFERROR(__xludf.DUMMYFUNCTION("""COMPUTED_VALUE"""),"Lafzaeyya Tower")</f>
        <v>Lafzaeyya Tower</v>
      </c>
      <c r="C11577" s="2" t="str">
        <f ca="1">IFERROR(__xludf.DUMMYFUNCTION("""COMPUTED_VALUE"""),"Building")</f>
        <v>Building</v>
      </c>
      <c r="D11577" s="2" t="str">
        <f ca="1">IFERROR(__xludf.DUMMYFUNCTION("""COMPUTED_VALUE"""),"Abu Dhabi&gt;Sheikh Khalifa Bin Zayed Street&gt;Lafzaeyya Tower")</f>
        <v>Abu Dhabi&gt;Sheikh Khalifa Bin Zayed Street&gt;Lafzaeyya Tower</v>
      </c>
      <c r="E11577" s="2"/>
      <c r="F11577" s="2"/>
      <c r="G11577" s="2"/>
      <c r="H11577" s="2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2"/>
      <c r="T11577" s="2"/>
      <c r="U11577" s="2"/>
      <c r="V11577" s="2"/>
      <c r="W11577" s="2"/>
      <c r="X11577" s="2"/>
      <c r="Y11577" s="2"/>
      <c r="Z11577" s="2"/>
    </row>
    <row r="11578" spans="1:26" ht="16.5" x14ac:dyDescent="0.35">
      <c r="A11578" s="2" t="str">
        <f ca="1">IFERROR(__xludf.DUMMYFUNCTION("""COMPUTED_VALUE"""),"Abu Dhabi")</f>
        <v>Abu Dhabi</v>
      </c>
      <c r="B11578" s="2" t="str">
        <f ca="1">IFERROR(__xludf.DUMMYFUNCTION("""COMPUTED_VALUE"""),"Zayed Military City Tower 2")</f>
        <v>Zayed Military City Tower 2</v>
      </c>
      <c r="C11578" s="2" t="str">
        <f ca="1">IFERROR(__xludf.DUMMYFUNCTION("""COMPUTED_VALUE"""),"Building")</f>
        <v>Building</v>
      </c>
      <c r="D11578" s="2" t="str">
        <f ca="1">IFERROR(__xludf.DUMMYFUNCTION("""COMPUTED_VALUE"""),"Abu Dhabi&gt;Zayed Military City&gt;Zayed Military City Tower 2")</f>
        <v>Abu Dhabi&gt;Zayed Military City&gt;Zayed Military City Tower 2</v>
      </c>
      <c r="E11578" s="2"/>
      <c r="F11578" s="2"/>
      <c r="G11578" s="2"/>
      <c r="H11578" s="2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2"/>
      <c r="T11578" s="2"/>
      <c r="U11578" s="2"/>
      <c r="V11578" s="2"/>
      <c r="W11578" s="2"/>
      <c r="X11578" s="2"/>
      <c r="Y11578" s="2"/>
      <c r="Z11578" s="2"/>
    </row>
    <row r="11579" spans="1:26" ht="16.5" x14ac:dyDescent="0.35">
      <c r="A11579" s="2" t="str">
        <f ca="1">IFERROR(__xludf.DUMMYFUNCTION("""COMPUTED_VALUE"""),"Abu Dhabi")</f>
        <v>Abu Dhabi</v>
      </c>
      <c r="B11579" s="2" t="str">
        <f ca="1">IFERROR(__xludf.DUMMYFUNCTION("""COMPUTED_VALUE"""),"Ansam")</f>
        <v>Ansam</v>
      </c>
      <c r="C11579" s="2" t="str">
        <f ca="1">IFERROR(__xludf.DUMMYFUNCTION("""COMPUTED_VALUE"""),"Cluster")</f>
        <v>Cluster</v>
      </c>
      <c r="D11579" s="2" t="str">
        <f ca="1">IFERROR(__xludf.DUMMYFUNCTION("""COMPUTED_VALUE"""),"Abu Dhabi&gt;Yas Island&gt;Ansam")</f>
        <v>Abu Dhabi&gt;Yas Island&gt;Ansam</v>
      </c>
      <c r="E11579" s="2"/>
      <c r="F11579" s="2"/>
      <c r="G11579" s="2"/>
      <c r="H11579" s="2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2"/>
      <c r="T11579" s="2"/>
      <c r="U11579" s="2"/>
      <c r="V11579" s="2"/>
      <c r="W11579" s="2"/>
      <c r="X11579" s="2"/>
      <c r="Y11579" s="2"/>
      <c r="Z11579" s="2"/>
    </row>
    <row r="11580" spans="1:26" ht="16.5" x14ac:dyDescent="0.35">
      <c r="A11580" s="2" t="str">
        <f ca="1">IFERROR(__xludf.DUMMYFUNCTION("""COMPUTED_VALUE"""),"Abu Dhabi")</f>
        <v>Abu Dhabi</v>
      </c>
      <c r="B11580" s="2" t="str">
        <f ca="1">IFERROR(__xludf.DUMMYFUNCTION("""COMPUTED_VALUE"""),"Apartments 1")</f>
        <v>Apartments 1</v>
      </c>
      <c r="C11580" s="2" t="str">
        <f ca="1">IFERROR(__xludf.DUMMYFUNCTION("""COMPUTED_VALUE"""),"Building")</f>
        <v>Building</v>
      </c>
      <c r="D11580" s="2" t="str">
        <f ca="1">IFERROR(__xludf.DUMMYFUNCTION("""COMPUTED_VALUE"""),"Abu Dhabi&gt;Yas Island&gt;Yas Golf Collection&gt;Apartments 1")</f>
        <v>Abu Dhabi&gt;Yas Island&gt;Yas Golf Collection&gt;Apartments 1</v>
      </c>
      <c r="E11580" s="2"/>
      <c r="F11580" s="2"/>
      <c r="G11580" s="2"/>
      <c r="H11580" s="2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2"/>
      <c r="T11580" s="2"/>
      <c r="U11580" s="2"/>
      <c r="V11580" s="2"/>
      <c r="W11580" s="2"/>
      <c r="X11580" s="2"/>
      <c r="Y11580" s="2"/>
      <c r="Z11580" s="2"/>
    </row>
    <row r="11581" spans="1:26" ht="16.5" x14ac:dyDescent="0.35">
      <c r="A11581" s="2" t="str">
        <f ca="1">IFERROR(__xludf.DUMMYFUNCTION("""COMPUTED_VALUE"""),"Abu Dhabi")</f>
        <v>Abu Dhabi</v>
      </c>
      <c r="B11581" s="2" t="str">
        <f ca="1">IFERROR(__xludf.DUMMYFUNCTION("""COMPUTED_VALUE"""),"Yamm Beach Villas")</f>
        <v>Yamm Beach Villas</v>
      </c>
      <c r="C11581" s="2" t="str">
        <f ca="1">IFERROR(__xludf.DUMMYFUNCTION("""COMPUTED_VALUE"""),"Neighbourhood")</f>
        <v>Neighbourhood</v>
      </c>
      <c r="D11581" s="2" t="str">
        <f ca="1">IFERROR(__xludf.DUMMYFUNCTION("""COMPUTED_VALUE"""),"Abu Dhabi&gt;Al Hudayriat Island&gt;Yamm Beach Villas")</f>
        <v>Abu Dhabi&gt;Al Hudayriat Island&gt;Yamm Beach Villas</v>
      </c>
      <c r="E11581" s="2"/>
      <c r="F11581" s="2"/>
      <c r="G11581" s="2"/>
      <c r="H11581" s="2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2"/>
      <c r="T11581" s="2"/>
      <c r="U11581" s="2"/>
      <c r="V11581" s="2"/>
      <c r="W11581" s="2"/>
      <c r="X11581" s="2"/>
      <c r="Y11581" s="2"/>
      <c r="Z11581" s="2"/>
    </row>
    <row r="11582" spans="1:26" ht="16.5" x14ac:dyDescent="0.35">
      <c r="A11582" s="2" t="str">
        <f ca="1">IFERROR(__xludf.DUMMYFUNCTION("""COMPUTED_VALUE"""),"Abu Dhabi")</f>
        <v>Abu Dhabi</v>
      </c>
      <c r="B11582" s="2" t="str">
        <f ca="1">IFERROR(__xludf.DUMMYFUNCTION("""COMPUTED_VALUE"""),"Mussafah")</f>
        <v>Mussafah</v>
      </c>
      <c r="C11582" s="2" t="str">
        <f ca="1">IFERROR(__xludf.DUMMYFUNCTION("""COMPUTED_VALUE"""),"Neighbourhood")</f>
        <v>Neighbourhood</v>
      </c>
      <c r="D11582" s="2" t="str">
        <f ca="1">IFERROR(__xludf.DUMMYFUNCTION("""COMPUTED_VALUE"""),"Abu Dhabi&gt;Mussafah")</f>
        <v>Abu Dhabi&gt;Mussafah</v>
      </c>
      <c r="E11582" s="2"/>
      <c r="F11582" s="2"/>
      <c r="G11582" s="2"/>
      <c r="H11582" s="2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2"/>
      <c r="T11582" s="2"/>
      <c r="U11582" s="2"/>
      <c r="V11582" s="2"/>
      <c r="W11582" s="2"/>
      <c r="X11582" s="2"/>
      <c r="Y11582" s="2"/>
      <c r="Z11582" s="2"/>
    </row>
    <row r="11583" spans="1:26" ht="16.5" x14ac:dyDescent="0.35">
      <c r="A11583" s="2" t="str">
        <f ca="1">IFERROR(__xludf.DUMMYFUNCTION("""COMPUTED_VALUE"""),"Ajman")</f>
        <v>Ajman</v>
      </c>
      <c r="B11583" s="2" t="str">
        <f ca="1">IFERROR(__xludf.DUMMYFUNCTION("""COMPUTED_VALUE"""),"Delhi Private School Ajman")</f>
        <v>Delhi Private School Ajman</v>
      </c>
      <c r="C11583" s="2" t="str">
        <f ca="1">IFERROR(__xludf.DUMMYFUNCTION("""COMPUTED_VALUE"""),"School")</f>
        <v>School</v>
      </c>
      <c r="D11583" s="2" t="str">
        <f ca="1">IFERROR(__xludf.DUMMYFUNCTION("""COMPUTED_VALUE"""),"Ajman&gt;Al Tallah 2&gt;Delhi Private School Ajman")</f>
        <v>Ajman&gt;Al Tallah 2&gt;Delhi Private School Ajman</v>
      </c>
      <c r="E11583" s="2"/>
      <c r="F11583" s="2"/>
      <c r="G11583" s="2"/>
      <c r="H11583" s="2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2"/>
      <c r="T11583" s="2"/>
      <c r="U11583" s="2"/>
      <c r="V11583" s="2"/>
      <c r="W11583" s="2"/>
      <c r="X11583" s="2"/>
      <c r="Y11583" s="2"/>
      <c r="Z11583" s="2"/>
    </row>
    <row r="11584" spans="1:26" ht="16.5" x14ac:dyDescent="0.35">
      <c r="A11584" s="2" t="str">
        <f ca="1">IFERROR(__xludf.DUMMYFUNCTION("""COMPUTED_VALUE"""),"Ajman")</f>
        <v>Ajman</v>
      </c>
      <c r="B11584" s="2" t="str">
        <f ca="1">IFERROR(__xludf.DUMMYFUNCTION("""COMPUTED_VALUE"""),"Ajman Towers")</f>
        <v>Ajman Towers</v>
      </c>
      <c r="C11584" s="2"/>
      <c r="D11584" s="2" t="str">
        <f ca="1">IFERROR(__xludf.DUMMYFUNCTION("""COMPUTED_VALUE"""),"Ajman&gt;Emirates City&gt;Ajman Towers")</f>
        <v>Ajman&gt;Emirates City&gt;Ajman Towers</v>
      </c>
      <c r="E11584" s="2"/>
      <c r="F11584" s="2"/>
      <c r="G11584" s="2"/>
      <c r="H11584" s="2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2"/>
      <c r="T11584" s="2"/>
      <c r="U11584" s="2"/>
      <c r="V11584" s="2"/>
      <c r="W11584" s="2"/>
      <c r="X11584" s="2"/>
      <c r="Y11584" s="2"/>
      <c r="Z11584" s="2"/>
    </row>
    <row r="11585" spans="1:26" ht="16.5" x14ac:dyDescent="0.35">
      <c r="A11585" s="2" t="str">
        <f ca="1">IFERROR(__xludf.DUMMYFUNCTION("""COMPUTED_VALUE"""),"Ajman")</f>
        <v>Ajman</v>
      </c>
      <c r="B11585" s="2" t="str">
        <f ca="1">IFERROR(__xludf.DUMMYFUNCTION("""COMPUTED_VALUE"""),"Music Tower")</f>
        <v>Music Tower</v>
      </c>
      <c r="C11585" s="2" t="str">
        <f ca="1">IFERROR(__xludf.DUMMYFUNCTION("""COMPUTED_VALUE"""),"Building")</f>
        <v>Building</v>
      </c>
      <c r="D11585" s="2" t="str">
        <f ca="1">IFERROR(__xludf.DUMMYFUNCTION("""COMPUTED_VALUE"""),"Ajman&gt;Emirates City&gt;Music Tower")</f>
        <v>Ajman&gt;Emirates City&gt;Music Tower</v>
      </c>
      <c r="E11585" s="2"/>
      <c r="F11585" s="2"/>
      <c r="G11585" s="2"/>
      <c r="H11585" s="2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2"/>
      <c r="T11585" s="2"/>
      <c r="U11585" s="2"/>
      <c r="V11585" s="2"/>
      <c r="W11585" s="2"/>
      <c r="X11585" s="2"/>
      <c r="Y11585" s="2"/>
      <c r="Z11585" s="2"/>
    </row>
    <row r="11586" spans="1:26" ht="16.5" x14ac:dyDescent="0.35">
      <c r="A11586" s="2" t="str">
        <f ca="1">IFERROR(__xludf.DUMMYFUNCTION("""COMPUTED_VALUE"""),"Ajman")</f>
        <v>Ajman</v>
      </c>
      <c r="B11586" s="2" t="str">
        <f ca="1">IFERROR(__xludf.DUMMYFUNCTION("""COMPUTED_VALUE"""),"Al Jurf Industrial 1")</f>
        <v>Al Jurf Industrial 1</v>
      </c>
      <c r="C11586" s="2" t="str">
        <f ca="1">IFERROR(__xludf.DUMMYFUNCTION("""COMPUTED_VALUE"""),"Neighbourhood")</f>
        <v>Neighbourhood</v>
      </c>
      <c r="D11586" s="2" t="str">
        <f ca="1">IFERROR(__xludf.DUMMYFUNCTION("""COMPUTED_VALUE"""),"Ajman&gt;Al Jurf&gt;Al Jurf Industrial Area&gt;Al Jurf Industrial 1")</f>
        <v>Ajman&gt;Al Jurf&gt;Al Jurf Industrial Area&gt;Al Jurf Industrial 1</v>
      </c>
      <c r="E11586" s="2"/>
      <c r="F11586" s="2"/>
      <c r="G11586" s="2"/>
      <c r="H11586" s="2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2"/>
      <c r="T11586" s="2"/>
      <c r="U11586" s="2"/>
      <c r="V11586" s="2"/>
      <c r="W11586" s="2"/>
      <c r="X11586" s="2"/>
      <c r="Y11586" s="2"/>
      <c r="Z11586" s="2"/>
    </row>
    <row r="11587" spans="1:26" ht="16.5" x14ac:dyDescent="0.35">
      <c r="A11587" s="2" t="str">
        <f ca="1">IFERROR(__xludf.DUMMYFUNCTION("""COMPUTED_VALUE"""),"Ajman")</f>
        <v>Ajman</v>
      </c>
      <c r="B11587" s="2" t="str">
        <f ca="1">IFERROR(__xludf.DUMMYFUNCTION("""COMPUTED_VALUE"""),"Rumaila Building")</f>
        <v>Rumaila Building</v>
      </c>
      <c r="C11587" s="2"/>
      <c r="D11587" s="2" t="str">
        <f ca="1">IFERROR(__xludf.DUMMYFUNCTION("""COMPUTED_VALUE"""),"Ajman&gt;Al Rumaila&gt;Rumaila Building")</f>
        <v>Ajman&gt;Al Rumaila&gt;Rumaila Building</v>
      </c>
      <c r="E11587" s="2"/>
      <c r="F11587" s="2"/>
      <c r="G11587" s="2"/>
      <c r="H11587" s="2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2"/>
      <c r="T11587" s="2"/>
      <c r="U11587" s="2"/>
      <c r="V11587" s="2"/>
      <c r="W11587" s="2"/>
      <c r="X11587" s="2"/>
      <c r="Y11587" s="2"/>
      <c r="Z11587" s="2"/>
    </row>
    <row r="11588" spans="1:26" ht="16.5" x14ac:dyDescent="0.35">
      <c r="A11588" s="2" t="str">
        <f ca="1">IFERROR(__xludf.DUMMYFUNCTION("""COMPUTED_VALUE"""),"Ajman")</f>
        <v>Ajman</v>
      </c>
      <c r="B11588" s="2" t="str">
        <f ca="1">IFERROR(__xludf.DUMMYFUNCTION("""COMPUTED_VALUE"""),"Geepas Building 3")</f>
        <v>Geepas Building 3</v>
      </c>
      <c r="C11588" s="2"/>
      <c r="D11588" s="2" t="str">
        <f ca="1">IFERROR(__xludf.DUMMYFUNCTION("""COMPUTED_VALUE"""),"Ajman&gt;Al Rashidiya&gt;Al Rashidiya 2&gt;Geepas Building 3")</f>
        <v>Ajman&gt;Al Rashidiya&gt;Al Rashidiya 2&gt;Geepas Building 3</v>
      </c>
      <c r="E11588" s="2"/>
      <c r="F11588" s="2"/>
      <c r="G11588" s="2"/>
      <c r="H11588" s="2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2"/>
      <c r="T11588" s="2"/>
      <c r="U11588" s="2"/>
      <c r="V11588" s="2"/>
      <c r="W11588" s="2"/>
      <c r="X11588" s="2"/>
      <c r="Y11588" s="2"/>
      <c r="Z11588" s="2"/>
    </row>
    <row r="11589" spans="1:26" ht="16.5" x14ac:dyDescent="0.35">
      <c r="A11589" s="2" t="str">
        <f ca="1">IFERROR(__xludf.DUMMYFUNCTION("""COMPUTED_VALUE"""),"Ajman")</f>
        <v>Ajman</v>
      </c>
      <c r="B11589" s="2" t="str">
        <f ca="1">IFERROR(__xludf.DUMMYFUNCTION("""COMPUTED_VALUE"""),"Al Rawda 2")</f>
        <v>Al Rawda 2</v>
      </c>
      <c r="C11589" s="2" t="str">
        <f ca="1">IFERROR(__xludf.DUMMYFUNCTION("""COMPUTED_VALUE"""),"Neighbourhood")</f>
        <v>Neighbourhood</v>
      </c>
      <c r="D11589" s="2" t="str">
        <f ca="1">IFERROR(__xludf.DUMMYFUNCTION("""COMPUTED_VALUE"""),"Ajman&gt;Al Rawda&gt;Al Rawda 2")</f>
        <v>Ajman&gt;Al Rawda&gt;Al Rawda 2</v>
      </c>
      <c r="E11589" s="2"/>
      <c r="F11589" s="2"/>
      <c r="G11589" s="2"/>
      <c r="H11589" s="2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2"/>
      <c r="T11589" s="2"/>
      <c r="U11589" s="2"/>
      <c r="V11589" s="2"/>
      <c r="W11589" s="2"/>
      <c r="X11589" s="2"/>
      <c r="Y11589" s="2"/>
      <c r="Z11589" s="2"/>
    </row>
    <row r="11590" spans="1:26" ht="16.5" x14ac:dyDescent="0.35">
      <c r="A11590" s="2" t="str">
        <f ca="1">IFERROR(__xludf.DUMMYFUNCTION("""COMPUTED_VALUE"""),"Ajman")</f>
        <v>Ajman</v>
      </c>
      <c r="B11590" s="2" t="str">
        <f ca="1">IFERROR(__xludf.DUMMYFUNCTION("""COMPUTED_VALUE"""),"Ain Ajman")</f>
        <v>Ain Ajman</v>
      </c>
      <c r="C11590" s="2" t="str">
        <f ca="1">IFERROR(__xludf.DUMMYFUNCTION("""COMPUTED_VALUE"""),"Neighbourhood")</f>
        <v>Neighbourhood</v>
      </c>
      <c r="D11590" s="2" t="str">
        <f ca="1">IFERROR(__xludf.DUMMYFUNCTION("""COMPUTED_VALUE"""),"Ajman&gt;Ain Ajman")</f>
        <v>Ajman&gt;Ain Ajman</v>
      </c>
      <c r="E11590" s="2"/>
      <c r="F11590" s="2"/>
      <c r="G11590" s="2"/>
      <c r="H11590" s="2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2"/>
      <c r="T11590" s="2"/>
      <c r="U11590" s="2"/>
      <c r="V11590" s="2"/>
      <c r="W11590" s="2"/>
      <c r="X11590" s="2"/>
      <c r="Y11590" s="2"/>
      <c r="Z11590" s="2"/>
    </row>
    <row r="11591" spans="1:26" ht="16.5" x14ac:dyDescent="0.35">
      <c r="A11591" s="2" t="str">
        <f ca="1">IFERROR(__xludf.DUMMYFUNCTION("""COMPUTED_VALUE"""),"Ajman")</f>
        <v>Ajman</v>
      </c>
      <c r="B11591" s="2" t="str">
        <f ca="1">IFERROR(__xludf.DUMMYFUNCTION("""COMPUTED_VALUE"""),"Jade Tower")</f>
        <v>Jade Tower</v>
      </c>
      <c r="C11591" s="2"/>
      <c r="D11591" s="2" t="str">
        <f ca="1">IFERROR(__xludf.DUMMYFUNCTION("""COMPUTED_VALUE"""),"Ajman&gt;Marmooka City&gt;Jade Tower")</f>
        <v>Ajman&gt;Marmooka City&gt;Jade Tower</v>
      </c>
      <c r="E11591" s="2"/>
      <c r="F11591" s="2"/>
      <c r="G11591" s="2"/>
      <c r="H11591" s="2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2"/>
      <c r="T11591" s="2"/>
      <c r="U11591" s="2"/>
      <c r="V11591" s="2"/>
      <c r="W11591" s="2"/>
      <c r="X11591" s="2"/>
      <c r="Y11591" s="2"/>
      <c r="Z11591" s="2"/>
    </row>
    <row r="11592" spans="1:26" ht="16.5" x14ac:dyDescent="0.35">
      <c r="A11592" s="2" t="str">
        <f ca="1">IFERROR(__xludf.DUMMYFUNCTION("""COMPUTED_VALUE"""),"Ajman")</f>
        <v>Ajman</v>
      </c>
      <c r="B11592" s="2" t="str">
        <f ca="1">IFERROR(__xludf.DUMMYFUNCTION("""COMPUTED_VALUE"""),"Sealine Residence")</f>
        <v>Sealine Residence</v>
      </c>
      <c r="C11592" s="2" t="str">
        <f ca="1">IFERROR(__xludf.DUMMYFUNCTION("""COMPUTED_VALUE"""),"Building")</f>
        <v>Building</v>
      </c>
      <c r="D11592" s="2" t="str">
        <f ca="1">IFERROR(__xludf.DUMMYFUNCTION("""COMPUTED_VALUE"""),"Ajman&gt;Al Zorah&gt;Sealine Residence")</f>
        <v>Ajman&gt;Al Zorah&gt;Sealine Residence</v>
      </c>
      <c r="E11592" s="2"/>
      <c r="F11592" s="2"/>
      <c r="G11592" s="2"/>
      <c r="H11592" s="2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2"/>
      <c r="T11592" s="2"/>
      <c r="U11592" s="2"/>
      <c r="V11592" s="2"/>
      <c r="W11592" s="2"/>
      <c r="X11592" s="2"/>
      <c r="Y11592" s="2"/>
      <c r="Z11592" s="2"/>
    </row>
    <row r="11593" spans="1:26" ht="16.5" x14ac:dyDescent="0.35">
      <c r="A11593" s="2" t="str">
        <f ca="1">IFERROR(__xludf.DUMMYFUNCTION("""COMPUTED_VALUE"""),"Ajman")</f>
        <v>Ajman</v>
      </c>
      <c r="B11593" s="2" t="str">
        <f ca="1">IFERROR(__xludf.DUMMYFUNCTION("""COMPUTED_VALUE"""),"Al Owais Heights")</f>
        <v>Al Owais Heights</v>
      </c>
      <c r="C11593" s="2"/>
      <c r="D11593" s="2" t="str">
        <f ca="1">IFERROR(__xludf.DUMMYFUNCTION("""COMPUTED_VALUE"""),"Ajman&gt;Al Humaid City&gt;Al Owais Heights")</f>
        <v>Ajman&gt;Al Humaid City&gt;Al Owais Heights</v>
      </c>
      <c r="E11593" s="2"/>
      <c r="F11593" s="2"/>
      <c r="G11593" s="2"/>
      <c r="H11593" s="2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2"/>
      <c r="T11593" s="2"/>
      <c r="U11593" s="2"/>
      <c r="V11593" s="2"/>
      <c r="W11593" s="2"/>
      <c r="X11593" s="2"/>
      <c r="Y11593" s="2"/>
      <c r="Z11593" s="2"/>
    </row>
    <row r="11594" spans="1:26" ht="16.5" x14ac:dyDescent="0.35">
      <c r="A11594" s="2" t="str">
        <f ca="1">IFERROR(__xludf.DUMMYFUNCTION("""COMPUTED_VALUE"""),"Ajman")</f>
        <v>Ajman</v>
      </c>
      <c r="B11594" s="2" t="str">
        <f ca="1">IFERROR(__xludf.DUMMYFUNCTION("""COMPUTED_VALUE"""),"Al Zahraa")</f>
        <v>Al Zahraa</v>
      </c>
      <c r="C11594" s="2" t="str">
        <f ca="1">IFERROR(__xludf.DUMMYFUNCTION("""COMPUTED_VALUE"""),"Building")</f>
        <v>Building</v>
      </c>
      <c r="D11594" s="2" t="str">
        <f ca="1">IFERROR(__xludf.DUMMYFUNCTION("""COMPUTED_VALUE"""),"Ajman&gt;Al Zahraa")</f>
        <v>Ajman&gt;Al Zahraa</v>
      </c>
      <c r="E11594" s="2"/>
      <c r="F11594" s="2"/>
      <c r="G11594" s="2"/>
      <c r="H11594" s="2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2"/>
      <c r="T11594" s="2"/>
      <c r="U11594" s="2"/>
      <c r="V11594" s="2"/>
      <c r="W11594" s="2"/>
      <c r="X11594" s="2"/>
      <c r="Y11594" s="2"/>
      <c r="Z11594" s="2"/>
    </row>
    <row r="11595" spans="1:26" ht="16.5" x14ac:dyDescent="0.35">
      <c r="A11595" s="2" t="str">
        <f ca="1">IFERROR(__xludf.DUMMYFUNCTION("""COMPUTED_VALUE"""),"Ajman")</f>
        <v>Ajman</v>
      </c>
      <c r="B11595" s="2" t="str">
        <f ca="1">IFERROR(__xludf.DUMMYFUNCTION("""COMPUTED_VALUE"""),"Al Eman 2 Building")</f>
        <v>Al Eman 2 Building</v>
      </c>
      <c r="C11595" s="2" t="str">
        <f ca="1">IFERROR(__xludf.DUMMYFUNCTION("""COMPUTED_VALUE"""),"Building")</f>
        <v>Building</v>
      </c>
      <c r="D11595" s="2" t="str">
        <f ca="1">IFERROR(__xludf.DUMMYFUNCTION("""COMPUTED_VALUE"""),"Ajman&gt;Al Nuaimiya&gt;Al Nuaimiya 2&gt;Al Eman 2 Building")</f>
        <v>Ajman&gt;Al Nuaimiya&gt;Al Nuaimiya 2&gt;Al Eman 2 Building</v>
      </c>
      <c r="E11595" s="2"/>
      <c r="F11595" s="2"/>
      <c r="G11595" s="2"/>
      <c r="H11595" s="2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2"/>
      <c r="T11595" s="2"/>
      <c r="U11595" s="2"/>
      <c r="V11595" s="2"/>
      <c r="W11595" s="2"/>
      <c r="X11595" s="2"/>
      <c r="Y11595" s="2"/>
      <c r="Z11595" s="2"/>
    </row>
    <row r="11596" spans="1:26" ht="16.5" x14ac:dyDescent="0.35">
      <c r="A11596" s="2" t="str">
        <f ca="1">IFERROR(__xludf.DUMMYFUNCTION("""COMPUTED_VALUE"""),"Sharjah")</f>
        <v>Sharjah</v>
      </c>
      <c r="B11596" s="2" t="str">
        <f ca="1">IFERROR(__xludf.DUMMYFUNCTION("""COMPUTED_VALUE"""),"Diamond Tower 1")</f>
        <v>Diamond Tower 1</v>
      </c>
      <c r="C11596" s="2" t="str">
        <f ca="1">IFERROR(__xludf.DUMMYFUNCTION("""COMPUTED_VALUE"""),"Building")</f>
        <v>Building</v>
      </c>
      <c r="D11596" s="2" t="str">
        <f ca="1">IFERROR(__xludf.DUMMYFUNCTION("""COMPUTED_VALUE"""),"Sharjah&gt;Al Nahda (Sharjah)&gt;Diamond Tower 1")</f>
        <v>Sharjah&gt;Al Nahda (Sharjah)&gt;Diamond Tower 1</v>
      </c>
      <c r="E11596" s="2"/>
      <c r="F11596" s="2"/>
      <c r="G11596" s="2"/>
      <c r="H11596" s="2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2"/>
      <c r="T11596" s="2"/>
      <c r="U11596" s="2"/>
      <c r="V11596" s="2"/>
      <c r="W11596" s="2"/>
      <c r="X11596" s="2"/>
      <c r="Y11596" s="2"/>
      <c r="Z11596" s="2"/>
    </row>
    <row r="11597" spans="1:26" ht="16.5" x14ac:dyDescent="0.35">
      <c r="A11597" s="2" t="str">
        <f ca="1">IFERROR(__xludf.DUMMYFUNCTION("""COMPUTED_VALUE"""),"Sharjah")</f>
        <v>Sharjah</v>
      </c>
      <c r="B11597" s="2" t="str">
        <f ca="1">IFERROR(__xludf.DUMMYFUNCTION("""COMPUTED_VALUE"""),"National Charity School - Sharjah")</f>
        <v>National Charity School - Sharjah</v>
      </c>
      <c r="C11597" s="2" t="str">
        <f ca="1">IFERROR(__xludf.DUMMYFUNCTION("""COMPUTED_VALUE"""),"School")</f>
        <v>School</v>
      </c>
      <c r="D11597" s="2" t="str">
        <f ca="1">IFERROR(__xludf.DUMMYFUNCTION("""COMPUTED_VALUE"""),"Sharjah&gt;Al Nahda (Sharjah)&gt;Al Qadesia&gt;National Charity School - Sharjah")</f>
        <v>Sharjah&gt;Al Nahda (Sharjah)&gt;Al Qadesia&gt;National Charity School - Sharjah</v>
      </c>
      <c r="E11597" s="2"/>
      <c r="F11597" s="2"/>
      <c r="G11597" s="2"/>
      <c r="H11597" s="2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2"/>
      <c r="T11597" s="2"/>
      <c r="U11597" s="2"/>
      <c r="V11597" s="2"/>
      <c r="W11597" s="2"/>
      <c r="X11597" s="2"/>
      <c r="Y11597" s="2"/>
      <c r="Z11597" s="2"/>
    </row>
    <row r="11598" spans="1:26" ht="16.5" x14ac:dyDescent="0.35">
      <c r="A11598" s="2" t="str">
        <f ca="1">IFERROR(__xludf.DUMMYFUNCTION("""COMPUTED_VALUE"""),"Sharjah")</f>
        <v>Sharjah</v>
      </c>
      <c r="B11598" s="2" t="str">
        <f ca="1">IFERROR(__xludf.DUMMYFUNCTION("""COMPUTED_VALUE"""),"Malak Tower")</f>
        <v>Malak Tower</v>
      </c>
      <c r="C11598" s="2"/>
      <c r="D11598" s="2" t="str">
        <f ca="1">IFERROR(__xludf.DUMMYFUNCTION("""COMPUTED_VALUE"""),"Sharjah&gt;Al Nahda (Sharjah)&gt;Malak Tower")</f>
        <v>Sharjah&gt;Al Nahda (Sharjah)&gt;Malak Tower</v>
      </c>
      <c r="E11598" s="2"/>
      <c r="F11598" s="2"/>
      <c r="G11598" s="2"/>
      <c r="H11598" s="2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2"/>
      <c r="T11598" s="2"/>
      <c r="U11598" s="2"/>
      <c r="V11598" s="2"/>
      <c r="W11598" s="2"/>
      <c r="X11598" s="2"/>
      <c r="Y11598" s="2"/>
      <c r="Z11598" s="2"/>
    </row>
    <row r="11599" spans="1:26" ht="16.5" x14ac:dyDescent="0.35">
      <c r="A11599" s="2" t="str">
        <f ca="1">IFERROR(__xludf.DUMMYFUNCTION("""COMPUTED_VALUE"""),"Sharjah")</f>
        <v>Sharjah</v>
      </c>
      <c r="B11599" s="2" t="str">
        <f ca="1">IFERROR(__xludf.DUMMYFUNCTION("""COMPUTED_VALUE"""),"Gawharat Al Nahda Tower")</f>
        <v>Gawharat Al Nahda Tower</v>
      </c>
      <c r="C11599" s="2"/>
      <c r="D11599" s="2" t="str">
        <f ca="1">IFERROR(__xludf.DUMMYFUNCTION("""COMPUTED_VALUE"""),"Sharjah&gt;Al Nahda (Sharjah)&gt;Gawharat Al Nahda Tower")</f>
        <v>Sharjah&gt;Al Nahda (Sharjah)&gt;Gawharat Al Nahda Tower</v>
      </c>
      <c r="E11599" s="2"/>
      <c r="F11599" s="2"/>
      <c r="G11599" s="2"/>
      <c r="H11599" s="2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2"/>
      <c r="T11599" s="2"/>
      <c r="U11599" s="2"/>
      <c r="V11599" s="2"/>
      <c r="W11599" s="2"/>
      <c r="X11599" s="2"/>
      <c r="Y11599" s="2"/>
      <c r="Z11599" s="2"/>
    </row>
    <row r="11600" spans="1:26" ht="16.5" x14ac:dyDescent="0.35">
      <c r="A11600" s="2" t="str">
        <f ca="1">IFERROR(__xludf.DUMMYFUNCTION("""COMPUTED_VALUE"""),"Sharjah")</f>
        <v>Sharjah</v>
      </c>
      <c r="B11600" s="2" t="str">
        <f ca="1">IFERROR(__xludf.DUMMYFUNCTION("""COMPUTED_VALUE"""),"Al Ain Tower")</f>
        <v>Al Ain Tower</v>
      </c>
      <c r="C11600" s="2" t="str">
        <f ca="1">IFERROR(__xludf.DUMMYFUNCTION("""COMPUTED_VALUE"""),"Building")</f>
        <v>Building</v>
      </c>
      <c r="D11600" s="2" t="str">
        <f ca="1">IFERROR(__xludf.DUMMYFUNCTION("""COMPUTED_VALUE"""),"Sharjah&gt;Al Nahda (Sharjah)&gt;Al Ain Tower")</f>
        <v>Sharjah&gt;Al Nahda (Sharjah)&gt;Al Ain Tower</v>
      </c>
      <c r="E11600" s="2"/>
      <c r="F11600" s="2"/>
      <c r="G11600" s="2"/>
      <c r="H11600" s="2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2"/>
      <c r="T11600" s="2"/>
      <c r="U11600" s="2"/>
      <c r="V11600" s="2"/>
      <c r="W11600" s="2"/>
      <c r="X11600" s="2"/>
      <c r="Y11600" s="2"/>
      <c r="Z11600" s="2"/>
    </row>
    <row r="11601" spans="1:26" ht="16.5" x14ac:dyDescent="0.35">
      <c r="A11601" s="2" t="str">
        <f ca="1">IFERROR(__xludf.DUMMYFUNCTION("""COMPUTED_VALUE"""),"Sharjah")</f>
        <v>Sharjah</v>
      </c>
      <c r="B11601" s="2" t="str">
        <f ca="1">IFERROR(__xludf.DUMMYFUNCTION("""COMPUTED_VALUE"""),"Victoria International School of Sharjah Khorfakkan")</f>
        <v>Victoria International School of Sharjah Khorfakkan</v>
      </c>
      <c r="C11601" s="2" t="str">
        <f ca="1">IFERROR(__xludf.DUMMYFUNCTION("""COMPUTED_VALUE"""),"School")</f>
        <v>School</v>
      </c>
      <c r="D11601" s="2" t="str">
        <f ca="1">IFERROR(__xludf.DUMMYFUNCTION("""COMPUTED_VALUE"""),"Sharjah&gt;Khor Fakkan&gt;Victoria International School of Sharjah Khorfakkan")</f>
        <v>Sharjah&gt;Khor Fakkan&gt;Victoria International School of Sharjah Khorfakkan</v>
      </c>
      <c r="E11601" s="2"/>
      <c r="F11601" s="2"/>
      <c r="G11601" s="2"/>
      <c r="H11601" s="2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2"/>
      <c r="T11601" s="2"/>
      <c r="U11601" s="2"/>
      <c r="V11601" s="2"/>
      <c r="W11601" s="2"/>
      <c r="X11601" s="2"/>
      <c r="Y11601" s="2"/>
      <c r="Z11601" s="2"/>
    </row>
    <row r="11602" spans="1:26" ht="16.5" x14ac:dyDescent="0.35">
      <c r="A11602" s="2" t="str">
        <f ca="1">IFERROR(__xludf.DUMMYFUNCTION("""COMPUTED_VALUE"""),"Sharjah")</f>
        <v>Sharjah</v>
      </c>
      <c r="B11602" s="2" t="str">
        <f ca="1">IFERROR(__xludf.DUMMYFUNCTION("""COMPUTED_VALUE"""),"Nest 6")</f>
        <v>Nest 6</v>
      </c>
      <c r="C11602" s="2" t="str">
        <f ca="1">IFERROR(__xludf.DUMMYFUNCTION("""COMPUTED_VALUE"""),"Building")</f>
        <v>Building</v>
      </c>
      <c r="D11602" s="2" t="str">
        <f ca="1">IFERROR(__xludf.DUMMYFUNCTION("""COMPUTED_VALUE"""),"Sharjah&gt;Aljada&gt;Nest Student Accommodation&gt;Nest 6")</f>
        <v>Sharjah&gt;Aljada&gt;Nest Student Accommodation&gt;Nest 6</v>
      </c>
      <c r="E11602" s="2"/>
      <c r="F11602" s="2"/>
      <c r="G11602" s="2"/>
      <c r="H11602" s="2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2"/>
      <c r="T11602" s="2"/>
      <c r="U11602" s="2"/>
      <c r="V11602" s="2"/>
      <c r="W11602" s="2"/>
      <c r="X11602" s="2"/>
      <c r="Y11602" s="2"/>
      <c r="Z11602" s="2"/>
    </row>
    <row r="11603" spans="1:26" ht="16.5" x14ac:dyDescent="0.35">
      <c r="A11603" s="2" t="str">
        <f ca="1">IFERROR(__xludf.DUMMYFUNCTION("""COMPUTED_VALUE"""),"Sharjah")</f>
        <v>Sharjah</v>
      </c>
      <c r="B11603" s="2" t="str">
        <f ca="1">IFERROR(__xludf.DUMMYFUNCTION("""COMPUTED_VALUE"""),"The Gate 1")</f>
        <v>The Gate 1</v>
      </c>
      <c r="C11603" s="2" t="str">
        <f ca="1">IFERROR(__xludf.DUMMYFUNCTION("""COMPUTED_VALUE"""),"Building")</f>
        <v>Building</v>
      </c>
      <c r="D11603" s="2" t="str">
        <f ca="1">IFERROR(__xludf.DUMMYFUNCTION("""COMPUTED_VALUE"""),"Sharjah&gt;Aljada&gt;The Gate&gt;The Gate 1")</f>
        <v>Sharjah&gt;Aljada&gt;The Gate&gt;The Gate 1</v>
      </c>
      <c r="E11603" s="2"/>
      <c r="F11603" s="2"/>
      <c r="G11603" s="2"/>
      <c r="H11603" s="2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2"/>
      <c r="T11603" s="2"/>
      <c r="U11603" s="2"/>
      <c r="V11603" s="2"/>
      <c r="W11603" s="2"/>
      <c r="X11603" s="2"/>
      <c r="Y11603" s="2"/>
      <c r="Z11603" s="2"/>
    </row>
    <row r="11604" spans="1:26" ht="16.5" x14ac:dyDescent="0.35">
      <c r="A11604" s="2" t="str">
        <f ca="1">IFERROR(__xludf.DUMMYFUNCTION("""COMPUTED_VALUE"""),"Sharjah")</f>
        <v>Sharjah</v>
      </c>
      <c r="B11604" s="2" t="str">
        <f ca="1">IFERROR(__xludf.DUMMYFUNCTION("""COMPUTED_VALUE"""),"Safa 4")</f>
        <v>Safa 4</v>
      </c>
      <c r="C11604" s="2" t="str">
        <f ca="1">IFERROR(__xludf.DUMMYFUNCTION("""COMPUTED_VALUE"""),"Building")</f>
        <v>Building</v>
      </c>
      <c r="D11604" s="2" t="str">
        <f ca="1">IFERROR(__xludf.DUMMYFUNCTION("""COMPUTED_VALUE"""),"Sharjah&gt;Aljada&gt;Safa&gt;Safa 4")</f>
        <v>Sharjah&gt;Aljada&gt;Safa&gt;Safa 4</v>
      </c>
      <c r="E11604" s="2"/>
      <c r="F11604" s="2"/>
      <c r="G11604" s="2"/>
      <c r="H11604" s="2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2"/>
      <c r="T11604" s="2"/>
      <c r="U11604" s="2"/>
      <c r="V11604" s="2"/>
      <c r="W11604" s="2"/>
      <c r="X11604" s="2"/>
      <c r="Y11604" s="2"/>
      <c r="Z11604" s="2"/>
    </row>
    <row r="11605" spans="1:26" ht="16.5" x14ac:dyDescent="0.35">
      <c r="A11605" s="2" t="str">
        <f ca="1">IFERROR(__xludf.DUMMYFUNCTION("""COMPUTED_VALUE"""),"Sharjah")</f>
        <v>Sharjah</v>
      </c>
      <c r="B11605" s="2" t="str">
        <f ca="1">IFERROR(__xludf.DUMMYFUNCTION("""COMPUTED_VALUE"""),"Alothman Building")</f>
        <v>Alothman Building</v>
      </c>
      <c r="C11605" s="2"/>
      <c r="D11605" s="2" t="str">
        <f ca="1">IFERROR(__xludf.DUMMYFUNCTION("""COMPUTED_VALUE"""),"Sharjah&gt;Abu Shagara&gt;Alothman Building")</f>
        <v>Sharjah&gt;Abu Shagara&gt;Alothman Building</v>
      </c>
      <c r="E11605" s="2"/>
      <c r="F11605" s="2"/>
      <c r="G11605" s="2"/>
      <c r="H11605" s="2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2"/>
      <c r="T11605" s="2"/>
      <c r="U11605" s="2"/>
      <c r="V11605" s="2"/>
      <c r="W11605" s="2"/>
      <c r="X11605" s="2"/>
      <c r="Y11605" s="2"/>
      <c r="Z11605" s="2"/>
    </row>
    <row r="11606" spans="1:26" ht="16.5" x14ac:dyDescent="0.35">
      <c r="A11606" s="2" t="str">
        <f ca="1">IFERROR(__xludf.DUMMYFUNCTION("""COMPUTED_VALUE"""),"Sharjah")</f>
        <v>Sharjah</v>
      </c>
      <c r="B11606" s="2" t="str">
        <f ca="1">IFERROR(__xludf.DUMMYFUNCTION("""COMPUTED_VALUE"""),"Al Ghubaiba")</f>
        <v>Al Ghubaiba</v>
      </c>
      <c r="C11606" s="2" t="str">
        <f ca="1">IFERROR(__xludf.DUMMYFUNCTION("""COMPUTED_VALUE"""),"Neighbourhood")</f>
        <v>Neighbourhood</v>
      </c>
      <c r="D11606" s="2" t="str">
        <f ca="1">IFERROR(__xludf.DUMMYFUNCTION("""COMPUTED_VALUE"""),"Sharjah&gt;Al Ghubaiba")</f>
        <v>Sharjah&gt;Al Ghubaiba</v>
      </c>
      <c r="E11606" s="2"/>
      <c r="F11606" s="2"/>
      <c r="G11606" s="2"/>
      <c r="H11606" s="2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2"/>
      <c r="T11606" s="2"/>
      <c r="U11606" s="2"/>
      <c r="V11606" s="2"/>
      <c r="W11606" s="2"/>
      <c r="X11606" s="2"/>
      <c r="Y11606" s="2"/>
      <c r="Z11606" s="2"/>
    </row>
    <row r="11607" spans="1:26" ht="16.5" x14ac:dyDescent="0.35">
      <c r="A11607" s="2" t="str">
        <f ca="1">IFERROR(__xludf.DUMMYFUNCTION("""COMPUTED_VALUE"""),"Sharjah")</f>
        <v>Sharjah</v>
      </c>
      <c r="B11607" s="2" t="str">
        <f ca="1">IFERROR(__xludf.DUMMYFUNCTION("""COMPUTED_VALUE"""),"Al Qarayen")</f>
        <v>Al Qarayen</v>
      </c>
      <c r="C11607" s="2" t="str">
        <f ca="1">IFERROR(__xludf.DUMMYFUNCTION("""COMPUTED_VALUE"""),"Neighbourhood")</f>
        <v>Neighbourhood</v>
      </c>
      <c r="D11607" s="2" t="str">
        <f ca="1">IFERROR(__xludf.DUMMYFUNCTION("""COMPUTED_VALUE"""),"Sharjah&gt;Al Qarayen")</f>
        <v>Sharjah&gt;Al Qarayen</v>
      </c>
      <c r="E11607" s="2"/>
      <c r="F11607" s="2"/>
      <c r="G11607" s="2"/>
      <c r="H11607" s="2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2"/>
      <c r="T11607" s="2"/>
      <c r="U11607" s="2"/>
      <c r="V11607" s="2"/>
      <c r="W11607" s="2"/>
      <c r="X11607" s="2"/>
      <c r="Y11607" s="2"/>
      <c r="Z11607" s="2"/>
    </row>
    <row r="11608" spans="1:26" ht="16.5" x14ac:dyDescent="0.35">
      <c r="A11608" s="2" t="str">
        <f ca="1">IFERROR(__xludf.DUMMYFUNCTION("""COMPUTED_VALUE"""),"Sharjah")</f>
        <v>Sharjah</v>
      </c>
      <c r="B11608" s="2" t="str">
        <f ca="1">IFERROR(__xludf.DUMMYFUNCTION("""COMPUTED_VALUE"""),"Masaar")</f>
        <v>Masaar</v>
      </c>
      <c r="C11608" s="2" t="str">
        <f ca="1">IFERROR(__xludf.DUMMYFUNCTION("""COMPUTED_VALUE"""),"Neighbourhood")</f>
        <v>Neighbourhood</v>
      </c>
      <c r="D11608" s="2" t="str">
        <f ca="1">IFERROR(__xludf.DUMMYFUNCTION("""COMPUTED_VALUE"""),"Sharjah&gt;Tilal City&gt;Masaar")</f>
        <v>Sharjah&gt;Tilal City&gt;Masaar</v>
      </c>
      <c r="E11608" s="2"/>
      <c r="F11608" s="2"/>
      <c r="G11608" s="2"/>
      <c r="H11608" s="2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2"/>
      <c r="T11608" s="2"/>
      <c r="U11608" s="2"/>
      <c r="V11608" s="2"/>
      <c r="W11608" s="2"/>
      <c r="X11608" s="2"/>
      <c r="Y11608" s="2"/>
      <c r="Z11608" s="2"/>
    </row>
    <row r="11609" spans="1:26" ht="16.5" x14ac:dyDescent="0.35">
      <c r="A11609" s="2" t="str">
        <f ca="1">IFERROR(__xludf.DUMMYFUNCTION("""COMPUTED_VALUE"""),"Sharjah")</f>
        <v>Sharjah</v>
      </c>
      <c r="B11609" s="2" t="str">
        <f ca="1">IFERROR(__xludf.DUMMYFUNCTION("""COMPUTED_VALUE"""),"Al Murooj English School")</f>
        <v>Al Murooj English School</v>
      </c>
      <c r="C11609" s="2" t="str">
        <f ca="1">IFERROR(__xludf.DUMMYFUNCTION("""COMPUTED_VALUE"""),"School")</f>
        <v>School</v>
      </c>
      <c r="D11609" s="2" t="str">
        <f ca="1">IFERROR(__xludf.DUMMYFUNCTION("""COMPUTED_VALUE"""),"Sharjah&gt;Al Azra&gt;Al Murooj English School")</f>
        <v>Sharjah&gt;Al Azra&gt;Al Murooj English School</v>
      </c>
      <c r="E11609" s="2"/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  <c r="V11609" s="2"/>
      <c r="W11609" s="2"/>
      <c r="X11609" s="2"/>
      <c r="Y11609" s="2"/>
      <c r="Z11609" s="2"/>
    </row>
    <row r="11610" spans="1:26" ht="16.5" x14ac:dyDescent="0.35">
      <c r="A11610" s="2" t="str">
        <f ca="1">IFERROR(__xludf.DUMMYFUNCTION("""COMPUTED_VALUE"""),"Sharjah")</f>
        <v>Sharjah</v>
      </c>
      <c r="B11610" s="2" t="str">
        <f ca="1">IFERROR(__xludf.DUMMYFUNCTION("""COMPUTED_VALUE"""),"Al Musalla")</f>
        <v>Al Musalla</v>
      </c>
      <c r="C11610" s="2" t="str">
        <f ca="1">IFERROR(__xludf.DUMMYFUNCTION("""COMPUTED_VALUE"""),"Neighbourhood")</f>
        <v>Neighbourhood</v>
      </c>
      <c r="D11610" s="2" t="str">
        <f ca="1">IFERROR(__xludf.DUMMYFUNCTION("""COMPUTED_VALUE"""),"Sharjah&gt;Al Musalla")</f>
        <v>Sharjah&gt;Al Musalla</v>
      </c>
      <c r="E11610" s="2"/>
      <c r="F11610" s="2"/>
      <c r="G11610" s="2"/>
      <c r="H11610" s="2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2"/>
      <c r="T11610" s="2"/>
      <c r="U11610" s="2"/>
      <c r="V11610" s="2"/>
      <c r="W11610" s="2"/>
      <c r="X11610" s="2"/>
      <c r="Y11610" s="2"/>
      <c r="Z11610" s="2"/>
    </row>
    <row r="11611" spans="1:26" ht="16.5" x14ac:dyDescent="0.35">
      <c r="A11611" s="2" t="str">
        <f ca="1">IFERROR(__xludf.DUMMYFUNCTION("""COMPUTED_VALUE"""),"Sharjah")</f>
        <v>Sharjah</v>
      </c>
      <c r="B11611" s="2" t="str">
        <f ca="1">IFERROR(__xludf.DUMMYFUNCTION("""COMPUTED_VALUE"""),"Al Riqaibah 8")</f>
        <v>Al Riqaibah 8</v>
      </c>
      <c r="C11611" s="2" t="str">
        <f ca="1">IFERROR(__xludf.DUMMYFUNCTION("""COMPUTED_VALUE"""),"Neighbourhood")</f>
        <v>Neighbourhood</v>
      </c>
      <c r="D11611" s="2" t="str">
        <f ca="1">IFERROR(__xludf.DUMMYFUNCTION("""COMPUTED_VALUE"""),"Sharjah&gt;Al Suyoh&gt;Al Riqaibah 8")</f>
        <v>Sharjah&gt;Al Suyoh&gt;Al Riqaibah 8</v>
      </c>
      <c r="E11611" s="2"/>
      <c r="F11611" s="2"/>
      <c r="G11611" s="2"/>
      <c r="H11611" s="2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2"/>
      <c r="T11611" s="2"/>
      <c r="U11611" s="2"/>
      <c r="V11611" s="2"/>
      <c r="W11611" s="2"/>
      <c r="X11611" s="2"/>
      <c r="Y11611" s="2"/>
      <c r="Z11611" s="2"/>
    </row>
    <row r="11612" spans="1:26" ht="16.5" x14ac:dyDescent="0.35">
      <c r="A11612" s="2" t="str">
        <f ca="1">IFERROR(__xludf.DUMMYFUNCTION("""COMPUTED_VALUE"""),"Sharjah")</f>
        <v>Sharjah</v>
      </c>
      <c r="B11612" s="2" t="str">
        <f ca="1">IFERROR(__xludf.DUMMYFUNCTION("""COMPUTED_VALUE"""),"Baghlaf Building")</f>
        <v>Baghlaf Building</v>
      </c>
      <c r="C11612" s="2" t="str">
        <f ca="1">IFERROR(__xludf.DUMMYFUNCTION("""COMPUTED_VALUE"""),"Building")</f>
        <v>Building</v>
      </c>
      <c r="D11612" s="2" t="str">
        <f ca="1">IFERROR(__xludf.DUMMYFUNCTION("""COMPUTED_VALUE"""),"Sharjah&gt;Al Mareija&gt;Baghlaf Building")</f>
        <v>Sharjah&gt;Al Mareija&gt;Baghlaf Building</v>
      </c>
      <c r="E11612" s="2"/>
      <c r="F11612" s="2"/>
      <c r="G11612" s="2"/>
      <c r="H11612" s="2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2"/>
      <c r="T11612" s="2"/>
      <c r="U11612" s="2"/>
      <c r="V11612" s="2"/>
      <c r="W11612" s="2"/>
      <c r="X11612" s="2"/>
      <c r="Y11612" s="2"/>
      <c r="Z11612" s="2"/>
    </row>
    <row r="11613" spans="1:26" ht="16.5" x14ac:dyDescent="0.35">
      <c r="A11613" s="2" t="str">
        <f ca="1">IFERROR(__xludf.DUMMYFUNCTION("""COMPUTED_VALUE"""),"Sharjah")</f>
        <v>Sharjah</v>
      </c>
      <c r="B11613" s="2" t="str">
        <f ca="1">IFERROR(__xludf.DUMMYFUNCTION("""COMPUTED_VALUE"""),"Um Tarafa")</f>
        <v>Um Tarafa</v>
      </c>
      <c r="C11613" s="2" t="str">
        <f ca="1">IFERROR(__xludf.DUMMYFUNCTION("""COMPUTED_VALUE"""),"Neighbourhood")</f>
        <v>Neighbourhood</v>
      </c>
      <c r="D11613" s="2" t="str">
        <f ca="1">IFERROR(__xludf.DUMMYFUNCTION("""COMPUTED_VALUE"""),"Sharjah&gt;Um Tarafa")</f>
        <v>Sharjah&gt;Um Tarafa</v>
      </c>
      <c r="E11613" s="2"/>
      <c r="F11613" s="2"/>
      <c r="G11613" s="2"/>
      <c r="H11613" s="2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2"/>
      <c r="T11613" s="2"/>
      <c r="U11613" s="2"/>
      <c r="V11613" s="2"/>
      <c r="W11613" s="2"/>
      <c r="X11613" s="2"/>
      <c r="Y11613" s="2"/>
      <c r="Z11613" s="2"/>
    </row>
    <row r="11614" spans="1:26" ht="16.5" x14ac:dyDescent="0.35">
      <c r="A11614" s="2" t="str">
        <f ca="1">IFERROR(__xludf.DUMMYFUNCTION("""COMPUTED_VALUE"""),"Sharjah")</f>
        <v>Sharjah</v>
      </c>
      <c r="B11614" s="2" t="str">
        <f ca="1">IFERROR(__xludf.DUMMYFUNCTION("""COMPUTED_VALUE"""),"Sharjah Sustainable City")</f>
        <v>Sharjah Sustainable City</v>
      </c>
      <c r="C11614" s="2" t="str">
        <f ca="1">IFERROR(__xludf.DUMMYFUNCTION("""COMPUTED_VALUE"""),"Neighbourhood")</f>
        <v>Neighbourhood</v>
      </c>
      <c r="D11614" s="2" t="str">
        <f ca="1">IFERROR(__xludf.DUMMYFUNCTION("""COMPUTED_VALUE"""),"Sharjah&gt;Al Rahmaniya&gt;Shaghrafa 1&gt;Sharjah Sustainable City")</f>
        <v>Sharjah&gt;Al Rahmaniya&gt;Shaghrafa 1&gt;Sharjah Sustainable City</v>
      </c>
      <c r="E11614" s="2"/>
      <c r="F11614" s="2"/>
      <c r="G11614" s="2"/>
      <c r="H11614" s="2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2"/>
      <c r="T11614" s="2"/>
      <c r="U11614" s="2"/>
      <c r="V11614" s="2"/>
      <c r="W11614" s="2"/>
      <c r="X11614" s="2"/>
      <c r="Y11614" s="2"/>
      <c r="Z11614" s="2"/>
    </row>
    <row r="11615" spans="1:26" ht="16.5" x14ac:dyDescent="0.35">
      <c r="A11615" s="2" t="str">
        <f ca="1">IFERROR(__xludf.DUMMYFUNCTION("""COMPUTED_VALUE"""),"Sharjah")</f>
        <v>Sharjah</v>
      </c>
      <c r="B11615" s="2" t="str">
        <f ca="1">IFERROR(__xludf.DUMMYFUNCTION("""COMPUTED_VALUE"""),"Royal Beach Resort And Spa")</f>
        <v>Royal Beach Resort And Spa</v>
      </c>
      <c r="C11615" s="2"/>
      <c r="D11615" s="2" t="str">
        <f ca="1">IFERROR(__xludf.DUMMYFUNCTION("""COMPUTED_VALUE"""),"Sharjah&gt;Al Layyeh Suburb&gt;Royal Beach Resort And Spa")</f>
        <v>Sharjah&gt;Al Layyeh Suburb&gt;Royal Beach Resort And Spa</v>
      </c>
      <c r="E11615" s="2"/>
      <c r="F11615" s="2"/>
      <c r="G11615" s="2"/>
      <c r="H11615" s="2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2"/>
      <c r="T11615" s="2"/>
      <c r="U11615" s="2"/>
      <c r="V11615" s="2"/>
      <c r="W11615" s="2"/>
      <c r="X11615" s="2"/>
      <c r="Y11615" s="2"/>
      <c r="Z11615" s="2"/>
    </row>
    <row r="11616" spans="1:26" ht="16.5" x14ac:dyDescent="0.35">
      <c r="A11616" s="2" t="str">
        <f ca="1">IFERROR(__xludf.DUMMYFUNCTION("""COMPUTED_VALUE"""),"Sharjah")</f>
        <v>Sharjah</v>
      </c>
      <c r="B11616" s="2" t="str">
        <f ca="1">IFERROR(__xludf.DUMMYFUNCTION("""COMPUTED_VALUE"""),"Al Hafeet Building")</f>
        <v>Al Hafeet Building</v>
      </c>
      <c r="C11616" s="2"/>
      <c r="D11616" s="2" t="str">
        <f ca="1">IFERROR(__xludf.DUMMYFUNCTION("""COMPUTED_VALUE"""),"Sharjah&gt;Al Khan&gt;Al Hafeet Building")</f>
        <v>Sharjah&gt;Al Khan&gt;Al Hafeet Building</v>
      </c>
      <c r="E11616" s="2"/>
      <c r="F11616" s="2"/>
      <c r="G11616" s="2"/>
      <c r="H11616" s="2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2"/>
      <c r="T11616" s="2"/>
      <c r="U11616" s="2"/>
      <c r="V11616" s="2"/>
      <c r="W11616" s="2"/>
      <c r="X11616" s="2"/>
      <c r="Y11616" s="2"/>
      <c r="Z11616" s="2"/>
    </row>
    <row r="11617" spans="1:26" ht="16.5" x14ac:dyDescent="0.35">
      <c r="A11617" s="2" t="str">
        <f ca="1">IFERROR(__xludf.DUMMYFUNCTION("""COMPUTED_VALUE"""),"Sharjah")</f>
        <v>Sharjah</v>
      </c>
      <c r="B11617" s="2" t="str">
        <f ca="1">IFERROR(__xludf.DUMMYFUNCTION("""COMPUTED_VALUE"""),"Noor Residences")</f>
        <v>Noor Residences</v>
      </c>
      <c r="C11617" s="2" t="str">
        <f ca="1">IFERROR(__xludf.DUMMYFUNCTION("""COMPUTED_VALUE"""),"Building")</f>
        <v>Building</v>
      </c>
      <c r="D11617" s="2" t="str">
        <f ca="1">IFERROR(__xludf.DUMMYFUNCTION("""COMPUTED_VALUE"""),"Sharjah&gt;Al Khan&gt;Maryam Island&gt;Maryam Gate Residences&gt;Noor Residences")</f>
        <v>Sharjah&gt;Al Khan&gt;Maryam Island&gt;Maryam Gate Residences&gt;Noor Residences</v>
      </c>
      <c r="E11617" s="2"/>
      <c r="F11617" s="2"/>
      <c r="G11617" s="2"/>
      <c r="H11617" s="2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2"/>
      <c r="T11617" s="2"/>
      <c r="U11617" s="2"/>
      <c r="V11617" s="2"/>
      <c r="W11617" s="2"/>
      <c r="X11617" s="2"/>
      <c r="Y11617" s="2"/>
      <c r="Z11617" s="2"/>
    </row>
    <row r="11618" spans="1:26" ht="16.5" x14ac:dyDescent="0.35">
      <c r="A11618" s="2" t="str">
        <f ca="1">IFERROR(__xludf.DUMMYFUNCTION("""COMPUTED_VALUE"""),"Sharjah")</f>
        <v>Sharjah</v>
      </c>
      <c r="B11618" s="2" t="str">
        <f ca="1">IFERROR(__xludf.DUMMYFUNCTION("""COMPUTED_VALUE"""),"Al Maryum Building")</f>
        <v>Al Maryum Building</v>
      </c>
      <c r="C11618" s="2"/>
      <c r="D11618" s="2" t="str">
        <f ca="1">IFERROR(__xludf.DUMMYFUNCTION("""COMPUTED_VALUE"""),"Sharjah&gt;Al Khan&gt;Al Maryum Building")</f>
        <v>Sharjah&gt;Al Khan&gt;Al Maryum Building</v>
      </c>
      <c r="E11618" s="2"/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2"/>
      <c r="T11618" s="2"/>
      <c r="U11618" s="2"/>
      <c r="V11618" s="2"/>
      <c r="W11618" s="2"/>
      <c r="X11618" s="2"/>
      <c r="Y11618" s="2"/>
      <c r="Z11618" s="2"/>
    </row>
    <row r="11619" spans="1:26" ht="16.5" x14ac:dyDescent="0.35">
      <c r="A11619" s="2" t="str">
        <f ca="1">IFERROR(__xludf.DUMMYFUNCTION("""COMPUTED_VALUE"""),"Sharjah")</f>
        <v>Sharjah</v>
      </c>
      <c r="B11619" s="2" t="str">
        <f ca="1">IFERROR(__xludf.DUMMYFUNCTION("""COMPUTED_VALUE"""),"Al Falah Tower")</f>
        <v>Al Falah Tower</v>
      </c>
      <c r="C11619" s="2" t="str">
        <f ca="1">IFERROR(__xludf.DUMMYFUNCTION("""COMPUTED_VALUE"""),"Building")</f>
        <v>Building</v>
      </c>
      <c r="D11619" s="2" t="str">
        <f ca="1">IFERROR(__xludf.DUMMYFUNCTION("""COMPUTED_VALUE"""),"Sharjah&gt;Al Khan&gt;Al Falah Tower")</f>
        <v>Sharjah&gt;Al Khan&gt;Al Falah Tower</v>
      </c>
      <c r="E11619" s="2"/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2"/>
      <c r="T11619" s="2"/>
      <c r="U11619" s="2"/>
      <c r="V11619" s="2"/>
      <c r="W11619" s="2"/>
      <c r="X11619" s="2"/>
      <c r="Y11619" s="2"/>
      <c r="Z11619" s="2"/>
    </row>
    <row r="11620" spans="1:26" ht="16.5" x14ac:dyDescent="0.35">
      <c r="A11620" s="2" t="str">
        <f ca="1">IFERROR(__xludf.DUMMYFUNCTION("""COMPUTED_VALUE"""),"Sharjah")</f>
        <v>Sharjah</v>
      </c>
      <c r="B11620" s="2" t="str">
        <f ca="1">IFERROR(__xludf.DUMMYFUNCTION("""COMPUTED_VALUE"""),"Abu Bakar Building")</f>
        <v>Abu Bakar Building</v>
      </c>
      <c r="C11620" s="2"/>
      <c r="D11620" s="2" t="str">
        <f ca="1">IFERROR(__xludf.DUMMYFUNCTION("""COMPUTED_VALUE"""),"Sharjah&gt;Al Majaz&gt;Al Majaz 2&gt;Abu Bakar Building")</f>
        <v>Sharjah&gt;Al Majaz&gt;Al Majaz 2&gt;Abu Bakar Building</v>
      </c>
      <c r="E11620" s="2"/>
      <c r="F11620" s="2"/>
      <c r="G11620" s="2"/>
      <c r="H11620" s="2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2"/>
      <c r="T11620" s="2"/>
      <c r="U11620" s="2"/>
      <c r="V11620" s="2"/>
      <c r="W11620" s="2"/>
      <c r="X11620" s="2"/>
      <c r="Y11620" s="2"/>
      <c r="Z11620" s="2"/>
    </row>
    <row r="11621" spans="1:26" ht="16.5" x14ac:dyDescent="0.35">
      <c r="A11621" s="2" t="str">
        <f ca="1">IFERROR(__xludf.DUMMYFUNCTION("""COMPUTED_VALUE"""),"Sharjah")</f>
        <v>Sharjah</v>
      </c>
      <c r="B11621" s="2" t="str">
        <f ca="1">IFERROR(__xludf.DUMMYFUNCTION("""COMPUTED_VALUE"""),"Kuwait Finance Building")</f>
        <v>Kuwait Finance Building</v>
      </c>
      <c r="C11621" s="2"/>
      <c r="D11621" s="2" t="str">
        <f ca="1">IFERROR(__xludf.DUMMYFUNCTION("""COMPUTED_VALUE"""),"Sharjah&gt;Al Majaz&gt;Al Majaz 2&gt;Kuwait Finance Building")</f>
        <v>Sharjah&gt;Al Majaz&gt;Al Majaz 2&gt;Kuwait Finance Building</v>
      </c>
      <c r="E11621" s="2"/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2"/>
      <c r="T11621" s="2"/>
      <c r="U11621" s="2"/>
      <c r="V11621" s="2"/>
      <c r="W11621" s="2"/>
      <c r="X11621" s="2"/>
      <c r="Y11621" s="2"/>
      <c r="Z11621" s="2"/>
    </row>
    <row r="11622" spans="1:26" ht="16.5" x14ac:dyDescent="0.35">
      <c r="A11622" s="2" t="str">
        <f ca="1">IFERROR(__xludf.DUMMYFUNCTION("""COMPUTED_VALUE"""),"Sharjah")</f>
        <v>Sharjah</v>
      </c>
      <c r="B11622" s="2" t="str">
        <f ca="1">IFERROR(__xludf.DUMMYFUNCTION("""COMPUTED_VALUE"""),"Hilton Tower")</f>
        <v>Hilton Tower</v>
      </c>
      <c r="C11622" s="2"/>
      <c r="D11622" s="2" t="str">
        <f ca="1">IFERROR(__xludf.DUMMYFUNCTION("""COMPUTED_VALUE"""),"Sharjah&gt;Al Majaz&gt;Al Majaz 3&gt;Hilton Tower")</f>
        <v>Sharjah&gt;Al Majaz&gt;Al Majaz 3&gt;Hilton Tower</v>
      </c>
      <c r="E11622" s="2"/>
      <c r="F11622" s="2"/>
      <c r="G11622" s="2"/>
      <c r="H11622" s="2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2"/>
      <c r="T11622" s="2"/>
      <c r="U11622" s="2"/>
      <c r="V11622" s="2"/>
      <c r="W11622" s="2"/>
      <c r="X11622" s="2"/>
      <c r="Y11622" s="2"/>
      <c r="Z11622" s="2"/>
    </row>
    <row r="11623" spans="1:26" ht="16.5" x14ac:dyDescent="0.35">
      <c r="A11623" s="2" t="str">
        <f ca="1">IFERROR(__xludf.DUMMYFUNCTION("""COMPUTED_VALUE"""),"Sharjah")</f>
        <v>Sharjah</v>
      </c>
      <c r="B11623" s="2" t="str">
        <f ca="1">IFERROR(__xludf.DUMMYFUNCTION("""COMPUTED_VALUE"""),"Babel Tower")</f>
        <v>Babel Tower</v>
      </c>
      <c r="C11623" s="2"/>
      <c r="D11623" s="2" t="str">
        <f ca="1">IFERROR(__xludf.DUMMYFUNCTION("""COMPUTED_VALUE"""),"Sharjah&gt;Al Majaz&gt;Al Majaz 3&gt;Babel Tower")</f>
        <v>Sharjah&gt;Al Majaz&gt;Al Majaz 3&gt;Babel Tower</v>
      </c>
      <c r="E11623" s="2"/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2"/>
      <c r="T11623" s="2"/>
      <c r="U11623" s="2"/>
      <c r="V11623" s="2"/>
      <c r="W11623" s="2"/>
      <c r="X11623" s="2"/>
      <c r="Y11623" s="2"/>
      <c r="Z11623" s="2"/>
    </row>
    <row r="11624" spans="1:26" ht="16.5" x14ac:dyDescent="0.35">
      <c r="A11624" s="2" t="str">
        <f ca="1">IFERROR(__xludf.DUMMYFUNCTION("""COMPUTED_VALUE"""),"Sharjah")</f>
        <v>Sharjah</v>
      </c>
      <c r="B11624" s="2" t="str">
        <f ca="1">IFERROR(__xludf.DUMMYFUNCTION("""COMPUTED_VALUE"""),"Sirhi Tower")</f>
        <v>Sirhi Tower</v>
      </c>
      <c r="C11624" s="2"/>
      <c r="D11624" s="2" t="str">
        <f ca="1">IFERROR(__xludf.DUMMYFUNCTION("""COMPUTED_VALUE"""),"Sharjah&gt;Al Majaz&gt;Al Majaz 3&gt;Sirhi Tower")</f>
        <v>Sharjah&gt;Al Majaz&gt;Al Majaz 3&gt;Sirhi Tower</v>
      </c>
      <c r="E11624" s="2"/>
      <c r="F11624" s="2"/>
      <c r="G11624" s="2"/>
      <c r="H11624" s="2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2"/>
      <c r="T11624" s="2"/>
      <c r="U11624" s="2"/>
      <c r="V11624" s="2"/>
      <c r="W11624" s="2"/>
      <c r="X11624" s="2"/>
      <c r="Y11624" s="2"/>
      <c r="Z11624" s="2"/>
    </row>
    <row r="11625" spans="1:26" ht="16.5" x14ac:dyDescent="0.35">
      <c r="A11625" s="2" t="str">
        <f ca="1">IFERROR(__xludf.DUMMYFUNCTION("""COMPUTED_VALUE"""),"Sharjah")</f>
        <v>Sharjah</v>
      </c>
      <c r="B11625" s="2" t="str">
        <f ca="1">IFERROR(__xludf.DUMMYFUNCTION("""COMPUTED_VALUE"""),"Murjan Tower")</f>
        <v>Murjan Tower</v>
      </c>
      <c r="C11625" s="2" t="str">
        <f ca="1">IFERROR(__xludf.DUMMYFUNCTION("""COMPUTED_VALUE"""),"Building")</f>
        <v>Building</v>
      </c>
      <c r="D11625" s="2" t="str">
        <f ca="1">IFERROR(__xludf.DUMMYFUNCTION("""COMPUTED_VALUE"""),"Sharjah&gt;Al Majaz&gt;Al Majaz 1&gt;Murjan Tower")</f>
        <v>Sharjah&gt;Al Majaz&gt;Al Majaz 1&gt;Murjan Tower</v>
      </c>
      <c r="E11625" s="2"/>
      <c r="F11625" s="2"/>
      <c r="G11625" s="2"/>
      <c r="H11625" s="2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2"/>
      <c r="T11625" s="2"/>
      <c r="U11625" s="2"/>
      <c r="V11625" s="2"/>
      <c r="W11625" s="2"/>
      <c r="X11625" s="2"/>
      <c r="Y11625" s="2"/>
      <c r="Z11625" s="2"/>
    </row>
    <row r="11626" spans="1:26" ht="16.5" x14ac:dyDescent="0.35">
      <c r="A11626" s="2" t="str">
        <f ca="1">IFERROR(__xludf.DUMMYFUNCTION("""COMPUTED_VALUE"""),"Sharjah")</f>
        <v>Sharjah</v>
      </c>
      <c r="B11626" s="2" t="str">
        <f ca="1">IFERROR(__xludf.DUMMYFUNCTION("""COMPUTED_VALUE"""),"Mada'in Square")</f>
        <v>Mada'in Square</v>
      </c>
      <c r="C11626" s="2" t="str">
        <f ca="1">IFERROR(__xludf.DUMMYFUNCTION("""COMPUTED_VALUE"""),"Neighbourhood")</f>
        <v>Neighbourhood</v>
      </c>
      <c r="D11626" s="2" t="str">
        <f ca="1">IFERROR(__xludf.DUMMYFUNCTION("""COMPUTED_VALUE"""),"Sharjah&gt;Al Tay East&gt;Mada'in Square")</f>
        <v>Sharjah&gt;Al Tay East&gt;Mada'in Square</v>
      </c>
      <c r="E11626" s="2"/>
      <c r="F11626" s="2"/>
      <c r="G11626" s="2"/>
      <c r="H11626" s="2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2"/>
      <c r="T11626" s="2"/>
      <c r="U11626" s="2"/>
      <c r="V11626" s="2"/>
      <c r="W11626" s="2"/>
      <c r="X11626" s="2"/>
      <c r="Y11626" s="2"/>
      <c r="Z11626" s="2"/>
    </row>
    <row r="11627" spans="1:26" ht="16.5" x14ac:dyDescent="0.35">
      <c r="A11627" s="2" t="str">
        <f ca="1">IFERROR(__xludf.DUMMYFUNCTION("""COMPUTED_VALUE"""),"Sharjah")</f>
        <v>Sharjah</v>
      </c>
      <c r="B11627" s="2" t="str">
        <f ca="1">IFERROR(__xludf.DUMMYFUNCTION("""COMPUTED_VALUE"""),"Bin Ham Tower A")</f>
        <v>Bin Ham Tower A</v>
      </c>
      <c r="C11627" s="2" t="str">
        <f ca="1">IFERROR(__xludf.DUMMYFUNCTION("""COMPUTED_VALUE"""),"Building")</f>
        <v>Building</v>
      </c>
      <c r="D11627" s="2" t="str">
        <f ca="1">IFERROR(__xludf.DUMMYFUNCTION("""COMPUTED_VALUE"""),"Sharjah&gt;Al Taawun&gt;Bin Ham Towers&gt;Bin Ham Tower A")</f>
        <v>Sharjah&gt;Al Taawun&gt;Bin Ham Towers&gt;Bin Ham Tower A</v>
      </c>
      <c r="E11627" s="2"/>
      <c r="F11627" s="2"/>
      <c r="G11627" s="2"/>
      <c r="H11627" s="2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2"/>
      <c r="T11627" s="2"/>
      <c r="U11627" s="2"/>
      <c r="V11627" s="2"/>
      <c r="W11627" s="2"/>
      <c r="X11627" s="2"/>
      <c r="Y11627" s="2"/>
      <c r="Z11627" s="2"/>
    </row>
    <row r="11628" spans="1:26" ht="16.5" x14ac:dyDescent="0.35">
      <c r="A11628" s="2" t="str">
        <f ca="1">IFERROR(__xludf.DUMMYFUNCTION("""COMPUTED_VALUE"""),"Sharjah")</f>
        <v>Sharjah</v>
      </c>
      <c r="B11628" s="2" t="str">
        <f ca="1">IFERROR(__xludf.DUMMYFUNCTION("""COMPUTED_VALUE"""),"Al Bawadi 1 Building")</f>
        <v>Al Bawadi 1 Building</v>
      </c>
      <c r="C11628" s="2" t="str">
        <f ca="1">IFERROR(__xludf.DUMMYFUNCTION("""COMPUTED_VALUE"""),"Building")</f>
        <v>Building</v>
      </c>
      <c r="D11628" s="2" t="str">
        <f ca="1">IFERROR(__xludf.DUMMYFUNCTION("""COMPUTED_VALUE"""),"Sharjah&gt;Al Taawun&gt;Al Bawadi 1 Building")</f>
        <v>Sharjah&gt;Al Taawun&gt;Al Bawadi 1 Building</v>
      </c>
      <c r="E11628" s="2"/>
      <c r="F11628" s="2"/>
      <c r="G11628" s="2"/>
      <c r="H11628" s="2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2"/>
      <c r="T11628" s="2"/>
      <c r="U11628" s="2"/>
      <c r="V11628" s="2"/>
      <c r="W11628" s="2"/>
      <c r="X11628" s="2"/>
      <c r="Y11628" s="2"/>
      <c r="Z11628" s="2"/>
    </row>
    <row r="11629" spans="1:26" ht="16.5" x14ac:dyDescent="0.35">
      <c r="A11629" s="2" t="str">
        <f ca="1">IFERROR(__xludf.DUMMYFUNCTION("""COMPUTED_VALUE"""),"Sharjah")</f>
        <v>Sharjah</v>
      </c>
      <c r="B11629" s="2" t="str">
        <f ca="1">IFERROR(__xludf.DUMMYFUNCTION("""COMPUTED_VALUE"""),"Al Manazil Tower")</f>
        <v>Al Manazil Tower</v>
      </c>
      <c r="C11629" s="2" t="str">
        <f ca="1">IFERROR(__xludf.DUMMYFUNCTION("""COMPUTED_VALUE"""),"Building")</f>
        <v>Building</v>
      </c>
      <c r="D11629" s="2" t="str">
        <f ca="1">IFERROR(__xludf.DUMMYFUNCTION("""COMPUTED_VALUE"""),"Sharjah&gt;Al Qasimia&gt;Al Nad&gt;Al Manazil Tower")</f>
        <v>Sharjah&gt;Al Qasimia&gt;Al Nad&gt;Al Manazil Tower</v>
      </c>
      <c r="E11629" s="2"/>
      <c r="F11629" s="2"/>
      <c r="G11629" s="2"/>
      <c r="H11629" s="2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2"/>
      <c r="T11629" s="2"/>
      <c r="U11629" s="2"/>
      <c r="V11629" s="2"/>
      <c r="W11629" s="2"/>
      <c r="X11629" s="2"/>
      <c r="Y11629" s="2"/>
      <c r="Z11629" s="2"/>
    </row>
    <row r="11630" spans="1:26" ht="16.5" x14ac:dyDescent="0.35">
      <c r="A11630" s="2" t="str">
        <f ca="1">IFERROR(__xludf.DUMMYFUNCTION("""COMPUTED_VALUE"""),"Sharjah")</f>
        <v>Sharjah</v>
      </c>
      <c r="B11630" s="2" t="str">
        <f ca="1">IFERROR(__xludf.DUMMYFUNCTION("""COMPUTED_VALUE"""),"EBI Towers")</f>
        <v>EBI Towers</v>
      </c>
      <c r="C11630" s="2"/>
      <c r="D11630" s="2" t="str">
        <f ca="1">IFERROR(__xludf.DUMMYFUNCTION("""COMPUTED_VALUE"""),"Sharjah&gt;Al Qasimia&gt;Al Nad&gt;EBI Towers")</f>
        <v>Sharjah&gt;Al Qasimia&gt;Al Nad&gt;EBI Towers</v>
      </c>
      <c r="E11630" s="2"/>
      <c r="F11630" s="2"/>
      <c r="G11630" s="2"/>
      <c r="H11630" s="2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2"/>
      <c r="T11630" s="2"/>
      <c r="U11630" s="2"/>
      <c r="V11630" s="2"/>
      <c r="W11630" s="2"/>
      <c r="X11630" s="2"/>
      <c r="Y11630" s="2"/>
      <c r="Z11630" s="2"/>
    </row>
    <row r="11631" spans="1:26" ht="16.5" x14ac:dyDescent="0.35">
      <c r="A11631" s="2" t="str">
        <f ca="1">IFERROR(__xludf.DUMMYFUNCTION("""COMPUTED_VALUE"""),"Sharjah")</f>
        <v>Sharjah</v>
      </c>
      <c r="B11631" s="2" t="str">
        <f ca="1">IFERROR(__xludf.DUMMYFUNCTION("""COMPUTED_VALUE"""),"Al Marzouqi Tower A")</f>
        <v>Al Marzouqi Tower A</v>
      </c>
      <c r="C11631" s="2" t="str">
        <f ca="1">IFERROR(__xludf.DUMMYFUNCTION("""COMPUTED_VALUE"""),"Building")</f>
        <v>Building</v>
      </c>
      <c r="D11631" s="2" t="str">
        <f ca="1">IFERROR(__xludf.DUMMYFUNCTION("""COMPUTED_VALUE"""),"Sharjah&gt;Al Qasimia&gt;Al Marzouqi Towers&gt;Al Marzouqi Tower A")</f>
        <v>Sharjah&gt;Al Qasimia&gt;Al Marzouqi Towers&gt;Al Marzouqi Tower A</v>
      </c>
      <c r="E11631" s="2"/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2"/>
      <c r="T11631" s="2"/>
      <c r="U11631" s="2"/>
      <c r="V11631" s="2"/>
      <c r="W11631" s="2"/>
      <c r="X11631" s="2"/>
      <c r="Y11631" s="2"/>
      <c r="Z11631" s="2"/>
    </row>
    <row r="11632" spans="1:26" ht="16.5" x14ac:dyDescent="0.35">
      <c r="A11632" s="2" t="str">
        <f ca="1">IFERROR(__xludf.DUMMYFUNCTION("""COMPUTED_VALUE"""),"Sharjah")</f>
        <v>Sharjah</v>
      </c>
      <c r="B11632" s="2" t="str">
        <f ca="1">IFERROR(__xludf.DUMMYFUNCTION("""COMPUTED_VALUE"""),"Al Mubarak Centre")</f>
        <v>Al Mubarak Centre</v>
      </c>
      <c r="C11632" s="2"/>
      <c r="D11632" s="2" t="str">
        <f ca="1">IFERROR(__xludf.DUMMYFUNCTION("""COMPUTED_VALUE"""),"Sharjah&gt;Al Nabba&gt;Al Mubarak Centre")</f>
        <v>Sharjah&gt;Al Nabba&gt;Al Mubarak Centre</v>
      </c>
      <c r="E11632" s="2"/>
      <c r="F11632" s="2"/>
      <c r="G11632" s="2"/>
      <c r="H11632" s="2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2"/>
      <c r="T11632" s="2"/>
      <c r="U11632" s="2"/>
      <c r="V11632" s="2"/>
      <c r="W11632" s="2"/>
      <c r="X11632" s="2"/>
      <c r="Y11632" s="2"/>
      <c r="Z11632" s="2"/>
    </row>
    <row r="11633" spans="1:26" ht="16.5" x14ac:dyDescent="0.35">
      <c r="A11633" s="2" t="str">
        <f ca="1">IFERROR(__xludf.DUMMYFUNCTION("""COMPUTED_VALUE"""),"Sharjah")</f>
        <v>Sharjah</v>
      </c>
      <c r="B11633" s="2" t="str">
        <f ca="1">IFERROR(__xludf.DUMMYFUNCTION("""COMPUTED_VALUE"""),"GEMS Our Own English High School Sharjah")</f>
        <v>GEMS Our Own English High School Sharjah</v>
      </c>
      <c r="C11633" s="2" t="str">
        <f ca="1">IFERROR(__xludf.DUMMYFUNCTION("""COMPUTED_VALUE"""),"School")</f>
        <v>School</v>
      </c>
      <c r="D11633" s="2" t="str">
        <f ca="1">IFERROR(__xludf.DUMMYFUNCTION("""COMPUTED_VALUE"""),"Sharjah&gt;Industrial Area&gt;Industrial Area 6&gt;GEMS Our Own English High School Sharjah")</f>
        <v>Sharjah&gt;Industrial Area&gt;Industrial Area 6&gt;GEMS Our Own English High School Sharjah</v>
      </c>
      <c r="E11633" s="2"/>
      <c r="F11633" s="2"/>
      <c r="G11633" s="2"/>
      <c r="H11633" s="2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2"/>
      <c r="T11633" s="2"/>
      <c r="U11633" s="2"/>
      <c r="V11633" s="2"/>
      <c r="W11633" s="2"/>
      <c r="X11633" s="2"/>
      <c r="Y11633" s="2"/>
      <c r="Z11633" s="2"/>
    </row>
    <row r="11634" spans="1:26" ht="16.5" x14ac:dyDescent="0.35">
      <c r="A11634" s="2" t="str">
        <f ca="1">IFERROR(__xludf.DUMMYFUNCTION("""COMPUTED_VALUE"""),"Sharjah")</f>
        <v>Sharjah</v>
      </c>
      <c r="B11634" s="2" t="str">
        <f ca="1">IFERROR(__xludf.DUMMYFUNCTION("""COMPUTED_VALUE"""),"Industrial Area 7")</f>
        <v>Industrial Area 7</v>
      </c>
      <c r="C11634" s="2" t="str">
        <f ca="1">IFERROR(__xludf.DUMMYFUNCTION("""COMPUTED_VALUE"""),"Neighbourhood")</f>
        <v>Neighbourhood</v>
      </c>
      <c r="D11634" s="2" t="str">
        <f ca="1">IFERROR(__xludf.DUMMYFUNCTION("""COMPUTED_VALUE"""),"Sharjah&gt;Industrial Area&gt;Industrial Area 7")</f>
        <v>Sharjah&gt;Industrial Area&gt;Industrial Area 7</v>
      </c>
      <c r="E11634" s="2"/>
      <c r="F11634" s="2"/>
      <c r="G11634" s="2"/>
      <c r="H11634" s="2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2"/>
      <c r="T11634" s="2"/>
      <c r="U11634" s="2"/>
      <c r="V11634" s="2"/>
      <c r="W11634" s="2"/>
      <c r="X11634" s="2"/>
      <c r="Y11634" s="2"/>
      <c r="Z11634" s="2"/>
    </row>
    <row r="11635" spans="1:26" ht="16.5" x14ac:dyDescent="0.35">
      <c r="A11635" s="2" t="str">
        <f ca="1">IFERROR(__xludf.DUMMYFUNCTION("""COMPUTED_VALUE"""),"Sharjah")</f>
        <v>Sharjah</v>
      </c>
      <c r="B11635" s="2" t="str">
        <f ca="1">IFERROR(__xludf.DUMMYFUNCTION("""COMPUTED_VALUE"""),"RB 3")</f>
        <v>RB 3</v>
      </c>
      <c r="C11635" s="2" t="str">
        <f ca="1">IFERROR(__xludf.DUMMYFUNCTION("""COMPUTED_VALUE"""),"Building")</f>
        <v>Building</v>
      </c>
      <c r="D11635" s="2" t="str">
        <f ca="1">IFERROR(__xludf.DUMMYFUNCTION("""COMPUTED_VALUE"""),"Sharjah&gt;Muwaileh&gt;Al Mamsha&gt;Souks Residential&gt;RB 3")</f>
        <v>Sharjah&gt;Muwaileh&gt;Al Mamsha&gt;Souks Residential&gt;RB 3</v>
      </c>
      <c r="E11635" s="2"/>
      <c r="F11635" s="2"/>
      <c r="G11635" s="2"/>
      <c r="H11635" s="2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2"/>
      <c r="T11635" s="2"/>
      <c r="U11635" s="2"/>
      <c r="V11635" s="2"/>
      <c r="W11635" s="2"/>
      <c r="X11635" s="2"/>
      <c r="Y11635" s="2"/>
      <c r="Z11635" s="2"/>
    </row>
    <row r="11636" spans="1:26" ht="16.5" x14ac:dyDescent="0.35">
      <c r="A11636" s="2" t="str">
        <f ca="1">IFERROR(__xludf.DUMMYFUNCTION("""COMPUTED_VALUE"""),"Sharjah")</f>
        <v>Sharjah</v>
      </c>
      <c r="B11636" s="2" t="str">
        <f ca="1">IFERROR(__xludf.DUMMYFUNCTION("""COMPUTED_VALUE"""),"Woroud")</f>
        <v>Woroud</v>
      </c>
      <c r="C11636" s="2" t="str">
        <f ca="1">IFERROR(__xludf.DUMMYFUNCTION("""COMPUTED_VALUE"""),"Building")</f>
        <v>Building</v>
      </c>
      <c r="D11636" s="2" t="str">
        <f ca="1">IFERROR(__xludf.DUMMYFUNCTION("""COMPUTED_VALUE"""),"Sharjah&gt;Muwaileh&gt;Al Zahia&gt;UpTown Al Zahia&gt;Woroud")</f>
        <v>Sharjah&gt;Muwaileh&gt;Al Zahia&gt;UpTown Al Zahia&gt;Woroud</v>
      </c>
      <c r="E11636" s="2"/>
      <c r="F11636" s="2"/>
      <c r="G11636" s="2"/>
      <c r="H11636" s="2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2"/>
      <c r="T11636" s="2"/>
      <c r="U11636" s="2"/>
      <c r="V11636" s="2"/>
      <c r="W11636" s="2"/>
      <c r="X11636" s="2"/>
      <c r="Y11636" s="2"/>
      <c r="Z11636" s="2"/>
    </row>
    <row r="11637" spans="1:26" ht="16.5" x14ac:dyDescent="0.35">
      <c r="A11637" s="2" t="str">
        <f ca="1">IFERROR(__xludf.DUMMYFUNCTION("""COMPUTED_VALUE"""),"Sharjah")</f>
        <v>Sharjah</v>
      </c>
      <c r="B11637" s="2" t="str">
        <f ca="1">IFERROR(__xludf.DUMMYFUNCTION("""COMPUTED_VALUE"""),"Scholars International Academy")</f>
        <v>Scholars International Academy</v>
      </c>
      <c r="C11637" s="2" t="str">
        <f ca="1">IFERROR(__xludf.DUMMYFUNCTION("""COMPUTED_VALUE"""),"School")</f>
        <v>School</v>
      </c>
      <c r="D11637" s="2" t="str">
        <f ca="1">IFERROR(__xludf.DUMMYFUNCTION("""COMPUTED_VALUE"""),"Sharjah&gt;Muwaileh Commercial&gt;Scholars International Academy")</f>
        <v>Sharjah&gt;Muwaileh Commercial&gt;Scholars International Academy</v>
      </c>
      <c r="E11637" s="2"/>
      <c r="F11637" s="2"/>
      <c r="G11637" s="2"/>
      <c r="H11637" s="2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2"/>
      <c r="T11637" s="2"/>
      <c r="U11637" s="2"/>
      <c r="V11637" s="2"/>
      <c r="W11637" s="2"/>
      <c r="X11637" s="2"/>
      <c r="Y11637" s="2"/>
      <c r="Z11637" s="2"/>
    </row>
    <row r="11638" spans="1:26" ht="16.5" x14ac:dyDescent="0.35">
      <c r="A11638" s="2" t="str">
        <f ca="1">IFERROR(__xludf.DUMMYFUNCTION("""COMPUTED_VALUE"""),"Sharjah")</f>
        <v>Sharjah</v>
      </c>
      <c r="B11638" s="2" t="str">
        <f ca="1">IFERROR(__xludf.DUMMYFUNCTION("""COMPUTED_VALUE"""),"Al Hash Building")</f>
        <v>Al Hash Building</v>
      </c>
      <c r="C11638" s="2"/>
      <c r="D11638" s="2" t="str">
        <f ca="1">IFERROR(__xludf.DUMMYFUNCTION("""COMPUTED_VALUE"""),"Sharjah&gt;Muwaileh Commercial&gt;Al Hash Building")</f>
        <v>Sharjah&gt;Muwaileh Commercial&gt;Al Hash Building</v>
      </c>
      <c r="E11638" s="2"/>
      <c r="F11638" s="2"/>
      <c r="G11638" s="2"/>
      <c r="H11638" s="2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2"/>
      <c r="T11638" s="2"/>
      <c r="U11638" s="2"/>
      <c r="V11638" s="2"/>
      <c r="W11638" s="2"/>
      <c r="X11638" s="2"/>
      <c r="Y11638" s="2"/>
      <c r="Z11638" s="2"/>
    </row>
    <row r="11639" spans="1:26" ht="16.5" x14ac:dyDescent="0.35">
      <c r="A11639" s="2" t="str">
        <f ca="1">IFERROR(__xludf.DUMMYFUNCTION("""COMPUTED_VALUE"""),"Sharjah")</f>
        <v>Sharjah</v>
      </c>
      <c r="B11639" s="2" t="str">
        <f ca="1">IFERROR(__xludf.DUMMYFUNCTION("""COMPUTED_VALUE"""),"Muweilah Building 162")</f>
        <v>Muweilah Building 162</v>
      </c>
      <c r="C11639" s="2" t="str">
        <f ca="1">IFERROR(__xludf.DUMMYFUNCTION("""COMPUTED_VALUE"""),"Building")</f>
        <v>Building</v>
      </c>
      <c r="D11639" s="2" t="str">
        <f ca="1">IFERROR(__xludf.DUMMYFUNCTION("""COMPUTED_VALUE"""),"Sharjah&gt;Muwaileh Commercial&gt;Muweilah Building 162")</f>
        <v>Sharjah&gt;Muwaileh Commercial&gt;Muweilah Building 162</v>
      </c>
      <c r="E11639" s="2"/>
      <c r="F11639" s="2"/>
      <c r="G11639" s="2"/>
      <c r="H11639" s="2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2"/>
      <c r="T11639" s="2"/>
      <c r="U11639" s="2"/>
      <c r="V11639" s="2"/>
      <c r="W11639" s="2"/>
      <c r="X11639" s="2"/>
      <c r="Y11639" s="2"/>
      <c r="Z11639" s="2"/>
    </row>
    <row r="11640" spans="1:26" ht="16.5" x14ac:dyDescent="0.35">
      <c r="A11640" s="2" t="str">
        <f ca="1">IFERROR(__xludf.DUMMYFUNCTION("""COMPUTED_VALUE"""),"Al Ain")</f>
        <v>Al Ain</v>
      </c>
      <c r="B11640" s="2" t="str">
        <f ca="1">IFERROR(__xludf.DUMMYFUNCTION("""COMPUTED_VALUE"""),"Al Dhahir")</f>
        <v>Al Dhahir</v>
      </c>
      <c r="C11640" s="2" t="str">
        <f ca="1">IFERROR(__xludf.DUMMYFUNCTION("""COMPUTED_VALUE"""),"Neighbourhood")</f>
        <v>Neighbourhood</v>
      </c>
      <c r="D11640" s="2" t="str">
        <f ca="1">IFERROR(__xludf.DUMMYFUNCTION("""COMPUTED_VALUE"""),"Al Ain&gt;Al Dhahir")</f>
        <v>Al Ain&gt;Al Dhahir</v>
      </c>
      <c r="E11640" s="2"/>
      <c r="F11640" s="2"/>
      <c r="G11640" s="2"/>
      <c r="H11640" s="2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2"/>
      <c r="T11640" s="2"/>
      <c r="U11640" s="2"/>
      <c r="V11640" s="2"/>
      <c r="W11640" s="2"/>
      <c r="X11640" s="2"/>
      <c r="Y11640" s="2"/>
      <c r="Z11640" s="2"/>
    </row>
    <row r="11641" spans="1:26" ht="16.5" x14ac:dyDescent="0.35">
      <c r="A11641" s="2" t="str">
        <f ca="1">IFERROR(__xludf.DUMMYFUNCTION("""COMPUTED_VALUE"""),"Al Ain")</f>
        <v>Al Ain</v>
      </c>
      <c r="B11641" s="2" t="str">
        <f ca="1">IFERROR(__xludf.DUMMYFUNCTION("""COMPUTED_VALUE"""),"Al Ain Oasis")</f>
        <v>Al Ain Oasis</v>
      </c>
      <c r="C11641" s="2" t="str">
        <f ca="1">IFERROR(__xludf.DUMMYFUNCTION("""COMPUTED_VALUE"""),"Neighbourhood")</f>
        <v>Neighbourhood</v>
      </c>
      <c r="D11641" s="2" t="str">
        <f ca="1">IFERROR(__xludf.DUMMYFUNCTION("""COMPUTED_VALUE"""),"Al Ain&gt;Central District&gt;Al Ain Oasis")</f>
        <v>Al Ain&gt;Central District&gt;Al Ain Oasis</v>
      </c>
      <c r="E11641" s="2"/>
      <c r="F11641" s="2"/>
      <c r="G11641" s="2"/>
      <c r="H11641" s="2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2"/>
      <c r="T11641" s="2"/>
      <c r="U11641" s="2"/>
      <c r="V11641" s="2"/>
      <c r="W11641" s="2"/>
      <c r="X11641" s="2"/>
      <c r="Y11641" s="2"/>
      <c r="Z11641" s="2"/>
    </row>
    <row r="11642" spans="1:26" ht="16.5" x14ac:dyDescent="0.35">
      <c r="A11642" s="2" t="str">
        <f ca="1">IFERROR(__xludf.DUMMYFUNCTION("""COMPUTED_VALUE"""),"Al Ain")</f>
        <v>Al Ain</v>
      </c>
      <c r="B11642" s="2" t="str">
        <f ca="1">IFERROR(__xludf.DUMMYFUNCTION("""COMPUTED_VALUE"""),"Al Ruwaikah")</f>
        <v>Al Ruwaikah</v>
      </c>
      <c r="C11642" s="2" t="str">
        <f ca="1">IFERROR(__xludf.DUMMYFUNCTION("""COMPUTED_VALUE"""),"Neighbourhood")</f>
        <v>Neighbourhood</v>
      </c>
      <c r="D11642" s="2" t="str">
        <f ca="1">IFERROR(__xludf.DUMMYFUNCTION("""COMPUTED_VALUE"""),"Al Ain&gt;Al Muwaiji&gt;Al Ruwaikah")</f>
        <v>Al Ain&gt;Al Muwaiji&gt;Al Ruwaikah</v>
      </c>
      <c r="E11642" s="2"/>
      <c r="F11642" s="2"/>
      <c r="G11642" s="2"/>
      <c r="H11642" s="2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2"/>
      <c r="T11642" s="2"/>
      <c r="U11642" s="2"/>
      <c r="V11642" s="2"/>
      <c r="W11642" s="2"/>
      <c r="X11642" s="2"/>
      <c r="Y11642" s="2"/>
      <c r="Z11642" s="2"/>
    </row>
    <row r="11643" spans="1:26" ht="16.5" x14ac:dyDescent="0.35">
      <c r="A11643" s="2" t="str">
        <f ca="1">IFERROR(__xludf.DUMMYFUNCTION("""COMPUTED_VALUE"""),"Al Ain")</f>
        <v>Al Ain</v>
      </c>
      <c r="B11643" s="2" t="str">
        <f ca="1">IFERROR(__xludf.DUMMYFUNCTION("""COMPUTED_VALUE"""),"Falaj Al Mazmi")</f>
        <v>Falaj Al Mazmi</v>
      </c>
      <c r="C11643" s="2" t="str">
        <f ca="1">IFERROR(__xludf.DUMMYFUNCTION("""COMPUTED_VALUE"""),"Neighbourhood")</f>
        <v>Neighbourhood</v>
      </c>
      <c r="D11643" s="2" t="str">
        <f ca="1">IFERROR(__xludf.DUMMYFUNCTION("""COMPUTED_VALUE"""),"Al Ain&gt;Hili&gt;Falaj Al Mazmi")</f>
        <v>Al Ain&gt;Hili&gt;Falaj Al Mazmi</v>
      </c>
      <c r="E11643" s="2"/>
      <c r="F11643" s="2"/>
      <c r="G11643" s="2"/>
      <c r="H11643" s="2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2"/>
      <c r="T11643" s="2"/>
      <c r="U11643" s="2"/>
      <c r="V11643" s="2"/>
      <c r="W11643" s="2"/>
      <c r="X11643" s="2"/>
      <c r="Y11643" s="2"/>
      <c r="Z11643" s="2"/>
    </row>
    <row r="11644" spans="1:26" ht="16.5" x14ac:dyDescent="0.35">
      <c r="A11644" s="2" t="str">
        <f ca="1">IFERROR(__xludf.DUMMYFUNCTION("""COMPUTED_VALUE"""),"Al Ain")</f>
        <v>Al Ain</v>
      </c>
      <c r="B11644" s="2" t="str">
        <f ca="1">IFERROR(__xludf.DUMMYFUNCTION("""COMPUTED_VALUE"""),"Falaj Hazzaa")</f>
        <v>Falaj Hazzaa</v>
      </c>
      <c r="C11644" s="2" t="str">
        <f ca="1">IFERROR(__xludf.DUMMYFUNCTION("""COMPUTED_VALUE"""),"Neighbourhood")</f>
        <v>Neighbourhood</v>
      </c>
      <c r="D11644" s="2" t="str">
        <f ca="1">IFERROR(__xludf.DUMMYFUNCTION("""COMPUTED_VALUE"""),"Al Ain&gt;Falaj Hazzaa")</f>
        <v>Al Ain&gt;Falaj Hazzaa</v>
      </c>
      <c r="E11644" s="2"/>
      <c r="F11644" s="2"/>
      <c r="G11644" s="2"/>
      <c r="H11644" s="2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2"/>
      <c r="T11644" s="2"/>
      <c r="U11644" s="2"/>
      <c r="V11644" s="2"/>
      <c r="W11644" s="2"/>
      <c r="X11644" s="2"/>
      <c r="Y11644" s="2"/>
      <c r="Z11644" s="2"/>
    </row>
    <row r="11645" spans="1:26" ht="16.5" x14ac:dyDescent="0.35">
      <c r="A11645" s="2" t="str">
        <f ca="1">IFERROR(__xludf.DUMMYFUNCTION("""COMPUTED_VALUE"""),"Al Ain")</f>
        <v>Al Ain</v>
      </c>
      <c r="B11645" s="2" t="str">
        <f ca="1">IFERROR(__xludf.DUMMYFUNCTION("""COMPUTED_VALUE"""),"Twam")</f>
        <v>Twam</v>
      </c>
      <c r="C11645" s="2" t="str">
        <f ca="1">IFERROR(__xludf.DUMMYFUNCTION("""COMPUTED_VALUE"""),"Neighbourhood")</f>
        <v>Neighbourhood</v>
      </c>
      <c r="D11645" s="2" t="str">
        <f ca="1">IFERROR(__xludf.DUMMYFUNCTION("""COMPUTED_VALUE"""),"Al Ain&gt;Al Maqam&gt;Twam")</f>
        <v>Al Ain&gt;Al Maqam&gt;Twam</v>
      </c>
      <c r="E11645" s="2"/>
      <c r="F11645" s="2"/>
      <c r="G11645" s="2"/>
      <c r="H11645" s="2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2"/>
      <c r="T11645" s="2"/>
      <c r="U11645" s="2"/>
      <c r="V11645" s="2"/>
      <c r="W11645" s="2"/>
      <c r="X11645" s="2"/>
      <c r="Y11645" s="2"/>
      <c r="Z11645" s="2"/>
    </row>
    <row r="11646" spans="1:26" ht="16.5" x14ac:dyDescent="0.35">
      <c r="A11646" s="2" t="str">
        <f ca="1">IFERROR(__xludf.DUMMYFUNCTION("""COMPUTED_VALUE"""),"Al Ain")</f>
        <v>Al Ain</v>
      </c>
      <c r="B11646" s="2" t="str">
        <f ca="1">IFERROR(__xludf.DUMMYFUNCTION("""COMPUTED_VALUE"""),"Al Sarooj 7")</f>
        <v>Al Sarooj 7</v>
      </c>
      <c r="C11646" s="2" t="str">
        <f ca="1">IFERROR(__xludf.DUMMYFUNCTION("""COMPUTED_VALUE"""),"Neighbourhood")</f>
        <v>Neighbourhood</v>
      </c>
      <c r="D11646" s="2" t="str">
        <f ca="1">IFERROR(__xludf.DUMMYFUNCTION("""COMPUTED_VALUE"""),"Al Ain&gt;Al Sarouj&gt;Al Sarooj 7")</f>
        <v>Al Ain&gt;Al Sarouj&gt;Al Sarooj 7</v>
      </c>
      <c r="E11646" s="2"/>
      <c r="F11646" s="2"/>
      <c r="G11646" s="2"/>
      <c r="H11646" s="2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2"/>
      <c r="T11646" s="2"/>
      <c r="U11646" s="2"/>
      <c r="V11646" s="2"/>
      <c r="W11646" s="2"/>
      <c r="X11646" s="2"/>
      <c r="Y11646" s="2"/>
      <c r="Z11646" s="2"/>
    </row>
    <row r="11647" spans="1:26" ht="16.5" x14ac:dyDescent="0.35">
      <c r="A11647" s="2" t="str">
        <f ca="1">IFERROR(__xludf.DUMMYFUNCTION("""COMPUTED_VALUE"""),"Ras Al Khaimah")</f>
        <v>Ras Al Khaimah</v>
      </c>
      <c r="B11647" s="2" t="str">
        <f ca="1">IFERROR(__xludf.DUMMYFUNCTION("""COMPUTED_VALUE"""),"Cape Hayat Tower 4")</f>
        <v>Cape Hayat Tower 4</v>
      </c>
      <c r="C11647" s="2" t="str">
        <f ca="1">IFERROR(__xludf.DUMMYFUNCTION("""COMPUTED_VALUE"""),"Building")</f>
        <v>Building</v>
      </c>
      <c r="D11647" s="2" t="str">
        <f ca="1">IFERROR(__xludf.DUMMYFUNCTION("""COMPUTED_VALUE"""),"Ras Al Khaimah&gt;Mina Al Arab&gt;Hayat Island&gt;Cape Hayat&gt;Cape Hayat Tower 4")</f>
        <v>Ras Al Khaimah&gt;Mina Al Arab&gt;Hayat Island&gt;Cape Hayat&gt;Cape Hayat Tower 4</v>
      </c>
      <c r="E11647" s="2"/>
      <c r="F11647" s="2"/>
      <c r="G11647" s="2"/>
      <c r="H11647" s="2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2"/>
      <c r="T11647" s="2"/>
      <c r="U11647" s="2"/>
      <c r="V11647" s="2"/>
      <c r="W11647" s="2"/>
      <c r="X11647" s="2"/>
      <c r="Y11647" s="2"/>
      <c r="Z11647" s="2"/>
    </row>
    <row r="11648" spans="1:26" ht="16.5" x14ac:dyDescent="0.35">
      <c r="A11648" s="2" t="str">
        <f ca="1">IFERROR(__xludf.DUMMYFUNCTION("""COMPUTED_VALUE"""),"Ras Al Khaimah")</f>
        <v>Ras Al Khaimah</v>
      </c>
      <c r="B11648" s="2" t="str">
        <f ca="1">IFERROR(__xludf.DUMMYFUNCTION("""COMPUTED_VALUE"""),"Fayrouz Building")</f>
        <v>Fayrouz Building</v>
      </c>
      <c r="C11648" s="2"/>
      <c r="D11648" s="2" t="str">
        <f ca="1">IFERROR(__xludf.DUMMYFUNCTION("""COMPUTED_VALUE"""),"Ras Al Khaimah&gt;Al Marjan Island&gt;Bab Al Bahr Residences&gt;Fayrouz Building")</f>
        <v>Ras Al Khaimah&gt;Al Marjan Island&gt;Bab Al Bahr Residences&gt;Fayrouz Building</v>
      </c>
      <c r="E11648" s="2"/>
      <c r="F11648" s="2"/>
      <c r="G11648" s="2"/>
      <c r="H11648" s="2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2"/>
      <c r="T11648" s="2"/>
      <c r="U11648" s="2"/>
      <c r="V11648" s="2"/>
      <c r="W11648" s="2"/>
      <c r="X11648" s="2"/>
      <c r="Y11648" s="2"/>
      <c r="Z11648" s="2"/>
    </row>
    <row r="11649" spans="1:26" ht="16.5" x14ac:dyDescent="0.35">
      <c r="A11649" s="2" t="str">
        <f ca="1">IFERROR(__xludf.DUMMYFUNCTION("""COMPUTED_VALUE"""),"Ras Al Khaimah")</f>
        <v>Ras Al Khaimah</v>
      </c>
      <c r="B11649" s="2" t="str">
        <f ca="1">IFERROR(__xludf.DUMMYFUNCTION("""COMPUTED_VALUE"""),"La Mer by Elie Saab Isle 3")</f>
        <v>La Mer by Elie Saab Isle 3</v>
      </c>
      <c r="C11649" s="2" t="str">
        <f ca="1">IFERROR(__xludf.DUMMYFUNCTION("""COMPUTED_VALUE"""),"Building")</f>
        <v>Building</v>
      </c>
      <c r="D11649" s="2" t="str">
        <f ca="1">IFERROR(__xludf.DUMMYFUNCTION("""COMPUTED_VALUE"""),"Ras Al Khaimah&gt;Al Marjan Island&gt;La Mer by Elie Saab&gt;La Mer by Elie Saab Isle 3")</f>
        <v>Ras Al Khaimah&gt;Al Marjan Island&gt;La Mer by Elie Saab&gt;La Mer by Elie Saab Isle 3</v>
      </c>
      <c r="E11649" s="2"/>
      <c r="F11649" s="2"/>
      <c r="G11649" s="2"/>
      <c r="H11649" s="2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2"/>
      <c r="T11649" s="2"/>
      <c r="U11649" s="2"/>
      <c r="V11649" s="2"/>
      <c r="W11649" s="2"/>
      <c r="X11649" s="2"/>
      <c r="Y11649" s="2"/>
      <c r="Z11649" s="2"/>
    </row>
    <row r="11650" spans="1:26" ht="16.5" x14ac:dyDescent="0.35">
      <c r="A11650" s="2" t="str">
        <f ca="1">IFERROR(__xludf.DUMMYFUNCTION("""COMPUTED_VALUE"""),"Ras Al Khaimah")</f>
        <v>Ras Al Khaimah</v>
      </c>
      <c r="B11650" s="2" t="str">
        <f ca="1">IFERROR(__xludf.DUMMYFUNCTION("""COMPUTED_VALUE"""),"Tonino Lamborghini Residences")</f>
        <v>Tonino Lamborghini Residences</v>
      </c>
      <c r="C11650" s="2" t="str">
        <f ca="1">IFERROR(__xludf.DUMMYFUNCTION("""COMPUTED_VALUE"""),"Building")</f>
        <v>Building</v>
      </c>
      <c r="D11650" s="2" t="str">
        <f ca="1">IFERROR(__xludf.DUMMYFUNCTION("""COMPUTED_VALUE"""),"Ras Al Khaimah&gt;Al Marjan Island&gt;Tonino Lamborghini Residences")</f>
        <v>Ras Al Khaimah&gt;Al Marjan Island&gt;Tonino Lamborghini Residences</v>
      </c>
      <c r="E11650" s="2"/>
      <c r="F11650" s="2"/>
      <c r="G11650" s="2"/>
      <c r="H11650" s="2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2"/>
      <c r="T11650" s="2"/>
      <c r="U11650" s="2"/>
      <c r="V11650" s="2"/>
      <c r="W11650" s="2"/>
      <c r="X11650" s="2"/>
      <c r="Y11650" s="2"/>
      <c r="Z11650" s="2"/>
    </row>
    <row r="11651" spans="1:26" ht="16.5" x14ac:dyDescent="0.35">
      <c r="A11651" s="2" t="str">
        <f ca="1">IFERROR(__xludf.DUMMYFUNCTION("""COMPUTED_VALUE"""),"Ras Al Khaimah")</f>
        <v>Ras Al Khaimah</v>
      </c>
      <c r="B11651" s="2" t="str">
        <f ca="1">IFERROR(__xludf.DUMMYFUNCTION("""COMPUTED_VALUE"""),"Al Hamra Waterfront Tower B")</f>
        <v>Al Hamra Waterfront Tower B</v>
      </c>
      <c r="C11651" s="2" t="str">
        <f ca="1">IFERROR(__xludf.DUMMYFUNCTION("""COMPUTED_VALUE"""),"Building")</f>
        <v>Building</v>
      </c>
      <c r="D11651" s="2" t="str">
        <f ca="1">IFERROR(__xludf.DUMMYFUNCTION("""COMPUTED_VALUE"""),"Ras Al Khaimah&gt;Al Hamra Village&gt;Al Hamra Waterfront Tower B")</f>
        <v>Ras Al Khaimah&gt;Al Hamra Village&gt;Al Hamra Waterfront Tower B</v>
      </c>
      <c r="E11651" s="2"/>
      <c r="F11651" s="2"/>
      <c r="G11651" s="2"/>
      <c r="H11651" s="2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2"/>
      <c r="T11651" s="2"/>
      <c r="U11651" s="2"/>
      <c r="V11651" s="2"/>
      <c r="W11651" s="2"/>
      <c r="X11651" s="2"/>
      <c r="Y11651" s="2"/>
      <c r="Z11651" s="2"/>
    </row>
    <row r="11652" spans="1:26" ht="16.5" x14ac:dyDescent="0.35">
      <c r="A11652" s="2" t="str">
        <f ca="1">IFERROR(__xludf.DUMMYFUNCTION("""COMPUTED_VALUE"""),"Ras Al Khaimah")</f>
        <v>Ras Al Khaimah</v>
      </c>
      <c r="B11652" s="2" t="str">
        <f ca="1">IFERROR(__xludf.DUMMYFUNCTION("""COMPUTED_VALUE"""),"The Cove Rotana Resort")</f>
        <v>The Cove Rotana Resort</v>
      </c>
      <c r="C11652" s="2" t="str">
        <f ca="1">IFERROR(__xludf.DUMMYFUNCTION("""COMPUTED_VALUE"""),"Building")</f>
        <v>Building</v>
      </c>
      <c r="D11652" s="2" t="str">
        <f ca="1">IFERROR(__xludf.DUMMYFUNCTION("""COMPUTED_VALUE"""),"Ras Al Khaimah&gt;Al Dhait&gt;Al Dhait South&gt;The Cove Rotana Resort")</f>
        <v>Ras Al Khaimah&gt;Al Dhait&gt;Al Dhait South&gt;The Cove Rotana Resort</v>
      </c>
      <c r="E11652" s="2"/>
      <c r="F11652" s="2"/>
      <c r="G11652" s="2"/>
      <c r="H11652" s="2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2"/>
      <c r="T11652" s="2"/>
      <c r="U11652" s="2"/>
      <c r="V11652" s="2"/>
      <c r="W11652" s="2"/>
      <c r="X11652" s="2"/>
      <c r="Y11652" s="2"/>
      <c r="Z11652" s="2"/>
    </row>
    <row r="11653" spans="1:26" ht="16.5" x14ac:dyDescent="0.35">
      <c r="A11653" s="2" t="str">
        <f ca="1">IFERROR(__xludf.DUMMYFUNCTION("""COMPUTED_VALUE"""),"Ras Al Khaimah")</f>
        <v>Ras Al Khaimah</v>
      </c>
      <c r="B11653" s="2" t="str">
        <f ca="1">IFERROR(__xludf.DUMMYFUNCTION("""COMPUTED_VALUE"""),"Feleyyah")</f>
        <v>Feleyyah</v>
      </c>
      <c r="C11653" s="2"/>
      <c r="D11653" s="2" t="str">
        <f ca="1">IFERROR(__xludf.DUMMYFUNCTION("""COMPUTED_VALUE"""),"Ras Al Khaimah&gt;Al Kharran&gt;Feleyyah")</f>
        <v>Ras Al Khaimah&gt;Al Kharran&gt;Feleyyah</v>
      </c>
      <c r="E11653" s="2"/>
      <c r="F11653" s="2"/>
      <c r="G11653" s="2"/>
      <c r="H11653" s="2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2"/>
      <c r="T11653" s="2"/>
      <c r="U11653" s="2"/>
      <c r="V11653" s="2"/>
      <c r="W11653" s="2"/>
      <c r="X11653" s="2"/>
      <c r="Y11653" s="2"/>
      <c r="Z11653" s="2"/>
    </row>
    <row r="11654" spans="1:26" ht="16.5" x14ac:dyDescent="0.35">
      <c r="A11654" s="2" t="str">
        <f ca="1">IFERROR(__xludf.DUMMYFUNCTION("""COMPUTED_VALUE"""),"Ras Al Khaimah")</f>
        <v>Ras Al Khaimah</v>
      </c>
      <c r="B11654" s="2" t="str">
        <f ca="1">IFERROR(__xludf.DUMMYFUNCTION("""COMPUTED_VALUE"""),"The WellSpring School")</f>
        <v>The WellSpring School</v>
      </c>
      <c r="C11654" s="2" t="str">
        <f ca="1">IFERROR(__xludf.DUMMYFUNCTION("""COMPUTED_VALUE"""),"School")</f>
        <v>School</v>
      </c>
      <c r="D11654" s="2" t="str">
        <f ca="1">IFERROR(__xludf.DUMMYFUNCTION("""COMPUTED_VALUE"""),"Ras Al Khaimah&gt;Dafan Al Khor&gt;The WellSpring School")</f>
        <v>Ras Al Khaimah&gt;Dafan Al Khor&gt;The WellSpring School</v>
      </c>
      <c r="E11654" s="2"/>
      <c r="F11654" s="2"/>
      <c r="G11654" s="2"/>
      <c r="H11654" s="2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2"/>
      <c r="T11654" s="2"/>
      <c r="U11654" s="2"/>
      <c r="V11654" s="2"/>
      <c r="W11654" s="2"/>
      <c r="X11654" s="2"/>
      <c r="Y11654" s="2"/>
      <c r="Z11654" s="2"/>
    </row>
    <row r="11655" spans="1:26" ht="16.5" x14ac:dyDescent="0.35">
      <c r="A11655" s="2" t="str">
        <f ca="1">IFERROR(__xludf.DUMMYFUNCTION("""COMPUTED_VALUE"""),"Ras Al Khaimah")</f>
        <v>Ras Al Khaimah</v>
      </c>
      <c r="B11655" s="2" t="str">
        <f ca="1">IFERROR(__xludf.DUMMYFUNCTION("""COMPUTED_VALUE"""),"The Ritz-Carlton Residences")</f>
        <v>The Ritz-Carlton Residences</v>
      </c>
      <c r="C11655" s="2" t="str">
        <f ca="1">IFERROR(__xludf.DUMMYFUNCTION("""COMPUTED_VALUE"""),"Neighbourhood")</f>
        <v>Neighbourhood</v>
      </c>
      <c r="D11655" s="2" t="str">
        <f ca="1">IFERROR(__xludf.DUMMYFUNCTION("""COMPUTED_VALUE"""),"Ras Al Khaimah&gt;The Ritz-Carlton Residences")</f>
        <v>Ras Al Khaimah&gt;The Ritz-Carlton Residences</v>
      </c>
      <c r="E11655" s="2"/>
      <c r="F11655" s="2"/>
      <c r="G11655" s="2"/>
      <c r="H11655" s="2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2"/>
      <c r="T11655" s="2"/>
      <c r="U11655" s="2"/>
      <c r="V11655" s="2"/>
      <c r="W11655" s="2"/>
      <c r="X11655" s="2"/>
      <c r="Y11655" s="2"/>
      <c r="Z11655" s="2"/>
    </row>
    <row r="11656" spans="1:26" ht="16.5" x14ac:dyDescent="0.35">
      <c r="A11656" s="2" t="str">
        <f ca="1">IFERROR(__xludf.DUMMYFUNCTION("""COMPUTED_VALUE"""),"Umm Al Quwain")</f>
        <v>Umm Al Quwain</v>
      </c>
      <c r="B11656" s="2" t="str">
        <f ca="1">IFERROR(__xludf.DUMMYFUNCTION("""COMPUTED_VALUE"""),"Al Salamah 2")</f>
        <v>Al Salamah 2</v>
      </c>
      <c r="C11656" s="2" t="str">
        <f ca="1">IFERROR(__xludf.DUMMYFUNCTION("""COMPUTED_VALUE"""),"Neighbourhood")</f>
        <v>Neighbourhood</v>
      </c>
      <c r="D11656" s="2" t="str">
        <f ca="1">IFERROR(__xludf.DUMMYFUNCTION("""COMPUTED_VALUE"""),"Umm Al Quwain&gt;Al Salamah&gt;Al Salamah 2")</f>
        <v>Umm Al Quwain&gt;Al Salamah&gt;Al Salamah 2</v>
      </c>
      <c r="E11656" s="2"/>
      <c r="F11656" s="2"/>
      <c r="G11656" s="2"/>
      <c r="H11656" s="2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2"/>
      <c r="T11656" s="2"/>
      <c r="U11656" s="2"/>
      <c r="V11656" s="2"/>
      <c r="W11656" s="2"/>
      <c r="X11656" s="2"/>
      <c r="Y11656" s="2"/>
      <c r="Z11656" s="2"/>
    </row>
    <row r="11657" spans="1:26" ht="16.5" x14ac:dyDescent="0.35">
      <c r="A11657" s="2" t="str">
        <f ca="1">IFERROR(__xludf.DUMMYFUNCTION("""COMPUTED_VALUE"""),"Umm Al Quwain")</f>
        <v>Umm Al Quwain</v>
      </c>
      <c r="B11657" s="2" t="str">
        <f ca="1">IFERROR(__xludf.DUMMYFUNCTION("""COMPUTED_VALUE"""),"Al Rass A")</f>
        <v>Al Rass A</v>
      </c>
      <c r="C11657" s="2"/>
      <c r="D11657" s="2" t="str">
        <f ca="1">IFERROR(__xludf.DUMMYFUNCTION("""COMPUTED_VALUE"""),"Umm Al Quwain&gt;Al Rass&gt;Al Rass A")</f>
        <v>Umm Al Quwain&gt;Al Rass&gt;Al Rass A</v>
      </c>
      <c r="E11657" s="2"/>
      <c r="F11657" s="2"/>
      <c r="G11657" s="2"/>
      <c r="H11657" s="2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2"/>
      <c r="T11657" s="2"/>
      <c r="U11657" s="2"/>
      <c r="V11657" s="2"/>
      <c r="W11657" s="2"/>
      <c r="X11657" s="2"/>
      <c r="Y11657" s="2"/>
      <c r="Z11657" s="2"/>
    </row>
    <row r="11658" spans="1:26" ht="16.5" x14ac:dyDescent="0.35">
      <c r="A11658" s="2" t="str">
        <f ca="1">IFERROR(__xludf.DUMMYFUNCTION("""COMPUTED_VALUE"""),"Umm Al Quwain")</f>
        <v>Umm Al Quwain</v>
      </c>
      <c r="B11658" s="2" t="str">
        <f ca="1">IFERROR(__xludf.DUMMYFUNCTION("""COMPUTED_VALUE"""),"Coastline Beach Residences Tower A")</f>
        <v>Coastline Beach Residences Tower A</v>
      </c>
      <c r="C11658" s="2" t="str">
        <f ca="1">IFERROR(__xludf.DUMMYFUNCTION("""COMPUTED_VALUE"""),"Building")</f>
        <v>Building</v>
      </c>
      <c r="D11658" s="2" t="str">
        <f ca="1">IFERROR(__xludf.DUMMYFUNCTION("""COMPUTED_VALUE"""),"Umm Al Quwain&gt;Al Seanneeah&gt;Sobha Siniya Island&gt;Coastline Beach Residences&gt;Coastline Beach Residences Tower A")</f>
        <v>Umm Al Quwain&gt;Al Seanneeah&gt;Sobha Siniya Island&gt;Coastline Beach Residences&gt;Coastline Beach Residences Tower A</v>
      </c>
      <c r="E11658" s="2"/>
      <c r="F11658" s="2"/>
      <c r="G11658" s="2"/>
      <c r="H11658" s="2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2"/>
      <c r="T11658" s="2"/>
      <c r="U11658" s="2"/>
      <c r="V11658" s="2"/>
      <c r="W11658" s="2"/>
      <c r="X11658" s="2"/>
      <c r="Y11658" s="2"/>
      <c r="Z11658" s="2"/>
    </row>
    <row r="11659" spans="1:26" ht="16.5" x14ac:dyDescent="0.35">
      <c r="A11659" s="2" t="str">
        <f ca="1">IFERROR(__xludf.DUMMYFUNCTION("""COMPUTED_VALUE"""),"Umm Al Quwain")</f>
        <v>Umm Al Quwain</v>
      </c>
      <c r="B11659" s="2" t="str">
        <f ca="1">IFERROR(__xludf.DUMMYFUNCTION("""COMPUTED_VALUE"""),"Al Butain")</f>
        <v>Al Butain</v>
      </c>
      <c r="C11659" s="2" t="str">
        <f ca="1">IFERROR(__xludf.DUMMYFUNCTION("""COMPUTED_VALUE"""),"Neighbourhood")</f>
        <v>Neighbourhood</v>
      </c>
      <c r="D11659" s="2" t="str">
        <f ca="1">IFERROR(__xludf.DUMMYFUNCTION("""COMPUTED_VALUE"""),"Umm Al Quwain&gt;Al Butain")</f>
        <v>Umm Al Quwain&gt;Al Butain</v>
      </c>
      <c r="E11659" s="2"/>
      <c r="F11659" s="2"/>
      <c r="G11659" s="2"/>
      <c r="H11659" s="2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2"/>
      <c r="T11659" s="2"/>
      <c r="U11659" s="2"/>
      <c r="V11659" s="2"/>
      <c r="W11659" s="2"/>
      <c r="X11659" s="2"/>
      <c r="Y11659" s="2"/>
      <c r="Z11659" s="2"/>
    </row>
    <row r="11660" spans="1:26" ht="16.5" x14ac:dyDescent="0.35">
      <c r="A11660" s="2" t="str">
        <f ca="1">IFERROR(__xludf.DUMMYFUNCTION("""COMPUTED_VALUE"""),"Fujairah")</f>
        <v>Fujairah</v>
      </c>
      <c r="B11660" s="2" t="str">
        <f ca="1">IFERROR(__xludf.DUMMYFUNCTION("""COMPUTED_VALUE"""),"Qidfa")</f>
        <v>Qidfa</v>
      </c>
      <c r="C11660" s="2" t="str">
        <f ca="1">IFERROR(__xludf.DUMMYFUNCTION("""COMPUTED_VALUE"""),"Neighbourhood")</f>
        <v>Neighbourhood</v>
      </c>
      <c r="D11660" s="2" t="str">
        <f ca="1">IFERROR(__xludf.DUMMYFUNCTION("""COMPUTED_VALUE"""),"Fujairah&gt;Qidfa")</f>
        <v>Fujairah&gt;Qidfa</v>
      </c>
      <c r="E11660" s="2"/>
      <c r="F11660" s="2"/>
      <c r="G11660" s="2"/>
      <c r="H11660" s="2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2"/>
      <c r="T11660" s="2"/>
      <c r="U11660" s="2"/>
      <c r="V11660" s="2"/>
      <c r="W11660" s="2"/>
      <c r="X11660" s="2"/>
      <c r="Y11660" s="2"/>
      <c r="Z11660" s="2"/>
    </row>
    <row r="11661" spans="1:26" ht="16.5" x14ac:dyDescent="0.35">
      <c r="A11661" s="2" t="str">
        <f ca="1">IFERROR(__xludf.DUMMYFUNCTION("""COMPUTED_VALUE"""),"Fujairah")</f>
        <v>Fujairah</v>
      </c>
      <c r="B11661" s="2" t="str">
        <f ca="1">IFERROR(__xludf.DUMMYFUNCTION("""COMPUTED_VALUE"""),"Fujairah Private Academy")</f>
        <v>Fujairah Private Academy</v>
      </c>
      <c r="C11661" s="2" t="str">
        <f ca="1">IFERROR(__xludf.DUMMYFUNCTION("""COMPUTED_VALUE"""),"School")</f>
        <v>School</v>
      </c>
      <c r="D11661" s="2" t="str">
        <f ca="1">IFERROR(__xludf.DUMMYFUNCTION("""COMPUTED_VALUE"""),"Fujairah&gt;Sakamkam&gt;Fujairah Private Academy")</f>
        <v>Fujairah&gt;Sakamkam&gt;Fujairah Private Academy</v>
      </c>
      <c r="E11661" s="2"/>
      <c r="F11661" s="2"/>
      <c r="G11661" s="2"/>
      <c r="H11661" s="2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2"/>
      <c r="T11661" s="2"/>
      <c r="U11661" s="2"/>
      <c r="V11661" s="2"/>
      <c r="W11661" s="2"/>
      <c r="X11661" s="2"/>
      <c r="Y11661" s="2"/>
      <c r="Z11661" s="2"/>
    </row>
    <row r="11662" spans="1:26" ht="16.5" x14ac:dyDescent="0.35">
      <c r="A11662" s="2" t="str">
        <f ca="1">IFERROR(__xludf.DUMMYFUNCTION("""COMPUTED_VALUE"""),"Dubai")</f>
        <v>Dubai</v>
      </c>
      <c r="B11662" s="2" t="str">
        <f ca="1">IFERROR(__xludf.DUMMYFUNCTION("""COMPUTED_VALUE"""),"Swissotel Al Murooj")</f>
        <v>Swissotel Al Murooj</v>
      </c>
      <c r="C11662" s="2" t="str">
        <f ca="1">IFERROR(__xludf.DUMMYFUNCTION("""COMPUTED_VALUE"""),"Building")</f>
        <v>Building</v>
      </c>
      <c r="D11662" s="2" t="str">
        <f ca="1">IFERROR(__xludf.DUMMYFUNCTION("""COMPUTED_VALUE"""),"Dubai&gt;Za'abeel&gt;Za'abeel 2&gt;Al Murooj Complex&gt;Swissotel Al Murooj")</f>
        <v>Dubai&gt;Za'abeel&gt;Za'abeel 2&gt;Al Murooj Complex&gt;Swissotel Al Murooj</v>
      </c>
      <c r="E11662" s="2"/>
      <c r="F11662" s="2"/>
      <c r="G11662" s="2"/>
      <c r="H11662" s="2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2"/>
      <c r="T11662" s="2"/>
      <c r="U11662" s="2"/>
      <c r="V11662" s="2"/>
      <c r="W11662" s="2"/>
      <c r="X11662" s="2"/>
      <c r="Y11662" s="2"/>
      <c r="Z11662" s="2"/>
    </row>
    <row r="11663" spans="1:26" ht="16.5" x14ac:dyDescent="0.35">
      <c r="A11663" s="2" t="str">
        <f ca="1">IFERROR(__xludf.DUMMYFUNCTION("""COMPUTED_VALUE"""),"Dubai")</f>
        <v>Dubai</v>
      </c>
      <c r="B11663" s="2" t="str">
        <f ca="1">IFERROR(__xludf.DUMMYFUNCTION("""COMPUTED_VALUE"""),"Samari Residences 11")</f>
        <v>Samari Residences 11</v>
      </c>
      <c r="C11663" s="2" t="str">
        <f ca="1">IFERROR(__xludf.DUMMYFUNCTION("""COMPUTED_VALUE"""),"Building")</f>
        <v>Building</v>
      </c>
      <c r="D11663" s="2" t="str">
        <f ca="1">IFERROR(__xludf.DUMMYFUNCTION("""COMPUTED_VALUE"""),"Dubai&gt;Ras Al Khor&gt;Ras Al Khor Industrial&gt;Ras Al Khor Industrial 3&gt;Samari Residences&gt;Samari Residences 11")</f>
        <v>Dubai&gt;Ras Al Khor&gt;Ras Al Khor Industrial&gt;Ras Al Khor Industrial 3&gt;Samari Residences&gt;Samari Residences 11</v>
      </c>
      <c r="E11663" s="2"/>
      <c r="F11663" s="2"/>
      <c r="G11663" s="2"/>
      <c r="H11663" s="2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2"/>
      <c r="T11663" s="2"/>
      <c r="U11663" s="2"/>
      <c r="V11663" s="2"/>
      <c r="W11663" s="2"/>
      <c r="X11663" s="2"/>
      <c r="Y11663" s="2"/>
      <c r="Z11663" s="2"/>
    </row>
    <row r="11664" spans="1:26" ht="16.5" x14ac:dyDescent="0.35">
      <c r="A11664" s="2" t="str">
        <f ca="1">IFERROR(__xludf.DUMMYFUNCTION("""COMPUTED_VALUE"""),"Dubai")</f>
        <v>Dubai</v>
      </c>
      <c r="B11664" s="2" t="str">
        <f ca="1">IFERROR(__xludf.DUMMYFUNCTION("""COMPUTED_VALUE"""),"Suburbia Podium")</f>
        <v>Suburbia Podium</v>
      </c>
      <c r="C11664" s="2" t="str">
        <f ca="1">IFERROR(__xludf.DUMMYFUNCTION("""COMPUTED_VALUE"""),"Building")</f>
        <v>Building</v>
      </c>
      <c r="D11664" s="2" t="str">
        <f ca="1">IFERROR(__xludf.DUMMYFUNCTION("""COMPUTED_VALUE"""),"Dubai&gt;Jebel Ali&gt;Downtown Jebel Ali&gt;Suburbia&gt;Suburbia Podium")</f>
        <v>Dubai&gt;Jebel Ali&gt;Downtown Jebel Ali&gt;Suburbia&gt;Suburbia Podium</v>
      </c>
      <c r="E11664" s="2"/>
      <c r="F11664" s="2"/>
      <c r="G11664" s="2"/>
      <c r="H11664" s="2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2"/>
      <c r="T11664" s="2"/>
      <c r="U11664" s="2"/>
      <c r="V11664" s="2"/>
      <c r="W11664" s="2"/>
      <c r="X11664" s="2"/>
      <c r="Y11664" s="2"/>
      <c r="Z11664" s="2"/>
    </row>
    <row r="11665" spans="1:26" ht="16.5" x14ac:dyDescent="0.35">
      <c r="A11665" s="2" t="str">
        <f ca="1">IFERROR(__xludf.DUMMYFUNCTION("""COMPUTED_VALUE"""),"Dubai")</f>
        <v>Dubai</v>
      </c>
      <c r="B11665" s="2" t="str">
        <f ca="1">IFERROR(__xludf.DUMMYFUNCTION("""COMPUTED_VALUE"""),"Jewellery and Gemplex 2")</f>
        <v>Jewellery and Gemplex 2</v>
      </c>
      <c r="C11665" s="2" t="str">
        <f ca="1">IFERROR(__xludf.DUMMYFUNCTION("""COMPUTED_VALUE"""),"Building")</f>
        <v>Building</v>
      </c>
      <c r="D11665" s="2" t="str">
        <f ca="1">IFERROR(__xludf.DUMMYFUNCTION("""COMPUTED_VALUE"""),"Dubai&gt;Jebel Ali&gt;Jewellery and Gemplex&gt;Jewellery and Gemplex 2")</f>
        <v>Dubai&gt;Jebel Ali&gt;Jewellery and Gemplex&gt;Jewellery and Gemplex 2</v>
      </c>
      <c r="E11665" s="2"/>
      <c r="F11665" s="2"/>
      <c r="G11665" s="2"/>
      <c r="H11665" s="2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2"/>
      <c r="T11665" s="2"/>
      <c r="U11665" s="2"/>
      <c r="V11665" s="2"/>
      <c r="W11665" s="2"/>
      <c r="X11665" s="2"/>
      <c r="Y11665" s="2"/>
      <c r="Z11665" s="2"/>
    </row>
    <row r="11666" spans="1:26" ht="16.5" x14ac:dyDescent="0.35">
      <c r="A11666" s="2" t="str">
        <f ca="1">IFERROR(__xludf.DUMMYFUNCTION("""COMPUTED_VALUE"""),"Dubai")</f>
        <v>Dubai</v>
      </c>
      <c r="B11666" s="2" t="str">
        <f ca="1">IFERROR(__xludf.DUMMYFUNCTION("""COMPUTED_VALUE"""),"Amaya Plaza")</f>
        <v>Amaya Plaza</v>
      </c>
      <c r="C11666" s="2" t="str">
        <f ca="1">IFERROR(__xludf.DUMMYFUNCTION("""COMPUTED_VALUE"""),"Building")</f>
        <v>Building</v>
      </c>
      <c r="D11666" s="2" t="str">
        <f ca="1">IFERROR(__xludf.DUMMYFUNCTION("""COMPUTED_VALUE"""),"Dubai&gt;Nad Al Hamar&gt;Amaya Plaza")</f>
        <v>Dubai&gt;Nad Al Hamar&gt;Amaya Plaza</v>
      </c>
      <c r="E11666" s="2"/>
      <c r="F11666" s="2"/>
      <c r="G11666" s="2"/>
      <c r="H11666" s="2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2"/>
      <c r="T11666" s="2"/>
      <c r="U11666" s="2"/>
      <c r="V11666" s="2"/>
      <c r="W11666" s="2"/>
      <c r="X11666" s="2"/>
      <c r="Y11666" s="2"/>
      <c r="Z11666" s="2"/>
    </row>
    <row r="11667" spans="1:26" ht="16.5" x14ac:dyDescent="0.35">
      <c r="A11667" s="2" t="str">
        <f ca="1">IFERROR(__xludf.DUMMYFUNCTION("""COMPUTED_VALUE"""),"Dubai")</f>
        <v>Dubai</v>
      </c>
      <c r="B11667" s="2" t="str">
        <f ca="1">IFERROR(__xludf.DUMMYFUNCTION("""COMPUTED_VALUE"""),"Nad Al Hamar Two Building")</f>
        <v>Nad Al Hamar Two Building</v>
      </c>
      <c r="C11667" s="2" t="str">
        <f ca="1">IFERROR(__xludf.DUMMYFUNCTION("""COMPUTED_VALUE"""),"Building")</f>
        <v>Building</v>
      </c>
      <c r="D11667" s="2" t="str">
        <f ca="1">IFERROR(__xludf.DUMMYFUNCTION("""COMPUTED_VALUE"""),"Dubai&gt;Nad Al Hamar&gt;Nad Al Hamar Two Building")</f>
        <v>Dubai&gt;Nad Al Hamar&gt;Nad Al Hamar Two Building</v>
      </c>
      <c r="E11667" s="2"/>
      <c r="F11667" s="2"/>
      <c r="G11667" s="2"/>
      <c r="H11667" s="2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2"/>
      <c r="T11667" s="2"/>
      <c r="U11667" s="2"/>
      <c r="V11667" s="2"/>
      <c r="W11667" s="2"/>
      <c r="X11667" s="2"/>
      <c r="Y11667" s="2"/>
      <c r="Z11667" s="2"/>
    </row>
    <row r="11668" spans="1:26" ht="16.5" x14ac:dyDescent="0.35">
      <c r="A11668" s="2" t="str">
        <f ca="1">IFERROR(__xludf.DUMMYFUNCTION("""COMPUTED_VALUE"""),"Dubai")</f>
        <v>Dubai</v>
      </c>
      <c r="B11668" s="2" t="str">
        <f ca="1">IFERROR(__xludf.DUMMYFUNCTION("""COMPUTED_VALUE"""),"Sand Dunes Apartments")</f>
        <v>Sand Dunes Apartments</v>
      </c>
      <c r="C11668" s="2" t="str">
        <f ca="1">IFERROR(__xludf.DUMMYFUNCTION("""COMPUTED_VALUE"""),"Building")</f>
        <v>Building</v>
      </c>
      <c r="D11668" s="2" t="str">
        <f ca="1">IFERROR(__xludf.DUMMYFUNCTION("""COMPUTED_VALUE"""),"Dubai&gt;Al Barsha&gt;Al Barsha 1&gt;Sand Dunes Apartments")</f>
        <v>Dubai&gt;Al Barsha&gt;Al Barsha 1&gt;Sand Dunes Apartments</v>
      </c>
      <c r="E11668" s="2"/>
      <c r="F11668" s="2"/>
      <c r="G11668" s="2"/>
      <c r="H11668" s="2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2"/>
      <c r="T11668" s="2"/>
      <c r="U11668" s="2"/>
      <c r="V11668" s="2"/>
      <c r="W11668" s="2"/>
      <c r="X11668" s="2"/>
      <c r="Y11668" s="2"/>
      <c r="Z11668" s="2"/>
    </row>
    <row r="11669" spans="1:26" ht="16.5" x14ac:dyDescent="0.35">
      <c r="A11669" s="2" t="str">
        <f ca="1">IFERROR(__xludf.DUMMYFUNCTION("""COMPUTED_VALUE"""),"Dubai")</f>
        <v>Dubai</v>
      </c>
      <c r="B11669" s="2" t="str">
        <f ca="1">IFERROR(__xludf.DUMMYFUNCTION("""COMPUTED_VALUE"""),"Barsha Horizon")</f>
        <v>Barsha Horizon</v>
      </c>
      <c r="C11669" s="2" t="str">
        <f ca="1">IFERROR(__xludf.DUMMYFUNCTION("""COMPUTED_VALUE"""),"Building")</f>
        <v>Building</v>
      </c>
      <c r="D11669" s="2" t="str">
        <f ca="1">IFERROR(__xludf.DUMMYFUNCTION("""COMPUTED_VALUE"""),"Dubai&gt;Al Barsha&gt;Al Barsha 1&gt;Barsha Horizon")</f>
        <v>Dubai&gt;Al Barsha&gt;Al Barsha 1&gt;Barsha Horizon</v>
      </c>
      <c r="E11669" s="2"/>
      <c r="F11669" s="2"/>
      <c r="G11669" s="2"/>
      <c r="H11669" s="2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2"/>
      <c r="T11669" s="2"/>
      <c r="U11669" s="2"/>
      <c r="V11669" s="2"/>
      <c r="W11669" s="2"/>
      <c r="X11669" s="2"/>
      <c r="Y11669" s="2"/>
      <c r="Z11669" s="2"/>
    </row>
    <row r="11670" spans="1:26" ht="16.5" x14ac:dyDescent="0.35">
      <c r="A11670" s="2" t="str">
        <f ca="1">IFERROR(__xludf.DUMMYFUNCTION("""COMPUTED_VALUE"""),"Dubai")</f>
        <v>Dubai</v>
      </c>
      <c r="B11670" s="2" t="str">
        <f ca="1">IFERROR(__xludf.DUMMYFUNCTION("""COMPUTED_VALUE"""),"Casablanca 2")</f>
        <v>Casablanca 2</v>
      </c>
      <c r="C11670" s="2" t="str">
        <f ca="1">IFERROR(__xludf.DUMMYFUNCTION("""COMPUTED_VALUE"""),"Neighbourhood")</f>
        <v>Neighbourhood</v>
      </c>
      <c r="D11670" s="2" t="str">
        <f ca="1">IFERROR(__xludf.DUMMYFUNCTION("""COMPUTED_VALUE"""),"Dubai&gt;Al Barsha&gt;Al Barsha 1&gt;Casablanca 2")</f>
        <v>Dubai&gt;Al Barsha&gt;Al Barsha 1&gt;Casablanca 2</v>
      </c>
      <c r="E11670" s="2"/>
      <c r="F11670" s="2"/>
      <c r="G11670" s="2"/>
      <c r="H11670" s="2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2"/>
      <c r="T11670" s="2"/>
      <c r="U11670" s="2"/>
      <c r="V11670" s="2"/>
      <c r="W11670" s="2"/>
      <c r="X11670" s="2"/>
      <c r="Y11670" s="2"/>
      <c r="Z11670" s="2"/>
    </row>
    <row r="11671" spans="1:26" ht="16.5" x14ac:dyDescent="0.35">
      <c r="A11671" s="2" t="str">
        <f ca="1">IFERROR(__xludf.DUMMYFUNCTION("""COMPUTED_VALUE"""),"Dubai")</f>
        <v>Dubai</v>
      </c>
      <c r="B11671" s="2" t="str">
        <f ca="1">IFERROR(__xludf.DUMMYFUNCTION("""COMPUTED_VALUE"""),"Lootah Building")</f>
        <v>Lootah Building</v>
      </c>
      <c r="C11671" s="2" t="str">
        <f ca="1">IFERROR(__xludf.DUMMYFUNCTION("""COMPUTED_VALUE"""),"Building")</f>
        <v>Building</v>
      </c>
      <c r="D11671" s="2" t="str">
        <f ca="1">IFERROR(__xludf.DUMMYFUNCTION("""COMPUTED_VALUE"""),"Dubai&gt;Al Barsha&gt;Al Barsha 1&gt;Lootah Building")</f>
        <v>Dubai&gt;Al Barsha&gt;Al Barsha 1&gt;Lootah Building</v>
      </c>
      <c r="E11671" s="2"/>
      <c r="F11671" s="2"/>
      <c r="G11671" s="2"/>
      <c r="H11671" s="2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2"/>
      <c r="T11671" s="2"/>
      <c r="U11671" s="2"/>
      <c r="V11671" s="2"/>
      <c r="W11671" s="2"/>
      <c r="X11671" s="2"/>
      <c r="Y11671" s="2"/>
      <c r="Z11671" s="2"/>
    </row>
    <row r="11672" spans="1:26" ht="16.5" x14ac:dyDescent="0.35">
      <c r="A11672" s="2" t="str">
        <f ca="1">IFERROR(__xludf.DUMMYFUNCTION("""COMPUTED_VALUE"""),"Dubai")</f>
        <v>Dubai</v>
      </c>
      <c r="B11672" s="2" t="str">
        <f ca="1">IFERROR(__xludf.DUMMYFUNCTION("""COMPUTED_VALUE"""),"Ramada Chelsea Hotel")</f>
        <v>Ramada Chelsea Hotel</v>
      </c>
      <c r="C11672" s="2" t="str">
        <f ca="1">IFERROR(__xludf.DUMMYFUNCTION("""COMPUTED_VALUE"""),"Building")</f>
        <v>Building</v>
      </c>
      <c r="D11672" s="2" t="str">
        <f ca="1">IFERROR(__xludf.DUMMYFUNCTION("""COMPUTED_VALUE"""),"Dubai&gt;Al Barsha&gt;Al Barsha 1&gt;Ramada Chelsea Hotel")</f>
        <v>Dubai&gt;Al Barsha&gt;Al Barsha 1&gt;Ramada Chelsea Hotel</v>
      </c>
      <c r="E11672" s="2"/>
      <c r="F11672" s="2"/>
      <c r="G11672" s="2"/>
      <c r="H11672" s="2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2"/>
      <c r="T11672" s="2"/>
      <c r="U11672" s="2"/>
      <c r="V11672" s="2"/>
      <c r="W11672" s="2"/>
      <c r="X11672" s="2"/>
      <c r="Y11672" s="2"/>
      <c r="Z11672" s="2"/>
    </row>
    <row r="11673" spans="1:26" ht="16.5" x14ac:dyDescent="0.35">
      <c r="A11673" s="2" t="str">
        <f ca="1">IFERROR(__xludf.DUMMYFUNCTION("""COMPUTED_VALUE"""),"Dubai")</f>
        <v>Dubai</v>
      </c>
      <c r="B11673" s="2" t="str">
        <f ca="1">IFERROR(__xludf.DUMMYFUNCTION("""COMPUTED_VALUE"""),"Summerland Building")</f>
        <v>Summerland Building</v>
      </c>
      <c r="C11673" s="2" t="str">
        <f ca="1">IFERROR(__xludf.DUMMYFUNCTION("""COMPUTED_VALUE"""),"Building")</f>
        <v>Building</v>
      </c>
      <c r="D11673" s="2" t="str">
        <f ca="1">IFERROR(__xludf.DUMMYFUNCTION("""COMPUTED_VALUE"""),"Dubai&gt;Al Barsha&gt;Al Barsha 1&gt;Summerland Building")</f>
        <v>Dubai&gt;Al Barsha&gt;Al Barsha 1&gt;Summerland Building</v>
      </c>
      <c r="E11673" s="2"/>
      <c r="F11673" s="2"/>
      <c r="G11673" s="2"/>
      <c r="H11673" s="2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2"/>
      <c r="T11673" s="2"/>
      <c r="U11673" s="2"/>
      <c r="V11673" s="2"/>
      <c r="W11673" s="2"/>
      <c r="X11673" s="2"/>
      <c r="Y11673" s="2"/>
      <c r="Z11673" s="2"/>
    </row>
    <row r="11674" spans="1:26" ht="16.5" x14ac:dyDescent="0.35">
      <c r="A11674" s="2" t="str">
        <f ca="1">IFERROR(__xludf.DUMMYFUNCTION("""COMPUTED_VALUE"""),"Dubai")</f>
        <v>Dubai</v>
      </c>
      <c r="B11674" s="2" t="str">
        <f ca="1">IFERROR(__xludf.DUMMYFUNCTION("""COMPUTED_VALUE"""),"Ivory Grand Hotel Apartments")</f>
        <v>Ivory Grand Hotel Apartments</v>
      </c>
      <c r="C11674" s="2" t="str">
        <f ca="1">IFERROR(__xludf.DUMMYFUNCTION("""COMPUTED_VALUE"""),"Building")</f>
        <v>Building</v>
      </c>
      <c r="D11674" s="2" t="str">
        <f ca="1">IFERROR(__xludf.DUMMYFUNCTION("""COMPUTED_VALUE"""),"Dubai&gt;Al Barsha&gt;Al Barsha 1&gt;Ivory Grand Hotel Apartments")</f>
        <v>Dubai&gt;Al Barsha&gt;Al Barsha 1&gt;Ivory Grand Hotel Apartments</v>
      </c>
      <c r="E11674" s="2"/>
      <c r="F11674" s="2"/>
      <c r="G11674" s="2"/>
      <c r="H11674" s="2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2"/>
      <c r="T11674" s="2"/>
      <c r="U11674" s="2"/>
      <c r="V11674" s="2"/>
      <c r="W11674" s="2"/>
      <c r="X11674" s="2"/>
      <c r="Y11674" s="2"/>
      <c r="Z11674" s="2"/>
    </row>
    <row r="11675" spans="1:26" ht="16.5" x14ac:dyDescent="0.35">
      <c r="A11675" s="2" t="str">
        <f ca="1">IFERROR(__xludf.DUMMYFUNCTION("""COMPUTED_VALUE"""),"Dubai")</f>
        <v>Dubai</v>
      </c>
      <c r="B11675" s="2" t="str">
        <f ca="1">IFERROR(__xludf.DUMMYFUNCTION("""COMPUTED_VALUE"""),"The Biltmore Hotel Villas")</f>
        <v>The Biltmore Hotel Villas</v>
      </c>
      <c r="C11675" s="2" t="str">
        <f ca="1">IFERROR(__xludf.DUMMYFUNCTION("""COMPUTED_VALUE"""),"Neighbourhood")</f>
        <v>Neighbourhood</v>
      </c>
      <c r="D11675" s="2" t="str">
        <f ca="1">IFERROR(__xludf.DUMMYFUNCTION("""COMPUTED_VALUE"""),"Dubai&gt;Al Barsha&gt;Al Barsha 1&gt;The Biltmore Hotel Villas")</f>
        <v>Dubai&gt;Al Barsha&gt;Al Barsha 1&gt;The Biltmore Hotel Villas</v>
      </c>
      <c r="E11675" s="2"/>
      <c r="F11675" s="2"/>
      <c r="G11675" s="2"/>
      <c r="H11675" s="2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2"/>
      <c r="T11675" s="2"/>
      <c r="U11675" s="2"/>
      <c r="V11675" s="2"/>
      <c r="W11675" s="2"/>
      <c r="X11675" s="2"/>
      <c r="Y11675" s="2"/>
      <c r="Z11675" s="2"/>
    </row>
    <row r="11676" spans="1:26" ht="16.5" x14ac:dyDescent="0.35">
      <c r="A11676" s="2" t="str">
        <f ca="1">IFERROR(__xludf.DUMMYFUNCTION("""COMPUTED_VALUE"""),"Dubai")</f>
        <v>Dubai</v>
      </c>
      <c r="B11676" s="2" t="str">
        <f ca="1">IFERROR(__xludf.DUMMYFUNCTION("""COMPUTED_VALUE"""),"Al Shafar Tower")</f>
        <v>Al Shafar Tower</v>
      </c>
      <c r="C11676" s="2" t="str">
        <f ca="1">IFERROR(__xludf.DUMMYFUNCTION("""COMPUTED_VALUE"""),"Building")</f>
        <v>Building</v>
      </c>
      <c r="D11676" s="2" t="str">
        <f ca="1">IFERROR(__xludf.DUMMYFUNCTION("""COMPUTED_VALUE"""),"Dubai&gt;Al Barsha&gt;Al Barsha 1&gt;Al Shafar Tower")</f>
        <v>Dubai&gt;Al Barsha&gt;Al Barsha 1&gt;Al Shafar Tower</v>
      </c>
      <c r="E11676" s="2"/>
      <c r="F11676" s="2"/>
      <c r="G11676" s="2"/>
      <c r="H11676" s="2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2"/>
      <c r="T11676" s="2"/>
      <c r="U11676" s="2"/>
      <c r="V11676" s="2"/>
      <c r="W11676" s="2"/>
      <c r="X11676" s="2"/>
      <c r="Y11676" s="2"/>
      <c r="Z11676" s="2"/>
    </row>
    <row r="11677" spans="1:26" ht="16.5" x14ac:dyDescent="0.35">
      <c r="A11677" s="2" t="str">
        <f ca="1">IFERROR(__xludf.DUMMYFUNCTION("""COMPUTED_VALUE"""),"Dubai")</f>
        <v>Dubai</v>
      </c>
      <c r="B11677" s="2" t="str">
        <f ca="1">IFERROR(__xludf.DUMMYFUNCTION("""COMPUTED_VALUE"""),"Al Barsha South 2")</f>
        <v>Al Barsha South 2</v>
      </c>
      <c r="C11677" s="2" t="str">
        <f ca="1">IFERROR(__xludf.DUMMYFUNCTION("""COMPUTED_VALUE"""),"Neighbourhood")</f>
        <v>Neighbourhood</v>
      </c>
      <c r="D11677" s="2" t="str">
        <f ca="1">IFERROR(__xludf.DUMMYFUNCTION("""COMPUTED_VALUE"""),"Dubai&gt;Al Barsha&gt;Al Barsha South&gt;Al Barsha South 2")</f>
        <v>Dubai&gt;Al Barsha&gt;Al Barsha South&gt;Al Barsha South 2</v>
      </c>
      <c r="E11677" s="2"/>
      <c r="F11677" s="2"/>
      <c r="G11677" s="2"/>
      <c r="H11677" s="2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2"/>
      <c r="T11677" s="2"/>
      <c r="U11677" s="2"/>
      <c r="V11677" s="2"/>
      <c r="W11677" s="2"/>
      <c r="X11677" s="2"/>
      <c r="Y11677" s="2"/>
      <c r="Z11677" s="2"/>
    </row>
    <row r="11678" spans="1:26" ht="16.5" x14ac:dyDescent="0.35">
      <c r="A11678" s="2" t="str">
        <f ca="1">IFERROR(__xludf.DUMMYFUNCTION("""COMPUTED_VALUE"""),"Dubai")</f>
        <v>Dubai</v>
      </c>
      <c r="B11678" s="2" t="str">
        <f ca="1">IFERROR(__xludf.DUMMYFUNCTION("""COMPUTED_VALUE"""),"Vida Residence Downtown")</f>
        <v>Vida Residence Downtown</v>
      </c>
      <c r="C11678" s="2" t="str">
        <f ca="1">IFERROR(__xludf.DUMMYFUNCTION("""COMPUTED_VALUE"""),"Building")</f>
        <v>Building</v>
      </c>
      <c r="D11678" s="2" t="str">
        <f ca="1">IFERROR(__xludf.DUMMYFUNCTION("""COMPUTED_VALUE"""),"Dubai&gt;Downtown Dubai&gt;Vida Residence Downtown")</f>
        <v>Dubai&gt;Downtown Dubai&gt;Vida Residence Downtown</v>
      </c>
      <c r="E11678" s="2"/>
      <c r="F11678" s="2"/>
      <c r="G11678" s="2"/>
      <c r="H11678" s="2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2"/>
      <c r="T11678" s="2"/>
      <c r="U11678" s="2"/>
      <c r="V11678" s="2"/>
      <c r="W11678" s="2"/>
      <c r="X11678" s="2"/>
      <c r="Y11678" s="2"/>
      <c r="Z11678" s="2"/>
    </row>
    <row r="11679" spans="1:26" ht="16.5" x14ac:dyDescent="0.35">
      <c r="A11679" s="2" t="str">
        <f ca="1">IFERROR(__xludf.DUMMYFUNCTION("""COMPUTED_VALUE"""),"Dubai")</f>
        <v>Dubai</v>
      </c>
      <c r="B11679" s="2" t="str">
        <f ca="1">IFERROR(__xludf.DUMMYFUNCTION("""COMPUTED_VALUE"""),"Burj Crown")</f>
        <v>Burj Crown</v>
      </c>
      <c r="C11679" s="2" t="str">
        <f ca="1">IFERROR(__xludf.DUMMYFUNCTION("""COMPUTED_VALUE"""),"Building")</f>
        <v>Building</v>
      </c>
      <c r="D11679" s="2" t="str">
        <f ca="1">IFERROR(__xludf.DUMMYFUNCTION("""COMPUTED_VALUE"""),"Dubai&gt;Downtown Dubai&gt;Burj Crown")</f>
        <v>Dubai&gt;Downtown Dubai&gt;Burj Crown</v>
      </c>
      <c r="E11679" s="2"/>
      <c r="F11679" s="2"/>
      <c r="G11679" s="2"/>
      <c r="H11679" s="2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2"/>
      <c r="T11679" s="2"/>
      <c r="U11679" s="2"/>
      <c r="V11679" s="2"/>
      <c r="W11679" s="2"/>
      <c r="X11679" s="2"/>
      <c r="Y11679" s="2"/>
      <c r="Z11679" s="2"/>
    </row>
    <row r="11680" spans="1:26" ht="16.5" x14ac:dyDescent="0.35">
      <c r="A11680" s="2" t="str">
        <f ca="1">IFERROR(__xludf.DUMMYFUNCTION("""COMPUTED_VALUE"""),"Dubai")</f>
        <v>Dubai</v>
      </c>
      <c r="B11680" s="2" t="str">
        <f ca="1">IFERROR(__xludf.DUMMYFUNCTION("""COMPUTED_VALUE"""),"Burj Vista")</f>
        <v>Burj Vista</v>
      </c>
      <c r="C11680" s="2" t="str">
        <f ca="1">IFERROR(__xludf.DUMMYFUNCTION("""COMPUTED_VALUE"""),"Cluster")</f>
        <v>Cluster</v>
      </c>
      <c r="D11680" s="2" t="str">
        <f ca="1">IFERROR(__xludf.DUMMYFUNCTION("""COMPUTED_VALUE"""),"Dubai&gt;Downtown Dubai&gt;Burj Vista")</f>
        <v>Dubai&gt;Downtown Dubai&gt;Burj Vista</v>
      </c>
      <c r="E11680" s="2"/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2"/>
      <c r="T11680" s="2"/>
      <c r="U11680" s="2"/>
      <c r="V11680" s="2"/>
      <c r="W11680" s="2"/>
      <c r="X11680" s="2"/>
      <c r="Y11680" s="2"/>
      <c r="Z11680" s="2"/>
    </row>
    <row r="11681" spans="1:26" ht="16.5" x14ac:dyDescent="0.35">
      <c r="A11681" s="2" t="str">
        <f ca="1">IFERROR(__xludf.DUMMYFUNCTION("""COMPUTED_VALUE"""),"Dubai")</f>
        <v>Dubai</v>
      </c>
      <c r="B11681" s="2" t="str">
        <f ca="1">IFERROR(__xludf.DUMMYFUNCTION("""COMPUTED_VALUE"""),"Zaafaran 5")</f>
        <v>Zaafaran 5</v>
      </c>
      <c r="C11681" s="2" t="str">
        <f ca="1">IFERROR(__xludf.DUMMYFUNCTION("""COMPUTED_VALUE"""),"Building")</f>
        <v>Building</v>
      </c>
      <c r="D11681" s="2" t="str">
        <f ca="1">IFERROR(__xludf.DUMMYFUNCTION("""COMPUTED_VALUE"""),"Dubai&gt;Downtown Dubai&gt;Old Town&gt;Zaafaran&gt;Zaafaran 5")</f>
        <v>Dubai&gt;Downtown Dubai&gt;Old Town&gt;Zaafaran&gt;Zaafaran 5</v>
      </c>
      <c r="E11681" s="2"/>
      <c r="F11681" s="2"/>
      <c r="G11681" s="2"/>
      <c r="H11681" s="2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2"/>
      <c r="T11681" s="2"/>
      <c r="U11681" s="2"/>
      <c r="V11681" s="2"/>
      <c r="W11681" s="2"/>
      <c r="X11681" s="2"/>
      <c r="Y11681" s="2"/>
      <c r="Z11681" s="2"/>
    </row>
    <row r="11682" spans="1:26" ht="16.5" x14ac:dyDescent="0.35">
      <c r="A11682" s="2" t="str">
        <f ca="1">IFERROR(__xludf.DUMMYFUNCTION("""COMPUTED_VALUE"""),"Dubai")</f>
        <v>Dubai</v>
      </c>
      <c r="B11682" s="2" t="str">
        <f ca="1">IFERROR(__xludf.DUMMYFUNCTION("""COMPUTED_VALUE"""),"Miska 3")</f>
        <v>Miska 3</v>
      </c>
      <c r="C11682" s="2" t="str">
        <f ca="1">IFERROR(__xludf.DUMMYFUNCTION("""COMPUTED_VALUE"""),"Building")</f>
        <v>Building</v>
      </c>
      <c r="D11682" s="2" t="str">
        <f ca="1">IFERROR(__xludf.DUMMYFUNCTION("""COMPUTED_VALUE"""),"Dubai&gt;Downtown Dubai&gt;Old Town&gt;Miska&gt;Miska 3")</f>
        <v>Dubai&gt;Downtown Dubai&gt;Old Town&gt;Miska&gt;Miska 3</v>
      </c>
      <c r="E11682" s="2"/>
      <c r="F11682" s="2"/>
      <c r="G11682" s="2"/>
      <c r="H11682" s="2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2"/>
      <c r="T11682" s="2"/>
      <c r="U11682" s="2"/>
      <c r="V11682" s="2"/>
      <c r="W11682" s="2"/>
      <c r="X11682" s="2"/>
      <c r="Y11682" s="2"/>
      <c r="Z11682" s="2"/>
    </row>
    <row r="11683" spans="1:26" ht="16.5" x14ac:dyDescent="0.35">
      <c r="A11683" s="2" t="str">
        <f ca="1">IFERROR(__xludf.DUMMYFUNCTION("""COMPUTED_VALUE"""),"Dubai")</f>
        <v>Dubai</v>
      </c>
      <c r="B11683" s="2" t="str">
        <f ca="1">IFERROR(__xludf.DUMMYFUNCTION("""COMPUTED_VALUE"""),"25H Heimat")</f>
        <v>25H Heimat</v>
      </c>
      <c r="C11683" s="2" t="str">
        <f ca="1">IFERROR(__xludf.DUMMYFUNCTION("""COMPUTED_VALUE"""),"Building")</f>
        <v>Building</v>
      </c>
      <c r="D11683" s="2" t="str">
        <f ca="1">IFERROR(__xludf.DUMMYFUNCTION("""COMPUTED_VALUE"""),"Dubai&gt;Downtown Dubai&gt;25H Heimat")</f>
        <v>Dubai&gt;Downtown Dubai&gt;25H Heimat</v>
      </c>
      <c r="E11683" s="2"/>
      <c r="F11683" s="2"/>
      <c r="G11683" s="2"/>
      <c r="H11683" s="2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2"/>
      <c r="T11683" s="2"/>
      <c r="U11683" s="2"/>
      <c r="V11683" s="2"/>
      <c r="W11683" s="2"/>
      <c r="X11683" s="2"/>
      <c r="Y11683" s="2"/>
      <c r="Z11683" s="2"/>
    </row>
    <row r="11684" spans="1:26" ht="16.5" x14ac:dyDescent="0.35">
      <c r="A11684" s="2" t="str">
        <f ca="1">IFERROR(__xludf.DUMMYFUNCTION("""COMPUTED_VALUE"""),"Dubai")</f>
        <v>Dubai</v>
      </c>
      <c r="B11684" s="2" t="str">
        <f ca="1">IFERROR(__xludf.DUMMYFUNCTION("""COMPUTED_VALUE"""),"Sunrise Building")</f>
        <v>Sunrise Building</v>
      </c>
      <c r="C11684" s="2" t="str">
        <f ca="1">IFERROR(__xludf.DUMMYFUNCTION("""COMPUTED_VALUE"""),"Building")</f>
        <v>Building</v>
      </c>
      <c r="D11684" s="2" t="str">
        <f ca="1">IFERROR(__xludf.DUMMYFUNCTION("""COMPUTED_VALUE"""),"Dubai&gt;Liwan&gt;Queue Point&gt;Sunrise Building")</f>
        <v>Dubai&gt;Liwan&gt;Queue Point&gt;Sunrise Building</v>
      </c>
      <c r="E11684" s="2"/>
      <c r="F11684" s="2"/>
      <c r="G11684" s="2"/>
      <c r="H11684" s="2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2"/>
      <c r="T11684" s="2"/>
      <c r="U11684" s="2"/>
      <c r="V11684" s="2"/>
      <c r="W11684" s="2"/>
      <c r="X11684" s="2"/>
      <c r="Y11684" s="2"/>
      <c r="Z11684" s="2"/>
    </row>
    <row r="11685" spans="1:26" ht="16.5" x14ac:dyDescent="0.35">
      <c r="A11685" s="2" t="str">
        <f ca="1">IFERROR(__xludf.DUMMYFUNCTION("""COMPUTED_VALUE"""),"Dubai")</f>
        <v>Dubai</v>
      </c>
      <c r="B11685" s="2" t="str">
        <f ca="1">IFERROR(__xludf.DUMMYFUNCTION("""COMPUTED_VALUE"""),"Tala 2")</f>
        <v>Tala 2</v>
      </c>
      <c r="C11685" s="2" t="str">
        <f ca="1">IFERROR(__xludf.DUMMYFUNCTION("""COMPUTED_VALUE"""),"Building")</f>
        <v>Building</v>
      </c>
      <c r="D11685" s="2" t="str">
        <f ca="1">IFERROR(__xludf.DUMMYFUNCTION("""COMPUTED_VALUE"""),"Dubai&gt;Liwan&gt;Queue Point&gt;Tala 2")</f>
        <v>Dubai&gt;Liwan&gt;Queue Point&gt;Tala 2</v>
      </c>
      <c r="E11685" s="2"/>
      <c r="F11685" s="2"/>
      <c r="G11685" s="2"/>
      <c r="H11685" s="2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2"/>
      <c r="T11685" s="2"/>
      <c r="U11685" s="2"/>
      <c r="V11685" s="2"/>
      <c r="W11685" s="2"/>
      <c r="X11685" s="2"/>
      <c r="Y11685" s="2"/>
      <c r="Z11685" s="2"/>
    </row>
    <row r="11686" spans="1:26" ht="16.5" x14ac:dyDescent="0.35">
      <c r="A11686" s="2" t="str">
        <f ca="1">IFERROR(__xludf.DUMMYFUNCTION("""COMPUTED_VALUE"""),"Dubai")</f>
        <v>Dubai</v>
      </c>
      <c r="B11686" s="2" t="str">
        <f ca="1">IFERROR(__xludf.DUMMYFUNCTION("""COMPUTED_VALUE"""),"Sunrise Boulevard 11")</f>
        <v>Sunrise Boulevard 11</v>
      </c>
      <c r="C11686" s="2" t="str">
        <f ca="1">IFERROR(__xludf.DUMMYFUNCTION("""COMPUTED_VALUE"""),"Neighbourhood")</f>
        <v>Neighbourhood</v>
      </c>
      <c r="D11686" s="2" t="str">
        <f ca="1">IFERROR(__xludf.DUMMYFUNCTION("""COMPUTED_VALUE"""),"Dubai&gt;Liwan&gt;Sunrise Boulevard 11")</f>
        <v>Dubai&gt;Liwan&gt;Sunrise Boulevard 11</v>
      </c>
      <c r="E11686" s="2"/>
      <c r="F11686" s="2"/>
      <c r="G11686" s="2"/>
      <c r="H11686" s="2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2"/>
      <c r="T11686" s="2"/>
      <c r="U11686" s="2"/>
      <c r="V11686" s="2"/>
      <c r="W11686" s="2"/>
      <c r="X11686" s="2"/>
      <c r="Y11686" s="2"/>
      <c r="Z11686" s="2"/>
    </row>
    <row r="11687" spans="1:26" ht="16.5" x14ac:dyDescent="0.35">
      <c r="A11687" s="2" t="str">
        <f ca="1">IFERROR(__xludf.DUMMYFUNCTION("""COMPUTED_VALUE"""),"Dubai")</f>
        <v>Dubai</v>
      </c>
      <c r="B11687" s="2" t="str">
        <f ca="1">IFERROR(__xludf.DUMMYFUNCTION("""COMPUTED_VALUE"""),"Limestone House")</f>
        <v>Limestone House</v>
      </c>
      <c r="C11687" s="2" t="str">
        <f ca="1">IFERROR(__xludf.DUMMYFUNCTION("""COMPUTED_VALUE"""),"Building")</f>
        <v>Building</v>
      </c>
      <c r="D11687" s="2" t="str">
        <f ca="1">IFERROR(__xludf.DUMMYFUNCTION("""COMPUTED_VALUE"""),"Dubai&gt;DIFC&gt;Limestone House")</f>
        <v>Dubai&gt;DIFC&gt;Limestone House</v>
      </c>
      <c r="E11687" s="2"/>
      <c r="F11687" s="2"/>
      <c r="G11687" s="2"/>
      <c r="H11687" s="2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2"/>
      <c r="T11687" s="2"/>
      <c r="U11687" s="2"/>
      <c r="V11687" s="2"/>
      <c r="W11687" s="2"/>
      <c r="X11687" s="2"/>
      <c r="Y11687" s="2"/>
      <c r="Z11687" s="2"/>
    </row>
    <row r="11688" spans="1:26" ht="16.5" x14ac:dyDescent="0.35">
      <c r="A11688" s="2" t="str">
        <f ca="1">IFERROR(__xludf.DUMMYFUNCTION("""COMPUTED_VALUE"""),"Dubai")</f>
        <v>Dubai</v>
      </c>
      <c r="B11688" s="2" t="str">
        <f ca="1">IFERROR(__xludf.DUMMYFUNCTION("""COMPUTED_VALUE"""),"The Gate Precinct 6")</f>
        <v>The Gate Precinct 6</v>
      </c>
      <c r="C11688" s="2" t="str">
        <f ca="1">IFERROR(__xludf.DUMMYFUNCTION("""COMPUTED_VALUE"""),"Building")</f>
        <v>Building</v>
      </c>
      <c r="D11688" s="2" t="str">
        <f ca="1">IFERROR(__xludf.DUMMYFUNCTION("""COMPUTED_VALUE"""),"Dubai&gt;DIFC&gt;The Gate Precinct&gt;The Gate Precinct 6")</f>
        <v>Dubai&gt;DIFC&gt;The Gate Precinct&gt;The Gate Precinct 6</v>
      </c>
      <c r="E11688" s="2"/>
      <c r="F11688" s="2"/>
      <c r="G11688" s="2"/>
      <c r="H11688" s="2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2"/>
      <c r="T11688" s="2"/>
      <c r="U11688" s="2"/>
      <c r="V11688" s="2"/>
      <c r="W11688" s="2"/>
      <c r="X11688" s="2"/>
      <c r="Y11688" s="2"/>
      <c r="Z11688" s="2"/>
    </row>
    <row r="11689" spans="1:26" ht="16.5" x14ac:dyDescent="0.35">
      <c r="A11689" s="2" t="str">
        <f ca="1">IFERROR(__xludf.DUMMYFUNCTION("""COMPUTED_VALUE"""),"Dubai")</f>
        <v>Dubai</v>
      </c>
      <c r="B11689" s="2" t="str">
        <f ca="1">IFERROR(__xludf.DUMMYFUNCTION("""COMPUTED_VALUE"""),"Ignite School")</f>
        <v>Ignite School</v>
      </c>
      <c r="C11689" s="2" t="str">
        <f ca="1">IFERROR(__xludf.DUMMYFUNCTION("""COMPUTED_VALUE"""),"School")</f>
        <v>School</v>
      </c>
      <c r="D11689" s="2" t="str">
        <f ca="1">IFERROR(__xludf.DUMMYFUNCTION("""COMPUTED_VALUE"""),"Dubai&gt;Al Warqaa&gt;Al Warqaa 3&gt;Ignite School")</f>
        <v>Dubai&gt;Al Warqaa&gt;Al Warqaa 3&gt;Ignite School</v>
      </c>
      <c r="E11689" s="2"/>
      <c r="F11689" s="2"/>
      <c r="G11689" s="2"/>
      <c r="H11689" s="2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2"/>
      <c r="T11689" s="2"/>
      <c r="U11689" s="2"/>
      <c r="V11689" s="2"/>
      <c r="W11689" s="2"/>
      <c r="X11689" s="2"/>
      <c r="Y11689" s="2"/>
      <c r="Z11689" s="2"/>
    </row>
    <row r="11690" spans="1:26" ht="16.5" x14ac:dyDescent="0.35">
      <c r="A11690" s="2" t="str">
        <f ca="1">IFERROR(__xludf.DUMMYFUNCTION("""COMPUTED_VALUE"""),"Dubai")</f>
        <v>Dubai</v>
      </c>
      <c r="B11690" s="2" t="str">
        <f ca="1">IFERROR(__xludf.DUMMYFUNCTION("""COMPUTED_VALUE"""),"Al Awadhi Building")</f>
        <v>Al Awadhi Building</v>
      </c>
      <c r="C11690" s="2" t="str">
        <f ca="1">IFERROR(__xludf.DUMMYFUNCTION("""COMPUTED_VALUE"""),"Building")</f>
        <v>Building</v>
      </c>
      <c r="D11690" s="2" t="str">
        <f ca="1">IFERROR(__xludf.DUMMYFUNCTION("""COMPUTED_VALUE"""),"Dubai&gt;Al Warqaa&gt;Al Warqaa 1&gt;Al Awadhi Building")</f>
        <v>Dubai&gt;Al Warqaa&gt;Al Warqaa 1&gt;Al Awadhi Building</v>
      </c>
      <c r="E11690" s="2"/>
      <c r="F11690" s="2"/>
      <c r="G11690" s="2"/>
      <c r="H11690" s="2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2"/>
      <c r="T11690" s="2"/>
      <c r="U11690" s="2"/>
      <c r="V11690" s="2"/>
      <c r="W11690" s="2"/>
      <c r="X11690" s="2"/>
      <c r="Y11690" s="2"/>
      <c r="Z11690" s="2"/>
    </row>
    <row r="11691" spans="1:26" ht="16.5" x14ac:dyDescent="0.35">
      <c r="A11691" s="2" t="str">
        <f ca="1">IFERROR(__xludf.DUMMYFUNCTION("""COMPUTED_VALUE"""),"Dubai")</f>
        <v>Dubai</v>
      </c>
      <c r="B11691" s="2" t="str">
        <f ca="1">IFERROR(__xludf.DUMMYFUNCTION("""COMPUTED_VALUE"""),"Al Warqaa New Building")</f>
        <v>Al Warqaa New Building</v>
      </c>
      <c r="C11691" s="2" t="str">
        <f ca="1">IFERROR(__xludf.DUMMYFUNCTION("""COMPUTED_VALUE"""),"Building")</f>
        <v>Building</v>
      </c>
      <c r="D11691" s="2" t="str">
        <f ca="1">IFERROR(__xludf.DUMMYFUNCTION("""COMPUTED_VALUE"""),"Dubai&gt;Al Warqaa&gt;Al Warqaa 1&gt;Al Warqaa New Building")</f>
        <v>Dubai&gt;Al Warqaa&gt;Al Warqaa 1&gt;Al Warqaa New Building</v>
      </c>
      <c r="E11691" s="2"/>
      <c r="F11691" s="2"/>
      <c r="G11691" s="2"/>
      <c r="H11691" s="2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2"/>
      <c r="T11691" s="2"/>
      <c r="U11691" s="2"/>
      <c r="V11691" s="2"/>
      <c r="W11691" s="2"/>
      <c r="X11691" s="2"/>
      <c r="Y11691" s="2"/>
      <c r="Z11691" s="2"/>
    </row>
    <row r="11692" spans="1:26" ht="16.5" x14ac:dyDescent="0.35">
      <c r="A11692" s="2" t="str">
        <f ca="1">IFERROR(__xludf.DUMMYFUNCTION("""COMPUTED_VALUE"""),"Dubai")</f>
        <v>Dubai</v>
      </c>
      <c r="B11692" s="2" t="str">
        <f ca="1">IFERROR(__xludf.DUMMYFUNCTION("""COMPUTED_VALUE"""),"Abdulqader Qassim Abdullah Alqassim 2 Building")</f>
        <v>Abdulqader Qassim Abdullah Alqassim 2 Building</v>
      </c>
      <c r="C11692" s="2" t="str">
        <f ca="1">IFERROR(__xludf.DUMMYFUNCTION("""COMPUTED_VALUE"""),"Building")</f>
        <v>Building</v>
      </c>
      <c r="D11692" s="2" t="str">
        <f ca="1">IFERROR(__xludf.DUMMYFUNCTION("""COMPUTED_VALUE"""),"Dubai&gt;Al Warqaa&gt;Al Warqaa 1&gt;Abdulqader Qassim Abdullah Alqassim 2 Building")</f>
        <v>Dubai&gt;Al Warqaa&gt;Al Warqaa 1&gt;Abdulqader Qassim Abdullah Alqassim 2 Building</v>
      </c>
      <c r="E11692" s="2"/>
      <c r="F11692" s="2"/>
      <c r="G11692" s="2"/>
      <c r="H11692" s="2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2"/>
      <c r="T11692" s="2"/>
      <c r="U11692" s="2"/>
      <c r="V11692" s="2"/>
      <c r="W11692" s="2"/>
      <c r="X11692" s="2"/>
      <c r="Y11692" s="2"/>
      <c r="Z11692" s="2"/>
    </row>
    <row r="11693" spans="1:26" ht="16.5" x14ac:dyDescent="0.35">
      <c r="A11693" s="2" t="str">
        <f ca="1">IFERROR(__xludf.DUMMYFUNCTION("""COMPUTED_VALUE"""),"Dubai")</f>
        <v>Dubai</v>
      </c>
      <c r="B11693" s="2" t="str">
        <f ca="1">IFERROR(__xludf.DUMMYFUNCTION("""COMPUTED_VALUE"""),"EO Estates Al Warqaa Building")</f>
        <v>EO Estates Al Warqaa Building</v>
      </c>
      <c r="C11693" s="2" t="str">
        <f ca="1">IFERROR(__xludf.DUMMYFUNCTION("""COMPUTED_VALUE"""),"Building")</f>
        <v>Building</v>
      </c>
      <c r="D11693" s="2" t="str">
        <f ca="1">IFERROR(__xludf.DUMMYFUNCTION("""COMPUTED_VALUE"""),"Dubai&gt;Al Warqaa&gt;Al Warqaa 1&gt;EO Estates Al Warqaa Building")</f>
        <v>Dubai&gt;Al Warqaa&gt;Al Warqaa 1&gt;EO Estates Al Warqaa Building</v>
      </c>
      <c r="E11693" s="2"/>
      <c r="F11693" s="2"/>
      <c r="G11693" s="2"/>
      <c r="H11693" s="2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2"/>
      <c r="T11693" s="2"/>
      <c r="U11693" s="2"/>
      <c r="V11693" s="2"/>
      <c r="W11693" s="2"/>
      <c r="X11693" s="2"/>
      <c r="Y11693" s="2"/>
      <c r="Z11693" s="2"/>
    </row>
    <row r="11694" spans="1:26" ht="16.5" x14ac:dyDescent="0.35">
      <c r="A11694" s="2" t="str">
        <f ca="1">IFERROR(__xludf.DUMMYFUNCTION("""COMPUTED_VALUE"""),"Dubai")</f>
        <v>Dubai</v>
      </c>
      <c r="B11694" s="2" t="str">
        <f ca="1">IFERROR(__xludf.DUMMYFUNCTION("""COMPUTED_VALUE"""),"JLT Cluster E")</f>
        <v>JLT Cluster E</v>
      </c>
      <c r="C11694" s="2" t="str">
        <f ca="1">IFERROR(__xludf.DUMMYFUNCTION("""COMPUTED_VALUE"""),"Cluster")</f>
        <v>Cluster</v>
      </c>
      <c r="D11694" s="2" t="str">
        <f ca="1">IFERROR(__xludf.DUMMYFUNCTION("""COMPUTED_VALUE"""),"Dubai&gt;Jumeirah Lake Towers (JLT)&gt;JLT Cluster E")</f>
        <v>Dubai&gt;Jumeirah Lake Towers (JLT)&gt;JLT Cluster E</v>
      </c>
      <c r="E11694" s="2"/>
      <c r="F11694" s="2"/>
      <c r="G11694" s="2"/>
      <c r="H11694" s="2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2"/>
      <c r="T11694" s="2"/>
      <c r="U11694" s="2"/>
      <c r="V11694" s="2"/>
      <c r="W11694" s="2"/>
      <c r="X11694" s="2"/>
      <c r="Y11694" s="2"/>
      <c r="Z11694" s="2"/>
    </row>
    <row r="11695" spans="1:26" ht="16.5" x14ac:dyDescent="0.35">
      <c r="A11695" s="2" t="str">
        <f ca="1">IFERROR(__xludf.DUMMYFUNCTION("""COMPUTED_VALUE"""),"Dubai")</f>
        <v>Dubai</v>
      </c>
      <c r="B11695" s="2" t="str">
        <f ca="1">IFERROR(__xludf.DUMMYFUNCTION("""COMPUTED_VALUE"""),"Me Do Re")</f>
        <v>Me Do Re</v>
      </c>
      <c r="C11695" s="2" t="str">
        <f ca="1">IFERROR(__xludf.DUMMYFUNCTION("""COMPUTED_VALUE"""),"Building")</f>
        <v>Building</v>
      </c>
      <c r="D11695" s="2" t="str">
        <f ca="1">IFERROR(__xludf.DUMMYFUNCTION("""COMPUTED_VALUE"""),"Dubai&gt;Jumeirah Lake Towers (JLT)&gt;JLT Cluster L&gt;Me Do Re")</f>
        <v>Dubai&gt;Jumeirah Lake Towers (JLT)&gt;JLT Cluster L&gt;Me Do Re</v>
      </c>
      <c r="E11695" s="2"/>
      <c r="F11695" s="2"/>
      <c r="G11695" s="2"/>
      <c r="H11695" s="2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2"/>
      <c r="T11695" s="2"/>
      <c r="U11695" s="2"/>
      <c r="V11695" s="2"/>
      <c r="W11695" s="2"/>
      <c r="X11695" s="2"/>
      <c r="Y11695" s="2"/>
      <c r="Z11695" s="2"/>
    </row>
    <row r="11696" spans="1:26" ht="16.5" x14ac:dyDescent="0.35">
      <c r="A11696" s="2" t="str">
        <f ca="1">IFERROR(__xludf.DUMMYFUNCTION("""COMPUTED_VALUE"""),"Dubai")</f>
        <v>Dubai</v>
      </c>
      <c r="B11696" s="2" t="str">
        <f ca="1">IFERROR(__xludf.DUMMYFUNCTION("""COMPUTED_VALUE"""),"JLT Cluster T")</f>
        <v>JLT Cluster T</v>
      </c>
      <c r="C11696" s="2" t="str">
        <f ca="1">IFERROR(__xludf.DUMMYFUNCTION("""COMPUTED_VALUE"""),"Cluster")</f>
        <v>Cluster</v>
      </c>
      <c r="D11696" s="2" t="str">
        <f ca="1">IFERROR(__xludf.DUMMYFUNCTION("""COMPUTED_VALUE"""),"Dubai&gt;Jumeirah Lake Towers (JLT)&gt;JLT Cluster T")</f>
        <v>Dubai&gt;Jumeirah Lake Towers (JLT)&gt;JLT Cluster T</v>
      </c>
      <c r="E11696" s="2"/>
      <c r="F11696" s="2"/>
      <c r="G11696" s="2"/>
      <c r="H11696" s="2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2"/>
      <c r="T11696" s="2"/>
      <c r="U11696" s="2"/>
      <c r="V11696" s="2"/>
      <c r="W11696" s="2"/>
      <c r="X11696" s="2"/>
      <c r="Y11696" s="2"/>
      <c r="Z11696" s="2"/>
    </row>
    <row r="11697" spans="1:26" ht="16.5" x14ac:dyDescent="0.35">
      <c r="A11697" s="2" t="str">
        <f ca="1">IFERROR(__xludf.DUMMYFUNCTION("""COMPUTED_VALUE"""),"Dubai")</f>
        <v>Dubai</v>
      </c>
      <c r="B11697" s="2" t="str">
        <f ca="1">IFERROR(__xludf.DUMMYFUNCTION("""COMPUTED_VALUE"""),"Emirates Gold Building DMCC")</f>
        <v>Emirates Gold Building DMCC</v>
      </c>
      <c r="C11697" s="2" t="str">
        <f ca="1">IFERROR(__xludf.DUMMYFUNCTION("""COMPUTED_VALUE"""),"Building")</f>
        <v>Building</v>
      </c>
      <c r="D11697" s="2" t="str">
        <f ca="1">IFERROR(__xludf.DUMMYFUNCTION("""COMPUTED_VALUE"""),"Dubai&gt;Jumeirah Lake Towers (JLT)&gt;Emirates Gold Building DMCC")</f>
        <v>Dubai&gt;Jumeirah Lake Towers (JLT)&gt;Emirates Gold Building DMCC</v>
      </c>
      <c r="E11697" s="2"/>
      <c r="F11697" s="2"/>
      <c r="G11697" s="2"/>
      <c r="H11697" s="2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2"/>
      <c r="T11697" s="2"/>
      <c r="U11697" s="2"/>
      <c r="V11697" s="2"/>
      <c r="W11697" s="2"/>
      <c r="X11697" s="2"/>
      <c r="Y11697" s="2"/>
      <c r="Z11697" s="2"/>
    </row>
    <row r="11698" spans="1:26" ht="16.5" x14ac:dyDescent="0.35">
      <c r="A11698" s="2" t="str">
        <f ca="1">IFERROR(__xludf.DUMMYFUNCTION("""COMPUTED_VALUE"""),"Dubai")</f>
        <v>Dubai</v>
      </c>
      <c r="B11698" s="2" t="str">
        <f ca="1">IFERROR(__xludf.DUMMYFUNCTION("""COMPUTED_VALUE"""),"Mudon Al Ranim 2")</f>
        <v>Mudon Al Ranim 2</v>
      </c>
      <c r="C11698" s="2" t="str">
        <f ca="1">IFERROR(__xludf.DUMMYFUNCTION("""COMPUTED_VALUE"""),"Neighbourhood")</f>
        <v>Neighbourhood</v>
      </c>
      <c r="D11698" s="2" t="str">
        <f ca="1">IFERROR(__xludf.DUMMYFUNCTION("""COMPUTED_VALUE"""),"Dubai&gt;Mudon&gt;Mudon Al Ranim&gt;Mudon Al Ranim 2")</f>
        <v>Dubai&gt;Mudon&gt;Mudon Al Ranim&gt;Mudon Al Ranim 2</v>
      </c>
      <c r="E11698" s="2"/>
      <c r="F11698" s="2"/>
      <c r="G11698" s="2"/>
      <c r="H11698" s="2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2"/>
      <c r="T11698" s="2"/>
      <c r="U11698" s="2"/>
      <c r="V11698" s="2"/>
      <c r="W11698" s="2"/>
      <c r="X11698" s="2"/>
      <c r="Y11698" s="2"/>
      <c r="Z11698" s="2"/>
    </row>
    <row r="11699" spans="1:26" ht="16.5" x14ac:dyDescent="0.35">
      <c r="A11699" s="2" t="str">
        <f ca="1">IFERROR(__xludf.DUMMYFUNCTION("""COMPUTED_VALUE"""),"Dubai")</f>
        <v>Dubai</v>
      </c>
      <c r="B11699" s="2" t="str">
        <f ca="1">IFERROR(__xludf.DUMMYFUNCTION("""COMPUTED_VALUE"""),"Adaire 1")</f>
        <v>Adaire 1</v>
      </c>
      <c r="C11699" s="2" t="str">
        <f ca="1">IFERROR(__xludf.DUMMYFUNCTION("""COMPUTED_VALUE"""),"Building")</f>
        <v>Building</v>
      </c>
      <c r="D11699" s="2" t="str">
        <f ca="1">IFERROR(__xludf.DUMMYFUNCTION("""COMPUTED_VALUE"""),"Dubai&gt;Al Satwa&gt;Adaire 1")</f>
        <v>Dubai&gt;Al Satwa&gt;Adaire 1</v>
      </c>
      <c r="E11699" s="2"/>
      <c r="F11699" s="2"/>
      <c r="G11699" s="2"/>
      <c r="H11699" s="2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2"/>
      <c r="T11699" s="2"/>
      <c r="U11699" s="2"/>
      <c r="V11699" s="2"/>
      <c r="W11699" s="2"/>
      <c r="X11699" s="2"/>
      <c r="Y11699" s="2"/>
      <c r="Z11699" s="2"/>
    </row>
    <row r="11700" spans="1:26" ht="16.5" x14ac:dyDescent="0.35">
      <c r="A11700" s="2" t="str">
        <f ca="1">IFERROR(__xludf.DUMMYFUNCTION("""COMPUTED_VALUE"""),"Dubai")</f>
        <v>Dubai</v>
      </c>
      <c r="B11700" s="2" t="str">
        <f ca="1">IFERROR(__xludf.DUMMYFUNCTION("""COMPUTED_VALUE"""),"The Muse")</f>
        <v>The Muse</v>
      </c>
      <c r="C11700" s="2" t="str">
        <f ca="1">IFERROR(__xludf.DUMMYFUNCTION("""COMPUTED_VALUE"""),"Building")</f>
        <v>Building</v>
      </c>
      <c r="D11700" s="2" t="str">
        <f ca="1">IFERROR(__xludf.DUMMYFUNCTION("""COMPUTED_VALUE"""),"Dubai&gt;Al Satwa&gt;Jumeirah Garden City&gt;The Muse")</f>
        <v>Dubai&gt;Al Satwa&gt;Jumeirah Garden City&gt;The Muse</v>
      </c>
      <c r="E11700" s="2"/>
      <c r="F11700" s="2"/>
      <c r="G11700" s="2"/>
      <c r="H11700" s="2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2"/>
      <c r="T11700" s="2"/>
      <c r="U11700" s="2"/>
      <c r="V11700" s="2"/>
      <c r="W11700" s="2"/>
      <c r="X11700" s="2"/>
      <c r="Y11700" s="2"/>
      <c r="Z11700" s="2"/>
    </row>
    <row r="11701" spans="1:26" ht="16.5" x14ac:dyDescent="0.35">
      <c r="A11701" s="2" t="str">
        <f ca="1">IFERROR(__xludf.DUMMYFUNCTION("""COMPUTED_VALUE"""),"Dubai")</f>
        <v>Dubai</v>
      </c>
      <c r="B11701" s="2" t="str">
        <f ca="1">IFERROR(__xludf.DUMMYFUNCTION("""COMPUTED_VALUE"""),"Elysium 2")</f>
        <v>Elysium 2</v>
      </c>
      <c r="C11701" s="2" t="str">
        <f ca="1">IFERROR(__xludf.DUMMYFUNCTION("""COMPUTED_VALUE"""),"Building")</f>
        <v>Building</v>
      </c>
      <c r="D11701" s="2" t="str">
        <f ca="1">IFERROR(__xludf.DUMMYFUNCTION("""COMPUTED_VALUE"""),"Dubai&gt;Al Satwa&gt;Jumeirah Garden City&gt;Elysium 2")</f>
        <v>Dubai&gt;Al Satwa&gt;Jumeirah Garden City&gt;Elysium 2</v>
      </c>
      <c r="E11701" s="2"/>
      <c r="F11701" s="2"/>
      <c r="G11701" s="2"/>
      <c r="H11701" s="2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2"/>
      <c r="T11701" s="2"/>
      <c r="U11701" s="2"/>
      <c r="V11701" s="2"/>
      <c r="W11701" s="2"/>
      <c r="X11701" s="2"/>
      <c r="Y11701" s="2"/>
      <c r="Z11701" s="2"/>
    </row>
    <row r="11702" spans="1:26" ht="16.5" x14ac:dyDescent="0.35">
      <c r="A11702" s="2" t="str">
        <f ca="1">IFERROR(__xludf.DUMMYFUNCTION("""COMPUTED_VALUE"""),"Dubai")</f>
        <v>Dubai</v>
      </c>
      <c r="B11702" s="2" t="str">
        <f ca="1">IFERROR(__xludf.DUMMYFUNCTION("""COMPUTED_VALUE"""),"Evergr1n House 4")</f>
        <v>Evergr1n House 4</v>
      </c>
      <c r="C11702" s="2" t="str">
        <f ca="1">IFERROR(__xludf.DUMMYFUNCTION("""COMPUTED_VALUE"""),"Building")</f>
        <v>Building</v>
      </c>
      <c r="D11702" s="2" t="str">
        <f ca="1">IFERROR(__xludf.DUMMYFUNCTION("""COMPUTED_VALUE"""),"Dubai&gt;Al Satwa&gt;Jumeirah Garden City&gt;Evergr1n House 4")</f>
        <v>Dubai&gt;Al Satwa&gt;Jumeirah Garden City&gt;Evergr1n House 4</v>
      </c>
      <c r="E11702" s="2"/>
      <c r="F11702" s="2"/>
      <c r="G11702" s="2"/>
      <c r="H11702" s="2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2"/>
      <c r="T11702" s="2"/>
      <c r="U11702" s="2"/>
      <c r="V11702" s="2"/>
      <c r="W11702" s="2"/>
      <c r="X11702" s="2"/>
      <c r="Y11702" s="2"/>
      <c r="Z11702" s="2"/>
    </row>
    <row r="11703" spans="1:26" ht="16.5" x14ac:dyDescent="0.35">
      <c r="A11703" s="2" t="str">
        <f ca="1">IFERROR(__xludf.DUMMYFUNCTION("""COMPUTED_VALUE"""),"Dubai")</f>
        <v>Dubai</v>
      </c>
      <c r="B11703" s="2" t="str">
        <f ca="1">IFERROR(__xludf.DUMMYFUNCTION("""COMPUTED_VALUE"""),"Al Mizhar American Academy (AAM)")</f>
        <v>Al Mizhar American Academy (AAM)</v>
      </c>
      <c r="C11703" s="2" t="str">
        <f ca="1">IFERROR(__xludf.DUMMYFUNCTION("""COMPUTED_VALUE"""),"School")</f>
        <v>School</v>
      </c>
      <c r="D11703" s="2" t="str">
        <f ca="1">IFERROR(__xludf.DUMMYFUNCTION("""COMPUTED_VALUE"""),"Dubai&gt;Al Mizhar&gt;Al Mizhar 1&gt;Al Mizhar American Academy (AAM)")</f>
        <v>Dubai&gt;Al Mizhar&gt;Al Mizhar 1&gt;Al Mizhar American Academy (AAM)</v>
      </c>
      <c r="E11703" s="2"/>
      <c r="F11703" s="2"/>
      <c r="G11703" s="2"/>
      <c r="H11703" s="2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2"/>
      <c r="T11703" s="2"/>
      <c r="U11703" s="2"/>
      <c r="V11703" s="2"/>
      <c r="W11703" s="2"/>
      <c r="X11703" s="2"/>
      <c r="Y11703" s="2"/>
      <c r="Z11703" s="2"/>
    </row>
    <row r="11704" spans="1:26" ht="16.5" x14ac:dyDescent="0.35">
      <c r="A11704" s="2" t="str">
        <f ca="1">IFERROR(__xludf.DUMMYFUNCTION("""COMPUTED_VALUE"""),"Dubai")</f>
        <v>Dubai</v>
      </c>
      <c r="B11704" s="2" t="str">
        <f ca="1">IFERROR(__xludf.DUMMYFUNCTION("""COMPUTED_VALUE"""),"Building 125")</f>
        <v>Building 125</v>
      </c>
      <c r="C11704" s="2" t="str">
        <f ca="1">IFERROR(__xludf.DUMMYFUNCTION("""COMPUTED_VALUE"""),"Building")</f>
        <v>Building</v>
      </c>
      <c r="D11704" s="2" t="str">
        <f ca="1">IFERROR(__xludf.DUMMYFUNCTION("""COMPUTED_VALUE"""),"Dubai&gt;Discovery Gardens&gt;Contemporary&gt;Building 125")</f>
        <v>Dubai&gt;Discovery Gardens&gt;Contemporary&gt;Building 125</v>
      </c>
      <c r="E11704" s="2"/>
      <c r="F11704" s="2"/>
      <c r="G11704" s="2"/>
      <c r="H11704" s="2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2"/>
      <c r="T11704" s="2"/>
      <c r="U11704" s="2"/>
      <c r="V11704" s="2"/>
      <c r="W11704" s="2"/>
      <c r="X11704" s="2"/>
      <c r="Y11704" s="2"/>
      <c r="Z11704" s="2"/>
    </row>
    <row r="11705" spans="1:26" ht="16.5" x14ac:dyDescent="0.35">
      <c r="A11705" s="2" t="str">
        <f ca="1">IFERROR(__xludf.DUMMYFUNCTION("""COMPUTED_VALUE"""),"Dubai")</f>
        <v>Dubai</v>
      </c>
      <c r="B11705" s="2" t="str">
        <f ca="1">IFERROR(__xludf.DUMMYFUNCTION("""COMPUTED_VALUE"""),"Building 239")</f>
        <v>Building 239</v>
      </c>
      <c r="C11705" s="2" t="str">
        <f ca="1">IFERROR(__xludf.DUMMYFUNCTION("""COMPUTED_VALUE"""),"Building")</f>
        <v>Building</v>
      </c>
      <c r="D11705" s="2" t="str">
        <f ca="1">IFERROR(__xludf.DUMMYFUNCTION("""COMPUTED_VALUE"""),"Dubai&gt;Discovery Gardens&gt;Mesoamerican&gt;Building 239")</f>
        <v>Dubai&gt;Discovery Gardens&gt;Mesoamerican&gt;Building 239</v>
      </c>
      <c r="E11705" s="2"/>
      <c r="F11705" s="2"/>
      <c r="G11705" s="2"/>
      <c r="H11705" s="2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2"/>
      <c r="T11705" s="2"/>
      <c r="U11705" s="2"/>
      <c r="V11705" s="2"/>
      <c r="W11705" s="2"/>
      <c r="X11705" s="2"/>
      <c r="Y11705" s="2"/>
      <c r="Z11705" s="2"/>
    </row>
    <row r="11706" spans="1:26" ht="16.5" x14ac:dyDescent="0.35">
      <c r="A11706" s="2" t="str">
        <f ca="1">IFERROR(__xludf.DUMMYFUNCTION("""COMPUTED_VALUE"""),"Dubai")</f>
        <v>Dubai</v>
      </c>
      <c r="B11706" s="2" t="str">
        <f ca="1">IFERROR(__xludf.DUMMYFUNCTION("""COMPUTED_VALUE"""),"Building 192")</f>
        <v>Building 192</v>
      </c>
      <c r="C11706" s="2" t="str">
        <f ca="1">IFERROR(__xludf.DUMMYFUNCTION("""COMPUTED_VALUE"""),"Building")</f>
        <v>Building</v>
      </c>
      <c r="D11706" s="2" t="str">
        <f ca="1">IFERROR(__xludf.DUMMYFUNCTION("""COMPUTED_VALUE"""),"Dubai&gt;Discovery Gardens&gt;Mogul&gt;Building 192")</f>
        <v>Dubai&gt;Discovery Gardens&gt;Mogul&gt;Building 192</v>
      </c>
      <c r="E11706" s="2"/>
      <c r="F11706" s="2"/>
      <c r="G11706" s="2"/>
      <c r="H11706" s="2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2"/>
      <c r="T11706" s="2"/>
      <c r="U11706" s="2"/>
      <c r="V11706" s="2"/>
      <c r="W11706" s="2"/>
      <c r="X11706" s="2"/>
      <c r="Y11706" s="2"/>
      <c r="Z11706" s="2"/>
    </row>
    <row r="11707" spans="1:26" ht="16.5" x14ac:dyDescent="0.35">
      <c r="A11707" s="2" t="str">
        <f ca="1">IFERROR(__xludf.DUMMYFUNCTION("""COMPUTED_VALUE"""),"Dubai")</f>
        <v>Dubai</v>
      </c>
      <c r="B11707" s="2" t="str">
        <f ca="1">IFERROR(__xludf.DUMMYFUNCTION("""COMPUTED_VALUE"""),"Building 19")</f>
        <v>Building 19</v>
      </c>
      <c r="C11707" s="2" t="str">
        <f ca="1">IFERROR(__xludf.DUMMYFUNCTION("""COMPUTED_VALUE"""),"Building")</f>
        <v>Building</v>
      </c>
      <c r="D11707" s="2" t="str">
        <f ca="1">IFERROR(__xludf.DUMMYFUNCTION("""COMPUTED_VALUE"""),"Dubai&gt;Discovery Gardens&gt;Zen Cluster&gt;Building 19")</f>
        <v>Dubai&gt;Discovery Gardens&gt;Zen Cluster&gt;Building 19</v>
      </c>
      <c r="E11707" s="2"/>
      <c r="F11707" s="2"/>
      <c r="G11707" s="2"/>
      <c r="H11707" s="2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2"/>
      <c r="T11707" s="2"/>
      <c r="U11707" s="2"/>
      <c r="V11707" s="2"/>
      <c r="W11707" s="2"/>
      <c r="X11707" s="2"/>
      <c r="Y11707" s="2"/>
      <c r="Z11707" s="2"/>
    </row>
    <row r="11708" spans="1:26" ht="16.5" x14ac:dyDescent="0.35">
      <c r="A11708" s="2" t="str">
        <f ca="1">IFERROR(__xludf.DUMMYFUNCTION("""COMPUTED_VALUE"""),"Dubai")</f>
        <v>Dubai</v>
      </c>
      <c r="B11708" s="2" t="str">
        <f ca="1">IFERROR(__xludf.DUMMYFUNCTION("""COMPUTED_VALUE"""),"Building 37")</f>
        <v>Building 37</v>
      </c>
      <c r="C11708" s="2" t="str">
        <f ca="1">IFERROR(__xludf.DUMMYFUNCTION("""COMPUTED_VALUE"""),"Building")</f>
        <v>Building</v>
      </c>
      <c r="D11708" s="2" t="str">
        <f ca="1">IFERROR(__xludf.DUMMYFUNCTION("""COMPUTED_VALUE"""),"Dubai&gt;Discovery Gardens&gt;Zen Cluster&gt;Building 37")</f>
        <v>Dubai&gt;Discovery Gardens&gt;Zen Cluster&gt;Building 37</v>
      </c>
      <c r="E11708" s="2"/>
      <c r="F11708" s="2"/>
      <c r="G11708" s="2"/>
      <c r="H11708" s="2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2"/>
      <c r="T11708" s="2"/>
      <c r="U11708" s="2"/>
      <c r="V11708" s="2"/>
      <c r="W11708" s="2"/>
      <c r="X11708" s="2"/>
      <c r="Y11708" s="2"/>
      <c r="Z11708" s="2"/>
    </row>
    <row r="11709" spans="1:26" ht="16.5" x14ac:dyDescent="0.35">
      <c r="A11709" s="2" t="str">
        <f ca="1">IFERROR(__xludf.DUMMYFUNCTION("""COMPUTED_VALUE"""),"Dubai")</f>
        <v>Dubai</v>
      </c>
      <c r="B11709" s="2" t="str">
        <f ca="1">IFERROR(__xludf.DUMMYFUNCTION("""COMPUTED_VALUE"""),"Building 42")</f>
        <v>Building 42</v>
      </c>
      <c r="C11709" s="2" t="str">
        <f ca="1">IFERROR(__xludf.DUMMYFUNCTION("""COMPUTED_VALUE"""),"Building")</f>
        <v>Building</v>
      </c>
      <c r="D11709" s="2" t="str">
        <f ca="1">IFERROR(__xludf.DUMMYFUNCTION("""COMPUTED_VALUE"""),"Dubai&gt;Discovery Gardens&gt;Mediterranean&gt;Building 42")</f>
        <v>Dubai&gt;Discovery Gardens&gt;Mediterranean&gt;Building 42</v>
      </c>
      <c r="E11709" s="2"/>
      <c r="F11709" s="2"/>
      <c r="G11709" s="2"/>
      <c r="H11709" s="2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2"/>
      <c r="T11709" s="2"/>
      <c r="U11709" s="2"/>
      <c r="V11709" s="2"/>
      <c r="W11709" s="2"/>
      <c r="X11709" s="2"/>
      <c r="Y11709" s="2"/>
      <c r="Z11709" s="2"/>
    </row>
    <row r="11710" spans="1:26" ht="16.5" x14ac:dyDescent="0.35">
      <c r="A11710" s="2" t="str">
        <f ca="1">IFERROR(__xludf.DUMMYFUNCTION("""COMPUTED_VALUE"""),"Dubai")</f>
        <v>Dubai</v>
      </c>
      <c r="B11710" s="2" t="str">
        <f ca="1">IFERROR(__xludf.DUMMYFUNCTION("""COMPUTED_VALUE"""),"Building 94")</f>
        <v>Building 94</v>
      </c>
      <c r="C11710" s="2" t="str">
        <f ca="1">IFERROR(__xludf.DUMMYFUNCTION("""COMPUTED_VALUE"""),"Building")</f>
        <v>Building</v>
      </c>
      <c r="D11710" s="2" t="str">
        <f ca="1">IFERROR(__xludf.DUMMYFUNCTION("""COMPUTED_VALUE"""),"Dubai&gt;Discovery Gardens&gt;Mediterranean&gt;Building 94")</f>
        <v>Dubai&gt;Discovery Gardens&gt;Mediterranean&gt;Building 94</v>
      </c>
      <c r="E11710" s="2"/>
      <c r="F11710" s="2"/>
      <c r="G11710" s="2"/>
      <c r="H11710" s="2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2"/>
      <c r="T11710" s="2"/>
      <c r="U11710" s="2"/>
      <c r="V11710" s="2"/>
      <c r="W11710" s="2"/>
      <c r="X11710" s="2"/>
      <c r="Y11710" s="2"/>
      <c r="Z11710" s="2"/>
    </row>
    <row r="11711" spans="1:26" ht="16.5" x14ac:dyDescent="0.35">
      <c r="A11711" s="2" t="str">
        <f ca="1">IFERROR(__xludf.DUMMYFUNCTION("""COMPUTED_VALUE"""),"Dubai")</f>
        <v>Dubai</v>
      </c>
      <c r="B11711" s="2" t="str">
        <f ca="1">IFERROR(__xludf.DUMMYFUNCTION("""COMPUTED_VALUE"""),"Dukes The Palm")</f>
        <v>Dukes The Palm</v>
      </c>
      <c r="C11711" s="2" t="str">
        <f ca="1">IFERROR(__xludf.DUMMYFUNCTION("""COMPUTED_VALUE"""),"Building")</f>
        <v>Building</v>
      </c>
      <c r="D11711" s="2" t="str">
        <f ca="1">IFERROR(__xludf.DUMMYFUNCTION("""COMPUTED_VALUE"""),"Dubai&gt;Palm Jumeirah&gt;Dukes The Palm")</f>
        <v>Dubai&gt;Palm Jumeirah&gt;Dukes The Palm</v>
      </c>
      <c r="E11711" s="2"/>
      <c r="F11711" s="2"/>
      <c r="G11711" s="2"/>
      <c r="H11711" s="2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2"/>
      <c r="T11711" s="2"/>
      <c r="U11711" s="2"/>
      <c r="V11711" s="2"/>
      <c r="W11711" s="2"/>
      <c r="X11711" s="2"/>
      <c r="Y11711" s="2"/>
      <c r="Z11711" s="2"/>
    </row>
    <row r="11712" spans="1:26" ht="16.5" x14ac:dyDescent="0.35">
      <c r="A11712" s="2" t="str">
        <f ca="1">IFERROR(__xludf.DUMMYFUNCTION("""COMPUTED_VALUE"""),"Dubai")</f>
        <v>Dubai</v>
      </c>
      <c r="B11712" s="2" t="str">
        <f ca="1">IFERROR(__xludf.DUMMYFUNCTION("""COMPUTED_VALUE"""),"Azizi Mina")</f>
        <v>Azizi Mina</v>
      </c>
      <c r="C11712" s="2" t="str">
        <f ca="1">IFERROR(__xludf.DUMMYFUNCTION("""COMPUTED_VALUE"""),"Building")</f>
        <v>Building</v>
      </c>
      <c r="D11712" s="2" t="str">
        <f ca="1">IFERROR(__xludf.DUMMYFUNCTION("""COMPUTED_VALUE"""),"Dubai&gt;Palm Jumeirah&gt;Azizi Mina")</f>
        <v>Dubai&gt;Palm Jumeirah&gt;Azizi Mina</v>
      </c>
      <c r="E11712" s="2"/>
      <c r="F11712" s="2"/>
      <c r="G11712" s="2"/>
      <c r="H11712" s="2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2"/>
      <c r="T11712" s="2"/>
      <c r="U11712" s="2"/>
      <c r="V11712" s="2"/>
      <c r="W11712" s="2"/>
      <c r="X11712" s="2"/>
      <c r="Y11712" s="2"/>
      <c r="Z11712" s="2"/>
    </row>
    <row r="11713" spans="1:26" ht="16.5" x14ac:dyDescent="0.35">
      <c r="A11713" s="2" t="str">
        <f ca="1">IFERROR(__xludf.DUMMYFUNCTION("""COMPUTED_VALUE"""),"Dubai")</f>
        <v>Dubai</v>
      </c>
      <c r="B11713" s="2" t="str">
        <f ca="1">IFERROR(__xludf.DUMMYFUNCTION("""COMPUTED_VALUE"""),"Redwood Montessori Nursery Palm Jumeirah")</f>
        <v>Redwood Montessori Nursery Palm Jumeirah</v>
      </c>
      <c r="C11713" s="2" t="str">
        <f ca="1">IFERROR(__xludf.DUMMYFUNCTION("""COMPUTED_VALUE"""),"Nursery")</f>
        <v>Nursery</v>
      </c>
      <c r="D11713" s="2" t="str">
        <f ca="1">IFERROR(__xludf.DUMMYFUNCTION("""COMPUTED_VALUE"""),"Dubai&gt;Palm Jumeirah&gt;Golden Mile&gt;Redwood Montessori Nursery Palm Jumeirah")</f>
        <v>Dubai&gt;Palm Jumeirah&gt;Golden Mile&gt;Redwood Montessori Nursery Palm Jumeirah</v>
      </c>
      <c r="E11713" s="2"/>
      <c r="F11713" s="2"/>
      <c r="G11713" s="2"/>
      <c r="H11713" s="2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2"/>
      <c r="T11713" s="2"/>
      <c r="U11713" s="2"/>
      <c r="V11713" s="2"/>
      <c r="W11713" s="2"/>
      <c r="X11713" s="2"/>
      <c r="Y11713" s="2"/>
      <c r="Z11713" s="2"/>
    </row>
    <row r="11714" spans="1:26" ht="16.5" x14ac:dyDescent="0.35">
      <c r="A11714" s="2" t="str">
        <f ca="1">IFERROR(__xludf.DUMMYFUNCTION("""COMPUTED_VALUE"""),"Dubai")</f>
        <v>Dubai</v>
      </c>
      <c r="B11714" s="2" t="str">
        <f ca="1">IFERROR(__xludf.DUMMYFUNCTION("""COMPUTED_VALUE"""),"The Grandeur Residences")</f>
        <v>The Grandeur Residences</v>
      </c>
      <c r="C11714" s="2" t="str">
        <f ca="1">IFERROR(__xludf.DUMMYFUNCTION("""COMPUTED_VALUE"""),"Cluster")</f>
        <v>Cluster</v>
      </c>
      <c r="D11714" s="2" t="str">
        <f ca="1">IFERROR(__xludf.DUMMYFUNCTION("""COMPUTED_VALUE"""),"Dubai&gt;Palm Jumeirah&gt;The Crescent&gt;The Grandeur Residences")</f>
        <v>Dubai&gt;Palm Jumeirah&gt;The Crescent&gt;The Grandeur Residences</v>
      </c>
      <c r="E11714" s="2"/>
      <c r="F11714" s="2"/>
      <c r="G11714" s="2"/>
      <c r="H11714" s="2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2"/>
      <c r="T11714" s="2"/>
      <c r="U11714" s="2"/>
      <c r="V11714" s="2"/>
      <c r="W11714" s="2"/>
      <c r="X11714" s="2"/>
      <c r="Y11714" s="2"/>
      <c r="Z11714" s="2"/>
    </row>
    <row r="11715" spans="1:26" ht="16.5" x14ac:dyDescent="0.35">
      <c r="A11715" s="2" t="str">
        <f ca="1">IFERROR(__xludf.DUMMYFUNCTION("""COMPUTED_VALUE"""),"Dubai")</f>
        <v>Dubai</v>
      </c>
      <c r="B11715" s="2" t="str">
        <f ca="1">IFERROR(__xludf.DUMMYFUNCTION("""COMPUTED_VALUE"""),"Garden Homes Frond F")</f>
        <v>Garden Homes Frond F</v>
      </c>
      <c r="C11715" s="2" t="str">
        <f ca="1">IFERROR(__xludf.DUMMYFUNCTION("""COMPUTED_VALUE"""),"Neighbourhood")</f>
        <v>Neighbourhood</v>
      </c>
      <c r="D11715" s="2" t="str">
        <f ca="1">IFERROR(__xludf.DUMMYFUNCTION("""COMPUTED_VALUE"""),"Dubai&gt;Palm Jumeirah&gt;Garden Homes Palm Jumeirah&gt;Garden Homes Frond F")</f>
        <v>Dubai&gt;Palm Jumeirah&gt;Garden Homes Palm Jumeirah&gt;Garden Homes Frond F</v>
      </c>
      <c r="E11715" s="2"/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2"/>
      <c r="T11715" s="2"/>
      <c r="U11715" s="2"/>
      <c r="V11715" s="2"/>
      <c r="W11715" s="2"/>
      <c r="X11715" s="2"/>
      <c r="Y11715" s="2"/>
      <c r="Z11715" s="2"/>
    </row>
    <row r="11716" spans="1:26" ht="16.5" x14ac:dyDescent="0.35">
      <c r="A11716" s="2" t="str">
        <f ca="1">IFERROR(__xludf.DUMMYFUNCTION("""COMPUTED_VALUE"""),"Dubai")</f>
        <v>Dubai</v>
      </c>
      <c r="B11716" s="2" t="str">
        <f ca="1">IFERROR(__xludf.DUMMYFUNCTION("""COMPUTED_VALUE"""),"Serenia Living Tower 4")</f>
        <v>Serenia Living Tower 4</v>
      </c>
      <c r="C11716" s="2" t="str">
        <f ca="1">IFERROR(__xludf.DUMMYFUNCTION("""COMPUTED_VALUE"""),"Building")</f>
        <v>Building</v>
      </c>
      <c r="D11716" s="2" t="str">
        <f ca="1">IFERROR(__xludf.DUMMYFUNCTION("""COMPUTED_VALUE"""),"Dubai&gt;Palm Jumeirah&gt;Serenia Living&gt;Serenia Living Tower 4")</f>
        <v>Dubai&gt;Palm Jumeirah&gt;Serenia Living&gt;Serenia Living Tower 4</v>
      </c>
      <c r="E11716" s="2"/>
      <c r="F11716" s="2"/>
      <c r="G11716" s="2"/>
      <c r="H11716" s="2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2"/>
      <c r="T11716" s="2"/>
      <c r="U11716" s="2"/>
      <c r="V11716" s="2"/>
      <c r="W11716" s="2"/>
      <c r="X11716" s="2"/>
      <c r="Y11716" s="2"/>
      <c r="Z11716" s="2"/>
    </row>
    <row r="11717" spans="1:26" ht="16.5" x14ac:dyDescent="0.35">
      <c r="A11717" s="2" t="str">
        <f ca="1">IFERROR(__xludf.DUMMYFUNCTION("""COMPUTED_VALUE"""),"Dubai")</f>
        <v>Dubai</v>
      </c>
      <c r="B11717" s="2" t="str">
        <f ca="1">IFERROR(__xludf.DUMMYFUNCTION("""COMPUTED_VALUE"""),"Voco Dubai The Palm Hotel")</f>
        <v>Voco Dubai The Palm Hotel</v>
      </c>
      <c r="C11717" s="2" t="str">
        <f ca="1">IFERROR(__xludf.DUMMYFUNCTION("""COMPUTED_VALUE"""),"Building")</f>
        <v>Building</v>
      </c>
      <c r="D11717" s="2" t="str">
        <f ca="1">IFERROR(__xludf.DUMMYFUNCTION("""COMPUTED_VALUE"""),"Dubai&gt;Palm Jumeirah&gt;Voco Dubai The Palm Hotel")</f>
        <v>Dubai&gt;Palm Jumeirah&gt;Voco Dubai The Palm Hotel</v>
      </c>
      <c r="E11717" s="2"/>
      <c r="F11717" s="2"/>
      <c r="G11717" s="2"/>
      <c r="H11717" s="2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2"/>
      <c r="T11717" s="2"/>
      <c r="U11717" s="2"/>
      <c r="V11717" s="2"/>
      <c r="W11717" s="2"/>
      <c r="X11717" s="2"/>
      <c r="Y11717" s="2"/>
      <c r="Z11717" s="2"/>
    </row>
    <row r="11718" spans="1:26" ht="16.5" x14ac:dyDescent="0.35">
      <c r="A11718" s="2" t="str">
        <f ca="1">IFERROR(__xludf.DUMMYFUNCTION("""COMPUTED_VALUE"""),"Dubai")</f>
        <v>Dubai</v>
      </c>
      <c r="B11718" s="2" t="str">
        <f ca="1">IFERROR(__xludf.DUMMYFUNCTION("""COMPUTED_VALUE"""),"Devet 1")</f>
        <v>Devet 1</v>
      </c>
      <c r="C11718" s="2" t="str">
        <f ca="1">IFERROR(__xludf.DUMMYFUNCTION("""COMPUTED_VALUE"""),"Building")</f>
        <v>Building</v>
      </c>
      <c r="D11718" s="2" t="str">
        <f ca="1">IFERROR(__xludf.DUMMYFUNCTION("""COMPUTED_VALUE"""),"Dubai&gt;Al Jaddaf&gt;Devet 1")</f>
        <v>Dubai&gt;Al Jaddaf&gt;Devet 1</v>
      </c>
      <c r="E11718" s="2"/>
      <c r="F11718" s="2"/>
      <c r="G11718" s="2"/>
      <c r="H11718" s="2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2"/>
      <c r="T11718" s="2"/>
      <c r="U11718" s="2"/>
      <c r="V11718" s="2"/>
      <c r="W11718" s="2"/>
      <c r="X11718" s="2"/>
      <c r="Y11718" s="2"/>
      <c r="Z11718" s="2"/>
    </row>
    <row r="11719" spans="1:26" ht="16.5" x14ac:dyDescent="0.35">
      <c r="A11719" s="2" t="str">
        <f ca="1">IFERROR(__xludf.DUMMYFUNCTION("""COMPUTED_VALUE"""),"Dubai")</f>
        <v>Dubai</v>
      </c>
      <c r="B11719" s="2" t="str">
        <f ca="1">IFERROR(__xludf.DUMMYFUNCTION("""COMPUTED_VALUE"""),"Al Jaddaf Star Residence")</f>
        <v>Al Jaddaf Star Residence</v>
      </c>
      <c r="C11719" s="2" t="str">
        <f ca="1">IFERROR(__xludf.DUMMYFUNCTION("""COMPUTED_VALUE"""),"Building")</f>
        <v>Building</v>
      </c>
      <c r="D11719" s="2" t="str">
        <f ca="1">IFERROR(__xludf.DUMMYFUNCTION("""COMPUTED_VALUE"""),"Dubai&gt;Al Jaddaf&gt;Al Jaddaf Star Residence")</f>
        <v>Dubai&gt;Al Jaddaf&gt;Al Jaddaf Star Residence</v>
      </c>
      <c r="E11719" s="2"/>
      <c r="F11719" s="2"/>
      <c r="G11719" s="2"/>
      <c r="H11719" s="2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2"/>
      <c r="T11719" s="2"/>
      <c r="U11719" s="2"/>
      <c r="V11719" s="2"/>
      <c r="W11719" s="2"/>
      <c r="X11719" s="2"/>
      <c r="Y11719" s="2"/>
      <c r="Z11719" s="2"/>
    </row>
    <row r="11720" spans="1:26" ht="16.5" x14ac:dyDescent="0.35">
      <c r="A11720" s="2" t="str">
        <f ca="1">IFERROR(__xludf.DUMMYFUNCTION("""COMPUTED_VALUE"""),"Dubai")</f>
        <v>Dubai</v>
      </c>
      <c r="B11720" s="2" t="str">
        <f ca="1">IFERROR(__xludf.DUMMYFUNCTION("""COMPUTED_VALUE"""),"Al Marzooqi Building")</f>
        <v>Al Marzooqi Building</v>
      </c>
      <c r="C11720" s="2" t="str">
        <f ca="1">IFERROR(__xludf.DUMMYFUNCTION("""COMPUTED_VALUE"""),"Building")</f>
        <v>Building</v>
      </c>
      <c r="D11720" s="2" t="str">
        <f ca="1">IFERROR(__xludf.DUMMYFUNCTION("""COMPUTED_VALUE"""),"Dubai&gt;Al Jaddaf&gt;Al Marzooqi Building")</f>
        <v>Dubai&gt;Al Jaddaf&gt;Al Marzooqi Building</v>
      </c>
      <c r="E11720" s="2"/>
      <c r="F11720" s="2"/>
      <c r="G11720" s="2"/>
      <c r="H11720" s="2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2"/>
      <c r="T11720" s="2"/>
      <c r="U11720" s="2"/>
      <c r="V11720" s="2"/>
      <c r="W11720" s="2"/>
      <c r="X11720" s="2"/>
      <c r="Y11720" s="2"/>
      <c r="Z11720" s="2"/>
    </row>
    <row r="11721" spans="1:26" ht="16.5" x14ac:dyDescent="0.35">
      <c r="A11721" s="2" t="str">
        <f ca="1">IFERROR(__xludf.DUMMYFUNCTION("""COMPUTED_VALUE"""),"Dubai")</f>
        <v>Dubai</v>
      </c>
      <c r="B11721" s="2" t="str">
        <f ca="1">IFERROR(__xludf.DUMMYFUNCTION("""COMPUTED_VALUE"""),"The Beach Collection")</f>
        <v>The Beach Collection</v>
      </c>
      <c r="C11721" s="2" t="str">
        <f ca="1">IFERROR(__xludf.DUMMYFUNCTION("""COMPUTED_VALUE"""),"Neighbourhood")</f>
        <v>Neighbourhood</v>
      </c>
      <c r="D11721" s="2" t="str">
        <f ca="1">IFERROR(__xludf.DUMMYFUNCTION("""COMPUTED_VALUE"""),"Dubai&gt;Palm Jebel Ali&gt;Frond C&gt;The Beach Collection")</f>
        <v>Dubai&gt;Palm Jebel Ali&gt;Frond C&gt;The Beach Collection</v>
      </c>
      <c r="E11721" s="2"/>
      <c r="F11721" s="2"/>
      <c r="G11721" s="2"/>
      <c r="H11721" s="2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2"/>
      <c r="T11721" s="2"/>
      <c r="U11721" s="2"/>
      <c r="V11721" s="2"/>
      <c r="W11721" s="2"/>
      <c r="X11721" s="2"/>
      <c r="Y11721" s="2"/>
      <c r="Z11721" s="2"/>
    </row>
    <row r="11722" spans="1:26" ht="16.5" x14ac:dyDescent="0.35">
      <c r="A11722" s="2" t="str">
        <f ca="1">IFERROR(__xludf.DUMMYFUNCTION("""COMPUTED_VALUE"""),"Dubai")</f>
        <v>Dubai</v>
      </c>
      <c r="B11722" s="2" t="str">
        <f ca="1">IFERROR(__xludf.DUMMYFUNCTION("""COMPUTED_VALUE"""),"Montrose Residence A")</f>
        <v>Montrose Residence A</v>
      </c>
      <c r="C11722" s="2" t="str">
        <f ca="1">IFERROR(__xludf.DUMMYFUNCTION("""COMPUTED_VALUE"""),"Building")</f>
        <v>Building</v>
      </c>
      <c r="D11722" s="2" t="str">
        <f ca="1">IFERROR(__xludf.DUMMYFUNCTION("""COMPUTED_VALUE"""),"Dubai&gt;Dubai Science Park&gt;Montrose Residences&gt;Montrose Residence A")</f>
        <v>Dubai&gt;Dubai Science Park&gt;Montrose Residences&gt;Montrose Residence A</v>
      </c>
      <c r="E11722" s="2"/>
      <c r="F11722" s="2"/>
      <c r="G11722" s="2"/>
      <c r="H11722" s="2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2"/>
      <c r="T11722" s="2"/>
      <c r="U11722" s="2"/>
      <c r="V11722" s="2"/>
      <c r="W11722" s="2"/>
      <c r="X11722" s="2"/>
      <c r="Y11722" s="2"/>
      <c r="Z11722" s="2"/>
    </row>
    <row r="11723" spans="1:26" ht="16.5" x14ac:dyDescent="0.35">
      <c r="A11723" s="2" t="str">
        <f ca="1">IFERROR(__xludf.DUMMYFUNCTION("""COMPUTED_VALUE"""),"Dubai")</f>
        <v>Dubai</v>
      </c>
      <c r="B11723" s="2" t="str">
        <f ca="1">IFERROR(__xludf.DUMMYFUNCTION("""COMPUTED_VALUE"""),"Binghatti Hillside")</f>
        <v>Binghatti Hillside</v>
      </c>
      <c r="C11723" s="2" t="str">
        <f ca="1">IFERROR(__xludf.DUMMYFUNCTION("""COMPUTED_VALUE"""),"Building")</f>
        <v>Building</v>
      </c>
      <c r="D11723" s="2" t="str">
        <f ca="1">IFERROR(__xludf.DUMMYFUNCTION("""COMPUTED_VALUE"""),"Dubai&gt;Dubai Science Park&gt;Binghatti Hillside")</f>
        <v>Dubai&gt;Dubai Science Park&gt;Binghatti Hillside</v>
      </c>
      <c r="E11723" s="2"/>
      <c r="F11723" s="2"/>
      <c r="G11723" s="2"/>
      <c r="H11723" s="2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2"/>
      <c r="T11723" s="2"/>
      <c r="U11723" s="2"/>
      <c r="V11723" s="2"/>
      <c r="W11723" s="2"/>
      <c r="X11723" s="2"/>
      <c r="Y11723" s="2"/>
      <c r="Z11723" s="2"/>
    </row>
    <row r="11724" spans="1:26" ht="16.5" x14ac:dyDescent="0.35">
      <c r="A11724" s="2" t="str">
        <f ca="1">IFERROR(__xludf.DUMMYFUNCTION("""COMPUTED_VALUE"""),"Dubai")</f>
        <v>Dubai</v>
      </c>
      <c r="B11724" s="2" t="str">
        <f ca="1">IFERROR(__xludf.DUMMYFUNCTION("""COMPUTED_VALUE"""),"The Nook 2")</f>
        <v>The Nook 2</v>
      </c>
      <c r="C11724" s="2" t="str">
        <f ca="1">IFERROR(__xludf.DUMMYFUNCTION("""COMPUTED_VALUE"""),"Building")</f>
        <v>Building</v>
      </c>
      <c r="D11724" s="2" t="str">
        <f ca="1">IFERROR(__xludf.DUMMYFUNCTION("""COMPUTED_VALUE"""),"Dubai&gt;Wasl Gate&gt;The Nook&gt;The Nook 2")</f>
        <v>Dubai&gt;Wasl Gate&gt;The Nook&gt;The Nook 2</v>
      </c>
      <c r="E11724" s="2"/>
      <c r="F11724" s="2"/>
      <c r="G11724" s="2"/>
      <c r="H11724" s="2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2"/>
      <c r="T11724" s="2"/>
      <c r="U11724" s="2"/>
      <c r="V11724" s="2"/>
      <c r="W11724" s="2"/>
      <c r="X11724" s="2"/>
      <c r="Y11724" s="2"/>
      <c r="Z11724" s="2"/>
    </row>
    <row r="11725" spans="1:26" ht="16.5" x14ac:dyDescent="0.35">
      <c r="A11725" s="2" t="str">
        <f ca="1">IFERROR(__xludf.DUMMYFUNCTION("""COMPUTED_VALUE"""),"Dubai")</f>
        <v>Dubai</v>
      </c>
      <c r="B11725" s="2" t="str">
        <f ca="1">IFERROR(__xludf.DUMMYFUNCTION("""COMPUTED_VALUE"""),"Boulevard Park 2")</f>
        <v>Boulevard Park 2</v>
      </c>
      <c r="C11725" s="2" t="str">
        <f ca="1">IFERROR(__xludf.DUMMYFUNCTION("""COMPUTED_VALUE"""),"Building")</f>
        <v>Building</v>
      </c>
      <c r="D11725" s="2" t="str">
        <f ca="1">IFERROR(__xludf.DUMMYFUNCTION("""COMPUTED_VALUE"""),"Dubai&gt;Wasl Gate&gt;Boulevard Park 2")</f>
        <v>Dubai&gt;Wasl Gate&gt;Boulevard Park 2</v>
      </c>
      <c r="E11725" s="2"/>
      <c r="F11725" s="2"/>
      <c r="G11725" s="2"/>
      <c r="H11725" s="2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2"/>
      <c r="T11725" s="2"/>
      <c r="U11725" s="2"/>
      <c r="V11725" s="2"/>
      <c r="W11725" s="2"/>
      <c r="X11725" s="2"/>
      <c r="Y11725" s="2"/>
      <c r="Z11725" s="2"/>
    </row>
    <row r="11726" spans="1:26" ht="16.5" x14ac:dyDescent="0.35">
      <c r="A11726" s="2" t="str">
        <f ca="1">IFERROR(__xludf.DUMMYFUNCTION("""COMPUTED_VALUE"""),"Dubai")</f>
        <v>Dubai</v>
      </c>
      <c r="B11726" s="2" t="str">
        <f ca="1">IFERROR(__xludf.DUMMYFUNCTION("""COMPUTED_VALUE"""),"Riverston School Dubai")</f>
        <v>Riverston School Dubai</v>
      </c>
      <c r="C11726" s="2" t="str">
        <f ca="1">IFERROR(__xludf.DUMMYFUNCTION("""COMPUTED_VALUE"""),"School")</f>
        <v>School</v>
      </c>
      <c r="D11726" s="2" t="str">
        <f ca="1">IFERROR(__xludf.DUMMYFUNCTION("""COMPUTED_VALUE"""),"Dubai&gt;Nad Al Sheba&gt;Nad Al Sheba 4&gt;Riverston School Dubai")</f>
        <v>Dubai&gt;Nad Al Sheba&gt;Nad Al Sheba 4&gt;Riverston School Dubai</v>
      </c>
      <c r="E11726" s="2"/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2"/>
      <c r="T11726" s="2"/>
      <c r="U11726" s="2"/>
      <c r="V11726" s="2"/>
      <c r="W11726" s="2"/>
      <c r="X11726" s="2"/>
      <c r="Y11726" s="2"/>
      <c r="Z11726" s="2"/>
    </row>
    <row r="11727" spans="1:26" ht="16.5" x14ac:dyDescent="0.35">
      <c r="A11727" s="2" t="str">
        <f ca="1">IFERROR(__xludf.DUMMYFUNCTION("""COMPUTED_VALUE"""),"Dubai")</f>
        <v>Dubai</v>
      </c>
      <c r="B11727" s="2" t="str">
        <f ca="1">IFERROR(__xludf.DUMMYFUNCTION("""COMPUTED_VALUE"""),"Al Salam Grand Hotel Apartments")</f>
        <v>Al Salam Grand Hotel Apartments</v>
      </c>
      <c r="C11727" s="2" t="str">
        <f ca="1">IFERROR(__xludf.DUMMYFUNCTION("""COMPUTED_VALUE"""),"Building")</f>
        <v>Building</v>
      </c>
      <c r="D11727" s="2" t="str">
        <f ca="1">IFERROR(__xludf.DUMMYFUNCTION("""COMPUTED_VALUE"""),"Dubai&gt;Dubai Internet City&gt;Al Salam Grand Hotel Apartments")</f>
        <v>Dubai&gt;Dubai Internet City&gt;Al Salam Grand Hotel Apartments</v>
      </c>
      <c r="E11727" s="2"/>
      <c r="F11727" s="2"/>
      <c r="G11727" s="2"/>
      <c r="H11727" s="2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2"/>
      <c r="T11727" s="2"/>
      <c r="U11727" s="2"/>
      <c r="V11727" s="2"/>
      <c r="W11727" s="2"/>
      <c r="X11727" s="2"/>
      <c r="Y11727" s="2"/>
      <c r="Z11727" s="2"/>
    </row>
    <row r="11728" spans="1:26" ht="16.5" x14ac:dyDescent="0.35">
      <c r="A11728" s="2" t="str">
        <f ca="1">IFERROR(__xludf.DUMMYFUNCTION("""COMPUTED_VALUE"""),"Dubai")</f>
        <v>Dubai</v>
      </c>
      <c r="B11728" s="2" t="str">
        <f ca="1">IFERROR(__xludf.DUMMYFUNCTION("""COMPUTED_VALUE"""),"Arabian Ranches 3")</f>
        <v>Arabian Ranches 3</v>
      </c>
      <c r="C11728" s="2" t="str">
        <f ca="1">IFERROR(__xludf.DUMMYFUNCTION("""COMPUTED_VALUE"""),"Neighbourhood")</f>
        <v>Neighbourhood</v>
      </c>
      <c r="D11728" s="2" t="str">
        <f ca="1">IFERROR(__xludf.DUMMYFUNCTION("""COMPUTED_VALUE"""),"Dubai&gt;Arabian Ranches 3")</f>
        <v>Dubai&gt;Arabian Ranches 3</v>
      </c>
      <c r="E11728" s="2"/>
      <c r="F11728" s="2"/>
      <c r="G11728" s="2"/>
      <c r="H11728" s="2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2"/>
      <c r="T11728" s="2"/>
      <c r="U11728" s="2"/>
      <c r="V11728" s="2"/>
      <c r="W11728" s="2"/>
      <c r="X11728" s="2"/>
      <c r="Y11728" s="2"/>
      <c r="Z11728" s="2"/>
    </row>
    <row r="11729" spans="1:26" ht="16.5" x14ac:dyDescent="0.35">
      <c r="A11729" s="2" t="str">
        <f ca="1">IFERROR(__xludf.DUMMYFUNCTION("""COMPUTED_VALUE"""),"Dubai")</f>
        <v>Dubai</v>
      </c>
      <c r="B11729" s="2" t="str">
        <f ca="1">IFERROR(__xludf.DUMMYFUNCTION("""COMPUTED_VALUE"""),"Seagate Building 3")</f>
        <v>Seagate Building 3</v>
      </c>
      <c r="C11729" s="2" t="str">
        <f ca="1">IFERROR(__xludf.DUMMYFUNCTION("""COMPUTED_VALUE"""),"Building")</f>
        <v>Building</v>
      </c>
      <c r="D11729" s="2" t="str">
        <f ca="1">IFERROR(__xludf.DUMMYFUNCTION("""COMPUTED_VALUE"""),"Dubai&gt;Mina Rashid&gt;Seagate&gt;Seagate Building 3")</f>
        <v>Dubai&gt;Mina Rashid&gt;Seagate&gt;Seagate Building 3</v>
      </c>
      <c r="E11729" s="2"/>
      <c r="F11729" s="2"/>
      <c r="G11729" s="2"/>
      <c r="H11729" s="2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2"/>
      <c r="T11729" s="2"/>
      <c r="U11729" s="2"/>
      <c r="V11729" s="2"/>
      <c r="W11729" s="2"/>
      <c r="X11729" s="2"/>
      <c r="Y11729" s="2"/>
      <c r="Z11729" s="2"/>
    </row>
    <row r="11730" spans="1:26" ht="16.5" x14ac:dyDescent="0.35">
      <c r="A11730" s="2" t="str">
        <f ca="1">IFERROR(__xludf.DUMMYFUNCTION("""COMPUTED_VALUE"""),"Dubai")</f>
        <v>Dubai</v>
      </c>
      <c r="B11730" s="2" t="str">
        <f ca="1">IFERROR(__xludf.DUMMYFUNCTION("""COMPUTED_VALUE"""),"Marina Place")</f>
        <v>Marina Place</v>
      </c>
      <c r="C11730" s="2" t="str">
        <f ca="1">IFERROR(__xludf.DUMMYFUNCTION("""COMPUTED_VALUE"""),"Cluster")</f>
        <v>Cluster</v>
      </c>
      <c r="D11730" s="2" t="str">
        <f ca="1">IFERROR(__xludf.DUMMYFUNCTION("""COMPUTED_VALUE"""),"Dubai&gt;Mina Rashid&gt;Marina Place")</f>
        <v>Dubai&gt;Mina Rashid&gt;Marina Place</v>
      </c>
      <c r="E11730" s="2"/>
      <c r="F11730" s="2"/>
      <c r="G11730" s="2"/>
      <c r="H11730" s="2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2"/>
      <c r="T11730" s="2"/>
      <c r="U11730" s="2"/>
      <c r="V11730" s="2"/>
      <c r="W11730" s="2"/>
      <c r="X11730" s="2"/>
      <c r="Y11730" s="2"/>
      <c r="Z11730" s="2"/>
    </row>
    <row r="11731" spans="1:26" ht="16.5" x14ac:dyDescent="0.35">
      <c r="A11731" s="2" t="str">
        <f ca="1">IFERROR(__xludf.DUMMYFUNCTION("""COMPUTED_VALUE"""),"Dubai")</f>
        <v>Dubai</v>
      </c>
      <c r="B11731" s="2" t="str">
        <f ca="1">IFERROR(__xludf.DUMMYFUNCTION("""COMPUTED_VALUE"""),"Talia")</f>
        <v>Talia</v>
      </c>
      <c r="C11731" s="2" t="str">
        <f ca="1">IFERROR(__xludf.DUMMYFUNCTION("""COMPUTED_VALUE"""),"Neighbourhood")</f>
        <v>Neighbourhood</v>
      </c>
      <c r="D11731" s="2" t="str">
        <f ca="1">IFERROR(__xludf.DUMMYFUNCTION("""COMPUTED_VALUE"""),"Dubai&gt;The Valley by Emaar&gt;Talia")</f>
        <v>Dubai&gt;The Valley by Emaar&gt;Talia</v>
      </c>
      <c r="E11731" s="2"/>
      <c r="F11731" s="2"/>
      <c r="G11731" s="2"/>
      <c r="H11731" s="2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2"/>
      <c r="T11731" s="2"/>
      <c r="U11731" s="2"/>
      <c r="V11731" s="2"/>
      <c r="W11731" s="2"/>
      <c r="X11731" s="2"/>
      <c r="Y11731" s="2"/>
      <c r="Z11731" s="2"/>
    </row>
    <row r="11732" spans="1:26" ht="16.5" x14ac:dyDescent="0.35">
      <c r="A11732" s="2" t="str">
        <f ca="1">IFERROR(__xludf.DUMMYFUNCTION("""COMPUTED_VALUE"""),"Dubai")</f>
        <v>Dubai</v>
      </c>
      <c r="B11732" s="2" t="str">
        <f ca="1">IFERROR(__xludf.DUMMYFUNCTION("""COMPUTED_VALUE"""),"Alvorada 4")</f>
        <v>Alvorada 4</v>
      </c>
      <c r="C11732" s="2" t="str">
        <f ca="1">IFERROR(__xludf.DUMMYFUNCTION("""COMPUTED_VALUE"""),"Neighbourhood")</f>
        <v>Neighbourhood</v>
      </c>
      <c r="D11732" s="2" t="str">
        <f ca="1">IFERROR(__xludf.DUMMYFUNCTION("""COMPUTED_VALUE"""),"Dubai&gt;Arabian Ranches&gt;Alvorada&gt;Alvorada 4")</f>
        <v>Dubai&gt;Arabian Ranches&gt;Alvorada&gt;Alvorada 4</v>
      </c>
      <c r="E11732" s="2"/>
      <c r="F11732" s="2"/>
      <c r="G11732" s="2"/>
      <c r="H11732" s="2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2"/>
      <c r="T11732" s="2"/>
      <c r="U11732" s="2"/>
      <c r="V11732" s="2"/>
      <c r="W11732" s="2"/>
      <c r="X11732" s="2"/>
      <c r="Y11732" s="2"/>
      <c r="Z11732" s="2"/>
    </row>
    <row r="11733" spans="1:26" ht="16.5" x14ac:dyDescent="0.35">
      <c r="A11733" s="2" t="str">
        <f ca="1">IFERROR(__xludf.DUMMYFUNCTION("""COMPUTED_VALUE"""),"Dubai")</f>
        <v>Dubai</v>
      </c>
      <c r="B11733" s="2" t="str">
        <f ca="1">IFERROR(__xludf.DUMMYFUNCTION("""COMPUTED_VALUE"""),"Arabian Ranches Community Centre")</f>
        <v>Arabian Ranches Community Centre</v>
      </c>
      <c r="C11733" s="2" t="str">
        <f ca="1">IFERROR(__xludf.DUMMYFUNCTION("""COMPUTED_VALUE"""),"Building")</f>
        <v>Building</v>
      </c>
      <c r="D11733" s="2" t="str">
        <f ca="1">IFERROR(__xludf.DUMMYFUNCTION("""COMPUTED_VALUE"""),"Dubai&gt;Arabian Ranches&gt;Arabian Ranches Community Centre")</f>
        <v>Dubai&gt;Arabian Ranches&gt;Arabian Ranches Community Centre</v>
      </c>
      <c r="E11733" s="2"/>
      <c r="F11733" s="2"/>
      <c r="G11733" s="2"/>
      <c r="H11733" s="2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2"/>
      <c r="T11733" s="2"/>
      <c r="U11733" s="2"/>
      <c r="V11733" s="2"/>
      <c r="W11733" s="2"/>
      <c r="X11733" s="2"/>
      <c r="Y11733" s="2"/>
      <c r="Z11733" s="2"/>
    </row>
    <row r="11734" spans="1:26" ht="16.5" x14ac:dyDescent="0.35">
      <c r="A11734" s="2" t="str">
        <f ca="1">IFERROR(__xludf.DUMMYFUNCTION("""COMPUTED_VALUE"""),"Dubai")</f>
        <v>Dubai</v>
      </c>
      <c r="B11734" s="2" t="str">
        <f ca="1">IFERROR(__xludf.DUMMYFUNCTION("""COMPUTED_VALUE"""),"The Gardens Building 50")</f>
        <v>The Gardens Building 50</v>
      </c>
      <c r="C11734" s="2" t="str">
        <f ca="1">IFERROR(__xludf.DUMMYFUNCTION("""COMPUTED_VALUE"""),"Building")</f>
        <v>Building</v>
      </c>
      <c r="D11734" s="2" t="str">
        <f ca="1">IFERROR(__xludf.DUMMYFUNCTION("""COMPUTED_VALUE"""),"Dubai&gt;The Gardens&gt;The Gardens Building 50")</f>
        <v>Dubai&gt;The Gardens&gt;The Gardens Building 50</v>
      </c>
      <c r="E11734" s="2"/>
      <c r="F11734" s="2"/>
      <c r="G11734" s="2"/>
      <c r="H11734" s="2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2"/>
      <c r="T11734" s="2"/>
      <c r="U11734" s="2"/>
      <c r="V11734" s="2"/>
      <c r="W11734" s="2"/>
      <c r="X11734" s="2"/>
      <c r="Y11734" s="2"/>
      <c r="Z11734" s="2"/>
    </row>
    <row r="11735" spans="1:26" ht="16.5" x14ac:dyDescent="0.35">
      <c r="A11735" s="2" t="str">
        <f ca="1">IFERROR(__xludf.DUMMYFUNCTION("""COMPUTED_VALUE"""),"Dubai")</f>
        <v>Dubai</v>
      </c>
      <c r="B11735" s="2" t="str">
        <f ca="1">IFERROR(__xludf.DUMMYFUNCTION("""COMPUTED_VALUE"""),"The Gardens Building 102")</f>
        <v>The Gardens Building 102</v>
      </c>
      <c r="C11735" s="2" t="str">
        <f ca="1">IFERROR(__xludf.DUMMYFUNCTION("""COMPUTED_VALUE"""),"Building")</f>
        <v>Building</v>
      </c>
      <c r="D11735" s="2" t="str">
        <f ca="1">IFERROR(__xludf.DUMMYFUNCTION("""COMPUTED_VALUE"""),"Dubai&gt;The Gardens&gt;The Gardens Building 102")</f>
        <v>Dubai&gt;The Gardens&gt;The Gardens Building 102</v>
      </c>
      <c r="E11735" s="2"/>
      <c r="F11735" s="2"/>
      <c r="G11735" s="2"/>
      <c r="H11735" s="2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2"/>
      <c r="T11735" s="2"/>
      <c r="U11735" s="2"/>
      <c r="V11735" s="2"/>
      <c r="W11735" s="2"/>
      <c r="X11735" s="2"/>
      <c r="Y11735" s="2"/>
      <c r="Z11735" s="2"/>
    </row>
    <row r="11736" spans="1:26" ht="16.5" x14ac:dyDescent="0.35">
      <c r="A11736" s="2" t="str">
        <f ca="1">IFERROR(__xludf.DUMMYFUNCTION("""COMPUTED_VALUE"""),"Dubai")</f>
        <v>Dubai</v>
      </c>
      <c r="B11736" s="2" t="str">
        <f ca="1">IFERROR(__xludf.DUMMYFUNCTION("""COMPUTED_VALUE"""),"The Gardens Building 14")</f>
        <v>The Gardens Building 14</v>
      </c>
      <c r="C11736" s="2" t="str">
        <f ca="1">IFERROR(__xludf.DUMMYFUNCTION("""COMPUTED_VALUE"""),"Building")</f>
        <v>Building</v>
      </c>
      <c r="D11736" s="2" t="str">
        <f ca="1">IFERROR(__xludf.DUMMYFUNCTION("""COMPUTED_VALUE"""),"Dubai&gt;The Gardens&gt;The Gardens Building 14")</f>
        <v>Dubai&gt;The Gardens&gt;The Gardens Building 14</v>
      </c>
      <c r="E11736" s="2"/>
      <c r="F11736" s="2"/>
      <c r="G11736" s="2"/>
      <c r="H11736" s="2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2"/>
      <c r="T11736" s="2"/>
      <c r="U11736" s="2"/>
      <c r="V11736" s="2"/>
      <c r="W11736" s="2"/>
      <c r="X11736" s="2"/>
      <c r="Y11736" s="2"/>
      <c r="Z11736" s="2"/>
    </row>
    <row r="11737" spans="1:26" ht="16.5" x14ac:dyDescent="0.35">
      <c r="A11737" s="2" t="str">
        <f ca="1">IFERROR(__xludf.DUMMYFUNCTION("""COMPUTED_VALUE"""),"Dubai")</f>
        <v>Dubai</v>
      </c>
      <c r="B11737" s="2" t="str">
        <f ca="1">IFERROR(__xludf.DUMMYFUNCTION("""COMPUTED_VALUE"""),"The Gardens Building 52")</f>
        <v>The Gardens Building 52</v>
      </c>
      <c r="C11737" s="2" t="str">
        <f ca="1">IFERROR(__xludf.DUMMYFUNCTION("""COMPUTED_VALUE"""),"Building")</f>
        <v>Building</v>
      </c>
      <c r="D11737" s="2" t="str">
        <f ca="1">IFERROR(__xludf.DUMMYFUNCTION("""COMPUTED_VALUE"""),"Dubai&gt;The Gardens&gt;The Gardens Building 52")</f>
        <v>Dubai&gt;The Gardens&gt;The Gardens Building 52</v>
      </c>
      <c r="E11737" s="2"/>
      <c r="F11737" s="2"/>
      <c r="G11737" s="2"/>
      <c r="H11737" s="2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2"/>
      <c r="T11737" s="2"/>
      <c r="U11737" s="2"/>
      <c r="V11737" s="2"/>
      <c r="W11737" s="2"/>
      <c r="X11737" s="2"/>
      <c r="Y11737" s="2"/>
      <c r="Z11737" s="2"/>
    </row>
    <row r="11738" spans="1:26" ht="16.5" x14ac:dyDescent="0.35">
      <c r="A11738" s="2" t="str">
        <f ca="1">IFERROR(__xludf.DUMMYFUNCTION("""COMPUTED_VALUE"""),"Dubai")</f>
        <v>Dubai</v>
      </c>
      <c r="B11738" s="2" t="str">
        <f ca="1">IFERROR(__xludf.DUMMYFUNCTION("""COMPUTED_VALUE"""),"AB Plaza 7")</f>
        <v>AB Plaza 7</v>
      </c>
      <c r="C11738" s="2" t="str">
        <f ca="1">IFERROR(__xludf.DUMMYFUNCTION("""COMPUTED_VALUE"""),"Building")</f>
        <v>Building</v>
      </c>
      <c r="D11738" s="2" t="str">
        <f ca="1">IFERROR(__xludf.DUMMYFUNCTION("""COMPUTED_VALUE"""),"Dubai&gt;Al Mamzar&gt;AB Plaza 7")</f>
        <v>Dubai&gt;Al Mamzar&gt;AB Plaza 7</v>
      </c>
      <c r="E11738" s="2"/>
      <c r="F11738" s="2"/>
      <c r="G11738" s="2"/>
      <c r="H11738" s="2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2"/>
      <c r="T11738" s="2"/>
      <c r="U11738" s="2"/>
      <c r="V11738" s="2"/>
      <c r="W11738" s="2"/>
      <c r="X11738" s="2"/>
      <c r="Y11738" s="2"/>
      <c r="Z11738" s="2"/>
    </row>
    <row r="11739" spans="1:26" ht="16.5" x14ac:dyDescent="0.35">
      <c r="A11739" s="2" t="str">
        <f ca="1">IFERROR(__xludf.DUMMYFUNCTION("""COMPUTED_VALUE"""),"Dubai")</f>
        <v>Dubai</v>
      </c>
      <c r="B11739" s="2" t="str">
        <f ca="1">IFERROR(__xludf.DUMMYFUNCTION("""COMPUTED_VALUE"""),"Bluewaters Residences 5")</f>
        <v>Bluewaters Residences 5</v>
      </c>
      <c r="C11739" s="2" t="str">
        <f ca="1">IFERROR(__xludf.DUMMYFUNCTION("""COMPUTED_VALUE"""),"Building")</f>
        <v>Building</v>
      </c>
      <c r="D11739" s="2" t="str">
        <f ca="1">IFERROR(__xludf.DUMMYFUNCTION("""COMPUTED_VALUE"""),"Dubai&gt;Bluewaters Island&gt;Bluewaters Residences&gt;Bluewaters Residences 5")</f>
        <v>Dubai&gt;Bluewaters Island&gt;Bluewaters Residences&gt;Bluewaters Residences 5</v>
      </c>
      <c r="E11739" s="2"/>
      <c r="F11739" s="2"/>
      <c r="G11739" s="2"/>
      <c r="H11739" s="2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2"/>
      <c r="T11739" s="2"/>
      <c r="U11739" s="2"/>
      <c r="V11739" s="2"/>
      <c r="W11739" s="2"/>
      <c r="X11739" s="2"/>
      <c r="Y11739" s="2"/>
      <c r="Z11739" s="2"/>
    </row>
    <row r="11740" spans="1:26" ht="16.5" x14ac:dyDescent="0.35">
      <c r="A11740" s="2" t="str">
        <f ca="1">IFERROR(__xludf.DUMMYFUNCTION("""COMPUTED_VALUE"""),"Dubai")</f>
        <v>Dubai</v>
      </c>
      <c r="B11740" s="2" t="str">
        <f ca="1">IFERROR(__xludf.DUMMYFUNCTION("""COMPUTED_VALUE"""),"Al Wasl Oasis 2")</f>
        <v>Al Wasl Oasis 2</v>
      </c>
      <c r="C11740" s="2" t="str">
        <f ca="1">IFERROR(__xludf.DUMMYFUNCTION("""COMPUTED_VALUE"""),"Neighbourhood")</f>
        <v>Neighbourhood</v>
      </c>
      <c r="D11740" s="2" t="str">
        <f ca="1">IFERROR(__xludf.DUMMYFUNCTION("""COMPUTED_VALUE"""),"Dubai&gt;Muhaisnah&gt;Muhaisnah 4&gt;Al Wasl Oasis 2")</f>
        <v>Dubai&gt;Muhaisnah&gt;Muhaisnah 4&gt;Al Wasl Oasis 2</v>
      </c>
      <c r="E11740" s="2"/>
      <c r="F11740" s="2"/>
      <c r="G11740" s="2"/>
      <c r="H11740" s="2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2"/>
      <c r="T11740" s="2"/>
      <c r="U11740" s="2"/>
      <c r="V11740" s="2"/>
      <c r="W11740" s="2"/>
      <c r="X11740" s="2"/>
      <c r="Y11740" s="2"/>
      <c r="Z11740" s="2"/>
    </row>
    <row r="11741" spans="1:26" ht="16.5" x14ac:dyDescent="0.35">
      <c r="A11741" s="2" t="str">
        <f ca="1">IFERROR(__xludf.DUMMYFUNCTION("""COMPUTED_VALUE"""),"Dubai")</f>
        <v>Dubai</v>
      </c>
      <c r="B11741" s="2" t="str">
        <f ca="1">IFERROR(__xludf.DUMMYFUNCTION("""COMPUTED_VALUE"""),"Qamar 2")</f>
        <v>Qamar 2</v>
      </c>
      <c r="C11741" s="2" t="str">
        <f ca="1">IFERROR(__xludf.DUMMYFUNCTION("""COMPUTED_VALUE"""),"Building")</f>
        <v>Building</v>
      </c>
      <c r="D11741" s="2" t="str">
        <f ca="1">IFERROR(__xludf.DUMMYFUNCTION("""COMPUTED_VALUE"""),"Dubai&gt;Muhaisnah&gt;Muhaisnah 1&gt;Madinat Badr&gt;Qamar 2")</f>
        <v>Dubai&gt;Muhaisnah&gt;Muhaisnah 1&gt;Madinat Badr&gt;Qamar 2</v>
      </c>
      <c r="E11741" s="2"/>
      <c r="F11741" s="2"/>
      <c r="G11741" s="2"/>
      <c r="H11741" s="2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2"/>
      <c r="T11741" s="2"/>
      <c r="U11741" s="2"/>
      <c r="V11741" s="2"/>
      <c r="W11741" s="2"/>
      <c r="X11741" s="2"/>
      <c r="Y11741" s="2"/>
      <c r="Z11741" s="2"/>
    </row>
    <row r="11742" spans="1:26" ht="16.5" x14ac:dyDescent="0.35">
      <c r="A11742" s="2" t="str">
        <f ca="1">IFERROR(__xludf.DUMMYFUNCTION("""COMPUTED_VALUE"""),"Dubai")</f>
        <v>Dubai</v>
      </c>
      <c r="B11742" s="2" t="str">
        <f ca="1">IFERROR(__xludf.DUMMYFUNCTION("""COMPUTED_VALUE"""),"Al Wasl Building")</f>
        <v>Al Wasl Building</v>
      </c>
      <c r="C11742" s="2" t="str">
        <f ca="1">IFERROR(__xludf.DUMMYFUNCTION("""COMPUTED_VALUE"""),"Building")</f>
        <v>Building</v>
      </c>
      <c r="D11742" s="2" t="str">
        <f ca="1">IFERROR(__xludf.DUMMYFUNCTION("""COMPUTED_VALUE"""),"Dubai&gt;Sheikh Zayed Road&gt;Al Wasl Building")</f>
        <v>Dubai&gt;Sheikh Zayed Road&gt;Al Wasl Building</v>
      </c>
      <c r="E11742" s="2"/>
      <c r="F11742" s="2"/>
      <c r="G11742" s="2"/>
      <c r="H11742" s="2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2"/>
      <c r="T11742" s="2"/>
      <c r="U11742" s="2"/>
      <c r="V11742" s="2"/>
      <c r="W11742" s="2"/>
      <c r="X11742" s="2"/>
      <c r="Y11742" s="2"/>
      <c r="Z11742" s="2"/>
    </row>
    <row r="11743" spans="1:26" ht="16.5" x14ac:dyDescent="0.35">
      <c r="A11743" s="2" t="str">
        <f ca="1">IFERROR(__xludf.DUMMYFUNCTION("""COMPUTED_VALUE"""),"Dubai")</f>
        <v>Dubai</v>
      </c>
      <c r="B11743" s="2" t="str">
        <f ca="1">IFERROR(__xludf.DUMMYFUNCTION("""COMPUTED_VALUE"""),"Al Moosa Tower 2")</f>
        <v>Al Moosa Tower 2</v>
      </c>
      <c r="C11743" s="2" t="str">
        <f ca="1">IFERROR(__xludf.DUMMYFUNCTION("""COMPUTED_VALUE"""),"Building")</f>
        <v>Building</v>
      </c>
      <c r="D11743" s="2" t="str">
        <f ca="1">IFERROR(__xludf.DUMMYFUNCTION("""COMPUTED_VALUE"""),"Dubai&gt;Sheikh Zayed Road&gt;Al Moosa Tower 2")</f>
        <v>Dubai&gt;Sheikh Zayed Road&gt;Al Moosa Tower 2</v>
      </c>
      <c r="E11743" s="2"/>
      <c r="F11743" s="2"/>
      <c r="G11743" s="2"/>
      <c r="H11743" s="2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2"/>
      <c r="T11743" s="2"/>
      <c r="U11743" s="2"/>
      <c r="V11743" s="2"/>
      <c r="W11743" s="2"/>
      <c r="X11743" s="2"/>
      <c r="Y11743" s="2"/>
      <c r="Z11743" s="2"/>
    </row>
    <row r="11744" spans="1:26" ht="16.5" x14ac:dyDescent="0.35">
      <c r="A11744" s="2" t="str">
        <f ca="1">IFERROR(__xludf.DUMMYFUNCTION("""COMPUTED_VALUE"""),"Dubai")</f>
        <v>Dubai</v>
      </c>
      <c r="B11744" s="2" t="str">
        <f ca="1">IFERROR(__xludf.DUMMYFUNCTION("""COMPUTED_VALUE"""),"The H Hotel And Office Tower")</f>
        <v>The H Hotel And Office Tower</v>
      </c>
      <c r="C11744" s="2" t="str">
        <f ca="1">IFERROR(__xludf.DUMMYFUNCTION("""COMPUTED_VALUE"""),"Building")</f>
        <v>Building</v>
      </c>
      <c r="D11744" s="2" t="str">
        <f ca="1">IFERROR(__xludf.DUMMYFUNCTION("""COMPUTED_VALUE"""),"Dubai&gt;Sheikh Zayed Road&gt;The H Hotel And Office Tower")</f>
        <v>Dubai&gt;Sheikh Zayed Road&gt;The H Hotel And Office Tower</v>
      </c>
      <c r="E11744" s="2"/>
      <c r="F11744" s="2"/>
      <c r="G11744" s="2"/>
      <c r="H11744" s="2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2"/>
      <c r="T11744" s="2"/>
      <c r="U11744" s="2"/>
      <c r="V11744" s="2"/>
      <c r="W11744" s="2"/>
      <c r="X11744" s="2"/>
      <c r="Y11744" s="2"/>
      <c r="Z11744" s="2"/>
    </row>
    <row r="11745" spans="1:26" ht="16.5" x14ac:dyDescent="0.35">
      <c r="A11745" s="2" t="str">
        <f ca="1">IFERROR(__xludf.DUMMYFUNCTION("""COMPUTED_VALUE"""),"Dubai")</f>
        <v>Dubai</v>
      </c>
      <c r="B11745" s="2" t="str">
        <f ca="1">IFERROR(__xludf.DUMMYFUNCTION("""COMPUTED_VALUE"""),"Sheikh Majid Building")</f>
        <v>Sheikh Majid Building</v>
      </c>
      <c r="C11745" s="2" t="str">
        <f ca="1">IFERROR(__xludf.DUMMYFUNCTION("""COMPUTED_VALUE"""),"Building")</f>
        <v>Building</v>
      </c>
      <c r="D11745" s="2" t="str">
        <f ca="1">IFERROR(__xludf.DUMMYFUNCTION("""COMPUTED_VALUE"""),"Dubai&gt;Sheikh Zayed Road&gt;Sheikh Majid Building")</f>
        <v>Dubai&gt;Sheikh Zayed Road&gt;Sheikh Majid Building</v>
      </c>
      <c r="E11745" s="2"/>
      <c r="F11745" s="2"/>
      <c r="G11745" s="2"/>
      <c r="H11745" s="2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2"/>
      <c r="T11745" s="2"/>
      <c r="U11745" s="2"/>
      <c r="V11745" s="2"/>
      <c r="W11745" s="2"/>
      <c r="X11745" s="2"/>
      <c r="Y11745" s="2"/>
      <c r="Z11745" s="2"/>
    </row>
    <row r="11746" spans="1:26" ht="16.5" x14ac:dyDescent="0.35">
      <c r="A11746" s="2" t="str">
        <f ca="1">IFERROR(__xludf.DUMMYFUNCTION("""COMPUTED_VALUE"""),"Dubai")</f>
        <v>Dubai</v>
      </c>
      <c r="B11746" s="2" t="str">
        <f ca="1">IFERROR(__xludf.DUMMYFUNCTION("""COMPUTED_VALUE"""),"Al Khaleej Building")</f>
        <v>Al Khaleej Building</v>
      </c>
      <c r="C11746" s="2" t="str">
        <f ca="1">IFERROR(__xludf.DUMMYFUNCTION("""COMPUTED_VALUE"""),"Building")</f>
        <v>Building</v>
      </c>
      <c r="D11746" s="2" t="str">
        <f ca="1">IFERROR(__xludf.DUMMYFUNCTION("""COMPUTED_VALUE"""),"Dubai&gt;Al Karama&gt;Al Khaleej Building")</f>
        <v>Dubai&gt;Al Karama&gt;Al Khaleej Building</v>
      </c>
      <c r="E11746" s="2"/>
      <c r="F11746" s="2"/>
      <c r="G11746" s="2"/>
      <c r="H11746" s="2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2"/>
      <c r="T11746" s="2"/>
      <c r="U11746" s="2"/>
      <c r="V11746" s="2"/>
      <c r="W11746" s="2"/>
      <c r="X11746" s="2"/>
      <c r="Y11746" s="2"/>
      <c r="Z11746" s="2"/>
    </row>
    <row r="11747" spans="1:26" ht="16.5" x14ac:dyDescent="0.35">
      <c r="A11747" s="2" t="str">
        <f ca="1">IFERROR(__xludf.DUMMYFUNCTION("""COMPUTED_VALUE"""),"Dubai")</f>
        <v>Dubai</v>
      </c>
      <c r="B11747" s="2" t="str">
        <f ca="1">IFERROR(__xludf.DUMMYFUNCTION("""COMPUTED_VALUE"""),"Building 17")</f>
        <v>Building 17</v>
      </c>
      <c r="C11747" s="2" t="str">
        <f ca="1">IFERROR(__xludf.DUMMYFUNCTION("""COMPUTED_VALUE"""),"Building")</f>
        <v>Building</v>
      </c>
      <c r="D11747" s="2" t="str">
        <f ca="1">IFERROR(__xludf.DUMMYFUNCTION("""COMPUTED_VALUE"""),"Dubai&gt;Al Karama&gt;Karam Pioneer Buildings&gt;Building 17")</f>
        <v>Dubai&gt;Al Karama&gt;Karam Pioneer Buildings&gt;Building 17</v>
      </c>
      <c r="E11747" s="2"/>
      <c r="F11747" s="2"/>
      <c r="G11747" s="2"/>
      <c r="H11747" s="2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2"/>
      <c r="T11747" s="2"/>
      <c r="U11747" s="2"/>
      <c r="V11747" s="2"/>
      <c r="W11747" s="2"/>
      <c r="X11747" s="2"/>
      <c r="Y11747" s="2"/>
      <c r="Z11747" s="2"/>
    </row>
    <row r="11748" spans="1:26" ht="16.5" x14ac:dyDescent="0.35">
      <c r="A11748" s="2" t="str">
        <f ca="1">IFERROR(__xludf.DUMMYFUNCTION("""COMPUTED_VALUE"""),"Dubai")</f>
        <v>Dubai</v>
      </c>
      <c r="B11748" s="2" t="str">
        <f ca="1">IFERROR(__xludf.DUMMYFUNCTION("""COMPUTED_VALUE"""),"Building 49")</f>
        <v>Building 49</v>
      </c>
      <c r="C11748" s="2" t="str">
        <f ca="1">IFERROR(__xludf.DUMMYFUNCTION("""COMPUTED_VALUE"""),"Building")</f>
        <v>Building</v>
      </c>
      <c r="D11748" s="2" t="str">
        <f ca="1">IFERROR(__xludf.DUMMYFUNCTION("""COMPUTED_VALUE"""),"Dubai&gt;Al Karama&gt;Karam Pioneer Buildings&gt;Building 49")</f>
        <v>Dubai&gt;Al Karama&gt;Karam Pioneer Buildings&gt;Building 49</v>
      </c>
      <c r="E11748" s="2"/>
      <c r="F11748" s="2"/>
      <c r="G11748" s="2"/>
      <c r="H11748" s="2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2"/>
      <c r="T11748" s="2"/>
      <c r="U11748" s="2"/>
      <c r="V11748" s="2"/>
      <c r="W11748" s="2"/>
      <c r="X11748" s="2"/>
      <c r="Y11748" s="2"/>
      <c r="Z11748" s="2"/>
    </row>
    <row r="11749" spans="1:26" ht="16.5" x14ac:dyDescent="0.35">
      <c r="A11749" s="2" t="str">
        <f ca="1">IFERROR(__xludf.DUMMYFUNCTION("""COMPUTED_VALUE"""),"Dubai")</f>
        <v>Dubai</v>
      </c>
      <c r="B11749" s="2" t="str">
        <f ca="1">IFERROR(__xludf.DUMMYFUNCTION("""COMPUTED_VALUE"""),"Al Dashti Building No. 5")</f>
        <v>Al Dashti Building No. 5</v>
      </c>
      <c r="C11749" s="2" t="str">
        <f ca="1">IFERROR(__xludf.DUMMYFUNCTION("""COMPUTED_VALUE"""),"Building")</f>
        <v>Building</v>
      </c>
      <c r="D11749" s="2" t="str">
        <f ca="1">IFERROR(__xludf.DUMMYFUNCTION("""COMPUTED_VALUE"""),"Dubai&gt;Al Karama&gt;Al Dashti Building No. 5")</f>
        <v>Dubai&gt;Al Karama&gt;Al Dashti Building No. 5</v>
      </c>
      <c r="E11749" s="2"/>
      <c r="F11749" s="2"/>
      <c r="G11749" s="2"/>
      <c r="H11749" s="2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2"/>
      <c r="T11749" s="2"/>
      <c r="U11749" s="2"/>
      <c r="V11749" s="2"/>
      <c r="W11749" s="2"/>
      <c r="X11749" s="2"/>
      <c r="Y11749" s="2"/>
      <c r="Z11749" s="2"/>
    </row>
    <row r="11750" spans="1:26" ht="16.5" x14ac:dyDescent="0.35">
      <c r="A11750" s="2" t="str">
        <f ca="1">IFERROR(__xludf.DUMMYFUNCTION("""COMPUTED_VALUE"""),"Dubai")</f>
        <v>Dubai</v>
      </c>
      <c r="B11750" s="2" t="str">
        <f ca="1">IFERROR(__xludf.DUMMYFUNCTION("""COMPUTED_VALUE"""),"Atiq Obaid Saeed Bel Heli Building")</f>
        <v>Atiq Obaid Saeed Bel Heli Building</v>
      </c>
      <c r="C11750" s="2" t="str">
        <f ca="1">IFERROR(__xludf.DUMMYFUNCTION("""COMPUTED_VALUE"""),"Building")</f>
        <v>Building</v>
      </c>
      <c r="D11750" s="2" t="str">
        <f ca="1">IFERROR(__xludf.DUMMYFUNCTION("""COMPUTED_VALUE"""),"Dubai&gt;Al Karama&gt;Atiq Obaid Saeed Bel Heli Building")</f>
        <v>Dubai&gt;Al Karama&gt;Atiq Obaid Saeed Bel Heli Building</v>
      </c>
      <c r="E11750" s="2"/>
      <c r="F11750" s="2"/>
      <c r="G11750" s="2"/>
      <c r="H11750" s="2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2"/>
      <c r="T11750" s="2"/>
      <c r="U11750" s="2"/>
      <c r="V11750" s="2"/>
      <c r="W11750" s="2"/>
      <c r="X11750" s="2"/>
      <c r="Y11750" s="2"/>
      <c r="Z11750" s="2"/>
    </row>
    <row r="11751" spans="1:26" ht="16.5" x14ac:dyDescent="0.35">
      <c r="A11751" s="2" t="str">
        <f ca="1">IFERROR(__xludf.DUMMYFUNCTION("""COMPUTED_VALUE"""),"Dubai")</f>
        <v>Dubai</v>
      </c>
      <c r="B11751" s="2" t="str">
        <f ca="1">IFERROR(__xludf.DUMMYFUNCTION("""COMPUTED_VALUE"""),"Amaim Building")</f>
        <v>Amaim Building</v>
      </c>
      <c r="C11751" s="2" t="str">
        <f ca="1">IFERROR(__xludf.DUMMYFUNCTION("""COMPUTED_VALUE"""),"Building")</f>
        <v>Building</v>
      </c>
      <c r="D11751" s="2" t="str">
        <f ca="1">IFERROR(__xludf.DUMMYFUNCTION("""COMPUTED_VALUE"""),"Dubai&gt;Al Karama&gt;Amaim Building")</f>
        <v>Dubai&gt;Al Karama&gt;Amaim Building</v>
      </c>
      <c r="E11751" s="2"/>
      <c r="F11751" s="2"/>
      <c r="G11751" s="2"/>
      <c r="H11751" s="2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2"/>
      <c r="T11751" s="2"/>
      <c r="U11751" s="2"/>
      <c r="V11751" s="2"/>
      <c r="W11751" s="2"/>
      <c r="X11751" s="2"/>
      <c r="Y11751" s="2"/>
      <c r="Z11751" s="2"/>
    </row>
    <row r="11752" spans="1:26" ht="16.5" x14ac:dyDescent="0.35">
      <c r="A11752" s="2" t="str">
        <f ca="1">IFERROR(__xludf.DUMMYFUNCTION("""COMPUTED_VALUE"""),"Dubai")</f>
        <v>Dubai</v>
      </c>
      <c r="B11752" s="2" t="str">
        <f ca="1">IFERROR(__xludf.DUMMYFUNCTION("""COMPUTED_VALUE"""),"Al Eisa Building")</f>
        <v>Al Eisa Building</v>
      </c>
      <c r="C11752" s="2" t="str">
        <f ca="1">IFERROR(__xludf.DUMMYFUNCTION("""COMPUTED_VALUE"""),"Building")</f>
        <v>Building</v>
      </c>
      <c r="D11752" s="2" t="str">
        <f ca="1">IFERROR(__xludf.DUMMYFUNCTION("""COMPUTED_VALUE"""),"Dubai&gt;Al Karama&gt;Al Eisa Building")</f>
        <v>Dubai&gt;Al Karama&gt;Al Eisa Building</v>
      </c>
      <c r="E11752" s="2"/>
      <c r="F11752" s="2"/>
      <c r="G11752" s="2"/>
      <c r="H11752" s="2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2"/>
      <c r="T11752" s="2"/>
      <c r="U11752" s="2"/>
      <c r="V11752" s="2"/>
      <c r="W11752" s="2"/>
      <c r="X11752" s="2"/>
      <c r="Y11752" s="2"/>
      <c r="Z11752" s="2"/>
    </row>
    <row r="11753" spans="1:26" ht="16.5" x14ac:dyDescent="0.35">
      <c r="A11753" s="2" t="str">
        <f ca="1">IFERROR(__xludf.DUMMYFUNCTION("""COMPUTED_VALUE"""),"Dubai")</f>
        <v>Dubai</v>
      </c>
      <c r="B11753" s="2" t="str">
        <f ca="1">IFERROR(__xludf.DUMMYFUNCTION("""COMPUTED_VALUE"""),"A-11")</f>
        <v>A-11</v>
      </c>
      <c r="C11753" s="2" t="str">
        <f ca="1">IFERROR(__xludf.DUMMYFUNCTION("""COMPUTED_VALUE"""),"Building")</f>
        <v>Building</v>
      </c>
      <c r="D11753" s="2" t="str">
        <f ca="1">IFERROR(__xludf.DUMMYFUNCTION("""COMPUTED_VALUE"""),"Dubai&gt;Al Karama&gt;A-11")</f>
        <v>Dubai&gt;Al Karama&gt;A-11</v>
      </c>
      <c r="E11753" s="2"/>
      <c r="F11753" s="2"/>
      <c r="G11753" s="2"/>
      <c r="H11753" s="2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2"/>
      <c r="T11753" s="2"/>
      <c r="U11753" s="2"/>
      <c r="V11753" s="2"/>
      <c r="W11753" s="2"/>
      <c r="X11753" s="2"/>
      <c r="Y11753" s="2"/>
      <c r="Z11753" s="2"/>
    </row>
    <row r="11754" spans="1:26" ht="16.5" x14ac:dyDescent="0.35">
      <c r="A11754" s="2" t="str">
        <f ca="1">IFERROR(__xludf.DUMMYFUNCTION("""COMPUTED_VALUE"""),"Dubai")</f>
        <v>Dubai</v>
      </c>
      <c r="B11754" s="2" t="str">
        <f ca="1">IFERROR(__xludf.DUMMYFUNCTION("""COMPUTED_VALUE"""),"Alphonsa Building")</f>
        <v>Alphonsa Building</v>
      </c>
      <c r="C11754" s="2" t="str">
        <f ca="1">IFERROR(__xludf.DUMMYFUNCTION("""COMPUTED_VALUE"""),"Building")</f>
        <v>Building</v>
      </c>
      <c r="D11754" s="2" t="str">
        <f ca="1">IFERROR(__xludf.DUMMYFUNCTION("""COMPUTED_VALUE"""),"Dubai&gt;Al Karama&gt;Alphonsa Building")</f>
        <v>Dubai&gt;Al Karama&gt;Alphonsa Building</v>
      </c>
      <c r="E11754" s="2"/>
      <c r="F11754" s="2"/>
      <c r="G11754" s="2"/>
      <c r="H11754" s="2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2"/>
      <c r="T11754" s="2"/>
      <c r="U11754" s="2"/>
      <c r="V11754" s="2"/>
      <c r="W11754" s="2"/>
      <c r="X11754" s="2"/>
      <c r="Y11754" s="2"/>
      <c r="Z11754" s="2"/>
    </row>
    <row r="11755" spans="1:26" ht="16.5" x14ac:dyDescent="0.35">
      <c r="A11755" s="2" t="str">
        <f ca="1">IFERROR(__xludf.DUMMYFUNCTION("""COMPUTED_VALUE"""),"Dubai")</f>
        <v>Dubai</v>
      </c>
      <c r="B11755" s="2" t="str">
        <f ca="1">IFERROR(__xludf.DUMMYFUNCTION("""COMPUTED_VALUE"""),"Mubarak Blocks")</f>
        <v>Mubarak Blocks</v>
      </c>
      <c r="C11755" s="2" t="str">
        <f ca="1">IFERROR(__xludf.DUMMYFUNCTION("""COMPUTED_VALUE"""),"Cluster")</f>
        <v>Cluster</v>
      </c>
      <c r="D11755" s="2" t="str">
        <f ca="1">IFERROR(__xludf.DUMMYFUNCTION("""COMPUTED_VALUE"""),"Dubai&gt;Al Karama&gt;Mubarak Blocks")</f>
        <v>Dubai&gt;Al Karama&gt;Mubarak Blocks</v>
      </c>
      <c r="E11755" s="2"/>
      <c r="F11755" s="2"/>
      <c r="G11755" s="2"/>
      <c r="H11755" s="2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2"/>
      <c r="T11755" s="2"/>
      <c r="U11755" s="2"/>
      <c r="V11755" s="2"/>
      <c r="W11755" s="2"/>
      <c r="X11755" s="2"/>
      <c r="Y11755" s="2"/>
      <c r="Z11755" s="2"/>
    </row>
    <row r="11756" spans="1:26" ht="16.5" x14ac:dyDescent="0.35">
      <c r="A11756" s="2" t="str">
        <f ca="1">IFERROR(__xludf.DUMMYFUNCTION("""COMPUTED_VALUE"""),"Dubai")</f>
        <v>Dubai</v>
      </c>
      <c r="B11756" s="2" t="str">
        <f ca="1">IFERROR(__xludf.DUMMYFUNCTION("""COMPUTED_VALUE"""),"Rawdat Al Karama")</f>
        <v>Rawdat Al Karama</v>
      </c>
      <c r="C11756" s="2" t="str">
        <f ca="1">IFERROR(__xludf.DUMMYFUNCTION("""COMPUTED_VALUE"""),"Building")</f>
        <v>Building</v>
      </c>
      <c r="D11756" s="2" t="str">
        <f ca="1">IFERROR(__xludf.DUMMYFUNCTION("""COMPUTED_VALUE"""),"Dubai&gt;Al Karama&gt;Rawdat Al Karama")</f>
        <v>Dubai&gt;Al Karama&gt;Rawdat Al Karama</v>
      </c>
      <c r="E11756" s="2"/>
      <c r="F11756" s="2"/>
      <c r="G11756" s="2"/>
      <c r="H11756" s="2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2"/>
      <c r="T11756" s="2"/>
      <c r="U11756" s="2"/>
      <c r="V11756" s="2"/>
      <c r="W11756" s="2"/>
      <c r="X11756" s="2"/>
      <c r="Y11756" s="2"/>
      <c r="Z11756" s="2"/>
    </row>
    <row r="11757" spans="1:26" ht="16.5" x14ac:dyDescent="0.35">
      <c r="A11757" s="2" t="str">
        <f ca="1">IFERROR(__xludf.DUMMYFUNCTION("""COMPUTED_VALUE"""),"Dubai")</f>
        <v>Dubai</v>
      </c>
      <c r="B11757" s="2" t="str">
        <f ca="1">IFERROR(__xludf.DUMMYFUNCTION("""COMPUTED_VALUE"""),"Al Karama Square")</f>
        <v>Al Karama Square</v>
      </c>
      <c r="C11757" s="2" t="str">
        <f ca="1">IFERROR(__xludf.DUMMYFUNCTION("""COMPUTED_VALUE"""),"Building")</f>
        <v>Building</v>
      </c>
      <c r="D11757" s="2" t="str">
        <f ca="1">IFERROR(__xludf.DUMMYFUNCTION("""COMPUTED_VALUE"""),"Dubai&gt;Al Karama&gt;Al Karama Square")</f>
        <v>Dubai&gt;Al Karama&gt;Al Karama Square</v>
      </c>
      <c r="E11757" s="2"/>
      <c r="F11757" s="2"/>
      <c r="G11757" s="2"/>
      <c r="H11757" s="2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2"/>
      <c r="T11757" s="2"/>
      <c r="U11757" s="2"/>
      <c r="V11757" s="2"/>
      <c r="W11757" s="2"/>
      <c r="X11757" s="2"/>
      <c r="Y11757" s="2"/>
      <c r="Z11757" s="2"/>
    </row>
    <row r="11758" spans="1:26" ht="16.5" x14ac:dyDescent="0.35">
      <c r="A11758" s="2" t="str">
        <f ca="1">IFERROR(__xludf.DUMMYFUNCTION("""COMPUTED_VALUE"""),"Dubai")</f>
        <v>Dubai</v>
      </c>
      <c r="B11758" s="2" t="str">
        <f ca="1">IFERROR(__xludf.DUMMYFUNCTION("""COMPUTED_VALUE"""),"Grand Kingsgate Waterfront Hotel")</f>
        <v>Grand Kingsgate Waterfront Hotel</v>
      </c>
      <c r="C11758" s="2" t="str">
        <f ca="1">IFERROR(__xludf.DUMMYFUNCTION("""COMPUTED_VALUE"""),"Building")</f>
        <v>Building</v>
      </c>
      <c r="D11758" s="2" t="str">
        <f ca="1">IFERROR(__xludf.DUMMYFUNCTION("""COMPUTED_VALUE"""),"Dubai&gt;Culture Village (Jaddaf Waterfront)&gt;Grand Kingsgate Waterfront Hotel")</f>
        <v>Dubai&gt;Culture Village (Jaddaf Waterfront)&gt;Grand Kingsgate Waterfront Hotel</v>
      </c>
      <c r="E11758" s="2"/>
      <c r="F11758" s="2"/>
      <c r="G11758" s="2"/>
      <c r="H11758" s="2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2"/>
      <c r="T11758" s="2"/>
      <c r="U11758" s="2"/>
      <c r="V11758" s="2"/>
      <c r="W11758" s="2"/>
      <c r="X11758" s="2"/>
      <c r="Y11758" s="2"/>
      <c r="Z11758" s="2"/>
    </row>
    <row r="11759" spans="1:26" ht="16.5" x14ac:dyDescent="0.35">
      <c r="A11759" s="2" t="str">
        <f ca="1">IFERROR(__xludf.DUMMYFUNCTION("""COMPUTED_VALUE"""),"Dubai")</f>
        <v>Dubai</v>
      </c>
      <c r="B11759" s="2" t="str">
        <f ca="1">IFERROR(__xludf.DUMMYFUNCTION("""COMPUTED_VALUE"""),"Masterminds Nursery and Kindergarten Umm Suqeim")</f>
        <v>Masterminds Nursery and Kindergarten Umm Suqeim</v>
      </c>
      <c r="C11759" s="2" t="str">
        <f ca="1">IFERROR(__xludf.DUMMYFUNCTION("""COMPUTED_VALUE"""),"Nursery")</f>
        <v>Nursery</v>
      </c>
      <c r="D11759" s="2" t="str">
        <f ca="1">IFERROR(__xludf.DUMMYFUNCTION("""COMPUTED_VALUE"""),"Dubai&gt;Umm Suqeim&gt;Umm Suqeim 3&gt;Masterminds Nursery and Kindergarten Umm Suqeim")</f>
        <v>Dubai&gt;Umm Suqeim&gt;Umm Suqeim 3&gt;Masterminds Nursery and Kindergarten Umm Suqeim</v>
      </c>
      <c r="E11759" s="2"/>
      <c r="F11759" s="2"/>
      <c r="G11759" s="2"/>
      <c r="H11759" s="2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2"/>
      <c r="T11759" s="2"/>
      <c r="U11759" s="2"/>
      <c r="V11759" s="2"/>
      <c r="W11759" s="2"/>
      <c r="X11759" s="2"/>
      <c r="Y11759" s="2"/>
      <c r="Z11759" s="2"/>
    </row>
    <row r="11760" spans="1:26" ht="16.5" x14ac:dyDescent="0.35">
      <c r="A11760" s="2" t="str">
        <f ca="1">IFERROR(__xludf.DUMMYFUNCTION("""COMPUTED_VALUE"""),"Dubai")</f>
        <v>Dubai</v>
      </c>
      <c r="B11760" s="2" t="str">
        <f ca="1">IFERROR(__xludf.DUMMYFUNCTION("""COMPUTED_VALUE"""),"Jomana")</f>
        <v>Jomana</v>
      </c>
      <c r="C11760" s="2" t="str">
        <f ca="1">IFERROR(__xludf.DUMMYFUNCTION("""COMPUTED_VALUE"""),"Cluster")</f>
        <v>Cluster</v>
      </c>
      <c r="D11760" s="2" t="str">
        <f ca="1">IFERROR(__xludf.DUMMYFUNCTION("""COMPUTED_VALUE"""),"Dubai&gt;Umm Suqeim&gt;Madinat Jumeirah Living&gt;Jomana")</f>
        <v>Dubai&gt;Umm Suqeim&gt;Madinat Jumeirah Living&gt;Jomana</v>
      </c>
      <c r="E11760" s="2"/>
      <c r="F11760" s="2"/>
      <c r="G11760" s="2"/>
      <c r="H11760" s="2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2"/>
      <c r="T11760" s="2"/>
      <c r="U11760" s="2"/>
      <c r="V11760" s="2"/>
      <c r="W11760" s="2"/>
      <c r="X11760" s="2"/>
      <c r="Y11760" s="2"/>
      <c r="Z11760" s="2"/>
    </row>
    <row r="11761" spans="1:26" ht="16.5" x14ac:dyDescent="0.35">
      <c r="A11761" s="2" t="str">
        <f ca="1">IFERROR(__xludf.DUMMYFUNCTION("""COMPUTED_VALUE"""),"Dubai")</f>
        <v>Dubai</v>
      </c>
      <c r="B11761" s="2" t="str">
        <f ca="1">IFERROR(__xludf.DUMMYFUNCTION("""COMPUTED_VALUE"""),"Fishing Harbour 3")</f>
        <v>Fishing Harbour 3</v>
      </c>
      <c r="C11761" s="2" t="str">
        <f ca="1">IFERROR(__xludf.DUMMYFUNCTION("""COMPUTED_VALUE"""),"Building")</f>
        <v>Building</v>
      </c>
      <c r="D11761" s="2" t="str">
        <f ca="1">IFERROR(__xludf.DUMMYFUNCTION("""COMPUTED_VALUE"""),"Dubai&gt;Umm Suqeim&gt;Umm Suqeim 2&gt;Fishing Harbour 3")</f>
        <v>Dubai&gt;Umm Suqeim&gt;Umm Suqeim 2&gt;Fishing Harbour 3</v>
      </c>
      <c r="E11761" s="2"/>
      <c r="F11761" s="2"/>
      <c r="G11761" s="2"/>
      <c r="H11761" s="2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2"/>
      <c r="T11761" s="2"/>
      <c r="U11761" s="2"/>
      <c r="V11761" s="2"/>
      <c r="W11761" s="2"/>
      <c r="X11761" s="2"/>
      <c r="Y11761" s="2"/>
      <c r="Z11761" s="2"/>
    </row>
    <row r="11762" spans="1:26" ht="16.5" x14ac:dyDescent="0.35">
      <c r="A11762" s="2" t="str">
        <f ca="1">IFERROR(__xludf.DUMMYFUNCTION("""COMPUTED_VALUE"""),"Dubai")</f>
        <v>Dubai</v>
      </c>
      <c r="B11762" s="2" t="str">
        <f ca="1">IFERROR(__xludf.DUMMYFUNCTION("""COMPUTED_VALUE"""),"Azizi Milan Heights")</f>
        <v>Azizi Milan Heights</v>
      </c>
      <c r="C11762" s="2" t="str">
        <f ca="1">IFERROR(__xludf.DUMMYFUNCTION("""COMPUTED_VALUE"""),"Cluster")</f>
        <v>Cluster</v>
      </c>
      <c r="D11762" s="2" t="str">
        <f ca="1">IFERROR(__xludf.DUMMYFUNCTION("""COMPUTED_VALUE"""),"Dubai&gt;City of Arabia&gt;Azizi Milan&gt;Azizi Milan Heights")</f>
        <v>Dubai&gt;City of Arabia&gt;Azizi Milan&gt;Azizi Milan Heights</v>
      </c>
      <c r="E11762" s="2"/>
      <c r="F11762" s="2"/>
      <c r="G11762" s="2"/>
      <c r="H11762" s="2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2"/>
      <c r="T11762" s="2"/>
      <c r="U11762" s="2"/>
      <c r="V11762" s="2"/>
      <c r="W11762" s="2"/>
      <c r="X11762" s="2"/>
      <c r="Y11762" s="2"/>
      <c r="Z11762" s="2"/>
    </row>
    <row r="11763" spans="1:26" ht="16.5" x14ac:dyDescent="0.35">
      <c r="A11763" s="2" t="str">
        <f ca="1">IFERROR(__xludf.DUMMYFUNCTION("""COMPUTED_VALUE"""),"Dubai")</f>
        <v>Dubai</v>
      </c>
      <c r="B11763" s="2" t="str">
        <f ca="1">IFERROR(__xludf.DUMMYFUNCTION("""COMPUTED_VALUE"""),"Al Mari Building")</f>
        <v>Al Mari Building</v>
      </c>
      <c r="C11763" s="2" t="str">
        <f ca="1">IFERROR(__xludf.DUMMYFUNCTION("""COMPUTED_VALUE"""),"Building")</f>
        <v>Building</v>
      </c>
      <c r="D11763" s="2" t="str">
        <f ca="1">IFERROR(__xludf.DUMMYFUNCTION("""COMPUTED_VALUE"""),"Dubai&gt;Al Badaa&gt;Al Mari Building")</f>
        <v>Dubai&gt;Al Badaa&gt;Al Mari Building</v>
      </c>
      <c r="E11763" s="2"/>
      <c r="F11763" s="2"/>
      <c r="G11763" s="2"/>
      <c r="H11763" s="2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2"/>
      <c r="T11763" s="2"/>
      <c r="U11763" s="2"/>
      <c r="V11763" s="2"/>
      <c r="W11763" s="2"/>
      <c r="X11763" s="2"/>
      <c r="Y11763" s="2"/>
      <c r="Z11763" s="2"/>
    </row>
    <row r="11764" spans="1:26" ht="16.5" x14ac:dyDescent="0.35">
      <c r="A11764" s="2" t="str">
        <f ca="1">IFERROR(__xludf.DUMMYFUNCTION("""COMPUTED_VALUE"""),"Dubai")</f>
        <v>Dubai</v>
      </c>
      <c r="B11764" s="2" t="str">
        <f ca="1">IFERROR(__xludf.DUMMYFUNCTION("""COMPUTED_VALUE"""),"Sheikha Building")</f>
        <v>Sheikha Building</v>
      </c>
      <c r="C11764" s="2" t="str">
        <f ca="1">IFERROR(__xludf.DUMMYFUNCTION("""COMPUTED_VALUE"""),"Building")</f>
        <v>Building</v>
      </c>
      <c r="D11764" s="2" t="str">
        <f ca="1">IFERROR(__xludf.DUMMYFUNCTION("""COMPUTED_VALUE"""),"Dubai&gt;Al Badaa&gt;Sheikha Building")</f>
        <v>Dubai&gt;Al Badaa&gt;Sheikha Building</v>
      </c>
      <c r="E11764" s="2"/>
      <c r="F11764" s="2"/>
      <c r="G11764" s="2"/>
      <c r="H11764" s="2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2"/>
      <c r="T11764" s="2"/>
      <c r="U11764" s="2"/>
      <c r="V11764" s="2"/>
      <c r="W11764" s="2"/>
      <c r="X11764" s="2"/>
      <c r="Y11764" s="2"/>
      <c r="Z11764" s="2"/>
    </row>
    <row r="11765" spans="1:26" ht="16.5" x14ac:dyDescent="0.35">
      <c r="A11765" s="2" t="str">
        <f ca="1">IFERROR(__xludf.DUMMYFUNCTION("""COMPUTED_VALUE"""),"Dubai")</f>
        <v>Dubai</v>
      </c>
      <c r="B11765" s="2" t="str">
        <f ca="1">IFERROR(__xludf.DUMMYFUNCTION("""COMPUTED_VALUE"""),"Manara 5")</f>
        <v>Manara 5</v>
      </c>
      <c r="C11765" s="2" t="str">
        <f ca="1">IFERROR(__xludf.DUMMYFUNCTION("""COMPUTED_VALUE"""),"Building")</f>
        <v>Building</v>
      </c>
      <c r="D11765" s="2" t="str">
        <f ca="1">IFERROR(__xludf.DUMMYFUNCTION("""COMPUTED_VALUE"""),"Dubai&gt;Dubai Waterfront&gt;Badrah&gt;Manara&gt;Manara 5")</f>
        <v>Dubai&gt;Dubai Waterfront&gt;Badrah&gt;Manara&gt;Manara 5</v>
      </c>
      <c r="E11765" s="2"/>
      <c r="F11765" s="2"/>
      <c r="G11765" s="2"/>
      <c r="H11765" s="2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2"/>
      <c r="T11765" s="2"/>
      <c r="U11765" s="2"/>
      <c r="V11765" s="2"/>
      <c r="W11765" s="2"/>
      <c r="X11765" s="2"/>
      <c r="Y11765" s="2"/>
      <c r="Z11765" s="2"/>
    </row>
    <row r="11766" spans="1:26" ht="16.5" x14ac:dyDescent="0.35">
      <c r="A11766" s="2" t="str">
        <f ca="1">IFERROR(__xludf.DUMMYFUNCTION("""COMPUTED_VALUE"""),"Dubai")</f>
        <v>Dubai</v>
      </c>
      <c r="B11766" s="2" t="str">
        <f ca="1">IFERROR(__xludf.DUMMYFUNCTION("""COMPUTED_VALUE"""),"Building 8")</f>
        <v>Building 8</v>
      </c>
      <c r="C11766" s="2" t="str">
        <f ca="1">IFERROR(__xludf.DUMMYFUNCTION("""COMPUTED_VALUE"""),"Building")</f>
        <v>Building</v>
      </c>
      <c r="D11766" s="2" t="str">
        <f ca="1">IFERROR(__xludf.DUMMYFUNCTION("""COMPUTED_VALUE"""),"Dubai&gt;Academic City&gt;Dubai Outsource City&gt;Building 8")</f>
        <v>Dubai&gt;Academic City&gt;Dubai Outsource City&gt;Building 8</v>
      </c>
      <c r="E11766" s="2"/>
      <c r="F11766" s="2"/>
      <c r="G11766" s="2"/>
      <c r="H11766" s="2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2"/>
      <c r="T11766" s="2"/>
      <c r="U11766" s="2"/>
      <c r="V11766" s="2"/>
      <c r="W11766" s="2"/>
      <c r="X11766" s="2"/>
      <c r="Y11766" s="2"/>
      <c r="Z11766" s="2"/>
    </row>
    <row r="11767" spans="1:26" ht="16.5" x14ac:dyDescent="0.35">
      <c r="A11767" s="2" t="str">
        <f ca="1">IFERROR(__xludf.DUMMYFUNCTION("""COMPUTED_VALUE"""),"Dubai")</f>
        <v>Dubai</v>
      </c>
      <c r="B11767" s="2" t="str">
        <f ca="1">IFERROR(__xludf.DUMMYFUNCTION("""COMPUTED_VALUE"""),"Dubai Design District Building 1")</f>
        <v>Dubai Design District Building 1</v>
      </c>
      <c r="C11767" s="2" t="str">
        <f ca="1">IFERROR(__xludf.DUMMYFUNCTION("""COMPUTED_VALUE"""),"Cluster")</f>
        <v>Cluster</v>
      </c>
      <c r="D11767" s="2" t="str">
        <f ca="1">IFERROR(__xludf.DUMMYFUNCTION("""COMPUTED_VALUE"""),"Dubai&gt;Dubai Design District&gt;Dubai Design District Building 1")</f>
        <v>Dubai&gt;Dubai Design District&gt;Dubai Design District Building 1</v>
      </c>
      <c r="E11767" s="2"/>
      <c r="F11767" s="2"/>
      <c r="G11767" s="2"/>
      <c r="H11767" s="2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2"/>
      <c r="T11767" s="2"/>
      <c r="U11767" s="2"/>
      <c r="V11767" s="2"/>
      <c r="W11767" s="2"/>
      <c r="X11767" s="2"/>
      <c r="Y11767" s="2"/>
      <c r="Z11767" s="2"/>
    </row>
    <row r="11768" spans="1:26" ht="16.5" x14ac:dyDescent="0.35">
      <c r="A11768" s="2" t="str">
        <f ca="1">IFERROR(__xludf.DUMMYFUNCTION("""COMPUTED_VALUE"""),"Dubai")</f>
        <v>Dubai</v>
      </c>
      <c r="B11768" s="2" t="str">
        <f ca="1">IFERROR(__xludf.DUMMYFUNCTION("""COMPUTED_VALUE"""),"Nasser Khamis Block C")</f>
        <v>Nasser Khamis Block C</v>
      </c>
      <c r="C11768" s="2" t="str">
        <f ca="1">IFERROR(__xludf.DUMMYFUNCTION("""COMPUTED_VALUE"""),"Building")</f>
        <v>Building</v>
      </c>
      <c r="D11768" s="2" t="str">
        <f ca="1">IFERROR(__xludf.DUMMYFUNCTION("""COMPUTED_VALUE"""),"Dubai&gt;Al Hudaiba&gt;Nasser Khamis Blocks&gt;Nasser Khamis Block C")</f>
        <v>Dubai&gt;Al Hudaiba&gt;Nasser Khamis Blocks&gt;Nasser Khamis Block C</v>
      </c>
      <c r="E11768" s="2"/>
      <c r="F11768" s="2"/>
      <c r="G11768" s="2"/>
      <c r="H11768" s="2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2"/>
      <c r="T11768" s="2"/>
      <c r="U11768" s="2"/>
      <c r="V11768" s="2"/>
      <c r="W11768" s="2"/>
      <c r="X11768" s="2"/>
      <c r="Y11768" s="2"/>
      <c r="Z11768" s="2"/>
    </row>
    <row r="11769" spans="1:26" ht="16.5" x14ac:dyDescent="0.35">
      <c r="A11769" s="2" t="str">
        <f ca="1">IFERROR(__xludf.DUMMYFUNCTION("""COMPUTED_VALUE"""),"Dubai")</f>
        <v>Dubai</v>
      </c>
      <c r="B11769" s="2" t="str">
        <f ca="1">IFERROR(__xludf.DUMMYFUNCTION("""COMPUTED_VALUE"""),"Jumeirah Terrace")</f>
        <v>Jumeirah Terrace</v>
      </c>
      <c r="C11769" s="2" t="str">
        <f ca="1">IFERROR(__xludf.DUMMYFUNCTION("""COMPUTED_VALUE"""),"Building")</f>
        <v>Building</v>
      </c>
      <c r="D11769" s="2" t="str">
        <f ca="1">IFERROR(__xludf.DUMMYFUNCTION("""COMPUTED_VALUE"""),"Dubai&gt;Jumeirah&gt;Jumeirah 1&gt;Jumeirah Terrace")</f>
        <v>Dubai&gt;Jumeirah&gt;Jumeirah 1&gt;Jumeirah Terrace</v>
      </c>
      <c r="E11769" s="2"/>
      <c r="F11769" s="2"/>
      <c r="G11769" s="2"/>
      <c r="H11769" s="2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2"/>
      <c r="T11769" s="2"/>
      <c r="U11769" s="2"/>
      <c r="V11769" s="2"/>
      <c r="W11769" s="2"/>
      <c r="X11769" s="2"/>
      <c r="Y11769" s="2"/>
      <c r="Z11769" s="2"/>
    </row>
    <row r="11770" spans="1:26" ht="16.5" x14ac:dyDescent="0.35">
      <c r="A11770" s="2" t="str">
        <f ca="1">IFERROR(__xludf.DUMMYFUNCTION("""COMPUTED_VALUE"""),"Dubai")</f>
        <v>Dubai</v>
      </c>
      <c r="B11770" s="2" t="str">
        <f ca="1">IFERROR(__xludf.DUMMYFUNCTION("""COMPUTED_VALUE"""),"Bulgari Residence 6")</f>
        <v>Bulgari Residence 6</v>
      </c>
      <c r="C11770" s="2" t="str">
        <f ca="1">IFERROR(__xludf.DUMMYFUNCTION("""COMPUTED_VALUE"""),"Building")</f>
        <v>Building</v>
      </c>
      <c r="D11770" s="2" t="str">
        <f ca="1">IFERROR(__xludf.DUMMYFUNCTION("""COMPUTED_VALUE"""),"Dubai&gt;Jumeirah&gt;Jumeirah Bay Islands&gt;Bulgari Residences&gt;Bulgari Residence 6")</f>
        <v>Dubai&gt;Jumeirah&gt;Jumeirah Bay Islands&gt;Bulgari Residences&gt;Bulgari Residence 6</v>
      </c>
      <c r="E11770" s="2"/>
      <c r="F11770" s="2"/>
      <c r="G11770" s="2"/>
      <c r="H11770" s="2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2"/>
      <c r="T11770" s="2"/>
      <c r="U11770" s="2"/>
      <c r="V11770" s="2"/>
      <c r="W11770" s="2"/>
      <c r="X11770" s="2"/>
      <c r="Y11770" s="2"/>
      <c r="Z11770" s="2"/>
    </row>
    <row r="11771" spans="1:26" ht="16.5" x14ac:dyDescent="0.35">
      <c r="A11771" s="2" t="str">
        <f ca="1">IFERROR(__xludf.DUMMYFUNCTION("""COMPUTED_VALUE"""),"Dubai")</f>
        <v>Dubai</v>
      </c>
      <c r="B11771" s="2" t="str">
        <f ca="1">IFERROR(__xludf.DUMMYFUNCTION("""COMPUTED_VALUE"""),"La Rive")</f>
        <v>La Rive</v>
      </c>
      <c r="C11771" s="2" t="str">
        <f ca="1">IFERROR(__xludf.DUMMYFUNCTION("""COMPUTED_VALUE"""),"Neighbourhood")</f>
        <v>Neighbourhood</v>
      </c>
      <c r="D11771" s="2" t="str">
        <f ca="1">IFERROR(__xludf.DUMMYFUNCTION("""COMPUTED_VALUE"""),"Dubai&gt;Jumeirah&gt;La Mer&gt;Port de La Mer&gt;La Rive")</f>
        <v>Dubai&gt;Jumeirah&gt;La Mer&gt;Port de La Mer&gt;La Rive</v>
      </c>
      <c r="E11771" s="2"/>
      <c r="F11771" s="2"/>
      <c r="G11771" s="2"/>
      <c r="H11771" s="2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2"/>
      <c r="T11771" s="2"/>
      <c r="U11771" s="2"/>
      <c r="V11771" s="2"/>
      <c r="W11771" s="2"/>
      <c r="X11771" s="2"/>
      <c r="Y11771" s="2"/>
      <c r="Z11771" s="2"/>
    </row>
    <row r="11772" spans="1:26" ht="16.5" x14ac:dyDescent="0.35">
      <c r="A11772" s="2" t="str">
        <f ca="1">IFERROR(__xludf.DUMMYFUNCTION("""COMPUTED_VALUE"""),"Dubai")</f>
        <v>Dubai</v>
      </c>
      <c r="B11772" s="2" t="str">
        <f ca="1">IFERROR(__xludf.DUMMYFUNCTION("""COMPUTED_VALUE"""),"Solaya 1")</f>
        <v>Solaya 1</v>
      </c>
      <c r="C11772" s="2" t="str">
        <f ca="1">IFERROR(__xludf.DUMMYFUNCTION("""COMPUTED_VALUE"""),"Building")</f>
        <v>Building</v>
      </c>
      <c r="D11772" s="2" t="str">
        <f ca="1">IFERROR(__xludf.DUMMYFUNCTION("""COMPUTED_VALUE"""),"Dubai&gt;Jumeirah&gt;La Mer&gt;Solaya&gt;Solaya 1")</f>
        <v>Dubai&gt;Jumeirah&gt;La Mer&gt;Solaya&gt;Solaya 1</v>
      </c>
      <c r="E11772" s="2"/>
      <c r="F11772" s="2"/>
      <c r="G11772" s="2"/>
      <c r="H11772" s="2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2"/>
      <c r="T11772" s="2"/>
      <c r="U11772" s="2"/>
      <c r="V11772" s="2"/>
      <c r="W11772" s="2"/>
      <c r="X11772" s="2"/>
      <c r="Y11772" s="2"/>
      <c r="Z11772" s="2"/>
    </row>
    <row r="11773" spans="1:26" ht="16.5" x14ac:dyDescent="0.35">
      <c r="A11773" s="2" t="str">
        <f ca="1">IFERROR(__xludf.DUMMYFUNCTION("""COMPUTED_VALUE"""),"Dubai")</f>
        <v>Dubai</v>
      </c>
      <c r="B11773" s="2" t="str">
        <f ca="1">IFERROR(__xludf.DUMMYFUNCTION("""COMPUTED_VALUE"""),"Harbour Gate")</f>
        <v>Harbour Gate</v>
      </c>
      <c r="C11773" s="2" t="str">
        <f ca="1">IFERROR(__xludf.DUMMYFUNCTION("""COMPUTED_VALUE"""),"Cluster")</f>
        <v>Cluster</v>
      </c>
      <c r="D11773" s="2" t="str">
        <f ca="1">IFERROR(__xludf.DUMMYFUNCTION("""COMPUTED_VALUE"""),"Dubai&gt;Dubai Creek Harbour&gt;Harbour Gate")</f>
        <v>Dubai&gt;Dubai Creek Harbour&gt;Harbour Gate</v>
      </c>
      <c r="E11773" s="2"/>
      <c r="F11773" s="2"/>
      <c r="G11773" s="2"/>
      <c r="H11773" s="2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2"/>
      <c r="T11773" s="2"/>
      <c r="U11773" s="2"/>
      <c r="V11773" s="2"/>
      <c r="W11773" s="2"/>
      <c r="X11773" s="2"/>
      <c r="Y11773" s="2"/>
      <c r="Z11773" s="2"/>
    </row>
    <row r="11774" spans="1:26" ht="16.5" x14ac:dyDescent="0.35">
      <c r="A11774" s="2" t="str">
        <f ca="1">IFERROR(__xludf.DUMMYFUNCTION("""COMPUTED_VALUE"""),"Dubai")</f>
        <v>Dubai</v>
      </c>
      <c r="B11774" s="2" t="str">
        <f ca="1">IFERROR(__xludf.DUMMYFUNCTION("""COMPUTED_VALUE"""),"Surf 2")</f>
        <v>Surf 2</v>
      </c>
      <c r="C11774" s="2" t="str">
        <f ca="1">IFERROR(__xludf.DUMMYFUNCTION("""COMPUTED_VALUE"""),"Building")</f>
        <v>Building</v>
      </c>
      <c r="D11774" s="2" t="str">
        <f ca="1">IFERROR(__xludf.DUMMYFUNCTION("""COMPUTED_VALUE"""),"Dubai&gt;Dubai Creek Harbour&gt;Surf at Creek Beach&gt;Surf 2")</f>
        <v>Dubai&gt;Dubai Creek Harbour&gt;Surf at Creek Beach&gt;Surf 2</v>
      </c>
      <c r="E11774" s="2"/>
      <c r="F11774" s="2"/>
      <c r="G11774" s="2"/>
      <c r="H11774" s="2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2"/>
      <c r="T11774" s="2"/>
      <c r="U11774" s="2"/>
      <c r="V11774" s="2"/>
      <c r="W11774" s="2"/>
      <c r="X11774" s="2"/>
      <c r="Y11774" s="2"/>
      <c r="Z11774" s="2"/>
    </row>
    <row r="11775" spans="1:26" ht="16.5" x14ac:dyDescent="0.35">
      <c r="A11775" s="2" t="str">
        <f ca="1">IFERROR(__xludf.DUMMYFUNCTION("""COMPUTED_VALUE"""),"Dubai")</f>
        <v>Dubai</v>
      </c>
      <c r="B11775" s="2" t="str">
        <f ca="1">IFERROR(__xludf.DUMMYFUNCTION("""COMPUTED_VALUE"""),"The Cove II Building 4")</f>
        <v>The Cove II Building 4</v>
      </c>
      <c r="C11775" s="2" t="str">
        <f ca="1">IFERROR(__xludf.DUMMYFUNCTION("""COMPUTED_VALUE"""),"Building")</f>
        <v>Building</v>
      </c>
      <c r="D11775" s="2" t="str">
        <f ca="1">IFERROR(__xludf.DUMMYFUNCTION("""COMPUTED_VALUE"""),"Dubai&gt;Dubai Creek Harbour&gt;The Cove II&gt;The Cove II Building 4")</f>
        <v>Dubai&gt;Dubai Creek Harbour&gt;The Cove II&gt;The Cove II Building 4</v>
      </c>
      <c r="E11775" s="2"/>
      <c r="F11775" s="2"/>
      <c r="G11775" s="2"/>
      <c r="H11775" s="2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2"/>
      <c r="T11775" s="2"/>
      <c r="U11775" s="2"/>
      <c r="V11775" s="2"/>
      <c r="W11775" s="2"/>
      <c r="X11775" s="2"/>
      <c r="Y11775" s="2"/>
      <c r="Z11775" s="2"/>
    </row>
    <row r="11776" spans="1:26" ht="16.5" x14ac:dyDescent="0.35">
      <c r="A11776" s="2" t="str">
        <f ca="1">IFERROR(__xludf.DUMMYFUNCTION("""COMPUTED_VALUE"""),"Dubai")</f>
        <v>Dubai</v>
      </c>
      <c r="B11776" s="2" t="str">
        <f ca="1">IFERROR(__xludf.DUMMYFUNCTION("""COMPUTED_VALUE"""),"Canopy at Creek Beach Building 1")</f>
        <v>Canopy at Creek Beach Building 1</v>
      </c>
      <c r="C11776" s="2" t="str">
        <f ca="1">IFERROR(__xludf.DUMMYFUNCTION("""COMPUTED_VALUE"""),"Building")</f>
        <v>Building</v>
      </c>
      <c r="D11776" s="2" t="str">
        <f ca="1">IFERROR(__xludf.DUMMYFUNCTION("""COMPUTED_VALUE"""),"Dubai&gt;Dubai Creek Harbour&gt;Canopy at Creek Beach&gt;Canopy at Creek Beach Building 1")</f>
        <v>Dubai&gt;Dubai Creek Harbour&gt;Canopy at Creek Beach&gt;Canopy at Creek Beach Building 1</v>
      </c>
      <c r="E11776" s="2"/>
      <c r="F11776" s="2"/>
      <c r="G11776" s="2"/>
      <c r="H11776" s="2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2"/>
      <c r="T11776" s="2"/>
      <c r="U11776" s="2"/>
      <c r="V11776" s="2"/>
      <c r="W11776" s="2"/>
      <c r="X11776" s="2"/>
      <c r="Y11776" s="2"/>
      <c r="Z11776" s="2"/>
    </row>
    <row r="11777" spans="1:26" ht="16.5" x14ac:dyDescent="0.35">
      <c r="A11777" s="2" t="str">
        <f ca="1">IFERROR(__xludf.DUMMYFUNCTION("""COMPUTED_VALUE"""),"Dubai")</f>
        <v>Dubai</v>
      </c>
      <c r="B11777" s="2" t="str">
        <f ca="1">IFERROR(__xludf.DUMMYFUNCTION("""COMPUTED_VALUE"""),"Gardenia Nursery")</f>
        <v>Gardenia Nursery</v>
      </c>
      <c r="C11777" s="2" t="str">
        <f ca="1">IFERROR(__xludf.DUMMYFUNCTION("""COMPUTED_VALUE"""),"Nursery")</f>
        <v>Nursery</v>
      </c>
      <c r="D11777" s="2" t="str">
        <f ca="1">IFERROR(__xludf.DUMMYFUNCTION("""COMPUTED_VALUE"""),"Dubai&gt;Barsha Heights (Tecom)&gt;Gardenia Nursery")</f>
        <v>Dubai&gt;Barsha Heights (Tecom)&gt;Gardenia Nursery</v>
      </c>
      <c r="E11777" s="2"/>
      <c r="F11777" s="2"/>
      <c r="G11777" s="2"/>
      <c r="H11777" s="2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2"/>
      <c r="T11777" s="2"/>
      <c r="U11777" s="2"/>
      <c r="V11777" s="2"/>
      <c r="W11777" s="2"/>
      <c r="X11777" s="2"/>
      <c r="Y11777" s="2"/>
      <c r="Z11777" s="2"/>
    </row>
    <row r="11778" spans="1:26" ht="16.5" x14ac:dyDescent="0.35">
      <c r="A11778" s="2" t="str">
        <f ca="1">IFERROR(__xludf.DUMMYFUNCTION("""COMPUTED_VALUE"""),"Dubai")</f>
        <v>Dubai</v>
      </c>
      <c r="B11778" s="2" t="str">
        <f ca="1">IFERROR(__xludf.DUMMYFUNCTION("""COMPUTED_VALUE"""),"Green View Residences")</f>
        <v>Green View Residences</v>
      </c>
      <c r="C11778" s="2" t="str">
        <f ca="1">IFERROR(__xludf.DUMMYFUNCTION("""COMPUTED_VALUE"""),"Cluster")</f>
        <v>Cluster</v>
      </c>
      <c r="D11778" s="2" t="str">
        <f ca="1">IFERROR(__xludf.DUMMYFUNCTION("""COMPUTED_VALUE"""),"Dubai&gt;Barsha Heights (Tecom)&gt;Green View Residences")</f>
        <v>Dubai&gt;Barsha Heights (Tecom)&gt;Green View Residences</v>
      </c>
      <c r="E11778" s="2"/>
      <c r="F11778" s="2"/>
      <c r="G11778" s="2"/>
      <c r="H11778" s="2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2"/>
      <c r="T11778" s="2"/>
      <c r="U11778" s="2"/>
      <c r="V11778" s="2"/>
      <c r="W11778" s="2"/>
      <c r="X11778" s="2"/>
      <c r="Y11778" s="2"/>
      <c r="Z11778" s="2"/>
    </row>
    <row r="11779" spans="1:26" ht="16.5" x14ac:dyDescent="0.35">
      <c r="A11779" s="2" t="str">
        <f ca="1">IFERROR(__xludf.DUMMYFUNCTION("""COMPUTED_VALUE"""),"Dubai")</f>
        <v>Dubai</v>
      </c>
      <c r="B11779" s="2" t="str">
        <f ca="1">IFERROR(__xludf.DUMMYFUNCTION("""COMPUTED_VALUE"""),"National Bonds Plaza")</f>
        <v>National Bonds Plaza</v>
      </c>
      <c r="C11779" s="2" t="str">
        <f ca="1">IFERROR(__xludf.DUMMYFUNCTION("""COMPUTED_VALUE"""),"Building")</f>
        <v>Building</v>
      </c>
      <c r="D11779" s="2" t="str">
        <f ca="1">IFERROR(__xludf.DUMMYFUNCTION("""COMPUTED_VALUE"""),"Dubai&gt;Barsha Heights (Tecom)&gt;National Bonds Plaza")</f>
        <v>Dubai&gt;Barsha Heights (Tecom)&gt;National Bonds Plaza</v>
      </c>
      <c r="E11779" s="2"/>
      <c r="F11779" s="2"/>
      <c r="G11779" s="2"/>
      <c r="H11779" s="2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2"/>
      <c r="T11779" s="2"/>
      <c r="U11779" s="2"/>
      <c r="V11779" s="2"/>
      <c r="W11779" s="2"/>
      <c r="X11779" s="2"/>
      <c r="Y11779" s="2"/>
      <c r="Z11779" s="2"/>
    </row>
    <row r="11780" spans="1:26" ht="16.5" x14ac:dyDescent="0.35">
      <c r="A11780" s="2" t="str">
        <f ca="1">IFERROR(__xludf.DUMMYFUNCTION("""COMPUTED_VALUE"""),"Dubai")</f>
        <v>Dubai</v>
      </c>
      <c r="B11780" s="2" t="str">
        <f ca="1">IFERROR(__xludf.DUMMYFUNCTION("""COMPUTED_VALUE"""),"East Coast Building")</f>
        <v>East Coast Building</v>
      </c>
      <c r="C11780" s="2" t="str">
        <f ca="1">IFERROR(__xludf.DUMMYFUNCTION("""COMPUTED_VALUE"""),"Building")</f>
        <v>Building</v>
      </c>
      <c r="D11780" s="2" t="str">
        <f ca="1">IFERROR(__xludf.DUMMYFUNCTION("""COMPUTED_VALUE"""),"Dubai&gt;Barsha Heights (Tecom)&gt;East Coast Building")</f>
        <v>Dubai&gt;Barsha Heights (Tecom)&gt;East Coast Building</v>
      </c>
      <c r="E11780" s="2"/>
      <c r="F11780" s="2"/>
      <c r="G11780" s="2"/>
      <c r="H11780" s="2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2"/>
      <c r="T11780" s="2"/>
      <c r="U11780" s="2"/>
      <c r="V11780" s="2"/>
      <c r="W11780" s="2"/>
      <c r="X11780" s="2"/>
      <c r="Y11780" s="2"/>
      <c r="Z11780" s="2"/>
    </row>
    <row r="11781" spans="1:26" ht="16.5" x14ac:dyDescent="0.35">
      <c r="A11781" s="2" t="str">
        <f ca="1">IFERROR(__xludf.DUMMYFUNCTION("""COMPUTED_VALUE"""),"Dubai")</f>
        <v>Dubai</v>
      </c>
      <c r="B11781" s="2" t="str">
        <f ca="1">IFERROR(__xludf.DUMMYFUNCTION("""COMPUTED_VALUE"""),"Eden Apartments Block B")</f>
        <v>Eden Apartments Block B</v>
      </c>
      <c r="C11781" s="2" t="str">
        <f ca="1">IFERROR(__xludf.DUMMYFUNCTION("""COMPUTED_VALUE"""),"Building")</f>
        <v>Building</v>
      </c>
      <c r="D11781" s="2" t="str">
        <f ca="1">IFERROR(__xludf.DUMMYFUNCTION("""COMPUTED_VALUE"""),"Dubai&gt;Motor City&gt;Eden Apartments&gt;Eden Apartments Block B")</f>
        <v>Dubai&gt;Motor City&gt;Eden Apartments&gt;Eden Apartments Block B</v>
      </c>
      <c r="E11781" s="2"/>
      <c r="F11781" s="2"/>
      <c r="G11781" s="2"/>
      <c r="H11781" s="2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2"/>
      <c r="T11781" s="2"/>
      <c r="U11781" s="2"/>
      <c r="V11781" s="2"/>
      <c r="W11781" s="2"/>
      <c r="X11781" s="2"/>
      <c r="Y11781" s="2"/>
      <c r="Z11781" s="2"/>
    </row>
    <row r="11782" spans="1:26" ht="16.5" x14ac:dyDescent="0.35">
      <c r="A11782" s="2" t="str">
        <f ca="1">IFERROR(__xludf.DUMMYFUNCTION("""COMPUTED_VALUE"""),"Dubai")</f>
        <v>Dubai</v>
      </c>
      <c r="B11782" s="2" t="str">
        <f ca="1">IFERROR(__xludf.DUMMYFUNCTION("""COMPUTED_VALUE"""),"Regent House 2")</f>
        <v>Regent House 2</v>
      </c>
      <c r="C11782" s="2" t="str">
        <f ca="1">IFERROR(__xludf.DUMMYFUNCTION("""COMPUTED_VALUE"""),"Building")</f>
        <v>Building</v>
      </c>
      <c r="D11782" s="2" t="str">
        <f ca="1">IFERROR(__xludf.DUMMYFUNCTION("""COMPUTED_VALUE"""),"Dubai&gt;Motor City&gt;Uptown Motor City&gt;Regent House&gt;Regent House 2")</f>
        <v>Dubai&gt;Motor City&gt;Uptown Motor City&gt;Regent House&gt;Regent House 2</v>
      </c>
      <c r="E11782" s="2"/>
      <c r="F11782" s="2"/>
      <c r="G11782" s="2"/>
      <c r="H11782" s="2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2"/>
      <c r="T11782" s="2"/>
      <c r="U11782" s="2"/>
      <c r="V11782" s="2"/>
      <c r="W11782" s="2"/>
      <c r="X11782" s="2"/>
      <c r="Y11782" s="2"/>
      <c r="Z11782" s="2"/>
    </row>
    <row r="11783" spans="1:26" ht="16.5" x14ac:dyDescent="0.35">
      <c r="A11783" s="2" t="str">
        <f ca="1">IFERROR(__xludf.DUMMYFUNCTION("""COMPUTED_VALUE"""),"Dubai")</f>
        <v>Dubai</v>
      </c>
      <c r="B11783" s="2" t="str">
        <f ca="1">IFERROR(__xludf.DUMMYFUNCTION("""COMPUTED_VALUE"""),"Fox Hill 9")</f>
        <v>Fox Hill 9</v>
      </c>
      <c r="C11783" s="2" t="str">
        <f ca="1">IFERROR(__xludf.DUMMYFUNCTION("""COMPUTED_VALUE"""),"Building")</f>
        <v>Building</v>
      </c>
      <c r="D11783" s="2" t="str">
        <f ca="1">IFERROR(__xludf.DUMMYFUNCTION("""COMPUTED_VALUE"""),"Dubai&gt;Motor City&gt;Uptown Motor City&gt;Fox Hill&gt;Fox Hill 9")</f>
        <v>Dubai&gt;Motor City&gt;Uptown Motor City&gt;Fox Hill&gt;Fox Hill 9</v>
      </c>
      <c r="E11783" s="2"/>
      <c r="F11783" s="2"/>
      <c r="G11783" s="2"/>
      <c r="H11783" s="2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2"/>
      <c r="T11783" s="2"/>
      <c r="U11783" s="2"/>
      <c r="V11783" s="2"/>
      <c r="W11783" s="2"/>
      <c r="X11783" s="2"/>
      <c r="Y11783" s="2"/>
      <c r="Z11783" s="2"/>
    </row>
    <row r="11784" spans="1:26" ht="16.5" x14ac:dyDescent="0.35">
      <c r="A11784" s="2" t="str">
        <f ca="1">IFERROR(__xludf.DUMMYFUNCTION("""COMPUTED_VALUE"""),"Dubai")</f>
        <v>Dubai</v>
      </c>
      <c r="B11784" s="2" t="str">
        <f ca="1">IFERROR(__xludf.DUMMYFUNCTION("""COMPUTED_VALUE"""),"Detroit House")</f>
        <v>Detroit House</v>
      </c>
      <c r="C11784" s="2" t="str">
        <f ca="1">IFERROR(__xludf.DUMMYFUNCTION("""COMPUTED_VALUE"""),"Building")</f>
        <v>Building</v>
      </c>
      <c r="D11784" s="2" t="str">
        <f ca="1">IFERROR(__xludf.DUMMYFUNCTION("""COMPUTED_VALUE"""),"Dubai&gt;Motor City&gt;Detroit House")</f>
        <v>Dubai&gt;Motor City&gt;Detroit House</v>
      </c>
      <c r="E11784" s="2"/>
      <c r="F11784" s="2"/>
      <c r="G11784" s="2"/>
      <c r="H11784" s="2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2"/>
      <c r="T11784" s="2"/>
      <c r="U11784" s="2"/>
      <c r="V11784" s="2"/>
      <c r="W11784" s="2"/>
      <c r="X11784" s="2"/>
      <c r="Y11784" s="2"/>
      <c r="Z11784" s="2"/>
    </row>
    <row r="11785" spans="1:26" ht="16.5" x14ac:dyDescent="0.35">
      <c r="A11785" s="2" t="str">
        <f ca="1">IFERROR(__xludf.DUMMYFUNCTION("""COMPUTED_VALUE"""),"Dubai")</f>
        <v>Dubai</v>
      </c>
      <c r="B11785" s="2" t="str">
        <f ca="1">IFERROR(__xludf.DUMMYFUNCTION("""COMPUTED_VALUE"""),"Mirdad")</f>
        <v>Mirdad</v>
      </c>
      <c r="C11785" s="2" t="str">
        <f ca="1">IFERROR(__xludf.DUMMYFUNCTION("""COMPUTED_VALUE"""),"Cluster")</f>
        <v>Cluster</v>
      </c>
      <c r="D11785" s="2" t="str">
        <f ca="1">IFERROR(__xludf.DUMMYFUNCTION("""COMPUTED_VALUE"""),"Dubai&gt;Motor City&gt;Mirdad")</f>
        <v>Dubai&gt;Motor City&gt;Mirdad</v>
      </c>
      <c r="E11785" s="2"/>
      <c r="F11785" s="2"/>
      <c r="G11785" s="2"/>
      <c r="H11785" s="2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2"/>
      <c r="T11785" s="2"/>
      <c r="U11785" s="2"/>
      <c r="V11785" s="2"/>
      <c r="W11785" s="2"/>
      <c r="X11785" s="2"/>
      <c r="Y11785" s="2"/>
      <c r="Z11785" s="2"/>
    </row>
    <row r="11786" spans="1:26" ht="16.5" x14ac:dyDescent="0.35">
      <c r="A11786" s="2" t="str">
        <f ca="1">IFERROR(__xludf.DUMMYFUNCTION("""COMPUTED_VALUE"""),"Dubai")</f>
        <v>Dubai</v>
      </c>
      <c r="B11786" s="2" t="str">
        <f ca="1">IFERROR(__xludf.DUMMYFUNCTION("""COMPUTED_VALUE"""),"Galleria Al Sufouh Villas")</f>
        <v>Galleria Al Sufouh Villas</v>
      </c>
      <c r="C11786" s="2" t="str">
        <f ca="1">IFERROR(__xludf.DUMMYFUNCTION("""COMPUTED_VALUE"""),"Neighbourhood")</f>
        <v>Neighbourhood</v>
      </c>
      <c r="D11786" s="2" t="str">
        <f ca="1">IFERROR(__xludf.DUMMYFUNCTION("""COMPUTED_VALUE"""),"Dubai&gt;Al Sufouh&gt;Al Sufouh 1&gt;Galleria Al Sufouh Villas")</f>
        <v>Dubai&gt;Al Sufouh&gt;Al Sufouh 1&gt;Galleria Al Sufouh Villas</v>
      </c>
      <c r="E11786" s="2"/>
      <c r="F11786" s="2"/>
      <c r="G11786" s="2"/>
      <c r="H11786" s="2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2"/>
      <c r="T11786" s="2"/>
      <c r="U11786" s="2"/>
      <c r="V11786" s="2"/>
      <c r="W11786" s="2"/>
      <c r="X11786" s="2"/>
      <c r="Y11786" s="2"/>
      <c r="Z11786" s="2"/>
    </row>
    <row r="11787" spans="1:26" ht="16.5" x14ac:dyDescent="0.35">
      <c r="A11787" s="2" t="str">
        <f ca="1">IFERROR(__xludf.DUMMYFUNCTION("""COMPUTED_VALUE"""),"Dubai")</f>
        <v>Dubai</v>
      </c>
      <c r="B11787" s="2" t="str">
        <f ca="1">IFERROR(__xludf.DUMMYFUNCTION("""COMPUTED_VALUE"""),"Boutique Office 6")</f>
        <v>Boutique Office 6</v>
      </c>
      <c r="C11787" s="2" t="str">
        <f ca="1">IFERROR(__xludf.DUMMYFUNCTION("""COMPUTED_VALUE"""),"Building")</f>
        <v>Building</v>
      </c>
      <c r="D11787" s="2" t="str">
        <f ca="1">IFERROR(__xludf.DUMMYFUNCTION("""COMPUTED_VALUE"""),"Dubai&gt;Al Sufouh&gt;Al Sufouh 2&gt;Boutique Offices&gt;Boutique Office 6")</f>
        <v>Dubai&gt;Al Sufouh&gt;Al Sufouh 2&gt;Boutique Offices&gt;Boutique Office 6</v>
      </c>
      <c r="E11787" s="2"/>
      <c r="F11787" s="2"/>
      <c r="G11787" s="2"/>
      <c r="H11787" s="2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2"/>
      <c r="T11787" s="2"/>
      <c r="U11787" s="2"/>
      <c r="V11787" s="2"/>
      <c r="W11787" s="2"/>
      <c r="X11787" s="2"/>
      <c r="Y11787" s="2"/>
      <c r="Z11787" s="2"/>
    </row>
    <row r="11788" spans="1:26" ht="16.5" x14ac:dyDescent="0.35">
      <c r="A11788" s="2" t="str">
        <f ca="1">IFERROR(__xludf.DUMMYFUNCTION("""COMPUTED_VALUE"""),"Dubai")</f>
        <v>Dubai</v>
      </c>
      <c r="B11788" s="2" t="str">
        <f ca="1">IFERROR(__xludf.DUMMYFUNCTION("""COMPUTED_VALUE"""),"Al Badia Condo 2")</f>
        <v>Al Badia Condo 2</v>
      </c>
      <c r="C11788" s="2" t="str">
        <f ca="1">IFERROR(__xludf.DUMMYFUNCTION("""COMPUTED_VALUE"""),"Building")</f>
        <v>Building</v>
      </c>
      <c r="D11788" s="2" t="str">
        <f ca="1">IFERROR(__xludf.DUMMYFUNCTION("""COMPUTED_VALUE"""),"Dubai&gt;Dubai Festival City&gt;Al Badia Hillside Village&gt;Al Badia Condo 2")</f>
        <v>Dubai&gt;Dubai Festival City&gt;Al Badia Hillside Village&gt;Al Badia Condo 2</v>
      </c>
      <c r="E11788" s="2"/>
      <c r="F11788" s="2"/>
      <c r="G11788" s="2"/>
      <c r="H11788" s="2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2"/>
      <c r="T11788" s="2"/>
      <c r="U11788" s="2"/>
      <c r="V11788" s="2"/>
      <c r="W11788" s="2"/>
      <c r="X11788" s="2"/>
      <c r="Y11788" s="2"/>
      <c r="Z11788" s="2"/>
    </row>
    <row r="11789" spans="1:26" ht="16.5" x14ac:dyDescent="0.35">
      <c r="A11789" s="2" t="str">
        <f ca="1">IFERROR(__xludf.DUMMYFUNCTION("""COMPUTED_VALUE"""),"Dubai")</f>
        <v>Dubai</v>
      </c>
      <c r="B11789" s="2" t="str">
        <f ca="1">IFERROR(__xludf.DUMMYFUNCTION("""COMPUTED_VALUE"""),"Golf Panorama B")</f>
        <v>Golf Panorama B</v>
      </c>
      <c r="C11789" s="2" t="str">
        <f ca="1">IFERROR(__xludf.DUMMYFUNCTION("""COMPUTED_VALUE"""),"Building")</f>
        <v>Building</v>
      </c>
      <c r="D11789" s="2" t="str">
        <f ca="1">IFERROR(__xludf.DUMMYFUNCTION("""COMPUTED_VALUE"""),"Dubai&gt;DAMAC Hills&gt;Golf Town&gt;Golf Panorama&gt;Golf Panorama B")</f>
        <v>Dubai&gt;DAMAC Hills&gt;Golf Town&gt;Golf Panorama&gt;Golf Panorama B</v>
      </c>
      <c r="E11789" s="2"/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2"/>
      <c r="T11789" s="2"/>
      <c r="U11789" s="2"/>
      <c r="V11789" s="2"/>
      <c r="W11789" s="2"/>
      <c r="X11789" s="2"/>
      <c r="Y11789" s="2"/>
      <c r="Z11789" s="2"/>
    </row>
    <row r="11790" spans="1:26" ht="16.5" x14ac:dyDescent="0.35">
      <c r="A11790" s="2" t="str">
        <f ca="1">IFERROR(__xludf.DUMMYFUNCTION("""COMPUTED_VALUE"""),"Dubai")</f>
        <v>Dubai</v>
      </c>
      <c r="B11790" s="2" t="str">
        <f ca="1">IFERROR(__xludf.DUMMYFUNCTION("""COMPUTED_VALUE"""),"Rockwood")</f>
        <v>Rockwood</v>
      </c>
      <c r="C11790" s="2" t="str">
        <f ca="1">IFERROR(__xludf.DUMMYFUNCTION("""COMPUTED_VALUE"""),"Neighbourhood")</f>
        <v>Neighbourhood</v>
      </c>
      <c r="D11790" s="2" t="str">
        <f ca="1">IFERROR(__xludf.DUMMYFUNCTION("""COMPUTED_VALUE"""),"Dubai&gt;DAMAC Hills&gt;The Park Villas&gt;Rockwood")</f>
        <v>Dubai&gt;DAMAC Hills&gt;The Park Villas&gt;Rockwood</v>
      </c>
      <c r="E11790" s="2"/>
      <c r="F11790" s="2"/>
      <c r="G11790" s="2"/>
      <c r="H11790" s="2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2"/>
      <c r="T11790" s="2"/>
      <c r="U11790" s="2"/>
      <c r="V11790" s="2"/>
      <c r="W11790" s="2"/>
      <c r="X11790" s="2"/>
      <c r="Y11790" s="2"/>
      <c r="Z11790" s="2"/>
    </row>
    <row r="11791" spans="1:26" ht="16.5" x14ac:dyDescent="0.35">
      <c r="A11791" s="2" t="str">
        <f ca="1">IFERROR(__xludf.DUMMYFUNCTION("""COMPUTED_VALUE"""),"Dubai")</f>
        <v>Dubai</v>
      </c>
      <c r="B11791" s="2" t="str">
        <f ca="1">IFERROR(__xludf.DUMMYFUNCTION("""COMPUTED_VALUE"""),"Loreto B")</f>
        <v>Loreto B</v>
      </c>
      <c r="C11791" s="2" t="str">
        <f ca="1">IFERROR(__xludf.DUMMYFUNCTION("""COMPUTED_VALUE"""),"Cluster")</f>
        <v>Cluster</v>
      </c>
      <c r="D11791" s="2" t="str">
        <f ca="1">IFERROR(__xludf.DUMMYFUNCTION("""COMPUTED_VALUE"""),"Dubai&gt;DAMAC Hills&gt;Loreto&gt;Loreto B")</f>
        <v>Dubai&gt;DAMAC Hills&gt;Loreto&gt;Loreto B</v>
      </c>
      <c r="E11791" s="2"/>
      <c r="F11791" s="2"/>
      <c r="G11791" s="2"/>
      <c r="H11791" s="2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2"/>
      <c r="T11791" s="2"/>
      <c r="U11791" s="2"/>
      <c r="V11791" s="2"/>
      <c r="W11791" s="2"/>
      <c r="X11791" s="2"/>
      <c r="Y11791" s="2"/>
      <c r="Z11791" s="2"/>
    </row>
    <row r="11792" spans="1:26" ht="16.5" x14ac:dyDescent="0.35">
      <c r="A11792" s="2" t="str">
        <f ca="1">IFERROR(__xludf.DUMMYFUNCTION("""COMPUTED_VALUE"""),"Dubai")</f>
        <v>Dubai</v>
      </c>
      <c r="B11792" s="2" t="str">
        <f ca="1">IFERROR(__xludf.DUMMYFUNCTION("""COMPUTED_VALUE"""),"Al Mina")</f>
        <v>Al Mina</v>
      </c>
      <c r="C11792" s="2" t="str">
        <f ca="1">IFERROR(__xludf.DUMMYFUNCTION("""COMPUTED_VALUE"""),"Neighbourhood")</f>
        <v>Neighbourhood</v>
      </c>
      <c r="D11792" s="2" t="str">
        <f ca="1">IFERROR(__xludf.DUMMYFUNCTION("""COMPUTED_VALUE"""),"Dubai&gt;Al Mina")</f>
        <v>Dubai&gt;Al Mina</v>
      </c>
      <c r="E11792" s="2"/>
      <c r="F11792" s="2"/>
      <c r="G11792" s="2"/>
      <c r="H11792" s="2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2"/>
      <c r="T11792" s="2"/>
      <c r="U11792" s="2"/>
      <c r="V11792" s="2"/>
      <c r="W11792" s="2"/>
      <c r="X11792" s="2"/>
      <c r="Y11792" s="2"/>
      <c r="Z11792" s="2"/>
    </row>
    <row r="11793" spans="1:26" ht="16.5" x14ac:dyDescent="0.35">
      <c r="A11793" s="2" t="str">
        <f ca="1">IFERROR(__xludf.DUMMYFUNCTION("""COMPUTED_VALUE"""),"Dubai")</f>
        <v>Dubai</v>
      </c>
      <c r="B11793" s="2" t="str">
        <f ca="1">IFERROR(__xludf.DUMMYFUNCTION("""COMPUTED_VALUE"""),"Hilton Garden Inn Hotel")</f>
        <v>Hilton Garden Inn Hotel</v>
      </c>
      <c r="C11793" s="2" t="str">
        <f ca="1">IFERROR(__xludf.DUMMYFUNCTION("""COMPUTED_VALUE"""),"Building")</f>
        <v>Building</v>
      </c>
      <c r="D11793" s="2" t="str">
        <f ca="1">IFERROR(__xludf.DUMMYFUNCTION("""COMPUTED_VALUE"""),"Dubai&gt;Al Mina&gt;Hilton Garden Inn Hotel")</f>
        <v>Dubai&gt;Al Mina&gt;Hilton Garden Inn Hotel</v>
      </c>
      <c r="E11793" s="2"/>
      <c r="F11793" s="2"/>
      <c r="G11793" s="2"/>
      <c r="H11793" s="2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2"/>
      <c r="T11793" s="2"/>
      <c r="U11793" s="2"/>
      <c r="V11793" s="2"/>
      <c r="W11793" s="2"/>
      <c r="X11793" s="2"/>
      <c r="Y11793" s="2"/>
      <c r="Z11793" s="2"/>
    </row>
    <row r="11794" spans="1:26" ht="16.5" x14ac:dyDescent="0.35">
      <c r="A11794" s="2" t="str">
        <f ca="1">IFERROR(__xludf.DUMMYFUNCTION("""COMPUTED_VALUE"""),"Dubai")</f>
        <v>Dubai</v>
      </c>
      <c r="B11794" s="2" t="str">
        <f ca="1">IFERROR(__xludf.DUMMYFUNCTION("""COMPUTED_VALUE"""),"Franck Muller Yachting by London Gate Real Estate Development")</f>
        <v>Franck Muller Yachting by London Gate Real Estate Development</v>
      </c>
      <c r="C11794" s="2" t="str">
        <f ca="1">IFERROR(__xludf.DUMMYFUNCTION("""COMPUTED_VALUE"""),"Building")</f>
        <v>Building</v>
      </c>
      <c r="D11794" s="2" t="str">
        <f ca="1">IFERROR(__xludf.DUMMYFUNCTION("""COMPUTED_VALUE"""),"Dubai&gt;Dubai Maritime City&gt;Franck Muller Yachting by London Gate Real Estate Development")</f>
        <v>Dubai&gt;Dubai Maritime City&gt;Franck Muller Yachting by London Gate Real Estate Development</v>
      </c>
      <c r="E11794" s="2"/>
      <c r="F11794" s="2"/>
      <c r="G11794" s="2"/>
      <c r="H11794" s="2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2"/>
      <c r="T11794" s="2"/>
      <c r="U11794" s="2"/>
      <c r="V11794" s="2"/>
      <c r="W11794" s="2"/>
      <c r="X11794" s="2"/>
      <c r="Y11794" s="2"/>
      <c r="Z11794" s="2"/>
    </row>
    <row r="11795" spans="1:26" ht="16.5" x14ac:dyDescent="0.35">
      <c r="A11795" s="2" t="str">
        <f ca="1">IFERROR(__xludf.DUMMYFUNCTION("""COMPUTED_VALUE"""),"Dubai")</f>
        <v>Dubai</v>
      </c>
      <c r="B11795" s="2" t="str">
        <f ca="1">IFERROR(__xludf.DUMMYFUNCTION("""COMPUTED_VALUE"""),"Golf Tower 2")</f>
        <v>Golf Tower 2</v>
      </c>
      <c r="C11795" s="2" t="str">
        <f ca="1">IFERROR(__xludf.DUMMYFUNCTION("""COMPUTED_VALUE"""),"Building")</f>
        <v>Building</v>
      </c>
      <c r="D11795" s="2" t="str">
        <f ca="1">IFERROR(__xludf.DUMMYFUNCTION("""COMPUTED_VALUE"""),"Dubai&gt;The Views&gt;Golf Tower&gt;Golf Tower 2")</f>
        <v>Dubai&gt;The Views&gt;Golf Tower&gt;Golf Tower 2</v>
      </c>
      <c r="E11795" s="2"/>
      <c r="F11795" s="2"/>
      <c r="G11795" s="2"/>
      <c r="H11795" s="2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2"/>
      <c r="T11795" s="2"/>
      <c r="U11795" s="2"/>
      <c r="V11795" s="2"/>
      <c r="W11795" s="2"/>
      <c r="X11795" s="2"/>
      <c r="Y11795" s="2"/>
      <c r="Z11795" s="2"/>
    </row>
    <row r="11796" spans="1:26" ht="16.5" x14ac:dyDescent="0.35">
      <c r="A11796" s="2" t="str">
        <f ca="1">IFERROR(__xludf.DUMMYFUNCTION("""COMPUTED_VALUE"""),"Dubai")</f>
        <v>Dubai</v>
      </c>
      <c r="B11796" s="2" t="str">
        <f ca="1">IFERROR(__xludf.DUMMYFUNCTION("""COMPUTED_VALUE"""),"Towheed Iranian Boys School")</f>
        <v>Towheed Iranian Boys School</v>
      </c>
      <c r="C11796" s="2" t="str">
        <f ca="1">IFERROR(__xludf.DUMMYFUNCTION("""COMPUTED_VALUE"""),"School")</f>
        <v>School</v>
      </c>
      <c r="D11796" s="2" t="str">
        <f ca="1">IFERROR(__xludf.DUMMYFUNCTION("""COMPUTED_VALUE"""),"Dubai&gt;Al Quoz&gt;Al Quoz 1&gt;Towheed Iranian Boys School")</f>
        <v>Dubai&gt;Al Quoz&gt;Al Quoz 1&gt;Towheed Iranian Boys School</v>
      </c>
      <c r="E11796" s="2"/>
      <c r="F11796" s="2"/>
      <c r="G11796" s="2"/>
      <c r="H11796" s="2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2"/>
      <c r="T11796" s="2"/>
      <c r="U11796" s="2"/>
      <c r="V11796" s="2"/>
      <c r="W11796" s="2"/>
      <c r="X11796" s="2"/>
      <c r="Y11796" s="2"/>
      <c r="Z11796" s="2"/>
    </row>
    <row r="11797" spans="1:26" ht="16.5" x14ac:dyDescent="0.35">
      <c r="A11797" s="2" t="str">
        <f ca="1">IFERROR(__xludf.DUMMYFUNCTION("""COMPUTED_VALUE"""),"Dubai")</f>
        <v>Dubai</v>
      </c>
      <c r="B11797" s="2" t="str">
        <f ca="1">IFERROR(__xludf.DUMMYFUNCTION("""COMPUTED_VALUE"""),"SOBH Al Quoz Warehouse")</f>
        <v>SOBH Al Quoz Warehouse</v>
      </c>
      <c r="C11797" s="2" t="str">
        <f ca="1">IFERROR(__xludf.DUMMYFUNCTION("""COMPUTED_VALUE"""),"Building")</f>
        <v>Building</v>
      </c>
      <c r="D11797" s="2" t="str">
        <f ca="1">IFERROR(__xludf.DUMMYFUNCTION("""COMPUTED_VALUE"""),"Dubai&gt;Al Quoz&gt;Al Quoz Industrial Area&gt;Al Quoz Industrial Area 1&gt;SOBH Al Quoz Warehouse")</f>
        <v>Dubai&gt;Al Quoz&gt;Al Quoz Industrial Area&gt;Al Quoz Industrial Area 1&gt;SOBH Al Quoz Warehouse</v>
      </c>
      <c r="E11797" s="2"/>
      <c r="F11797" s="2"/>
      <c r="G11797" s="2"/>
      <c r="H11797" s="2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2"/>
      <c r="T11797" s="2"/>
      <c r="U11797" s="2"/>
      <c r="V11797" s="2"/>
      <c r="W11797" s="2"/>
      <c r="X11797" s="2"/>
      <c r="Y11797" s="2"/>
      <c r="Z11797" s="2"/>
    </row>
    <row r="11798" spans="1:26" ht="16.5" x14ac:dyDescent="0.35">
      <c r="A11798" s="2" t="str">
        <f ca="1">IFERROR(__xludf.DUMMYFUNCTION("""COMPUTED_VALUE"""),"Dubai")</f>
        <v>Dubai</v>
      </c>
      <c r="B11798" s="2" t="str">
        <f ca="1">IFERROR(__xludf.DUMMYFUNCTION("""COMPUTED_VALUE"""),"Al Khail Heights Building 5A")</f>
        <v>Al Khail Heights Building 5A</v>
      </c>
      <c r="C11798" s="2" t="str">
        <f ca="1">IFERROR(__xludf.DUMMYFUNCTION("""COMPUTED_VALUE"""),"Building")</f>
        <v>Building</v>
      </c>
      <c r="D11798" s="2" t="str">
        <f ca="1">IFERROR(__xludf.DUMMYFUNCTION("""COMPUTED_VALUE"""),"Dubai&gt;Al Quoz&gt;Al Quoz 4&gt;Al Khail Heights&gt;Al Khail Heights Building 5A")</f>
        <v>Dubai&gt;Al Quoz&gt;Al Quoz 4&gt;Al Khail Heights&gt;Al Khail Heights Building 5A</v>
      </c>
      <c r="E11798" s="2"/>
      <c r="F11798" s="2"/>
      <c r="G11798" s="2"/>
      <c r="H11798" s="2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2"/>
      <c r="T11798" s="2"/>
      <c r="U11798" s="2"/>
      <c r="V11798" s="2"/>
      <c r="W11798" s="2"/>
      <c r="X11798" s="2"/>
      <c r="Y11798" s="2"/>
      <c r="Z11798" s="2"/>
    </row>
    <row r="11799" spans="1:26" ht="16.5" x14ac:dyDescent="0.35">
      <c r="A11799" s="2" t="str">
        <f ca="1">IFERROR(__xludf.DUMMYFUNCTION("""COMPUTED_VALUE"""),"Dubai")</f>
        <v>Dubai</v>
      </c>
      <c r="B11799" s="2" t="str">
        <f ca="1">IFERROR(__xludf.DUMMYFUNCTION("""COMPUTED_VALUE"""),"Binghatti Apartments")</f>
        <v>Binghatti Apartments</v>
      </c>
      <c r="C11799" s="2" t="str">
        <f ca="1">IFERROR(__xludf.DUMMYFUNCTION("""COMPUTED_VALUE"""),"Building")</f>
        <v>Building</v>
      </c>
      <c r="D11799" s="2" t="str">
        <f ca="1">IFERROR(__xludf.DUMMYFUNCTION("""COMPUTED_VALUE"""),"Dubai&gt;Dubai Silicon Oasis (DSO)&gt;Binghatti Apartments")</f>
        <v>Dubai&gt;Dubai Silicon Oasis (DSO)&gt;Binghatti Apartments</v>
      </c>
      <c r="E11799" s="2"/>
      <c r="F11799" s="2"/>
      <c r="G11799" s="2"/>
      <c r="H11799" s="2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2"/>
      <c r="T11799" s="2"/>
      <c r="U11799" s="2"/>
      <c r="V11799" s="2"/>
      <c r="W11799" s="2"/>
      <c r="X11799" s="2"/>
      <c r="Y11799" s="2"/>
      <c r="Z11799" s="2"/>
    </row>
    <row r="11800" spans="1:26" ht="16.5" x14ac:dyDescent="0.35">
      <c r="A11800" s="2" t="str">
        <f ca="1">IFERROR(__xludf.DUMMYFUNCTION("""COMPUTED_VALUE"""),"Dubai")</f>
        <v>Dubai</v>
      </c>
      <c r="B11800" s="2" t="str">
        <f ca="1">IFERROR(__xludf.DUMMYFUNCTION("""COMPUTED_VALUE"""),"Silicon Residences")</f>
        <v>Silicon Residences</v>
      </c>
      <c r="C11800" s="2" t="str">
        <f ca="1">IFERROR(__xludf.DUMMYFUNCTION("""COMPUTED_VALUE"""),"Cluster")</f>
        <v>Cluster</v>
      </c>
      <c r="D11800" s="2" t="str">
        <f ca="1">IFERROR(__xludf.DUMMYFUNCTION("""COMPUTED_VALUE"""),"Dubai&gt;Dubai Silicon Oasis (DSO)&gt;Silicon Residences")</f>
        <v>Dubai&gt;Dubai Silicon Oasis (DSO)&gt;Silicon Residences</v>
      </c>
      <c r="E11800" s="2"/>
      <c r="F11800" s="2"/>
      <c r="G11800" s="2"/>
      <c r="H11800" s="2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2"/>
      <c r="T11800" s="2"/>
      <c r="U11800" s="2"/>
      <c r="V11800" s="2"/>
      <c r="W11800" s="2"/>
      <c r="X11800" s="2"/>
      <c r="Y11800" s="2"/>
      <c r="Z11800" s="2"/>
    </row>
    <row r="11801" spans="1:26" ht="16.5" x14ac:dyDescent="0.35">
      <c r="A11801" s="2" t="str">
        <f ca="1">IFERROR(__xludf.DUMMYFUNCTION("""COMPUTED_VALUE"""),"Dubai")</f>
        <v>Dubai</v>
      </c>
      <c r="B11801" s="2" t="str">
        <f ca="1">IFERROR(__xludf.DUMMYFUNCTION("""COMPUTED_VALUE"""),"Park Avenue")</f>
        <v>Park Avenue</v>
      </c>
      <c r="C11801" s="2" t="str">
        <f ca="1">IFERROR(__xludf.DUMMYFUNCTION("""COMPUTED_VALUE"""),"Building")</f>
        <v>Building</v>
      </c>
      <c r="D11801" s="2" t="str">
        <f ca="1">IFERROR(__xludf.DUMMYFUNCTION("""COMPUTED_VALUE"""),"Dubai&gt;Dubai Silicon Oasis (DSO)&gt;Park Avenue")</f>
        <v>Dubai&gt;Dubai Silicon Oasis (DSO)&gt;Park Avenue</v>
      </c>
      <c r="E11801" s="2"/>
      <c r="F11801" s="2"/>
      <c r="G11801" s="2"/>
      <c r="H11801" s="2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2"/>
      <c r="T11801" s="2"/>
      <c r="U11801" s="2"/>
      <c r="V11801" s="2"/>
      <c r="W11801" s="2"/>
      <c r="X11801" s="2"/>
      <c r="Y11801" s="2"/>
      <c r="Z11801" s="2"/>
    </row>
    <row r="11802" spans="1:26" ht="16.5" x14ac:dyDescent="0.35">
      <c r="A11802" s="2" t="str">
        <f ca="1">IFERROR(__xludf.DUMMYFUNCTION("""COMPUTED_VALUE"""),"Dubai")</f>
        <v>Dubai</v>
      </c>
      <c r="B11802" s="2" t="str">
        <f ca="1">IFERROR(__xludf.DUMMYFUNCTION("""COMPUTED_VALUE"""),"Cambridge Business Centre")</f>
        <v>Cambridge Business Centre</v>
      </c>
      <c r="C11802" s="2" t="str">
        <f ca="1">IFERROR(__xludf.DUMMYFUNCTION("""COMPUTED_VALUE"""),"Building")</f>
        <v>Building</v>
      </c>
      <c r="D11802" s="2" t="str">
        <f ca="1">IFERROR(__xludf.DUMMYFUNCTION("""COMPUTED_VALUE"""),"Dubai&gt;Dubai Silicon Oasis (DSO)&gt;Cambridge Business Centre")</f>
        <v>Dubai&gt;Dubai Silicon Oasis (DSO)&gt;Cambridge Business Centre</v>
      </c>
      <c r="E11802" s="2"/>
      <c r="F11802" s="2"/>
      <c r="G11802" s="2"/>
      <c r="H11802" s="2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2"/>
      <c r="T11802" s="2"/>
      <c r="U11802" s="2"/>
      <c r="V11802" s="2"/>
      <c r="W11802" s="2"/>
      <c r="X11802" s="2"/>
      <c r="Y11802" s="2"/>
      <c r="Z11802" s="2"/>
    </row>
    <row r="11803" spans="1:26" ht="16.5" x14ac:dyDescent="0.35">
      <c r="A11803" s="2" t="str">
        <f ca="1">IFERROR(__xludf.DUMMYFUNCTION("""COMPUTED_VALUE"""),"Dubai")</f>
        <v>Dubai</v>
      </c>
      <c r="B11803" s="2" t="str">
        <f ca="1">IFERROR(__xludf.DUMMYFUNCTION("""COMPUTED_VALUE"""),"S.O.1 Building")</f>
        <v>S.O.1 Building</v>
      </c>
      <c r="C11803" s="2" t="str">
        <f ca="1">IFERROR(__xludf.DUMMYFUNCTION("""COMPUTED_VALUE"""),"Building")</f>
        <v>Building</v>
      </c>
      <c r="D11803" s="2" t="str">
        <f ca="1">IFERROR(__xludf.DUMMYFUNCTION("""COMPUTED_VALUE"""),"Dubai&gt;Dubai Silicon Oasis (DSO)&gt;S.O.1 Building")</f>
        <v>Dubai&gt;Dubai Silicon Oasis (DSO)&gt;S.O.1 Building</v>
      </c>
      <c r="E11803" s="2"/>
      <c r="F11803" s="2"/>
      <c r="G11803" s="2"/>
      <c r="H11803" s="2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2"/>
      <c r="T11803" s="2"/>
      <c r="U11803" s="2"/>
      <c r="V11803" s="2"/>
      <c r="W11803" s="2"/>
      <c r="X11803" s="2"/>
      <c r="Y11803" s="2"/>
      <c r="Z11803" s="2"/>
    </row>
    <row r="11804" spans="1:26" ht="16.5" x14ac:dyDescent="0.35">
      <c r="A11804" s="2" t="str">
        <f ca="1">IFERROR(__xludf.DUMMYFUNCTION("""COMPUTED_VALUE"""),"Dubai")</f>
        <v>Dubai</v>
      </c>
      <c r="B11804" s="2" t="str">
        <f ca="1">IFERROR(__xludf.DUMMYFUNCTION("""COMPUTED_VALUE"""),"Waleed Al Alami Building")</f>
        <v>Waleed Al Alami Building</v>
      </c>
      <c r="C11804" s="2" t="str">
        <f ca="1">IFERROR(__xludf.DUMMYFUNCTION("""COMPUTED_VALUE"""),"Building")</f>
        <v>Building</v>
      </c>
      <c r="D11804" s="2" t="str">
        <f ca="1">IFERROR(__xludf.DUMMYFUNCTION("""COMPUTED_VALUE"""),"Dubai&gt;Dubai Silicon Oasis (DSO)&gt;Waleed Al Alami Building")</f>
        <v>Dubai&gt;Dubai Silicon Oasis (DSO)&gt;Waleed Al Alami Building</v>
      </c>
      <c r="E11804" s="2"/>
      <c r="F11804" s="2"/>
      <c r="G11804" s="2"/>
      <c r="H11804" s="2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2"/>
      <c r="T11804" s="2"/>
      <c r="U11804" s="2"/>
      <c r="V11804" s="2"/>
      <c r="W11804" s="2"/>
      <c r="X11804" s="2"/>
      <c r="Y11804" s="2"/>
      <c r="Z11804" s="2"/>
    </row>
    <row r="11805" spans="1:26" ht="16.5" x14ac:dyDescent="0.35">
      <c r="A11805" s="2" t="str">
        <f ca="1">IFERROR(__xludf.DUMMYFUNCTION("""COMPUTED_VALUE"""),"Dubai")</f>
        <v>Dubai</v>
      </c>
      <c r="B11805" s="2" t="str">
        <f ca="1">IFERROR(__xludf.DUMMYFUNCTION("""COMPUTED_VALUE"""),"The Hillgate Tower B")</f>
        <v>The Hillgate Tower B</v>
      </c>
      <c r="C11805" s="2" t="str">
        <f ca="1">IFERROR(__xludf.DUMMYFUNCTION("""COMPUTED_VALUE"""),"Building")</f>
        <v>Building</v>
      </c>
      <c r="D11805" s="2" t="str">
        <f ca="1">IFERROR(__xludf.DUMMYFUNCTION("""COMPUTED_VALUE"""),"Dubai&gt;Dubai Silicon Oasis (DSO)&gt;The Hillgate&gt;The Hillgate Tower B")</f>
        <v>Dubai&gt;Dubai Silicon Oasis (DSO)&gt;The Hillgate&gt;The Hillgate Tower B</v>
      </c>
      <c r="E11805" s="2"/>
      <c r="F11805" s="2"/>
      <c r="G11805" s="2"/>
      <c r="H11805" s="2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2"/>
      <c r="T11805" s="2"/>
      <c r="U11805" s="2"/>
      <c r="V11805" s="2"/>
      <c r="W11805" s="2"/>
      <c r="X11805" s="2"/>
      <c r="Y11805" s="2"/>
      <c r="Z11805" s="2"/>
    </row>
    <row r="11806" spans="1:26" ht="16.5" x14ac:dyDescent="0.35">
      <c r="A11806" s="2" t="str">
        <f ca="1">IFERROR(__xludf.DUMMYFUNCTION("""COMPUTED_VALUE"""),"Dubai")</f>
        <v>Dubai</v>
      </c>
      <c r="B11806" s="2" t="str">
        <f ca="1">IFERROR(__xludf.DUMMYFUNCTION("""COMPUTED_VALUE"""),"Chorisia II")</f>
        <v>Chorisia II</v>
      </c>
      <c r="C11806" s="2" t="str">
        <f ca="1">IFERROR(__xludf.DUMMYFUNCTION("""COMPUTED_VALUE"""),"Neighbourhood")</f>
        <v>Neighbourhood</v>
      </c>
      <c r="D11806" s="2" t="str">
        <f ca="1">IFERROR(__xludf.DUMMYFUNCTION("""COMPUTED_VALUE"""),"Dubai&gt;Al Barari&gt;Chorisia II")</f>
        <v>Dubai&gt;Al Barari&gt;Chorisia II</v>
      </c>
      <c r="E11806" s="2"/>
      <c r="F11806" s="2"/>
      <c r="G11806" s="2"/>
      <c r="H11806" s="2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2"/>
      <c r="T11806" s="2"/>
      <c r="U11806" s="2"/>
      <c r="V11806" s="2"/>
      <c r="W11806" s="2"/>
      <c r="X11806" s="2"/>
      <c r="Y11806" s="2"/>
      <c r="Z11806" s="2"/>
    </row>
    <row r="11807" spans="1:26" ht="16.5" x14ac:dyDescent="0.35">
      <c r="A11807" s="2" t="str">
        <f ca="1">IFERROR(__xludf.DUMMYFUNCTION("""COMPUTED_VALUE"""),"Dubai")</f>
        <v>Dubai</v>
      </c>
      <c r="B11807" s="2" t="str">
        <f ca="1">IFERROR(__xludf.DUMMYFUNCTION("""COMPUTED_VALUE"""),"MAG Park")</f>
        <v>MAG Park</v>
      </c>
      <c r="C11807" s="2" t="str">
        <f ca="1">IFERROR(__xludf.DUMMYFUNCTION("""COMPUTED_VALUE"""),"Neighbourhood")</f>
        <v>Neighbourhood</v>
      </c>
      <c r="D11807" s="2" t="str">
        <f ca="1">IFERROR(__xludf.DUMMYFUNCTION("""COMPUTED_VALUE"""),"Dubai&gt;Mohammed Bin Rashid City&gt;District 7&gt;MAG City&gt;MAG Park")</f>
        <v>Dubai&gt;Mohammed Bin Rashid City&gt;District 7&gt;MAG City&gt;MAG Park</v>
      </c>
      <c r="E11807" s="2"/>
      <c r="F11807" s="2"/>
      <c r="G11807" s="2"/>
      <c r="H11807" s="2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2"/>
      <c r="T11807" s="2"/>
      <c r="U11807" s="2"/>
      <c r="V11807" s="2"/>
      <c r="W11807" s="2"/>
      <c r="X11807" s="2"/>
      <c r="Y11807" s="2"/>
      <c r="Z11807" s="2"/>
    </row>
    <row r="11808" spans="1:26" ht="16.5" x14ac:dyDescent="0.35">
      <c r="A11808" s="2" t="str">
        <f ca="1">IFERROR(__xludf.DUMMYFUNCTION("""COMPUTED_VALUE"""),"Dubai")</f>
        <v>Dubai</v>
      </c>
      <c r="B11808" s="2" t="str">
        <f ca="1">IFERROR(__xludf.DUMMYFUNCTION("""COMPUTED_VALUE"""),"Mira Villas by Bentley Home")</f>
        <v>Mira Villas by Bentley Home</v>
      </c>
      <c r="C11808" s="2" t="str">
        <f ca="1">IFERROR(__xludf.DUMMYFUNCTION("""COMPUTED_VALUE"""),"Neighbourhood")</f>
        <v>Neighbourhood</v>
      </c>
      <c r="D11808" s="2" t="str">
        <f ca="1">IFERROR(__xludf.DUMMYFUNCTION("""COMPUTED_VALUE"""),"Dubai&gt;Mohammed Bin Rashid City&gt;District 11&gt;Mira Villas by Bentley Home")</f>
        <v>Dubai&gt;Mohammed Bin Rashid City&gt;District 11&gt;Mira Villas by Bentley Home</v>
      </c>
      <c r="E11808" s="2"/>
      <c r="F11808" s="2"/>
      <c r="G11808" s="2"/>
      <c r="H11808" s="2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2"/>
      <c r="T11808" s="2"/>
      <c r="U11808" s="2"/>
      <c r="V11808" s="2"/>
      <c r="W11808" s="2"/>
      <c r="X11808" s="2"/>
      <c r="Y11808" s="2"/>
      <c r="Z11808" s="2"/>
    </row>
    <row r="11809" spans="1:26" ht="16.5" x14ac:dyDescent="0.35">
      <c r="A11809" s="2" t="str">
        <f ca="1">IFERROR(__xludf.DUMMYFUNCTION("""COMPUTED_VALUE"""),"Dubai")</f>
        <v>Dubai</v>
      </c>
      <c r="B11809" s="2" t="str">
        <f ca="1">IFERROR(__xludf.DUMMYFUNCTION("""COMPUTED_VALUE"""),"Residences 14")</f>
        <v>Residences 14</v>
      </c>
      <c r="C11809" s="2" t="str">
        <f ca="1">IFERROR(__xludf.DUMMYFUNCTION("""COMPUTED_VALUE"""),"Building")</f>
        <v>Building</v>
      </c>
      <c r="D11809" s="2" t="str">
        <f ca="1">IFERROR(__xludf.DUMMYFUNCTION("""COMPUTED_VALUE"""),"Dubai&gt;Mohammed Bin Rashid City&gt;District One&gt;The Residences at District One&gt;Residences 14")</f>
        <v>Dubai&gt;Mohammed Bin Rashid City&gt;District One&gt;The Residences at District One&gt;Residences 14</v>
      </c>
      <c r="E11809" s="2"/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2"/>
      <c r="T11809" s="2"/>
      <c r="U11809" s="2"/>
      <c r="V11809" s="2"/>
      <c r="W11809" s="2"/>
      <c r="X11809" s="2"/>
      <c r="Y11809" s="2"/>
      <c r="Z11809" s="2"/>
    </row>
    <row r="11810" spans="1:26" ht="16.5" x14ac:dyDescent="0.35">
      <c r="A11810" s="2" t="str">
        <f ca="1">IFERROR(__xludf.DUMMYFUNCTION("""COMPUTED_VALUE"""),"Dubai")</f>
        <v>Dubai</v>
      </c>
      <c r="B11810" s="2" t="str">
        <f ca="1">IFERROR(__xludf.DUMMYFUNCTION("""COMPUTED_VALUE"""),"District One B Villas")</f>
        <v>District One B Villas</v>
      </c>
      <c r="C11810" s="2" t="str">
        <f ca="1">IFERROR(__xludf.DUMMYFUNCTION("""COMPUTED_VALUE"""),"Neighbourhood")</f>
        <v>Neighbourhood</v>
      </c>
      <c r="D11810" s="2" t="str">
        <f ca="1">IFERROR(__xludf.DUMMYFUNCTION("""COMPUTED_VALUE"""),"Dubai&gt;Mohammed Bin Rashid City&gt;District One&gt;District One B Villas")</f>
        <v>Dubai&gt;Mohammed Bin Rashid City&gt;District One&gt;District One B Villas</v>
      </c>
      <c r="E11810" s="2"/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2"/>
      <c r="T11810" s="2"/>
      <c r="U11810" s="2"/>
      <c r="V11810" s="2"/>
      <c r="W11810" s="2"/>
      <c r="X11810" s="2"/>
      <c r="Y11810" s="2"/>
      <c r="Z11810" s="2"/>
    </row>
    <row r="11811" spans="1:26" ht="16.5" x14ac:dyDescent="0.35">
      <c r="A11811" s="2" t="str">
        <f ca="1">IFERROR(__xludf.DUMMYFUNCTION("""COMPUTED_VALUE"""),"Dubai")</f>
        <v>Dubai</v>
      </c>
      <c r="B11811" s="2" t="str">
        <f ca="1">IFERROR(__xludf.DUMMYFUNCTION("""COMPUTED_VALUE"""),"The Pulse Beachfront")</f>
        <v>The Pulse Beachfront</v>
      </c>
      <c r="C11811" s="2" t="str">
        <f ca="1">IFERROR(__xludf.DUMMYFUNCTION("""COMPUTED_VALUE"""),"Neighbourhood")</f>
        <v>Neighbourhood</v>
      </c>
      <c r="D11811" s="2" t="str">
        <f ca="1">IFERROR(__xludf.DUMMYFUNCTION("""COMPUTED_VALUE"""),"Dubai&gt;Dubai South&gt;Residential District&gt;The Pulse&gt;The Pulse Beachfront")</f>
        <v>Dubai&gt;Dubai South&gt;Residential District&gt;The Pulse&gt;The Pulse Beachfront</v>
      </c>
      <c r="E11811" s="2"/>
      <c r="F11811" s="2"/>
      <c r="G11811" s="2"/>
      <c r="H11811" s="2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2"/>
      <c r="T11811" s="2"/>
      <c r="U11811" s="2"/>
      <c r="V11811" s="2"/>
      <c r="W11811" s="2"/>
      <c r="X11811" s="2"/>
      <c r="Y11811" s="2"/>
      <c r="Z11811" s="2"/>
    </row>
    <row r="11812" spans="1:26" ht="16.5" x14ac:dyDescent="0.35">
      <c r="A11812" s="2" t="str">
        <f ca="1">IFERROR(__xludf.DUMMYFUNCTION("""COMPUTED_VALUE"""),"Dubai")</f>
        <v>Dubai</v>
      </c>
      <c r="B11812" s="2" t="str">
        <f ca="1">IFERROR(__xludf.DUMMYFUNCTION("""COMPUTED_VALUE"""),"South Bay 2")</f>
        <v>South Bay 2</v>
      </c>
      <c r="C11812" s="2" t="str">
        <f ca="1">IFERROR(__xludf.DUMMYFUNCTION("""COMPUTED_VALUE"""),"Neighbourhood")</f>
        <v>Neighbourhood</v>
      </c>
      <c r="D11812" s="2" t="str">
        <f ca="1">IFERROR(__xludf.DUMMYFUNCTION("""COMPUTED_VALUE"""),"Dubai&gt;Dubai South&gt;Residential District&gt;South Bay&gt;South Bay 2")</f>
        <v>Dubai&gt;Dubai South&gt;Residential District&gt;South Bay&gt;South Bay 2</v>
      </c>
      <c r="E11812" s="2"/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2"/>
      <c r="T11812" s="2"/>
      <c r="U11812" s="2"/>
      <c r="V11812" s="2"/>
      <c r="W11812" s="2"/>
      <c r="X11812" s="2"/>
      <c r="Y11812" s="2"/>
      <c r="Z11812" s="2"/>
    </row>
    <row r="11813" spans="1:26" ht="16.5" x14ac:dyDescent="0.35">
      <c r="A11813" s="2" t="str">
        <f ca="1">IFERROR(__xludf.DUMMYFUNCTION("""COMPUTED_VALUE"""),"Dubai")</f>
        <v>Dubai</v>
      </c>
      <c r="B11813" s="2" t="str">
        <f ca="1">IFERROR(__xludf.DUMMYFUNCTION("""COMPUTED_VALUE"""),"Beachfront Gates")</f>
        <v>Beachfront Gates</v>
      </c>
      <c r="C11813" s="2" t="str">
        <f ca="1">IFERROR(__xludf.DUMMYFUNCTION("""COMPUTED_VALUE"""),"Cluster")</f>
        <v>Cluster</v>
      </c>
      <c r="D11813" s="2" t="str">
        <f ca="1">IFERROR(__xludf.DUMMYFUNCTION("""COMPUTED_VALUE"""),"Dubai&gt;Dubai South&gt;Residential District&gt;Beachfront Gates")</f>
        <v>Dubai&gt;Dubai South&gt;Residential District&gt;Beachfront Gates</v>
      </c>
      <c r="E11813" s="2"/>
      <c r="F11813" s="2"/>
      <c r="G11813" s="2"/>
      <c r="H11813" s="2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2"/>
      <c r="T11813" s="2"/>
      <c r="U11813" s="2"/>
      <c r="V11813" s="2"/>
      <c r="W11813" s="2"/>
      <c r="X11813" s="2"/>
      <c r="Y11813" s="2"/>
      <c r="Z11813" s="2"/>
    </row>
    <row r="11814" spans="1:26" ht="16.5" x14ac:dyDescent="0.35">
      <c r="A11814" s="2" t="str">
        <f ca="1">IFERROR(__xludf.DUMMYFUNCTION("""COMPUTED_VALUE"""),"Dubai")</f>
        <v>Dubai</v>
      </c>
      <c r="B11814" s="2" t="str">
        <f ca="1">IFERROR(__xludf.DUMMYFUNCTION("""COMPUTED_VALUE"""),"Coventry 49")</f>
        <v>Coventry 49</v>
      </c>
      <c r="C11814" s="2" t="str">
        <f ca="1">IFERROR(__xludf.DUMMYFUNCTION("""COMPUTED_VALUE"""),"Building")</f>
        <v>Building</v>
      </c>
      <c r="D11814" s="2" t="str">
        <f ca="1">IFERROR(__xludf.DUMMYFUNCTION("""COMPUTED_VALUE"""),"Dubai&gt;Dubai South&gt;Residential District&gt;Coventry 49")</f>
        <v>Dubai&gt;Dubai South&gt;Residential District&gt;Coventry 49</v>
      </c>
      <c r="E11814" s="2"/>
      <c r="F11814" s="2"/>
      <c r="G11814" s="2"/>
      <c r="H11814" s="2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2"/>
      <c r="T11814" s="2"/>
      <c r="U11814" s="2"/>
      <c r="V11814" s="2"/>
      <c r="W11814" s="2"/>
      <c r="X11814" s="2"/>
      <c r="Y11814" s="2"/>
      <c r="Z11814" s="2"/>
    </row>
    <row r="11815" spans="1:26" ht="16.5" x14ac:dyDescent="0.35">
      <c r="A11815" s="2" t="str">
        <f ca="1">IFERROR(__xludf.DUMMYFUNCTION("""COMPUTED_VALUE"""),"Dubai")</f>
        <v>Dubai</v>
      </c>
      <c r="B11815" s="2" t="str">
        <f ca="1">IFERROR(__xludf.DUMMYFUNCTION("""COMPUTED_VALUE"""),"Downtown Views II Tower 1")</f>
        <v>Downtown Views II Tower 1</v>
      </c>
      <c r="C11815" s="2" t="str">
        <f ca="1">IFERROR(__xludf.DUMMYFUNCTION("""COMPUTED_VALUE"""),"Building")</f>
        <v>Building</v>
      </c>
      <c r="D11815" s="2" t="str">
        <f ca="1">IFERROR(__xludf.DUMMYFUNCTION("""COMPUTED_VALUE"""),"Dubai&gt;Za'abeel&gt;Za'abeel 2&gt;Downtown Views II&gt;Downtown Views II Tower 1")</f>
        <v>Dubai&gt;Za'abeel&gt;Za'abeel 2&gt;Downtown Views II&gt;Downtown Views II Tower 1</v>
      </c>
      <c r="E11815" s="2"/>
      <c r="F11815" s="2"/>
      <c r="G11815" s="2"/>
      <c r="H11815" s="2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2"/>
      <c r="T11815" s="2"/>
      <c r="U11815" s="2"/>
      <c r="V11815" s="2"/>
      <c r="W11815" s="2"/>
      <c r="X11815" s="2"/>
      <c r="Y11815" s="2"/>
      <c r="Z11815" s="2"/>
    </row>
    <row r="11816" spans="1:26" ht="16.5" x14ac:dyDescent="0.35">
      <c r="A11816" s="2" t="str">
        <f ca="1">IFERROR(__xludf.DUMMYFUNCTION("""COMPUTED_VALUE"""),"Dubai")</f>
        <v>Dubai</v>
      </c>
      <c r="B11816" s="2" t="str">
        <f ca="1">IFERROR(__xludf.DUMMYFUNCTION("""COMPUTED_VALUE"""),"Samari Residences 14")</f>
        <v>Samari Residences 14</v>
      </c>
      <c r="C11816" s="2" t="str">
        <f ca="1">IFERROR(__xludf.DUMMYFUNCTION("""COMPUTED_VALUE"""),"Building")</f>
        <v>Building</v>
      </c>
      <c r="D11816" s="2" t="str">
        <f ca="1">IFERROR(__xludf.DUMMYFUNCTION("""COMPUTED_VALUE"""),"Dubai&gt;Ras Al Khor&gt;Ras Al Khor Industrial&gt;Ras Al Khor Industrial 3&gt;Samari Residences&gt;Samari Residences 14")</f>
        <v>Dubai&gt;Ras Al Khor&gt;Ras Al Khor Industrial&gt;Ras Al Khor Industrial 3&gt;Samari Residences&gt;Samari Residences 14</v>
      </c>
      <c r="E11816" s="2"/>
      <c r="F11816" s="2"/>
      <c r="G11816" s="2"/>
      <c r="H11816" s="2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2"/>
      <c r="T11816" s="2"/>
      <c r="U11816" s="2"/>
      <c r="V11816" s="2"/>
      <c r="W11816" s="2"/>
      <c r="X11816" s="2"/>
      <c r="Y11816" s="2"/>
      <c r="Z11816" s="2"/>
    </row>
    <row r="11817" spans="1:26" ht="16.5" x14ac:dyDescent="0.35">
      <c r="A11817" s="2" t="str">
        <f ca="1">IFERROR(__xludf.DUMMYFUNCTION("""COMPUTED_VALUE"""),"Dubai")</f>
        <v>Dubai</v>
      </c>
      <c r="B11817" s="2" t="str">
        <f ca="1">IFERROR(__xludf.DUMMYFUNCTION("""COMPUTED_VALUE"""),"The Galleries 2")</f>
        <v>The Galleries 2</v>
      </c>
      <c r="C11817" s="2" t="str">
        <f ca="1">IFERROR(__xludf.DUMMYFUNCTION("""COMPUTED_VALUE"""),"Building")</f>
        <v>Building</v>
      </c>
      <c r="D11817" s="2" t="str">
        <f ca="1">IFERROR(__xludf.DUMMYFUNCTION("""COMPUTED_VALUE"""),"Dubai&gt;Jebel Ali&gt;Downtown Jebel Ali&gt;The Galleries&gt;The Galleries 2")</f>
        <v>Dubai&gt;Jebel Ali&gt;Downtown Jebel Ali&gt;The Galleries&gt;The Galleries 2</v>
      </c>
      <c r="E11817" s="2"/>
      <c r="F11817" s="2"/>
      <c r="G11817" s="2"/>
      <c r="H11817" s="2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2"/>
      <c r="T11817" s="2"/>
      <c r="U11817" s="2"/>
      <c r="V11817" s="2"/>
      <c r="W11817" s="2"/>
      <c r="X11817" s="2"/>
      <c r="Y11817" s="2"/>
      <c r="Z11817" s="2"/>
    </row>
    <row r="11818" spans="1:26" ht="16.5" x14ac:dyDescent="0.35">
      <c r="A11818" s="2" t="str">
        <f ca="1">IFERROR(__xludf.DUMMYFUNCTION("""COMPUTED_VALUE"""),"Dubai")</f>
        <v>Dubai</v>
      </c>
      <c r="B11818" s="2" t="str">
        <f ca="1">IFERROR(__xludf.DUMMYFUNCTION("""COMPUTED_VALUE"""),"Jebel Ali Village")</f>
        <v>Jebel Ali Village</v>
      </c>
      <c r="C11818" s="2" t="str">
        <f ca="1">IFERROR(__xludf.DUMMYFUNCTION("""COMPUTED_VALUE"""),"Neighbourhood")</f>
        <v>Neighbourhood</v>
      </c>
      <c r="D11818" s="2" t="str">
        <f ca="1">IFERROR(__xludf.DUMMYFUNCTION("""COMPUTED_VALUE"""),"Dubai&gt;Jebel Ali&gt;Jebel Ali Village")</f>
        <v>Dubai&gt;Jebel Ali&gt;Jebel Ali Village</v>
      </c>
      <c r="E11818" s="2"/>
      <c r="F11818" s="2"/>
      <c r="G11818" s="2"/>
      <c r="H11818" s="2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2"/>
      <c r="T11818" s="2"/>
      <c r="U11818" s="2"/>
      <c r="V11818" s="2"/>
      <c r="W11818" s="2"/>
      <c r="X11818" s="2"/>
      <c r="Y11818" s="2"/>
      <c r="Z11818" s="2"/>
    </row>
    <row r="11819" spans="1:26" ht="16.5" x14ac:dyDescent="0.35">
      <c r="A11819" s="2" t="str">
        <f ca="1">IFERROR(__xludf.DUMMYFUNCTION("""COMPUTED_VALUE"""),"Dubai")</f>
        <v>Dubai</v>
      </c>
      <c r="B11819" s="2" t="str">
        <f ca="1">IFERROR(__xludf.DUMMYFUNCTION("""COMPUTED_VALUE"""),"Al Mashora Building")</f>
        <v>Al Mashora Building</v>
      </c>
      <c r="C11819" s="2" t="str">
        <f ca="1">IFERROR(__xludf.DUMMYFUNCTION("""COMPUTED_VALUE"""),"Building")</f>
        <v>Building</v>
      </c>
      <c r="D11819" s="2" t="str">
        <f ca="1">IFERROR(__xludf.DUMMYFUNCTION("""COMPUTED_VALUE"""),"Dubai&gt;Nad Al Hamar&gt;Al Mashora Building")</f>
        <v>Dubai&gt;Nad Al Hamar&gt;Al Mashora Building</v>
      </c>
      <c r="E11819" s="2"/>
      <c r="F11819" s="2"/>
      <c r="G11819" s="2"/>
      <c r="H11819" s="2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2"/>
      <c r="T11819" s="2"/>
      <c r="U11819" s="2"/>
      <c r="V11819" s="2"/>
      <c r="W11819" s="2"/>
      <c r="X11819" s="2"/>
      <c r="Y11819" s="2"/>
      <c r="Z11819" s="2"/>
    </row>
    <row r="11820" spans="1:26" ht="16.5" x14ac:dyDescent="0.35">
      <c r="A11820" s="2" t="str">
        <f ca="1">IFERROR(__xludf.DUMMYFUNCTION("""COMPUTED_VALUE"""),"Dubai")</f>
        <v>Dubai</v>
      </c>
      <c r="B11820" s="2" t="str">
        <f ca="1">IFERROR(__xludf.DUMMYFUNCTION("""COMPUTED_VALUE"""),"Shaikha Meriam Sultan Aldhahri Building")</f>
        <v>Shaikha Meriam Sultan Aldhahri Building</v>
      </c>
      <c r="C11820" s="2" t="str">
        <f ca="1">IFERROR(__xludf.DUMMYFUNCTION("""COMPUTED_VALUE"""),"Building")</f>
        <v>Building</v>
      </c>
      <c r="D11820" s="2" t="str">
        <f ca="1">IFERROR(__xludf.DUMMYFUNCTION("""COMPUTED_VALUE"""),"Dubai&gt;Nad Al Hamar&gt;Nad Al Hamar Gardens&gt;Shaikha Meriam Sultan Aldhahri Building")</f>
        <v>Dubai&gt;Nad Al Hamar&gt;Nad Al Hamar Gardens&gt;Shaikha Meriam Sultan Aldhahri Building</v>
      </c>
      <c r="E11820" s="2"/>
      <c r="F11820" s="2"/>
      <c r="G11820" s="2"/>
      <c r="H11820" s="2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2"/>
      <c r="T11820" s="2"/>
      <c r="U11820" s="2"/>
      <c r="V11820" s="2"/>
      <c r="W11820" s="2"/>
      <c r="X11820" s="2"/>
      <c r="Y11820" s="2"/>
      <c r="Z11820" s="2"/>
    </row>
    <row r="11821" spans="1:26" ht="16.5" x14ac:dyDescent="0.35">
      <c r="A11821" s="2" t="str">
        <f ca="1">IFERROR(__xludf.DUMMYFUNCTION("""COMPUTED_VALUE"""),"Dubai")</f>
        <v>Dubai</v>
      </c>
      <c r="B11821" s="2" t="str">
        <f ca="1">IFERROR(__xludf.DUMMYFUNCTION("""COMPUTED_VALUE"""),"Bayti 40")</f>
        <v>Bayti 40</v>
      </c>
      <c r="C11821" s="2" t="str">
        <f ca="1">IFERROR(__xludf.DUMMYFUNCTION("""COMPUTED_VALUE"""),"Neighbourhood")</f>
        <v>Neighbourhood</v>
      </c>
      <c r="D11821" s="2" t="str">
        <f ca="1">IFERROR(__xludf.DUMMYFUNCTION("""COMPUTED_VALUE"""),"Dubai&gt;Al Barsha&gt;Al Barsha 1&gt;Bayti 40")</f>
        <v>Dubai&gt;Al Barsha&gt;Al Barsha 1&gt;Bayti 40</v>
      </c>
      <c r="E11821" s="2"/>
      <c r="F11821" s="2"/>
      <c r="G11821" s="2"/>
      <c r="H11821" s="2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2"/>
      <c r="T11821" s="2"/>
      <c r="U11821" s="2"/>
      <c r="V11821" s="2"/>
      <c r="W11821" s="2"/>
      <c r="X11821" s="2"/>
      <c r="Y11821" s="2"/>
      <c r="Z11821" s="2"/>
    </row>
    <row r="11822" spans="1:26" ht="16.5" x14ac:dyDescent="0.35">
      <c r="A11822" s="2" t="str">
        <f ca="1">IFERROR(__xludf.DUMMYFUNCTION("""COMPUTED_VALUE"""),"Dubai")</f>
        <v>Dubai</v>
      </c>
      <c r="B11822" s="2" t="str">
        <f ca="1">IFERROR(__xludf.DUMMYFUNCTION("""COMPUTED_VALUE"""),"Oak Villas")</f>
        <v>Oak Villas</v>
      </c>
      <c r="C11822" s="2" t="str">
        <f ca="1">IFERROR(__xludf.DUMMYFUNCTION("""COMPUTED_VALUE"""),"Neighbourhood")</f>
        <v>Neighbourhood</v>
      </c>
      <c r="D11822" s="2" t="str">
        <f ca="1">IFERROR(__xludf.DUMMYFUNCTION("""COMPUTED_VALUE"""),"Dubai&gt;Al Barsha&gt;Al Barsha 1&gt;Oak Villas")</f>
        <v>Dubai&gt;Al Barsha&gt;Al Barsha 1&gt;Oak Villas</v>
      </c>
      <c r="E11822" s="2"/>
      <c r="F11822" s="2"/>
      <c r="G11822" s="2"/>
      <c r="H11822" s="2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2"/>
      <c r="T11822" s="2"/>
      <c r="U11822" s="2"/>
      <c r="V11822" s="2"/>
      <c r="W11822" s="2"/>
      <c r="X11822" s="2"/>
      <c r="Y11822" s="2"/>
      <c r="Z11822" s="2"/>
    </row>
    <row r="11823" spans="1:26" ht="16.5" x14ac:dyDescent="0.35">
      <c r="A11823" s="2" t="str">
        <f ca="1">IFERROR(__xludf.DUMMYFUNCTION("""COMPUTED_VALUE"""),"Dubai")</f>
        <v>Dubai</v>
      </c>
      <c r="B11823" s="2" t="str">
        <f ca="1">IFERROR(__xludf.DUMMYFUNCTION("""COMPUTED_VALUE"""),"Lahej and Sultan Building")</f>
        <v>Lahej and Sultan Building</v>
      </c>
      <c r="C11823" s="2" t="str">
        <f ca="1">IFERROR(__xludf.DUMMYFUNCTION("""COMPUTED_VALUE"""),"Building")</f>
        <v>Building</v>
      </c>
      <c r="D11823" s="2" t="str">
        <f ca="1">IFERROR(__xludf.DUMMYFUNCTION("""COMPUTED_VALUE"""),"Dubai&gt;Al Barsha&gt;Al Barsha 1&gt;Lahej and Sultan Building")</f>
        <v>Dubai&gt;Al Barsha&gt;Al Barsha 1&gt;Lahej and Sultan Building</v>
      </c>
      <c r="E11823" s="2"/>
      <c r="F11823" s="2"/>
      <c r="G11823" s="2"/>
      <c r="H11823" s="2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2"/>
      <c r="T11823" s="2"/>
      <c r="U11823" s="2"/>
      <c r="V11823" s="2"/>
      <c r="W11823" s="2"/>
      <c r="X11823" s="2"/>
      <c r="Y11823" s="2"/>
      <c r="Z11823" s="2"/>
    </row>
    <row r="11824" spans="1:26" ht="16.5" x14ac:dyDescent="0.35">
      <c r="A11824" s="2" t="str">
        <f ca="1">IFERROR(__xludf.DUMMYFUNCTION("""COMPUTED_VALUE"""),"Dubai")</f>
        <v>Dubai</v>
      </c>
      <c r="B11824" s="2" t="str">
        <f ca="1">IFERROR(__xludf.DUMMYFUNCTION("""COMPUTED_VALUE"""),"Al Habbai Building")</f>
        <v>Al Habbai Building</v>
      </c>
      <c r="C11824" s="2" t="str">
        <f ca="1">IFERROR(__xludf.DUMMYFUNCTION("""COMPUTED_VALUE"""),"Building")</f>
        <v>Building</v>
      </c>
      <c r="D11824" s="2" t="str">
        <f ca="1">IFERROR(__xludf.DUMMYFUNCTION("""COMPUTED_VALUE"""),"Dubai&gt;Al Barsha&gt;Al Barsha 1&gt;Al Habbai Building")</f>
        <v>Dubai&gt;Al Barsha&gt;Al Barsha 1&gt;Al Habbai Building</v>
      </c>
      <c r="E11824" s="2"/>
      <c r="F11824" s="2"/>
      <c r="G11824" s="2"/>
      <c r="H11824" s="2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2"/>
      <c r="T11824" s="2"/>
      <c r="U11824" s="2"/>
      <c r="V11824" s="2"/>
      <c r="W11824" s="2"/>
      <c r="X11824" s="2"/>
      <c r="Y11824" s="2"/>
      <c r="Z11824" s="2"/>
    </row>
    <row r="11825" spans="1:26" ht="16.5" x14ac:dyDescent="0.35">
      <c r="A11825" s="2" t="str">
        <f ca="1">IFERROR(__xludf.DUMMYFUNCTION("""COMPUTED_VALUE"""),"Dubai")</f>
        <v>Dubai</v>
      </c>
      <c r="B11825" s="2" t="str">
        <f ca="1">IFERROR(__xludf.DUMMYFUNCTION("""COMPUTED_VALUE"""),"Ibis Emirates Hotel")</f>
        <v>Ibis Emirates Hotel</v>
      </c>
      <c r="C11825" s="2" t="str">
        <f ca="1">IFERROR(__xludf.DUMMYFUNCTION("""COMPUTED_VALUE"""),"Building")</f>
        <v>Building</v>
      </c>
      <c r="D11825" s="2" t="str">
        <f ca="1">IFERROR(__xludf.DUMMYFUNCTION("""COMPUTED_VALUE"""),"Dubai&gt;Al Barsha&gt;Al Barsha 1&gt;Ibis Emirates Hotel")</f>
        <v>Dubai&gt;Al Barsha&gt;Al Barsha 1&gt;Ibis Emirates Hotel</v>
      </c>
      <c r="E11825" s="2"/>
      <c r="F11825" s="2"/>
      <c r="G11825" s="2"/>
      <c r="H11825" s="2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2"/>
      <c r="T11825" s="2"/>
      <c r="U11825" s="2"/>
      <c r="V11825" s="2"/>
      <c r="W11825" s="2"/>
      <c r="X11825" s="2"/>
      <c r="Y11825" s="2"/>
      <c r="Z11825" s="2"/>
    </row>
    <row r="11826" spans="1:26" ht="16.5" x14ac:dyDescent="0.35">
      <c r="A11826" s="2" t="str">
        <f ca="1">IFERROR(__xludf.DUMMYFUNCTION("""COMPUTED_VALUE"""),"Dubai")</f>
        <v>Dubai</v>
      </c>
      <c r="B11826" s="2" t="str">
        <f ca="1">IFERROR(__xludf.DUMMYFUNCTION("""COMPUTED_VALUE"""),"Rabwah 1 Building")</f>
        <v>Rabwah 1 Building</v>
      </c>
      <c r="C11826" s="2" t="str">
        <f ca="1">IFERROR(__xludf.DUMMYFUNCTION("""COMPUTED_VALUE"""),"Building")</f>
        <v>Building</v>
      </c>
      <c r="D11826" s="2" t="str">
        <f ca="1">IFERROR(__xludf.DUMMYFUNCTION("""COMPUTED_VALUE"""),"Dubai&gt;Al Barsha&gt;Al Barsha 1&gt;Rabwah 1 Building")</f>
        <v>Dubai&gt;Al Barsha&gt;Al Barsha 1&gt;Rabwah 1 Building</v>
      </c>
      <c r="E11826" s="2"/>
      <c r="F11826" s="2"/>
      <c r="G11826" s="2"/>
      <c r="H11826" s="2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2"/>
      <c r="T11826" s="2"/>
      <c r="U11826" s="2"/>
      <c r="V11826" s="2"/>
      <c r="W11826" s="2"/>
      <c r="X11826" s="2"/>
      <c r="Y11826" s="2"/>
      <c r="Z11826" s="2"/>
    </row>
    <row r="11827" spans="1:26" ht="16.5" x14ac:dyDescent="0.35">
      <c r="A11827" s="2" t="str">
        <f ca="1">IFERROR(__xludf.DUMMYFUNCTION("""COMPUTED_VALUE"""),"Dubai")</f>
        <v>Dubai</v>
      </c>
      <c r="B11827" s="2" t="str">
        <f ca="1">IFERROR(__xludf.DUMMYFUNCTION("""COMPUTED_VALUE"""),"Al Hashimi Building")</f>
        <v>Al Hashimi Building</v>
      </c>
      <c r="C11827" s="2" t="str">
        <f ca="1">IFERROR(__xludf.DUMMYFUNCTION("""COMPUTED_VALUE"""),"Building")</f>
        <v>Building</v>
      </c>
      <c r="D11827" s="2" t="str">
        <f ca="1">IFERROR(__xludf.DUMMYFUNCTION("""COMPUTED_VALUE"""),"Dubai&gt;Al Barsha&gt;Al Barsha 1&gt;Al Hashimi Building")</f>
        <v>Dubai&gt;Al Barsha&gt;Al Barsha 1&gt;Al Hashimi Building</v>
      </c>
      <c r="E11827" s="2"/>
      <c r="F11827" s="2"/>
      <c r="G11827" s="2"/>
      <c r="H11827" s="2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2"/>
      <c r="T11827" s="2"/>
      <c r="U11827" s="2"/>
      <c r="V11827" s="2"/>
      <c r="W11827" s="2"/>
      <c r="X11827" s="2"/>
      <c r="Y11827" s="2"/>
      <c r="Z11827" s="2"/>
    </row>
    <row r="11828" spans="1:26" ht="16.5" x14ac:dyDescent="0.35">
      <c r="A11828" s="2" t="str">
        <f ca="1">IFERROR(__xludf.DUMMYFUNCTION("""COMPUTED_VALUE"""),"Dubai")</f>
        <v>Dubai</v>
      </c>
      <c r="B11828" s="2" t="str">
        <f ca="1">IFERROR(__xludf.DUMMYFUNCTION("""COMPUTED_VALUE"""),"Bukhash Building")</f>
        <v>Bukhash Building</v>
      </c>
      <c r="C11828" s="2" t="str">
        <f ca="1">IFERROR(__xludf.DUMMYFUNCTION("""COMPUTED_VALUE"""),"Building")</f>
        <v>Building</v>
      </c>
      <c r="D11828" s="2" t="str">
        <f ca="1">IFERROR(__xludf.DUMMYFUNCTION("""COMPUTED_VALUE"""),"Dubai&gt;Al Barsha&gt;Al Barsha 1&gt;Bukhash Building")</f>
        <v>Dubai&gt;Al Barsha&gt;Al Barsha 1&gt;Bukhash Building</v>
      </c>
      <c r="E11828" s="2"/>
      <c r="F11828" s="2"/>
      <c r="G11828" s="2"/>
      <c r="H11828" s="2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2"/>
      <c r="T11828" s="2"/>
      <c r="U11828" s="2"/>
      <c r="V11828" s="2"/>
      <c r="W11828" s="2"/>
      <c r="X11828" s="2"/>
      <c r="Y11828" s="2"/>
      <c r="Z11828" s="2"/>
    </row>
    <row r="11829" spans="1:26" ht="16.5" x14ac:dyDescent="0.35">
      <c r="A11829" s="2" t="str">
        <f ca="1">IFERROR(__xludf.DUMMYFUNCTION("""COMPUTED_VALUE"""),"Dubai")</f>
        <v>Dubai</v>
      </c>
      <c r="B11829" s="2" t="str">
        <f ca="1">IFERROR(__xludf.DUMMYFUNCTION("""COMPUTED_VALUE"""),"Barsha Building")</f>
        <v>Barsha Building</v>
      </c>
      <c r="C11829" s="2" t="str">
        <f ca="1">IFERROR(__xludf.DUMMYFUNCTION("""COMPUTED_VALUE"""),"Building")</f>
        <v>Building</v>
      </c>
      <c r="D11829" s="2" t="str">
        <f ca="1">IFERROR(__xludf.DUMMYFUNCTION("""COMPUTED_VALUE"""),"Dubai&gt;Al Barsha&gt;Al Barsha 1&gt;Barsha Building")</f>
        <v>Dubai&gt;Al Barsha&gt;Al Barsha 1&gt;Barsha Building</v>
      </c>
      <c r="E11829" s="2"/>
      <c r="F11829" s="2"/>
      <c r="G11829" s="2"/>
      <c r="H11829" s="2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2"/>
      <c r="T11829" s="2"/>
      <c r="U11829" s="2"/>
      <c r="V11829" s="2"/>
      <c r="W11829" s="2"/>
      <c r="X11829" s="2"/>
      <c r="Y11829" s="2"/>
      <c r="Z11829" s="2"/>
    </row>
    <row r="11830" spans="1:26" ht="16.5" x14ac:dyDescent="0.35">
      <c r="A11830" s="2" t="str">
        <f ca="1">IFERROR(__xludf.DUMMYFUNCTION("""COMPUTED_VALUE"""),"Dubai")</f>
        <v>Dubai</v>
      </c>
      <c r="B11830" s="2" t="str">
        <f ca="1">IFERROR(__xludf.DUMMYFUNCTION("""COMPUTED_VALUE"""),"Al Barsha South 1")</f>
        <v>Al Barsha South 1</v>
      </c>
      <c r="C11830" s="2" t="str">
        <f ca="1">IFERROR(__xludf.DUMMYFUNCTION("""COMPUTED_VALUE"""),"Neighbourhood")</f>
        <v>Neighbourhood</v>
      </c>
      <c r="D11830" s="2" t="str">
        <f ca="1">IFERROR(__xludf.DUMMYFUNCTION("""COMPUTED_VALUE"""),"Dubai&gt;Al Barsha&gt;Al Barsha South&gt;Al Barsha South 1")</f>
        <v>Dubai&gt;Al Barsha&gt;Al Barsha South&gt;Al Barsha South 1</v>
      </c>
      <c r="E11830" s="2"/>
      <c r="F11830" s="2"/>
      <c r="G11830" s="2"/>
      <c r="H11830" s="2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2"/>
      <c r="T11830" s="2"/>
      <c r="U11830" s="2"/>
      <c r="V11830" s="2"/>
      <c r="W11830" s="2"/>
      <c r="X11830" s="2"/>
      <c r="Y11830" s="2"/>
      <c r="Z11830" s="2"/>
    </row>
    <row r="11831" spans="1:26" ht="16.5" x14ac:dyDescent="0.35">
      <c r="A11831" s="2" t="str">
        <f ca="1">IFERROR(__xludf.DUMMYFUNCTION("""COMPUTED_VALUE"""),"Dubai")</f>
        <v>Dubai</v>
      </c>
      <c r="B11831" s="2" t="str">
        <f ca="1">IFERROR(__xludf.DUMMYFUNCTION("""COMPUTED_VALUE"""),"The Address Residences Dubai Opera Tower 1")</f>
        <v>The Address Residences Dubai Opera Tower 1</v>
      </c>
      <c r="C11831" s="2" t="str">
        <f ca="1">IFERROR(__xludf.DUMMYFUNCTION("""COMPUTED_VALUE"""),"Building")</f>
        <v>Building</v>
      </c>
      <c r="D11831" s="2" t="str">
        <f ca="1">IFERROR(__xludf.DUMMYFUNCTION("""COMPUTED_VALUE"""),"Dubai&gt;Downtown Dubai&gt;The Address Residences Dubai Opera&gt;The Address Residences Dubai Opera Tower 1")</f>
        <v>Dubai&gt;Downtown Dubai&gt;The Address Residences Dubai Opera&gt;The Address Residences Dubai Opera Tower 1</v>
      </c>
      <c r="E11831" s="2"/>
      <c r="F11831" s="2"/>
      <c r="G11831" s="2"/>
      <c r="H11831" s="2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2"/>
      <c r="T11831" s="2"/>
      <c r="U11831" s="2"/>
      <c r="V11831" s="2"/>
      <c r="W11831" s="2"/>
      <c r="X11831" s="2"/>
      <c r="Y11831" s="2"/>
      <c r="Z11831" s="2"/>
    </row>
    <row r="11832" spans="1:26" ht="16.5" x14ac:dyDescent="0.35">
      <c r="A11832" s="2" t="str">
        <f ca="1">IFERROR(__xludf.DUMMYFUNCTION("""COMPUTED_VALUE"""),"Dubai")</f>
        <v>Dubai</v>
      </c>
      <c r="B11832" s="2" t="str">
        <f ca="1">IFERROR(__xludf.DUMMYFUNCTION("""COMPUTED_VALUE"""),"The Lofts Central Tower")</f>
        <v>The Lofts Central Tower</v>
      </c>
      <c r="C11832" s="2" t="str">
        <f ca="1">IFERROR(__xludf.DUMMYFUNCTION("""COMPUTED_VALUE"""),"Building")</f>
        <v>Building</v>
      </c>
      <c r="D11832" s="2" t="str">
        <f ca="1">IFERROR(__xludf.DUMMYFUNCTION("""COMPUTED_VALUE"""),"Dubai&gt;Downtown Dubai&gt;The Lofts&gt;The Lofts Central Tower")</f>
        <v>Dubai&gt;Downtown Dubai&gt;The Lofts&gt;The Lofts Central Tower</v>
      </c>
      <c r="E11832" s="2"/>
      <c r="F11832" s="2"/>
      <c r="G11832" s="2"/>
      <c r="H11832" s="2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2"/>
      <c r="T11832" s="2"/>
      <c r="U11832" s="2"/>
      <c r="V11832" s="2"/>
      <c r="W11832" s="2"/>
      <c r="X11832" s="2"/>
      <c r="Y11832" s="2"/>
      <c r="Z11832" s="2"/>
    </row>
    <row r="11833" spans="1:26" ht="16.5" x14ac:dyDescent="0.35">
      <c r="A11833" s="2" t="str">
        <f ca="1">IFERROR(__xludf.DUMMYFUNCTION("""COMPUTED_VALUE"""),"Dubai")</f>
        <v>Dubai</v>
      </c>
      <c r="B11833" s="2" t="str">
        <f ca="1">IFERROR(__xludf.DUMMYFUNCTION("""COMPUTED_VALUE"""),"RP Heights")</f>
        <v>RP Heights</v>
      </c>
      <c r="C11833" s="2" t="str">
        <f ca="1">IFERROR(__xludf.DUMMYFUNCTION("""COMPUTED_VALUE"""),"Building")</f>
        <v>Building</v>
      </c>
      <c r="D11833" s="2" t="str">
        <f ca="1">IFERROR(__xludf.DUMMYFUNCTION("""COMPUTED_VALUE"""),"Dubai&gt;Downtown Dubai&gt;RP Heights")</f>
        <v>Dubai&gt;Downtown Dubai&gt;RP Heights</v>
      </c>
      <c r="E11833" s="2"/>
      <c r="F11833" s="2"/>
      <c r="G11833" s="2"/>
      <c r="H11833" s="2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2"/>
      <c r="T11833" s="2"/>
      <c r="U11833" s="2"/>
      <c r="V11833" s="2"/>
      <c r="W11833" s="2"/>
      <c r="X11833" s="2"/>
      <c r="Y11833" s="2"/>
      <c r="Z11833" s="2"/>
    </row>
    <row r="11834" spans="1:26" ht="16.5" x14ac:dyDescent="0.35">
      <c r="A11834" s="2" t="str">
        <f ca="1">IFERROR(__xludf.DUMMYFUNCTION("""COMPUTED_VALUE"""),"Dubai")</f>
        <v>Dubai</v>
      </c>
      <c r="B11834" s="2" t="str">
        <f ca="1">IFERROR(__xludf.DUMMYFUNCTION("""COMPUTED_VALUE"""),"Kamoon 3")</f>
        <v>Kamoon 3</v>
      </c>
      <c r="C11834" s="2" t="str">
        <f ca="1">IFERROR(__xludf.DUMMYFUNCTION("""COMPUTED_VALUE"""),"Building")</f>
        <v>Building</v>
      </c>
      <c r="D11834" s="2" t="str">
        <f ca="1">IFERROR(__xludf.DUMMYFUNCTION("""COMPUTED_VALUE"""),"Dubai&gt;Downtown Dubai&gt;Old Town&gt;Kamoon&gt;Kamoon 3")</f>
        <v>Dubai&gt;Downtown Dubai&gt;Old Town&gt;Kamoon&gt;Kamoon 3</v>
      </c>
      <c r="E11834" s="2"/>
      <c r="F11834" s="2"/>
      <c r="G11834" s="2"/>
      <c r="H11834" s="2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2"/>
      <c r="T11834" s="2"/>
      <c r="U11834" s="2"/>
      <c r="V11834" s="2"/>
      <c r="W11834" s="2"/>
      <c r="X11834" s="2"/>
      <c r="Y11834" s="2"/>
      <c r="Z11834" s="2"/>
    </row>
    <row r="11835" spans="1:26" ht="16.5" x14ac:dyDescent="0.35">
      <c r="A11835" s="2" t="str">
        <f ca="1">IFERROR(__xludf.DUMMYFUNCTION("""COMPUTED_VALUE"""),"Dubai")</f>
        <v>Dubai</v>
      </c>
      <c r="B11835" s="2" t="str">
        <f ca="1">IFERROR(__xludf.DUMMYFUNCTION("""COMPUTED_VALUE"""),"Miska 4")</f>
        <v>Miska 4</v>
      </c>
      <c r="C11835" s="2" t="str">
        <f ca="1">IFERROR(__xludf.DUMMYFUNCTION("""COMPUTED_VALUE"""),"Building")</f>
        <v>Building</v>
      </c>
      <c r="D11835" s="2" t="str">
        <f ca="1">IFERROR(__xludf.DUMMYFUNCTION("""COMPUTED_VALUE"""),"Dubai&gt;Downtown Dubai&gt;Old Town&gt;Miska&gt;Miska 4")</f>
        <v>Dubai&gt;Downtown Dubai&gt;Old Town&gt;Miska&gt;Miska 4</v>
      </c>
      <c r="E11835" s="2"/>
      <c r="F11835" s="2"/>
      <c r="G11835" s="2"/>
      <c r="H11835" s="2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2"/>
      <c r="T11835" s="2"/>
      <c r="U11835" s="2"/>
      <c r="V11835" s="2"/>
      <c r="W11835" s="2"/>
      <c r="X11835" s="2"/>
      <c r="Y11835" s="2"/>
      <c r="Z11835" s="2"/>
    </row>
    <row r="11836" spans="1:26" ht="16.5" x14ac:dyDescent="0.35">
      <c r="A11836" s="2" t="str">
        <f ca="1">IFERROR(__xludf.DUMMYFUNCTION("""COMPUTED_VALUE"""),"Dubai")</f>
        <v>Dubai</v>
      </c>
      <c r="B11836" s="2" t="str">
        <f ca="1">IFERROR(__xludf.DUMMYFUNCTION("""COMPUTED_VALUE"""),"One Residence")</f>
        <v>One Residence</v>
      </c>
      <c r="C11836" s="2" t="str">
        <f ca="1">IFERROR(__xludf.DUMMYFUNCTION("""COMPUTED_VALUE"""),"Building")</f>
        <v>Building</v>
      </c>
      <c r="D11836" s="2" t="str">
        <f ca="1">IFERROR(__xludf.DUMMYFUNCTION("""COMPUTED_VALUE"""),"Dubai&gt;Downtown Dubai&gt;One Residence")</f>
        <v>Dubai&gt;Downtown Dubai&gt;One Residence</v>
      </c>
      <c r="E11836" s="2"/>
      <c r="F11836" s="2"/>
      <c r="G11836" s="2"/>
      <c r="H11836" s="2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2"/>
      <c r="T11836" s="2"/>
      <c r="U11836" s="2"/>
      <c r="V11836" s="2"/>
      <c r="W11836" s="2"/>
      <c r="X11836" s="2"/>
      <c r="Y11836" s="2"/>
      <c r="Z11836" s="2"/>
    </row>
    <row r="11837" spans="1:26" ht="16.5" x14ac:dyDescent="0.35">
      <c r="A11837" s="2" t="str">
        <f ca="1">IFERROR(__xludf.DUMMYFUNCTION("""COMPUTED_VALUE"""),"Dubai")</f>
        <v>Dubai</v>
      </c>
      <c r="B11837" s="2" t="str">
        <f ca="1">IFERROR(__xludf.DUMMYFUNCTION("""COMPUTED_VALUE"""),"Mazaya 20")</f>
        <v>Mazaya 20</v>
      </c>
      <c r="C11837" s="2" t="str">
        <f ca="1">IFERROR(__xludf.DUMMYFUNCTION("""COMPUTED_VALUE"""),"Building")</f>
        <v>Building</v>
      </c>
      <c r="D11837" s="2" t="str">
        <f ca="1">IFERROR(__xludf.DUMMYFUNCTION("""COMPUTED_VALUE"""),"Dubai&gt;Liwan&gt;Queue Point&gt;Mazaya 20")</f>
        <v>Dubai&gt;Liwan&gt;Queue Point&gt;Mazaya 20</v>
      </c>
      <c r="E11837" s="2"/>
      <c r="F11837" s="2"/>
      <c r="G11837" s="2"/>
      <c r="H11837" s="2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2"/>
      <c r="T11837" s="2"/>
      <c r="U11837" s="2"/>
      <c r="V11837" s="2"/>
      <c r="W11837" s="2"/>
      <c r="X11837" s="2"/>
      <c r="Y11837" s="2"/>
      <c r="Z11837" s="2"/>
    </row>
    <row r="11838" spans="1:26" ht="16.5" x14ac:dyDescent="0.35">
      <c r="A11838" s="2" t="str">
        <f ca="1">IFERROR(__xludf.DUMMYFUNCTION("""COMPUTED_VALUE"""),"Dubai")</f>
        <v>Dubai</v>
      </c>
      <c r="B11838" s="2" t="str">
        <f ca="1">IFERROR(__xludf.DUMMYFUNCTION("""COMPUTED_VALUE"""),"Mazaya 32")</f>
        <v>Mazaya 32</v>
      </c>
      <c r="C11838" s="2" t="str">
        <f ca="1">IFERROR(__xludf.DUMMYFUNCTION("""COMPUTED_VALUE"""),"Building")</f>
        <v>Building</v>
      </c>
      <c r="D11838" s="2" t="str">
        <f ca="1">IFERROR(__xludf.DUMMYFUNCTION("""COMPUTED_VALUE"""),"Dubai&gt;Liwan&gt;Queue Point&gt;Mazaya 32")</f>
        <v>Dubai&gt;Liwan&gt;Queue Point&gt;Mazaya 32</v>
      </c>
      <c r="E11838" s="2"/>
      <c r="F11838" s="2"/>
      <c r="G11838" s="2"/>
      <c r="H11838" s="2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2"/>
      <c r="T11838" s="2"/>
      <c r="U11838" s="2"/>
      <c r="V11838" s="2"/>
      <c r="W11838" s="2"/>
      <c r="X11838" s="2"/>
      <c r="Y11838" s="2"/>
      <c r="Z11838" s="2"/>
    </row>
    <row r="11839" spans="1:26" ht="16.5" x14ac:dyDescent="0.35">
      <c r="A11839" s="2" t="str">
        <f ca="1">IFERROR(__xludf.DUMMYFUNCTION("""COMPUTED_VALUE"""),"Dubai")</f>
        <v>Dubai</v>
      </c>
      <c r="B11839" s="2" t="str">
        <f ca="1">IFERROR(__xludf.DUMMYFUNCTION("""COMPUTED_VALUE"""),"MHA Building")</f>
        <v>MHA Building</v>
      </c>
      <c r="C11839" s="2" t="str">
        <f ca="1">IFERROR(__xludf.DUMMYFUNCTION("""COMPUTED_VALUE"""),"Building")</f>
        <v>Building</v>
      </c>
      <c r="D11839" s="2" t="str">
        <f ca="1">IFERROR(__xludf.DUMMYFUNCTION("""COMPUTED_VALUE"""),"Dubai&gt;Liwan&gt;MHA Building")</f>
        <v>Dubai&gt;Liwan&gt;MHA Building</v>
      </c>
      <c r="E11839" s="2"/>
      <c r="F11839" s="2"/>
      <c r="G11839" s="2"/>
      <c r="H11839" s="2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2"/>
      <c r="T11839" s="2"/>
      <c r="U11839" s="2"/>
      <c r="V11839" s="2"/>
      <c r="W11839" s="2"/>
      <c r="X11839" s="2"/>
      <c r="Y11839" s="2"/>
      <c r="Z11839" s="2"/>
    </row>
    <row r="11840" spans="1:26" ht="16.5" x14ac:dyDescent="0.35">
      <c r="A11840" s="2" t="str">
        <f ca="1">IFERROR(__xludf.DUMMYFUNCTION("""COMPUTED_VALUE"""),"Dubai")</f>
        <v>Dubai</v>
      </c>
      <c r="B11840" s="2" t="str">
        <f ca="1">IFERROR(__xludf.DUMMYFUNCTION("""COMPUTED_VALUE"""),"Ritz Carlton")</f>
        <v>Ritz Carlton</v>
      </c>
      <c r="C11840" s="2" t="str">
        <f ca="1">IFERROR(__xludf.DUMMYFUNCTION("""COMPUTED_VALUE"""),"Building")</f>
        <v>Building</v>
      </c>
      <c r="D11840" s="2" t="str">
        <f ca="1">IFERROR(__xludf.DUMMYFUNCTION("""COMPUTED_VALUE"""),"Dubai&gt;DIFC&gt;Ritz Carlton")</f>
        <v>Dubai&gt;DIFC&gt;Ritz Carlton</v>
      </c>
      <c r="E11840" s="2"/>
      <c r="F11840" s="2"/>
      <c r="G11840" s="2"/>
      <c r="H11840" s="2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2"/>
      <c r="T11840" s="2"/>
      <c r="U11840" s="2"/>
      <c r="V11840" s="2"/>
      <c r="W11840" s="2"/>
      <c r="X11840" s="2"/>
      <c r="Y11840" s="2"/>
      <c r="Z11840" s="2"/>
    </row>
    <row r="11841" spans="1:26" ht="16.5" x14ac:dyDescent="0.35">
      <c r="A11841" s="2" t="str">
        <f ca="1">IFERROR(__xludf.DUMMYFUNCTION("""COMPUTED_VALUE"""),"Dubai")</f>
        <v>Dubai</v>
      </c>
      <c r="B11841" s="2" t="str">
        <f ca="1">IFERROR(__xludf.DUMMYFUNCTION("""COMPUTED_VALUE"""),"South Tower")</f>
        <v>South Tower</v>
      </c>
      <c r="C11841" s="2" t="str">
        <f ca="1">IFERROR(__xludf.DUMMYFUNCTION("""COMPUTED_VALUE"""),"Building")</f>
        <v>Building</v>
      </c>
      <c r="D11841" s="2" t="str">
        <f ca="1">IFERROR(__xludf.DUMMYFUNCTION("""COMPUTED_VALUE"""),"Dubai&gt;DIFC&gt;Emirates Financial Towers&gt;South Tower")</f>
        <v>Dubai&gt;DIFC&gt;Emirates Financial Towers&gt;South Tower</v>
      </c>
      <c r="E11841" s="2"/>
      <c r="F11841" s="2"/>
      <c r="G11841" s="2"/>
      <c r="H11841" s="2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2"/>
      <c r="T11841" s="2"/>
      <c r="U11841" s="2"/>
      <c r="V11841" s="2"/>
      <c r="W11841" s="2"/>
      <c r="X11841" s="2"/>
      <c r="Y11841" s="2"/>
      <c r="Z11841" s="2"/>
    </row>
    <row r="11842" spans="1:26" ht="16.5" x14ac:dyDescent="0.35">
      <c r="A11842" s="2" t="str">
        <f ca="1">IFERROR(__xludf.DUMMYFUNCTION("""COMPUTED_VALUE"""),"Dubai")</f>
        <v>Dubai</v>
      </c>
      <c r="B11842" s="2" t="str">
        <f ca="1">IFERROR(__xludf.DUMMYFUNCTION("""COMPUTED_VALUE"""),"Al Warqaa 4")</f>
        <v>Al Warqaa 4</v>
      </c>
      <c r="C11842" s="2" t="str">
        <f ca="1">IFERROR(__xludf.DUMMYFUNCTION("""COMPUTED_VALUE"""),"Neighbourhood")</f>
        <v>Neighbourhood</v>
      </c>
      <c r="D11842" s="2" t="str">
        <f ca="1">IFERROR(__xludf.DUMMYFUNCTION("""COMPUTED_VALUE"""),"Dubai&gt;Al Warqaa&gt;Al Warqaa 4")</f>
        <v>Dubai&gt;Al Warqaa&gt;Al Warqaa 4</v>
      </c>
      <c r="E11842" s="2"/>
      <c r="F11842" s="2"/>
      <c r="G11842" s="2"/>
      <c r="H11842" s="2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2"/>
      <c r="T11842" s="2"/>
      <c r="U11842" s="2"/>
      <c r="V11842" s="2"/>
      <c r="W11842" s="2"/>
      <c r="X11842" s="2"/>
      <c r="Y11842" s="2"/>
      <c r="Z11842" s="2"/>
    </row>
    <row r="11843" spans="1:26" ht="16.5" x14ac:dyDescent="0.35">
      <c r="A11843" s="2" t="str">
        <f ca="1">IFERROR(__xludf.DUMMYFUNCTION("""COMPUTED_VALUE"""),"Dubai")</f>
        <v>Dubai</v>
      </c>
      <c r="B11843" s="2" t="str">
        <f ca="1">IFERROR(__xludf.DUMMYFUNCTION("""COMPUTED_VALUE"""),"Al Khayat Building 2")</f>
        <v>Al Khayat Building 2</v>
      </c>
      <c r="C11843" s="2" t="str">
        <f ca="1">IFERROR(__xludf.DUMMYFUNCTION("""COMPUTED_VALUE"""),"Building")</f>
        <v>Building</v>
      </c>
      <c r="D11843" s="2" t="str">
        <f ca="1">IFERROR(__xludf.DUMMYFUNCTION("""COMPUTED_VALUE"""),"Dubai&gt;Al Warqaa&gt;Al Warqaa 1&gt;Al Khayat Building 2")</f>
        <v>Dubai&gt;Al Warqaa&gt;Al Warqaa 1&gt;Al Khayat Building 2</v>
      </c>
      <c r="E11843" s="2"/>
      <c r="F11843" s="2"/>
      <c r="G11843" s="2"/>
      <c r="H11843" s="2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2"/>
      <c r="T11843" s="2"/>
      <c r="U11843" s="2"/>
      <c r="V11843" s="2"/>
      <c r="W11843" s="2"/>
      <c r="X11843" s="2"/>
      <c r="Y11843" s="2"/>
      <c r="Z11843" s="2"/>
    </row>
    <row r="11844" spans="1:26" ht="16.5" x14ac:dyDescent="0.35">
      <c r="A11844" s="2" t="str">
        <f ca="1">IFERROR(__xludf.DUMMYFUNCTION("""COMPUTED_VALUE"""),"Dubai")</f>
        <v>Dubai</v>
      </c>
      <c r="B11844" s="2" t="str">
        <f ca="1">IFERROR(__xludf.DUMMYFUNCTION("""COMPUTED_VALUE"""),"Abdulla Abdul Rasool Building")</f>
        <v>Abdulla Abdul Rasool Building</v>
      </c>
      <c r="C11844" s="2" t="str">
        <f ca="1">IFERROR(__xludf.DUMMYFUNCTION("""COMPUTED_VALUE"""),"Building")</f>
        <v>Building</v>
      </c>
      <c r="D11844" s="2" t="str">
        <f ca="1">IFERROR(__xludf.DUMMYFUNCTION("""COMPUTED_VALUE"""),"Dubai&gt;Al Warqaa&gt;Al Warqaa 1&gt;Abdulla Abdul Rasool Building")</f>
        <v>Dubai&gt;Al Warqaa&gt;Al Warqaa 1&gt;Abdulla Abdul Rasool Building</v>
      </c>
      <c r="E11844" s="2"/>
      <c r="F11844" s="2"/>
      <c r="G11844" s="2"/>
      <c r="H11844" s="2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2"/>
      <c r="T11844" s="2"/>
      <c r="U11844" s="2"/>
      <c r="V11844" s="2"/>
      <c r="W11844" s="2"/>
      <c r="X11844" s="2"/>
      <c r="Y11844" s="2"/>
      <c r="Z11844" s="2"/>
    </row>
    <row r="11845" spans="1:26" ht="16.5" x14ac:dyDescent="0.35">
      <c r="A11845" s="2" t="str">
        <f ca="1">IFERROR(__xludf.DUMMYFUNCTION("""COMPUTED_VALUE"""),"Dubai")</f>
        <v>Dubai</v>
      </c>
      <c r="B11845" s="2" t="str">
        <f ca="1">IFERROR(__xludf.DUMMYFUNCTION("""COMPUTED_VALUE"""),"Al Zarooni 1 Building")</f>
        <v>Al Zarooni 1 Building</v>
      </c>
      <c r="C11845" s="2" t="str">
        <f ca="1">IFERROR(__xludf.DUMMYFUNCTION("""COMPUTED_VALUE"""),"Building")</f>
        <v>Building</v>
      </c>
      <c r="D11845" s="2" t="str">
        <f ca="1">IFERROR(__xludf.DUMMYFUNCTION("""COMPUTED_VALUE"""),"Dubai&gt;Al Warqaa&gt;Al Warqaa 1&gt;Al Zarooni 1 Building")</f>
        <v>Dubai&gt;Al Warqaa&gt;Al Warqaa 1&gt;Al Zarooni 1 Building</v>
      </c>
      <c r="E11845" s="2"/>
      <c r="F11845" s="2"/>
      <c r="G11845" s="2"/>
      <c r="H11845" s="2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2"/>
      <c r="T11845" s="2"/>
      <c r="U11845" s="2"/>
      <c r="V11845" s="2"/>
      <c r="W11845" s="2"/>
      <c r="X11845" s="2"/>
      <c r="Y11845" s="2"/>
      <c r="Z11845" s="2"/>
    </row>
    <row r="11846" spans="1:26" ht="16.5" x14ac:dyDescent="0.35">
      <c r="A11846" s="2" t="str">
        <f ca="1">IFERROR(__xludf.DUMMYFUNCTION("""COMPUTED_VALUE"""),"Dubai")</f>
        <v>Dubai</v>
      </c>
      <c r="B11846" s="2" t="str">
        <f ca="1">IFERROR(__xludf.DUMMYFUNCTION("""COMPUTED_VALUE"""),"Almas Tower")</f>
        <v>Almas Tower</v>
      </c>
      <c r="C11846" s="2" t="str">
        <f ca="1">IFERROR(__xludf.DUMMYFUNCTION("""COMPUTED_VALUE"""),"Building")</f>
        <v>Building</v>
      </c>
      <c r="D11846" s="2" t="str">
        <f ca="1">IFERROR(__xludf.DUMMYFUNCTION("""COMPUTED_VALUE"""),"Dubai&gt;Jumeirah Lake Towers (JLT)&gt;Almas Tower")</f>
        <v>Dubai&gt;Jumeirah Lake Towers (JLT)&gt;Almas Tower</v>
      </c>
      <c r="E11846" s="2"/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2"/>
      <c r="T11846" s="2"/>
      <c r="U11846" s="2"/>
      <c r="V11846" s="2"/>
      <c r="W11846" s="2"/>
      <c r="X11846" s="2"/>
      <c r="Y11846" s="2"/>
      <c r="Z11846" s="2"/>
    </row>
    <row r="11847" spans="1:26" ht="16.5" x14ac:dyDescent="0.35">
      <c r="A11847" s="2" t="str">
        <f ca="1">IFERROR(__xludf.DUMMYFUNCTION("""COMPUTED_VALUE"""),"Dubai")</f>
        <v>Dubai</v>
      </c>
      <c r="B11847" s="2" t="str">
        <f ca="1">IFERROR(__xludf.DUMMYFUNCTION("""COMPUTED_VALUE"""),"Al Shera Tower")</f>
        <v>Al Shera Tower</v>
      </c>
      <c r="C11847" s="2" t="str">
        <f ca="1">IFERROR(__xludf.DUMMYFUNCTION("""COMPUTED_VALUE"""),"Building")</f>
        <v>Building</v>
      </c>
      <c r="D11847" s="2" t="str">
        <f ca="1">IFERROR(__xludf.DUMMYFUNCTION("""COMPUTED_VALUE"""),"Dubai&gt;Jumeirah Lake Towers (JLT)&gt;JLT Cluster E&gt;Al Shera Tower")</f>
        <v>Dubai&gt;Jumeirah Lake Towers (JLT)&gt;JLT Cluster E&gt;Al Shera Tower</v>
      </c>
      <c r="E11847" s="2"/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2"/>
      <c r="T11847" s="2"/>
      <c r="U11847" s="2"/>
      <c r="V11847" s="2"/>
      <c r="W11847" s="2"/>
      <c r="X11847" s="2"/>
      <c r="Y11847" s="2"/>
      <c r="Z11847" s="2"/>
    </row>
    <row r="11848" spans="1:26" ht="16.5" x14ac:dyDescent="0.35">
      <c r="A11848" s="2" t="str">
        <f ca="1">IFERROR(__xludf.DUMMYFUNCTION("""COMPUTED_VALUE"""),"Dubai")</f>
        <v>Dubai</v>
      </c>
      <c r="B11848" s="2" t="str">
        <f ca="1">IFERROR(__xludf.DUMMYFUNCTION("""COMPUTED_VALUE"""),"HDS Business Centre")</f>
        <v>HDS Business Centre</v>
      </c>
      <c r="C11848" s="2" t="str">
        <f ca="1">IFERROR(__xludf.DUMMYFUNCTION("""COMPUTED_VALUE"""),"Building")</f>
        <v>Building</v>
      </c>
      <c r="D11848" s="2" t="str">
        <f ca="1">IFERROR(__xludf.DUMMYFUNCTION("""COMPUTED_VALUE"""),"Dubai&gt;Jumeirah Lake Towers (JLT)&gt;JLT Cluster M&gt;HDS Business Centre")</f>
        <v>Dubai&gt;Jumeirah Lake Towers (JLT)&gt;JLT Cluster M&gt;HDS Business Centre</v>
      </c>
      <c r="E11848" s="2"/>
      <c r="F11848" s="2"/>
      <c r="G11848" s="2"/>
      <c r="H11848" s="2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2"/>
      <c r="T11848" s="2"/>
      <c r="U11848" s="2"/>
      <c r="V11848" s="2"/>
      <c r="W11848" s="2"/>
      <c r="X11848" s="2"/>
      <c r="Y11848" s="2"/>
      <c r="Z11848" s="2"/>
    </row>
    <row r="11849" spans="1:26" ht="16.5" x14ac:dyDescent="0.35">
      <c r="A11849" s="2" t="str">
        <f ca="1">IFERROR(__xludf.DUMMYFUNCTION("""COMPUTED_VALUE"""),"Dubai")</f>
        <v>Dubai</v>
      </c>
      <c r="B11849" s="2" t="str">
        <f ca="1">IFERROR(__xludf.DUMMYFUNCTION("""COMPUTED_VALUE"""),"Fortune Executive Tower")</f>
        <v>Fortune Executive Tower</v>
      </c>
      <c r="C11849" s="2" t="str">
        <f ca="1">IFERROR(__xludf.DUMMYFUNCTION("""COMPUTED_VALUE"""),"Building")</f>
        <v>Building</v>
      </c>
      <c r="D11849" s="2" t="str">
        <f ca="1">IFERROR(__xludf.DUMMYFUNCTION("""COMPUTED_VALUE"""),"Dubai&gt;Jumeirah Lake Towers (JLT)&gt;JLT Cluster T&gt;Fortune Executive Tower")</f>
        <v>Dubai&gt;Jumeirah Lake Towers (JLT)&gt;JLT Cluster T&gt;Fortune Executive Tower</v>
      </c>
      <c r="E11849" s="2"/>
      <c r="F11849" s="2"/>
      <c r="G11849" s="2"/>
      <c r="H11849" s="2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2"/>
      <c r="T11849" s="2"/>
      <c r="U11849" s="2"/>
      <c r="V11849" s="2"/>
      <c r="W11849" s="2"/>
      <c r="X11849" s="2"/>
      <c r="Y11849" s="2"/>
      <c r="Z11849" s="2"/>
    </row>
    <row r="11850" spans="1:26" ht="16.5" x14ac:dyDescent="0.35">
      <c r="A11850" s="2" t="str">
        <f ca="1">IFERROR(__xludf.DUMMYFUNCTION("""COMPUTED_VALUE"""),"Dubai")</f>
        <v>Dubai</v>
      </c>
      <c r="B11850" s="2" t="str">
        <f ca="1">IFERROR(__xludf.DUMMYFUNCTION("""COMPUTED_VALUE"""),"Upper House East")</f>
        <v>Upper House East</v>
      </c>
      <c r="C11850" s="2" t="str">
        <f ca="1">IFERROR(__xludf.DUMMYFUNCTION("""COMPUTED_VALUE"""),"Building")</f>
        <v>Building</v>
      </c>
      <c r="D11850" s="2" t="str">
        <f ca="1">IFERROR(__xludf.DUMMYFUNCTION("""COMPUTED_VALUE"""),"Dubai&gt;Jumeirah Lake Towers (JLT)&gt;Upper House&gt;Upper House East")</f>
        <v>Dubai&gt;Jumeirah Lake Towers (JLT)&gt;Upper House&gt;Upper House East</v>
      </c>
      <c r="E11850" s="2"/>
      <c r="F11850" s="2"/>
      <c r="G11850" s="2"/>
      <c r="H11850" s="2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2"/>
      <c r="T11850" s="2"/>
      <c r="U11850" s="2"/>
      <c r="V11850" s="2"/>
      <c r="W11850" s="2"/>
      <c r="X11850" s="2"/>
      <c r="Y11850" s="2"/>
      <c r="Z11850" s="2"/>
    </row>
    <row r="11851" spans="1:26" ht="16.5" x14ac:dyDescent="0.35">
      <c r="A11851" s="2" t="str">
        <f ca="1">IFERROR(__xludf.DUMMYFUNCTION("""COMPUTED_VALUE"""),"Dubai")</f>
        <v>Dubai</v>
      </c>
      <c r="B11851" s="2" t="str">
        <f ca="1">IFERROR(__xludf.DUMMYFUNCTION("""COMPUTED_VALUE"""),"Mudon Al Ranim 5")</f>
        <v>Mudon Al Ranim 5</v>
      </c>
      <c r="C11851" s="2" t="str">
        <f ca="1">IFERROR(__xludf.DUMMYFUNCTION("""COMPUTED_VALUE"""),"Neighbourhood")</f>
        <v>Neighbourhood</v>
      </c>
      <c r="D11851" s="2" t="str">
        <f ca="1">IFERROR(__xludf.DUMMYFUNCTION("""COMPUTED_VALUE"""),"Dubai&gt;Mudon&gt;Mudon Al Ranim&gt;Mudon Al Ranim 5")</f>
        <v>Dubai&gt;Mudon&gt;Mudon Al Ranim&gt;Mudon Al Ranim 5</v>
      </c>
      <c r="E11851" s="2"/>
      <c r="F11851" s="2"/>
      <c r="G11851" s="2"/>
      <c r="H11851" s="2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2"/>
      <c r="T11851" s="2"/>
      <c r="U11851" s="2"/>
      <c r="V11851" s="2"/>
      <c r="W11851" s="2"/>
      <c r="X11851" s="2"/>
      <c r="Y11851" s="2"/>
      <c r="Z11851" s="2"/>
    </row>
    <row r="11852" spans="1:26" ht="16.5" x14ac:dyDescent="0.35">
      <c r="A11852" s="2" t="str">
        <f ca="1">IFERROR(__xludf.DUMMYFUNCTION("""COMPUTED_VALUE"""),"Dubai")</f>
        <v>Dubai</v>
      </c>
      <c r="B11852" s="2" t="str">
        <f ca="1">IFERROR(__xludf.DUMMYFUNCTION("""COMPUTED_VALUE"""),"Al Fattan Downtown Tower 1")</f>
        <v>Al Fattan Downtown Tower 1</v>
      </c>
      <c r="C11852" s="2" t="str">
        <f ca="1">IFERROR(__xludf.DUMMYFUNCTION("""COMPUTED_VALUE"""),"Building")</f>
        <v>Building</v>
      </c>
      <c r="D11852" s="2" t="str">
        <f ca="1">IFERROR(__xludf.DUMMYFUNCTION("""COMPUTED_VALUE"""),"Dubai&gt;Al Satwa&gt;Al Fattan Downtown Towers&gt;Al Fattan Downtown Tower 1")</f>
        <v>Dubai&gt;Al Satwa&gt;Al Fattan Downtown Towers&gt;Al Fattan Downtown Tower 1</v>
      </c>
      <c r="E11852" s="2"/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2"/>
      <c r="T11852" s="2"/>
      <c r="U11852" s="2"/>
      <c r="V11852" s="2"/>
      <c r="W11852" s="2"/>
      <c r="X11852" s="2"/>
      <c r="Y11852" s="2"/>
      <c r="Z11852" s="2"/>
    </row>
    <row r="11853" spans="1:26" ht="16.5" x14ac:dyDescent="0.35">
      <c r="A11853" s="2" t="str">
        <f ca="1">IFERROR(__xludf.DUMMYFUNCTION("""COMPUTED_VALUE"""),"Dubai")</f>
        <v>Dubai</v>
      </c>
      <c r="B11853" s="2" t="str">
        <f ca="1">IFERROR(__xludf.DUMMYFUNCTION("""COMPUTED_VALUE"""),"DuWest Residence")</f>
        <v>DuWest Residence</v>
      </c>
      <c r="C11853" s="2" t="str">
        <f ca="1">IFERROR(__xludf.DUMMYFUNCTION("""COMPUTED_VALUE"""),"Building")</f>
        <v>Building</v>
      </c>
      <c r="D11853" s="2" t="str">
        <f ca="1">IFERROR(__xludf.DUMMYFUNCTION("""COMPUTED_VALUE"""),"Dubai&gt;Al Satwa&gt;Jumeirah Garden City&gt;DuWest Residence")</f>
        <v>Dubai&gt;Al Satwa&gt;Jumeirah Garden City&gt;DuWest Residence</v>
      </c>
      <c r="E11853" s="2"/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2"/>
      <c r="T11853" s="2"/>
      <c r="U11853" s="2"/>
      <c r="V11853" s="2"/>
      <c r="W11853" s="2"/>
      <c r="X11853" s="2"/>
      <c r="Y11853" s="2"/>
      <c r="Z11853" s="2"/>
    </row>
    <row r="11854" spans="1:26" ht="16.5" x14ac:dyDescent="0.35">
      <c r="A11854" s="2" t="str">
        <f ca="1">IFERROR(__xludf.DUMMYFUNCTION("""COMPUTED_VALUE"""),"Dubai")</f>
        <v>Dubai</v>
      </c>
      <c r="B11854" s="2" t="str">
        <f ca="1">IFERROR(__xludf.DUMMYFUNCTION("""COMPUTED_VALUE"""),"Iltemas Residence")</f>
        <v>Iltemas Residence</v>
      </c>
      <c r="C11854" s="2" t="str">
        <f ca="1">IFERROR(__xludf.DUMMYFUNCTION("""COMPUTED_VALUE"""),"Building")</f>
        <v>Building</v>
      </c>
      <c r="D11854" s="2" t="str">
        <f ca="1">IFERROR(__xludf.DUMMYFUNCTION("""COMPUTED_VALUE"""),"Dubai&gt;Al Satwa&gt;Jumeirah Garden City&gt;Iltemas Residence")</f>
        <v>Dubai&gt;Al Satwa&gt;Jumeirah Garden City&gt;Iltemas Residence</v>
      </c>
      <c r="E11854" s="2"/>
      <c r="F11854" s="2"/>
      <c r="G11854" s="2"/>
      <c r="H11854" s="2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2"/>
      <c r="T11854" s="2"/>
      <c r="U11854" s="2"/>
      <c r="V11854" s="2"/>
      <c r="W11854" s="2"/>
      <c r="X11854" s="2"/>
      <c r="Y11854" s="2"/>
      <c r="Z11854" s="2"/>
    </row>
    <row r="11855" spans="1:26" ht="16.5" x14ac:dyDescent="0.35">
      <c r="A11855" s="2" t="str">
        <f ca="1">IFERROR(__xludf.DUMMYFUNCTION("""COMPUTED_VALUE"""),"Dubai")</f>
        <v>Dubai</v>
      </c>
      <c r="B11855" s="2" t="str">
        <f ca="1">IFERROR(__xludf.DUMMYFUNCTION("""COMPUTED_VALUE"""),"Evergr1n House 2")</f>
        <v>Evergr1n House 2</v>
      </c>
      <c r="C11855" s="2" t="str">
        <f ca="1">IFERROR(__xludf.DUMMYFUNCTION("""COMPUTED_VALUE"""),"Building")</f>
        <v>Building</v>
      </c>
      <c r="D11855" s="2" t="str">
        <f ca="1">IFERROR(__xludf.DUMMYFUNCTION("""COMPUTED_VALUE"""),"Dubai&gt;Al Satwa&gt;Jumeirah Garden City&gt;Evergr1n House 2")</f>
        <v>Dubai&gt;Al Satwa&gt;Jumeirah Garden City&gt;Evergr1n House 2</v>
      </c>
      <c r="E11855" s="2"/>
      <c r="F11855" s="2"/>
      <c r="G11855" s="2"/>
      <c r="H11855" s="2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2"/>
      <c r="T11855" s="2"/>
      <c r="U11855" s="2"/>
      <c r="V11855" s="2"/>
      <c r="W11855" s="2"/>
      <c r="X11855" s="2"/>
      <c r="Y11855" s="2"/>
      <c r="Z11855" s="2"/>
    </row>
    <row r="11856" spans="1:26" ht="16.5" x14ac:dyDescent="0.35">
      <c r="A11856" s="2" t="str">
        <f ca="1">IFERROR(__xludf.DUMMYFUNCTION("""COMPUTED_VALUE"""),"Dubai")</f>
        <v>Dubai</v>
      </c>
      <c r="B11856" s="2" t="str">
        <f ca="1">IFERROR(__xludf.DUMMYFUNCTION("""COMPUTED_VALUE"""),"GEMS Royal Dubai School")</f>
        <v>GEMS Royal Dubai School</v>
      </c>
      <c r="C11856" s="2" t="str">
        <f ca="1">IFERROR(__xludf.DUMMYFUNCTION("""COMPUTED_VALUE"""),"School")</f>
        <v>School</v>
      </c>
      <c r="D11856" s="2" t="str">
        <f ca="1">IFERROR(__xludf.DUMMYFUNCTION("""COMPUTED_VALUE"""),"Dubai&gt;Al Mizhar&gt;Al Mizhar 1&gt;GEMS Royal Dubai School")</f>
        <v>Dubai&gt;Al Mizhar&gt;Al Mizhar 1&gt;GEMS Royal Dubai School</v>
      </c>
      <c r="E11856" s="2"/>
      <c r="F11856" s="2"/>
      <c r="G11856" s="2"/>
      <c r="H11856" s="2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2"/>
      <c r="T11856" s="2"/>
      <c r="U11856" s="2"/>
      <c r="V11856" s="2"/>
      <c r="W11856" s="2"/>
      <c r="X11856" s="2"/>
      <c r="Y11856" s="2"/>
      <c r="Z11856" s="2"/>
    </row>
    <row r="11857" spans="1:26" ht="16.5" x14ac:dyDescent="0.35">
      <c r="A11857" s="2" t="str">
        <f ca="1">IFERROR(__xludf.DUMMYFUNCTION("""COMPUTED_VALUE"""),"Dubai")</f>
        <v>Dubai</v>
      </c>
      <c r="B11857" s="2" t="str">
        <f ca="1">IFERROR(__xludf.DUMMYFUNCTION("""COMPUTED_VALUE"""),"Building 122")</f>
        <v>Building 122</v>
      </c>
      <c r="C11857" s="2" t="str">
        <f ca="1">IFERROR(__xludf.DUMMYFUNCTION("""COMPUTED_VALUE"""),"Building")</f>
        <v>Building</v>
      </c>
      <c r="D11857" s="2" t="str">
        <f ca="1">IFERROR(__xludf.DUMMYFUNCTION("""COMPUTED_VALUE"""),"Dubai&gt;Discovery Gardens&gt;Contemporary&gt;Building 122")</f>
        <v>Dubai&gt;Discovery Gardens&gt;Contemporary&gt;Building 122</v>
      </c>
      <c r="E11857" s="2"/>
      <c r="F11857" s="2"/>
      <c r="G11857" s="2"/>
      <c r="H11857" s="2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2"/>
      <c r="T11857" s="2"/>
      <c r="U11857" s="2"/>
      <c r="V11857" s="2"/>
      <c r="W11857" s="2"/>
      <c r="X11857" s="2"/>
      <c r="Y11857" s="2"/>
      <c r="Z11857" s="2"/>
    </row>
    <row r="11858" spans="1:26" ht="16.5" x14ac:dyDescent="0.35">
      <c r="A11858" s="2" t="str">
        <f ca="1">IFERROR(__xludf.DUMMYFUNCTION("""COMPUTED_VALUE"""),"Dubai")</f>
        <v>Dubai</v>
      </c>
      <c r="B11858" s="2" t="str">
        <f ca="1">IFERROR(__xludf.DUMMYFUNCTION("""COMPUTED_VALUE"""),"Building 242")</f>
        <v>Building 242</v>
      </c>
      <c r="C11858" s="2" t="str">
        <f ca="1">IFERROR(__xludf.DUMMYFUNCTION("""COMPUTED_VALUE"""),"Building")</f>
        <v>Building</v>
      </c>
      <c r="D11858" s="2" t="str">
        <f ca="1">IFERROR(__xludf.DUMMYFUNCTION("""COMPUTED_VALUE"""),"Dubai&gt;Discovery Gardens&gt;Mesoamerican&gt;Building 242")</f>
        <v>Dubai&gt;Discovery Gardens&gt;Mesoamerican&gt;Building 242</v>
      </c>
      <c r="E11858" s="2"/>
      <c r="F11858" s="2"/>
      <c r="G11858" s="2"/>
      <c r="H11858" s="2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2"/>
      <c r="T11858" s="2"/>
      <c r="U11858" s="2"/>
      <c r="V11858" s="2"/>
      <c r="W11858" s="2"/>
      <c r="X11858" s="2"/>
      <c r="Y11858" s="2"/>
      <c r="Z11858" s="2"/>
    </row>
    <row r="11859" spans="1:26" ht="16.5" x14ac:dyDescent="0.35">
      <c r="A11859" s="2" t="str">
        <f ca="1">IFERROR(__xludf.DUMMYFUNCTION("""COMPUTED_VALUE"""),"Dubai")</f>
        <v>Dubai</v>
      </c>
      <c r="B11859" s="2" t="str">
        <f ca="1">IFERROR(__xludf.DUMMYFUNCTION("""COMPUTED_VALUE"""),"Building 193")</f>
        <v>Building 193</v>
      </c>
      <c r="C11859" s="2" t="str">
        <f ca="1">IFERROR(__xludf.DUMMYFUNCTION("""COMPUTED_VALUE"""),"Building")</f>
        <v>Building</v>
      </c>
      <c r="D11859" s="2" t="str">
        <f ca="1">IFERROR(__xludf.DUMMYFUNCTION("""COMPUTED_VALUE"""),"Dubai&gt;Discovery Gardens&gt;Mogul&gt;Building 193")</f>
        <v>Dubai&gt;Discovery Gardens&gt;Mogul&gt;Building 193</v>
      </c>
      <c r="E11859" s="2"/>
      <c r="F11859" s="2"/>
      <c r="G11859" s="2"/>
      <c r="H11859" s="2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2"/>
      <c r="T11859" s="2"/>
      <c r="U11859" s="2"/>
      <c r="V11859" s="2"/>
      <c r="W11859" s="2"/>
      <c r="X11859" s="2"/>
      <c r="Y11859" s="2"/>
      <c r="Z11859" s="2"/>
    </row>
    <row r="11860" spans="1:26" ht="16.5" x14ac:dyDescent="0.35">
      <c r="A11860" s="2" t="str">
        <f ca="1">IFERROR(__xludf.DUMMYFUNCTION("""COMPUTED_VALUE"""),"Dubai")</f>
        <v>Dubai</v>
      </c>
      <c r="B11860" s="2" t="str">
        <f ca="1">IFERROR(__xludf.DUMMYFUNCTION("""COMPUTED_VALUE"""),"Building 3")</f>
        <v>Building 3</v>
      </c>
      <c r="C11860" s="2" t="str">
        <f ca="1">IFERROR(__xludf.DUMMYFUNCTION("""COMPUTED_VALUE"""),"Building")</f>
        <v>Building</v>
      </c>
      <c r="D11860" s="2" t="str">
        <f ca="1">IFERROR(__xludf.DUMMYFUNCTION("""COMPUTED_VALUE"""),"Dubai&gt;Discovery Gardens&gt;Zen Cluster&gt;Building 3")</f>
        <v>Dubai&gt;Discovery Gardens&gt;Zen Cluster&gt;Building 3</v>
      </c>
      <c r="E11860" s="2"/>
      <c r="F11860" s="2"/>
      <c r="G11860" s="2"/>
      <c r="H11860" s="2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2"/>
      <c r="T11860" s="2"/>
      <c r="U11860" s="2"/>
      <c r="V11860" s="2"/>
      <c r="W11860" s="2"/>
      <c r="X11860" s="2"/>
      <c r="Y11860" s="2"/>
      <c r="Z11860" s="2"/>
    </row>
    <row r="11861" spans="1:26" ht="16.5" x14ac:dyDescent="0.35">
      <c r="A11861" s="2" t="str">
        <f ca="1">IFERROR(__xludf.DUMMYFUNCTION("""COMPUTED_VALUE"""),"Dubai")</f>
        <v>Dubai</v>
      </c>
      <c r="B11861" s="2" t="str">
        <f ca="1">IFERROR(__xludf.DUMMYFUNCTION("""COMPUTED_VALUE"""),"Ziqoo Hotel Apartment Dubai")</f>
        <v>Ziqoo Hotel Apartment Dubai</v>
      </c>
      <c r="C11861" s="2" t="str">
        <f ca="1">IFERROR(__xludf.DUMMYFUNCTION("""COMPUTED_VALUE"""),"Building")</f>
        <v>Building</v>
      </c>
      <c r="D11861" s="2" t="str">
        <f ca="1">IFERROR(__xludf.DUMMYFUNCTION("""COMPUTED_VALUE"""),"Dubai&gt;Discovery Gardens&gt;Zen Cluster&gt;Ziqoo Hotel Apartment Dubai")</f>
        <v>Dubai&gt;Discovery Gardens&gt;Zen Cluster&gt;Ziqoo Hotel Apartment Dubai</v>
      </c>
      <c r="E11861" s="2"/>
      <c r="F11861" s="2"/>
      <c r="G11861" s="2"/>
      <c r="H11861" s="2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2"/>
      <c r="T11861" s="2"/>
      <c r="U11861" s="2"/>
      <c r="V11861" s="2"/>
      <c r="W11861" s="2"/>
      <c r="X11861" s="2"/>
      <c r="Y11861" s="2"/>
      <c r="Z11861" s="2"/>
    </row>
    <row r="11862" spans="1:26" ht="16.5" x14ac:dyDescent="0.35">
      <c r="A11862" s="2" t="str">
        <f ca="1">IFERROR(__xludf.DUMMYFUNCTION("""COMPUTED_VALUE"""),"Dubai")</f>
        <v>Dubai</v>
      </c>
      <c r="B11862" s="2" t="str">
        <f ca="1">IFERROR(__xludf.DUMMYFUNCTION("""COMPUTED_VALUE"""),"Building 46")</f>
        <v>Building 46</v>
      </c>
      <c r="C11862" s="2" t="str">
        <f ca="1">IFERROR(__xludf.DUMMYFUNCTION("""COMPUTED_VALUE"""),"Building")</f>
        <v>Building</v>
      </c>
      <c r="D11862" s="2" t="str">
        <f ca="1">IFERROR(__xludf.DUMMYFUNCTION("""COMPUTED_VALUE"""),"Dubai&gt;Discovery Gardens&gt;Mediterranean&gt;Building 46")</f>
        <v>Dubai&gt;Discovery Gardens&gt;Mediterranean&gt;Building 46</v>
      </c>
      <c r="E11862" s="2"/>
      <c r="F11862" s="2"/>
      <c r="G11862" s="2"/>
      <c r="H11862" s="2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2"/>
      <c r="T11862" s="2"/>
      <c r="U11862" s="2"/>
      <c r="V11862" s="2"/>
      <c r="W11862" s="2"/>
      <c r="X11862" s="2"/>
      <c r="Y11862" s="2"/>
      <c r="Z11862" s="2"/>
    </row>
    <row r="11863" spans="1:26" ht="16.5" x14ac:dyDescent="0.35">
      <c r="A11863" s="2" t="str">
        <f ca="1">IFERROR(__xludf.DUMMYFUNCTION("""COMPUTED_VALUE"""),"Dubai")</f>
        <v>Dubai</v>
      </c>
      <c r="B11863" s="2" t="str">
        <f ca="1">IFERROR(__xludf.DUMMYFUNCTION("""COMPUTED_VALUE"""),"Building 97")</f>
        <v>Building 97</v>
      </c>
      <c r="C11863" s="2" t="str">
        <f ca="1">IFERROR(__xludf.DUMMYFUNCTION("""COMPUTED_VALUE"""),"Building")</f>
        <v>Building</v>
      </c>
      <c r="D11863" s="2" t="str">
        <f ca="1">IFERROR(__xludf.DUMMYFUNCTION("""COMPUTED_VALUE"""),"Dubai&gt;Discovery Gardens&gt;Mediterranean&gt;Building 97")</f>
        <v>Dubai&gt;Discovery Gardens&gt;Mediterranean&gt;Building 97</v>
      </c>
      <c r="E11863" s="2"/>
      <c r="F11863" s="2"/>
      <c r="G11863" s="2"/>
      <c r="H11863" s="2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2"/>
      <c r="T11863" s="2"/>
      <c r="U11863" s="2"/>
      <c r="V11863" s="2"/>
      <c r="W11863" s="2"/>
      <c r="X11863" s="2"/>
      <c r="Y11863" s="2"/>
      <c r="Z11863" s="2"/>
    </row>
    <row r="11864" spans="1:26" ht="16.5" x14ac:dyDescent="0.35">
      <c r="A11864" s="2" t="str">
        <f ca="1">IFERROR(__xludf.DUMMYFUNCTION("""COMPUTED_VALUE"""),"Dubai")</f>
        <v>Dubai</v>
      </c>
      <c r="B11864" s="2" t="str">
        <f ca="1">IFERROR(__xludf.DUMMYFUNCTION("""COMPUTED_VALUE"""),"Shoreline Apartments")</f>
        <v>Shoreline Apartments</v>
      </c>
      <c r="C11864" s="2" t="str">
        <f ca="1">IFERROR(__xludf.DUMMYFUNCTION("""COMPUTED_VALUE"""),"Cluster")</f>
        <v>Cluster</v>
      </c>
      <c r="D11864" s="2" t="str">
        <f ca="1">IFERROR(__xludf.DUMMYFUNCTION("""COMPUTED_VALUE"""),"Dubai&gt;Palm Jumeirah&gt;Shoreline Apartments")</f>
        <v>Dubai&gt;Palm Jumeirah&gt;Shoreline Apartments</v>
      </c>
      <c r="E11864" s="2"/>
      <c r="F11864" s="2"/>
      <c r="G11864" s="2"/>
      <c r="H11864" s="2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2"/>
      <c r="T11864" s="2"/>
      <c r="U11864" s="2"/>
      <c r="V11864" s="2"/>
      <c r="W11864" s="2"/>
      <c r="X11864" s="2"/>
      <c r="Y11864" s="2"/>
      <c r="Z11864" s="2"/>
    </row>
    <row r="11865" spans="1:26" ht="16.5" x14ac:dyDescent="0.35">
      <c r="A11865" s="2" t="str">
        <f ca="1">IFERROR(__xludf.DUMMYFUNCTION("""COMPUTED_VALUE"""),"Dubai")</f>
        <v>Dubai</v>
      </c>
      <c r="B11865" s="2" t="str">
        <f ca="1">IFERROR(__xludf.DUMMYFUNCTION("""COMPUTED_VALUE"""),"Aquamarine")</f>
        <v>Aquamarine</v>
      </c>
      <c r="C11865" s="2" t="str">
        <f ca="1">IFERROR(__xludf.DUMMYFUNCTION("""COMPUTED_VALUE"""),"Building")</f>
        <v>Building</v>
      </c>
      <c r="D11865" s="2" t="str">
        <f ca="1">IFERROR(__xludf.DUMMYFUNCTION("""COMPUTED_VALUE"""),"Dubai&gt;Palm Jumeirah&gt;Tiara Residences&gt;Aquamarine")</f>
        <v>Dubai&gt;Palm Jumeirah&gt;Tiara Residences&gt;Aquamarine</v>
      </c>
      <c r="E11865" s="2"/>
      <c r="F11865" s="2"/>
      <c r="G11865" s="2"/>
      <c r="H11865" s="2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2"/>
      <c r="T11865" s="2"/>
      <c r="U11865" s="2"/>
      <c r="V11865" s="2"/>
      <c r="W11865" s="2"/>
      <c r="X11865" s="2"/>
      <c r="Y11865" s="2"/>
      <c r="Z11865" s="2"/>
    </row>
    <row r="11866" spans="1:26" ht="16.5" x14ac:dyDescent="0.35">
      <c r="A11866" s="2" t="str">
        <f ca="1">IFERROR(__xludf.DUMMYFUNCTION("""COMPUTED_VALUE"""),"Dubai")</f>
        <v>Dubai</v>
      </c>
      <c r="B11866" s="2" t="str">
        <f ca="1">IFERROR(__xludf.DUMMYFUNCTION("""COMPUTED_VALUE"""),"Golden Mile 2")</f>
        <v>Golden Mile 2</v>
      </c>
      <c r="C11866" s="2" t="str">
        <f ca="1">IFERROR(__xludf.DUMMYFUNCTION("""COMPUTED_VALUE"""),"Building")</f>
        <v>Building</v>
      </c>
      <c r="D11866" s="2" t="str">
        <f ca="1">IFERROR(__xludf.DUMMYFUNCTION("""COMPUTED_VALUE"""),"Dubai&gt;Palm Jumeirah&gt;Golden Mile&gt;Golden Mile 2")</f>
        <v>Dubai&gt;Palm Jumeirah&gt;Golden Mile&gt;Golden Mile 2</v>
      </c>
      <c r="E11866" s="2"/>
      <c r="F11866" s="2"/>
      <c r="G11866" s="2"/>
      <c r="H11866" s="2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2"/>
      <c r="T11866" s="2"/>
      <c r="U11866" s="2"/>
      <c r="V11866" s="2"/>
      <c r="W11866" s="2"/>
      <c r="X11866" s="2"/>
      <c r="Y11866" s="2"/>
      <c r="Z11866" s="2"/>
    </row>
    <row r="11867" spans="1:26" ht="16.5" x14ac:dyDescent="0.35">
      <c r="A11867" s="2" t="str">
        <f ca="1">IFERROR(__xludf.DUMMYFUNCTION("""COMPUTED_VALUE"""),"Dubai")</f>
        <v>Dubai</v>
      </c>
      <c r="B11867" s="2" t="str">
        <f ca="1">IFERROR(__xludf.DUMMYFUNCTION("""COMPUTED_VALUE"""),"Th8")</f>
        <v>Th8</v>
      </c>
      <c r="C11867" s="2" t="str">
        <f ca="1">IFERROR(__xludf.DUMMYFUNCTION("""COMPUTED_VALUE"""),"Building")</f>
        <v>Building</v>
      </c>
      <c r="D11867" s="2" t="str">
        <f ca="1">IFERROR(__xludf.DUMMYFUNCTION("""COMPUTED_VALUE"""),"Dubai&gt;Palm Jumeirah&gt;The Crescent&gt;Th8")</f>
        <v>Dubai&gt;Palm Jumeirah&gt;The Crescent&gt;Th8</v>
      </c>
      <c r="E11867" s="2"/>
      <c r="F11867" s="2"/>
      <c r="G11867" s="2"/>
      <c r="H11867" s="2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2"/>
      <c r="T11867" s="2"/>
      <c r="U11867" s="2"/>
      <c r="V11867" s="2"/>
      <c r="W11867" s="2"/>
      <c r="X11867" s="2"/>
      <c r="Y11867" s="2"/>
      <c r="Z11867" s="2"/>
    </row>
    <row r="11868" spans="1:26" ht="16.5" x14ac:dyDescent="0.35">
      <c r="A11868" s="2" t="str">
        <f ca="1">IFERROR(__xludf.DUMMYFUNCTION("""COMPUTED_VALUE"""),"Dubai")</f>
        <v>Dubai</v>
      </c>
      <c r="B11868" s="2" t="str">
        <f ca="1">IFERROR(__xludf.DUMMYFUNCTION("""COMPUTED_VALUE"""),"Garden Homes Frond I")</f>
        <v>Garden Homes Frond I</v>
      </c>
      <c r="C11868" s="2" t="str">
        <f ca="1">IFERROR(__xludf.DUMMYFUNCTION("""COMPUTED_VALUE"""),"Neighbourhood")</f>
        <v>Neighbourhood</v>
      </c>
      <c r="D11868" s="2" t="str">
        <f ca="1">IFERROR(__xludf.DUMMYFUNCTION("""COMPUTED_VALUE"""),"Dubai&gt;Palm Jumeirah&gt;Garden Homes Palm Jumeirah&gt;Garden Homes Frond I")</f>
        <v>Dubai&gt;Palm Jumeirah&gt;Garden Homes Palm Jumeirah&gt;Garden Homes Frond I</v>
      </c>
      <c r="E11868" s="2"/>
      <c r="F11868" s="2"/>
      <c r="G11868" s="2"/>
      <c r="H11868" s="2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2"/>
      <c r="T11868" s="2"/>
      <c r="U11868" s="2"/>
      <c r="V11868" s="2"/>
      <c r="W11868" s="2"/>
      <c r="X11868" s="2"/>
      <c r="Y11868" s="2"/>
      <c r="Z11868" s="2"/>
    </row>
    <row r="11869" spans="1:26" ht="16.5" x14ac:dyDescent="0.35">
      <c r="A11869" s="2" t="str">
        <f ca="1">IFERROR(__xludf.DUMMYFUNCTION("""COMPUTED_VALUE"""),"Dubai")</f>
        <v>Dubai</v>
      </c>
      <c r="B11869" s="2" t="str">
        <f ca="1">IFERROR(__xludf.DUMMYFUNCTION("""COMPUTED_VALUE"""),"Serenia Residences West Wing")</f>
        <v>Serenia Residences West Wing</v>
      </c>
      <c r="C11869" s="2" t="str">
        <f ca="1">IFERROR(__xludf.DUMMYFUNCTION("""COMPUTED_VALUE"""),"Building")</f>
        <v>Building</v>
      </c>
      <c r="D11869" s="2" t="str">
        <f ca="1">IFERROR(__xludf.DUMMYFUNCTION("""COMPUTED_VALUE"""),"Dubai&gt;Palm Jumeirah&gt;Serenia Residences The Palm&gt;Serenia Residences West Wing")</f>
        <v>Dubai&gt;Palm Jumeirah&gt;Serenia Residences The Palm&gt;Serenia Residences West Wing</v>
      </c>
      <c r="E11869" s="2"/>
      <c r="F11869" s="2"/>
      <c r="G11869" s="2"/>
      <c r="H11869" s="2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2"/>
      <c r="T11869" s="2"/>
      <c r="U11869" s="2"/>
      <c r="V11869" s="2"/>
      <c r="W11869" s="2"/>
      <c r="X11869" s="2"/>
      <c r="Y11869" s="2"/>
      <c r="Z11869" s="2"/>
    </row>
    <row r="11870" spans="1:26" ht="16.5" x14ac:dyDescent="0.35">
      <c r="A11870" s="2" t="str">
        <f ca="1">IFERROR(__xludf.DUMMYFUNCTION("""COMPUTED_VALUE"""),"Dubai")</f>
        <v>Dubai</v>
      </c>
      <c r="B11870" s="2" t="str">
        <f ca="1">IFERROR(__xludf.DUMMYFUNCTION("""COMPUTED_VALUE"""),"Mileo The Palm")</f>
        <v>Mileo The Palm</v>
      </c>
      <c r="C11870" s="2" t="str">
        <f ca="1">IFERROR(__xludf.DUMMYFUNCTION("""COMPUTED_VALUE"""),"Building")</f>
        <v>Building</v>
      </c>
      <c r="D11870" s="2" t="str">
        <f ca="1">IFERROR(__xludf.DUMMYFUNCTION("""COMPUTED_VALUE"""),"Dubai&gt;Palm Jumeirah&gt;Mileo The Palm")</f>
        <v>Dubai&gt;Palm Jumeirah&gt;Mileo The Palm</v>
      </c>
      <c r="E11870" s="2"/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2"/>
      <c r="T11870" s="2"/>
      <c r="U11870" s="2"/>
      <c r="V11870" s="2"/>
      <c r="W11870" s="2"/>
      <c r="X11870" s="2"/>
      <c r="Y11870" s="2"/>
      <c r="Z11870" s="2"/>
    </row>
    <row r="11871" spans="1:26" ht="16.5" x14ac:dyDescent="0.35">
      <c r="A11871" s="2" t="str">
        <f ca="1">IFERROR(__xludf.DUMMYFUNCTION("""COMPUTED_VALUE"""),"Dubai")</f>
        <v>Dubai</v>
      </c>
      <c r="B11871" s="2" t="str">
        <f ca="1">IFERROR(__xludf.DUMMYFUNCTION("""COMPUTED_VALUE"""),"Devet 2")</f>
        <v>Devet 2</v>
      </c>
      <c r="C11871" s="2" t="str">
        <f ca="1">IFERROR(__xludf.DUMMYFUNCTION("""COMPUTED_VALUE"""),"Building")</f>
        <v>Building</v>
      </c>
      <c r="D11871" s="2" t="str">
        <f ca="1">IFERROR(__xludf.DUMMYFUNCTION("""COMPUTED_VALUE"""),"Dubai&gt;Al Jaddaf&gt;Devet 2")</f>
        <v>Dubai&gt;Al Jaddaf&gt;Devet 2</v>
      </c>
      <c r="E11871" s="2"/>
      <c r="F11871" s="2"/>
      <c r="G11871" s="2"/>
      <c r="H11871" s="2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2"/>
      <c r="T11871" s="2"/>
      <c r="U11871" s="2"/>
      <c r="V11871" s="2"/>
      <c r="W11871" s="2"/>
      <c r="X11871" s="2"/>
      <c r="Y11871" s="2"/>
      <c r="Z11871" s="2"/>
    </row>
    <row r="11872" spans="1:26" ht="16.5" x14ac:dyDescent="0.35">
      <c r="A11872" s="2" t="str">
        <f ca="1">IFERROR(__xludf.DUMMYFUNCTION("""COMPUTED_VALUE"""),"Dubai")</f>
        <v>Dubai</v>
      </c>
      <c r="B11872" s="2" t="str">
        <f ca="1">IFERROR(__xludf.DUMMYFUNCTION("""COMPUTED_VALUE"""),"Al Kharbash Residence")</f>
        <v>Al Kharbash Residence</v>
      </c>
      <c r="C11872" s="2" t="str">
        <f ca="1">IFERROR(__xludf.DUMMYFUNCTION("""COMPUTED_VALUE"""),"Cluster")</f>
        <v>Cluster</v>
      </c>
      <c r="D11872" s="2" t="str">
        <f ca="1">IFERROR(__xludf.DUMMYFUNCTION("""COMPUTED_VALUE"""),"Dubai&gt;Al Jaddaf&gt;Al Kharbash Residence")</f>
        <v>Dubai&gt;Al Jaddaf&gt;Al Kharbash Residence</v>
      </c>
      <c r="E11872" s="2"/>
      <c r="F11872" s="2"/>
      <c r="G11872" s="2"/>
      <c r="H11872" s="2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2"/>
      <c r="T11872" s="2"/>
      <c r="U11872" s="2"/>
      <c r="V11872" s="2"/>
      <c r="W11872" s="2"/>
      <c r="X11872" s="2"/>
      <c r="Y11872" s="2"/>
      <c r="Z11872" s="2"/>
    </row>
    <row r="11873" spans="1:26" ht="16.5" x14ac:dyDescent="0.35">
      <c r="A11873" s="2" t="str">
        <f ca="1">IFERROR(__xludf.DUMMYFUNCTION("""COMPUTED_VALUE"""),"Dubai")</f>
        <v>Dubai</v>
      </c>
      <c r="B11873" s="2" t="str">
        <f ca="1">IFERROR(__xludf.DUMMYFUNCTION("""COMPUTED_VALUE"""),"Boutique 23")</f>
        <v>Boutique 23</v>
      </c>
      <c r="C11873" s="2" t="str">
        <f ca="1">IFERROR(__xludf.DUMMYFUNCTION("""COMPUTED_VALUE"""),"Building")</f>
        <v>Building</v>
      </c>
      <c r="D11873" s="2" t="str">
        <f ca="1">IFERROR(__xludf.DUMMYFUNCTION("""COMPUTED_VALUE"""),"Dubai&gt;Al Jaddaf&gt;Boutique 23")</f>
        <v>Dubai&gt;Al Jaddaf&gt;Boutique 23</v>
      </c>
      <c r="E11873" s="2"/>
      <c r="F11873" s="2"/>
      <c r="G11873" s="2"/>
      <c r="H11873" s="2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2"/>
      <c r="T11873" s="2"/>
      <c r="U11873" s="2"/>
      <c r="V11873" s="2"/>
      <c r="W11873" s="2"/>
      <c r="X11873" s="2"/>
      <c r="Y11873" s="2"/>
      <c r="Z11873" s="2"/>
    </row>
    <row r="11874" spans="1:26" ht="16.5" x14ac:dyDescent="0.35">
      <c r="A11874" s="2" t="str">
        <f ca="1">IFERROR(__xludf.DUMMYFUNCTION("""COMPUTED_VALUE"""),"Dubai")</f>
        <v>Dubai</v>
      </c>
      <c r="B11874" s="2" t="str">
        <f ca="1">IFERROR(__xludf.DUMMYFUNCTION("""COMPUTED_VALUE"""),"Frond O")</f>
        <v>Frond O</v>
      </c>
      <c r="C11874" s="2" t="str">
        <f ca="1">IFERROR(__xludf.DUMMYFUNCTION("""COMPUTED_VALUE"""),"Neighbourhood")</f>
        <v>Neighbourhood</v>
      </c>
      <c r="D11874" s="2" t="str">
        <f ca="1">IFERROR(__xludf.DUMMYFUNCTION("""COMPUTED_VALUE"""),"Dubai&gt;Palm Jebel Ali&gt;Frond O")</f>
        <v>Dubai&gt;Palm Jebel Ali&gt;Frond O</v>
      </c>
      <c r="E11874" s="2"/>
      <c r="F11874" s="2"/>
      <c r="G11874" s="2"/>
      <c r="H11874" s="2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2"/>
      <c r="T11874" s="2"/>
      <c r="U11874" s="2"/>
      <c r="V11874" s="2"/>
      <c r="W11874" s="2"/>
      <c r="X11874" s="2"/>
      <c r="Y11874" s="2"/>
      <c r="Z11874" s="2"/>
    </row>
    <row r="11875" spans="1:26" ht="16.5" x14ac:dyDescent="0.35">
      <c r="A11875" s="2" t="str">
        <f ca="1">IFERROR(__xludf.DUMMYFUNCTION("""COMPUTED_VALUE"""),"Dubai")</f>
        <v>Dubai</v>
      </c>
      <c r="B11875" s="2" t="str">
        <f ca="1">IFERROR(__xludf.DUMMYFUNCTION("""COMPUTED_VALUE"""),"Marriott Residences Al Barsha South")</f>
        <v>Marriott Residences Al Barsha South</v>
      </c>
      <c r="C11875" s="2" t="str">
        <f ca="1">IFERROR(__xludf.DUMMYFUNCTION("""COMPUTED_VALUE"""),"Cluster")</f>
        <v>Cluster</v>
      </c>
      <c r="D11875" s="2" t="str">
        <f ca="1">IFERROR(__xludf.DUMMYFUNCTION("""COMPUTED_VALUE"""),"Dubai&gt;Dubai Science Park&gt;Marriott Residences Al Barsha South")</f>
        <v>Dubai&gt;Dubai Science Park&gt;Marriott Residences Al Barsha South</v>
      </c>
      <c r="E11875" s="2"/>
      <c r="F11875" s="2"/>
      <c r="G11875" s="2"/>
      <c r="H11875" s="2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2"/>
      <c r="T11875" s="2"/>
      <c r="U11875" s="2"/>
      <c r="V11875" s="2"/>
      <c r="W11875" s="2"/>
      <c r="X11875" s="2"/>
      <c r="Y11875" s="2"/>
      <c r="Z11875" s="2"/>
    </row>
    <row r="11876" spans="1:26" ht="16.5" x14ac:dyDescent="0.35">
      <c r="A11876" s="2" t="str">
        <f ca="1">IFERROR(__xludf.DUMMYFUNCTION("""COMPUTED_VALUE"""),"Dubai")</f>
        <v>Dubai</v>
      </c>
      <c r="B11876" s="2" t="str">
        <f ca="1">IFERROR(__xludf.DUMMYFUNCTION("""COMPUTED_VALUE"""),"Dragon City")</f>
        <v>Dragon City</v>
      </c>
      <c r="C11876" s="2" t="str">
        <f ca="1">IFERROR(__xludf.DUMMYFUNCTION("""COMPUTED_VALUE"""),"Neighbourhood")</f>
        <v>Neighbourhood</v>
      </c>
      <c r="D11876" s="2" t="str">
        <f ca="1">IFERROR(__xludf.DUMMYFUNCTION("""COMPUTED_VALUE"""),"Dubai&gt;Dragon City")</f>
        <v>Dubai&gt;Dragon City</v>
      </c>
      <c r="E11876" s="2"/>
      <c r="F11876" s="2"/>
      <c r="G11876" s="2"/>
      <c r="H11876" s="2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2"/>
      <c r="T11876" s="2"/>
      <c r="U11876" s="2"/>
      <c r="V11876" s="2"/>
      <c r="W11876" s="2"/>
      <c r="X11876" s="2"/>
      <c r="Y11876" s="2"/>
      <c r="Z11876" s="2"/>
    </row>
    <row r="11877" spans="1:26" ht="16.5" x14ac:dyDescent="0.35">
      <c r="A11877" s="2" t="str">
        <f ca="1">IFERROR(__xludf.DUMMYFUNCTION("""COMPUTED_VALUE"""),"Dubai")</f>
        <v>Dubai</v>
      </c>
      <c r="B11877" s="2" t="str">
        <f ca="1">IFERROR(__xludf.DUMMYFUNCTION("""COMPUTED_VALUE"""),"Hillside Residences 1")</f>
        <v>Hillside Residences 1</v>
      </c>
      <c r="C11877" s="2" t="str">
        <f ca="1">IFERROR(__xludf.DUMMYFUNCTION("""COMPUTED_VALUE"""),"Cluster")</f>
        <v>Cluster</v>
      </c>
      <c r="D11877" s="2" t="str">
        <f ca="1">IFERROR(__xludf.DUMMYFUNCTION("""COMPUTED_VALUE"""),"Dubai&gt;Wasl Gate&gt;Hillside Residences&gt;Hillside Residences 1")</f>
        <v>Dubai&gt;Wasl Gate&gt;Hillside Residences&gt;Hillside Residences 1</v>
      </c>
      <c r="E11877" s="2"/>
      <c r="F11877" s="2"/>
      <c r="G11877" s="2"/>
      <c r="H11877" s="2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2"/>
      <c r="T11877" s="2"/>
      <c r="U11877" s="2"/>
      <c r="V11877" s="2"/>
      <c r="W11877" s="2"/>
      <c r="X11877" s="2"/>
      <c r="Y11877" s="2"/>
      <c r="Z11877" s="2"/>
    </row>
    <row r="11878" spans="1:26" ht="16.5" x14ac:dyDescent="0.35">
      <c r="A11878" s="2" t="str">
        <f ca="1">IFERROR(__xludf.DUMMYFUNCTION("""COMPUTED_VALUE"""),"Dubai")</f>
        <v>Dubai</v>
      </c>
      <c r="B11878" s="2" t="str">
        <f ca="1">IFERROR(__xludf.DUMMYFUNCTION("""COMPUTED_VALUE"""),"Nad Al Sheba")</f>
        <v>Nad Al Sheba</v>
      </c>
      <c r="C11878" s="2" t="str">
        <f ca="1">IFERROR(__xludf.DUMMYFUNCTION("""COMPUTED_VALUE"""),"Neighbourhood")</f>
        <v>Neighbourhood</v>
      </c>
      <c r="D11878" s="2" t="str">
        <f ca="1">IFERROR(__xludf.DUMMYFUNCTION("""COMPUTED_VALUE"""),"Dubai&gt;Nad Al Sheba")</f>
        <v>Dubai&gt;Nad Al Sheba</v>
      </c>
      <c r="E11878" s="2"/>
      <c r="F11878" s="2"/>
      <c r="G11878" s="2"/>
      <c r="H11878" s="2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2"/>
      <c r="T11878" s="2"/>
      <c r="U11878" s="2"/>
      <c r="V11878" s="2"/>
      <c r="W11878" s="2"/>
      <c r="X11878" s="2"/>
      <c r="Y11878" s="2"/>
      <c r="Z11878" s="2"/>
    </row>
    <row r="11879" spans="1:26" ht="16.5" x14ac:dyDescent="0.35">
      <c r="A11879" s="2" t="str">
        <f ca="1">IFERROR(__xludf.DUMMYFUNCTION("""COMPUTED_VALUE"""),"Dubai")</f>
        <v>Dubai</v>
      </c>
      <c r="B11879" s="2" t="str">
        <f ca="1">IFERROR(__xludf.DUMMYFUNCTION("""COMPUTED_VALUE"""),"Nad Al Sheba 3")</f>
        <v>Nad Al Sheba 3</v>
      </c>
      <c r="C11879" s="2" t="str">
        <f ca="1">IFERROR(__xludf.DUMMYFUNCTION("""COMPUTED_VALUE"""),"Neighbourhood")</f>
        <v>Neighbourhood</v>
      </c>
      <c r="D11879" s="2" t="str">
        <f ca="1">IFERROR(__xludf.DUMMYFUNCTION("""COMPUTED_VALUE"""),"Dubai&gt;Nad Al Sheba&gt;Nad Al Sheba 3")</f>
        <v>Dubai&gt;Nad Al Sheba&gt;Nad Al Sheba 3</v>
      </c>
      <c r="E11879" s="2"/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2"/>
      <c r="T11879" s="2"/>
      <c r="U11879" s="2"/>
      <c r="V11879" s="2"/>
      <c r="W11879" s="2"/>
      <c r="X11879" s="2"/>
      <c r="Y11879" s="2"/>
      <c r="Z11879" s="2"/>
    </row>
    <row r="11880" spans="1:26" ht="16.5" x14ac:dyDescent="0.35">
      <c r="A11880" s="2" t="str">
        <f ca="1">IFERROR(__xludf.DUMMYFUNCTION("""COMPUTED_VALUE"""),"Dubai")</f>
        <v>Dubai</v>
      </c>
      <c r="B11880" s="2" t="str">
        <f ca="1">IFERROR(__xludf.DUMMYFUNCTION("""COMPUTED_VALUE"""),"Semi-Derelict Building")</f>
        <v>Semi-Derelict Building</v>
      </c>
      <c r="C11880" s="2" t="str">
        <f ca="1">IFERROR(__xludf.DUMMYFUNCTION("""COMPUTED_VALUE"""),"Building")</f>
        <v>Building</v>
      </c>
      <c r="D11880" s="2" t="str">
        <f ca="1">IFERROR(__xludf.DUMMYFUNCTION("""COMPUTED_VALUE"""),"Dubai&gt;Dubai Internet City&gt;Semi-Derelict Building")</f>
        <v>Dubai&gt;Dubai Internet City&gt;Semi-Derelict Building</v>
      </c>
      <c r="E11880" s="2"/>
      <c r="F11880" s="2"/>
      <c r="G11880" s="2"/>
      <c r="H11880" s="2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2"/>
      <c r="T11880" s="2"/>
      <c r="U11880" s="2"/>
      <c r="V11880" s="2"/>
      <c r="W11880" s="2"/>
      <c r="X11880" s="2"/>
      <c r="Y11880" s="2"/>
      <c r="Z11880" s="2"/>
    </row>
    <row r="11881" spans="1:26" ht="16.5" x14ac:dyDescent="0.35">
      <c r="A11881" s="2" t="str">
        <f ca="1">IFERROR(__xludf.DUMMYFUNCTION("""COMPUTED_VALUE"""),"Dubai")</f>
        <v>Dubai</v>
      </c>
      <c r="B11881" s="2" t="str">
        <f ca="1">IFERROR(__xludf.DUMMYFUNCTION("""COMPUTED_VALUE"""),"Spring")</f>
        <v>Spring</v>
      </c>
      <c r="C11881" s="2" t="str">
        <f ca="1">IFERROR(__xludf.DUMMYFUNCTION("""COMPUTED_VALUE"""),"Neighbourhood")</f>
        <v>Neighbourhood</v>
      </c>
      <c r="D11881" s="2" t="str">
        <f ca="1">IFERROR(__xludf.DUMMYFUNCTION("""COMPUTED_VALUE"""),"Dubai&gt;Arabian Ranches 3&gt;Spring")</f>
        <v>Dubai&gt;Arabian Ranches 3&gt;Spring</v>
      </c>
      <c r="E11881" s="2"/>
      <c r="F11881" s="2"/>
      <c r="G11881" s="2"/>
      <c r="H11881" s="2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2"/>
      <c r="T11881" s="2"/>
      <c r="U11881" s="2"/>
      <c r="V11881" s="2"/>
      <c r="W11881" s="2"/>
      <c r="X11881" s="2"/>
      <c r="Y11881" s="2"/>
      <c r="Z11881" s="2"/>
    </row>
    <row r="11882" spans="1:26" ht="16.5" x14ac:dyDescent="0.35">
      <c r="A11882" s="2" t="str">
        <f ca="1">IFERROR(__xludf.DUMMYFUNCTION("""COMPUTED_VALUE"""),"Dubai")</f>
        <v>Dubai</v>
      </c>
      <c r="B11882" s="2" t="str">
        <f ca="1">IFERROR(__xludf.DUMMYFUNCTION("""COMPUTED_VALUE"""),"Seascape")</f>
        <v>Seascape</v>
      </c>
      <c r="C11882" s="2" t="str">
        <f ca="1">IFERROR(__xludf.DUMMYFUNCTION("""COMPUTED_VALUE"""),"Cluster")</f>
        <v>Cluster</v>
      </c>
      <c r="D11882" s="2" t="str">
        <f ca="1">IFERROR(__xludf.DUMMYFUNCTION("""COMPUTED_VALUE"""),"Dubai&gt;Mina Rashid&gt;Seascape")</f>
        <v>Dubai&gt;Mina Rashid&gt;Seascape</v>
      </c>
      <c r="E11882" s="2"/>
      <c r="F11882" s="2"/>
      <c r="G11882" s="2"/>
      <c r="H11882" s="2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2"/>
      <c r="T11882" s="2"/>
      <c r="U11882" s="2"/>
      <c r="V11882" s="2"/>
      <c r="W11882" s="2"/>
      <c r="X11882" s="2"/>
      <c r="Y11882" s="2"/>
      <c r="Z11882" s="2"/>
    </row>
    <row r="11883" spans="1:26" ht="16.5" x14ac:dyDescent="0.35">
      <c r="A11883" s="2" t="str">
        <f ca="1">IFERROR(__xludf.DUMMYFUNCTION("""COMPUTED_VALUE"""),"Dubai")</f>
        <v>Dubai</v>
      </c>
      <c r="B11883" s="2" t="str">
        <f ca="1">IFERROR(__xludf.DUMMYFUNCTION("""COMPUTED_VALUE"""),"Baystar by Vida")</f>
        <v>Baystar by Vida</v>
      </c>
      <c r="C11883" s="2" t="str">
        <f ca="1">IFERROR(__xludf.DUMMYFUNCTION("""COMPUTED_VALUE"""),"Building")</f>
        <v>Building</v>
      </c>
      <c r="D11883" s="2" t="str">
        <f ca="1">IFERROR(__xludf.DUMMYFUNCTION("""COMPUTED_VALUE"""),"Dubai&gt;Mina Rashid&gt;Baystar by Vida")</f>
        <v>Dubai&gt;Mina Rashid&gt;Baystar by Vida</v>
      </c>
      <c r="E11883" s="2"/>
      <c r="F11883" s="2"/>
      <c r="G11883" s="2"/>
      <c r="H11883" s="2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2"/>
      <c r="T11883" s="2"/>
      <c r="U11883" s="2"/>
      <c r="V11883" s="2"/>
      <c r="W11883" s="2"/>
      <c r="X11883" s="2"/>
      <c r="Y11883" s="2"/>
      <c r="Z11883" s="2"/>
    </row>
    <row r="11884" spans="1:26" ht="16.5" x14ac:dyDescent="0.35">
      <c r="A11884" s="2" t="str">
        <f ca="1">IFERROR(__xludf.DUMMYFUNCTION("""COMPUTED_VALUE"""),"Dubai")</f>
        <v>Dubai</v>
      </c>
      <c r="B11884" s="2" t="str">
        <f ca="1">IFERROR(__xludf.DUMMYFUNCTION("""COMPUTED_VALUE"""),"Elora")</f>
        <v>Elora</v>
      </c>
      <c r="C11884" s="2" t="str">
        <f ca="1">IFERROR(__xludf.DUMMYFUNCTION("""COMPUTED_VALUE"""),"Neighbourhood")</f>
        <v>Neighbourhood</v>
      </c>
      <c r="D11884" s="2" t="str">
        <f ca="1">IFERROR(__xludf.DUMMYFUNCTION("""COMPUTED_VALUE"""),"Dubai&gt;The Valley by Emaar&gt;Elora")</f>
        <v>Dubai&gt;The Valley by Emaar&gt;Elora</v>
      </c>
      <c r="E11884" s="2"/>
      <c r="F11884" s="2"/>
      <c r="G11884" s="2"/>
      <c r="H11884" s="2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2"/>
      <c r="T11884" s="2"/>
      <c r="U11884" s="2"/>
      <c r="V11884" s="2"/>
      <c r="W11884" s="2"/>
      <c r="X11884" s="2"/>
      <c r="Y11884" s="2"/>
      <c r="Z11884" s="2"/>
    </row>
    <row r="11885" spans="1:26" ht="16.5" x14ac:dyDescent="0.35">
      <c r="A11885" s="2" t="str">
        <f ca="1">IFERROR(__xludf.DUMMYFUNCTION("""COMPUTED_VALUE"""),"Dubai")</f>
        <v>Dubai</v>
      </c>
      <c r="B11885" s="2" t="str">
        <f ca="1">IFERROR(__xludf.DUMMYFUNCTION("""COMPUTED_VALUE"""),"Terra Nova")</f>
        <v>Terra Nova</v>
      </c>
      <c r="C11885" s="2" t="str">
        <f ca="1">IFERROR(__xludf.DUMMYFUNCTION("""COMPUTED_VALUE"""),"Neighbourhood")</f>
        <v>Neighbourhood</v>
      </c>
      <c r="D11885" s="2" t="str">
        <f ca="1">IFERROR(__xludf.DUMMYFUNCTION("""COMPUTED_VALUE"""),"Dubai&gt;Arabian Ranches&gt;Terra Nova")</f>
        <v>Dubai&gt;Arabian Ranches&gt;Terra Nova</v>
      </c>
      <c r="E11885" s="2"/>
      <c r="F11885" s="2"/>
      <c r="G11885" s="2"/>
      <c r="H11885" s="2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2"/>
      <c r="T11885" s="2"/>
      <c r="U11885" s="2"/>
      <c r="V11885" s="2"/>
      <c r="W11885" s="2"/>
      <c r="X11885" s="2"/>
      <c r="Y11885" s="2"/>
      <c r="Z11885" s="2"/>
    </row>
    <row r="11886" spans="1:26" ht="16.5" x14ac:dyDescent="0.35">
      <c r="A11886" s="2" t="str">
        <f ca="1">IFERROR(__xludf.DUMMYFUNCTION("""COMPUTED_VALUE"""),"Dubai")</f>
        <v>Dubai</v>
      </c>
      <c r="B11886" s="2" t="str">
        <f ca="1">IFERROR(__xludf.DUMMYFUNCTION("""COMPUTED_VALUE"""),"The Gardens Apartments")</f>
        <v>The Gardens Apartments</v>
      </c>
      <c r="C11886" s="2" t="str">
        <f ca="1">IFERROR(__xludf.DUMMYFUNCTION("""COMPUTED_VALUE"""),"Cluster")</f>
        <v>Cluster</v>
      </c>
      <c r="D11886" s="2" t="str">
        <f ca="1">IFERROR(__xludf.DUMMYFUNCTION("""COMPUTED_VALUE"""),"Dubai&gt;The Gardens&gt;The Gardens Apartments")</f>
        <v>Dubai&gt;The Gardens&gt;The Gardens Apartments</v>
      </c>
      <c r="E11886" s="2"/>
      <c r="F11886" s="2"/>
      <c r="G11886" s="2"/>
      <c r="H11886" s="2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2"/>
      <c r="T11886" s="2"/>
      <c r="U11886" s="2"/>
      <c r="V11886" s="2"/>
      <c r="W11886" s="2"/>
      <c r="X11886" s="2"/>
      <c r="Y11886" s="2"/>
      <c r="Z11886" s="2"/>
    </row>
    <row r="11887" spans="1:26" ht="16.5" x14ac:dyDescent="0.35">
      <c r="A11887" s="2" t="str">
        <f ca="1">IFERROR(__xludf.DUMMYFUNCTION("""COMPUTED_VALUE"""),"Dubai")</f>
        <v>Dubai</v>
      </c>
      <c r="B11887" s="2" t="str">
        <f ca="1">IFERROR(__xludf.DUMMYFUNCTION("""COMPUTED_VALUE"""),"The Gardens Building 37")</f>
        <v>The Gardens Building 37</v>
      </c>
      <c r="C11887" s="2" t="str">
        <f ca="1">IFERROR(__xludf.DUMMYFUNCTION("""COMPUTED_VALUE"""),"Building")</f>
        <v>Building</v>
      </c>
      <c r="D11887" s="2" t="str">
        <f ca="1">IFERROR(__xludf.DUMMYFUNCTION("""COMPUTED_VALUE"""),"Dubai&gt;The Gardens&gt;The Gardens Building 37")</f>
        <v>Dubai&gt;The Gardens&gt;The Gardens Building 37</v>
      </c>
      <c r="E11887" s="2"/>
      <c r="F11887" s="2"/>
      <c r="G11887" s="2"/>
      <c r="H11887" s="2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2"/>
      <c r="T11887" s="2"/>
      <c r="U11887" s="2"/>
      <c r="V11887" s="2"/>
      <c r="W11887" s="2"/>
      <c r="X11887" s="2"/>
      <c r="Y11887" s="2"/>
      <c r="Z11887" s="2"/>
    </row>
    <row r="11888" spans="1:26" ht="16.5" x14ac:dyDescent="0.35">
      <c r="A11888" s="2" t="str">
        <f ca="1">IFERROR(__xludf.DUMMYFUNCTION("""COMPUTED_VALUE"""),"Dubai")</f>
        <v>Dubai</v>
      </c>
      <c r="B11888" s="2" t="str">
        <f ca="1">IFERROR(__xludf.DUMMYFUNCTION("""COMPUTED_VALUE"""),"The Gardens Building 78")</f>
        <v>The Gardens Building 78</v>
      </c>
      <c r="C11888" s="2" t="str">
        <f ca="1">IFERROR(__xludf.DUMMYFUNCTION("""COMPUTED_VALUE"""),"Building")</f>
        <v>Building</v>
      </c>
      <c r="D11888" s="2" t="str">
        <f ca="1">IFERROR(__xludf.DUMMYFUNCTION("""COMPUTED_VALUE"""),"Dubai&gt;The Gardens&gt;The Gardens Building 78")</f>
        <v>Dubai&gt;The Gardens&gt;The Gardens Building 78</v>
      </c>
      <c r="E11888" s="2"/>
      <c r="F11888" s="2"/>
      <c r="G11888" s="2"/>
      <c r="H11888" s="2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2"/>
      <c r="T11888" s="2"/>
      <c r="U11888" s="2"/>
      <c r="V11888" s="2"/>
      <c r="W11888" s="2"/>
      <c r="X11888" s="2"/>
      <c r="Y11888" s="2"/>
      <c r="Z11888" s="2"/>
    </row>
    <row r="11889" spans="1:26" ht="16.5" x14ac:dyDescent="0.35">
      <c r="A11889" s="2" t="str">
        <f ca="1">IFERROR(__xludf.DUMMYFUNCTION("""COMPUTED_VALUE"""),"Dubai")</f>
        <v>Dubai</v>
      </c>
      <c r="B11889" s="2" t="str">
        <f ca="1">IFERROR(__xludf.DUMMYFUNCTION("""COMPUTED_VALUE"""),"The Gardens Building 17")</f>
        <v>The Gardens Building 17</v>
      </c>
      <c r="C11889" s="2" t="str">
        <f ca="1">IFERROR(__xludf.DUMMYFUNCTION("""COMPUTED_VALUE"""),"Building")</f>
        <v>Building</v>
      </c>
      <c r="D11889" s="2" t="str">
        <f ca="1">IFERROR(__xludf.DUMMYFUNCTION("""COMPUTED_VALUE"""),"Dubai&gt;The Gardens&gt;The Gardens Building 17")</f>
        <v>Dubai&gt;The Gardens&gt;The Gardens Building 17</v>
      </c>
      <c r="E11889" s="2"/>
      <c r="F11889" s="2"/>
      <c r="G11889" s="2"/>
      <c r="H11889" s="2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2"/>
      <c r="T11889" s="2"/>
      <c r="U11889" s="2"/>
      <c r="V11889" s="2"/>
      <c r="W11889" s="2"/>
      <c r="X11889" s="2"/>
      <c r="Y11889" s="2"/>
      <c r="Z11889" s="2"/>
    </row>
    <row r="11890" spans="1:26" ht="16.5" x14ac:dyDescent="0.35">
      <c r="A11890" s="2" t="str">
        <f ca="1">IFERROR(__xludf.DUMMYFUNCTION("""COMPUTED_VALUE"""),"Dubai")</f>
        <v>Dubai</v>
      </c>
      <c r="B11890" s="2" t="str">
        <f ca="1">IFERROR(__xludf.DUMMYFUNCTION("""COMPUTED_VALUE"""),"The Gardens Building 59")</f>
        <v>The Gardens Building 59</v>
      </c>
      <c r="C11890" s="2" t="str">
        <f ca="1">IFERROR(__xludf.DUMMYFUNCTION("""COMPUTED_VALUE"""),"Building")</f>
        <v>Building</v>
      </c>
      <c r="D11890" s="2" t="str">
        <f ca="1">IFERROR(__xludf.DUMMYFUNCTION("""COMPUTED_VALUE"""),"Dubai&gt;The Gardens&gt;The Gardens Building 59")</f>
        <v>Dubai&gt;The Gardens&gt;The Gardens Building 59</v>
      </c>
      <c r="E11890" s="2"/>
      <c r="F11890" s="2"/>
      <c r="G11890" s="2"/>
      <c r="H11890" s="2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2"/>
      <c r="T11890" s="2"/>
      <c r="U11890" s="2"/>
      <c r="V11890" s="2"/>
      <c r="W11890" s="2"/>
      <c r="X11890" s="2"/>
      <c r="Y11890" s="2"/>
      <c r="Z11890" s="2"/>
    </row>
    <row r="11891" spans="1:26" ht="16.5" x14ac:dyDescent="0.35">
      <c r="A11891" s="2" t="str">
        <f ca="1">IFERROR(__xludf.DUMMYFUNCTION("""COMPUTED_VALUE"""),"Dubai")</f>
        <v>Dubai</v>
      </c>
      <c r="B11891" s="2" t="str">
        <f ca="1">IFERROR(__xludf.DUMMYFUNCTION("""COMPUTED_VALUE"""),"Al Zarooni Tower")</f>
        <v>Al Zarooni Tower</v>
      </c>
      <c r="C11891" s="2" t="str">
        <f ca="1">IFERROR(__xludf.DUMMYFUNCTION("""COMPUTED_VALUE"""),"Building")</f>
        <v>Building</v>
      </c>
      <c r="D11891" s="2" t="str">
        <f ca="1">IFERROR(__xludf.DUMMYFUNCTION("""COMPUTED_VALUE"""),"Dubai&gt;Al Mamzar&gt;Al Zarooni Tower")</f>
        <v>Dubai&gt;Al Mamzar&gt;Al Zarooni Tower</v>
      </c>
      <c r="E11891" s="2"/>
      <c r="F11891" s="2"/>
      <c r="G11891" s="2"/>
      <c r="H11891" s="2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2"/>
      <c r="T11891" s="2"/>
      <c r="U11891" s="2"/>
      <c r="V11891" s="2"/>
      <c r="W11891" s="2"/>
      <c r="X11891" s="2"/>
      <c r="Y11891" s="2"/>
      <c r="Z11891" s="2"/>
    </row>
    <row r="11892" spans="1:26" ht="16.5" x14ac:dyDescent="0.35">
      <c r="A11892" s="2" t="str">
        <f ca="1">IFERROR(__xludf.DUMMYFUNCTION("""COMPUTED_VALUE"""),"Dubai")</f>
        <v>Dubai</v>
      </c>
      <c r="B11892" s="2" t="str">
        <f ca="1">IFERROR(__xludf.DUMMYFUNCTION("""COMPUTED_VALUE"""),"Bluewaters Bay")</f>
        <v>Bluewaters Bay</v>
      </c>
      <c r="C11892" s="2" t="str">
        <f ca="1">IFERROR(__xludf.DUMMYFUNCTION("""COMPUTED_VALUE"""),"Cluster")</f>
        <v>Cluster</v>
      </c>
      <c r="D11892" s="2" t="str">
        <f ca="1">IFERROR(__xludf.DUMMYFUNCTION("""COMPUTED_VALUE"""),"Dubai&gt;Bluewaters Island&gt;Bluewaters Bay")</f>
        <v>Dubai&gt;Bluewaters Island&gt;Bluewaters Bay</v>
      </c>
      <c r="E11892" s="2"/>
      <c r="F11892" s="2"/>
      <c r="G11892" s="2"/>
      <c r="H11892" s="2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2"/>
      <c r="T11892" s="2"/>
      <c r="U11892" s="2"/>
      <c r="V11892" s="2"/>
      <c r="W11892" s="2"/>
      <c r="X11892" s="2"/>
      <c r="Y11892" s="2"/>
      <c r="Z11892" s="2"/>
    </row>
    <row r="11893" spans="1:26" ht="16.5" x14ac:dyDescent="0.35">
      <c r="A11893" s="2" t="str">
        <f ca="1">IFERROR(__xludf.DUMMYFUNCTION("""COMPUTED_VALUE"""),"Dubai")</f>
        <v>Dubai</v>
      </c>
      <c r="B11893" s="2" t="str">
        <f ca="1">IFERROR(__xludf.DUMMYFUNCTION("""COMPUTED_VALUE"""),"Hessa Building")</f>
        <v>Hessa Building</v>
      </c>
      <c r="C11893" s="2" t="str">
        <f ca="1">IFERROR(__xludf.DUMMYFUNCTION("""COMPUTED_VALUE"""),"Building")</f>
        <v>Building</v>
      </c>
      <c r="D11893" s="2" t="str">
        <f ca="1">IFERROR(__xludf.DUMMYFUNCTION("""COMPUTED_VALUE"""),"Dubai&gt;Muhaisnah&gt;Muhaisnah 4&gt;Hessa Building")</f>
        <v>Dubai&gt;Muhaisnah&gt;Muhaisnah 4&gt;Hessa Building</v>
      </c>
      <c r="E11893" s="2"/>
      <c r="F11893" s="2"/>
      <c r="G11893" s="2"/>
      <c r="H11893" s="2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2"/>
      <c r="T11893" s="2"/>
      <c r="U11893" s="2"/>
      <c r="V11893" s="2"/>
      <c r="W11893" s="2"/>
      <c r="X11893" s="2"/>
      <c r="Y11893" s="2"/>
      <c r="Z11893" s="2"/>
    </row>
    <row r="11894" spans="1:26" ht="16.5" x14ac:dyDescent="0.35">
      <c r="A11894" s="2" t="str">
        <f ca="1">IFERROR(__xludf.DUMMYFUNCTION("""COMPUTED_VALUE"""),"Dubai")</f>
        <v>Dubai</v>
      </c>
      <c r="B11894" s="2" t="str">
        <f ca="1">IFERROR(__xludf.DUMMYFUNCTION("""COMPUTED_VALUE"""),"Qamar 9")</f>
        <v>Qamar 9</v>
      </c>
      <c r="C11894" s="2" t="str">
        <f ca="1">IFERROR(__xludf.DUMMYFUNCTION("""COMPUTED_VALUE"""),"Building")</f>
        <v>Building</v>
      </c>
      <c r="D11894" s="2" t="str">
        <f ca="1">IFERROR(__xludf.DUMMYFUNCTION("""COMPUTED_VALUE"""),"Dubai&gt;Muhaisnah&gt;Muhaisnah 1&gt;Madinat Badr&gt;Qamar 9")</f>
        <v>Dubai&gt;Muhaisnah&gt;Muhaisnah 1&gt;Madinat Badr&gt;Qamar 9</v>
      </c>
      <c r="E11894" s="2"/>
      <c r="F11894" s="2"/>
      <c r="G11894" s="2"/>
      <c r="H11894" s="2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2"/>
      <c r="T11894" s="2"/>
      <c r="U11894" s="2"/>
      <c r="V11894" s="2"/>
      <c r="W11894" s="2"/>
      <c r="X11894" s="2"/>
      <c r="Y11894" s="2"/>
      <c r="Z11894" s="2"/>
    </row>
    <row r="11895" spans="1:26" ht="16.5" x14ac:dyDescent="0.35">
      <c r="A11895" s="2" t="str">
        <f ca="1">IFERROR(__xludf.DUMMYFUNCTION("""COMPUTED_VALUE"""),"Dubai")</f>
        <v>Dubai</v>
      </c>
      <c r="B11895" s="2" t="str">
        <f ca="1">IFERROR(__xludf.DUMMYFUNCTION("""COMPUTED_VALUE"""),"Eiffel 1")</f>
        <v>Eiffel 1</v>
      </c>
      <c r="C11895" s="2" t="str">
        <f ca="1">IFERROR(__xludf.DUMMYFUNCTION("""COMPUTED_VALUE"""),"Building")</f>
        <v>Building</v>
      </c>
      <c r="D11895" s="2" t="str">
        <f ca="1">IFERROR(__xludf.DUMMYFUNCTION("""COMPUTED_VALUE"""),"Dubai&gt;Sheikh Zayed Road&gt;Eiffel 1")</f>
        <v>Dubai&gt;Sheikh Zayed Road&gt;Eiffel 1</v>
      </c>
      <c r="E11895" s="2"/>
      <c r="F11895" s="2"/>
      <c r="G11895" s="2"/>
      <c r="H11895" s="2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2"/>
      <c r="T11895" s="2"/>
      <c r="U11895" s="2"/>
      <c r="V11895" s="2"/>
      <c r="W11895" s="2"/>
      <c r="X11895" s="2"/>
      <c r="Y11895" s="2"/>
      <c r="Z11895" s="2"/>
    </row>
    <row r="11896" spans="1:26" ht="16.5" x14ac:dyDescent="0.35">
      <c r="A11896" s="2" t="str">
        <f ca="1">IFERROR(__xludf.DUMMYFUNCTION("""COMPUTED_VALUE"""),"Dubai")</f>
        <v>Dubai</v>
      </c>
      <c r="B11896" s="2" t="str">
        <f ca="1">IFERROR(__xludf.DUMMYFUNCTION("""COMPUTED_VALUE"""),"Al Kawakeb")</f>
        <v>Al Kawakeb</v>
      </c>
      <c r="C11896" s="2" t="str">
        <f ca="1">IFERROR(__xludf.DUMMYFUNCTION("""COMPUTED_VALUE"""),"Cluster")</f>
        <v>Cluster</v>
      </c>
      <c r="D11896" s="2" t="str">
        <f ca="1">IFERROR(__xludf.DUMMYFUNCTION("""COMPUTED_VALUE"""),"Dubai&gt;Sheikh Zayed Road&gt;Al Kawakeb")</f>
        <v>Dubai&gt;Sheikh Zayed Road&gt;Al Kawakeb</v>
      </c>
      <c r="E11896" s="2"/>
      <c r="F11896" s="2"/>
      <c r="G11896" s="2"/>
      <c r="H11896" s="2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2"/>
      <c r="T11896" s="2"/>
      <c r="U11896" s="2"/>
      <c r="V11896" s="2"/>
      <c r="W11896" s="2"/>
      <c r="X11896" s="2"/>
      <c r="Y11896" s="2"/>
      <c r="Z11896" s="2"/>
    </row>
    <row r="11897" spans="1:26" ht="16.5" x14ac:dyDescent="0.35">
      <c r="A11897" s="2" t="str">
        <f ca="1">IFERROR(__xludf.DUMMYFUNCTION("""COMPUTED_VALUE"""),"Dubai")</f>
        <v>Dubai</v>
      </c>
      <c r="B11897" s="2" t="str">
        <f ca="1">IFERROR(__xludf.DUMMYFUNCTION("""COMPUTED_VALUE"""),"Four Points by Sheraton")</f>
        <v>Four Points by Sheraton</v>
      </c>
      <c r="C11897" s="2" t="str">
        <f ca="1">IFERROR(__xludf.DUMMYFUNCTION("""COMPUTED_VALUE"""),"Building")</f>
        <v>Building</v>
      </c>
      <c r="D11897" s="2" t="str">
        <f ca="1">IFERROR(__xludf.DUMMYFUNCTION("""COMPUTED_VALUE"""),"Dubai&gt;Sheikh Zayed Road&gt;Four Points by Sheraton")</f>
        <v>Dubai&gt;Sheikh Zayed Road&gt;Four Points by Sheraton</v>
      </c>
      <c r="E11897" s="2"/>
      <c r="F11897" s="2"/>
      <c r="G11897" s="2"/>
      <c r="H11897" s="2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2"/>
      <c r="T11897" s="2"/>
      <c r="U11897" s="2"/>
      <c r="V11897" s="2"/>
      <c r="W11897" s="2"/>
      <c r="X11897" s="2"/>
      <c r="Y11897" s="2"/>
      <c r="Z11897" s="2"/>
    </row>
    <row r="11898" spans="1:26" ht="16.5" x14ac:dyDescent="0.35">
      <c r="A11898" s="2" t="str">
        <f ca="1">IFERROR(__xludf.DUMMYFUNCTION("""COMPUTED_VALUE"""),"Dubai")</f>
        <v>Dubai</v>
      </c>
      <c r="B11898" s="2" t="str">
        <f ca="1">IFERROR(__xludf.DUMMYFUNCTION("""COMPUTED_VALUE"""),"Lamborghini Building")</f>
        <v>Lamborghini Building</v>
      </c>
      <c r="C11898" s="2" t="str">
        <f ca="1">IFERROR(__xludf.DUMMYFUNCTION("""COMPUTED_VALUE"""),"Building")</f>
        <v>Building</v>
      </c>
      <c r="D11898" s="2" t="str">
        <f ca="1">IFERROR(__xludf.DUMMYFUNCTION("""COMPUTED_VALUE"""),"Dubai&gt;Sheikh Zayed Road&gt;Lamborghini Building")</f>
        <v>Dubai&gt;Sheikh Zayed Road&gt;Lamborghini Building</v>
      </c>
      <c r="E11898" s="2"/>
      <c r="F11898" s="2"/>
      <c r="G11898" s="2"/>
      <c r="H11898" s="2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2"/>
      <c r="T11898" s="2"/>
      <c r="U11898" s="2"/>
      <c r="V11898" s="2"/>
      <c r="W11898" s="2"/>
      <c r="X11898" s="2"/>
      <c r="Y11898" s="2"/>
      <c r="Z11898" s="2"/>
    </row>
    <row r="11899" spans="1:26" ht="16.5" x14ac:dyDescent="0.35">
      <c r="A11899" s="2" t="str">
        <f ca="1">IFERROR(__xludf.DUMMYFUNCTION("""COMPUTED_VALUE"""),"Dubai")</f>
        <v>Dubai</v>
      </c>
      <c r="B11899" s="2" t="str">
        <f ca="1">IFERROR(__xludf.DUMMYFUNCTION("""COMPUTED_VALUE"""),"Bin Dhaen Holding Building Karama")</f>
        <v>Bin Dhaen Holding Building Karama</v>
      </c>
      <c r="C11899" s="2" t="str">
        <f ca="1">IFERROR(__xludf.DUMMYFUNCTION("""COMPUTED_VALUE"""),"Building")</f>
        <v>Building</v>
      </c>
      <c r="D11899" s="2" t="str">
        <f ca="1">IFERROR(__xludf.DUMMYFUNCTION("""COMPUTED_VALUE"""),"Dubai&gt;Al Karama&gt;Bin Dhaen Holding Building Karama")</f>
        <v>Dubai&gt;Al Karama&gt;Bin Dhaen Holding Building Karama</v>
      </c>
      <c r="E11899" s="2"/>
      <c r="F11899" s="2"/>
      <c r="G11899" s="2"/>
      <c r="H11899" s="2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2"/>
      <c r="T11899" s="2"/>
      <c r="U11899" s="2"/>
      <c r="V11899" s="2"/>
      <c r="W11899" s="2"/>
      <c r="X11899" s="2"/>
      <c r="Y11899" s="2"/>
      <c r="Z11899" s="2"/>
    </row>
    <row r="11900" spans="1:26" ht="16.5" x14ac:dyDescent="0.35">
      <c r="A11900" s="2" t="str">
        <f ca="1">IFERROR(__xludf.DUMMYFUNCTION("""COMPUTED_VALUE"""),"Dubai")</f>
        <v>Dubai</v>
      </c>
      <c r="B11900" s="2" t="str">
        <f ca="1">IFERROR(__xludf.DUMMYFUNCTION("""COMPUTED_VALUE"""),"Building 20")</f>
        <v>Building 20</v>
      </c>
      <c r="C11900" s="2" t="str">
        <f ca="1">IFERROR(__xludf.DUMMYFUNCTION("""COMPUTED_VALUE"""),"Building")</f>
        <v>Building</v>
      </c>
      <c r="D11900" s="2" t="str">
        <f ca="1">IFERROR(__xludf.DUMMYFUNCTION("""COMPUTED_VALUE"""),"Dubai&gt;Al Karama&gt;Karam Pioneer Buildings&gt;Building 20")</f>
        <v>Dubai&gt;Al Karama&gt;Karam Pioneer Buildings&gt;Building 20</v>
      </c>
      <c r="E11900" s="2"/>
      <c r="F11900" s="2"/>
      <c r="G11900" s="2"/>
      <c r="H11900" s="2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2"/>
      <c r="T11900" s="2"/>
      <c r="U11900" s="2"/>
      <c r="V11900" s="2"/>
      <c r="W11900" s="2"/>
      <c r="X11900" s="2"/>
      <c r="Y11900" s="2"/>
      <c r="Z11900" s="2"/>
    </row>
    <row r="11901" spans="1:26" ht="16.5" x14ac:dyDescent="0.35">
      <c r="A11901" s="2" t="str">
        <f ca="1">IFERROR(__xludf.DUMMYFUNCTION("""COMPUTED_VALUE"""),"Dubai")</f>
        <v>Dubai</v>
      </c>
      <c r="B11901" s="2" t="str">
        <f ca="1">IFERROR(__xludf.DUMMYFUNCTION("""COMPUTED_VALUE"""),"Al Blouki Building")</f>
        <v>Al Blouki Building</v>
      </c>
      <c r="C11901" s="2" t="str">
        <f ca="1">IFERROR(__xludf.DUMMYFUNCTION("""COMPUTED_VALUE"""),"Building")</f>
        <v>Building</v>
      </c>
      <c r="D11901" s="2" t="str">
        <f ca="1">IFERROR(__xludf.DUMMYFUNCTION("""COMPUTED_VALUE"""),"Dubai&gt;Al Karama&gt;Al Blouki Building")</f>
        <v>Dubai&gt;Al Karama&gt;Al Blouki Building</v>
      </c>
      <c r="E11901" s="2"/>
      <c r="F11901" s="2"/>
      <c r="G11901" s="2"/>
      <c r="H11901" s="2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2"/>
      <c r="T11901" s="2"/>
      <c r="U11901" s="2"/>
      <c r="V11901" s="2"/>
      <c r="W11901" s="2"/>
      <c r="X11901" s="2"/>
      <c r="Y11901" s="2"/>
      <c r="Z11901" s="2"/>
    </row>
    <row r="11902" spans="1:26" ht="16.5" x14ac:dyDescent="0.35">
      <c r="A11902" s="2" t="str">
        <f ca="1">IFERROR(__xludf.DUMMYFUNCTION("""COMPUTED_VALUE"""),"Dubai")</f>
        <v>Dubai</v>
      </c>
      <c r="B11902" s="2" t="str">
        <f ca="1">IFERROR(__xludf.DUMMYFUNCTION("""COMPUTED_VALUE"""),"Hamsah A")</f>
        <v>Hamsah A</v>
      </c>
      <c r="C11902" s="2" t="str">
        <f ca="1">IFERROR(__xludf.DUMMYFUNCTION("""COMPUTED_VALUE"""),"Building")</f>
        <v>Building</v>
      </c>
      <c r="D11902" s="2" t="str">
        <f ca="1">IFERROR(__xludf.DUMMYFUNCTION("""COMPUTED_VALUE"""),"Dubai&gt;Al Karama&gt;Hamsah A")</f>
        <v>Dubai&gt;Al Karama&gt;Hamsah A</v>
      </c>
      <c r="E11902" s="2"/>
      <c r="F11902" s="2"/>
      <c r="G11902" s="2"/>
      <c r="H11902" s="2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2"/>
      <c r="T11902" s="2"/>
      <c r="U11902" s="2"/>
      <c r="V11902" s="2"/>
      <c r="W11902" s="2"/>
      <c r="X11902" s="2"/>
      <c r="Y11902" s="2"/>
      <c r="Z11902" s="2"/>
    </row>
    <row r="11903" spans="1:26" ht="16.5" x14ac:dyDescent="0.35">
      <c r="A11903" s="2" t="str">
        <f ca="1">IFERROR(__xludf.DUMMYFUNCTION("""COMPUTED_VALUE"""),"Dubai")</f>
        <v>Dubai</v>
      </c>
      <c r="B11903" s="2" t="str">
        <f ca="1">IFERROR(__xludf.DUMMYFUNCTION("""COMPUTED_VALUE"""),"Arif &amp; Bintoak Building")</f>
        <v>Arif &amp; Bintoak Building</v>
      </c>
      <c r="C11903" s="2" t="str">
        <f ca="1">IFERROR(__xludf.DUMMYFUNCTION("""COMPUTED_VALUE"""),"Building")</f>
        <v>Building</v>
      </c>
      <c r="D11903" s="2" t="str">
        <f ca="1">IFERROR(__xludf.DUMMYFUNCTION("""COMPUTED_VALUE"""),"Dubai&gt;Al Karama&gt;Arif &amp; Bintoak Building")</f>
        <v>Dubai&gt;Al Karama&gt;Arif &amp; Bintoak Building</v>
      </c>
      <c r="E11903" s="2"/>
      <c r="F11903" s="2"/>
      <c r="G11903" s="2"/>
      <c r="H11903" s="2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2"/>
      <c r="T11903" s="2"/>
      <c r="U11903" s="2"/>
      <c r="V11903" s="2"/>
      <c r="W11903" s="2"/>
      <c r="X11903" s="2"/>
      <c r="Y11903" s="2"/>
      <c r="Z11903" s="2"/>
    </row>
    <row r="11904" spans="1:26" ht="16.5" x14ac:dyDescent="0.35">
      <c r="A11904" s="2" t="str">
        <f ca="1">IFERROR(__xludf.DUMMYFUNCTION("""COMPUTED_VALUE"""),"Dubai")</f>
        <v>Dubai</v>
      </c>
      <c r="B11904" s="2" t="str">
        <f ca="1">IFERROR(__xludf.DUMMYFUNCTION("""COMPUTED_VALUE"""),"Bakhit Building")</f>
        <v>Bakhit Building</v>
      </c>
      <c r="C11904" s="2" t="str">
        <f ca="1">IFERROR(__xludf.DUMMYFUNCTION("""COMPUTED_VALUE"""),"Building")</f>
        <v>Building</v>
      </c>
      <c r="D11904" s="2" t="str">
        <f ca="1">IFERROR(__xludf.DUMMYFUNCTION("""COMPUTED_VALUE"""),"Dubai&gt;Al Karama&gt;Bakhit Building")</f>
        <v>Dubai&gt;Al Karama&gt;Bakhit Building</v>
      </c>
      <c r="E11904" s="2"/>
      <c r="F11904" s="2"/>
      <c r="G11904" s="2"/>
      <c r="H11904" s="2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2"/>
      <c r="T11904" s="2"/>
      <c r="U11904" s="2"/>
      <c r="V11904" s="2"/>
      <c r="W11904" s="2"/>
      <c r="X11904" s="2"/>
      <c r="Y11904" s="2"/>
      <c r="Z11904" s="2"/>
    </row>
    <row r="11905" spans="1:26" ht="16.5" x14ac:dyDescent="0.35">
      <c r="A11905" s="2" t="str">
        <f ca="1">IFERROR(__xludf.DUMMYFUNCTION("""COMPUTED_VALUE"""),"Dubai")</f>
        <v>Dubai</v>
      </c>
      <c r="B11905" s="2" t="str">
        <f ca="1">IFERROR(__xludf.DUMMYFUNCTION("""COMPUTED_VALUE"""),"Offices Land Building")</f>
        <v>Offices Land Building</v>
      </c>
      <c r="C11905" s="2" t="str">
        <f ca="1">IFERROR(__xludf.DUMMYFUNCTION("""COMPUTED_VALUE"""),"Cluster")</f>
        <v>Cluster</v>
      </c>
      <c r="D11905" s="2" t="str">
        <f ca="1">IFERROR(__xludf.DUMMYFUNCTION("""COMPUTED_VALUE"""),"Dubai&gt;Al Karama&gt;Offices Land Building")</f>
        <v>Dubai&gt;Al Karama&gt;Offices Land Building</v>
      </c>
      <c r="E11905" s="2"/>
      <c r="F11905" s="2"/>
      <c r="G11905" s="2"/>
      <c r="H11905" s="2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2"/>
      <c r="T11905" s="2"/>
      <c r="U11905" s="2"/>
      <c r="V11905" s="2"/>
      <c r="W11905" s="2"/>
      <c r="X11905" s="2"/>
      <c r="Y11905" s="2"/>
      <c r="Z11905" s="2"/>
    </row>
    <row r="11906" spans="1:26" ht="16.5" x14ac:dyDescent="0.35">
      <c r="A11906" s="2" t="str">
        <f ca="1">IFERROR(__xludf.DUMMYFUNCTION("""COMPUTED_VALUE"""),"Dubai")</f>
        <v>Dubai</v>
      </c>
      <c r="B11906" s="2" t="str">
        <f ca="1">IFERROR(__xludf.DUMMYFUNCTION("""COMPUTED_VALUE"""),"Al Safa Hermitage Building")</f>
        <v>Al Safa Hermitage Building</v>
      </c>
      <c r="C11906" s="2" t="str">
        <f ca="1">IFERROR(__xludf.DUMMYFUNCTION("""COMPUTED_VALUE"""),"Building")</f>
        <v>Building</v>
      </c>
      <c r="D11906" s="2" t="str">
        <f ca="1">IFERROR(__xludf.DUMMYFUNCTION("""COMPUTED_VALUE"""),"Dubai&gt;Al Karama&gt;Al Safa Hermitage Building")</f>
        <v>Dubai&gt;Al Karama&gt;Al Safa Hermitage Building</v>
      </c>
      <c r="E11906" s="2"/>
      <c r="F11906" s="2"/>
      <c r="G11906" s="2"/>
      <c r="H11906" s="2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2"/>
      <c r="T11906" s="2"/>
      <c r="U11906" s="2"/>
      <c r="V11906" s="2"/>
      <c r="W11906" s="2"/>
      <c r="X11906" s="2"/>
      <c r="Y11906" s="2"/>
      <c r="Z11906" s="2"/>
    </row>
    <row r="11907" spans="1:26" ht="16.5" x14ac:dyDescent="0.35">
      <c r="A11907" s="2" t="str">
        <f ca="1">IFERROR(__xludf.DUMMYFUNCTION("""COMPUTED_VALUE"""),"Dubai")</f>
        <v>Dubai</v>
      </c>
      <c r="B11907" s="2" t="str">
        <f ca="1">IFERROR(__xludf.DUMMYFUNCTION("""COMPUTED_VALUE"""),"MHR Lootha Building")</f>
        <v>MHR Lootha Building</v>
      </c>
      <c r="C11907" s="2" t="str">
        <f ca="1">IFERROR(__xludf.DUMMYFUNCTION("""COMPUTED_VALUE"""),"Building")</f>
        <v>Building</v>
      </c>
      <c r="D11907" s="2" t="str">
        <f ca="1">IFERROR(__xludf.DUMMYFUNCTION("""COMPUTED_VALUE"""),"Dubai&gt;Al Karama&gt;MHR Lootha Building")</f>
        <v>Dubai&gt;Al Karama&gt;MHR Lootha Building</v>
      </c>
      <c r="E11907" s="2"/>
      <c r="F11907" s="2"/>
      <c r="G11907" s="2"/>
      <c r="H11907" s="2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2"/>
      <c r="T11907" s="2"/>
      <c r="U11907" s="2"/>
      <c r="V11907" s="2"/>
      <c r="W11907" s="2"/>
      <c r="X11907" s="2"/>
      <c r="Y11907" s="2"/>
      <c r="Z11907" s="2"/>
    </row>
    <row r="11908" spans="1:26" ht="16.5" x14ac:dyDescent="0.35">
      <c r="A11908" s="2" t="str">
        <f ca="1">IFERROR(__xludf.DUMMYFUNCTION("""COMPUTED_VALUE"""),"Dubai")</f>
        <v>Dubai</v>
      </c>
      <c r="B11908" s="2" t="str">
        <f ca="1">IFERROR(__xludf.DUMMYFUNCTION("""COMPUTED_VALUE"""),"Mubarak Block C")</f>
        <v>Mubarak Block C</v>
      </c>
      <c r="C11908" s="2" t="str">
        <f ca="1">IFERROR(__xludf.DUMMYFUNCTION("""COMPUTED_VALUE"""),"Building")</f>
        <v>Building</v>
      </c>
      <c r="D11908" s="2" t="str">
        <f ca="1">IFERROR(__xludf.DUMMYFUNCTION("""COMPUTED_VALUE"""),"Dubai&gt;Al Karama&gt;Mubarak Blocks&gt;Mubarak Block C")</f>
        <v>Dubai&gt;Al Karama&gt;Mubarak Blocks&gt;Mubarak Block C</v>
      </c>
      <c r="E11908" s="2"/>
      <c r="F11908" s="2"/>
      <c r="G11908" s="2"/>
      <c r="H11908" s="2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2"/>
      <c r="T11908" s="2"/>
      <c r="U11908" s="2"/>
      <c r="V11908" s="2"/>
      <c r="W11908" s="2"/>
      <c r="X11908" s="2"/>
      <c r="Y11908" s="2"/>
      <c r="Z11908" s="2"/>
    </row>
    <row r="11909" spans="1:26" ht="16.5" x14ac:dyDescent="0.35">
      <c r="A11909" s="2" t="str">
        <f ca="1">IFERROR(__xludf.DUMMYFUNCTION("""COMPUTED_VALUE"""),"Dubai")</f>
        <v>Dubai</v>
      </c>
      <c r="B11909" s="2" t="str">
        <f ca="1">IFERROR(__xludf.DUMMYFUNCTION("""COMPUTED_VALUE"""),"Karama 4 Building")</f>
        <v>Karama 4 Building</v>
      </c>
      <c r="C11909" s="2" t="str">
        <f ca="1">IFERROR(__xludf.DUMMYFUNCTION("""COMPUTED_VALUE"""),"Building")</f>
        <v>Building</v>
      </c>
      <c r="D11909" s="2" t="str">
        <f ca="1">IFERROR(__xludf.DUMMYFUNCTION("""COMPUTED_VALUE"""),"Dubai&gt;Al Karama&gt;Karama 4 Building")</f>
        <v>Dubai&gt;Al Karama&gt;Karama 4 Building</v>
      </c>
      <c r="E11909" s="2"/>
      <c r="F11909" s="2"/>
      <c r="G11909" s="2"/>
      <c r="H11909" s="2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2"/>
      <c r="T11909" s="2"/>
      <c r="U11909" s="2"/>
      <c r="V11909" s="2"/>
      <c r="W11909" s="2"/>
      <c r="X11909" s="2"/>
      <c r="Y11909" s="2"/>
      <c r="Z11909" s="2"/>
    </row>
    <row r="11910" spans="1:26" ht="16.5" x14ac:dyDescent="0.35">
      <c r="A11910" s="2" t="str">
        <f ca="1">IFERROR(__xludf.DUMMYFUNCTION("""COMPUTED_VALUE"""),"Dubai")</f>
        <v>Dubai</v>
      </c>
      <c r="B11910" s="2" t="str">
        <f ca="1">IFERROR(__xludf.DUMMYFUNCTION("""COMPUTED_VALUE"""),"Jumma Al Majid 3 Building")</f>
        <v>Jumma Al Majid 3 Building</v>
      </c>
      <c r="C11910" s="2" t="str">
        <f ca="1">IFERROR(__xludf.DUMMYFUNCTION("""COMPUTED_VALUE"""),"Building")</f>
        <v>Building</v>
      </c>
      <c r="D11910" s="2" t="str">
        <f ca="1">IFERROR(__xludf.DUMMYFUNCTION("""COMPUTED_VALUE"""),"Dubai&gt;Al Karama&gt;Jumma Al Majid 3 Building")</f>
        <v>Dubai&gt;Al Karama&gt;Jumma Al Majid 3 Building</v>
      </c>
      <c r="E11910" s="2"/>
      <c r="F11910" s="2"/>
      <c r="G11910" s="2"/>
      <c r="H11910" s="2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2"/>
      <c r="T11910" s="2"/>
      <c r="U11910" s="2"/>
      <c r="V11910" s="2"/>
      <c r="W11910" s="2"/>
      <c r="X11910" s="2"/>
      <c r="Y11910" s="2"/>
      <c r="Z11910" s="2"/>
    </row>
    <row r="11911" spans="1:26" ht="16.5" x14ac:dyDescent="0.35">
      <c r="A11911" s="2" t="str">
        <f ca="1">IFERROR(__xludf.DUMMYFUNCTION("""COMPUTED_VALUE"""),"Dubai")</f>
        <v>Dubai</v>
      </c>
      <c r="B11911" s="2" t="str">
        <f ca="1">IFERROR(__xludf.DUMMYFUNCTION("""COMPUTED_VALUE"""),"Art Bay")</f>
        <v>Art Bay</v>
      </c>
      <c r="C11911" s="2" t="str">
        <f ca="1">IFERROR(__xludf.DUMMYFUNCTION("""COMPUTED_VALUE"""),"Cluster")</f>
        <v>Cluster</v>
      </c>
      <c r="D11911" s="2" t="str">
        <f ca="1">IFERROR(__xludf.DUMMYFUNCTION("""COMPUTED_VALUE"""),"Dubai&gt;Culture Village (Jaddaf Waterfront)&gt;Art Bay")</f>
        <v>Dubai&gt;Culture Village (Jaddaf Waterfront)&gt;Art Bay</v>
      </c>
      <c r="E11911" s="2"/>
      <c r="F11911" s="2"/>
      <c r="G11911" s="2"/>
      <c r="H11911" s="2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2"/>
      <c r="T11911" s="2"/>
      <c r="U11911" s="2"/>
      <c r="V11911" s="2"/>
      <c r="W11911" s="2"/>
      <c r="X11911" s="2"/>
      <c r="Y11911" s="2"/>
      <c r="Z11911" s="2"/>
    </row>
    <row r="11912" spans="1:26" ht="16.5" x14ac:dyDescent="0.35">
      <c r="A11912" s="2" t="str">
        <f ca="1">IFERROR(__xludf.DUMMYFUNCTION("""COMPUTED_VALUE"""),"Dubai")</f>
        <v>Dubai</v>
      </c>
      <c r="B11912" s="2" t="str">
        <f ca="1">IFERROR(__xludf.DUMMYFUNCTION("""COMPUTED_VALUE"""),"Marsa Al Arab")</f>
        <v>Marsa Al Arab</v>
      </c>
      <c r="C11912" s="2" t="str">
        <f ca="1">IFERROR(__xludf.DUMMYFUNCTION("""COMPUTED_VALUE"""),"Neighbourhood")</f>
        <v>Neighbourhood</v>
      </c>
      <c r="D11912" s="2" t="str">
        <f ca="1">IFERROR(__xludf.DUMMYFUNCTION("""COMPUTED_VALUE"""),"Dubai&gt;Umm Suqeim&gt;Umm Suqeim 3&gt;Marsa Al Arab")</f>
        <v>Dubai&gt;Umm Suqeim&gt;Umm Suqeim 3&gt;Marsa Al Arab</v>
      </c>
      <c r="E11912" s="2"/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2"/>
      <c r="T11912" s="2"/>
      <c r="U11912" s="2"/>
      <c r="V11912" s="2"/>
      <c r="W11912" s="2"/>
      <c r="X11912" s="2"/>
      <c r="Y11912" s="2"/>
      <c r="Z11912" s="2"/>
    </row>
    <row r="11913" spans="1:26" ht="16.5" x14ac:dyDescent="0.35">
      <c r="A11913" s="2" t="str">
        <f ca="1">IFERROR(__xludf.DUMMYFUNCTION("""COMPUTED_VALUE"""),"Dubai")</f>
        <v>Dubai</v>
      </c>
      <c r="B11913" s="2" t="str">
        <f ca="1">IFERROR(__xludf.DUMMYFUNCTION("""COMPUTED_VALUE"""),"Jomana 3")</f>
        <v>Jomana 3</v>
      </c>
      <c r="C11913" s="2" t="str">
        <f ca="1">IFERROR(__xludf.DUMMYFUNCTION("""COMPUTED_VALUE"""),"Building")</f>
        <v>Building</v>
      </c>
      <c r="D11913" s="2" t="str">
        <f ca="1">IFERROR(__xludf.DUMMYFUNCTION("""COMPUTED_VALUE"""),"Dubai&gt;Umm Suqeim&gt;Madinat Jumeirah Living&gt;Jomana&gt;Jomana 3")</f>
        <v>Dubai&gt;Umm Suqeim&gt;Madinat Jumeirah Living&gt;Jomana&gt;Jomana 3</v>
      </c>
      <c r="E11913" s="2"/>
      <c r="F11913" s="2"/>
      <c r="G11913" s="2"/>
      <c r="H11913" s="2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2"/>
      <c r="T11913" s="2"/>
      <c r="U11913" s="2"/>
      <c r="V11913" s="2"/>
      <c r="W11913" s="2"/>
      <c r="X11913" s="2"/>
      <c r="Y11913" s="2"/>
      <c r="Z11913" s="2"/>
    </row>
    <row r="11914" spans="1:26" ht="16.5" x14ac:dyDescent="0.35">
      <c r="A11914" s="2" t="str">
        <f ca="1">IFERROR(__xludf.DUMMYFUNCTION("""COMPUTED_VALUE"""),"Dubai")</f>
        <v>Dubai</v>
      </c>
      <c r="B11914" s="2" t="str">
        <f ca="1">IFERROR(__xludf.DUMMYFUNCTION("""COMPUTED_VALUE"""),"Gardenia Nursery")</f>
        <v>Gardenia Nursery</v>
      </c>
      <c r="C11914" s="2" t="str">
        <f ca="1">IFERROR(__xludf.DUMMYFUNCTION("""COMPUTED_VALUE"""),"Nursery")</f>
        <v>Nursery</v>
      </c>
      <c r="D11914" s="2" t="str">
        <f ca="1">IFERROR(__xludf.DUMMYFUNCTION("""COMPUTED_VALUE"""),"Dubai&gt;Umm Suqeim&gt;Umm Suqeim 1&gt;Gardenia Nursery")</f>
        <v>Dubai&gt;Umm Suqeim&gt;Umm Suqeim 1&gt;Gardenia Nursery</v>
      </c>
      <c r="E11914" s="2"/>
      <c r="F11914" s="2"/>
      <c r="G11914" s="2"/>
      <c r="H11914" s="2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2"/>
      <c r="T11914" s="2"/>
      <c r="U11914" s="2"/>
      <c r="V11914" s="2"/>
      <c r="W11914" s="2"/>
      <c r="X11914" s="2"/>
      <c r="Y11914" s="2"/>
      <c r="Z11914" s="2"/>
    </row>
    <row r="11915" spans="1:26" ht="16.5" x14ac:dyDescent="0.35">
      <c r="A11915" s="2" t="str">
        <f ca="1">IFERROR(__xludf.DUMMYFUNCTION("""COMPUTED_VALUE"""),"Dubai")</f>
        <v>Dubai</v>
      </c>
      <c r="B11915" s="2" t="str">
        <f ca="1">IFERROR(__xludf.DUMMYFUNCTION("""COMPUTED_VALUE"""),"Azizi Milan Heights Tower C")</f>
        <v>Azizi Milan Heights Tower C</v>
      </c>
      <c r="C11915" s="2" t="str">
        <f ca="1">IFERROR(__xludf.DUMMYFUNCTION("""COMPUTED_VALUE"""),"Building")</f>
        <v>Building</v>
      </c>
      <c r="D11915" s="2" t="str">
        <f ca="1">IFERROR(__xludf.DUMMYFUNCTION("""COMPUTED_VALUE"""),"Dubai&gt;City of Arabia&gt;Azizi Milan&gt;Azizi Milan Heights&gt;Azizi Milan Heights Tower C")</f>
        <v>Dubai&gt;City of Arabia&gt;Azizi Milan&gt;Azizi Milan Heights&gt;Azizi Milan Heights Tower C</v>
      </c>
      <c r="E11915" s="2"/>
      <c r="F11915" s="2"/>
      <c r="G11915" s="2"/>
      <c r="H11915" s="2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2"/>
      <c r="T11915" s="2"/>
      <c r="U11915" s="2"/>
      <c r="V11915" s="2"/>
      <c r="W11915" s="2"/>
      <c r="X11915" s="2"/>
      <c r="Y11915" s="2"/>
      <c r="Z11915" s="2"/>
    </row>
    <row r="11916" spans="1:26" ht="16.5" x14ac:dyDescent="0.35">
      <c r="A11916" s="2" t="str">
        <f ca="1">IFERROR(__xludf.DUMMYFUNCTION("""COMPUTED_VALUE"""),"Dubai")</f>
        <v>Dubai</v>
      </c>
      <c r="B11916" s="2" t="str">
        <f ca="1">IFERROR(__xludf.DUMMYFUNCTION("""COMPUTED_VALUE"""),"Al Khallafi Building")</f>
        <v>Al Khallafi Building</v>
      </c>
      <c r="C11916" s="2" t="str">
        <f ca="1">IFERROR(__xludf.DUMMYFUNCTION("""COMPUTED_VALUE"""),"Building")</f>
        <v>Building</v>
      </c>
      <c r="D11916" s="2" t="str">
        <f ca="1">IFERROR(__xludf.DUMMYFUNCTION("""COMPUTED_VALUE"""),"Dubai&gt;Al Badaa&gt;Al Khallafi Building")</f>
        <v>Dubai&gt;Al Badaa&gt;Al Khallafi Building</v>
      </c>
      <c r="E11916" s="2"/>
      <c r="F11916" s="2"/>
      <c r="G11916" s="2"/>
      <c r="H11916" s="2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2"/>
      <c r="T11916" s="2"/>
      <c r="U11916" s="2"/>
      <c r="V11916" s="2"/>
      <c r="W11916" s="2"/>
      <c r="X11916" s="2"/>
      <c r="Y11916" s="2"/>
      <c r="Z11916" s="2"/>
    </row>
    <row r="11917" spans="1:26" ht="16.5" x14ac:dyDescent="0.35">
      <c r="A11917" s="2" t="str">
        <f ca="1">IFERROR(__xludf.DUMMYFUNCTION("""COMPUTED_VALUE"""),"Dubai")</f>
        <v>Dubai</v>
      </c>
      <c r="B11917" s="2" t="str">
        <f ca="1">IFERROR(__xludf.DUMMYFUNCTION("""COMPUTED_VALUE"""),"Centro Building")</f>
        <v>Centro Building</v>
      </c>
      <c r="C11917" s="2" t="str">
        <f ca="1">IFERROR(__xludf.DUMMYFUNCTION("""COMPUTED_VALUE"""),"Building")</f>
        <v>Building</v>
      </c>
      <c r="D11917" s="2" t="str">
        <f ca="1">IFERROR(__xludf.DUMMYFUNCTION("""COMPUTED_VALUE"""),"Dubai&gt;Al Badaa&gt;Centro Building")</f>
        <v>Dubai&gt;Al Badaa&gt;Centro Building</v>
      </c>
      <c r="E11917" s="2"/>
      <c r="F11917" s="2"/>
      <c r="G11917" s="2"/>
      <c r="H11917" s="2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2"/>
      <c r="T11917" s="2"/>
      <c r="U11917" s="2"/>
      <c r="V11917" s="2"/>
      <c r="W11917" s="2"/>
      <c r="X11917" s="2"/>
      <c r="Y11917" s="2"/>
      <c r="Z11917" s="2"/>
    </row>
    <row r="11918" spans="1:26" ht="16.5" x14ac:dyDescent="0.35">
      <c r="A11918" s="2" t="str">
        <f ca="1">IFERROR(__xludf.DUMMYFUNCTION("""COMPUTED_VALUE"""),"Dubai")</f>
        <v>Dubai</v>
      </c>
      <c r="B11918" s="2" t="str">
        <f ca="1">IFERROR(__xludf.DUMMYFUNCTION("""COMPUTED_VALUE"""),"Manara 8")</f>
        <v>Manara 8</v>
      </c>
      <c r="C11918" s="2" t="str">
        <f ca="1">IFERROR(__xludf.DUMMYFUNCTION("""COMPUTED_VALUE"""),"Building")</f>
        <v>Building</v>
      </c>
      <c r="D11918" s="2" t="str">
        <f ca="1">IFERROR(__xludf.DUMMYFUNCTION("""COMPUTED_VALUE"""),"Dubai&gt;Dubai Waterfront&gt;Badrah&gt;Manara&gt;Manara 8")</f>
        <v>Dubai&gt;Dubai Waterfront&gt;Badrah&gt;Manara&gt;Manara 8</v>
      </c>
      <c r="E11918" s="2"/>
      <c r="F11918" s="2"/>
      <c r="G11918" s="2"/>
      <c r="H11918" s="2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2"/>
      <c r="T11918" s="2"/>
      <c r="U11918" s="2"/>
      <c r="V11918" s="2"/>
      <c r="W11918" s="2"/>
      <c r="X11918" s="2"/>
      <c r="Y11918" s="2"/>
      <c r="Z11918" s="2"/>
    </row>
    <row r="11919" spans="1:26" ht="16.5" x14ac:dyDescent="0.35">
      <c r="A11919" s="2" t="str">
        <f ca="1">IFERROR(__xludf.DUMMYFUNCTION("""COMPUTED_VALUE"""),"Dubai")</f>
        <v>Dubai</v>
      </c>
      <c r="B11919" s="2" t="str">
        <f ca="1">IFERROR(__xludf.DUMMYFUNCTION("""COMPUTED_VALUE"""),"Bright Learners Private School, Al Rashidiya, Dubai")</f>
        <v>Bright Learners Private School, Al Rashidiya, Dubai</v>
      </c>
      <c r="C11919" s="2" t="str">
        <f ca="1">IFERROR(__xludf.DUMMYFUNCTION("""COMPUTED_VALUE"""),"School")</f>
        <v>School</v>
      </c>
      <c r="D11919" s="2" t="str">
        <f ca="1">IFERROR(__xludf.DUMMYFUNCTION("""COMPUTED_VALUE"""),"Dubai&gt;Al Rashidiya&gt;Bright Learners Private School, Al Rashidiya, Dubai")</f>
        <v>Dubai&gt;Al Rashidiya&gt;Bright Learners Private School, Al Rashidiya, Dubai</v>
      </c>
      <c r="E11919" s="2"/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2"/>
      <c r="T11919" s="2"/>
      <c r="U11919" s="2"/>
      <c r="V11919" s="2"/>
      <c r="W11919" s="2"/>
      <c r="X11919" s="2"/>
      <c r="Y11919" s="2"/>
      <c r="Z11919" s="2"/>
    </row>
    <row r="11920" spans="1:26" ht="16.5" x14ac:dyDescent="0.35">
      <c r="A11920" s="2" t="str">
        <f ca="1">IFERROR(__xludf.DUMMYFUNCTION("""COMPUTED_VALUE"""),"Dubai")</f>
        <v>Dubai</v>
      </c>
      <c r="B11920" s="2" t="str">
        <f ca="1">IFERROR(__xludf.DUMMYFUNCTION("""COMPUTED_VALUE"""),"The Edit at D3")</f>
        <v>The Edit at D3</v>
      </c>
      <c r="C11920" s="2" t="str">
        <f ca="1">IFERROR(__xludf.DUMMYFUNCTION("""COMPUTED_VALUE"""),"Cluster")</f>
        <v>Cluster</v>
      </c>
      <c r="D11920" s="2" t="str">
        <f ca="1">IFERROR(__xludf.DUMMYFUNCTION("""COMPUTED_VALUE"""),"Dubai&gt;Dubai Design District&gt;The Edit at D3")</f>
        <v>Dubai&gt;Dubai Design District&gt;The Edit at D3</v>
      </c>
      <c r="E11920" s="2"/>
      <c r="F11920" s="2"/>
      <c r="G11920" s="2"/>
      <c r="H11920" s="2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2"/>
      <c r="T11920" s="2"/>
      <c r="U11920" s="2"/>
      <c r="V11920" s="2"/>
      <c r="W11920" s="2"/>
      <c r="X11920" s="2"/>
      <c r="Y11920" s="2"/>
      <c r="Z11920" s="2"/>
    </row>
    <row r="11921" spans="1:26" ht="16.5" x14ac:dyDescent="0.35">
      <c r="A11921" s="2" t="str">
        <f ca="1">IFERROR(__xludf.DUMMYFUNCTION("""COMPUTED_VALUE"""),"Dubai")</f>
        <v>Dubai</v>
      </c>
      <c r="B11921" s="2" t="str">
        <f ca="1">IFERROR(__xludf.DUMMYFUNCTION("""COMPUTED_VALUE"""),"Pearl Apartment")</f>
        <v>Pearl Apartment</v>
      </c>
      <c r="C11921" s="2" t="str">
        <f ca="1">IFERROR(__xludf.DUMMYFUNCTION("""COMPUTED_VALUE"""),"Building")</f>
        <v>Building</v>
      </c>
      <c r="D11921" s="2" t="str">
        <f ca="1">IFERROR(__xludf.DUMMYFUNCTION("""COMPUTED_VALUE"""),"Dubai&gt;Al Hudaiba&gt;Pearl Apartment")</f>
        <v>Dubai&gt;Al Hudaiba&gt;Pearl Apartment</v>
      </c>
      <c r="E11921" s="2"/>
      <c r="F11921" s="2"/>
      <c r="G11921" s="2"/>
      <c r="H11921" s="2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2"/>
      <c r="T11921" s="2"/>
      <c r="U11921" s="2"/>
      <c r="V11921" s="2"/>
      <c r="W11921" s="2"/>
      <c r="X11921" s="2"/>
      <c r="Y11921" s="2"/>
      <c r="Z11921" s="2"/>
    </row>
    <row r="11922" spans="1:26" ht="16.5" x14ac:dyDescent="0.35">
      <c r="A11922" s="2" t="str">
        <f ca="1">IFERROR(__xludf.DUMMYFUNCTION("""COMPUTED_VALUE"""),"Dubai")</f>
        <v>Dubai</v>
      </c>
      <c r="B11922" s="2" t="str">
        <f ca="1">IFERROR(__xludf.DUMMYFUNCTION("""COMPUTED_VALUE"""),"Al Maskan Jumeirah")</f>
        <v>Al Maskan Jumeirah</v>
      </c>
      <c r="C11922" s="2" t="str">
        <f ca="1">IFERROR(__xludf.DUMMYFUNCTION("""COMPUTED_VALUE"""),"Building")</f>
        <v>Building</v>
      </c>
      <c r="D11922" s="2" t="str">
        <f ca="1">IFERROR(__xludf.DUMMYFUNCTION("""COMPUTED_VALUE"""),"Dubai&gt;Jumeirah&gt;Jumeirah 1&gt;Al Maskan Jumeirah")</f>
        <v>Dubai&gt;Jumeirah&gt;Jumeirah 1&gt;Al Maskan Jumeirah</v>
      </c>
      <c r="E11922" s="2"/>
      <c r="F11922" s="2"/>
      <c r="G11922" s="2"/>
      <c r="H11922" s="2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2"/>
      <c r="T11922" s="2"/>
      <c r="U11922" s="2"/>
      <c r="V11922" s="2"/>
      <c r="W11922" s="2"/>
      <c r="X11922" s="2"/>
      <c r="Y11922" s="2"/>
      <c r="Z11922" s="2"/>
    </row>
    <row r="11923" spans="1:26" ht="16.5" x14ac:dyDescent="0.35">
      <c r="A11923" s="2" t="str">
        <f ca="1">IFERROR(__xludf.DUMMYFUNCTION("""COMPUTED_VALUE"""),"Dubai")</f>
        <v>Dubai</v>
      </c>
      <c r="B11923" s="2" t="str">
        <f ca="1">IFERROR(__xludf.DUMMYFUNCTION("""COMPUTED_VALUE"""),"BVLGARI Lighthouse")</f>
        <v>BVLGARI Lighthouse</v>
      </c>
      <c r="C11923" s="2" t="str">
        <f ca="1">IFERROR(__xludf.DUMMYFUNCTION("""COMPUTED_VALUE"""),"Building")</f>
        <v>Building</v>
      </c>
      <c r="D11923" s="2" t="str">
        <f ca="1">IFERROR(__xludf.DUMMYFUNCTION("""COMPUTED_VALUE"""),"Dubai&gt;Jumeirah&gt;Jumeirah Bay Islands&gt;BVLGARI Lighthouse")</f>
        <v>Dubai&gt;Jumeirah&gt;Jumeirah Bay Islands&gt;BVLGARI Lighthouse</v>
      </c>
      <c r="E11923" s="2"/>
      <c r="F11923" s="2"/>
      <c r="G11923" s="2"/>
      <c r="H11923" s="2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2"/>
      <c r="T11923" s="2"/>
      <c r="U11923" s="2"/>
      <c r="V11923" s="2"/>
      <c r="W11923" s="2"/>
      <c r="X11923" s="2"/>
      <c r="Y11923" s="2"/>
      <c r="Z11923" s="2"/>
    </row>
    <row r="11924" spans="1:26" ht="16.5" x14ac:dyDescent="0.35">
      <c r="A11924" s="2" t="str">
        <f ca="1">IFERROR(__xludf.DUMMYFUNCTION("""COMPUTED_VALUE"""),"Dubai")</f>
        <v>Dubai</v>
      </c>
      <c r="B11924" s="2" t="str">
        <f ca="1">IFERROR(__xludf.DUMMYFUNCTION("""COMPUTED_VALUE"""),"La Rive Tower 3")</f>
        <v>La Rive Tower 3</v>
      </c>
      <c r="C11924" s="2" t="str">
        <f ca="1">IFERROR(__xludf.DUMMYFUNCTION("""COMPUTED_VALUE"""),"Building")</f>
        <v>Building</v>
      </c>
      <c r="D11924" s="2" t="str">
        <f ca="1">IFERROR(__xludf.DUMMYFUNCTION("""COMPUTED_VALUE"""),"Dubai&gt;Jumeirah&gt;La Mer&gt;Port de La Mer&gt;La Rive&gt;La Rive Tower 3")</f>
        <v>Dubai&gt;Jumeirah&gt;La Mer&gt;Port de La Mer&gt;La Rive&gt;La Rive Tower 3</v>
      </c>
      <c r="E11924" s="2"/>
      <c r="F11924" s="2"/>
      <c r="G11924" s="2"/>
      <c r="H11924" s="2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2"/>
      <c r="T11924" s="2"/>
      <c r="U11924" s="2"/>
      <c r="V11924" s="2"/>
      <c r="W11924" s="2"/>
      <c r="X11924" s="2"/>
      <c r="Y11924" s="2"/>
      <c r="Z11924" s="2"/>
    </row>
    <row r="11925" spans="1:26" ht="16.5" x14ac:dyDescent="0.35">
      <c r="A11925" s="2" t="str">
        <f ca="1">IFERROR(__xludf.DUMMYFUNCTION("""COMPUTED_VALUE"""),"Dubai")</f>
        <v>Dubai</v>
      </c>
      <c r="B11925" s="2" t="str">
        <f ca="1">IFERROR(__xludf.DUMMYFUNCTION("""COMPUTED_VALUE"""),"Solaya 4")</f>
        <v>Solaya 4</v>
      </c>
      <c r="C11925" s="2" t="str">
        <f ca="1">IFERROR(__xludf.DUMMYFUNCTION("""COMPUTED_VALUE"""),"Building")</f>
        <v>Building</v>
      </c>
      <c r="D11925" s="2" t="str">
        <f ca="1">IFERROR(__xludf.DUMMYFUNCTION("""COMPUTED_VALUE"""),"Dubai&gt;Jumeirah&gt;La Mer&gt;Solaya&gt;Solaya 4")</f>
        <v>Dubai&gt;Jumeirah&gt;La Mer&gt;Solaya&gt;Solaya 4</v>
      </c>
      <c r="E11925" s="2"/>
      <c r="F11925" s="2"/>
      <c r="G11925" s="2"/>
      <c r="H11925" s="2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2"/>
      <c r="T11925" s="2"/>
      <c r="U11925" s="2"/>
      <c r="V11925" s="2"/>
      <c r="W11925" s="2"/>
      <c r="X11925" s="2"/>
      <c r="Y11925" s="2"/>
      <c r="Z11925" s="2"/>
    </row>
    <row r="11926" spans="1:26" ht="16.5" x14ac:dyDescent="0.35">
      <c r="A11926" s="2" t="str">
        <f ca="1">IFERROR(__xludf.DUMMYFUNCTION("""COMPUTED_VALUE"""),"Dubai")</f>
        <v>Dubai</v>
      </c>
      <c r="B11926" s="2" t="str">
        <f ca="1">IFERROR(__xludf.DUMMYFUNCTION("""COMPUTED_VALUE"""),"Harbour Gate Podium")</f>
        <v>Harbour Gate Podium</v>
      </c>
      <c r="C11926" s="2" t="str">
        <f ca="1">IFERROR(__xludf.DUMMYFUNCTION("""COMPUTED_VALUE"""),"Building")</f>
        <v>Building</v>
      </c>
      <c r="D11926" s="2" t="str">
        <f ca="1">IFERROR(__xludf.DUMMYFUNCTION("""COMPUTED_VALUE"""),"Dubai&gt;Dubai Creek Harbour&gt;Harbour Gate&gt;Harbour Gate Podium")</f>
        <v>Dubai&gt;Dubai Creek Harbour&gt;Harbour Gate&gt;Harbour Gate Podium</v>
      </c>
      <c r="E11926" s="2"/>
      <c r="F11926" s="2"/>
      <c r="G11926" s="2"/>
      <c r="H11926" s="2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2"/>
      <c r="T11926" s="2"/>
      <c r="U11926" s="2"/>
      <c r="V11926" s="2"/>
      <c r="W11926" s="2"/>
      <c r="X11926" s="2"/>
      <c r="Y11926" s="2"/>
      <c r="Z11926" s="2"/>
    </row>
    <row r="11927" spans="1:26" ht="16.5" x14ac:dyDescent="0.35">
      <c r="A11927" s="2" t="str">
        <f ca="1">IFERROR(__xludf.DUMMYFUNCTION("""COMPUTED_VALUE"""),"Dubai")</f>
        <v>Dubai</v>
      </c>
      <c r="B11927" s="2" t="str">
        <f ca="1">IFERROR(__xludf.DUMMYFUNCTION("""COMPUTED_VALUE"""),"The Grand")</f>
        <v>The Grand</v>
      </c>
      <c r="C11927" s="2" t="str">
        <f ca="1">IFERROR(__xludf.DUMMYFUNCTION("""COMPUTED_VALUE"""),"Building")</f>
        <v>Building</v>
      </c>
      <c r="D11927" s="2" t="str">
        <f ca="1">IFERROR(__xludf.DUMMYFUNCTION("""COMPUTED_VALUE"""),"Dubai&gt;Dubai Creek Harbour&gt;The Grand")</f>
        <v>Dubai&gt;Dubai Creek Harbour&gt;The Grand</v>
      </c>
      <c r="E11927" s="2"/>
      <c r="F11927" s="2"/>
      <c r="G11927" s="2"/>
      <c r="H11927" s="2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2"/>
      <c r="T11927" s="2"/>
      <c r="U11927" s="2"/>
      <c r="V11927" s="2"/>
      <c r="W11927" s="2"/>
      <c r="X11927" s="2"/>
      <c r="Y11927" s="2"/>
      <c r="Z11927" s="2"/>
    </row>
    <row r="11928" spans="1:26" ht="16.5" x14ac:dyDescent="0.35">
      <c r="A11928" s="2" t="str">
        <f ca="1">IFERROR(__xludf.DUMMYFUNCTION("""COMPUTED_VALUE"""),"Dubai")</f>
        <v>Dubai</v>
      </c>
      <c r="B11928" s="2" t="str">
        <f ca="1">IFERROR(__xludf.DUMMYFUNCTION("""COMPUTED_VALUE"""),"The Cove II Building 8")</f>
        <v>The Cove II Building 8</v>
      </c>
      <c r="C11928" s="2" t="str">
        <f ca="1">IFERROR(__xludf.DUMMYFUNCTION("""COMPUTED_VALUE"""),"Building")</f>
        <v>Building</v>
      </c>
      <c r="D11928" s="2" t="str">
        <f ca="1">IFERROR(__xludf.DUMMYFUNCTION("""COMPUTED_VALUE"""),"Dubai&gt;Dubai Creek Harbour&gt;The Cove II&gt;The Cove II Building 8")</f>
        <v>Dubai&gt;Dubai Creek Harbour&gt;The Cove II&gt;The Cove II Building 8</v>
      </c>
      <c r="E11928" s="2"/>
      <c r="F11928" s="2"/>
      <c r="G11928" s="2"/>
      <c r="H11928" s="2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2"/>
      <c r="T11928" s="2"/>
      <c r="U11928" s="2"/>
      <c r="V11928" s="2"/>
      <c r="W11928" s="2"/>
      <c r="X11928" s="2"/>
      <c r="Y11928" s="2"/>
      <c r="Z11928" s="2"/>
    </row>
    <row r="11929" spans="1:26" ht="16.5" x14ac:dyDescent="0.35">
      <c r="A11929" s="2" t="str">
        <f ca="1">IFERROR(__xludf.DUMMYFUNCTION("""COMPUTED_VALUE"""),"Dubai")</f>
        <v>Dubai</v>
      </c>
      <c r="B11929" s="2" t="str">
        <f ca="1">IFERROR(__xludf.DUMMYFUNCTION("""COMPUTED_VALUE"""),"Canopy at Creek Beach Building 4")</f>
        <v>Canopy at Creek Beach Building 4</v>
      </c>
      <c r="C11929" s="2" t="str">
        <f ca="1">IFERROR(__xludf.DUMMYFUNCTION("""COMPUTED_VALUE"""),"Building")</f>
        <v>Building</v>
      </c>
      <c r="D11929" s="2" t="str">
        <f ca="1">IFERROR(__xludf.DUMMYFUNCTION("""COMPUTED_VALUE"""),"Dubai&gt;Dubai Creek Harbour&gt;Canopy at Creek Beach&gt;Canopy at Creek Beach Building 4")</f>
        <v>Dubai&gt;Dubai Creek Harbour&gt;Canopy at Creek Beach&gt;Canopy at Creek Beach Building 4</v>
      </c>
      <c r="E11929" s="2"/>
      <c r="F11929" s="2"/>
      <c r="G11929" s="2"/>
      <c r="H11929" s="2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2"/>
      <c r="T11929" s="2"/>
      <c r="U11929" s="2"/>
      <c r="V11929" s="2"/>
      <c r="W11929" s="2"/>
      <c r="X11929" s="2"/>
      <c r="Y11929" s="2"/>
      <c r="Z11929" s="2"/>
    </row>
    <row r="11930" spans="1:26" ht="16.5" x14ac:dyDescent="0.35">
      <c r="A11930" s="2" t="str">
        <f ca="1">IFERROR(__xludf.DUMMYFUNCTION("""COMPUTED_VALUE"""),"Dubai")</f>
        <v>Dubai</v>
      </c>
      <c r="B11930" s="2" t="str">
        <f ca="1">IFERROR(__xludf.DUMMYFUNCTION("""COMPUTED_VALUE"""),"Al Fahad Tower 2")</f>
        <v>Al Fahad Tower 2</v>
      </c>
      <c r="C11930" s="2" t="str">
        <f ca="1">IFERROR(__xludf.DUMMYFUNCTION("""COMPUTED_VALUE"""),"Building")</f>
        <v>Building</v>
      </c>
      <c r="D11930" s="2" t="str">
        <f ca="1">IFERROR(__xludf.DUMMYFUNCTION("""COMPUTED_VALUE"""),"Dubai&gt;Barsha Heights (Tecom)&gt;Al Fahad Tower 2")</f>
        <v>Dubai&gt;Barsha Heights (Tecom)&gt;Al Fahad Tower 2</v>
      </c>
      <c r="E11930" s="2"/>
      <c r="F11930" s="2"/>
      <c r="G11930" s="2"/>
      <c r="H11930" s="2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2"/>
      <c r="T11930" s="2"/>
      <c r="U11930" s="2"/>
      <c r="V11930" s="2"/>
      <c r="W11930" s="2"/>
      <c r="X11930" s="2"/>
      <c r="Y11930" s="2"/>
      <c r="Z11930" s="2"/>
    </row>
    <row r="11931" spans="1:26" ht="16.5" x14ac:dyDescent="0.35">
      <c r="A11931" s="2" t="str">
        <f ca="1">IFERROR(__xludf.DUMMYFUNCTION("""COMPUTED_VALUE"""),"Dubai")</f>
        <v>Dubai</v>
      </c>
      <c r="B11931" s="2" t="str">
        <f ca="1">IFERROR(__xludf.DUMMYFUNCTION("""COMPUTED_VALUE"""),"Green View 3")</f>
        <v>Green View 3</v>
      </c>
      <c r="C11931" s="2" t="str">
        <f ca="1">IFERROR(__xludf.DUMMYFUNCTION("""COMPUTED_VALUE"""),"Building")</f>
        <v>Building</v>
      </c>
      <c r="D11931" s="2" t="str">
        <f ca="1">IFERROR(__xludf.DUMMYFUNCTION("""COMPUTED_VALUE"""),"Dubai&gt;Barsha Heights (Tecom)&gt;Green View Residences&gt;Green View 3")</f>
        <v>Dubai&gt;Barsha Heights (Tecom)&gt;Green View Residences&gt;Green View 3</v>
      </c>
      <c r="E11931" s="2"/>
      <c r="F11931" s="2"/>
      <c r="G11931" s="2"/>
      <c r="H11931" s="2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2"/>
      <c r="T11931" s="2"/>
      <c r="U11931" s="2"/>
      <c r="V11931" s="2"/>
      <c r="W11931" s="2"/>
      <c r="X11931" s="2"/>
      <c r="Y11931" s="2"/>
      <c r="Z11931" s="2"/>
    </row>
    <row r="11932" spans="1:26" ht="16.5" x14ac:dyDescent="0.35">
      <c r="A11932" s="2" t="str">
        <f ca="1">IFERROR(__xludf.DUMMYFUNCTION("""COMPUTED_VALUE"""),"Dubai")</f>
        <v>Dubai</v>
      </c>
      <c r="B11932" s="2" t="str">
        <f ca="1">IFERROR(__xludf.DUMMYFUNCTION("""COMPUTED_VALUE"""),"Tower 7 Apartments")</f>
        <v>Tower 7 Apartments</v>
      </c>
      <c r="C11932" s="2" t="str">
        <f ca="1">IFERROR(__xludf.DUMMYFUNCTION("""COMPUTED_VALUE"""),"Building")</f>
        <v>Building</v>
      </c>
      <c r="D11932" s="2" t="str">
        <f ca="1">IFERROR(__xludf.DUMMYFUNCTION("""COMPUTED_VALUE"""),"Dubai&gt;Barsha Heights (Tecom)&gt;Tower 7 Apartments")</f>
        <v>Dubai&gt;Barsha Heights (Tecom)&gt;Tower 7 Apartments</v>
      </c>
      <c r="E11932" s="2"/>
      <c r="F11932" s="2"/>
      <c r="G11932" s="2"/>
      <c r="H11932" s="2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2"/>
      <c r="T11932" s="2"/>
      <c r="U11932" s="2"/>
      <c r="V11932" s="2"/>
      <c r="W11932" s="2"/>
      <c r="X11932" s="2"/>
      <c r="Y11932" s="2"/>
      <c r="Z11932" s="2"/>
    </row>
    <row r="11933" spans="1:26" ht="16.5" x14ac:dyDescent="0.35">
      <c r="A11933" s="2" t="str">
        <f ca="1">IFERROR(__xludf.DUMMYFUNCTION("""COMPUTED_VALUE"""),"Dubai")</f>
        <v>Dubai</v>
      </c>
      <c r="B11933" s="2" t="str">
        <f ca="1">IFERROR(__xludf.DUMMYFUNCTION("""COMPUTED_VALUE"""),"Al Warsan Tower")</f>
        <v>Al Warsan Tower</v>
      </c>
      <c r="C11933" s="2" t="str">
        <f ca="1">IFERROR(__xludf.DUMMYFUNCTION("""COMPUTED_VALUE"""),"Building")</f>
        <v>Building</v>
      </c>
      <c r="D11933" s="2" t="str">
        <f ca="1">IFERROR(__xludf.DUMMYFUNCTION("""COMPUTED_VALUE"""),"Dubai&gt;Barsha Heights (Tecom)&gt;Al Warsan Tower")</f>
        <v>Dubai&gt;Barsha Heights (Tecom)&gt;Al Warsan Tower</v>
      </c>
      <c r="E11933" s="2"/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2"/>
      <c r="T11933" s="2"/>
      <c r="U11933" s="2"/>
      <c r="V11933" s="2"/>
      <c r="W11933" s="2"/>
      <c r="X11933" s="2"/>
      <c r="Y11933" s="2"/>
      <c r="Z11933" s="2"/>
    </row>
    <row r="11934" spans="1:26" ht="16.5" x14ac:dyDescent="0.35">
      <c r="A11934" s="2" t="str">
        <f ca="1">IFERROR(__xludf.DUMMYFUNCTION("""COMPUTED_VALUE"""),"Dubai")</f>
        <v>Dubai</v>
      </c>
      <c r="B11934" s="2" t="str">
        <f ca="1">IFERROR(__xludf.DUMMYFUNCTION("""COMPUTED_VALUE"""),"Emirates British Nursery Motor City")</f>
        <v>Emirates British Nursery Motor City</v>
      </c>
      <c r="C11934" s="2" t="str">
        <f ca="1">IFERROR(__xludf.DUMMYFUNCTION("""COMPUTED_VALUE"""),"Nursery")</f>
        <v>Nursery</v>
      </c>
      <c r="D11934" s="2" t="str">
        <f ca="1">IFERROR(__xludf.DUMMYFUNCTION("""COMPUTED_VALUE"""),"Dubai&gt;Motor City&gt;Green Community (Motor City)&gt;Emirates British Nursery Motor City")</f>
        <v>Dubai&gt;Motor City&gt;Green Community (Motor City)&gt;Emirates British Nursery Motor City</v>
      </c>
      <c r="E11934" s="2"/>
      <c r="F11934" s="2"/>
      <c r="G11934" s="2"/>
      <c r="H11934" s="2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2"/>
      <c r="T11934" s="2"/>
      <c r="U11934" s="2"/>
      <c r="V11934" s="2"/>
      <c r="W11934" s="2"/>
      <c r="X11934" s="2"/>
      <c r="Y11934" s="2"/>
      <c r="Z11934" s="2"/>
    </row>
    <row r="11935" spans="1:26" ht="16.5" x14ac:dyDescent="0.35">
      <c r="A11935" s="2" t="str">
        <f ca="1">IFERROR(__xludf.DUMMYFUNCTION("""COMPUTED_VALUE"""),"Dubai")</f>
        <v>Dubai</v>
      </c>
      <c r="B11935" s="2" t="str">
        <f ca="1">IFERROR(__xludf.DUMMYFUNCTION("""COMPUTED_VALUE"""),"Claverton House 2")</f>
        <v>Claverton House 2</v>
      </c>
      <c r="C11935" s="2" t="str">
        <f ca="1">IFERROR(__xludf.DUMMYFUNCTION("""COMPUTED_VALUE"""),"Building")</f>
        <v>Building</v>
      </c>
      <c r="D11935" s="2" t="str">
        <f ca="1">IFERROR(__xludf.DUMMYFUNCTION("""COMPUTED_VALUE"""),"Dubai&gt;Motor City&gt;Uptown Motor City&gt;Claverton House&gt;Claverton House 2")</f>
        <v>Dubai&gt;Motor City&gt;Uptown Motor City&gt;Claverton House&gt;Claverton House 2</v>
      </c>
      <c r="E11935" s="2"/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2"/>
      <c r="T11935" s="2"/>
      <c r="U11935" s="2"/>
      <c r="V11935" s="2"/>
      <c r="W11935" s="2"/>
      <c r="X11935" s="2"/>
      <c r="Y11935" s="2"/>
      <c r="Z11935" s="2"/>
    </row>
    <row r="11936" spans="1:26" ht="16.5" x14ac:dyDescent="0.35">
      <c r="A11936" s="2" t="str">
        <f ca="1">IFERROR(__xludf.DUMMYFUNCTION("""COMPUTED_VALUE"""),"Dubai")</f>
        <v>Dubai</v>
      </c>
      <c r="B11936" s="2" t="str">
        <f ca="1">IFERROR(__xludf.DUMMYFUNCTION("""COMPUTED_VALUE"""),"Fox Hill 5")</f>
        <v>Fox Hill 5</v>
      </c>
      <c r="C11936" s="2" t="str">
        <f ca="1">IFERROR(__xludf.DUMMYFUNCTION("""COMPUTED_VALUE"""),"Building")</f>
        <v>Building</v>
      </c>
      <c r="D11936" s="2" t="str">
        <f ca="1">IFERROR(__xludf.DUMMYFUNCTION("""COMPUTED_VALUE"""),"Dubai&gt;Motor City&gt;Uptown Motor City&gt;Fox Hill&gt;Fox Hill 5")</f>
        <v>Dubai&gt;Motor City&gt;Uptown Motor City&gt;Fox Hill&gt;Fox Hill 5</v>
      </c>
      <c r="E11936" s="2"/>
      <c r="F11936" s="2"/>
      <c r="G11936" s="2"/>
      <c r="H11936" s="2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2"/>
      <c r="T11936" s="2"/>
      <c r="U11936" s="2"/>
      <c r="V11936" s="2"/>
      <c r="W11936" s="2"/>
      <c r="X11936" s="2"/>
      <c r="Y11936" s="2"/>
      <c r="Z11936" s="2"/>
    </row>
    <row r="11937" spans="1:26" ht="16.5" x14ac:dyDescent="0.35">
      <c r="A11937" s="2" t="str">
        <f ca="1">IFERROR(__xludf.DUMMYFUNCTION("""COMPUTED_VALUE"""),"Dubai")</f>
        <v>Dubai</v>
      </c>
      <c r="B11937" s="2" t="str">
        <f ca="1">IFERROR(__xludf.DUMMYFUNCTION("""COMPUTED_VALUE"""),"The Community Motor City")</f>
        <v>The Community Motor City</v>
      </c>
      <c r="C11937" s="2" t="str">
        <f ca="1">IFERROR(__xludf.DUMMYFUNCTION("""COMPUTED_VALUE"""),"Building")</f>
        <v>Building</v>
      </c>
      <c r="D11937" s="2" t="str">
        <f ca="1">IFERROR(__xludf.DUMMYFUNCTION("""COMPUTED_VALUE"""),"Dubai&gt;Motor City&gt;The Community Motor City")</f>
        <v>Dubai&gt;Motor City&gt;The Community Motor City</v>
      </c>
      <c r="E11937" s="2"/>
      <c r="F11937" s="2"/>
      <c r="G11937" s="2"/>
      <c r="H11937" s="2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2"/>
      <c r="T11937" s="2"/>
      <c r="U11937" s="2"/>
      <c r="V11937" s="2"/>
      <c r="W11937" s="2"/>
      <c r="X11937" s="2"/>
      <c r="Y11937" s="2"/>
      <c r="Z11937" s="2"/>
    </row>
    <row r="11938" spans="1:26" ht="16.5" x14ac:dyDescent="0.35">
      <c r="A11938" s="2" t="str">
        <f ca="1">IFERROR(__xludf.DUMMYFUNCTION("""COMPUTED_VALUE"""),"Dubai")</f>
        <v>Dubai</v>
      </c>
      <c r="B11938" s="2" t="str">
        <f ca="1">IFERROR(__xludf.DUMMYFUNCTION("""COMPUTED_VALUE"""),"Mirdad 4")</f>
        <v>Mirdad 4</v>
      </c>
      <c r="C11938" s="2" t="str">
        <f ca="1">IFERROR(__xludf.DUMMYFUNCTION("""COMPUTED_VALUE"""),"Building")</f>
        <v>Building</v>
      </c>
      <c r="D11938" s="2" t="str">
        <f ca="1">IFERROR(__xludf.DUMMYFUNCTION("""COMPUTED_VALUE"""),"Dubai&gt;Motor City&gt;Mirdad&gt;Mirdad 4")</f>
        <v>Dubai&gt;Motor City&gt;Mirdad&gt;Mirdad 4</v>
      </c>
      <c r="E11938" s="2"/>
      <c r="F11938" s="2"/>
      <c r="G11938" s="2"/>
      <c r="H11938" s="2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2"/>
      <c r="T11938" s="2"/>
      <c r="U11938" s="2"/>
      <c r="V11938" s="2"/>
      <c r="W11938" s="2"/>
      <c r="X11938" s="2"/>
      <c r="Y11938" s="2"/>
      <c r="Z11938" s="2"/>
    </row>
    <row r="11939" spans="1:26" ht="16.5" x14ac:dyDescent="0.35">
      <c r="A11939" s="2" t="str">
        <f ca="1">IFERROR(__xludf.DUMMYFUNCTION("""COMPUTED_VALUE"""),"Dubai")</f>
        <v>Dubai</v>
      </c>
      <c r="B11939" s="2" t="str">
        <f ca="1">IFERROR(__xludf.DUMMYFUNCTION("""COMPUTED_VALUE"""),"Vita Residencia")</f>
        <v>Vita Residencia</v>
      </c>
      <c r="C11939" s="2" t="str">
        <f ca="1">IFERROR(__xludf.DUMMYFUNCTION("""COMPUTED_VALUE"""),"Building")</f>
        <v>Building</v>
      </c>
      <c r="D11939" s="2" t="str">
        <f ca="1">IFERROR(__xludf.DUMMYFUNCTION("""COMPUTED_VALUE"""),"Dubai&gt;Al Sufouh&gt;Al Sufouh 1&gt;Vita Residencia")</f>
        <v>Dubai&gt;Al Sufouh&gt;Al Sufouh 1&gt;Vita Residencia</v>
      </c>
      <c r="E11939" s="2"/>
      <c r="F11939" s="2"/>
      <c r="G11939" s="2"/>
      <c r="H11939" s="2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2"/>
      <c r="T11939" s="2"/>
      <c r="U11939" s="2"/>
      <c r="V11939" s="2"/>
      <c r="W11939" s="2"/>
      <c r="X11939" s="2"/>
      <c r="Y11939" s="2"/>
      <c r="Z11939" s="2"/>
    </row>
    <row r="11940" spans="1:26" ht="16.5" x14ac:dyDescent="0.35">
      <c r="A11940" s="2" t="str">
        <f ca="1">IFERROR(__xludf.DUMMYFUNCTION("""COMPUTED_VALUE"""),"Dubai")</f>
        <v>Dubai</v>
      </c>
      <c r="B11940" s="2" t="str">
        <f ca="1">IFERROR(__xludf.DUMMYFUNCTION("""COMPUTED_VALUE"""),"Boutique Office 9")</f>
        <v>Boutique Office 9</v>
      </c>
      <c r="C11940" s="2" t="str">
        <f ca="1">IFERROR(__xludf.DUMMYFUNCTION("""COMPUTED_VALUE"""),"Building")</f>
        <v>Building</v>
      </c>
      <c r="D11940" s="2" t="str">
        <f ca="1">IFERROR(__xludf.DUMMYFUNCTION("""COMPUTED_VALUE"""),"Dubai&gt;Al Sufouh&gt;Al Sufouh 2&gt;Boutique Offices&gt;Boutique Office 9")</f>
        <v>Dubai&gt;Al Sufouh&gt;Al Sufouh 2&gt;Boutique Offices&gt;Boutique Office 9</v>
      </c>
      <c r="E11940" s="2"/>
      <c r="F11940" s="2"/>
      <c r="G11940" s="2"/>
      <c r="H11940" s="2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2"/>
      <c r="T11940" s="2"/>
      <c r="U11940" s="2"/>
      <c r="V11940" s="2"/>
      <c r="W11940" s="2"/>
      <c r="X11940" s="2"/>
      <c r="Y11940" s="2"/>
      <c r="Z11940" s="2"/>
    </row>
    <row r="11941" spans="1:26" ht="16.5" x14ac:dyDescent="0.35">
      <c r="A11941" s="2" t="str">
        <f ca="1">IFERROR(__xludf.DUMMYFUNCTION("""COMPUTED_VALUE"""),"Dubai")</f>
        <v>Dubai</v>
      </c>
      <c r="B11941" s="2" t="str">
        <f ca="1">IFERROR(__xludf.DUMMYFUNCTION("""COMPUTED_VALUE"""),"Al Badia Condo 7")</f>
        <v>Al Badia Condo 7</v>
      </c>
      <c r="C11941" s="2" t="str">
        <f ca="1">IFERROR(__xludf.DUMMYFUNCTION("""COMPUTED_VALUE"""),"Building")</f>
        <v>Building</v>
      </c>
      <c r="D11941" s="2" t="str">
        <f ca="1">IFERROR(__xludf.DUMMYFUNCTION("""COMPUTED_VALUE"""),"Dubai&gt;Dubai Festival City&gt;Al Badia Hillside Village&gt;Al Badia Condo 7")</f>
        <v>Dubai&gt;Dubai Festival City&gt;Al Badia Hillside Village&gt;Al Badia Condo 7</v>
      </c>
      <c r="E11941" s="2"/>
      <c r="F11941" s="2"/>
      <c r="G11941" s="2"/>
      <c r="H11941" s="2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2"/>
      <c r="T11941" s="2"/>
      <c r="U11941" s="2"/>
      <c r="V11941" s="2"/>
      <c r="W11941" s="2"/>
      <c r="X11941" s="2"/>
      <c r="Y11941" s="2"/>
      <c r="Z11941" s="2"/>
    </row>
    <row r="11942" spans="1:26" ht="16.5" x14ac:dyDescent="0.35">
      <c r="A11942" s="2" t="str">
        <f ca="1">IFERROR(__xludf.DUMMYFUNCTION("""COMPUTED_VALUE"""),"Dubai")</f>
        <v>Dubai</v>
      </c>
      <c r="B11942" s="2" t="str">
        <f ca="1">IFERROR(__xludf.DUMMYFUNCTION("""COMPUTED_VALUE"""),"Golf Promenade 2")</f>
        <v>Golf Promenade 2</v>
      </c>
      <c r="C11942" s="2" t="str">
        <f ca="1">IFERROR(__xludf.DUMMYFUNCTION("""COMPUTED_VALUE"""),"Cluster")</f>
        <v>Cluster</v>
      </c>
      <c r="D11942" s="2" t="str">
        <f ca="1">IFERROR(__xludf.DUMMYFUNCTION("""COMPUTED_VALUE"""),"Dubai&gt;DAMAC Hills&gt;Golf Town&gt;Golf Promenade&gt;Golf Promenade 2")</f>
        <v>Dubai&gt;DAMAC Hills&gt;Golf Town&gt;Golf Promenade&gt;Golf Promenade 2</v>
      </c>
      <c r="E11942" s="2"/>
      <c r="F11942" s="2"/>
      <c r="G11942" s="2"/>
      <c r="H11942" s="2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2"/>
      <c r="T11942" s="2"/>
      <c r="U11942" s="2"/>
      <c r="V11942" s="2"/>
      <c r="W11942" s="2"/>
      <c r="X11942" s="2"/>
      <c r="Y11942" s="2"/>
      <c r="Z11942" s="2"/>
    </row>
    <row r="11943" spans="1:26" ht="16.5" x14ac:dyDescent="0.35">
      <c r="A11943" s="2" t="str">
        <f ca="1">IFERROR(__xludf.DUMMYFUNCTION("""COMPUTED_VALUE"""),"Dubai")</f>
        <v>Dubai</v>
      </c>
      <c r="B11943" s="2" t="str">
        <f ca="1">IFERROR(__xludf.DUMMYFUNCTION("""COMPUTED_VALUE"""),"Park Residences 4")</f>
        <v>Park Residences 4</v>
      </c>
      <c r="C11943" s="2" t="str">
        <f ca="1">IFERROR(__xludf.DUMMYFUNCTION("""COMPUTED_VALUE"""),"Neighbourhood")</f>
        <v>Neighbourhood</v>
      </c>
      <c r="D11943" s="2" t="str">
        <f ca="1">IFERROR(__xludf.DUMMYFUNCTION("""COMPUTED_VALUE"""),"Dubai&gt;DAMAC Hills&gt;The Park Villas&gt;Rochester&gt;Park Residences 4")</f>
        <v>Dubai&gt;DAMAC Hills&gt;The Park Villas&gt;Rochester&gt;Park Residences 4</v>
      </c>
      <c r="E11943" s="2"/>
      <c r="F11943" s="2"/>
      <c r="G11943" s="2"/>
      <c r="H11943" s="2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2"/>
      <c r="T11943" s="2"/>
      <c r="U11943" s="2"/>
      <c r="V11943" s="2"/>
      <c r="W11943" s="2"/>
      <c r="X11943" s="2"/>
      <c r="Y11943" s="2"/>
      <c r="Z11943" s="2"/>
    </row>
    <row r="11944" spans="1:26" ht="16.5" x14ac:dyDescent="0.35">
      <c r="A11944" s="2" t="str">
        <f ca="1">IFERROR(__xludf.DUMMYFUNCTION("""COMPUTED_VALUE"""),"Dubai")</f>
        <v>Dubai</v>
      </c>
      <c r="B11944" s="2" t="str">
        <f ca="1">IFERROR(__xludf.DUMMYFUNCTION("""COMPUTED_VALUE"""),"Loreto 3B")</f>
        <v>Loreto 3B</v>
      </c>
      <c r="C11944" s="2" t="str">
        <f ca="1">IFERROR(__xludf.DUMMYFUNCTION("""COMPUTED_VALUE"""),"Building")</f>
        <v>Building</v>
      </c>
      <c r="D11944" s="2" t="str">
        <f ca="1">IFERROR(__xludf.DUMMYFUNCTION("""COMPUTED_VALUE"""),"Dubai&gt;DAMAC Hills&gt;Loreto&gt;Loreto B&gt;Loreto 3B")</f>
        <v>Dubai&gt;DAMAC Hills&gt;Loreto&gt;Loreto B&gt;Loreto 3B</v>
      </c>
      <c r="E11944" s="2"/>
      <c r="F11944" s="2"/>
      <c r="G11944" s="2"/>
      <c r="H11944" s="2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2"/>
      <c r="T11944" s="2"/>
      <c r="U11944" s="2"/>
      <c r="V11944" s="2"/>
      <c r="W11944" s="2"/>
      <c r="X11944" s="2"/>
      <c r="Y11944" s="2"/>
      <c r="Z11944" s="2"/>
    </row>
    <row r="11945" spans="1:26" ht="16.5" x14ac:dyDescent="0.35">
      <c r="A11945" s="2" t="str">
        <f ca="1">IFERROR(__xludf.DUMMYFUNCTION("""COMPUTED_VALUE"""),"Dubai")</f>
        <v>Dubai</v>
      </c>
      <c r="B11945" s="2" t="str">
        <f ca="1">IFERROR(__xludf.DUMMYFUNCTION("""COMPUTED_VALUE"""),"Wasl Port Views 7")</f>
        <v>Wasl Port Views 7</v>
      </c>
      <c r="C11945" s="2" t="str">
        <f ca="1">IFERROR(__xludf.DUMMYFUNCTION("""COMPUTED_VALUE"""),"Building")</f>
        <v>Building</v>
      </c>
      <c r="D11945" s="2" t="str">
        <f ca="1">IFERROR(__xludf.DUMMYFUNCTION("""COMPUTED_VALUE"""),"Dubai&gt;Al Mina&gt;Wasl Port Views&gt;Wasl Port Views 7")</f>
        <v>Dubai&gt;Al Mina&gt;Wasl Port Views&gt;Wasl Port Views 7</v>
      </c>
      <c r="E11945" s="2"/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2"/>
      <c r="T11945" s="2"/>
      <c r="U11945" s="2"/>
      <c r="V11945" s="2"/>
      <c r="W11945" s="2"/>
      <c r="X11945" s="2"/>
      <c r="Y11945" s="2"/>
      <c r="Z11945" s="2"/>
    </row>
    <row r="11946" spans="1:26" ht="16.5" x14ac:dyDescent="0.35">
      <c r="A11946" s="2" t="str">
        <f ca="1">IFERROR(__xludf.DUMMYFUNCTION("""COMPUTED_VALUE"""),"Dubai")</f>
        <v>Dubai</v>
      </c>
      <c r="B11946" s="2" t="str">
        <f ca="1">IFERROR(__xludf.DUMMYFUNCTION("""COMPUTED_VALUE"""),"Ocean Point Building 1")</f>
        <v>Ocean Point Building 1</v>
      </c>
      <c r="C11946" s="2" t="str">
        <f ca="1">IFERROR(__xludf.DUMMYFUNCTION("""COMPUTED_VALUE"""),"Building")</f>
        <v>Building</v>
      </c>
      <c r="D11946" s="2" t="str">
        <f ca="1">IFERROR(__xludf.DUMMYFUNCTION("""COMPUTED_VALUE"""),"Dubai&gt;Al Mina&gt;Ocean Point&gt;Ocean Point Building 1")</f>
        <v>Dubai&gt;Al Mina&gt;Ocean Point&gt;Ocean Point Building 1</v>
      </c>
      <c r="E11946" s="2"/>
      <c r="F11946" s="2"/>
      <c r="G11946" s="2"/>
      <c r="H11946" s="2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2"/>
      <c r="T11946" s="2"/>
      <c r="U11946" s="2"/>
      <c r="V11946" s="2"/>
      <c r="W11946" s="2"/>
      <c r="X11946" s="2"/>
      <c r="Y11946" s="2"/>
      <c r="Z11946" s="2"/>
    </row>
    <row r="11947" spans="1:26" ht="16.5" x14ac:dyDescent="0.35">
      <c r="A11947" s="2" t="str">
        <f ca="1">IFERROR(__xludf.DUMMYFUNCTION("""COMPUTED_VALUE"""),"Dubai")</f>
        <v>Dubai</v>
      </c>
      <c r="B11947" s="2" t="str">
        <f ca="1">IFERROR(__xludf.DUMMYFUNCTION("""COMPUTED_VALUE"""),"Chelsea Residences 2 by DAMAC Tower B")</f>
        <v>Chelsea Residences 2 by DAMAC Tower B</v>
      </c>
      <c r="C11947" s="2" t="str">
        <f ca="1">IFERROR(__xludf.DUMMYFUNCTION("""COMPUTED_VALUE"""),"Building")</f>
        <v>Building</v>
      </c>
      <c r="D11947" s="2" t="str">
        <f ca="1">IFERROR(__xludf.DUMMYFUNCTION("""COMPUTED_VALUE"""),"Dubai&gt;Dubai Maritime City&gt;Chelsea Residences 2 by DAMAC&gt;Chelsea Residences 2 by DAMAC Tower B")</f>
        <v>Dubai&gt;Dubai Maritime City&gt;Chelsea Residences 2 by DAMAC&gt;Chelsea Residences 2 by DAMAC Tower B</v>
      </c>
      <c r="E11947" s="2"/>
      <c r="F11947" s="2"/>
      <c r="G11947" s="2"/>
      <c r="H11947" s="2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2"/>
      <c r="T11947" s="2"/>
      <c r="U11947" s="2"/>
      <c r="V11947" s="2"/>
      <c r="W11947" s="2"/>
      <c r="X11947" s="2"/>
      <c r="Y11947" s="2"/>
      <c r="Z11947" s="2"/>
    </row>
    <row r="11948" spans="1:26" ht="16.5" x14ac:dyDescent="0.35">
      <c r="A11948" s="2" t="str">
        <f ca="1">IFERROR(__xludf.DUMMYFUNCTION("""COMPUTED_VALUE"""),"Dubai")</f>
        <v>Dubai</v>
      </c>
      <c r="B11948" s="2" t="str">
        <f ca="1">IFERROR(__xludf.DUMMYFUNCTION("""COMPUTED_VALUE"""),"Mosela Waterside Residences")</f>
        <v>Mosela Waterside Residences</v>
      </c>
      <c r="C11948" s="2" t="str">
        <f ca="1">IFERROR(__xludf.DUMMYFUNCTION("""COMPUTED_VALUE"""),"Building")</f>
        <v>Building</v>
      </c>
      <c r="D11948" s="2" t="str">
        <f ca="1">IFERROR(__xludf.DUMMYFUNCTION("""COMPUTED_VALUE"""),"Dubai&gt;The Views&gt;Mosela&gt;Mosela Waterside Residences")</f>
        <v>Dubai&gt;The Views&gt;Mosela&gt;Mosela Waterside Residences</v>
      </c>
      <c r="E11948" s="2"/>
      <c r="F11948" s="2"/>
      <c r="G11948" s="2"/>
      <c r="H11948" s="2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2"/>
      <c r="T11948" s="2"/>
      <c r="U11948" s="2"/>
      <c r="V11948" s="2"/>
      <c r="W11948" s="2"/>
      <c r="X11948" s="2"/>
      <c r="Y11948" s="2"/>
      <c r="Z11948" s="2"/>
    </row>
    <row r="11949" spans="1:26" ht="16.5" x14ac:dyDescent="0.35">
      <c r="A11949" s="2" t="str">
        <f ca="1">IFERROR(__xludf.DUMMYFUNCTION("""COMPUTED_VALUE"""),"Dubai")</f>
        <v>Dubai</v>
      </c>
      <c r="B11949" s="2" t="str">
        <f ca="1">IFERROR(__xludf.DUMMYFUNCTION("""COMPUTED_VALUE"""),"Oasis Mall")</f>
        <v>Oasis Mall</v>
      </c>
      <c r="C11949" s="2" t="str">
        <f ca="1">IFERROR(__xludf.DUMMYFUNCTION("""COMPUTED_VALUE"""),"Building")</f>
        <v>Building</v>
      </c>
      <c r="D11949" s="2" t="str">
        <f ca="1">IFERROR(__xludf.DUMMYFUNCTION("""COMPUTED_VALUE"""),"Dubai&gt;Al Quoz&gt;Al Quoz 1&gt;Oasis Mall")</f>
        <v>Dubai&gt;Al Quoz&gt;Al Quoz 1&gt;Oasis Mall</v>
      </c>
      <c r="E11949" s="2"/>
      <c r="F11949" s="2"/>
      <c r="G11949" s="2"/>
      <c r="H11949" s="2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2"/>
      <c r="T11949" s="2"/>
      <c r="U11949" s="2"/>
      <c r="V11949" s="2"/>
      <c r="W11949" s="2"/>
      <c r="X11949" s="2"/>
      <c r="Y11949" s="2"/>
      <c r="Z11949" s="2"/>
    </row>
    <row r="11950" spans="1:26" ht="16.5" x14ac:dyDescent="0.35">
      <c r="A11950" s="2" t="str">
        <f ca="1">IFERROR(__xludf.DUMMYFUNCTION("""COMPUTED_VALUE"""),"Dubai")</f>
        <v>Dubai</v>
      </c>
      <c r="B11950" s="2" t="str">
        <f ca="1">IFERROR(__xludf.DUMMYFUNCTION("""COMPUTED_VALUE"""),"Al Joud Centre")</f>
        <v>Al Joud Centre</v>
      </c>
      <c r="C11950" s="2" t="str">
        <f ca="1">IFERROR(__xludf.DUMMYFUNCTION("""COMPUTED_VALUE"""),"Building")</f>
        <v>Building</v>
      </c>
      <c r="D11950" s="2" t="str">
        <f ca="1">IFERROR(__xludf.DUMMYFUNCTION("""COMPUTED_VALUE"""),"Dubai&gt;Al Quoz&gt;Al Quoz Industrial Area&gt;Al Quoz Industrial Area 1&gt;Al Joud Centre")</f>
        <v>Dubai&gt;Al Quoz&gt;Al Quoz Industrial Area&gt;Al Quoz Industrial Area 1&gt;Al Joud Centre</v>
      </c>
      <c r="E11950" s="2"/>
      <c r="F11950" s="2"/>
      <c r="G11950" s="2"/>
      <c r="H11950" s="2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2"/>
      <c r="T11950" s="2"/>
      <c r="U11950" s="2"/>
      <c r="V11950" s="2"/>
      <c r="W11950" s="2"/>
      <c r="X11950" s="2"/>
      <c r="Y11950" s="2"/>
      <c r="Z11950" s="2"/>
    </row>
    <row r="11951" spans="1:26" ht="16.5" x14ac:dyDescent="0.35">
      <c r="A11951" s="2" t="str">
        <f ca="1">IFERROR(__xludf.DUMMYFUNCTION("""COMPUTED_VALUE"""),"Dubai")</f>
        <v>Dubai</v>
      </c>
      <c r="B11951" s="2" t="str">
        <f ca="1">IFERROR(__xludf.DUMMYFUNCTION("""COMPUTED_VALUE"""),"Al Khail Heights Building 6B")</f>
        <v>Al Khail Heights Building 6B</v>
      </c>
      <c r="C11951" s="2" t="str">
        <f ca="1">IFERROR(__xludf.DUMMYFUNCTION("""COMPUTED_VALUE"""),"Building")</f>
        <v>Building</v>
      </c>
      <c r="D11951" s="2" t="str">
        <f ca="1">IFERROR(__xludf.DUMMYFUNCTION("""COMPUTED_VALUE"""),"Dubai&gt;Al Quoz&gt;Al Quoz 4&gt;Al Khail Heights&gt;Al Khail Heights Building 6B")</f>
        <v>Dubai&gt;Al Quoz&gt;Al Quoz 4&gt;Al Khail Heights&gt;Al Khail Heights Building 6B</v>
      </c>
      <c r="E11951" s="2"/>
      <c r="F11951" s="2"/>
      <c r="G11951" s="2"/>
      <c r="H11951" s="2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2"/>
      <c r="T11951" s="2"/>
      <c r="U11951" s="2"/>
      <c r="V11951" s="2"/>
      <c r="W11951" s="2"/>
      <c r="X11951" s="2"/>
      <c r="Y11951" s="2"/>
      <c r="Z11951" s="2"/>
    </row>
    <row r="11952" spans="1:26" ht="16.5" x14ac:dyDescent="0.35">
      <c r="A11952" s="2" t="str">
        <f ca="1">IFERROR(__xludf.DUMMYFUNCTION("""COMPUTED_VALUE"""),"Dubai")</f>
        <v>Dubai</v>
      </c>
      <c r="B11952" s="2" t="str">
        <f ca="1">IFERROR(__xludf.DUMMYFUNCTION("""COMPUTED_VALUE"""),"La Vista Residence 1")</f>
        <v>La Vista Residence 1</v>
      </c>
      <c r="C11952" s="2" t="str">
        <f ca="1">IFERROR(__xludf.DUMMYFUNCTION("""COMPUTED_VALUE"""),"Building")</f>
        <v>Building</v>
      </c>
      <c r="D11952" s="2" t="str">
        <f ca="1">IFERROR(__xludf.DUMMYFUNCTION("""COMPUTED_VALUE"""),"Dubai&gt;Dubai Silicon Oasis (DSO)&gt;La Vista Residence&gt;La Vista Residence 1")</f>
        <v>Dubai&gt;Dubai Silicon Oasis (DSO)&gt;La Vista Residence&gt;La Vista Residence 1</v>
      </c>
      <c r="E11952" s="2"/>
      <c r="F11952" s="2"/>
      <c r="G11952" s="2"/>
      <c r="H11952" s="2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2"/>
      <c r="T11952" s="2"/>
      <c r="U11952" s="2"/>
      <c r="V11952" s="2"/>
      <c r="W11952" s="2"/>
      <c r="X11952" s="2"/>
      <c r="Y11952" s="2"/>
      <c r="Z11952" s="2"/>
    </row>
    <row r="11953" spans="1:26" ht="16.5" x14ac:dyDescent="0.35">
      <c r="A11953" s="2" t="str">
        <f ca="1">IFERROR(__xludf.DUMMYFUNCTION("""COMPUTED_VALUE"""),"Dubai")</f>
        <v>Dubai</v>
      </c>
      <c r="B11953" s="2" t="str">
        <f ca="1">IFERROR(__xludf.DUMMYFUNCTION("""COMPUTED_VALUE"""),"The Eighty Eight")</f>
        <v>The Eighty Eight</v>
      </c>
      <c r="C11953" s="2" t="str">
        <f ca="1">IFERROR(__xludf.DUMMYFUNCTION("""COMPUTED_VALUE"""),"Building")</f>
        <v>Building</v>
      </c>
      <c r="D11953" s="2" t="str">
        <f ca="1">IFERROR(__xludf.DUMMYFUNCTION("""COMPUTED_VALUE"""),"Dubai&gt;Dubai Silicon Oasis (DSO)&gt;The Eighty Eight")</f>
        <v>Dubai&gt;Dubai Silicon Oasis (DSO)&gt;The Eighty Eight</v>
      </c>
      <c r="E11953" s="2"/>
      <c r="F11953" s="2"/>
      <c r="G11953" s="2"/>
      <c r="H11953" s="2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2"/>
      <c r="T11953" s="2"/>
      <c r="U11953" s="2"/>
      <c r="V11953" s="2"/>
      <c r="W11953" s="2"/>
      <c r="X11953" s="2"/>
      <c r="Y11953" s="2"/>
      <c r="Z11953" s="2"/>
    </row>
    <row r="11954" spans="1:26" ht="16.5" x14ac:dyDescent="0.35">
      <c r="A11954" s="2" t="str">
        <f ca="1">IFERROR(__xludf.DUMMYFUNCTION("""COMPUTED_VALUE"""),"Dubai")</f>
        <v>Dubai</v>
      </c>
      <c r="B11954" s="2" t="str">
        <f ca="1">IFERROR(__xludf.DUMMYFUNCTION("""COMPUTED_VALUE"""),"Binghatti Terraces")</f>
        <v>Binghatti Terraces</v>
      </c>
      <c r="C11954" s="2" t="str">
        <f ca="1">IFERROR(__xludf.DUMMYFUNCTION("""COMPUTED_VALUE"""),"Building")</f>
        <v>Building</v>
      </c>
      <c r="D11954" s="2" t="str">
        <f ca="1">IFERROR(__xludf.DUMMYFUNCTION("""COMPUTED_VALUE"""),"Dubai&gt;Dubai Silicon Oasis (DSO)&gt;Binghatti Terraces")</f>
        <v>Dubai&gt;Dubai Silicon Oasis (DSO)&gt;Binghatti Terraces</v>
      </c>
      <c r="E11954" s="2"/>
      <c r="F11954" s="2"/>
      <c r="G11954" s="2"/>
      <c r="H11954" s="2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2"/>
      <c r="T11954" s="2"/>
      <c r="U11954" s="2"/>
      <c r="V11954" s="2"/>
      <c r="W11954" s="2"/>
      <c r="X11954" s="2"/>
      <c r="Y11954" s="2"/>
      <c r="Z11954" s="2"/>
    </row>
    <row r="11955" spans="1:26" ht="16.5" x14ac:dyDescent="0.35">
      <c r="A11955" s="2" t="str">
        <f ca="1">IFERROR(__xludf.DUMMYFUNCTION("""COMPUTED_VALUE"""),"Dubai")</f>
        <v>Dubai</v>
      </c>
      <c r="B11955" s="2" t="str">
        <f ca="1">IFERROR(__xludf.DUMMYFUNCTION("""COMPUTED_VALUE"""),"Al Habtoor Building")</f>
        <v>Al Habtoor Building</v>
      </c>
      <c r="C11955" s="2" t="str">
        <f ca="1">IFERROR(__xludf.DUMMYFUNCTION("""COMPUTED_VALUE"""),"Building")</f>
        <v>Building</v>
      </c>
      <c r="D11955" s="2" t="str">
        <f ca="1">IFERROR(__xludf.DUMMYFUNCTION("""COMPUTED_VALUE"""),"Dubai&gt;Dubai Silicon Oasis (DSO)&gt;Al Habtoor Building")</f>
        <v>Dubai&gt;Dubai Silicon Oasis (DSO)&gt;Al Habtoor Building</v>
      </c>
      <c r="E11955" s="2"/>
      <c r="F11955" s="2"/>
      <c r="G11955" s="2"/>
      <c r="H11955" s="2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2"/>
      <c r="T11955" s="2"/>
      <c r="U11955" s="2"/>
      <c r="V11955" s="2"/>
      <c r="W11955" s="2"/>
      <c r="X11955" s="2"/>
      <c r="Y11955" s="2"/>
      <c r="Z11955" s="2"/>
    </row>
    <row r="11956" spans="1:26" ht="16.5" x14ac:dyDescent="0.35">
      <c r="A11956" s="2" t="str">
        <f ca="1">IFERROR(__xludf.DUMMYFUNCTION("""COMPUTED_VALUE"""),"Dubai")</f>
        <v>Dubai</v>
      </c>
      <c r="B11956" s="2" t="str">
        <f ca="1">IFERROR(__xludf.DUMMYFUNCTION("""COMPUTED_VALUE"""),"Liwa Oasis 1")</f>
        <v>Liwa Oasis 1</v>
      </c>
      <c r="C11956" s="2" t="str">
        <f ca="1">IFERROR(__xludf.DUMMYFUNCTION("""COMPUTED_VALUE"""),"Building")</f>
        <v>Building</v>
      </c>
      <c r="D11956" s="2" t="str">
        <f ca="1">IFERROR(__xludf.DUMMYFUNCTION("""COMPUTED_VALUE"""),"Dubai&gt;Dubai Silicon Oasis (DSO)&gt;Liwa Oasis&gt;Liwa Oasis 1")</f>
        <v>Dubai&gt;Dubai Silicon Oasis (DSO)&gt;Liwa Oasis&gt;Liwa Oasis 1</v>
      </c>
      <c r="E11956" s="2"/>
      <c r="F11956" s="2"/>
      <c r="G11956" s="2"/>
      <c r="H11956" s="2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2"/>
      <c r="T11956" s="2"/>
      <c r="U11956" s="2"/>
      <c r="V11956" s="2"/>
      <c r="W11956" s="2"/>
      <c r="X11956" s="2"/>
      <c r="Y11956" s="2"/>
      <c r="Z11956" s="2"/>
    </row>
    <row r="11957" spans="1:26" ht="16.5" x14ac:dyDescent="0.35">
      <c r="A11957" s="2" t="str">
        <f ca="1">IFERROR(__xludf.DUMMYFUNCTION("""COMPUTED_VALUE"""),"Dubai")</f>
        <v>Dubai</v>
      </c>
      <c r="B11957" s="2" t="str">
        <f ca="1">IFERROR(__xludf.DUMMYFUNCTION("""COMPUTED_VALUE"""),"Premier Inn")</f>
        <v>Premier Inn</v>
      </c>
      <c r="C11957" s="2" t="str">
        <f ca="1">IFERROR(__xludf.DUMMYFUNCTION("""COMPUTED_VALUE"""),"Building")</f>
        <v>Building</v>
      </c>
      <c r="D11957" s="2" t="str">
        <f ca="1">IFERROR(__xludf.DUMMYFUNCTION("""COMPUTED_VALUE"""),"Dubai&gt;Dubai Silicon Oasis (DSO)&gt;Premier Inn")</f>
        <v>Dubai&gt;Dubai Silicon Oasis (DSO)&gt;Premier Inn</v>
      </c>
      <c r="E11957" s="2"/>
      <c r="F11957" s="2"/>
      <c r="G11957" s="2"/>
      <c r="H11957" s="2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2"/>
      <c r="T11957" s="2"/>
      <c r="U11957" s="2"/>
      <c r="V11957" s="2"/>
      <c r="W11957" s="2"/>
      <c r="X11957" s="2"/>
      <c r="Y11957" s="2"/>
      <c r="Z11957" s="2"/>
    </row>
    <row r="11958" spans="1:26" ht="16.5" x14ac:dyDescent="0.35">
      <c r="A11958" s="2" t="str">
        <f ca="1">IFERROR(__xludf.DUMMYFUNCTION("""COMPUTED_VALUE"""),"Dubai")</f>
        <v>Dubai</v>
      </c>
      <c r="B11958" s="2" t="str">
        <f ca="1">IFERROR(__xludf.DUMMYFUNCTION("""COMPUTED_VALUE"""),"Timez By Danube")</f>
        <v>Timez By Danube</v>
      </c>
      <c r="C11958" s="2" t="str">
        <f ca="1">IFERROR(__xludf.DUMMYFUNCTION("""COMPUTED_VALUE"""),"Building")</f>
        <v>Building</v>
      </c>
      <c r="D11958" s="2" t="str">
        <f ca="1">IFERROR(__xludf.DUMMYFUNCTION("""COMPUTED_VALUE"""),"Dubai&gt;Dubai Silicon Oasis (DSO)&gt;Timez By Danube")</f>
        <v>Dubai&gt;Dubai Silicon Oasis (DSO)&gt;Timez By Danube</v>
      </c>
      <c r="E11958" s="2"/>
      <c r="F11958" s="2"/>
      <c r="G11958" s="2"/>
      <c r="H11958" s="2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2"/>
      <c r="T11958" s="2"/>
      <c r="U11958" s="2"/>
      <c r="V11958" s="2"/>
      <c r="W11958" s="2"/>
      <c r="X11958" s="2"/>
      <c r="Y11958" s="2"/>
      <c r="Z11958" s="2"/>
    </row>
    <row r="11959" spans="1:26" ht="16.5" x14ac:dyDescent="0.35">
      <c r="A11959" s="2" t="str">
        <f ca="1">IFERROR(__xludf.DUMMYFUNCTION("""COMPUTED_VALUE"""),"Dubai")</f>
        <v>Dubai</v>
      </c>
      <c r="B11959" s="2" t="str">
        <f ca="1">IFERROR(__xludf.DUMMYFUNCTION("""COMPUTED_VALUE"""),"Desert Leaf 2")</f>
        <v>Desert Leaf 2</v>
      </c>
      <c r="C11959" s="2" t="str">
        <f ca="1">IFERROR(__xludf.DUMMYFUNCTION("""COMPUTED_VALUE"""),"Neighbourhood")</f>
        <v>Neighbourhood</v>
      </c>
      <c r="D11959" s="2" t="str">
        <f ca="1">IFERROR(__xludf.DUMMYFUNCTION("""COMPUTED_VALUE"""),"Dubai&gt;Al Barari&gt;The Residences&gt;Desert Leaf&gt;Desert Leaf 2")</f>
        <v>Dubai&gt;Al Barari&gt;The Residences&gt;Desert Leaf&gt;Desert Leaf 2</v>
      </c>
      <c r="E11959" s="2"/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2"/>
      <c r="T11959" s="2"/>
      <c r="U11959" s="2"/>
      <c r="V11959" s="2"/>
      <c r="W11959" s="2"/>
      <c r="X11959" s="2"/>
      <c r="Y11959" s="2"/>
      <c r="Z11959" s="2"/>
    </row>
    <row r="11960" spans="1:26" ht="16.5" x14ac:dyDescent="0.35">
      <c r="A11960" s="2" t="str">
        <f ca="1">IFERROR(__xludf.DUMMYFUNCTION("""COMPUTED_VALUE"""),"Dubai")</f>
        <v>Dubai</v>
      </c>
      <c r="B11960" s="2" t="str">
        <f ca="1">IFERROR(__xludf.DUMMYFUNCTION("""COMPUTED_VALUE"""),"MAG 890")</f>
        <v>MAG 890</v>
      </c>
      <c r="C11960" s="2" t="str">
        <f ca="1">IFERROR(__xludf.DUMMYFUNCTION("""COMPUTED_VALUE"""),"Building")</f>
        <v>Building</v>
      </c>
      <c r="D11960" s="2" t="str">
        <f ca="1">IFERROR(__xludf.DUMMYFUNCTION("""COMPUTED_VALUE"""),"Dubai&gt;Mohammed Bin Rashid City&gt;District 7&gt;MAG City&gt;MAG 890")</f>
        <v>Dubai&gt;Mohammed Bin Rashid City&gt;District 7&gt;MAG City&gt;MAG 890</v>
      </c>
      <c r="E11960" s="2"/>
      <c r="F11960" s="2"/>
      <c r="G11960" s="2"/>
      <c r="H11960" s="2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2"/>
      <c r="T11960" s="2"/>
      <c r="U11960" s="2"/>
      <c r="V11960" s="2"/>
      <c r="W11960" s="2"/>
      <c r="X11960" s="2"/>
      <c r="Y11960" s="2"/>
      <c r="Z11960" s="2"/>
    </row>
    <row r="11961" spans="1:26" ht="16.5" x14ac:dyDescent="0.35">
      <c r="A11961" s="2" t="str">
        <f ca="1">IFERROR(__xludf.DUMMYFUNCTION("""COMPUTED_VALUE"""),"Dubai")</f>
        <v>Dubai</v>
      </c>
      <c r="B11961" s="2" t="str">
        <f ca="1">IFERROR(__xludf.DUMMYFUNCTION("""COMPUTED_VALUE"""),"Lua Residences")</f>
        <v>Lua Residences</v>
      </c>
      <c r="C11961" s="2" t="str">
        <f ca="1">IFERROR(__xludf.DUMMYFUNCTION("""COMPUTED_VALUE"""),"Neighbourhood")</f>
        <v>Neighbourhood</v>
      </c>
      <c r="D11961" s="2" t="str">
        <f ca="1">IFERROR(__xludf.DUMMYFUNCTION("""COMPUTED_VALUE"""),"Dubai&gt;Mohammed Bin Rashid City&gt;District 11&gt;Lua Residences")</f>
        <v>Dubai&gt;Mohammed Bin Rashid City&gt;District 11&gt;Lua Residences</v>
      </c>
      <c r="E11961" s="2"/>
      <c r="F11961" s="2"/>
      <c r="G11961" s="2"/>
      <c r="H11961" s="2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2"/>
      <c r="T11961" s="2"/>
      <c r="U11961" s="2"/>
      <c r="V11961" s="2"/>
      <c r="W11961" s="2"/>
      <c r="X11961" s="2"/>
      <c r="Y11961" s="2"/>
      <c r="Z11961" s="2"/>
    </row>
    <row r="11962" spans="1:26" ht="16.5" x14ac:dyDescent="0.35">
      <c r="A11962" s="2" t="str">
        <f ca="1">IFERROR(__xludf.DUMMYFUNCTION("""COMPUTED_VALUE"""),"Dubai")</f>
        <v>Dubai</v>
      </c>
      <c r="B11962" s="2" t="str">
        <f ca="1">IFERROR(__xludf.DUMMYFUNCTION("""COMPUTED_VALUE"""),"Residences 12")</f>
        <v>Residences 12</v>
      </c>
      <c r="C11962" s="2" t="str">
        <f ca="1">IFERROR(__xludf.DUMMYFUNCTION("""COMPUTED_VALUE"""),"Building")</f>
        <v>Building</v>
      </c>
      <c r="D11962" s="2" t="str">
        <f ca="1">IFERROR(__xludf.DUMMYFUNCTION("""COMPUTED_VALUE"""),"Dubai&gt;Mohammed Bin Rashid City&gt;District One&gt;The Residences at District One&gt;Residences 12")</f>
        <v>Dubai&gt;Mohammed Bin Rashid City&gt;District One&gt;The Residences at District One&gt;Residences 12</v>
      </c>
      <c r="E11962" s="2"/>
      <c r="F11962" s="2"/>
      <c r="G11962" s="2"/>
      <c r="H11962" s="2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2"/>
      <c r="T11962" s="2"/>
      <c r="U11962" s="2"/>
      <c r="V11962" s="2"/>
      <c r="W11962" s="2"/>
      <c r="X11962" s="2"/>
      <c r="Y11962" s="2"/>
      <c r="Z11962" s="2"/>
    </row>
    <row r="11963" spans="1:26" ht="16.5" x14ac:dyDescent="0.35">
      <c r="A11963" s="2" t="str">
        <f ca="1">IFERROR(__xludf.DUMMYFUNCTION("""COMPUTED_VALUE"""),"Dubai")</f>
        <v>Dubai</v>
      </c>
      <c r="B11963" s="2" t="str">
        <f ca="1">IFERROR(__xludf.DUMMYFUNCTION("""COMPUTED_VALUE"""),"Paradise Building")</f>
        <v>Paradise Building</v>
      </c>
      <c r="C11963" s="2" t="str">
        <f ca="1">IFERROR(__xludf.DUMMYFUNCTION("""COMPUTED_VALUE"""),"Building")</f>
        <v>Building</v>
      </c>
      <c r="D11963" s="2" t="str">
        <f ca="1">IFERROR(__xludf.DUMMYFUNCTION("""COMPUTED_VALUE"""),"Dubai&gt;Dubai South&gt;Paradise Building")</f>
        <v>Dubai&gt;Dubai South&gt;Paradise Building</v>
      </c>
      <c r="E11963" s="2"/>
      <c r="F11963" s="2"/>
      <c r="G11963" s="2"/>
      <c r="H11963" s="2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2"/>
      <c r="T11963" s="2"/>
      <c r="U11963" s="2"/>
      <c r="V11963" s="2"/>
      <c r="W11963" s="2"/>
      <c r="X11963" s="2"/>
      <c r="Y11963" s="2"/>
      <c r="Z11963" s="2"/>
    </row>
    <row r="11964" spans="1:26" ht="16.5" x14ac:dyDescent="0.35">
      <c r="A11964" s="2" t="str">
        <f ca="1">IFERROR(__xludf.DUMMYFUNCTION("""COMPUTED_VALUE"""),"Dubai")</f>
        <v>Dubai</v>
      </c>
      <c r="B11964" s="2" t="str">
        <f ca="1">IFERROR(__xludf.DUMMYFUNCTION("""COMPUTED_VALUE"""),"The Pulse Residence Park B3")</f>
        <v>The Pulse Residence Park B3</v>
      </c>
      <c r="C11964" s="2" t="str">
        <f ca="1">IFERROR(__xludf.DUMMYFUNCTION("""COMPUTED_VALUE"""),"Building")</f>
        <v>Building</v>
      </c>
      <c r="D11964" s="2" t="str">
        <f ca="1">IFERROR(__xludf.DUMMYFUNCTION("""COMPUTED_VALUE"""),"Dubai&gt;Dubai South&gt;Residential District&gt;The Pulse&gt;The Pulse Residence Park&gt;The Pulse Residence Park B3")</f>
        <v>Dubai&gt;Dubai South&gt;Residential District&gt;The Pulse&gt;The Pulse Residence Park&gt;The Pulse Residence Park B3</v>
      </c>
      <c r="E11964" s="2"/>
      <c r="F11964" s="2"/>
      <c r="G11964" s="2"/>
      <c r="H11964" s="2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2"/>
      <c r="T11964" s="2"/>
      <c r="U11964" s="2"/>
      <c r="V11964" s="2"/>
      <c r="W11964" s="2"/>
      <c r="X11964" s="2"/>
      <c r="Y11964" s="2"/>
      <c r="Z11964" s="2"/>
    </row>
    <row r="11965" spans="1:26" ht="16.5" x14ac:dyDescent="0.35">
      <c r="A11965" s="2" t="str">
        <f ca="1">IFERROR(__xludf.DUMMYFUNCTION("""COMPUTED_VALUE"""),"Dubai")</f>
        <v>Dubai</v>
      </c>
      <c r="B11965" s="2" t="str">
        <f ca="1">IFERROR(__xludf.DUMMYFUNCTION("""COMPUTED_VALUE"""),"South Bay 5")</f>
        <v>South Bay 5</v>
      </c>
      <c r="C11965" s="2" t="str">
        <f ca="1">IFERROR(__xludf.DUMMYFUNCTION("""COMPUTED_VALUE"""),"Neighbourhood")</f>
        <v>Neighbourhood</v>
      </c>
      <c r="D11965" s="2" t="str">
        <f ca="1">IFERROR(__xludf.DUMMYFUNCTION("""COMPUTED_VALUE"""),"Dubai&gt;Dubai South&gt;Residential District&gt;South Bay&gt;South Bay 5")</f>
        <v>Dubai&gt;Dubai South&gt;Residential District&gt;South Bay&gt;South Bay 5</v>
      </c>
      <c r="E11965" s="2"/>
      <c r="F11965" s="2"/>
      <c r="G11965" s="2"/>
      <c r="H11965" s="2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2"/>
      <c r="T11965" s="2"/>
      <c r="U11965" s="2"/>
      <c r="V11965" s="2"/>
      <c r="W11965" s="2"/>
      <c r="X11965" s="2"/>
      <c r="Y11965" s="2"/>
      <c r="Z11965" s="2"/>
    </row>
    <row r="11966" spans="1:26" ht="16.5" x14ac:dyDescent="0.35">
      <c r="A11966" s="2" t="str">
        <f ca="1">IFERROR(__xludf.DUMMYFUNCTION("""COMPUTED_VALUE"""),"Dubai")</f>
        <v>Dubai</v>
      </c>
      <c r="B11966" s="2" t="str">
        <f ca="1">IFERROR(__xludf.DUMMYFUNCTION("""COMPUTED_VALUE"""),"Coventry 66")</f>
        <v>Coventry 66</v>
      </c>
      <c r="C11966" s="2" t="str">
        <f ca="1">IFERROR(__xludf.DUMMYFUNCTION("""COMPUTED_VALUE"""),"Building")</f>
        <v>Building</v>
      </c>
      <c r="D11966" s="2" t="str">
        <f ca="1">IFERROR(__xludf.DUMMYFUNCTION("""COMPUTED_VALUE"""),"Dubai&gt;Dubai South&gt;Residential District&gt;Coventry 66")</f>
        <v>Dubai&gt;Dubai South&gt;Residential District&gt;Coventry 66</v>
      </c>
      <c r="E11966" s="2"/>
      <c r="F11966" s="2"/>
      <c r="G11966" s="2"/>
      <c r="H11966" s="2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2"/>
      <c r="T11966" s="2"/>
      <c r="U11966" s="2"/>
      <c r="V11966" s="2"/>
      <c r="W11966" s="2"/>
      <c r="X11966" s="2"/>
      <c r="Y11966" s="2"/>
      <c r="Z11966" s="2"/>
    </row>
    <row r="11967" spans="1:26" ht="16.5" x14ac:dyDescent="0.35">
      <c r="A11967" s="2" t="str">
        <f ca="1">IFERROR(__xludf.DUMMYFUNCTION("""COMPUTED_VALUE"""),"Dubai")</f>
        <v>Dubai</v>
      </c>
      <c r="B11967" s="2" t="str">
        <f ca="1">IFERROR(__xludf.DUMMYFUNCTION("""COMPUTED_VALUE"""),"Orchid Residence 1")</f>
        <v>Orchid Residence 1</v>
      </c>
      <c r="C11967" s="2" t="str">
        <f ca="1">IFERROR(__xludf.DUMMYFUNCTION("""COMPUTED_VALUE"""),"Building")</f>
        <v>Building</v>
      </c>
      <c r="D11967" s="2" t="str">
        <f ca="1">IFERROR(__xludf.DUMMYFUNCTION("""COMPUTED_VALUE"""),"Dubai&gt;Dubai South&gt;Residential District&gt;Orchid Residence 1")</f>
        <v>Dubai&gt;Dubai South&gt;Residential District&gt;Orchid Residence 1</v>
      </c>
      <c r="E11967" s="2"/>
      <c r="F11967" s="2"/>
      <c r="G11967" s="2"/>
      <c r="H11967" s="2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2"/>
      <c r="T11967" s="2"/>
      <c r="U11967" s="2"/>
      <c r="V11967" s="2"/>
      <c r="W11967" s="2"/>
      <c r="X11967" s="2"/>
      <c r="Y11967" s="2"/>
      <c r="Z11967" s="2"/>
    </row>
    <row r="11968" spans="1:26" ht="16.5" x14ac:dyDescent="0.35">
      <c r="A11968" s="2" t="str">
        <f ca="1">IFERROR(__xludf.DUMMYFUNCTION("""COMPUTED_VALUE"""),"Dubai")</f>
        <v>Dubai</v>
      </c>
      <c r="B11968" s="2" t="str">
        <f ca="1">IFERROR(__xludf.DUMMYFUNCTION("""COMPUTED_VALUE"""),"Greenville")</f>
        <v>Greenville</v>
      </c>
      <c r="C11968" s="2" t="str">
        <f ca="1">IFERROR(__xludf.DUMMYFUNCTION("""COMPUTED_VALUE"""),"Neighbourhood")</f>
        <v>Neighbourhood</v>
      </c>
      <c r="D11968" s="2" t="str">
        <f ca="1">IFERROR(__xludf.DUMMYFUNCTION("""COMPUTED_VALUE"""),"Dubai&gt;Dubai South&gt;Emaar South&gt;Greenville")</f>
        <v>Dubai&gt;Dubai South&gt;Emaar South&gt;Greenville</v>
      </c>
      <c r="E11968" s="2"/>
      <c r="F11968" s="2"/>
      <c r="G11968" s="2"/>
      <c r="H11968" s="2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2"/>
      <c r="T11968" s="2"/>
      <c r="U11968" s="2"/>
      <c r="V11968" s="2"/>
      <c r="W11968" s="2"/>
      <c r="X11968" s="2"/>
      <c r="Y11968" s="2"/>
      <c r="Z11968" s="2"/>
    </row>
    <row r="11969" spans="1:26" ht="16.5" x14ac:dyDescent="0.35">
      <c r="A11969" s="2" t="str">
        <f ca="1">IFERROR(__xludf.DUMMYFUNCTION("""COMPUTED_VALUE"""),"Dubai")</f>
        <v>Dubai</v>
      </c>
      <c r="B11969" s="2" t="str">
        <f ca="1">IFERROR(__xludf.DUMMYFUNCTION("""COMPUTED_VALUE"""),"Dubai South Business Park B3")</f>
        <v>Dubai South Business Park B3</v>
      </c>
      <c r="C11969" s="2" t="str">
        <f ca="1">IFERROR(__xludf.DUMMYFUNCTION("""COMPUTED_VALUE"""),"Building")</f>
        <v>Building</v>
      </c>
      <c r="D11969" s="2" t="str">
        <f ca="1">IFERROR(__xludf.DUMMYFUNCTION("""COMPUTED_VALUE"""),"Dubai&gt;Dubai South&gt;Logistics City&gt;The Avenue&gt;Dubai South Business Park B3")</f>
        <v>Dubai&gt;Dubai South&gt;Logistics City&gt;The Avenue&gt;Dubai South Business Park B3</v>
      </c>
      <c r="E11969" s="2"/>
      <c r="F11969" s="2"/>
      <c r="G11969" s="2"/>
      <c r="H11969" s="2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2"/>
      <c r="T11969" s="2"/>
      <c r="U11969" s="2"/>
      <c r="V11969" s="2"/>
      <c r="W11969" s="2"/>
      <c r="X11969" s="2"/>
      <c r="Y11969" s="2"/>
      <c r="Z11969" s="2"/>
    </row>
    <row r="11970" spans="1:26" ht="16.5" x14ac:dyDescent="0.35">
      <c r="A11970" s="2" t="str">
        <f ca="1">IFERROR(__xludf.DUMMYFUNCTION("""COMPUTED_VALUE"""),"Dubai")</f>
        <v>Dubai</v>
      </c>
      <c r="B11970" s="2" t="str">
        <f ca="1">IFERROR(__xludf.DUMMYFUNCTION("""COMPUTED_VALUE"""),"Azizi Venice 7 Building B")</f>
        <v>Azizi Venice 7 Building B</v>
      </c>
      <c r="C11970" s="2" t="str">
        <f ca="1">IFERROR(__xludf.DUMMYFUNCTION("""COMPUTED_VALUE"""),"Building")</f>
        <v>Building</v>
      </c>
      <c r="D11970" s="2" t="str">
        <f ca="1">IFERROR(__xludf.DUMMYFUNCTION("""COMPUTED_VALUE"""),"Dubai&gt;Dubai South&gt;Azizi Venice&gt;Azizi Venice 7&gt;Azizi Venice 7 Building B")</f>
        <v>Dubai&gt;Dubai South&gt;Azizi Venice&gt;Azizi Venice 7&gt;Azizi Venice 7 Building B</v>
      </c>
      <c r="E11970" s="2"/>
      <c r="F11970" s="2"/>
      <c r="G11970" s="2"/>
      <c r="H11970" s="2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2"/>
      <c r="T11970" s="2"/>
      <c r="U11970" s="2"/>
      <c r="V11970" s="2"/>
      <c r="W11970" s="2"/>
      <c r="X11970" s="2"/>
      <c r="Y11970" s="2"/>
      <c r="Z11970" s="2"/>
    </row>
    <row r="11971" spans="1:26" ht="16.5" x14ac:dyDescent="0.35">
      <c r="A11971" s="2" t="str">
        <f ca="1">IFERROR(__xludf.DUMMYFUNCTION("""COMPUTED_VALUE"""),"Dubai")</f>
        <v>Dubai</v>
      </c>
      <c r="B11971" s="2" t="str">
        <f ca="1">IFERROR(__xludf.DUMMYFUNCTION("""COMPUTED_VALUE"""),"Azizi Venice 16")</f>
        <v>Azizi Venice 16</v>
      </c>
      <c r="C11971" s="2" t="str">
        <f ca="1">IFERROR(__xludf.DUMMYFUNCTION("""COMPUTED_VALUE"""),"Building")</f>
        <v>Building</v>
      </c>
      <c r="D11971" s="2" t="str">
        <f ca="1">IFERROR(__xludf.DUMMYFUNCTION("""COMPUTED_VALUE"""),"Dubai&gt;Dubai South&gt;Azizi Venice&gt;Azizi Venice 16")</f>
        <v>Dubai&gt;Dubai South&gt;Azizi Venice&gt;Azizi Venice 16</v>
      </c>
      <c r="E11971" s="2"/>
      <c r="F11971" s="2"/>
      <c r="G11971" s="2"/>
      <c r="H11971" s="2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2"/>
      <c r="T11971" s="2"/>
      <c r="U11971" s="2"/>
      <c r="V11971" s="2"/>
      <c r="W11971" s="2"/>
      <c r="X11971" s="2"/>
      <c r="Y11971" s="2"/>
      <c r="Z11971" s="2"/>
    </row>
    <row r="11972" spans="1:26" ht="16.5" x14ac:dyDescent="0.35">
      <c r="A11972" s="2" t="str">
        <f ca="1">IFERROR(__xludf.DUMMYFUNCTION("""COMPUTED_VALUE"""),"Dubai")</f>
        <v>Dubai</v>
      </c>
      <c r="B11972" s="2" t="str">
        <f ca="1">IFERROR(__xludf.DUMMYFUNCTION("""COMPUTED_VALUE"""),"Pearl Jumeirah Villas")</f>
        <v>Pearl Jumeirah Villas</v>
      </c>
      <c r="C11972" s="2" t="str">
        <f ca="1">IFERROR(__xludf.DUMMYFUNCTION("""COMPUTED_VALUE"""),"Neighbourhood")</f>
        <v>Neighbourhood</v>
      </c>
      <c r="D11972" s="2" t="str">
        <f ca="1">IFERROR(__xludf.DUMMYFUNCTION("""COMPUTED_VALUE"""),"Dubai&gt;Pearl Jumeirah&gt;Pearl Jumeirah Villas")</f>
        <v>Dubai&gt;Pearl Jumeirah&gt;Pearl Jumeirah Villas</v>
      </c>
      <c r="E11972" s="2"/>
      <c r="F11972" s="2"/>
      <c r="G11972" s="2"/>
      <c r="H11972" s="2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2"/>
      <c r="T11972" s="2"/>
      <c r="U11972" s="2"/>
      <c r="V11972" s="2"/>
      <c r="W11972" s="2"/>
      <c r="X11972" s="2"/>
      <c r="Y11972" s="2"/>
      <c r="Z11972" s="2"/>
    </row>
    <row r="11973" spans="1:26" ht="16.5" x14ac:dyDescent="0.35">
      <c r="A11973" s="2" t="str">
        <f ca="1">IFERROR(__xludf.DUMMYFUNCTION("""COMPUTED_VALUE"""),"Dubai")</f>
        <v>Dubai</v>
      </c>
      <c r="B11973" s="2" t="str">
        <f ca="1">IFERROR(__xludf.DUMMYFUNCTION("""COMPUTED_VALUE"""),"Office Court Building")</f>
        <v>Office Court Building</v>
      </c>
      <c r="C11973" s="2" t="str">
        <f ca="1">IFERROR(__xludf.DUMMYFUNCTION("""COMPUTED_VALUE"""),"Building")</f>
        <v>Building</v>
      </c>
      <c r="D11973" s="2" t="str">
        <f ca="1">IFERROR(__xludf.DUMMYFUNCTION("""COMPUTED_VALUE"""),"Dubai&gt;Bur Dubai&gt;Oud Metha&gt;Office Court Building")</f>
        <v>Dubai&gt;Bur Dubai&gt;Oud Metha&gt;Office Court Building</v>
      </c>
      <c r="E11973" s="2"/>
      <c r="F11973" s="2"/>
      <c r="G11973" s="2"/>
      <c r="H11973" s="2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2"/>
      <c r="T11973" s="2"/>
      <c r="U11973" s="2"/>
      <c r="V11973" s="2"/>
      <c r="W11973" s="2"/>
      <c r="X11973" s="2"/>
      <c r="Y11973" s="2"/>
      <c r="Z11973" s="2"/>
    </row>
    <row r="11974" spans="1:26" ht="16.5" x14ac:dyDescent="0.35">
      <c r="A11974" s="2" t="str">
        <f ca="1">IFERROR(__xludf.DUMMYFUNCTION("""COMPUTED_VALUE"""),"Dubai")</f>
        <v>Dubai</v>
      </c>
      <c r="B11974" s="2" t="str">
        <f ca="1">IFERROR(__xludf.DUMMYFUNCTION("""COMPUTED_VALUE"""),"Golden Gate")</f>
        <v>Golden Gate</v>
      </c>
      <c r="C11974" s="2" t="str">
        <f ca="1">IFERROR(__xludf.DUMMYFUNCTION("""COMPUTED_VALUE"""),"Building")</f>
        <v>Building</v>
      </c>
      <c r="D11974" s="2" t="str">
        <f ca="1">IFERROR(__xludf.DUMMYFUNCTION("""COMPUTED_VALUE"""),"Dubai&gt;Bur Dubai&gt;Oud Metha&gt;Golden Gate")</f>
        <v>Dubai&gt;Bur Dubai&gt;Oud Metha&gt;Golden Gate</v>
      </c>
      <c r="E11974" s="2"/>
      <c r="F11974" s="2"/>
      <c r="G11974" s="2"/>
      <c r="H11974" s="2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2"/>
      <c r="T11974" s="2"/>
      <c r="U11974" s="2"/>
      <c r="V11974" s="2"/>
      <c r="W11974" s="2"/>
      <c r="X11974" s="2"/>
      <c r="Y11974" s="2"/>
      <c r="Z11974" s="2"/>
    </row>
    <row r="11975" spans="1:26" ht="16.5" x14ac:dyDescent="0.35">
      <c r="A11975" s="2" t="str">
        <f ca="1">IFERROR(__xludf.DUMMYFUNCTION("""COMPUTED_VALUE"""),"Dubai")</f>
        <v>Dubai</v>
      </c>
      <c r="B11975" s="2" t="str">
        <f ca="1">IFERROR(__xludf.DUMMYFUNCTION("""COMPUTED_VALUE"""),"Regency Building")</f>
        <v>Regency Building</v>
      </c>
      <c r="C11975" s="2" t="str">
        <f ca="1">IFERROR(__xludf.DUMMYFUNCTION("""COMPUTED_VALUE"""),"Building")</f>
        <v>Building</v>
      </c>
      <c r="D11975" s="2" t="str">
        <f ca="1">IFERROR(__xludf.DUMMYFUNCTION("""COMPUTED_VALUE"""),"Dubai&gt;Bur Dubai&gt;Al Raffa&gt;Regency Building")</f>
        <v>Dubai&gt;Bur Dubai&gt;Al Raffa&gt;Regency Building</v>
      </c>
      <c r="E11975" s="2"/>
      <c r="F11975" s="2"/>
      <c r="G11975" s="2"/>
      <c r="H11975" s="2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2"/>
      <c r="T11975" s="2"/>
      <c r="U11975" s="2"/>
      <c r="V11975" s="2"/>
      <c r="W11975" s="2"/>
      <c r="X11975" s="2"/>
      <c r="Y11975" s="2"/>
      <c r="Z11975" s="2"/>
    </row>
    <row r="11976" spans="1:26" ht="16.5" x14ac:dyDescent="0.35">
      <c r="A11976" s="2" t="str">
        <f ca="1">IFERROR(__xludf.DUMMYFUNCTION("""COMPUTED_VALUE"""),"Dubai")</f>
        <v>Dubai</v>
      </c>
      <c r="B11976" s="2" t="str">
        <f ca="1">IFERROR(__xludf.DUMMYFUNCTION("""COMPUTED_VALUE"""),"Ambassador Kindergarten")</f>
        <v>Ambassador Kindergarten</v>
      </c>
      <c r="C11976" s="2" t="str">
        <f ca="1">IFERROR(__xludf.DUMMYFUNCTION("""COMPUTED_VALUE"""),"School")</f>
        <v>School</v>
      </c>
      <c r="D11976" s="2" t="str">
        <f ca="1">IFERROR(__xludf.DUMMYFUNCTION("""COMPUTED_VALUE"""),"Dubai&gt;Bur Dubai&gt;Al Mankhool&gt;Ambassador Kindergarten")</f>
        <v>Dubai&gt;Bur Dubai&gt;Al Mankhool&gt;Ambassador Kindergarten</v>
      </c>
      <c r="E11976" s="2"/>
      <c r="F11976" s="2"/>
      <c r="G11976" s="2"/>
      <c r="H11976" s="2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2"/>
      <c r="T11976" s="2"/>
      <c r="U11976" s="2"/>
      <c r="V11976" s="2"/>
      <c r="W11976" s="2"/>
      <c r="X11976" s="2"/>
      <c r="Y11976" s="2"/>
      <c r="Z11976" s="2"/>
    </row>
    <row r="11977" spans="1:26" ht="16.5" x14ac:dyDescent="0.35">
      <c r="A11977" s="2" t="str">
        <f ca="1">IFERROR(__xludf.DUMMYFUNCTION("""COMPUTED_VALUE"""),"Dubai")</f>
        <v>Dubai</v>
      </c>
      <c r="B11977" s="2" t="str">
        <f ca="1">IFERROR(__xludf.DUMMYFUNCTION("""COMPUTED_VALUE"""),"Etoile Building")</f>
        <v>Etoile Building</v>
      </c>
      <c r="C11977" s="2" t="str">
        <f ca="1">IFERROR(__xludf.DUMMYFUNCTION("""COMPUTED_VALUE"""),"Building")</f>
        <v>Building</v>
      </c>
      <c r="D11977" s="2" t="str">
        <f ca="1">IFERROR(__xludf.DUMMYFUNCTION("""COMPUTED_VALUE"""),"Dubai&gt;Bur Dubai&gt;Al Mankhool&gt;Etoile Building")</f>
        <v>Dubai&gt;Bur Dubai&gt;Al Mankhool&gt;Etoile Building</v>
      </c>
      <c r="E11977" s="2"/>
      <c r="F11977" s="2"/>
      <c r="G11977" s="2"/>
      <c r="H11977" s="2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2"/>
      <c r="T11977" s="2"/>
      <c r="U11977" s="2"/>
      <c r="V11977" s="2"/>
      <c r="W11977" s="2"/>
      <c r="X11977" s="2"/>
      <c r="Y11977" s="2"/>
      <c r="Z11977" s="2"/>
    </row>
    <row r="11978" spans="1:26" ht="16.5" x14ac:dyDescent="0.35">
      <c r="A11978" s="2" t="str">
        <f ca="1">IFERROR(__xludf.DUMMYFUNCTION("""COMPUTED_VALUE"""),"Dubai")</f>
        <v>Dubai</v>
      </c>
      <c r="B11978" s="2" t="str">
        <f ca="1">IFERROR(__xludf.DUMMYFUNCTION("""COMPUTED_VALUE"""),"La Maison")</f>
        <v>La Maison</v>
      </c>
      <c r="C11978" s="2" t="str">
        <f ca="1">IFERROR(__xludf.DUMMYFUNCTION("""COMPUTED_VALUE"""),"Building")</f>
        <v>Building</v>
      </c>
      <c r="D11978" s="2" t="str">
        <f ca="1">IFERROR(__xludf.DUMMYFUNCTION("""COMPUTED_VALUE"""),"Dubai&gt;Bur Dubai&gt;Al Mankhool&gt;La Maison")</f>
        <v>Dubai&gt;Bur Dubai&gt;Al Mankhool&gt;La Maison</v>
      </c>
      <c r="E11978" s="2"/>
      <c r="F11978" s="2"/>
      <c r="G11978" s="2"/>
      <c r="H11978" s="2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2"/>
      <c r="T11978" s="2"/>
      <c r="U11978" s="2"/>
      <c r="V11978" s="2"/>
      <c r="W11978" s="2"/>
      <c r="X11978" s="2"/>
      <c r="Y11978" s="2"/>
      <c r="Z11978" s="2"/>
    </row>
    <row r="11979" spans="1:26" ht="16.5" x14ac:dyDescent="0.35">
      <c r="A11979" s="2" t="str">
        <f ca="1">IFERROR(__xludf.DUMMYFUNCTION("""COMPUTED_VALUE"""),"Dubai")</f>
        <v>Dubai</v>
      </c>
      <c r="B11979" s="2" t="str">
        <f ca="1">IFERROR(__xludf.DUMMYFUNCTION("""COMPUTED_VALUE"""),"Hussain Ali Fardan Alfardan Building")</f>
        <v>Hussain Ali Fardan Alfardan Building</v>
      </c>
      <c r="C11979" s="2" t="str">
        <f ca="1">IFERROR(__xludf.DUMMYFUNCTION("""COMPUTED_VALUE"""),"Building")</f>
        <v>Building</v>
      </c>
      <c r="D11979" s="2" t="str">
        <f ca="1">IFERROR(__xludf.DUMMYFUNCTION("""COMPUTED_VALUE"""),"Dubai&gt;Bur Dubai&gt;Al Mankhool&gt;Hussain Ali Fardan Alfardan Building")</f>
        <v>Dubai&gt;Bur Dubai&gt;Al Mankhool&gt;Hussain Ali Fardan Alfardan Building</v>
      </c>
      <c r="E11979" s="2"/>
      <c r="F11979" s="2"/>
      <c r="G11979" s="2"/>
      <c r="H11979" s="2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2"/>
      <c r="T11979" s="2"/>
      <c r="U11979" s="2"/>
      <c r="V11979" s="2"/>
      <c r="W11979" s="2"/>
      <c r="X11979" s="2"/>
      <c r="Y11979" s="2"/>
      <c r="Z11979" s="2"/>
    </row>
    <row r="11980" spans="1:26" ht="16.5" x14ac:dyDescent="0.35">
      <c r="A11980" s="2" t="str">
        <f ca="1">IFERROR(__xludf.DUMMYFUNCTION("""COMPUTED_VALUE"""),"Dubai")</f>
        <v>Dubai</v>
      </c>
      <c r="B11980" s="2" t="str">
        <f ca="1">IFERROR(__xludf.DUMMYFUNCTION("""COMPUTED_VALUE"""),"Sofitel Dubai The Obelisk")</f>
        <v>Sofitel Dubai The Obelisk</v>
      </c>
      <c r="C11980" s="2" t="str">
        <f ca="1">IFERROR(__xludf.DUMMYFUNCTION("""COMPUTED_VALUE"""),"Building")</f>
        <v>Building</v>
      </c>
      <c r="D11980" s="2" t="str">
        <f ca="1">IFERROR(__xludf.DUMMYFUNCTION("""COMPUTED_VALUE"""),"Dubai&gt;Bur Dubai&gt;Umm Hurair&gt;Umm Hurair 2&gt;Sofitel Dubai The Obelisk")</f>
        <v>Dubai&gt;Bur Dubai&gt;Umm Hurair&gt;Umm Hurair 2&gt;Sofitel Dubai The Obelisk</v>
      </c>
      <c r="E11980" s="2"/>
      <c r="F11980" s="2"/>
      <c r="G11980" s="2"/>
      <c r="H11980" s="2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2"/>
      <c r="T11980" s="2"/>
      <c r="U11980" s="2"/>
      <c r="V11980" s="2"/>
      <c r="W11980" s="2"/>
      <c r="X11980" s="2"/>
      <c r="Y11980" s="2"/>
      <c r="Z11980" s="2"/>
    </row>
    <row r="11981" spans="1:26" ht="16.5" x14ac:dyDescent="0.35">
      <c r="A11981" s="2" t="str">
        <f ca="1">IFERROR(__xludf.DUMMYFUNCTION("""COMPUTED_VALUE"""),"Dubai")</f>
        <v>Dubai</v>
      </c>
      <c r="B11981" s="2" t="str">
        <f ca="1">IFERROR(__xludf.DUMMYFUNCTION("""COMPUTED_VALUE"""),"Ahmed Hamdan Budheb Building")</f>
        <v>Ahmed Hamdan Budheb Building</v>
      </c>
      <c r="C11981" s="2" t="str">
        <f ca="1">IFERROR(__xludf.DUMMYFUNCTION("""COMPUTED_VALUE"""),"Building")</f>
        <v>Building</v>
      </c>
      <c r="D11981" s="2" t="str">
        <f ca="1">IFERROR(__xludf.DUMMYFUNCTION("""COMPUTED_VALUE"""),"Dubai&gt;Bur Dubai&gt;Al Souk Al Kabeer (Al Fahidi)&gt;Ahmed Hamdan Budheb Building")</f>
        <v>Dubai&gt;Bur Dubai&gt;Al Souk Al Kabeer (Al Fahidi)&gt;Ahmed Hamdan Budheb Building</v>
      </c>
      <c r="E11981" s="2"/>
      <c r="F11981" s="2"/>
      <c r="G11981" s="2"/>
      <c r="H11981" s="2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2"/>
      <c r="T11981" s="2"/>
      <c r="U11981" s="2"/>
      <c r="V11981" s="2"/>
      <c r="W11981" s="2"/>
      <c r="X11981" s="2"/>
      <c r="Y11981" s="2"/>
      <c r="Z11981" s="2"/>
    </row>
    <row r="11982" spans="1:26" ht="16.5" x14ac:dyDescent="0.35">
      <c r="A11982" s="2" t="str">
        <f ca="1">IFERROR(__xludf.DUMMYFUNCTION("""COMPUTED_VALUE"""),"Dubai")</f>
        <v>Dubai</v>
      </c>
      <c r="B11982" s="2" t="str">
        <f ca="1">IFERROR(__xludf.DUMMYFUNCTION("""COMPUTED_VALUE"""),"Al Hamriya Building")</f>
        <v>Al Hamriya Building</v>
      </c>
      <c r="C11982" s="2" t="str">
        <f ca="1">IFERROR(__xludf.DUMMYFUNCTION("""COMPUTED_VALUE"""),"Building")</f>
        <v>Building</v>
      </c>
      <c r="D11982" s="2" t="str">
        <f ca="1">IFERROR(__xludf.DUMMYFUNCTION("""COMPUTED_VALUE"""),"Dubai&gt;Bur Dubai&gt;Al Hamriya&gt;Al Hamriya Building")</f>
        <v>Dubai&gt;Bur Dubai&gt;Al Hamriya&gt;Al Hamriya Building</v>
      </c>
      <c r="E11982" s="2"/>
      <c r="F11982" s="2"/>
      <c r="G11982" s="2"/>
      <c r="H11982" s="2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2"/>
      <c r="T11982" s="2"/>
      <c r="U11982" s="2"/>
      <c r="V11982" s="2"/>
      <c r="W11982" s="2"/>
      <c r="X11982" s="2"/>
      <c r="Y11982" s="2"/>
      <c r="Z11982" s="2"/>
    </row>
    <row r="11983" spans="1:26" ht="16.5" x14ac:dyDescent="0.35">
      <c r="A11983" s="2" t="str">
        <f ca="1">IFERROR(__xludf.DUMMYFUNCTION("""COMPUTED_VALUE"""),"Dubai")</f>
        <v>Dubai</v>
      </c>
      <c r="B11983" s="2" t="str">
        <f ca="1">IFERROR(__xludf.DUMMYFUNCTION("""COMPUTED_VALUE"""),"Building 47")</f>
        <v>Building 47</v>
      </c>
      <c r="C11983" s="2" t="str">
        <f ca="1">IFERROR(__xludf.DUMMYFUNCTION("""COMPUTED_VALUE"""),"Building")</f>
        <v>Building</v>
      </c>
      <c r="D11983" s="2" t="str">
        <f ca="1">IFERROR(__xludf.DUMMYFUNCTION("""COMPUTED_VALUE"""),"Dubai&gt;Bur Dubai&gt;Dubai Healthcare City&gt;Building 47")</f>
        <v>Dubai&gt;Bur Dubai&gt;Dubai Healthcare City&gt;Building 47</v>
      </c>
      <c r="E11983" s="2"/>
      <c r="F11983" s="2"/>
      <c r="G11983" s="2"/>
      <c r="H11983" s="2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2"/>
      <c r="T11983" s="2"/>
      <c r="U11983" s="2"/>
      <c r="V11983" s="2"/>
      <c r="W11983" s="2"/>
      <c r="X11983" s="2"/>
      <c r="Y11983" s="2"/>
      <c r="Z11983" s="2"/>
    </row>
    <row r="11984" spans="1:26" ht="16.5" x14ac:dyDescent="0.35">
      <c r="A11984" s="2" t="str">
        <f ca="1">IFERROR(__xludf.DUMMYFUNCTION("""COMPUTED_VALUE"""),"Dubai")</f>
        <v>Dubai</v>
      </c>
      <c r="B11984" s="2" t="str">
        <f ca="1">IFERROR(__xludf.DUMMYFUNCTION("""COMPUTED_VALUE"""),"Al Andalus Tower D")</f>
        <v>Al Andalus Tower D</v>
      </c>
      <c r="C11984" s="2" t="str">
        <f ca="1">IFERROR(__xludf.DUMMYFUNCTION("""COMPUTED_VALUE"""),"Building")</f>
        <v>Building</v>
      </c>
      <c r="D11984" s="2" t="str">
        <f ca="1">IFERROR(__xludf.DUMMYFUNCTION("""COMPUTED_VALUE"""),"Dubai&gt;Jumeirah Golf Estates&gt;Al Andalus&gt;Al Andalus Tower D")</f>
        <v>Dubai&gt;Jumeirah Golf Estates&gt;Al Andalus&gt;Al Andalus Tower D</v>
      </c>
      <c r="E11984" s="2"/>
      <c r="F11984" s="2"/>
      <c r="G11984" s="2"/>
      <c r="H11984" s="2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2"/>
      <c r="T11984" s="2"/>
      <c r="U11984" s="2"/>
      <c r="V11984" s="2"/>
      <c r="W11984" s="2"/>
      <c r="X11984" s="2"/>
      <c r="Y11984" s="2"/>
      <c r="Z11984" s="2"/>
    </row>
    <row r="11985" spans="1:26" ht="16.5" x14ac:dyDescent="0.35">
      <c r="A11985" s="2" t="str">
        <f ca="1">IFERROR(__xludf.DUMMYFUNCTION("""COMPUTED_VALUE"""),"Dubai")</f>
        <v>Dubai</v>
      </c>
      <c r="B11985" s="2" t="str">
        <f ca="1">IFERROR(__xludf.DUMMYFUNCTION("""COMPUTED_VALUE"""),"Marina Vista Tower 1")</f>
        <v>Marina Vista Tower 1</v>
      </c>
      <c r="C11985" s="2" t="str">
        <f ca="1">IFERROR(__xludf.DUMMYFUNCTION("""COMPUTED_VALUE"""),"Building")</f>
        <v>Building</v>
      </c>
      <c r="D11985" s="2" t="str">
        <f ca="1">IFERROR(__xludf.DUMMYFUNCTION("""COMPUTED_VALUE"""),"Dubai&gt;Dubai Harbour&gt;Emaar Beachfront&gt;Marina Vista&gt;Marina Vista Tower 1")</f>
        <v>Dubai&gt;Dubai Harbour&gt;Emaar Beachfront&gt;Marina Vista&gt;Marina Vista Tower 1</v>
      </c>
      <c r="E11985" s="2"/>
      <c r="F11985" s="2"/>
      <c r="G11985" s="2"/>
      <c r="H11985" s="2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2"/>
      <c r="T11985" s="2"/>
      <c r="U11985" s="2"/>
      <c r="V11985" s="2"/>
      <c r="W11985" s="2"/>
      <c r="X11985" s="2"/>
      <c r="Y11985" s="2"/>
      <c r="Z11985" s="2"/>
    </row>
    <row r="11986" spans="1:26" ht="16.5" x14ac:dyDescent="0.35">
      <c r="A11986" s="2" t="str">
        <f ca="1">IFERROR(__xludf.DUMMYFUNCTION("""COMPUTED_VALUE"""),"Dubai")</f>
        <v>Dubai</v>
      </c>
      <c r="B11986" s="2" t="str">
        <f ca="1">IFERROR(__xludf.DUMMYFUNCTION("""COMPUTED_VALUE"""),"Sobha Seahaven")</f>
        <v>Sobha Seahaven</v>
      </c>
      <c r="C11986" s="2" t="str">
        <f ca="1">IFERROR(__xludf.DUMMYFUNCTION("""COMPUTED_VALUE"""),"Cluster")</f>
        <v>Cluster</v>
      </c>
      <c r="D11986" s="2" t="str">
        <f ca="1">IFERROR(__xludf.DUMMYFUNCTION("""COMPUTED_VALUE"""),"Dubai&gt;Dubai Harbour&gt;Sobha Seahaven")</f>
        <v>Dubai&gt;Dubai Harbour&gt;Sobha Seahaven</v>
      </c>
      <c r="E11986" s="2"/>
      <c r="F11986" s="2"/>
      <c r="G11986" s="2"/>
      <c r="H11986" s="2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2"/>
      <c r="T11986" s="2"/>
      <c r="U11986" s="2"/>
      <c r="V11986" s="2"/>
      <c r="W11986" s="2"/>
      <c r="X11986" s="2"/>
      <c r="Y11986" s="2"/>
      <c r="Z11986" s="2"/>
    </row>
    <row r="11987" spans="1:26" ht="16.5" x14ac:dyDescent="0.35">
      <c r="A11987" s="2" t="str">
        <f ca="1">IFERROR(__xludf.DUMMYFUNCTION("""COMPUTED_VALUE"""),"Dubai")</f>
        <v>Dubai</v>
      </c>
      <c r="B11987" s="2" t="str">
        <f ca="1">IFERROR(__xludf.DUMMYFUNCTION("""COMPUTED_VALUE"""),"Acuna")</f>
        <v>Acuna</v>
      </c>
      <c r="C11987" s="2" t="str">
        <f ca="1">IFERROR(__xludf.DUMMYFUNCTION("""COMPUTED_VALUE"""),"Neighbourhood")</f>
        <v>Neighbourhood</v>
      </c>
      <c r="D11987" s="2" t="str">
        <f ca="1">IFERROR(__xludf.DUMMYFUNCTION("""COMPUTED_VALUE"""),"Dubai&gt;DAMAC Hills 2 (Akoya by DAMAC)&gt;Acuna")</f>
        <v>Dubai&gt;DAMAC Hills 2 (Akoya by DAMAC)&gt;Acuna</v>
      </c>
      <c r="E11987" s="2"/>
      <c r="F11987" s="2"/>
      <c r="G11987" s="2"/>
      <c r="H11987" s="2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2"/>
      <c r="T11987" s="2"/>
      <c r="U11987" s="2"/>
      <c r="V11987" s="2"/>
      <c r="W11987" s="2"/>
      <c r="X11987" s="2"/>
      <c r="Y11987" s="2"/>
      <c r="Z11987" s="2"/>
    </row>
    <row r="11988" spans="1:26" ht="16.5" x14ac:dyDescent="0.35">
      <c r="A11988" s="2" t="str">
        <f ca="1">IFERROR(__xludf.DUMMYFUNCTION("""COMPUTED_VALUE"""),"Dubai")</f>
        <v>Dubai</v>
      </c>
      <c r="B11988" s="2" t="str">
        <f ca="1">IFERROR(__xludf.DUMMYFUNCTION("""COMPUTED_VALUE"""),"Blossom Nursery Serena")</f>
        <v>Blossom Nursery Serena</v>
      </c>
      <c r="C11988" s="2" t="str">
        <f ca="1">IFERROR(__xludf.DUMMYFUNCTION("""COMPUTED_VALUE"""),"Nursery")</f>
        <v>Nursery</v>
      </c>
      <c r="D11988" s="2" t="str">
        <f ca="1">IFERROR(__xludf.DUMMYFUNCTION("""COMPUTED_VALUE"""),"Dubai&gt;Serena&gt;Blossom Nursery Serena")</f>
        <v>Dubai&gt;Serena&gt;Blossom Nursery Serena</v>
      </c>
      <c r="E11988" s="2"/>
      <c r="F11988" s="2"/>
      <c r="G11988" s="2"/>
      <c r="H11988" s="2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2"/>
      <c r="T11988" s="2"/>
      <c r="U11988" s="2"/>
      <c r="V11988" s="2"/>
      <c r="W11988" s="2"/>
      <c r="X11988" s="2"/>
      <c r="Y11988" s="2"/>
      <c r="Z11988" s="2"/>
    </row>
    <row r="11989" spans="1:26" ht="16.5" x14ac:dyDescent="0.35">
      <c r="A11989" s="2" t="str">
        <f ca="1">IFERROR(__xludf.DUMMYFUNCTION("""COMPUTED_VALUE"""),"Dubai")</f>
        <v>Dubai</v>
      </c>
      <c r="B11989" s="2" t="str">
        <f ca="1">IFERROR(__xludf.DUMMYFUNCTION("""COMPUTED_VALUE"""),"J-05")</f>
        <v>J-05</v>
      </c>
      <c r="C11989" s="2" t="str">
        <f ca="1">IFERROR(__xludf.DUMMYFUNCTION("""COMPUTED_VALUE"""),"Building")</f>
        <v>Building</v>
      </c>
      <c r="D11989" s="2" t="str">
        <f ca="1">IFERROR(__xludf.DUMMYFUNCTION("""COMPUTED_VALUE"""),"Dubai&gt;International City&gt;Morocco Cluster&gt;J-05")</f>
        <v>Dubai&gt;International City&gt;Morocco Cluster&gt;J-05</v>
      </c>
      <c r="E11989" s="2"/>
      <c r="F11989" s="2"/>
      <c r="G11989" s="2"/>
      <c r="H11989" s="2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2"/>
      <c r="T11989" s="2"/>
      <c r="U11989" s="2"/>
      <c r="V11989" s="2"/>
      <c r="W11989" s="2"/>
      <c r="X11989" s="2"/>
      <c r="Y11989" s="2"/>
      <c r="Z11989" s="2"/>
    </row>
    <row r="11990" spans="1:26" ht="16.5" x14ac:dyDescent="0.35">
      <c r="A11990" s="2" t="str">
        <f ca="1">IFERROR(__xludf.DUMMYFUNCTION("""COMPUTED_VALUE"""),"Dubai")</f>
        <v>Dubai</v>
      </c>
      <c r="B11990" s="2" t="str">
        <f ca="1">IFERROR(__xludf.DUMMYFUNCTION("""COMPUTED_VALUE"""),"D-05")</f>
        <v>D-05</v>
      </c>
      <c r="C11990" s="2" t="str">
        <f ca="1">IFERROR(__xludf.DUMMYFUNCTION("""COMPUTED_VALUE"""),"Building")</f>
        <v>Building</v>
      </c>
      <c r="D11990" s="2" t="str">
        <f ca="1">IFERROR(__xludf.DUMMYFUNCTION("""COMPUTED_VALUE"""),"Dubai&gt;International City&gt;China Cluster&gt;D-05")</f>
        <v>Dubai&gt;International City&gt;China Cluster&gt;D-05</v>
      </c>
      <c r="E11990" s="2"/>
      <c r="F11990" s="2"/>
      <c r="G11990" s="2"/>
      <c r="H11990" s="2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2"/>
      <c r="T11990" s="2"/>
      <c r="U11990" s="2"/>
      <c r="V11990" s="2"/>
      <c r="W11990" s="2"/>
      <c r="X11990" s="2"/>
      <c r="Y11990" s="2"/>
      <c r="Z11990" s="2"/>
    </row>
    <row r="11991" spans="1:26" ht="16.5" x14ac:dyDescent="0.35">
      <c r="A11991" s="2" t="str">
        <f ca="1">IFERROR(__xludf.DUMMYFUNCTION("""COMPUTED_VALUE"""),"Dubai")</f>
        <v>Dubai</v>
      </c>
      <c r="B11991" s="2" t="str">
        <f ca="1">IFERROR(__xludf.DUMMYFUNCTION("""COMPUTED_VALUE"""),"C-04")</f>
        <v>C-04</v>
      </c>
      <c r="C11991" s="2" t="str">
        <f ca="1">IFERROR(__xludf.DUMMYFUNCTION("""COMPUTED_VALUE"""),"Building")</f>
        <v>Building</v>
      </c>
      <c r="D11991" s="2" t="str">
        <f ca="1">IFERROR(__xludf.DUMMYFUNCTION("""COMPUTED_VALUE"""),"Dubai&gt;International City&gt;China Cluster&gt;C-04")</f>
        <v>Dubai&gt;International City&gt;China Cluster&gt;C-04</v>
      </c>
      <c r="E11991" s="2"/>
      <c r="F11991" s="2"/>
      <c r="G11991" s="2"/>
      <c r="H11991" s="2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2"/>
      <c r="T11991" s="2"/>
      <c r="U11991" s="2"/>
      <c r="V11991" s="2"/>
      <c r="W11991" s="2"/>
      <c r="X11991" s="2"/>
      <c r="Y11991" s="2"/>
      <c r="Z11991" s="2"/>
    </row>
    <row r="11992" spans="1:26" ht="16.5" x14ac:dyDescent="0.35">
      <c r="A11992" s="2" t="str">
        <f ca="1">IFERROR(__xludf.DUMMYFUNCTION("""COMPUTED_VALUE"""),"Dubai")</f>
        <v>Dubai</v>
      </c>
      <c r="B11992" s="2" t="str">
        <f ca="1">IFERROR(__xludf.DUMMYFUNCTION("""COMPUTED_VALUE"""),"F-10")</f>
        <v>F-10</v>
      </c>
      <c r="C11992" s="2" t="str">
        <f ca="1">IFERROR(__xludf.DUMMYFUNCTION("""COMPUTED_VALUE"""),"Building")</f>
        <v>Building</v>
      </c>
      <c r="D11992" s="2" t="str">
        <f ca="1">IFERROR(__xludf.DUMMYFUNCTION("""COMPUTED_VALUE"""),"Dubai&gt;International City&gt;China Cluster&gt;F-10")</f>
        <v>Dubai&gt;International City&gt;China Cluster&gt;F-10</v>
      </c>
      <c r="E11992" s="2"/>
      <c r="F11992" s="2"/>
      <c r="G11992" s="2"/>
      <c r="H11992" s="2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2"/>
      <c r="T11992" s="2"/>
      <c r="U11992" s="2"/>
      <c r="V11992" s="2"/>
      <c r="W11992" s="2"/>
      <c r="X11992" s="2"/>
      <c r="Y11992" s="2"/>
      <c r="Z11992" s="2"/>
    </row>
    <row r="11993" spans="1:26" ht="16.5" x14ac:dyDescent="0.35">
      <c r="A11993" s="2" t="str">
        <f ca="1">IFERROR(__xludf.DUMMYFUNCTION("""COMPUTED_VALUE"""),"Dubai")</f>
        <v>Dubai</v>
      </c>
      <c r="B11993" s="2" t="str">
        <f ca="1">IFERROR(__xludf.DUMMYFUNCTION("""COMPUTED_VALUE"""),"T-08")</f>
        <v>T-08</v>
      </c>
      <c r="C11993" s="2" t="str">
        <f ca="1">IFERROR(__xludf.DUMMYFUNCTION("""COMPUTED_VALUE"""),"Building")</f>
        <v>Building</v>
      </c>
      <c r="D11993" s="2" t="str">
        <f ca="1">IFERROR(__xludf.DUMMYFUNCTION("""COMPUTED_VALUE"""),"Dubai&gt;International City&gt;Spain Cluster&gt;T-08")</f>
        <v>Dubai&gt;International City&gt;Spain Cluster&gt;T-08</v>
      </c>
      <c r="E11993" s="2"/>
      <c r="F11993" s="2"/>
      <c r="G11993" s="2"/>
      <c r="H11993" s="2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2"/>
      <c r="T11993" s="2"/>
      <c r="U11993" s="2"/>
      <c r="V11993" s="2"/>
      <c r="W11993" s="2"/>
      <c r="X11993" s="2"/>
      <c r="Y11993" s="2"/>
      <c r="Z11993" s="2"/>
    </row>
    <row r="11994" spans="1:26" ht="16.5" x14ac:dyDescent="0.35">
      <c r="A11994" s="2" t="str">
        <f ca="1">IFERROR(__xludf.DUMMYFUNCTION("""COMPUTED_VALUE"""),"Dubai")</f>
        <v>Dubai</v>
      </c>
      <c r="B11994" s="2" t="str">
        <f ca="1">IFERROR(__xludf.DUMMYFUNCTION("""COMPUTED_VALUE"""),"U-07")</f>
        <v>U-07</v>
      </c>
      <c r="C11994" s="2" t="str">
        <f ca="1">IFERROR(__xludf.DUMMYFUNCTION("""COMPUTED_VALUE"""),"Building")</f>
        <v>Building</v>
      </c>
      <c r="D11994" s="2" t="str">
        <f ca="1">IFERROR(__xludf.DUMMYFUNCTION("""COMPUTED_VALUE"""),"Dubai&gt;International City&gt;Italy Cluster&gt;U-07")</f>
        <v>Dubai&gt;International City&gt;Italy Cluster&gt;U-07</v>
      </c>
      <c r="E11994" s="2"/>
      <c r="F11994" s="2"/>
      <c r="G11994" s="2"/>
      <c r="H11994" s="2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2"/>
      <c r="T11994" s="2"/>
      <c r="U11994" s="2"/>
      <c r="V11994" s="2"/>
      <c r="W11994" s="2"/>
      <c r="X11994" s="2"/>
      <c r="Y11994" s="2"/>
      <c r="Z11994" s="2"/>
    </row>
    <row r="11995" spans="1:26" ht="16.5" x14ac:dyDescent="0.35">
      <c r="A11995" s="2" t="str">
        <f ca="1">IFERROR(__xludf.DUMMYFUNCTION("""COMPUTED_VALUE"""),"Dubai")</f>
        <v>Dubai</v>
      </c>
      <c r="B11995" s="2" t="str">
        <f ca="1">IFERROR(__xludf.DUMMYFUNCTION("""COMPUTED_VALUE"""),"V-11")</f>
        <v>V-11</v>
      </c>
      <c r="C11995" s="2" t="str">
        <f ca="1">IFERROR(__xludf.DUMMYFUNCTION("""COMPUTED_VALUE"""),"Building")</f>
        <v>Building</v>
      </c>
      <c r="D11995" s="2" t="str">
        <f ca="1">IFERROR(__xludf.DUMMYFUNCTION("""COMPUTED_VALUE"""),"Dubai&gt;International City&gt;Russia Cluster&gt;V-11")</f>
        <v>Dubai&gt;International City&gt;Russia Cluster&gt;V-11</v>
      </c>
      <c r="E11995" s="2"/>
      <c r="F11995" s="2"/>
      <c r="G11995" s="2"/>
      <c r="H11995" s="2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2"/>
      <c r="T11995" s="2"/>
      <c r="U11995" s="2"/>
      <c r="V11995" s="2"/>
      <c r="W11995" s="2"/>
      <c r="X11995" s="2"/>
      <c r="Y11995" s="2"/>
      <c r="Z11995" s="2"/>
    </row>
    <row r="11996" spans="1:26" ht="16.5" x14ac:dyDescent="0.35">
      <c r="A11996" s="2" t="str">
        <f ca="1">IFERROR(__xludf.DUMMYFUNCTION("""COMPUTED_VALUE"""),"Dubai")</f>
        <v>Dubai</v>
      </c>
      <c r="B11996" s="2" t="str">
        <f ca="1">IFERROR(__xludf.DUMMYFUNCTION("""COMPUTED_VALUE"""),"M-07")</f>
        <v>M-07</v>
      </c>
      <c r="C11996" s="2" t="str">
        <f ca="1">IFERROR(__xludf.DUMMYFUNCTION("""COMPUTED_VALUE"""),"Building")</f>
        <v>Building</v>
      </c>
      <c r="D11996" s="2" t="str">
        <f ca="1">IFERROR(__xludf.DUMMYFUNCTION("""COMPUTED_VALUE"""),"Dubai&gt;International City&gt;Persia Cluster&gt;M-07")</f>
        <v>Dubai&gt;International City&gt;Persia Cluster&gt;M-07</v>
      </c>
      <c r="E11996" s="2"/>
      <c r="F11996" s="2"/>
      <c r="G11996" s="2"/>
      <c r="H11996" s="2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2"/>
      <c r="T11996" s="2"/>
      <c r="U11996" s="2"/>
      <c r="V11996" s="2"/>
      <c r="W11996" s="2"/>
      <c r="X11996" s="2"/>
      <c r="Y11996" s="2"/>
      <c r="Z11996" s="2"/>
    </row>
    <row r="11997" spans="1:26" ht="16.5" x14ac:dyDescent="0.35">
      <c r="A11997" s="2" t="str">
        <f ca="1">IFERROR(__xludf.DUMMYFUNCTION("""COMPUTED_VALUE"""),"Dubai")</f>
        <v>Dubai</v>
      </c>
      <c r="B11997" s="2" t="str">
        <f ca="1">IFERROR(__xludf.DUMMYFUNCTION("""COMPUTED_VALUE"""),"EMR-16")</f>
        <v>EMR-16</v>
      </c>
      <c r="C11997" s="2" t="str">
        <f ca="1">IFERROR(__xludf.DUMMYFUNCTION("""COMPUTED_VALUE"""),"Building")</f>
        <v>Building</v>
      </c>
      <c r="D11997" s="2" t="str">
        <f ca="1">IFERROR(__xludf.DUMMYFUNCTION("""COMPUTED_VALUE"""),"Dubai&gt;International City&gt;Emirates Cluster&gt;EMR-16")</f>
        <v>Dubai&gt;International City&gt;Emirates Cluster&gt;EMR-16</v>
      </c>
      <c r="E11997" s="2"/>
      <c r="F11997" s="2"/>
      <c r="G11997" s="2"/>
      <c r="H11997" s="2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2"/>
      <c r="T11997" s="2"/>
      <c r="U11997" s="2"/>
      <c r="V11997" s="2"/>
      <c r="W11997" s="2"/>
      <c r="X11997" s="2"/>
      <c r="Y11997" s="2"/>
      <c r="Z11997" s="2"/>
    </row>
    <row r="11998" spans="1:26" ht="16.5" x14ac:dyDescent="0.35">
      <c r="A11998" s="2" t="str">
        <f ca="1">IFERROR(__xludf.DUMMYFUNCTION("""COMPUTED_VALUE"""),"Dubai")</f>
        <v>Dubai</v>
      </c>
      <c r="B11998" s="2" t="str">
        <f ca="1">IFERROR(__xludf.DUMMYFUNCTION("""COMPUTED_VALUE"""),"X-11")</f>
        <v>X-11</v>
      </c>
      <c r="C11998" s="2" t="str">
        <f ca="1">IFERROR(__xludf.DUMMYFUNCTION("""COMPUTED_VALUE"""),"Building")</f>
        <v>Building</v>
      </c>
      <c r="D11998" s="2" t="str">
        <f ca="1">IFERROR(__xludf.DUMMYFUNCTION("""COMPUTED_VALUE"""),"Dubai&gt;International City&gt;England Cluster&gt;X-11")</f>
        <v>Dubai&gt;International City&gt;England Cluster&gt;X-11</v>
      </c>
      <c r="E11998" s="2"/>
      <c r="F11998" s="2"/>
      <c r="G11998" s="2"/>
      <c r="H11998" s="2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2"/>
      <c r="T11998" s="2"/>
      <c r="U11998" s="2"/>
      <c r="V11998" s="2"/>
      <c r="W11998" s="2"/>
      <c r="X11998" s="2"/>
      <c r="Y11998" s="2"/>
      <c r="Z11998" s="2"/>
    </row>
    <row r="11999" spans="1:26" ht="16.5" x14ac:dyDescent="0.35">
      <c r="A11999" s="2" t="str">
        <f ca="1">IFERROR(__xludf.DUMMYFUNCTION("""COMPUTED_VALUE"""),"Dubai")</f>
        <v>Dubai</v>
      </c>
      <c r="B11999" s="2" t="str">
        <f ca="1">IFERROR(__xludf.DUMMYFUNCTION("""COMPUTED_VALUE"""),"Y-17")</f>
        <v>Y-17</v>
      </c>
      <c r="C11999" s="2" t="str">
        <f ca="1">IFERROR(__xludf.DUMMYFUNCTION("""COMPUTED_VALUE"""),"Building")</f>
        <v>Building</v>
      </c>
      <c r="D11999" s="2" t="str">
        <f ca="1">IFERROR(__xludf.DUMMYFUNCTION("""COMPUTED_VALUE"""),"Dubai&gt;International City&gt;England Cluster&gt;Y-17")</f>
        <v>Dubai&gt;International City&gt;England Cluster&gt;Y-17</v>
      </c>
      <c r="E11999" s="2"/>
      <c r="F11999" s="2"/>
      <c r="G11999" s="2"/>
      <c r="H11999" s="2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2"/>
      <c r="T11999" s="2"/>
      <c r="U11999" s="2"/>
      <c r="V11999" s="2"/>
      <c r="W11999" s="2"/>
      <c r="X11999" s="2"/>
      <c r="Y11999" s="2"/>
      <c r="Z11999" s="2"/>
    </row>
    <row r="12000" spans="1:26" ht="16.5" x14ac:dyDescent="0.35">
      <c r="A12000" s="2" t="str">
        <f ca="1">IFERROR(__xludf.DUMMYFUNCTION("""COMPUTED_VALUE"""),"Dubai")</f>
        <v>Dubai</v>
      </c>
      <c r="B12000" s="2" t="str">
        <f ca="1">IFERROR(__xludf.DUMMYFUNCTION("""COMPUTED_VALUE"""),"SAS Building 1")</f>
        <v>SAS Building 1</v>
      </c>
      <c r="C12000" s="2" t="str">
        <f ca="1">IFERROR(__xludf.DUMMYFUNCTION("""COMPUTED_VALUE"""),"Building")</f>
        <v>Building</v>
      </c>
      <c r="D12000" s="2" t="str">
        <f ca="1">IFERROR(__xludf.DUMMYFUNCTION("""COMPUTED_VALUE"""),"Dubai&gt;International City&gt;International City Phase 2 (Warsan 4)&gt;SAS Building 1")</f>
        <v>Dubai&gt;International City&gt;International City Phase 2 (Warsan 4)&gt;SAS Building 1</v>
      </c>
      <c r="E12000" s="2"/>
      <c r="F12000" s="2"/>
      <c r="G12000" s="2"/>
      <c r="H12000" s="2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2"/>
      <c r="T12000" s="2"/>
      <c r="U12000" s="2"/>
      <c r="V12000" s="2"/>
      <c r="W12000" s="2"/>
      <c r="X12000" s="2"/>
      <c r="Y12000" s="2"/>
      <c r="Z12000" s="2"/>
    </row>
    <row r="12001" spans="1:26" ht="16.5" x14ac:dyDescent="0.35">
      <c r="A12001" s="2" t="str">
        <f ca="1">IFERROR(__xludf.DUMMYFUNCTION("""COMPUTED_VALUE"""),"Dubai")</f>
        <v>Dubai</v>
      </c>
      <c r="B12001" s="2" t="str">
        <f ca="1">IFERROR(__xludf.DUMMYFUNCTION("""COMPUTED_VALUE"""),"Al Jawzaa")</f>
        <v>Al Jawzaa</v>
      </c>
      <c r="C12001" s="2" t="str">
        <f ca="1">IFERROR(__xludf.DUMMYFUNCTION("""COMPUTED_VALUE"""),"Cluster")</f>
        <v>Cluster</v>
      </c>
      <c r="D12001" s="2" t="str">
        <f ca="1">IFERROR(__xludf.DUMMYFUNCTION("""COMPUTED_VALUE"""),"Dubai&gt;International City&gt;International City Phase 2 (Warsan 4)&gt;Al Jawzaa")</f>
        <v>Dubai&gt;International City&gt;International City Phase 2 (Warsan 4)&gt;Al Jawzaa</v>
      </c>
      <c r="E12001" s="2"/>
      <c r="F12001" s="2"/>
      <c r="G12001" s="2"/>
      <c r="H12001" s="2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2"/>
      <c r="T12001" s="2"/>
      <c r="U12001" s="2"/>
      <c r="V12001" s="2"/>
      <c r="W12001" s="2"/>
      <c r="X12001" s="2"/>
      <c r="Y12001" s="2"/>
      <c r="Z12001" s="2"/>
    </row>
    <row r="12002" spans="1:26" ht="16.5" x14ac:dyDescent="0.35">
      <c r="A12002" s="2" t="str">
        <f ca="1">IFERROR(__xludf.DUMMYFUNCTION("""COMPUTED_VALUE"""),"Dubai")</f>
        <v>Dubai</v>
      </c>
      <c r="B12002" s="2" t="str">
        <f ca="1">IFERROR(__xludf.DUMMYFUNCTION("""COMPUTED_VALUE"""),"HL Residency 4")</f>
        <v>HL Residency 4</v>
      </c>
      <c r="C12002" s="2" t="str">
        <f ca="1">IFERROR(__xludf.DUMMYFUNCTION("""COMPUTED_VALUE"""),"Building")</f>
        <v>Building</v>
      </c>
      <c r="D12002" s="2" t="str">
        <f ca="1">IFERROR(__xludf.DUMMYFUNCTION("""COMPUTED_VALUE"""),"Dubai&gt;International City&gt;International City Phase 2 (Warsan 4)&gt;HL Residency 4")</f>
        <v>Dubai&gt;International City&gt;International City Phase 2 (Warsan 4)&gt;HL Residency 4</v>
      </c>
      <c r="E12002" s="2"/>
      <c r="F12002" s="2"/>
      <c r="G12002" s="2"/>
      <c r="H12002" s="2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2"/>
      <c r="T12002" s="2"/>
      <c r="U12002" s="2"/>
      <c r="V12002" s="2"/>
      <c r="W12002" s="2"/>
      <c r="X12002" s="2"/>
      <c r="Y12002" s="2"/>
      <c r="Z12002" s="2"/>
    </row>
    <row r="12003" spans="1:26" ht="16.5" x14ac:dyDescent="0.35">
      <c r="A12003" s="2" t="str">
        <f ca="1">IFERROR(__xludf.DUMMYFUNCTION("""COMPUTED_VALUE"""),"Dubai")</f>
        <v>Dubai</v>
      </c>
      <c r="B12003" s="2" t="str">
        <f ca="1">IFERROR(__xludf.DUMMYFUNCTION("""COMPUTED_VALUE"""),"Kensington Gardens")</f>
        <v>Kensington Gardens</v>
      </c>
      <c r="C12003" s="2" t="str">
        <f ca="1">IFERROR(__xludf.DUMMYFUNCTION("""COMPUTED_VALUE"""),"Neighbourhood")</f>
        <v>Neighbourhood</v>
      </c>
      <c r="D12003" s="2" t="str">
        <f ca="1">IFERROR(__xludf.DUMMYFUNCTION("""COMPUTED_VALUE"""),"Dubai&gt;International City&gt;International City Phase 2 (Warsan 4)&gt;Greenwood&gt;Kensington Gardens")</f>
        <v>Dubai&gt;International City&gt;International City Phase 2 (Warsan 4)&gt;Greenwood&gt;Kensington Gardens</v>
      </c>
      <c r="E12003" s="2"/>
      <c r="F12003" s="2"/>
      <c r="G12003" s="2"/>
      <c r="H12003" s="2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2"/>
      <c r="T12003" s="2"/>
      <c r="U12003" s="2"/>
      <c r="V12003" s="2"/>
      <c r="W12003" s="2"/>
      <c r="X12003" s="2"/>
      <c r="Y12003" s="2"/>
      <c r="Z12003" s="2"/>
    </row>
    <row r="12004" spans="1:26" ht="16.5" x14ac:dyDescent="0.35">
      <c r="A12004" s="2" t="str">
        <f ca="1">IFERROR(__xludf.DUMMYFUNCTION("""COMPUTED_VALUE"""),"Dubai")</f>
        <v>Dubai</v>
      </c>
      <c r="B12004" s="2" t="str">
        <f ca="1">IFERROR(__xludf.DUMMYFUNCTION("""COMPUTED_VALUE"""),"Al Amir Abdullah Building")</f>
        <v>Al Amir Abdullah Building</v>
      </c>
      <c r="C12004" s="2" t="str">
        <f ca="1">IFERROR(__xludf.DUMMYFUNCTION("""COMPUTED_VALUE"""),"Building")</f>
        <v>Building</v>
      </c>
      <c r="D12004" s="2" t="str">
        <f ca="1">IFERROR(__xludf.DUMMYFUNCTION("""COMPUTED_VALUE"""),"Dubai&gt;International City&gt;International City Phase 2 (Warsan 4)&gt;Al Amir Abdullah Building")</f>
        <v>Dubai&gt;International City&gt;International City Phase 2 (Warsan 4)&gt;Al Amir Abdullah Building</v>
      </c>
      <c r="E12004" s="2"/>
      <c r="F12004" s="2"/>
      <c r="G12004" s="2"/>
      <c r="H12004" s="2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2"/>
      <c r="T12004" s="2"/>
      <c r="U12004" s="2"/>
      <c r="V12004" s="2"/>
      <c r="W12004" s="2"/>
      <c r="X12004" s="2"/>
      <c r="Y12004" s="2"/>
      <c r="Z12004" s="2"/>
    </row>
    <row r="12005" spans="1:26" ht="16.5" x14ac:dyDescent="0.35">
      <c r="A12005" s="2" t="str">
        <f ca="1">IFERROR(__xludf.DUMMYFUNCTION("""COMPUTED_VALUE"""),"Dubai")</f>
        <v>Dubai</v>
      </c>
      <c r="B12005" s="2" t="str">
        <f ca="1">IFERROR(__xludf.DUMMYFUNCTION("""COMPUTED_VALUE"""),"L-07")</f>
        <v>L-07</v>
      </c>
      <c r="C12005" s="2" t="str">
        <f ca="1">IFERROR(__xludf.DUMMYFUNCTION("""COMPUTED_VALUE"""),"Building")</f>
        <v>Building</v>
      </c>
      <c r="D12005" s="2" t="str">
        <f ca="1">IFERROR(__xludf.DUMMYFUNCTION("""COMPUTED_VALUE"""),"Dubai&gt;International City&gt;Greece Cluster&gt;L-07")</f>
        <v>Dubai&gt;International City&gt;Greece Cluster&gt;L-07</v>
      </c>
      <c r="E12005" s="2"/>
      <c r="F12005" s="2"/>
      <c r="G12005" s="2"/>
      <c r="H12005" s="2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2"/>
      <c r="T12005" s="2"/>
      <c r="U12005" s="2"/>
      <c r="V12005" s="2"/>
      <c r="W12005" s="2"/>
      <c r="X12005" s="2"/>
      <c r="Y12005" s="2"/>
      <c r="Z12005" s="2"/>
    </row>
    <row r="12006" spans="1:26" ht="16.5" x14ac:dyDescent="0.35">
      <c r="A12006" s="2" t="str">
        <f ca="1">IFERROR(__xludf.DUMMYFUNCTION("""COMPUTED_VALUE"""),"Dubai")</f>
        <v>Dubai</v>
      </c>
      <c r="B12006" s="2" t="str">
        <f ca="1">IFERROR(__xludf.DUMMYFUNCTION("""COMPUTED_VALUE"""),"P-17")</f>
        <v>P-17</v>
      </c>
      <c r="C12006" s="2" t="str">
        <f ca="1">IFERROR(__xludf.DUMMYFUNCTION("""COMPUTED_VALUE"""),"Building")</f>
        <v>Building</v>
      </c>
      <c r="D12006" s="2" t="str">
        <f ca="1">IFERROR(__xludf.DUMMYFUNCTION("""COMPUTED_VALUE"""),"Dubai&gt;International City&gt;France Cluster&gt;P-17")</f>
        <v>Dubai&gt;International City&gt;France Cluster&gt;P-17</v>
      </c>
      <c r="E12006" s="2"/>
      <c r="F12006" s="2"/>
      <c r="G12006" s="2"/>
      <c r="H12006" s="2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2"/>
      <c r="T12006" s="2"/>
      <c r="U12006" s="2"/>
      <c r="V12006" s="2"/>
      <c r="W12006" s="2"/>
      <c r="X12006" s="2"/>
      <c r="Y12006" s="2"/>
      <c r="Z12006" s="2"/>
    </row>
    <row r="12007" spans="1:26" ht="16.5" x14ac:dyDescent="0.35">
      <c r="A12007" s="2" t="str">
        <f ca="1">IFERROR(__xludf.DUMMYFUNCTION("""COMPUTED_VALUE"""),"Dubai")</f>
        <v>Dubai</v>
      </c>
      <c r="B12007" s="2" t="str">
        <f ca="1">IFERROR(__xludf.DUMMYFUNCTION("""COMPUTED_VALUE"""),"P-08")</f>
        <v>P-08</v>
      </c>
      <c r="C12007" s="2" t="str">
        <f ca="1">IFERROR(__xludf.DUMMYFUNCTION("""COMPUTED_VALUE"""),"Building")</f>
        <v>Building</v>
      </c>
      <c r="D12007" s="2" t="str">
        <f ca="1">IFERROR(__xludf.DUMMYFUNCTION("""COMPUTED_VALUE"""),"Dubai&gt;International City&gt;France Cluster&gt;P-08")</f>
        <v>Dubai&gt;International City&gt;France Cluster&gt;P-08</v>
      </c>
      <c r="E12007" s="2"/>
      <c r="F12007" s="2"/>
      <c r="G12007" s="2"/>
      <c r="H12007" s="2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2"/>
      <c r="T12007" s="2"/>
      <c r="U12007" s="2"/>
      <c r="V12007" s="2"/>
      <c r="W12007" s="2"/>
      <c r="X12007" s="2"/>
      <c r="Y12007" s="2"/>
      <c r="Z12007" s="2"/>
    </row>
    <row r="12008" spans="1:26" ht="16.5" x14ac:dyDescent="0.35">
      <c r="A12008" s="2" t="str">
        <f ca="1">IFERROR(__xludf.DUMMYFUNCTION("""COMPUTED_VALUE"""),"Dubai")</f>
        <v>Dubai</v>
      </c>
      <c r="B12008" s="2" t="str">
        <f ca="1">IFERROR(__xludf.DUMMYFUNCTION("""COMPUTED_VALUE"""),"Global Green View 2")</f>
        <v>Global Green View 2</v>
      </c>
      <c r="C12008" s="2" t="str">
        <f ca="1">IFERROR(__xludf.DUMMYFUNCTION("""COMPUTED_VALUE"""),"Building")</f>
        <v>Building</v>
      </c>
      <c r="D12008" s="2" t="str">
        <f ca="1">IFERROR(__xludf.DUMMYFUNCTION("""COMPUTED_VALUE"""),"Dubai&gt;International City&gt;Central Business District&gt;Global Green View&gt;Global Green View 2")</f>
        <v>Dubai&gt;International City&gt;Central Business District&gt;Global Green View&gt;Global Green View 2</v>
      </c>
      <c r="E12008" s="2"/>
      <c r="F12008" s="2"/>
      <c r="G12008" s="2"/>
      <c r="H12008" s="2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2"/>
      <c r="T12008" s="2"/>
      <c r="U12008" s="2"/>
      <c r="V12008" s="2"/>
      <c r="W12008" s="2"/>
      <c r="X12008" s="2"/>
      <c r="Y12008" s="2"/>
      <c r="Z12008" s="2"/>
    </row>
    <row r="12009" spans="1:26" ht="16.5" x14ac:dyDescent="0.35">
      <c r="A12009" s="2" t="str">
        <f ca="1">IFERROR(__xludf.DUMMYFUNCTION("""COMPUTED_VALUE"""),"Dubai")</f>
        <v>Dubai</v>
      </c>
      <c r="B12009" s="2" t="str">
        <f ca="1">IFERROR(__xludf.DUMMYFUNCTION("""COMPUTED_VALUE"""),"Rawdat Al Warsan Building")</f>
        <v>Rawdat Al Warsan Building</v>
      </c>
      <c r="C12009" s="2" t="str">
        <f ca="1">IFERROR(__xludf.DUMMYFUNCTION("""COMPUTED_VALUE"""),"Building")</f>
        <v>Building</v>
      </c>
      <c r="D12009" s="2" t="str">
        <f ca="1">IFERROR(__xludf.DUMMYFUNCTION("""COMPUTED_VALUE"""),"Dubai&gt;International City&gt;Rawdat Al Warsan Building")</f>
        <v>Dubai&gt;International City&gt;Rawdat Al Warsan Building</v>
      </c>
      <c r="E12009" s="2"/>
      <c r="F12009" s="2"/>
      <c r="G12009" s="2"/>
      <c r="H12009" s="2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2"/>
      <c r="T12009" s="2"/>
      <c r="U12009" s="2"/>
      <c r="V12009" s="2"/>
      <c r="W12009" s="2"/>
      <c r="X12009" s="2"/>
      <c r="Y12009" s="2"/>
      <c r="Z12009" s="2"/>
    </row>
    <row r="12010" spans="1:26" ht="16.5" x14ac:dyDescent="0.35">
      <c r="A12010" s="2" t="str">
        <f ca="1">IFERROR(__xludf.DUMMYFUNCTION("""COMPUTED_VALUE"""),"Dubai")</f>
        <v>Dubai</v>
      </c>
      <c r="B12010" s="2" t="str">
        <f ca="1">IFERROR(__xludf.DUMMYFUNCTION("""COMPUTED_VALUE"""),"Marina Wharf Villas")</f>
        <v>Marina Wharf Villas</v>
      </c>
      <c r="C12010" s="2" t="str">
        <f ca="1">IFERROR(__xludf.DUMMYFUNCTION("""COMPUTED_VALUE"""),"Neighbourhood")</f>
        <v>Neighbourhood</v>
      </c>
      <c r="D12010" s="2" t="str">
        <f ca="1">IFERROR(__xludf.DUMMYFUNCTION("""COMPUTED_VALUE"""),"Dubai&gt;Dubai Marina&gt;Marina Wharf&gt;Marina Wharf Villas")</f>
        <v>Dubai&gt;Dubai Marina&gt;Marina Wharf&gt;Marina Wharf Villas</v>
      </c>
      <c r="E12010" s="2"/>
      <c r="F12010" s="2"/>
      <c r="G12010" s="2"/>
      <c r="H12010" s="2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2"/>
      <c r="T12010" s="2"/>
      <c r="U12010" s="2"/>
      <c r="V12010" s="2"/>
      <c r="W12010" s="2"/>
      <c r="X12010" s="2"/>
      <c r="Y12010" s="2"/>
      <c r="Z12010" s="2"/>
    </row>
    <row r="12011" spans="1:26" ht="16.5" x14ac:dyDescent="0.35">
      <c r="A12011" s="2" t="str">
        <f ca="1">IFERROR(__xludf.DUMMYFUNCTION("""COMPUTED_VALUE"""),"Dubai")</f>
        <v>Dubai</v>
      </c>
      <c r="B12011" s="2" t="str">
        <f ca="1">IFERROR(__xludf.DUMMYFUNCTION("""COMPUTED_VALUE"""),"Landmark Group Tower")</f>
        <v>Landmark Group Tower</v>
      </c>
      <c r="C12011" s="2" t="str">
        <f ca="1">IFERROR(__xludf.DUMMYFUNCTION("""COMPUTED_VALUE"""),"Building")</f>
        <v>Building</v>
      </c>
      <c r="D12011" s="2" t="str">
        <f ca="1">IFERROR(__xludf.DUMMYFUNCTION("""COMPUTED_VALUE"""),"Dubai&gt;Dubai Marina&gt;Landmark Group Tower")</f>
        <v>Dubai&gt;Dubai Marina&gt;Landmark Group Tower</v>
      </c>
      <c r="E12011" s="2"/>
      <c r="F12011" s="2"/>
      <c r="G12011" s="2"/>
      <c r="H12011" s="2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2"/>
      <c r="T12011" s="2"/>
      <c r="U12011" s="2"/>
      <c r="V12011" s="2"/>
      <c r="W12011" s="2"/>
      <c r="X12011" s="2"/>
      <c r="Y12011" s="2"/>
      <c r="Z12011" s="2"/>
    </row>
    <row r="12012" spans="1:26" ht="16.5" x14ac:dyDescent="0.35">
      <c r="A12012" s="2" t="str">
        <f ca="1">IFERROR(__xludf.DUMMYFUNCTION("""COMPUTED_VALUE"""),"Dubai")</f>
        <v>Dubai</v>
      </c>
      <c r="B12012" s="2" t="str">
        <f ca="1">IFERROR(__xludf.DUMMYFUNCTION("""COMPUTED_VALUE"""),"Marina Hotel Apartments")</f>
        <v>Marina Hotel Apartments</v>
      </c>
      <c r="C12012" s="2" t="str">
        <f ca="1">IFERROR(__xludf.DUMMYFUNCTION("""COMPUTED_VALUE"""),"Building")</f>
        <v>Building</v>
      </c>
      <c r="D12012" s="2" t="str">
        <f ca="1">IFERROR(__xludf.DUMMYFUNCTION("""COMPUTED_VALUE"""),"Dubai&gt;Dubai Marina&gt;Marina Hotel Apartments")</f>
        <v>Dubai&gt;Dubai Marina&gt;Marina Hotel Apartments</v>
      </c>
      <c r="E12012" s="2"/>
      <c r="F12012" s="2"/>
      <c r="G12012" s="2"/>
      <c r="H12012" s="2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2"/>
      <c r="T12012" s="2"/>
      <c r="U12012" s="2"/>
      <c r="V12012" s="2"/>
      <c r="W12012" s="2"/>
      <c r="X12012" s="2"/>
      <c r="Y12012" s="2"/>
      <c r="Z12012" s="2"/>
    </row>
    <row r="12013" spans="1:26" ht="16.5" x14ac:dyDescent="0.35">
      <c r="A12013" s="2" t="str">
        <f ca="1">IFERROR(__xludf.DUMMYFUNCTION("""COMPUTED_VALUE"""),"Dubai")</f>
        <v>Dubai</v>
      </c>
      <c r="B12013" s="2" t="str">
        <f ca="1">IFERROR(__xludf.DUMMYFUNCTION("""COMPUTED_VALUE"""),"DEC Towers")</f>
        <v>DEC Towers</v>
      </c>
      <c r="C12013" s="2" t="str">
        <f ca="1">IFERROR(__xludf.DUMMYFUNCTION("""COMPUTED_VALUE"""),"Cluster")</f>
        <v>Cluster</v>
      </c>
      <c r="D12013" s="2" t="str">
        <f ca="1">IFERROR(__xludf.DUMMYFUNCTION("""COMPUTED_VALUE"""),"Dubai&gt;Dubai Marina&gt;DEC Towers")</f>
        <v>Dubai&gt;Dubai Marina&gt;DEC Towers</v>
      </c>
      <c r="E12013" s="2"/>
      <c r="F12013" s="2"/>
      <c r="G12013" s="2"/>
      <c r="H12013" s="2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2"/>
      <c r="T12013" s="2"/>
      <c r="U12013" s="2"/>
      <c r="V12013" s="2"/>
      <c r="W12013" s="2"/>
      <c r="X12013" s="2"/>
      <c r="Y12013" s="2"/>
      <c r="Z12013" s="2"/>
    </row>
    <row r="12014" spans="1:26" ht="16.5" x14ac:dyDescent="0.35">
      <c r="A12014" s="2" t="str">
        <f ca="1">IFERROR(__xludf.DUMMYFUNCTION("""COMPUTED_VALUE"""),"Dubai")</f>
        <v>Dubai</v>
      </c>
      <c r="B12014" s="2" t="str">
        <f ca="1">IFERROR(__xludf.DUMMYFUNCTION("""COMPUTED_VALUE"""),"Radisson Blu Residence Dubai Marina")</f>
        <v>Radisson Blu Residence Dubai Marina</v>
      </c>
      <c r="C12014" s="2" t="str">
        <f ca="1">IFERROR(__xludf.DUMMYFUNCTION("""COMPUTED_VALUE"""),"Building")</f>
        <v>Building</v>
      </c>
      <c r="D12014" s="2" t="str">
        <f ca="1">IFERROR(__xludf.DUMMYFUNCTION("""COMPUTED_VALUE"""),"Dubai&gt;Dubai Marina&gt;Radisson Blu Residence Dubai Marina")</f>
        <v>Dubai&gt;Dubai Marina&gt;Radisson Blu Residence Dubai Marina</v>
      </c>
      <c r="E12014" s="2"/>
      <c r="F12014" s="2"/>
      <c r="G12014" s="2"/>
      <c r="H12014" s="2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2"/>
      <c r="T12014" s="2"/>
      <c r="U12014" s="2"/>
      <c r="V12014" s="2"/>
      <c r="W12014" s="2"/>
      <c r="X12014" s="2"/>
      <c r="Y12014" s="2"/>
      <c r="Z12014" s="2"/>
    </row>
    <row r="12015" spans="1:26" ht="16.5" x14ac:dyDescent="0.35">
      <c r="A12015" s="2" t="str">
        <f ca="1">IFERROR(__xludf.DUMMYFUNCTION("""COMPUTED_VALUE"""),"Dubai")</f>
        <v>Dubai</v>
      </c>
      <c r="B12015" s="2" t="str">
        <f ca="1">IFERROR(__xludf.DUMMYFUNCTION("""COMPUTED_VALUE"""),"LIV Lux")</f>
        <v>LIV Lux</v>
      </c>
      <c r="C12015" s="2" t="str">
        <f ca="1">IFERROR(__xludf.DUMMYFUNCTION("""COMPUTED_VALUE"""),"Building")</f>
        <v>Building</v>
      </c>
      <c r="D12015" s="2" t="str">
        <f ca="1">IFERROR(__xludf.DUMMYFUNCTION("""COMPUTED_VALUE"""),"Dubai&gt;Dubai Marina&gt;LIV Lux")</f>
        <v>Dubai&gt;Dubai Marina&gt;LIV Lux</v>
      </c>
      <c r="E12015" s="2"/>
      <c r="F12015" s="2"/>
      <c r="G12015" s="2"/>
      <c r="H12015" s="2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2"/>
      <c r="T12015" s="2"/>
      <c r="U12015" s="2"/>
      <c r="V12015" s="2"/>
      <c r="W12015" s="2"/>
      <c r="X12015" s="2"/>
      <c r="Y12015" s="2"/>
      <c r="Z12015" s="2"/>
    </row>
    <row r="12016" spans="1:26" ht="16.5" x14ac:dyDescent="0.35">
      <c r="A12016" s="2" t="str">
        <f ca="1">IFERROR(__xludf.DUMMYFUNCTION("""COMPUTED_VALUE"""),"Dubai")</f>
        <v>Dubai</v>
      </c>
      <c r="B12016" s="2" t="str">
        <f ca="1">IFERROR(__xludf.DUMMYFUNCTION("""COMPUTED_VALUE"""),"Vanguard by Frank Muller")</f>
        <v>Vanguard by Frank Muller</v>
      </c>
      <c r="C12016" s="2" t="str">
        <f ca="1">IFERROR(__xludf.DUMMYFUNCTION("""COMPUTED_VALUE"""),"Building")</f>
        <v>Building</v>
      </c>
      <c r="D12016" s="2" t="str">
        <f ca="1">IFERROR(__xludf.DUMMYFUNCTION("""COMPUTED_VALUE"""),"Dubai&gt;Dubai Marina&gt;Vanguard by Frank Muller")</f>
        <v>Dubai&gt;Dubai Marina&gt;Vanguard by Frank Muller</v>
      </c>
      <c r="E12016" s="2"/>
      <c r="F12016" s="2"/>
      <c r="G12016" s="2"/>
      <c r="H12016" s="2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2"/>
      <c r="T12016" s="2"/>
      <c r="U12016" s="2"/>
      <c r="V12016" s="2"/>
      <c r="W12016" s="2"/>
      <c r="X12016" s="2"/>
      <c r="Y12016" s="2"/>
      <c r="Z12016" s="2"/>
    </row>
    <row r="12017" spans="1:26" ht="16.5" x14ac:dyDescent="0.35">
      <c r="A12017" s="2" t="str">
        <f ca="1">IFERROR(__xludf.DUMMYFUNCTION("""COMPUTED_VALUE"""),"Dubai")</f>
        <v>Dubai</v>
      </c>
      <c r="B12017" s="2" t="str">
        <f ca="1">IFERROR(__xludf.DUMMYFUNCTION("""COMPUTED_VALUE"""),"Safi Apartments 1A")</f>
        <v>Safi Apartments 1A</v>
      </c>
      <c r="C12017" s="2" t="str">
        <f ca="1">IFERROR(__xludf.DUMMYFUNCTION("""COMPUTED_VALUE"""),"Building")</f>
        <v>Building</v>
      </c>
      <c r="D12017" s="2" t="str">
        <f ca="1">IFERROR(__xludf.DUMMYFUNCTION("""COMPUTED_VALUE"""),"Dubai&gt;Town Square&gt;Safi Apartments&gt;Safi Apartments 1A")</f>
        <v>Dubai&gt;Town Square&gt;Safi Apartments&gt;Safi Apartments 1A</v>
      </c>
      <c r="E12017" s="2"/>
      <c r="F12017" s="2"/>
      <c r="G12017" s="2"/>
      <c r="H12017" s="2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2"/>
      <c r="T12017" s="2"/>
      <c r="U12017" s="2"/>
      <c r="V12017" s="2"/>
      <c r="W12017" s="2"/>
      <c r="X12017" s="2"/>
      <c r="Y12017" s="2"/>
      <c r="Z12017" s="2"/>
    </row>
    <row r="12018" spans="1:26" ht="16.5" x14ac:dyDescent="0.35">
      <c r="A12018" s="2" t="str">
        <f ca="1">IFERROR(__xludf.DUMMYFUNCTION("""COMPUTED_VALUE"""),"Dubai")</f>
        <v>Dubai</v>
      </c>
      <c r="B12018" s="2" t="str">
        <f ca="1">IFERROR(__xludf.DUMMYFUNCTION("""COMPUTED_VALUE"""),"Zahra Apartments")</f>
        <v>Zahra Apartments</v>
      </c>
      <c r="C12018" s="2" t="str">
        <f ca="1">IFERROR(__xludf.DUMMYFUNCTION("""COMPUTED_VALUE"""),"Cluster")</f>
        <v>Cluster</v>
      </c>
      <c r="D12018" s="2" t="str">
        <f ca="1">IFERROR(__xludf.DUMMYFUNCTION("""COMPUTED_VALUE"""),"Dubai&gt;Town Square&gt;Zahra Apartments")</f>
        <v>Dubai&gt;Town Square&gt;Zahra Apartments</v>
      </c>
      <c r="E12018" s="2"/>
      <c r="F12018" s="2"/>
      <c r="G12018" s="2"/>
      <c r="H12018" s="2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2"/>
      <c r="T12018" s="2"/>
      <c r="U12018" s="2"/>
      <c r="V12018" s="2"/>
      <c r="W12018" s="2"/>
      <c r="X12018" s="2"/>
      <c r="Y12018" s="2"/>
      <c r="Z12018" s="2"/>
    </row>
    <row r="12019" spans="1:26" ht="16.5" x14ac:dyDescent="0.35">
      <c r="A12019" s="2" t="str">
        <f ca="1">IFERROR(__xludf.DUMMYFUNCTION("""COMPUTED_VALUE"""),"Dubai")</f>
        <v>Dubai</v>
      </c>
      <c r="B12019" s="2" t="str">
        <f ca="1">IFERROR(__xludf.DUMMYFUNCTION("""COMPUTED_VALUE"""),"Olbia")</f>
        <v>Olbia</v>
      </c>
      <c r="C12019" s="2" t="str">
        <f ca="1">IFERROR(__xludf.DUMMYFUNCTION("""COMPUTED_VALUE"""),"Building")</f>
        <v>Building</v>
      </c>
      <c r="D12019" s="2" t="str">
        <f ca="1">IFERROR(__xludf.DUMMYFUNCTION("""COMPUTED_VALUE"""),"Dubai&gt;Town Square&gt;Olbia")</f>
        <v>Dubai&gt;Town Square&gt;Olbia</v>
      </c>
      <c r="E12019" s="2"/>
      <c r="F12019" s="2"/>
      <c r="G12019" s="2"/>
      <c r="H12019" s="2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2"/>
      <c r="T12019" s="2"/>
      <c r="U12019" s="2"/>
      <c r="V12019" s="2"/>
      <c r="W12019" s="2"/>
      <c r="X12019" s="2"/>
      <c r="Y12019" s="2"/>
      <c r="Z12019" s="2"/>
    </row>
    <row r="12020" spans="1:26" ht="16.5" x14ac:dyDescent="0.35">
      <c r="A12020" s="2" t="str">
        <f ca="1">IFERROR(__xludf.DUMMYFUNCTION("""COMPUTED_VALUE"""),"Dubai")</f>
        <v>Dubai</v>
      </c>
      <c r="B12020" s="2" t="str">
        <f ca="1">IFERROR(__xludf.DUMMYFUNCTION("""COMPUTED_VALUE"""),"Al Fouad Building")</f>
        <v>Al Fouad Building</v>
      </c>
      <c r="C12020" s="2" t="str">
        <f ca="1">IFERROR(__xludf.DUMMYFUNCTION("""COMPUTED_VALUE"""),"Building")</f>
        <v>Building</v>
      </c>
      <c r="D12020" s="2" t="str">
        <f ca="1">IFERROR(__xludf.DUMMYFUNCTION("""COMPUTED_VALUE"""),"Dubai&gt;Al Furjan&gt;Al Fouad Building")</f>
        <v>Dubai&gt;Al Furjan&gt;Al Fouad Building</v>
      </c>
      <c r="E12020" s="2"/>
      <c r="F12020" s="2"/>
      <c r="G12020" s="2"/>
      <c r="H12020" s="2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2"/>
      <c r="T12020" s="2"/>
      <c r="U12020" s="2"/>
      <c r="V12020" s="2"/>
      <c r="W12020" s="2"/>
      <c r="X12020" s="2"/>
      <c r="Y12020" s="2"/>
      <c r="Z12020" s="2"/>
    </row>
    <row r="12021" spans="1:26" ht="16.5" x14ac:dyDescent="0.35">
      <c r="A12021" s="2" t="str">
        <f ca="1">IFERROR(__xludf.DUMMYFUNCTION("""COMPUTED_VALUE"""),"Dubai")</f>
        <v>Dubai</v>
      </c>
      <c r="B12021" s="2" t="str">
        <f ca="1">IFERROR(__xludf.DUMMYFUNCTION("""COMPUTED_VALUE"""),"Glamz by Danube")</f>
        <v>Glamz by Danube</v>
      </c>
      <c r="C12021" s="2" t="str">
        <f ca="1">IFERROR(__xludf.DUMMYFUNCTION("""COMPUTED_VALUE"""),"Cluster")</f>
        <v>Cluster</v>
      </c>
      <c r="D12021" s="2" t="str">
        <f ca="1">IFERROR(__xludf.DUMMYFUNCTION("""COMPUTED_VALUE"""),"Dubai&gt;Al Furjan&gt;Glamz by Danube")</f>
        <v>Dubai&gt;Al Furjan&gt;Glamz by Danube</v>
      </c>
      <c r="E12021" s="2"/>
      <c r="F12021" s="2"/>
      <c r="G12021" s="2"/>
      <c r="H12021" s="2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2"/>
      <c r="T12021" s="2"/>
      <c r="U12021" s="2"/>
      <c r="V12021" s="2"/>
      <c r="W12021" s="2"/>
      <c r="X12021" s="2"/>
      <c r="Y12021" s="2"/>
      <c r="Z12021" s="2"/>
    </row>
    <row r="12022" spans="1:26" ht="16.5" x14ac:dyDescent="0.35">
      <c r="A12022" s="2" t="str">
        <f ca="1">IFERROR(__xludf.DUMMYFUNCTION("""COMPUTED_VALUE"""),"Dubai")</f>
        <v>Dubai</v>
      </c>
      <c r="B12022" s="2" t="str">
        <f ca="1">IFERROR(__xludf.DUMMYFUNCTION("""COMPUTED_VALUE"""),"The Manor by JA")</f>
        <v>The Manor by JA</v>
      </c>
      <c r="C12022" s="2" t="str">
        <f ca="1">IFERROR(__xludf.DUMMYFUNCTION("""COMPUTED_VALUE"""),"Building")</f>
        <v>Building</v>
      </c>
      <c r="D12022" s="2" t="str">
        <f ca="1">IFERROR(__xludf.DUMMYFUNCTION("""COMPUTED_VALUE"""),"Dubai&gt;Al Furjan&gt;The Manor by JA")</f>
        <v>Dubai&gt;Al Furjan&gt;The Manor by JA</v>
      </c>
      <c r="E12022" s="2"/>
      <c r="F12022" s="2"/>
      <c r="G12022" s="2"/>
      <c r="H12022" s="2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2"/>
      <c r="T12022" s="2"/>
      <c r="U12022" s="2"/>
      <c r="V12022" s="2"/>
      <c r="W12022" s="2"/>
      <c r="X12022" s="2"/>
      <c r="Y12022" s="2"/>
      <c r="Z12022" s="2"/>
    </row>
    <row r="12023" spans="1:26" ht="16.5" x14ac:dyDescent="0.35">
      <c r="A12023" s="2" t="str">
        <f ca="1">IFERROR(__xludf.DUMMYFUNCTION("""COMPUTED_VALUE"""),"Dubai")</f>
        <v>Dubai</v>
      </c>
      <c r="B12023" s="2" t="str">
        <f ca="1">IFERROR(__xludf.DUMMYFUNCTION("""COMPUTED_VALUE"""),"ZaZEN Ivy")</f>
        <v>ZaZEN Ivy</v>
      </c>
      <c r="C12023" s="2" t="str">
        <f ca="1">IFERROR(__xludf.DUMMYFUNCTION("""COMPUTED_VALUE"""),"Building")</f>
        <v>Building</v>
      </c>
      <c r="D12023" s="2" t="str">
        <f ca="1">IFERROR(__xludf.DUMMYFUNCTION("""COMPUTED_VALUE"""),"Dubai&gt;Al Furjan&gt;ZaZEN Ivy")</f>
        <v>Dubai&gt;Al Furjan&gt;ZaZEN Ivy</v>
      </c>
      <c r="E12023" s="2"/>
      <c r="F12023" s="2"/>
      <c r="G12023" s="2"/>
      <c r="H12023" s="2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2"/>
      <c r="T12023" s="2"/>
      <c r="U12023" s="2"/>
      <c r="V12023" s="2"/>
      <c r="W12023" s="2"/>
      <c r="X12023" s="2"/>
      <c r="Y12023" s="2"/>
      <c r="Z12023" s="2"/>
    </row>
    <row r="12024" spans="1:26" ht="16.5" x14ac:dyDescent="0.35">
      <c r="A12024" s="2" t="str">
        <f ca="1">IFERROR(__xludf.DUMMYFUNCTION("""COMPUTED_VALUE"""),"Dubai")</f>
        <v>Dubai</v>
      </c>
      <c r="B12024" s="2" t="str">
        <f ca="1">IFERROR(__xludf.DUMMYFUNCTION("""COMPUTED_VALUE"""),"Gate Royale Residences")</f>
        <v>Gate Royale Residences</v>
      </c>
      <c r="C12024" s="2" t="str">
        <f ca="1">IFERROR(__xludf.DUMMYFUNCTION("""COMPUTED_VALUE"""),"Building")</f>
        <v>Building</v>
      </c>
      <c r="D12024" s="2" t="str">
        <f ca="1">IFERROR(__xludf.DUMMYFUNCTION("""COMPUTED_VALUE"""),"Dubai&gt;Al Furjan&gt;Gate Royale Residences")</f>
        <v>Dubai&gt;Al Furjan&gt;Gate Royale Residences</v>
      </c>
      <c r="E12024" s="2"/>
      <c r="F12024" s="2"/>
      <c r="G12024" s="2"/>
      <c r="H12024" s="2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2"/>
      <c r="T12024" s="2"/>
      <c r="U12024" s="2"/>
      <c r="V12024" s="2"/>
      <c r="W12024" s="2"/>
      <c r="X12024" s="2"/>
      <c r="Y12024" s="2"/>
      <c r="Z12024" s="2"/>
    </row>
    <row r="12025" spans="1:26" ht="16.5" x14ac:dyDescent="0.35">
      <c r="A12025" s="2" t="str">
        <f ca="1">IFERROR(__xludf.DUMMYFUNCTION("""COMPUTED_VALUE"""),"Dubai")</f>
        <v>Dubai</v>
      </c>
      <c r="B12025" s="2" t="str">
        <f ca="1">IFERROR(__xludf.DUMMYFUNCTION("""COMPUTED_VALUE"""),"Azizi Riviera 35")</f>
        <v>Azizi Riviera 35</v>
      </c>
      <c r="C12025" s="2" t="str">
        <f ca="1">IFERROR(__xludf.DUMMYFUNCTION("""COMPUTED_VALUE"""),"Building")</f>
        <v>Building</v>
      </c>
      <c r="D12025" s="2" t="str">
        <f ca="1">IFERROR(__xludf.DUMMYFUNCTION("""COMPUTED_VALUE"""),"Dubai&gt;Meydan City&gt;Meydan One&gt;Azizi Riviera&gt;Azizi Riviera 35")</f>
        <v>Dubai&gt;Meydan City&gt;Meydan One&gt;Azizi Riviera&gt;Azizi Riviera 35</v>
      </c>
      <c r="E12025" s="2"/>
      <c r="F12025" s="2"/>
      <c r="G12025" s="2"/>
      <c r="H12025" s="2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2"/>
      <c r="T12025" s="2"/>
      <c r="U12025" s="2"/>
      <c r="V12025" s="2"/>
      <c r="W12025" s="2"/>
      <c r="X12025" s="2"/>
      <c r="Y12025" s="2"/>
      <c r="Z12025" s="2"/>
    </row>
    <row r="12026" spans="1:26" ht="16.5" x14ac:dyDescent="0.35">
      <c r="A12026" s="2" t="str">
        <f ca="1">IFERROR(__xludf.DUMMYFUNCTION("""COMPUTED_VALUE"""),"Dubai")</f>
        <v>Dubai</v>
      </c>
      <c r="B12026" s="2" t="str">
        <f ca="1">IFERROR(__xludf.DUMMYFUNCTION("""COMPUTED_VALUE"""),"Azizi Riviera 7")</f>
        <v>Azizi Riviera 7</v>
      </c>
      <c r="C12026" s="2" t="str">
        <f ca="1">IFERROR(__xludf.DUMMYFUNCTION("""COMPUTED_VALUE"""),"Building")</f>
        <v>Building</v>
      </c>
      <c r="D12026" s="2" t="str">
        <f ca="1">IFERROR(__xludf.DUMMYFUNCTION("""COMPUTED_VALUE"""),"Dubai&gt;Meydan City&gt;Meydan One&gt;Azizi Riviera&gt;Azizi Riviera 7")</f>
        <v>Dubai&gt;Meydan City&gt;Meydan One&gt;Azizi Riviera&gt;Azizi Riviera 7</v>
      </c>
      <c r="E12026" s="2"/>
      <c r="F12026" s="2"/>
      <c r="G12026" s="2"/>
      <c r="H12026" s="2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2"/>
      <c r="T12026" s="2"/>
      <c r="U12026" s="2"/>
      <c r="V12026" s="2"/>
      <c r="W12026" s="2"/>
      <c r="X12026" s="2"/>
      <c r="Y12026" s="2"/>
      <c r="Z12026" s="2"/>
    </row>
    <row r="12027" spans="1:26" ht="16.5" x14ac:dyDescent="0.35">
      <c r="A12027" s="2" t="str">
        <f ca="1">IFERROR(__xludf.DUMMYFUNCTION("""COMPUTED_VALUE"""),"Dubai")</f>
        <v>Dubai</v>
      </c>
      <c r="B12027" s="2" t="str">
        <f ca="1">IFERROR(__xludf.DUMMYFUNCTION("""COMPUTED_VALUE"""),"Azizi Riviera 62")</f>
        <v>Azizi Riviera 62</v>
      </c>
      <c r="C12027" s="2" t="str">
        <f ca="1">IFERROR(__xludf.DUMMYFUNCTION("""COMPUTED_VALUE"""),"Building")</f>
        <v>Building</v>
      </c>
      <c r="D12027" s="2" t="str">
        <f ca="1">IFERROR(__xludf.DUMMYFUNCTION("""COMPUTED_VALUE"""),"Dubai&gt;Meydan City&gt;Meydan One&gt;Azizi Riviera&gt;Azizi Riviera 62")</f>
        <v>Dubai&gt;Meydan City&gt;Meydan One&gt;Azizi Riviera&gt;Azizi Riviera 62</v>
      </c>
      <c r="E12027" s="2"/>
      <c r="F12027" s="2"/>
      <c r="G12027" s="2"/>
      <c r="H12027" s="2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2"/>
      <c r="T12027" s="2"/>
      <c r="U12027" s="2"/>
      <c r="V12027" s="2"/>
      <c r="W12027" s="2"/>
      <c r="X12027" s="2"/>
      <c r="Y12027" s="2"/>
      <c r="Z12027" s="2"/>
    </row>
    <row r="12028" spans="1:26" ht="16.5" x14ac:dyDescent="0.35">
      <c r="A12028" s="2" t="str">
        <f ca="1">IFERROR(__xludf.DUMMYFUNCTION("""COMPUTED_VALUE"""),"Dubai")</f>
        <v>Dubai</v>
      </c>
      <c r="B12028" s="2" t="str">
        <f ca="1">IFERROR(__xludf.DUMMYFUNCTION("""COMPUTED_VALUE"""),"Polo Residence B1")</f>
        <v>Polo Residence B1</v>
      </c>
      <c r="C12028" s="2" t="str">
        <f ca="1">IFERROR(__xludf.DUMMYFUNCTION("""COMPUTED_VALUE"""),"Building")</f>
        <v>Building</v>
      </c>
      <c r="D12028" s="2" t="str">
        <f ca="1">IFERROR(__xludf.DUMMYFUNCTION("""COMPUTED_VALUE"""),"Dubai&gt;Meydan City&gt;Meydan Avenue&gt;Polo Residence&gt;Polo Residence B1")</f>
        <v>Dubai&gt;Meydan City&gt;Meydan Avenue&gt;Polo Residence&gt;Polo Residence B1</v>
      </c>
      <c r="E12028" s="2"/>
      <c r="F12028" s="2"/>
      <c r="G12028" s="2"/>
      <c r="H12028" s="2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2"/>
      <c r="T12028" s="2"/>
      <c r="U12028" s="2"/>
      <c r="V12028" s="2"/>
      <c r="W12028" s="2"/>
      <c r="X12028" s="2"/>
      <c r="Y12028" s="2"/>
      <c r="Z12028" s="2"/>
    </row>
    <row r="12029" spans="1:26" ht="16.5" x14ac:dyDescent="0.35">
      <c r="A12029" s="2" t="str">
        <f ca="1">IFERROR(__xludf.DUMMYFUNCTION("""COMPUTED_VALUE"""),"Dubai")</f>
        <v>Dubai</v>
      </c>
      <c r="B12029" s="2" t="str">
        <f ca="1">IFERROR(__xludf.DUMMYFUNCTION("""COMPUTED_VALUE"""),"Azizi Gardens")</f>
        <v>Azizi Gardens</v>
      </c>
      <c r="C12029" s="2" t="str">
        <f ca="1">IFERROR(__xludf.DUMMYFUNCTION("""COMPUTED_VALUE"""),"Building")</f>
        <v>Building</v>
      </c>
      <c r="D12029" s="2" t="str">
        <f ca="1">IFERROR(__xludf.DUMMYFUNCTION("""COMPUTED_VALUE"""),"Dubai&gt;Meydan City&gt;Meydan Avenue&gt;Azizi Gardens")</f>
        <v>Dubai&gt;Meydan City&gt;Meydan Avenue&gt;Azizi Gardens</v>
      </c>
      <c r="E12029" s="2"/>
      <c r="F12029" s="2"/>
      <c r="G12029" s="2"/>
      <c r="H12029" s="2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2"/>
      <c r="T12029" s="2"/>
      <c r="U12029" s="2"/>
      <c r="V12029" s="2"/>
      <c r="W12029" s="2"/>
      <c r="X12029" s="2"/>
      <c r="Y12029" s="2"/>
      <c r="Z12029" s="2"/>
    </row>
    <row r="12030" spans="1:26" ht="16.5" x14ac:dyDescent="0.35">
      <c r="A12030" s="2" t="str">
        <f ca="1">IFERROR(__xludf.DUMMYFUNCTION("""COMPUTED_VALUE"""),"Dubai")</f>
        <v>Dubai</v>
      </c>
      <c r="B12030" s="2" t="str">
        <f ca="1">IFERROR(__xludf.DUMMYFUNCTION("""COMPUTED_VALUE"""),"Al Nakheel 2")</f>
        <v>Al Nakheel 2</v>
      </c>
      <c r="C12030" s="2" t="str">
        <f ca="1">IFERROR(__xludf.DUMMYFUNCTION("""COMPUTED_VALUE"""),"Building")</f>
        <v>Building</v>
      </c>
      <c r="D12030" s="2" t="str">
        <f ca="1">IFERROR(__xludf.DUMMYFUNCTION("""COMPUTED_VALUE"""),"Dubai&gt;The Greens&gt;Al Nakheel&gt;Al Nakheel 2")</f>
        <v>Dubai&gt;The Greens&gt;Al Nakheel&gt;Al Nakheel 2</v>
      </c>
      <c r="E12030" s="2"/>
      <c r="F12030" s="2"/>
      <c r="G12030" s="2"/>
      <c r="H12030" s="2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2"/>
      <c r="T12030" s="2"/>
      <c r="U12030" s="2"/>
      <c r="V12030" s="2"/>
      <c r="W12030" s="2"/>
      <c r="X12030" s="2"/>
      <c r="Y12030" s="2"/>
      <c r="Z12030" s="2"/>
    </row>
    <row r="12031" spans="1:26" ht="16.5" x14ac:dyDescent="0.35">
      <c r="A12031" s="2" t="str">
        <f ca="1">IFERROR(__xludf.DUMMYFUNCTION("""COMPUTED_VALUE"""),"Dubai")</f>
        <v>Dubai</v>
      </c>
      <c r="B12031" s="2" t="str">
        <f ca="1">IFERROR(__xludf.DUMMYFUNCTION("""COMPUTED_VALUE"""),"Al Jaz 4")</f>
        <v>Al Jaz 4</v>
      </c>
      <c r="C12031" s="2" t="str">
        <f ca="1">IFERROR(__xludf.DUMMYFUNCTION("""COMPUTED_VALUE"""),"Building")</f>
        <v>Building</v>
      </c>
      <c r="D12031" s="2" t="str">
        <f ca="1">IFERROR(__xludf.DUMMYFUNCTION("""COMPUTED_VALUE"""),"Dubai&gt;The Greens&gt;Al Jaz&gt;Al Jaz 4")</f>
        <v>Dubai&gt;The Greens&gt;Al Jaz&gt;Al Jaz 4</v>
      </c>
      <c r="E12031" s="2"/>
      <c r="F12031" s="2"/>
      <c r="G12031" s="2"/>
      <c r="H12031" s="2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2"/>
      <c r="T12031" s="2"/>
      <c r="U12031" s="2"/>
      <c r="V12031" s="2"/>
      <c r="W12031" s="2"/>
      <c r="X12031" s="2"/>
      <c r="Y12031" s="2"/>
      <c r="Z12031" s="2"/>
    </row>
    <row r="12032" spans="1:26" ht="16.5" x14ac:dyDescent="0.35">
      <c r="A12032" s="2" t="str">
        <f ca="1">IFERROR(__xludf.DUMMYFUNCTION("""COMPUTED_VALUE"""),"Dubai")</f>
        <v>Dubai</v>
      </c>
      <c r="B12032" s="2" t="str">
        <f ca="1">IFERROR(__xludf.DUMMYFUNCTION("""COMPUTED_VALUE"""),"H39 Building")</f>
        <v>H39 Building</v>
      </c>
      <c r="C12032" s="2" t="str">
        <f ca="1">IFERROR(__xludf.DUMMYFUNCTION("""COMPUTED_VALUE"""),"Building")</f>
        <v>Building</v>
      </c>
      <c r="D12032" s="2" t="str">
        <f ca="1">IFERROR(__xludf.DUMMYFUNCTION("""COMPUTED_VALUE"""),"Dubai&gt;Dubai Production City (IMPZ)&gt;H39 Building")</f>
        <v>Dubai&gt;Dubai Production City (IMPZ)&gt;H39 Building</v>
      </c>
      <c r="E12032" s="2"/>
      <c r="F12032" s="2"/>
      <c r="G12032" s="2"/>
      <c r="H12032" s="2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2"/>
      <c r="T12032" s="2"/>
      <c r="U12032" s="2"/>
      <c r="V12032" s="2"/>
      <c r="W12032" s="2"/>
      <c r="X12032" s="2"/>
      <c r="Y12032" s="2"/>
      <c r="Z12032" s="2"/>
    </row>
    <row r="12033" spans="1:26" ht="16.5" x14ac:dyDescent="0.35">
      <c r="A12033" s="2" t="str">
        <f ca="1">IFERROR(__xludf.DUMMYFUNCTION("""COMPUTED_VALUE"""),"Dubai")</f>
        <v>Dubai</v>
      </c>
      <c r="B12033" s="2" t="str">
        <f ca="1">IFERROR(__xludf.DUMMYFUNCTION("""COMPUTED_VALUE"""),"Dania 6")</f>
        <v>Dania 6</v>
      </c>
      <c r="C12033" s="2" t="str">
        <f ca="1">IFERROR(__xludf.DUMMYFUNCTION("""COMPUTED_VALUE"""),"Building")</f>
        <v>Building</v>
      </c>
      <c r="D12033" s="2" t="str">
        <f ca="1">IFERROR(__xludf.DUMMYFUNCTION("""COMPUTED_VALUE"""),"Dubai&gt;Dubai Production City (IMPZ)&gt;Midtown&gt;Dania District&gt;Dania 6")</f>
        <v>Dubai&gt;Dubai Production City (IMPZ)&gt;Midtown&gt;Dania District&gt;Dania 6</v>
      </c>
      <c r="E12033" s="2"/>
      <c r="F12033" s="2"/>
      <c r="G12033" s="2"/>
      <c r="H12033" s="2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2"/>
      <c r="T12033" s="2"/>
      <c r="U12033" s="2"/>
      <c r="V12033" s="2"/>
      <c r="W12033" s="2"/>
      <c r="X12033" s="2"/>
      <c r="Y12033" s="2"/>
      <c r="Z12033" s="2"/>
    </row>
    <row r="12034" spans="1:26" ht="16.5" x14ac:dyDescent="0.35">
      <c r="A12034" s="2" t="str">
        <f ca="1">IFERROR(__xludf.DUMMYFUNCTION("""COMPUTED_VALUE"""),"Dubai")</f>
        <v>Dubai</v>
      </c>
      <c r="B12034" s="2" t="str">
        <f ca="1">IFERROR(__xludf.DUMMYFUNCTION("""COMPUTED_VALUE"""),"Lakeside Tower D")</f>
        <v>Lakeside Tower D</v>
      </c>
      <c r="C12034" s="2" t="str">
        <f ca="1">IFERROR(__xludf.DUMMYFUNCTION("""COMPUTED_VALUE"""),"Building")</f>
        <v>Building</v>
      </c>
      <c r="D12034" s="2" t="str">
        <f ca="1">IFERROR(__xludf.DUMMYFUNCTION("""COMPUTED_VALUE"""),"Dubai&gt;Dubai Production City (IMPZ)&gt;Lakeside&gt;Lakeside Tower D")</f>
        <v>Dubai&gt;Dubai Production City (IMPZ)&gt;Lakeside&gt;Lakeside Tower D</v>
      </c>
      <c r="E12034" s="2"/>
      <c r="F12034" s="2"/>
      <c r="G12034" s="2"/>
      <c r="H12034" s="2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2"/>
      <c r="T12034" s="2"/>
      <c r="U12034" s="2"/>
      <c r="V12034" s="2"/>
      <c r="W12034" s="2"/>
      <c r="X12034" s="2"/>
      <c r="Y12034" s="2"/>
      <c r="Z12034" s="2"/>
    </row>
    <row r="12035" spans="1:26" ht="16.5" x14ac:dyDescent="0.35">
      <c r="A12035" s="2" t="str">
        <f ca="1">IFERROR(__xludf.DUMMYFUNCTION("""COMPUTED_VALUE"""),"Dubai")</f>
        <v>Dubai</v>
      </c>
      <c r="B12035" s="2" t="str">
        <f ca="1">IFERROR(__xludf.DUMMYFUNCTION("""COMPUTED_VALUE"""),"Binghatti Elite")</f>
        <v>Binghatti Elite</v>
      </c>
      <c r="C12035" s="2" t="str">
        <f ca="1">IFERROR(__xludf.DUMMYFUNCTION("""COMPUTED_VALUE"""),"Building")</f>
        <v>Building</v>
      </c>
      <c r="D12035" s="2" t="str">
        <f ca="1">IFERROR(__xludf.DUMMYFUNCTION("""COMPUTED_VALUE"""),"Dubai&gt;Dubai Production City (IMPZ)&gt;Binghatti Elite")</f>
        <v>Dubai&gt;Dubai Production City (IMPZ)&gt;Binghatti Elite</v>
      </c>
      <c r="E12035" s="2"/>
      <c r="F12035" s="2"/>
      <c r="G12035" s="2"/>
      <c r="H12035" s="2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2"/>
      <c r="T12035" s="2"/>
      <c r="U12035" s="2"/>
      <c r="V12035" s="2"/>
      <c r="W12035" s="2"/>
      <c r="X12035" s="2"/>
      <c r="Y12035" s="2"/>
      <c r="Z12035" s="2"/>
    </row>
    <row r="12036" spans="1:26" ht="16.5" x14ac:dyDescent="0.35">
      <c r="A12036" s="2" t="str">
        <f ca="1">IFERROR(__xludf.DUMMYFUNCTION("""COMPUTED_VALUE"""),"Dubai")</f>
        <v>Dubai</v>
      </c>
      <c r="B12036" s="2" t="str">
        <f ca="1">IFERROR(__xludf.DUMMYFUNCTION("""COMPUTED_VALUE"""),"Al Sondos Residences 2")</f>
        <v>Al Sondos Residences 2</v>
      </c>
      <c r="C12036" s="2" t="str">
        <f ca="1">IFERROR(__xludf.DUMMYFUNCTION("""COMPUTED_VALUE"""),"Building")</f>
        <v>Building</v>
      </c>
      <c r="D12036" s="2" t="str">
        <f ca="1">IFERROR(__xludf.DUMMYFUNCTION("""COMPUTED_VALUE"""),"Dubai&gt;Dubai Industrial City&gt;Al Sondos Residences&gt;Al Sondos Residences 2")</f>
        <v>Dubai&gt;Dubai Industrial City&gt;Al Sondos Residences&gt;Al Sondos Residences 2</v>
      </c>
      <c r="E12036" s="2"/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2"/>
      <c r="T12036" s="2"/>
      <c r="U12036" s="2"/>
      <c r="V12036" s="2"/>
      <c r="W12036" s="2"/>
      <c r="X12036" s="2"/>
      <c r="Y12036" s="2"/>
      <c r="Z12036" s="2"/>
    </row>
    <row r="12037" spans="1:26" ht="16.5" x14ac:dyDescent="0.35">
      <c r="A12037" s="2" t="str">
        <f ca="1">IFERROR(__xludf.DUMMYFUNCTION("""COMPUTED_VALUE"""),"Dubai")</f>
        <v>Dubai</v>
      </c>
      <c r="B12037" s="2" t="str">
        <f ca="1">IFERROR(__xludf.DUMMYFUNCTION("""COMPUTED_VALUE"""),"Coventry Curve")</f>
        <v>Coventry Curve</v>
      </c>
      <c r="C12037" s="2" t="str">
        <f ca="1">IFERROR(__xludf.DUMMYFUNCTION("""COMPUTED_VALUE"""),"Building")</f>
        <v>Building</v>
      </c>
      <c r="D12037" s="2" t="str">
        <f ca="1">IFERROR(__xludf.DUMMYFUNCTION("""COMPUTED_VALUE"""),"Dubai&gt;Dubai Industrial City&gt;Coventry Curve")</f>
        <v>Dubai&gt;Dubai Industrial City&gt;Coventry Curve</v>
      </c>
      <c r="E12037" s="2"/>
      <c r="F12037" s="2"/>
      <c r="G12037" s="2"/>
      <c r="H12037" s="2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2"/>
      <c r="T12037" s="2"/>
      <c r="U12037" s="2"/>
      <c r="V12037" s="2"/>
      <c r="W12037" s="2"/>
      <c r="X12037" s="2"/>
      <c r="Y12037" s="2"/>
      <c r="Z12037" s="2"/>
    </row>
    <row r="12038" spans="1:26" ht="16.5" x14ac:dyDescent="0.35">
      <c r="A12038" s="2" t="str">
        <f ca="1">IFERROR(__xludf.DUMMYFUNCTION("""COMPUTED_VALUE"""),"Dubai")</f>
        <v>Dubai</v>
      </c>
      <c r="B12038" s="2" t="str">
        <f ca="1">IFERROR(__xludf.DUMMYFUNCTION("""COMPUTED_VALUE"""),"Alaya Gardens")</f>
        <v>Alaya Gardens</v>
      </c>
      <c r="C12038" s="2" t="str">
        <f ca="1">IFERROR(__xludf.DUMMYFUNCTION("""COMPUTED_VALUE"""),"Neighbourhood")</f>
        <v>Neighbourhood</v>
      </c>
      <c r="D12038" s="2" t="str">
        <f ca="1">IFERROR(__xludf.DUMMYFUNCTION("""COMPUTED_VALUE"""),"Dubai&gt;Tilal Al Ghaf&gt;Alaya Gardens")</f>
        <v>Dubai&gt;Tilal Al Ghaf&gt;Alaya Gardens</v>
      </c>
      <c r="E12038" s="2"/>
      <c r="F12038" s="2"/>
      <c r="G12038" s="2"/>
      <c r="H12038" s="2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2"/>
      <c r="T12038" s="2"/>
      <c r="U12038" s="2"/>
      <c r="V12038" s="2"/>
      <c r="W12038" s="2"/>
      <c r="X12038" s="2"/>
      <c r="Y12038" s="2"/>
      <c r="Z12038" s="2"/>
    </row>
    <row r="12039" spans="1:26" ht="16.5" x14ac:dyDescent="0.35">
      <c r="A12039" s="2" t="str">
        <f ca="1">IFERROR(__xludf.DUMMYFUNCTION("""COMPUTED_VALUE"""),"Dubai")</f>
        <v>Dubai</v>
      </c>
      <c r="B12039" s="2" t="str">
        <f ca="1">IFERROR(__xludf.DUMMYFUNCTION("""COMPUTED_VALUE"""),"Bay Grove Residences Building 2")</f>
        <v>Bay Grove Residences Building 2</v>
      </c>
      <c r="C12039" s="2" t="str">
        <f ca="1">IFERROR(__xludf.DUMMYFUNCTION("""COMPUTED_VALUE"""),"Building")</f>
        <v>Building</v>
      </c>
      <c r="D12039" s="2" t="str">
        <f ca="1">IFERROR(__xludf.DUMMYFUNCTION("""COMPUTED_VALUE"""),"Dubai&gt;Dubai Islands&gt;Bay Grove Residences&gt;Bay Grove Residences Building 2")</f>
        <v>Dubai&gt;Dubai Islands&gt;Bay Grove Residences&gt;Bay Grove Residences Building 2</v>
      </c>
      <c r="E12039" s="2"/>
      <c r="F12039" s="2"/>
      <c r="G12039" s="2"/>
      <c r="H12039" s="2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2"/>
      <c r="T12039" s="2"/>
      <c r="U12039" s="2"/>
      <c r="V12039" s="2"/>
      <c r="W12039" s="2"/>
      <c r="X12039" s="2"/>
      <c r="Y12039" s="2"/>
      <c r="Z12039" s="2"/>
    </row>
    <row r="12040" spans="1:26" ht="16.5" x14ac:dyDescent="0.35">
      <c r="A12040" s="2" t="str">
        <f ca="1">IFERROR(__xludf.DUMMYFUNCTION("""COMPUTED_VALUE"""),"Dubai")</f>
        <v>Dubai</v>
      </c>
      <c r="B12040" s="2" t="str">
        <f ca="1">IFERROR(__xludf.DUMMYFUNCTION("""COMPUTED_VALUE"""),"Capital Horizon Terraces")</f>
        <v>Capital Horizon Terraces</v>
      </c>
      <c r="C12040" s="2" t="str">
        <f ca="1">IFERROR(__xludf.DUMMYFUNCTION("""COMPUTED_VALUE"""),"Building")</f>
        <v>Building</v>
      </c>
      <c r="D12040" s="2" t="str">
        <f ca="1">IFERROR(__xludf.DUMMYFUNCTION("""COMPUTED_VALUE"""),"Dubai&gt;Dubai Islands&gt;Capital Horizon Terraces")</f>
        <v>Dubai&gt;Dubai Islands&gt;Capital Horizon Terraces</v>
      </c>
      <c r="E12040" s="2"/>
      <c r="F12040" s="2"/>
      <c r="G12040" s="2"/>
      <c r="H12040" s="2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2"/>
      <c r="T12040" s="2"/>
      <c r="U12040" s="2"/>
      <c r="V12040" s="2"/>
      <c r="W12040" s="2"/>
      <c r="X12040" s="2"/>
      <c r="Y12040" s="2"/>
      <c r="Z12040" s="2"/>
    </row>
    <row r="12041" spans="1:26" ht="16.5" x14ac:dyDescent="0.35">
      <c r="A12041" s="2" t="str">
        <f ca="1">IFERROR(__xludf.DUMMYFUNCTION("""COMPUTED_VALUE"""),"Dubai")</f>
        <v>Dubai</v>
      </c>
      <c r="B12041" s="2" t="str">
        <f ca="1">IFERROR(__xludf.DUMMYFUNCTION("""COMPUTED_VALUE"""),"Casagrand Seafront Residences")</f>
        <v>Casagrand Seafront Residences</v>
      </c>
      <c r="C12041" s="2" t="str">
        <f ca="1">IFERROR(__xludf.DUMMYFUNCTION("""COMPUTED_VALUE"""),"Building")</f>
        <v>Building</v>
      </c>
      <c r="D12041" s="2" t="str">
        <f ca="1">IFERROR(__xludf.DUMMYFUNCTION("""COMPUTED_VALUE"""),"Dubai&gt;Dubai Islands&gt;Casagrand Seafront Residences")</f>
        <v>Dubai&gt;Dubai Islands&gt;Casagrand Seafront Residences</v>
      </c>
      <c r="E12041" s="2"/>
      <c r="F12041" s="2"/>
      <c r="G12041" s="2"/>
      <c r="H12041" s="2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2"/>
      <c r="T12041" s="2"/>
      <c r="U12041" s="2"/>
      <c r="V12041" s="2"/>
      <c r="W12041" s="2"/>
      <c r="X12041" s="2"/>
      <c r="Y12041" s="2"/>
      <c r="Z12041" s="2"/>
    </row>
    <row r="12042" spans="1:26" ht="16.5" x14ac:dyDescent="0.35">
      <c r="A12042" s="2" t="str">
        <f ca="1">IFERROR(__xludf.DUMMYFUNCTION("""COMPUTED_VALUE"""),"Dubai")</f>
        <v>Dubai</v>
      </c>
      <c r="B12042" s="2" t="str">
        <f ca="1">IFERROR(__xludf.DUMMYFUNCTION("""COMPUTED_VALUE"""),"Blue Marina Residence Building 1")</f>
        <v>Blue Marina Residence Building 1</v>
      </c>
      <c r="C12042" s="2" t="str">
        <f ca="1">IFERROR(__xludf.DUMMYFUNCTION("""COMPUTED_VALUE"""),"Building")</f>
        <v>Building</v>
      </c>
      <c r="D12042" s="2" t="str">
        <f ca="1">IFERROR(__xludf.DUMMYFUNCTION("""COMPUTED_VALUE"""),"Dubai&gt;Dubai Islands&gt;Blue Marina Residence&gt;Blue Marina Residence Building 1")</f>
        <v>Dubai&gt;Dubai Islands&gt;Blue Marina Residence&gt;Blue Marina Residence Building 1</v>
      </c>
      <c r="E12042" s="2"/>
      <c r="F12042" s="2"/>
      <c r="G12042" s="2"/>
      <c r="H12042" s="2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2"/>
      <c r="T12042" s="2"/>
      <c r="U12042" s="2"/>
      <c r="V12042" s="2"/>
      <c r="W12042" s="2"/>
      <c r="X12042" s="2"/>
      <c r="Y12042" s="2"/>
      <c r="Z12042" s="2"/>
    </row>
    <row r="12043" spans="1:26" ht="16.5" x14ac:dyDescent="0.35">
      <c r="A12043" s="2" t="str">
        <f ca="1">IFERROR(__xludf.DUMMYFUNCTION("""COMPUTED_VALUE"""),"Dubai")</f>
        <v>Dubai</v>
      </c>
      <c r="B12043" s="2" t="str">
        <f ca="1">IFERROR(__xludf.DUMMYFUNCTION("""COMPUTED_VALUE"""),"Dubailand")</f>
        <v>Dubailand</v>
      </c>
      <c r="C12043" s="2" t="str">
        <f ca="1">IFERROR(__xludf.DUMMYFUNCTION("""COMPUTED_VALUE"""),"Neighbourhood")</f>
        <v>Neighbourhood</v>
      </c>
      <c r="D12043" s="2" t="str">
        <f ca="1">IFERROR(__xludf.DUMMYFUNCTION("""COMPUTED_VALUE"""),"Dubai&gt;Dubailand")</f>
        <v>Dubai&gt;Dubailand</v>
      </c>
      <c r="E12043" s="2"/>
      <c r="F12043" s="2"/>
      <c r="G12043" s="2"/>
      <c r="H12043" s="2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2"/>
      <c r="T12043" s="2"/>
      <c r="U12043" s="2"/>
      <c r="V12043" s="2"/>
      <c r="W12043" s="2"/>
      <c r="X12043" s="2"/>
      <c r="Y12043" s="2"/>
      <c r="Z12043" s="2"/>
    </row>
    <row r="12044" spans="1:26" ht="16.5" x14ac:dyDescent="0.35">
      <c r="A12044" s="2" t="str">
        <f ca="1">IFERROR(__xludf.DUMMYFUNCTION("""COMPUTED_VALUE"""),"Dubai")</f>
        <v>Dubai</v>
      </c>
      <c r="B12044" s="2" t="str">
        <f ca="1">IFERROR(__xludf.DUMMYFUNCTION("""COMPUTED_VALUE"""),"La Rosa 4")</f>
        <v>La Rosa 4</v>
      </c>
      <c r="C12044" s="2" t="str">
        <f ca="1">IFERROR(__xludf.DUMMYFUNCTION("""COMPUTED_VALUE"""),"Neighbourhood")</f>
        <v>Neighbourhood</v>
      </c>
      <c r="D12044" s="2" t="str">
        <f ca="1">IFERROR(__xludf.DUMMYFUNCTION("""COMPUTED_VALUE"""),"Dubai&gt;Dubailand&gt;Villanova&gt;La Rosa&gt;La Rosa 4")</f>
        <v>Dubai&gt;Dubailand&gt;Villanova&gt;La Rosa&gt;La Rosa 4</v>
      </c>
      <c r="E12044" s="2"/>
      <c r="F12044" s="2"/>
      <c r="G12044" s="2"/>
      <c r="H12044" s="2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2"/>
      <c r="T12044" s="2"/>
      <c r="U12044" s="2"/>
      <c r="V12044" s="2"/>
      <c r="W12044" s="2"/>
      <c r="X12044" s="2"/>
      <c r="Y12044" s="2"/>
      <c r="Z12044" s="2"/>
    </row>
    <row r="12045" spans="1:26" ht="16.5" x14ac:dyDescent="0.35">
      <c r="A12045" s="2" t="str">
        <f ca="1">IFERROR(__xludf.DUMMYFUNCTION("""COMPUTED_VALUE"""),"Dubai")</f>
        <v>Dubai</v>
      </c>
      <c r="B12045" s="2" t="str">
        <f ca="1">IFERROR(__xludf.DUMMYFUNCTION("""COMPUTED_VALUE"""),"Downtown Views II")</f>
        <v>Downtown Views II</v>
      </c>
      <c r="C12045" s="2" t="str">
        <f ca="1">IFERROR(__xludf.DUMMYFUNCTION("""COMPUTED_VALUE"""),"Cluster")</f>
        <v>Cluster</v>
      </c>
      <c r="D12045" s="2" t="str">
        <f ca="1">IFERROR(__xludf.DUMMYFUNCTION("""COMPUTED_VALUE"""),"Dubai&gt;Za'abeel&gt;Za'abeel 2&gt;Downtown Views II")</f>
        <v>Dubai&gt;Za'abeel&gt;Za'abeel 2&gt;Downtown Views II</v>
      </c>
      <c r="E12045" s="2"/>
      <c r="F12045" s="2"/>
      <c r="G12045" s="2"/>
      <c r="H12045" s="2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2"/>
      <c r="T12045" s="2"/>
      <c r="U12045" s="2"/>
      <c r="V12045" s="2"/>
      <c r="W12045" s="2"/>
      <c r="X12045" s="2"/>
      <c r="Y12045" s="2"/>
      <c r="Z12045" s="2"/>
    </row>
    <row r="12046" spans="1:26" ht="16.5" x14ac:dyDescent="0.35">
      <c r="A12046" s="2" t="str">
        <f ca="1">IFERROR(__xludf.DUMMYFUNCTION("""COMPUTED_VALUE"""),"Dubai")</f>
        <v>Dubai</v>
      </c>
      <c r="B12046" s="2" t="str">
        <f ca="1">IFERROR(__xludf.DUMMYFUNCTION("""COMPUTED_VALUE"""),"Samari Residences 13")</f>
        <v>Samari Residences 13</v>
      </c>
      <c r="C12046" s="2" t="str">
        <f ca="1">IFERROR(__xludf.DUMMYFUNCTION("""COMPUTED_VALUE"""),"Building")</f>
        <v>Building</v>
      </c>
      <c r="D12046" s="2" t="str">
        <f ca="1">IFERROR(__xludf.DUMMYFUNCTION("""COMPUTED_VALUE"""),"Dubai&gt;Ras Al Khor&gt;Ras Al Khor Industrial&gt;Ras Al Khor Industrial 3&gt;Samari Residences&gt;Samari Residences 13")</f>
        <v>Dubai&gt;Ras Al Khor&gt;Ras Al Khor Industrial&gt;Ras Al Khor Industrial 3&gt;Samari Residences&gt;Samari Residences 13</v>
      </c>
      <c r="E12046" s="2"/>
      <c r="F12046" s="2"/>
      <c r="G12046" s="2"/>
      <c r="H12046" s="2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2"/>
      <c r="T12046" s="2"/>
      <c r="U12046" s="2"/>
      <c r="V12046" s="2"/>
      <c r="W12046" s="2"/>
      <c r="X12046" s="2"/>
      <c r="Y12046" s="2"/>
      <c r="Z12046" s="2"/>
    </row>
    <row r="12047" spans="1:26" ht="16.5" x14ac:dyDescent="0.35">
      <c r="A12047" s="2" t="str">
        <f ca="1">IFERROR(__xludf.DUMMYFUNCTION("""COMPUTED_VALUE"""),"Dubai")</f>
        <v>Dubai</v>
      </c>
      <c r="B12047" s="2" t="str">
        <f ca="1">IFERROR(__xludf.DUMMYFUNCTION("""COMPUTED_VALUE"""),"The Galleries 1")</f>
        <v>The Galleries 1</v>
      </c>
      <c r="C12047" s="2" t="str">
        <f ca="1">IFERROR(__xludf.DUMMYFUNCTION("""COMPUTED_VALUE"""),"Building")</f>
        <v>Building</v>
      </c>
      <c r="D12047" s="2" t="str">
        <f ca="1">IFERROR(__xludf.DUMMYFUNCTION("""COMPUTED_VALUE"""),"Dubai&gt;Jebel Ali&gt;Downtown Jebel Ali&gt;The Galleries&gt;The Galleries 1")</f>
        <v>Dubai&gt;Jebel Ali&gt;Downtown Jebel Ali&gt;The Galleries&gt;The Galleries 1</v>
      </c>
      <c r="E12047" s="2"/>
      <c r="F12047" s="2"/>
      <c r="G12047" s="2"/>
      <c r="H12047" s="2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2"/>
      <c r="T12047" s="2"/>
      <c r="U12047" s="2"/>
      <c r="V12047" s="2"/>
      <c r="W12047" s="2"/>
      <c r="X12047" s="2"/>
      <c r="Y12047" s="2"/>
      <c r="Z12047" s="2"/>
    </row>
    <row r="12048" spans="1:26" ht="16.5" x14ac:dyDescent="0.35">
      <c r="A12048" s="2" t="str">
        <f ca="1">IFERROR(__xludf.DUMMYFUNCTION("""COMPUTED_VALUE"""),"Dubai")</f>
        <v>Dubai</v>
      </c>
      <c r="B12048" s="2" t="str">
        <f ca="1">IFERROR(__xludf.DUMMYFUNCTION("""COMPUTED_VALUE"""),"Jewellery and Gemplex 3")</f>
        <v>Jewellery and Gemplex 3</v>
      </c>
      <c r="C12048" s="2" t="str">
        <f ca="1">IFERROR(__xludf.DUMMYFUNCTION("""COMPUTED_VALUE"""),"Building")</f>
        <v>Building</v>
      </c>
      <c r="D12048" s="2" t="str">
        <f ca="1">IFERROR(__xludf.DUMMYFUNCTION("""COMPUTED_VALUE"""),"Dubai&gt;Jebel Ali&gt;Jewellery and Gemplex&gt;Jewellery and Gemplex 3")</f>
        <v>Dubai&gt;Jebel Ali&gt;Jewellery and Gemplex&gt;Jewellery and Gemplex 3</v>
      </c>
      <c r="E12048" s="2"/>
      <c r="F12048" s="2"/>
      <c r="G12048" s="2"/>
      <c r="H12048" s="2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2"/>
      <c r="T12048" s="2"/>
      <c r="U12048" s="2"/>
      <c r="V12048" s="2"/>
      <c r="W12048" s="2"/>
      <c r="X12048" s="2"/>
      <c r="Y12048" s="2"/>
      <c r="Z12048" s="2"/>
    </row>
    <row r="12049" spans="1:26" ht="16.5" x14ac:dyDescent="0.35">
      <c r="A12049" s="2" t="str">
        <f ca="1">IFERROR(__xludf.DUMMYFUNCTION("""COMPUTED_VALUE"""),"Dubai")</f>
        <v>Dubai</v>
      </c>
      <c r="B12049" s="2" t="str">
        <f ca="1">IFERROR(__xludf.DUMMYFUNCTION("""COMPUTED_VALUE"""),"Al Ketbi 1 Building")</f>
        <v>Al Ketbi 1 Building</v>
      </c>
      <c r="C12049" s="2" t="str">
        <f ca="1">IFERROR(__xludf.DUMMYFUNCTION("""COMPUTED_VALUE"""),"Building")</f>
        <v>Building</v>
      </c>
      <c r="D12049" s="2" t="str">
        <f ca="1">IFERROR(__xludf.DUMMYFUNCTION("""COMPUTED_VALUE"""),"Dubai&gt;Nad Al Hamar&gt;Al Ketbi 1 Building")</f>
        <v>Dubai&gt;Nad Al Hamar&gt;Al Ketbi 1 Building</v>
      </c>
      <c r="E12049" s="2"/>
      <c r="F12049" s="2"/>
      <c r="G12049" s="2"/>
      <c r="H12049" s="2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2"/>
      <c r="T12049" s="2"/>
      <c r="U12049" s="2"/>
      <c r="V12049" s="2"/>
      <c r="W12049" s="2"/>
      <c r="X12049" s="2"/>
      <c r="Y12049" s="2"/>
      <c r="Z12049" s="2"/>
    </row>
    <row r="12050" spans="1:26" ht="16.5" x14ac:dyDescent="0.35">
      <c r="A12050" s="2" t="str">
        <f ca="1">IFERROR(__xludf.DUMMYFUNCTION("""COMPUTED_VALUE"""),"Dubai")</f>
        <v>Dubai</v>
      </c>
      <c r="B12050" s="2" t="str">
        <f ca="1">IFERROR(__xludf.DUMMYFUNCTION("""COMPUTED_VALUE"""),"Nad Al Hamar Gardens")</f>
        <v>Nad Al Hamar Gardens</v>
      </c>
      <c r="C12050" s="2" t="str">
        <f ca="1">IFERROR(__xludf.DUMMYFUNCTION("""COMPUTED_VALUE"""),"Neighbourhood")</f>
        <v>Neighbourhood</v>
      </c>
      <c r="D12050" s="2" t="str">
        <f ca="1">IFERROR(__xludf.DUMMYFUNCTION("""COMPUTED_VALUE"""),"Dubai&gt;Nad Al Hamar&gt;Nad Al Hamar Gardens")</f>
        <v>Dubai&gt;Nad Al Hamar&gt;Nad Al Hamar Gardens</v>
      </c>
      <c r="E12050" s="2"/>
      <c r="F12050" s="2"/>
      <c r="G12050" s="2"/>
      <c r="H12050" s="2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2"/>
      <c r="T12050" s="2"/>
      <c r="U12050" s="2"/>
      <c r="V12050" s="2"/>
      <c r="W12050" s="2"/>
      <c r="X12050" s="2"/>
      <c r="Y12050" s="2"/>
      <c r="Z12050" s="2"/>
    </row>
    <row r="12051" spans="1:26" ht="16.5" x14ac:dyDescent="0.35">
      <c r="A12051" s="2" t="str">
        <f ca="1">IFERROR(__xludf.DUMMYFUNCTION("""COMPUTED_VALUE"""),"Dubai")</f>
        <v>Dubai</v>
      </c>
      <c r="B12051" s="2" t="str">
        <f ca="1">IFERROR(__xludf.DUMMYFUNCTION("""COMPUTED_VALUE"""),"BOCA Residence")</f>
        <v>BOCA Residence</v>
      </c>
      <c r="C12051" s="2" t="str">
        <f ca="1">IFERROR(__xludf.DUMMYFUNCTION("""COMPUTED_VALUE"""),"Building")</f>
        <v>Building</v>
      </c>
      <c r="D12051" s="2" t="str">
        <f ca="1">IFERROR(__xludf.DUMMYFUNCTION("""COMPUTED_VALUE"""),"Dubai&gt;Al Barsha&gt;Al Barsha 1&gt;BOCA Residence")</f>
        <v>Dubai&gt;Al Barsha&gt;Al Barsha 1&gt;BOCA Residence</v>
      </c>
      <c r="E12051" s="2"/>
      <c r="F12051" s="2"/>
      <c r="G12051" s="2"/>
      <c r="H12051" s="2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2"/>
      <c r="T12051" s="2"/>
      <c r="U12051" s="2"/>
      <c r="V12051" s="2"/>
      <c r="W12051" s="2"/>
      <c r="X12051" s="2"/>
      <c r="Y12051" s="2"/>
      <c r="Z12051" s="2"/>
    </row>
    <row r="12052" spans="1:26" ht="16.5" x14ac:dyDescent="0.35">
      <c r="A12052" s="2" t="str">
        <f ca="1">IFERROR(__xludf.DUMMYFUNCTION("""COMPUTED_VALUE"""),"Dubai")</f>
        <v>Dubai</v>
      </c>
      <c r="B12052" s="2" t="str">
        <f ca="1">IFERROR(__xludf.DUMMYFUNCTION("""COMPUTED_VALUE"""),"Dawoud Abdulrahman Building")</f>
        <v>Dawoud Abdulrahman Building</v>
      </c>
      <c r="C12052" s="2" t="str">
        <f ca="1">IFERROR(__xludf.DUMMYFUNCTION("""COMPUTED_VALUE"""),"Building")</f>
        <v>Building</v>
      </c>
      <c r="D12052" s="2" t="str">
        <f ca="1">IFERROR(__xludf.DUMMYFUNCTION("""COMPUTED_VALUE"""),"Dubai&gt;Al Barsha&gt;Al Barsha 1&gt;Dawoud Abdulrahman Building")</f>
        <v>Dubai&gt;Al Barsha&gt;Al Barsha 1&gt;Dawoud Abdulrahman Building</v>
      </c>
      <c r="E12052" s="2"/>
      <c r="F12052" s="2"/>
      <c r="G12052" s="2"/>
      <c r="H12052" s="2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2"/>
      <c r="T12052" s="2"/>
      <c r="U12052" s="2"/>
      <c r="V12052" s="2"/>
      <c r="W12052" s="2"/>
      <c r="X12052" s="2"/>
      <c r="Y12052" s="2"/>
      <c r="Z12052" s="2"/>
    </row>
    <row r="12053" spans="1:26" ht="16.5" x14ac:dyDescent="0.35">
      <c r="A12053" s="2" t="str">
        <f ca="1">IFERROR(__xludf.DUMMYFUNCTION("""COMPUTED_VALUE"""),"Dubai")</f>
        <v>Dubai</v>
      </c>
      <c r="B12053" s="2" t="str">
        <f ca="1">IFERROR(__xludf.DUMMYFUNCTION("""COMPUTED_VALUE"""),"API Villas")</f>
        <v>API Villas</v>
      </c>
      <c r="C12053" s="2" t="str">
        <f ca="1">IFERROR(__xludf.DUMMYFUNCTION("""COMPUTED_VALUE"""),"Neighbourhood")</f>
        <v>Neighbourhood</v>
      </c>
      <c r="D12053" s="2" t="str">
        <f ca="1">IFERROR(__xludf.DUMMYFUNCTION("""COMPUTED_VALUE"""),"Dubai&gt;Al Barsha&gt;Al Barsha 1&gt;API Villas")</f>
        <v>Dubai&gt;Al Barsha&gt;Al Barsha 1&gt;API Villas</v>
      </c>
      <c r="E12053" s="2"/>
      <c r="F12053" s="2"/>
      <c r="G12053" s="2"/>
      <c r="H12053" s="2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2"/>
      <c r="T12053" s="2"/>
      <c r="U12053" s="2"/>
      <c r="V12053" s="2"/>
      <c r="W12053" s="2"/>
      <c r="X12053" s="2"/>
      <c r="Y12053" s="2"/>
      <c r="Z12053" s="2"/>
    </row>
    <row r="12054" spans="1:26" ht="16.5" x14ac:dyDescent="0.35">
      <c r="A12054" s="2" t="str">
        <f ca="1">IFERROR(__xludf.DUMMYFUNCTION("""COMPUTED_VALUE"""),"Dubai")</f>
        <v>Dubai</v>
      </c>
      <c r="B12054" s="2" t="str">
        <f ca="1">IFERROR(__xludf.DUMMYFUNCTION("""COMPUTED_VALUE"""),"Abdullah Saeed Building")</f>
        <v>Abdullah Saeed Building</v>
      </c>
      <c r="C12054" s="2" t="str">
        <f ca="1">IFERROR(__xludf.DUMMYFUNCTION("""COMPUTED_VALUE"""),"Building")</f>
        <v>Building</v>
      </c>
      <c r="D12054" s="2" t="str">
        <f ca="1">IFERROR(__xludf.DUMMYFUNCTION("""COMPUTED_VALUE"""),"Dubai&gt;Al Barsha&gt;Al Barsha 1&gt;Abdullah Saeed Building")</f>
        <v>Dubai&gt;Al Barsha&gt;Al Barsha 1&gt;Abdullah Saeed Building</v>
      </c>
      <c r="E12054" s="2"/>
      <c r="F12054" s="2"/>
      <c r="G12054" s="2"/>
      <c r="H12054" s="2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2"/>
      <c r="T12054" s="2"/>
      <c r="U12054" s="2"/>
      <c r="V12054" s="2"/>
      <c r="W12054" s="2"/>
      <c r="X12054" s="2"/>
      <c r="Y12054" s="2"/>
      <c r="Z12054" s="2"/>
    </row>
    <row r="12055" spans="1:26" ht="16.5" x14ac:dyDescent="0.35">
      <c r="A12055" s="2" t="str">
        <f ca="1">IFERROR(__xludf.DUMMYFUNCTION("""COMPUTED_VALUE"""),"Dubai")</f>
        <v>Dubai</v>
      </c>
      <c r="B12055" s="2" t="str">
        <f ca="1">IFERROR(__xludf.DUMMYFUNCTION("""COMPUTED_VALUE"""),"ibis Hotel Al Barsha")</f>
        <v>ibis Hotel Al Barsha</v>
      </c>
      <c r="C12055" s="2" t="str">
        <f ca="1">IFERROR(__xludf.DUMMYFUNCTION("""COMPUTED_VALUE"""),"Building")</f>
        <v>Building</v>
      </c>
      <c r="D12055" s="2" t="str">
        <f ca="1">IFERROR(__xludf.DUMMYFUNCTION("""COMPUTED_VALUE"""),"Dubai&gt;Al Barsha&gt;Al Barsha 1&gt;ibis Hotel Al Barsha")</f>
        <v>Dubai&gt;Al Barsha&gt;Al Barsha 1&gt;ibis Hotel Al Barsha</v>
      </c>
      <c r="E12055" s="2"/>
      <c r="F12055" s="2"/>
      <c r="G12055" s="2"/>
      <c r="H12055" s="2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2"/>
      <c r="T12055" s="2"/>
      <c r="U12055" s="2"/>
      <c r="V12055" s="2"/>
      <c r="W12055" s="2"/>
      <c r="X12055" s="2"/>
      <c r="Y12055" s="2"/>
      <c r="Z12055" s="2"/>
    </row>
    <row r="12056" spans="1:26" ht="16.5" x14ac:dyDescent="0.35">
      <c r="A12056" s="2" t="str">
        <f ca="1">IFERROR(__xludf.DUMMYFUNCTION("""COMPUTED_VALUE"""),"Dubai")</f>
        <v>Dubai</v>
      </c>
      <c r="B12056" s="2" t="str">
        <f ca="1">IFERROR(__xludf.DUMMYFUNCTION("""COMPUTED_VALUE"""),"Rose Garden Hotel Apartments")</f>
        <v>Rose Garden Hotel Apartments</v>
      </c>
      <c r="C12056" s="2" t="str">
        <f ca="1">IFERROR(__xludf.DUMMYFUNCTION("""COMPUTED_VALUE"""),"Building")</f>
        <v>Building</v>
      </c>
      <c r="D12056" s="2" t="str">
        <f ca="1">IFERROR(__xludf.DUMMYFUNCTION("""COMPUTED_VALUE"""),"Dubai&gt;Al Barsha&gt;Al Barsha 1&gt;Rose Garden Hotel Apartments")</f>
        <v>Dubai&gt;Al Barsha&gt;Al Barsha 1&gt;Rose Garden Hotel Apartments</v>
      </c>
      <c r="E12056" s="2"/>
      <c r="F12056" s="2"/>
      <c r="G12056" s="2"/>
      <c r="H12056" s="2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2"/>
      <c r="T12056" s="2"/>
      <c r="U12056" s="2"/>
      <c r="V12056" s="2"/>
      <c r="W12056" s="2"/>
      <c r="X12056" s="2"/>
      <c r="Y12056" s="2"/>
      <c r="Z12056" s="2"/>
    </row>
    <row r="12057" spans="1:26" ht="16.5" x14ac:dyDescent="0.35">
      <c r="A12057" s="2" t="str">
        <f ca="1">IFERROR(__xludf.DUMMYFUNCTION("""COMPUTED_VALUE"""),"Dubai")</f>
        <v>Dubai</v>
      </c>
      <c r="B12057" s="2" t="str">
        <f ca="1">IFERROR(__xludf.DUMMYFUNCTION("""COMPUTED_VALUE"""),"Auris Boutique")</f>
        <v>Auris Boutique</v>
      </c>
      <c r="C12057" s="2" t="str">
        <f ca="1">IFERROR(__xludf.DUMMYFUNCTION("""COMPUTED_VALUE"""),"Building")</f>
        <v>Building</v>
      </c>
      <c r="D12057" s="2" t="str">
        <f ca="1">IFERROR(__xludf.DUMMYFUNCTION("""COMPUTED_VALUE"""),"Dubai&gt;Al Barsha&gt;Al Barsha 1&gt;Auris Boutique")</f>
        <v>Dubai&gt;Al Barsha&gt;Al Barsha 1&gt;Auris Boutique</v>
      </c>
      <c r="E12057" s="2"/>
      <c r="F12057" s="2"/>
      <c r="G12057" s="2"/>
      <c r="H12057" s="2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2"/>
      <c r="T12057" s="2"/>
      <c r="U12057" s="2"/>
      <c r="V12057" s="2"/>
      <c r="W12057" s="2"/>
      <c r="X12057" s="2"/>
      <c r="Y12057" s="2"/>
      <c r="Z12057" s="2"/>
    </row>
    <row r="12058" spans="1:26" ht="16.5" x14ac:dyDescent="0.35">
      <c r="A12058" s="2" t="str">
        <f ca="1">IFERROR(__xludf.DUMMYFUNCTION("""COMPUTED_VALUE"""),"Dubai")</f>
        <v>Dubai</v>
      </c>
      <c r="B12058" s="2" t="str">
        <f ca="1">IFERROR(__xludf.DUMMYFUNCTION("""COMPUTED_VALUE"""),"Emirates Souq 4")</f>
        <v>Emirates Souq 4</v>
      </c>
      <c r="C12058" s="2" t="str">
        <f ca="1">IFERROR(__xludf.DUMMYFUNCTION("""COMPUTED_VALUE"""),"Building")</f>
        <v>Building</v>
      </c>
      <c r="D12058" s="2" t="str">
        <f ca="1">IFERROR(__xludf.DUMMYFUNCTION("""COMPUTED_VALUE"""),"Dubai&gt;Al Barsha&gt;Al Barsha 1&gt;Emirates Souq 4")</f>
        <v>Dubai&gt;Al Barsha&gt;Al Barsha 1&gt;Emirates Souq 4</v>
      </c>
      <c r="E12058" s="2"/>
      <c r="F12058" s="2"/>
      <c r="G12058" s="2"/>
      <c r="H12058" s="2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2"/>
      <c r="T12058" s="2"/>
      <c r="U12058" s="2"/>
      <c r="V12058" s="2"/>
      <c r="W12058" s="2"/>
      <c r="X12058" s="2"/>
      <c r="Y12058" s="2"/>
      <c r="Z12058" s="2"/>
    </row>
    <row r="12059" spans="1:26" ht="16.5" x14ac:dyDescent="0.35">
      <c r="A12059" s="2" t="str">
        <f ca="1">IFERROR(__xludf.DUMMYFUNCTION("""COMPUTED_VALUE"""),"Dubai")</f>
        <v>Dubai</v>
      </c>
      <c r="B12059" s="2" t="str">
        <f ca="1">IFERROR(__xludf.DUMMYFUNCTION("""COMPUTED_VALUE"""),"Shaibani 2 Building")</f>
        <v>Shaibani 2 Building</v>
      </c>
      <c r="C12059" s="2" t="str">
        <f ca="1">IFERROR(__xludf.DUMMYFUNCTION("""COMPUTED_VALUE"""),"Building")</f>
        <v>Building</v>
      </c>
      <c r="D12059" s="2" t="str">
        <f ca="1">IFERROR(__xludf.DUMMYFUNCTION("""COMPUTED_VALUE"""),"Dubai&gt;Al Barsha&gt;Al Barsha 1&gt;Shaibani 2 Building")</f>
        <v>Dubai&gt;Al Barsha&gt;Al Barsha 1&gt;Shaibani 2 Building</v>
      </c>
      <c r="E12059" s="2"/>
      <c r="F12059" s="2"/>
      <c r="G12059" s="2"/>
      <c r="H12059" s="2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2"/>
      <c r="T12059" s="2"/>
      <c r="U12059" s="2"/>
      <c r="V12059" s="2"/>
      <c r="W12059" s="2"/>
      <c r="X12059" s="2"/>
      <c r="Y12059" s="2"/>
      <c r="Z12059" s="2"/>
    </row>
    <row r="12060" spans="1:26" ht="16.5" x14ac:dyDescent="0.35">
      <c r="A12060" s="2" t="str">
        <f ca="1">IFERROR(__xludf.DUMMYFUNCTION("""COMPUTED_VALUE"""),"Dubai")</f>
        <v>Dubai</v>
      </c>
      <c r="B12060" s="2" t="str">
        <f ca="1">IFERROR(__xludf.DUMMYFUNCTION("""COMPUTED_VALUE"""),"Bloom World Academy Dubai")</f>
        <v>Bloom World Academy Dubai</v>
      </c>
      <c r="C12060" s="2" t="str">
        <f ca="1">IFERROR(__xludf.DUMMYFUNCTION("""COMPUTED_VALUE"""),"School")</f>
        <v>School</v>
      </c>
      <c r="D12060" s="2" t="str">
        <f ca="1">IFERROR(__xludf.DUMMYFUNCTION("""COMPUTED_VALUE"""),"Dubai&gt;Al Barsha&gt;Al Barsha South&gt;Al Barsha South 2&gt;Bloom World Academy Dubai")</f>
        <v>Dubai&gt;Al Barsha&gt;Al Barsha South&gt;Al Barsha South 2&gt;Bloom World Academy Dubai</v>
      </c>
      <c r="E12060" s="2"/>
      <c r="F12060" s="2"/>
      <c r="G12060" s="2"/>
      <c r="H12060" s="2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2"/>
      <c r="T12060" s="2"/>
      <c r="U12060" s="2"/>
      <c r="V12060" s="2"/>
      <c r="W12060" s="2"/>
      <c r="X12060" s="2"/>
      <c r="Y12060" s="2"/>
      <c r="Z12060" s="2"/>
    </row>
    <row r="12061" spans="1:26" ht="16.5" x14ac:dyDescent="0.35">
      <c r="A12061" s="2" t="str">
        <f ca="1">IFERROR(__xludf.DUMMYFUNCTION("""COMPUTED_VALUE"""),"Dubai")</f>
        <v>Dubai</v>
      </c>
      <c r="B12061" s="2" t="str">
        <f ca="1">IFERROR(__xludf.DUMMYFUNCTION("""COMPUTED_VALUE"""),"The Address Residences Dubai Opera")</f>
        <v>The Address Residences Dubai Opera</v>
      </c>
      <c r="C12061" s="2" t="str">
        <f ca="1">IFERROR(__xludf.DUMMYFUNCTION("""COMPUTED_VALUE"""),"Cluster")</f>
        <v>Cluster</v>
      </c>
      <c r="D12061" s="2" t="str">
        <f ca="1">IFERROR(__xludf.DUMMYFUNCTION("""COMPUTED_VALUE"""),"Dubai&gt;Downtown Dubai&gt;The Address Residences Dubai Opera")</f>
        <v>Dubai&gt;Downtown Dubai&gt;The Address Residences Dubai Opera</v>
      </c>
      <c r="E12061" s="2"/>
      <c r="F12061" s="2"/>
      <c r="G12061" s="2"/>
      <c r="H12061" s="2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2"/>
      <c r="T12061" s="2"/>
      <c r="U12061" s="2"/>
      <c r="V12061" s="2"/>
      <c r="W12061" s="2"/>
      <c r="X12061" s="2"/>
      <c r="Y12061" s="2"/>
      <c r="Z12061" s="2"/>
    </row>
    <row r="12062" spans="1:26" ht="16.5" x14ac:dyDescent="0.35">
      <c r="A12062" s="2" t="str">
        <f ca="1">IFERROR(__xludf.DUMMYFUNCTION("""COMPUTED_VALUE"""),"Dubai")</f>
        <v>Dubai</v>
      </c>
      <c r="B12062" s="2" t="str">
        <f ca="1">IFERROR(__xludf.DUMMYFUNCTION("""COMPUTED_VALUE"""),"The Lofts West")</f>
        <v>The Lofts West</v>
      </c>
      <c r="C12062" s="2" t="str">
        <f ca="1">IFERROR(__xludf.DUMMYFUNCTION("""COMPUTED_VALUE"""),"Building")</f>
        <v>Building</v>
      </c>
      <c r="D12062" s="2" t="str">
        <f ca="1">IFERROR(__xludf.DUMMYFUNCTION("""COMPUTED_VALUE"""),"Dubai&gt;Downtown Dubai&gt;The Lofts&gt;The Lofts West")</f>
        <v>Dubai&gt;Downtown Dubai&gt;The Lofts&gt;The Lofts West</v>
      </c>
      <c r="E12062" s="2"/>
      <c r="F12062" s="2"/>
      <c r="G12062" s="2"/>
      <c r="H12062" s="2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2"/>
      <c r="T12062" s="2"/>
      <c r="U12062" s="2"/>
      <c r="V12062" s="2"/>
      <c r="W12062" s="2"/>
      <c r="X12062" s="2"/>
      <c r="Y12062" s="2"/>
      <c r="Z12062" s="2"/>
    </row>
    <row r="12063" spans="1:26" ht="16.5" x14ac:dyDescent="0.35">
      <c r="A12063" s="2" t="str">
        <f ca="1">IFERROR(__xludf.DUMMYFUNCTION("""COMPUTED_VALUE"""),"Dubai")</f>
        <v>Dubai</v>
      </c>
      <c r="B12063" s="2" t="str">
        <f ca="1">IFERROR(__xludf.DUMMYFUNCTION("""COMPUTED_VALUE"""),"Burj Vista 2")</f>
        <v>Burj Vista 2</v>
      </c>
      <c r="C12063" s="2" t="str">
        <f ca="1">IFERROR(__xludf.DUMMYFUNCTION("""COMPUTED_VALUE"""),"Building")</f>
        <v>Building</v>
      </c>
      <c r="D12063" s="2" t="str">
        <f ca="1">IFERROR(__xludf.DUMMYFUNCTION("""COMPUTED_VALUE"""),"Dubai&gt;Downtown Dubai&gt;Burj Vista&gt;Burj Vista 2")</f>
        <v>Dubai&gt;Downtown Dubai&gt;Burj Vista&gt;Burj Vista 2</v>
      </c>
      <c r="E12063" s="2"/>
      <c r="F12063" s="2"/>
      <c r="G12063" s="2"/>
      <c r="H12063" s="2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2"/>
      <c r="T12063" s="2"/>
      <c r="U12063" s="2"/>
      <c r="V12063" s="2"/>
      <c r="W12063" s="2"/>
      <c r="X12063" s="2"/>
      <c r="Y12063" s="2"/>
      <c r="Z12063" s="2"/>
    </row>
    <row r="12064" spans="1:26" ht="16.5" x14ac:dyDescent="0.35">
      <c r="A12064" s="2" t="str">
        <f ca="1">IFERROR(__xludf.DUMMYFUNCTION("""COMPUTED_VALUE"""),"Dubai")</f>
        <v>Dubai</v>
      </c>
      <c r="B12064" s="2" t="str">
        <f ca="1">IFERROR(__xludf.DUMMYFUNCTION("""COMPUTED_VALUE"""),"Kamoon 1")</f>
        <v>Kamoon 1</v>
      </c>
      <c r="C12064" s="2" t="str">
        <f ca="1">IFERROR(__xludf.DUMMYFUNCTION("""COMPUTED_VALUE"""),"Building")</f>
        <v>Building</v>
      </c>
      <c r="D12064" s="2" t="str">
        <f ca="1">IFERROR(__xludf.DUMMYFUNCTION("""COMPUTED_VALUE"""),"Dubai&gt;Downtown Dubai&gt;Old Town&gt;Kamoon&gt;Kamoon 1")</f>
        <v>Dubai&gt;Downtown Dubai&gt;Old Town&gt;Kamoon&gt;Kamoon 1</v>
      </c>
      <c r="E12064" s="2"/>
      <c r="F12064" s="2"/>
      <c r="G12064" s="2"/>
      <c r="H12064" s="2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2"/>
      <c r="T12064" s="2"/>
      <c r="U12064" s="2"/>
      <c r="V12064" s="2"/>
      <c r="W12064" s="2"/>
      <c r="X12064" s="2"/>
      <c r="Y12064" s="2"/>
      <c r="Z12064" s="2"/>
    </row>
    <row r="12065" spans="1:26" ht="16.5" x14ac:dyDescent="0.35">
      <c r="A12065" s="2" t="str">
        <f ca="1">IFERROR(__xludf.DUMMYFUNCTION("""COMPUTED_VALUE"""),"Dubai")</f>
        <v>Dubai</v>
      </c>
      <c r="B12065" s="2" t="str">
        <f ca="1">IFERROR(__xludf.DUMMYFUNCTION("""COMPUTED_VALUE"""),"Miska 2")</f>
        <v>Miska 2</v>
      </c>
      <c r="C12065" s="2" t="str">
        <f ca="1">IFERROR(__xludf.DUMMYFUNCTION("""COMPUTED_VALUE"""),"Building")</f>
        <v>Building</v>
      </c>
      <c r="D12065" s="2" t="str">
        <f ca="1">IFERROR(__xludf.DUMMYFUNCTION("""COMPUTED_VALUE"""),"Dubai&gt;Downtown Dubai&gt;Old Town&gt;Miska&gt;Miska 2")</f>
        <v>Dubai&gt;Downtown Dubai&gt;Old Town&gt;Miska&gt;Miska 2</v>
      </c>
      <c r="E12065" s="2"/>
      <c r="F12065" s="2"/>
      <c r="G12065" s="2"/>
      <c r="H12065" s="2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2"/>
      <c r="T12065" s="2"/>
      <c r="U12065" s="2"/>
      <c r="V12065" s="2"/>
      <c r="W12065" s="2"/>
      <c r="X12065" s="2"/>
      <c r="Y12065" s="2"/>
      <c r="Z12065" s="2"/>
    </row>
    <row r="12066" spans="1:26" ht="16.5" x14ac:dyDescent="0.35">
      <c r="A12066" s="2" t="str">
        <f ca="1">IFERROR(__xludf.DUMMYFUNCTION("""COMPUTED_VALUE"""),"Dubai")</f>
        <v>Dubai</v>
      </c>
      <c r="B12066" s="2" t="str">
        <f ca="1">IFERROR(__xludf.DUMMYFUNCTION("""COMPUTED_VALUE"""),"Rixos Financial Center Road")</f>
        <v>Rixos Financial Center Road</v>
      </c>
      <c r="C12066" s="2" t="str">
        <f ca="1">IFERROR(__xludf.DUMMYFUNCTION("""COMPUTED_VALUE"""),"Building")</f>
        <v>Building</v>
      </c>
      <c r="D12066" s="2" t="str">
        <f ca="1">IFERROR(__xludf.DUMMYFUNCTION("""COMPUTED_VALUE"""),"Dubai&gt;Downtown Dubai&gt;Rixos Financial Center Road")</f>
        <v>Dubai&gt;Downtown Dubai&gt;Rixos Financial Center Road</v>
      </c>
      <c r="E12066" s="2"/>
      <c r="F12066" s="2"/>
      <c r="G12066" s="2"/>
      <c r="H12066" s="2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2"/>
      <c r="T12066" s="2"/>
      <c r="U12066" s="2"/>
      <c r="V12066" s="2"/>
      <c r="W12066" s="2"/>
      <c r="X12066" s="2"/>
      <c r="Y12066" s="2"/>
      <c r="Z12066" s="2"/>
    </row>
    <row r="12067" spans="1:26" ht="16.5" x14ac:dyDescent="0.35">
      <c r="A12067" s="2" t="str">
        <f ca="1">IFERROR(__xludf.DUMMYFUNCTION("""COMPUTED_VALUE"""),"Dubai")</f>
        <v>Dubai</v>
      </c>
      <c r="B12067" s="2" t="str">
        <f ca="1">IFERROR(__xludf.DUMMYFUNCTION("""COMPUTED_VALUE"""),"Mazaya 13")</f>
        <v>Mazaya 13</v>
      </c>
      <c r="C12067" s="2" t="str">
        <f ca="1">IFERROR(__xludf.DUMMYFUNCTION("""COMPUTED_VALUE"""),"Building")</f>
        <v>Building</v>
      </c>
      <c r="D12067" s="2" t="str">
        <f ca="1">IFERROR(__xludf.DUMMYFUNCTION("""COMPUTED_VALUE"""),"Dubai&gt;Liwan&gt;Queue Point&gt;Mazaya 13")</f>
        <v>Dubai&gt;Liwan&gt;Queue Point&gt;Mazaya 13</v>
      </c>
      <c r="E12067" s="2"/>
      <c r="F12067" s="2"/>
      <c r="G12067" s="2"/>
      <c r="H12067" s="2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2"/>
      <c r="T12067" s="2"/>
      <c r="U12067" s="2"/>
      <c r="V12067" s="2"/>
      <c r="W12067" s="2"/>
      <c r="X12067" s="2"/>
      <c r="Y12067" s="2"/>
      <c r="Z12067" s="2"/>
    </row>
    <row r="12068" spans="1:26" ht="16.5" x14ac:dyDescent="0.35">
      <c r="A12068" s="2" t="str">
        <f ca="1">IFERROR(__xludf.DUMMYFUNCTION("""COMPUTED_VALUE"""),"Dubai")</f>
        <v>Dubai</v>
      </c>
      <c r="B12068" s="2" t="str">
        <f ca="1">IFERROR(__xludf.DUMMYFUNCTION("""COMPUTED_VALUE"""),"Tala 1")</f>
        <v>Tala 1</v>
      </c>
      <c r="C12068" s="2" t="str">
        <f ca="1">IFERROR(__xludf.DUMMYFUNCTION("""COMPUTED_VALUE"""),"Building")</f>
        <v>Building</v>
      </c>
      <c r="D12068" s="2" t="str">
        <f ca="1">IFERROR(__xludf.DUMMYFUNCTION("""COMPUTED_VALUE"""),"Dubai&gt;Liwan&gt;Queue Point&gt;Tala 1")</f>
        <v>Dubai&gt;Liwan&gt;Queue Point&gt;Tala 1</v>
      </c>
      <c r="E12068" s="2"/>
      <c r="F12068" s="2"/>
      <c r="G12068" s="2"/>
      <c r="H12068" s="2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2"/>
      <c r="T12068" s="2"/>
      <c r="U12068" s="2"/>
      <c r="V12068" s="2"/>
      <c r="W12068" s="2"/>
      <c r="X12068" s="2"/>
      <c r="Y12068" s="2"/>
      <c r="Z12068" s="2"/>
    </row>
    <row r="12069" spans="1:26" ht="16.5" x14ac:dyDescent="0.35">
      <c r="A12069" s="2" t="str">
        <f ca="1">IFERROR(__xludf.DUMMYFUNCTION("""COMPUTED_VALUE"""),"Dubai")</f>
        <v>Dubai</v>
      </c>
      <c r="B12069" s="2" t="str">
        <f ca="1">IFERROR(__xludf.DUMMYFUNCTION("""COMPUTED_VALUE"""),"Symbolic Altus")</f>
        <v>Symbolic Altus</v>
      </c>
      <c r="C12069" s="2" t="str">
        <f ca="1">IFERROR(__xludf.DUMMYFUNCTION("""COMPUTED_VALUE"""),"Building")</f>
        <v>Building</v>
      </c>
      <c r="D12069" s="2" t="str">
        <f ca="1">IFERROR(__xludf.DUMMYFUNCTION("""COMPUTED_VALUE"""),"Dubai&gt;Liwan&gt;Symbolic Altus")</f>
        <v>Dubai&gt;Liwan&gt;Symbolic Altus</v>
      </c>
      <c r="E12069" s="2"/>
      <c r="F12069" s="2"/>
      <c r="G12069" s="2"/>
      <c r="H12069" s="2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2"/>
      <c r="T12069" s="2"/>
      <c r="U12069" s="2"/>
      <c r="V12069" s="2"/>
      <c r="W12069" s="2"/>
      <c r="X12069" s="2"/>
      <c r="Y12069" s="2"/>
      <c r="Z12069" s="2"/>
    </row>
    <row r="12070" spans="1:26" ht="16.5" x14ac:dyDescent="0.35">
      <c r="A12070" s="2" t="str">
        <f ca="1">IFERROR(__xludf.DUMMYFUNCTION("""COMPUTED_VALUE"""),"Dubai")</f>
        <v>Dubai</v>
      </c>
      <c r="B12070" s="2" t="str">
        <f ca="1">IFERROR(__xludf.DUMMYFUNCTION("""COMPUTED_VALUE"""),"ICD Brookfield Place")</f>
        <v>ICD Brookfield Place</v>
      </c>
      <c r="C12070" s="2" t="str">
        <f ca="1">IFERROR(__xludf.DUMMYFUNCTION("""COMPUTED_VALUE"""),"Building")</f>
        <v>Building</v>
      </c>
      <c r="D12070" s="2" t="str">
        <f ca="1">IFERROR(__xludf.DUMMYFUNCTION("""COMPUTED_VALUE"""),"Dubai&gt;DIFC&gt;ICD Brookfield Place")</f>
        <v>Dubai&gt;DIFC&gt;ICD Brookfield Place</v>
      </c>
      <c r="E12070" s="2"/>
      <c r="F12070" s="2"/>
      <c r="G12070" s="2"/>
      <c r="H12070" s="2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2"/>
      <c r="T12070" s="2"/>
      <c r="U12070" s="2"/>
      <c r="V12070" s="2"/>
      <c r="W12070" s="2"/>
      <c r="X12070" s="2"/>
      <c r="Y12070" s="2"/>
      <c r="Z12070" s="2"/>
    </row>
    <row r="12071" spans="1:26" ht="16.5" x14ac:dyDescent="0.35">
      <c r="A12071" s="2" t="str">
        <f ca="1">IFERROR(__xludf.DUMMYFUNCTION("""COMPUTED_VALUE"""),"Dubai")</f>
        <v>Dubai</v>
      </c>
      <c r="B12071" s="2" t="str">
        <f ca="1">IFERROR(__xludf.DUMMYFUNCTION("""COMPUTED_VALUE"""),"Ora Nursery")</f>
        <v>Ora Nursery</v>
      </c>
      <c r="C12071" s="2" t="str">
        <f ca="1">IFERROR(__xludf.DUMMYFUNCTION("""COMPUTED_VALUE"""),"Nursery")</f>
        <v>Nursery</v>
      </c>
      <c r="D12071" s="2" t="str">
        <f ca="1">IFERROR(__xludf.DUMMYFUNCTION("""COMPUTED_VALUE"""),"Dubai&gt;DIFC&gt;Emirates Financial Towers&gt;Ora Nursery")</f>
        <v>Dubai&gt;DIFC&gt;Emirates Financial Towers&gt;Ora Nursery</v>
      </c>
      <c r="E12071" s="2"/>
      <c r="F12071" s="2"/>
      <c r="G12071" s="2"/>
      <c r="H12071" s="2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2"/>
      <c r="T12071" s="2"/>
      <c r="U12071" s="2"/>
      <c r="V12071" s="2"/>
      <c r="W12071" s="2"/>
      <c r="X12071" s="2"/>
      <c r="Y12071" s="2"/>
      <c r="Z12071" s="2"/>
    </row>
    <row r="12072" spans="1:26" ht="16.5" x14ac:dyDescent="0.35">
      <c r="A12072" s="2" t="str">
        <f ca="1">IFERROR(__xludf.DUMMYFUNCTION("""COMPUTED_VALUE"""),"Dubai")</f>
        <v>Dubai</v>
      </c>
      <c r="B12072" s="2" t="str">
        <f ca="1">IFERROR(__xludf.DUMMYFUNCTION("""COMPUTED_VALUE"""),"Future International Nursery Dubai")</f>
        <v>Future International Nursery Dubai</v>
      </c>
      <c r="C12072" s="2" t="str">
        <f ca="1">IFERROR(__xludf.DUMMYFUNCTION("""COMPUTED_VALUE"""),"Nursery")</f>
        <v>Nursery</v>
      </c>
      <c r="D12072" s="2" t="str">
        <f ca="1">IFERROR(__xludf.DUMMYFUNCTION("""COMPUTED_VALUE"""),"Dubai&gt;Al Warqaa&gt;Al Warqaa 2&gt;Future International Nursery Dubai")</f>
        <v>Dubai&gt;Al Warqaa&gt;Al Warqaa 2&gt;Future International Nursery Dubai</v>
      </c>
      <c r="E12072" s="2"/>
      <c r="F12072" s="2"/>
      <c r="G12072" s="2"/>
      <c r="H12072" s="2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2"/>
      <c r="T12072" s="2"/>
      <c r="U12072" s="2"/>
      <c r="V12072" s="2"/>
      <c r="W12072" s="2"/>
      <c r="X12072" s="2"/>
      <c r="Y12072" s="2"/>
      <c r="Z12072" s="2"/>
    </row>
    <row r="12073" spans="1:26" ht="16.5" x14ac:dyDescent="0.35">
      <c r="A12073" s="2" t="str">
        <f ca="1">IFERROR(__xludf.DUMMYFUNCTION("""COMPUTED_VALUE"""),"Dubai")</f>
        <v>Dubai</v>
      </c>
      <c r="B12073" s="2" t="str">
        <f ca="1">IFERROR(__xludf.DUMMYFUNCTION("""COMPUTED_VALUE"""),"Kenda Building")</f>
        <v>Kenda Building</v>
      </c>
      <c r="C12073" s="2" t="str">
        <f ca="1">IFERROR(__xludf.DUMMYFUNCTION("""COMPUTED_VALUE"""),"Building")</f>
        <v>Building</v>
      </c>
      <c r="D12073" s="2" t="str">
        <f ca="1">IFERROR(__xludf.DUMMYFUNCTION("""COMPUTED_VALUE"""),"Dubai&gt;Al Warqaa&gt;Al Warqaa 1&gt;Kenda Building")</f>
        <v>Dubai&gt;Al Warqaa&gt;Al Warqaa 1&gt;Kenda Building</v>
      </c>
      <c r="E12073" s="2"/>
      <c r="F12073" s="2"/>
      <c r="G12073" s="2"/>
      <c r="H12073" s="2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2"/>
      <c r="T12073" s="2"/>
      <c r="U12073" s="2"/>
      <c r="V12073" s="2"/>
      <c r="W12073" s="2"/>
      <c r="X12073" s="2"/>
      <c r="Y12073" s="2"/>
      <c r="Z12073" s="2"/>
    </row>
    <row r="12074" spans="1:26" ht="16.5" x14ac:dyDescent="0.35">
      <c r="A12074" s="2" t="str">
        <f ca="1">IFERROR(__xludf.DUMMYFUNCTION("""COMPUTED_VALUE"""),"Dubai")</f>
        <v>Dubai</v>
      </c>
      <c r="B12074" s="2" t="str">
        <f ca="1">IFERROR(__xludf.DUMMYFUNCTION("""COMPUTED_VALUE"""),"Emerald Avenue")</f>
        <v>Emerald Avenue</v>
      </c>
      <c r="C12074" s="2" t="str">
        <f ca="1">IFERROR(__xludf.DUMMYFUNCTION("""COMPUTED_VALUE"""),"Building")</f>
        <v>Building</v>
      </c>
      <c r="D12074" s="2" t="str">
        <f ca="1">IFERROR(__xludf.DUMMYFUNCTION("""COMPUTED_VALUE"""),"Dubai&gt;Al Warqaa&gt;Al Warqaa 1&gt;Emerald Avenue")</f>
        <v>Dubai&gt;Al Warqaa&gt;Al Warqaa 1&gt;Emerald Avenue</v>
      </c>
      <c r="E12074" s="2"/>
      <c r="F12074" s="2"/>
      <c r="G12074" s="2"/>
      <c r="H12074" s="2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2"/>
      <c r="T12074" s="2"/>
      <c r="U12074" s="2"/>
      <c r="V12074" s="2"/>
      <c r="W12074" s="2"/>
      <c r="X12074" s="2"/>
      <c r="Y12074" s="2"/>
      <c r="Z12074" s="2"/>
    </row>
    <row r="12075" spans="1:26" ht="16.5" x14ac:dyDescent="0.35">
      <c r="A12075" s="2" t="str">
        <f ca="1">IFERROR(__xludf.DUMMYFUNCTION("""COMPUTED_VALUE"""),"Dubai")</f>
        <v>Dubai</v>
      </c>
      <c r="B12075" s="2" t="str">
        <f ca="1">IFERROR(__xludf.DUMMYFUNCTION("""COMPUTED_VALUE"""),"Al Thani Warqa Building")</f>
        <v>Al Thani Warqa Building</v>
      </c>
      <c r="C12075" s="2" t="str">
        <f ca="1">IFERROR(__xludf.DUMMYFUNCTION("""COMPUTED_VALUE"""),"Building")</f>
        <v>Building</v>
      </c>
      <c r="D12075" s="2" t="str">
        <f ca="1">IFERROR(__xludf.DUMMYFUNCTION("""COMPUTED_VALUE"""),"Dubai&gt;Al Warqaa&gt;Al Warqaa 1&gt;Al Thani Warqa Building")</f>
        <v>Dubai&gt;Al Warqaa&gt;Al Warqaa 1&gt;Al Thani Warqa Building</v>
      </c>
      <c r="E12075" s="2"/>
      <c r="F12075" s="2"/>
      <c r="G12075" s="2"/>
      <c r="H12075" s="2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2"/>
      <c r="T12075" s="2"/>
      <c r="U12075" s="2"/>
      <c r="V12075" s="2"/>
      <c r="W12075" s="2"/>
      <c r="X12075" s="2"/>
      <c r="Y12075" s="2"/>
      <c r="Z12075" s="2"/>
    </row>
    <row r="12076" spans="1:26" ht="16.5" x14ac:dyDescent="0.35">
      <c r="A12076" s="2" t="str">
        <f ca="1">IFERROR(__xludf.DUMMYFUNCTION("""COMPUTED_VALUE"""),"Dubai")</f>
        <v>Dubai</v>
      </c>
      <c r="B12076" s="2" t="str">
        <f ca="1">IFERROR(__xludf.DUMMYFUNCTION("""COMPUTED_VALUE"""),"Jumeirah Lake Towers (JLT)")</f>
        <v>Jumeirah Lake Towers (JLT)</v>
      </c>
      <c r="C12076" s="2" t="str">
        <f ca="1">IFERROR(__xludf.DUMMYFUNCTION("""COMPUTED_VALUE"""),"Neighbourhood")</f>
        <v>Neighbourhood</v>
      </c>
      <c r="D12076" s="2" t="str">
        <f ca="1">IFERROR(__xludf.DUMMYFUNCTION("""COMPUTED_VALUE"""),"Dubai&gt;Jumeirah Lake Towers (JLT)")</f>
        <v>Dubai&gt;Jumeirah Lake Towers (JLT)</v>
      </c>
      <c r="E12076" s="2"/>
      <c r="F12076" s="2"/>
      <c r="G12076" s="2"/>
      <c r="H12076" s="2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2"/>
      <c r="T12076" s="2"/>
      <c r="U12076" s="2"/>
      <c r="V12076" s="2"/>
      <c r="W12076" s="2"/>
      <c r="X12076" s="2"/>
      <c r="Y12076" s="2"/>
      <c r="Z12076" s="2"/>
    </row>
    <row r="12077" spans="1:26" ht="16.5" x14ac:dyDescent="0.35">
      <c r="A12077" s="2" t="str">
        <f ca="1">IFERROR(__xludf.DUMMYFUNCTION("""COMPUTED_VALUE"""),"Dubai")</f>
        <v>Dubai</v>
      </c>
      <c r="B12077" s="2" t="str">
        <f ca="1">IFERROR(__xludf.DUMMYFUNCTION("""COMPUTED_VALUE"""),"Global Lake View")</f>
        <v>Global Lake View</v>
      </c>
      <c r="C12077" s="2" t="str">
        <f ca="1">IFERROR(__xludf.DUMMYFUNCTION("""COMPUTED_VALUE"""),"Building")</f>
        <v>Building</v>
      </c>
      <c r="D12077" s="2" t="str">
        <f ca="1">IFERROR(__xludf.DUMMYFUNCTION("""COMPUTED_VALUE"""),"Dubai&gt;Jumeirah Lake Towers (JLT)&gt;JLT Cluster E&gt;Global Lake View")</f>
        <v>Dubai&gt;Jumeirah Lake Towers (JLT)&gt;JLT Cluster E&gt;Global Lake View</v>
      </c>
      <c r="E12077" s="2"/>
      <c r="F12077" s="2"/>
      <c r="G12077" s="2"/>
      <c r="H12077" s="2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2"/>
      <c r="T12077" s="2"/>
      <c r="U12077" s="2"/>
      <c r="V12077" s="2"/>
      <c r="W12077" s="2"/>
      <c r="X12077" s="2"/>
      <c r="Y12077" s="2"/>
      <c r="Z12077" s="2"/>
    </row>
    <row r="12078" spans="1:26" ht="16.5" x14ac:dyDescent="0.35">
      <c r="A12078" s="2" t="str">
        <f ca="1">IFERROR(__xludf.DUMMYFUNCTION("""COMPUTED_VALUE"""),"Dubai")</f>
        <v>Dubai</v>
      </c>
      <c r="B12078" s="2" t="str">
        <f ca="1">IFERROR(__xludf.DUMMYFUNCTION("""COMPUTED_VALUE"""),"JLT Cluster M")</f>
        <v>JLT Cluster M</v>
      </c>
      <c r="C12078" s="2" t="str">
        <f ca="1">IFERROR(__xludf.DUMMYFUNCTION("""COMPUTED_VALUE"""),"Cluster")</f>
        <v>Cluster</v>
      </c>
      <c r="D12078" s="2" t="str">
        <f ca="1">IFERROR(__xludf.DUMMYFUNCTION("""COMPUTED_VALUE"""),"Dubai&gt;Jumeirah Lake Towers (JLT)&gt;JLT Cluster M")</f>
        <v>Dubai&gt;Jumeirah Lake Towers (JLT)&gt;JLT Cluster M</v>
      </c>
      <c r="E12078" s="2"/>
      <c r="F12078" s="2"/>
      <c r="G12078" s="2"/>
      <c r="H12078" s="2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2"/>
      <c r="T12078" s="2"/>
      <c r="U12078" s="2"/>
      <c r="V12078" s="2"/>
      <c r="W12078" s="2"/>
      <c r="X12078" s="2"/>
      <c r="Y12078" s="2"/>
      <c r="Z12078" s="2"/>
    </row>
    <row r="12079" spans="1:26" ht="16.5" x14ac:dyDescent="0.35">
      <c r="A12079" s="2" t="str">
        <f ca="1">IFERROR(__xludf.DUMMYFUNCTION("""COMPUTED_VALUE"""),"Dubai")</f>
        <v>Dubai</v>
      </c>
      <c r="B12079" s="2" t="str">
        <f ca="1">IFERROR(__xludf.DUMMYFUNCTION("""COMPUTED_VALUE"""),"One Lake Plaza")</f>
        <v>One Lake Plaza</v>
      </c>
      <c r="C12079" s="2" t="str">
        <f ca="1">IFERROR(__xludf.DUMMYFUNCTION("""COMPUTED_VALUE"""),"Building")</f>
        <v>Building</v>
      </c>
      <c r="D12079" s="2" t="str">
        <f ca="1">IFERROR(__xludf.DUMMYFUNCTION("""COMPUTED_VALUE"""),"Dubai&gt;Jumeirah Lake Towers (JLT)&gt;JLT Cluster T&gt;One Lake Plaza")</f>
        <v>Dubai&gt;Jumeirah Lake Towers (JLT)&gt;JLT Cluster T&gt;One Lake Plaza</v>
      </c>
      <c r="E12079" s="2"/>
      <c r="F12079" s="2"/>
      <c r="G12079" s="2"/>
      <c r="H12079" s="2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2"/>
      <c r="T12079" s="2"/>
      <c r="U12079" s="2"/>
      <c r="V12079" s="2"/>
      <c r="W12079" s="2"/>
      <c r="X12079" s="2"/>
      <c r="Y12079" s="2"/>
      <c r="Z12079" s="2"/>
    </row>
    <row r="12080" spans="1:26" ht="16.5" x14ac:dyDescent="0.35">
      <c r="A12080" s="2" t="str">
        <f ca="1">IFERROR(__xludf.DUMMYFUNCTION("""COMPUTED_VALUE"""),"Dubai")</f>
        <v>Dubai</v>
      </c>
      <c r="B12080" s="2" t="str">
        <f ca="1">IFERROR(__xludf.DUMMYFUNCTION("""COMPUTED_VALUE"""),"Upper House West")</f>
        <v>Upper House West</v>
      </c>
      <c r="C12080" s="2" t="str">
        <f ca="1">IFERROR(__xludf.DUMMYFUNCTION("""COMPUTED_VALUE"""),"Building")</f>
        <v>Building</v>
      </c>
      <c r="D12080" s="2" t="str">
        <f ca="1">IFERROR(__xludf.DUMMYFUNCTION("""COMPUTED_VALUE"""),"Dubai&gt;Jumeirah Lake Towers (JLT)&gt;Upper House&gt;Upper House West")</f>
        <v>Dubai&gt;Jumeirah Lake Towers (JLT)&gt;Upper House&gt;Upper House West</v>
      </c>
      <c r="E12080" s="2"/>
      <c r="F12080" s="2"/>
      <c r="G12080" s="2"/>
      <c r="H12080" s="2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2"/>
      <c r="T12080" s="2"/>
      <c r="U12080" s="2"/>
      <c r="V12080" s="2"/>
      <c r="W12080" s="2"/>
      <c r="X12080" s="2"/>
      <c r="Y12080" s="2"/>
      <c r="Z12080" s="2"/>
    </row>
    <row r="12081" spans="1:26" ht="16.5" x14ac:dyDescent="0.35">
      <c r="A12081" s="2" t="str">
        <f ca="1">IFERROR(__xludf.DUMMYFUNCTION("""COMPUTED_VALUE"""),"Dubai")</f>
        <v>Dubai</v>
      </c>
      <c r="B12081" s="2" t="str">
        <f ca="1">IFERROR(__xludf.DUMMYFUNCTION("""COMPUTED_VALUE"""),"Mudon Al Ranim 4")</f>
        <v>Mudon Al Ranim 4</v>
      </c>
      <c r="C12081" s="2" t="str">
        <f ca="1">IFERROR(__xludf.DUMMYFUNCTION("""COMPUTED_VALUE"""),"Neighbourhood")</f>
        <v>Neighbourhood</v>
      </c>
      <c r="D12081" s="2" t="str">
        <f ca="1">IFERROR(__xludf.DUMMYFUNCTION("""COMPUTED_VALUE"""),"Dubai&gt;Mudon&gt;Mudon Al Ranim&gt;Mudon Al Ranim 4")</f>
        <v>Dubai&gt;Mudon&gt;Mudon Al Ranim&gt;Mudon Al Ranim 4</v>
      </c>
      <c r="E12081" s="2"/>
      <c r="F12081" s="2"/>
      <c r="G12081" s="2"/>
      <c r="H12081" s="2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2"/>
      <c r="T12081" s="2"/>
      <c r="U12081" s="2"/>
      <c r="V12081" s="2"/>
      <c r="W12081" s="2"/>
      <c r="X12081" s="2"/>
      <c r="Y12081" s="2"/>
      <c r="Z12081" s="2"/>
    </row>
    <row r="12082" spans="1:26" ht="16.5" x14ac:dyDescent="0.35">
      <c r="A12082" s="2" t="str">
        <f ca="1">IFERROR(__xludf.DUMMYFUNCTION("""COMPUTED_VALUE"""),"Dubai")</f>
        <v>Dubai</v>
      </c>
      <c r="B12082" s="2" t="str">
        <f ca="1">IFERROR(__xludf.DUMMYFUNCTION("""COMPUTED_VALUE"""),"Al Fattan Downtown Towers")</f>
        <v>Al Fattan Downtown Towers</v>
      </c>
      <c r="C12082" s="2" t="str">
        <f ca="1">IFERROR(__xludf.DUMMYFUNCTION("""COMPUTED_VALUE"""),"Cluster")</f>
        <v>Cluster</v>
      </c>
      <c r="D12082" s="2" t="str">
        <f ca="1">IFERROR(__xludf.DUMMYFUNCTION("""COMPUTED_VALUE"""),"Dubai&gt;Al Satwa&gt;Al Fattan Downtown Towers")</f>
        <v>Dubai&gt;Al Satwa&gt;Al Fattan Downtown Towers</v>
      </c>
      <c r="E12082" s="2"/>
      <c r="F12082" s="2"/>
      <c r="G12082" s="2"/>
      <c r="H12082" s="2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2"/>
      <c r="T12082" s="2"/>
      <c r="U12082" s="2"/>
      <c r="V12082" s="2"/>
      <c r="W12082" s="2"/>
      <c r="X12082" s="2"/>
      <c r="Y12082" s="2"/>
      <c r="Z12082" s="2"/>
    </row>
    <row r="12083" spans="1:26" ht="16.5" x14ac:dyDescent="0.35">
      <c r="A12083" s="2" t="str">
        <f ca="1">IFERROR(__xludf.DUMMYFUNCTION("""COMPUTED_VALUE"""),"Dubai")</f>
        <v>Dubai</v>
      </c>
      <c r="B12083" s="2" t="str">
        <f ca="1">IFERROR(__xludf.DUMMYFUNCTION("""COMPUTED_VALUE"""),"Shada Hotel")</f>
        <v>Shada Hotel</v>
      </c>
      <c r="C12083" s="2" t="str">
        <f ca="1">IFERROR(__xludf.DUMMYFUNCTION("""COMPUTED_VALUE"""),"Building")</f>
        <v>Building</v>
      </c>
      <c r="D12083" s="2" t="str">
        <f ca="1">IFERROR(__xludf.DUMMYFUNCTION("""COMPUTED_VALUE"""),"Dubai&gt;Al Satwa&gt;Jumeirah Garden City&gt;Shada Hotel")</f>
        <v>Dubai&gt;Al Satwa&gt;Jumeirah Garden City&gt;Shada Hotel</v>
      </c>
      <c r="E12083" s="2"/>
      <c r="F12083" s="2"/>
      <c r="G12083" s="2"/>
      <c r="H12083" s="2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2"/>
      <c r="T12083" s="2"/>
      <c r="U12083" s="2"/>
      <c r="V12083" s="2"/>
      <c r="W12083" s="2"/>
      <c r="X12083" s="2"/>
      <c r="Y12083" s="2"/>
      <c r="Z12083" s="2"/>
    </row>
    <row r="12084" spans="1:26" ht="16.5" x14ac:dyDescent="0.35">
      <c r="A12084" s="2" t="str">
        <f ca="1">IFERROR(__xludf.DUMMYFUNCTION("""COMPUTED_VALUE"""),"Dubai")</f>
        <v>Dubai</v>
      </c>
      <c r="B12084" s="2" t="str">
        <f ca="1">IFERROR(__xludf.DUMMYFUNCTION("""COMPUTED_VALUE"""),"DGM Vision")</f>
        <v>DGM Vision</v>
      </c>
      <c r="C12084" s="2" t="str">
        <f ca="1">IFERROR(__xludf.DUMMYFUNCTION("""COMPUTED_VALUE"""),"Building")</f>
        <v>Building</v>
      </c>
      <c r="D12084" s="2" t="str">
        <f ca="1">IFERROR(__xludf.DUMMYFUNCTION("""COMPUTED_VALUE"""),"Dubai&gt;Al Satwa&gt;Jumeirah Garden City&gt;DGM Vision")</f>
        <v>Dubai&gt;Al Satwa&gt;Jumeirah Garden City&gt;DGM Vision</v>
      </c>
      <c r="E12084" s="2"/>
      <c r="F12084" s="2"/>
      <c r="G12084" s="2"/>
      <c r="H12084" s="2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2"/>
      <c r="T12084" s="2"/>
      <c r="U12084" s="2"/>
      <c r="V12084" s="2"/>
      <c r="W12084" s="2"/>
      <c r="X12084" s="2"/>
      <c r="Y12084" s="2"/>
      <c r="Z12084" s="2"/>
    </row>
    <row r="12085" spans="1:26" ht="16.5" x14ac:dyDescent="0.35">
      <c r="A12085" s="2" t="str">
        <f ca="1">IFERROR(__xludf.DUMMYFUNCTION("""COMPUTED_VALUE"""),"Dubai")</f>
        <v>Dubai</v>
      </c>
      <c r="B12085" s="2" t="str">
        <f ca="1">IFERROR(__xludf.DUMMYFUNCTION("""COMPUTED_VALUE"""),"Elmora")</f>
        <v>Elmora</v>
      </c>
      <c r="C12085" s="2" t="str">
        <f ca="1">IFERROR(__xludf.DUMMYFUNCTION("""COMPUTED_VALUE"""),"Building")</f>
        <v>Building</v>
      </c>
      <c r="D12085" s="2" t="str">
        <f ca="1">IFERROR(__xludf.DUMMYFUNCTION("""COMPUTED_VALUE"""),"Dubai&gt;Al Satwa&gt;Jumeirah Garden City&gt;Elmora")</f>
        <v>Dubai&gt;Al Satwa&gt;Jumeirah Garden City&gt;Elmora</v>
      </c>
      <c r="E12085" s="2"/>
      <c r="F12085" s="2"/>
      <c r="G12085" s="2"/>
      <c r="H12085" s="2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2"/>
      <c r="T12085" s="2"/>
      <c r="U12085" s="2"/>
      <c r="V12085" s="2"/>
      <c r="W12085" s="2"/>
      <c r="X12085" s="2"/>
      <c r="Y12085" s="2"/>
      <c r="Z12085" s="2"/>
    </row>
    <row r="12086" spans="1:26" ht="16.5" x14ac:dyDescent="0.35">
      <c r="A12086" s="2" t="str">
        <f ca="1">IFERROR(__xludf.DUMMYFUNCTION("""COMPUTED_VALUE"""),"Dubai")</f>
        <v>Dubai</v>
      </c>
      <c r="B12086" s="2" t="str">
        <f ca="1">IFERROR(__xludf.DUMMYFUNCTION("""COMPUTED_VALUE"""),"GEMS Founders School Al Mizhar")</f>
        <v>GEMS Founders School Al Mizhar</v>
      </c>
      <c r="C12086" s="2" t="str">
        <f ca="1">IFERROR(__xludf.DUMMYFUNCTION("""COMPUTED_VALUE"""),"School")</f>
        <v>School</v>
      </c>
      <c r="D12086" s="2" t="str">
        <f ca="1">IFERROR(__xludf.DUMMYFUNCTION("""COMPUTED_VALUE"""),"Dubai&gt;Al Mizhar&gt;Al Mizhar 1&gt;GEMS Founders School Al Mizhar")</f>
        <v>Dubai&gt;Al Mizhar&gt;Al Mizhar 1&gt;GEMS Founders School Al Mizhar</v>
      </c>
      <c r="E12086" s="2"/>
      <c r="F12086" s="2"/>
      <c r="G12086" s="2"/>
      <c r="H12086" s="2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2"/>
      <c r="T12086" s="2"/>
      <c r="U12086" s="2"/>
      <c r="V12086" s="2"/>
      <c r="W12086" s="2"/>
      <c r="X12086" s="2"/>
      <c r="Y12086" s="2"/>
      <c r="Z12086" s="2"/>
    </row>
    <row r="12087" spans="1:26" ht="16.5" x14ac:dyDescent="0.35">
      <c r="A12087" s="2" t="str">
        <f ca="1">IFERROR(__xludf.DUMMYFUNCTION("""COMPUTED_VALUE"""),"Dubai")</f>
        <v>Dubai</v>
      </c>
      <c r="B12087" s="2" t="str">
        <f ca="1">IFERROR(__xludf.DUMMYFUNCTION("""COMPUTED_VALUE"""),"Building 123")</f>
        <v>Building 123</v>
      </c>
      <c r="C12087" s="2" t="str">
        <f ca="1">IFERROR(__xludf.DUMMYFUNCTION("""COMPUTED_VALUE"""),"Building")</f>
        <v>Building</v>
      </c>
      <c r="D12087" s="2" t="str">
        <f ca="1">IFERROR(__xludf.DUMMYFUNCTION("""COMPUTED_VALUE"""),"Dubai&gt;Discovery Gardens&gt;Contemporary&gt;Building 123")</f>
        <v>Dubai&gt;Discovery Gardens&gt;Contemporary&gt;Building 123</v>
      </c>
      <c r="E12087" s="2"/>
      <c r="F12087" s="2"/>
      <c r="G12087" s="2"/>
      <c r="H12087" s="2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2"/>
      <c r="T12087" s="2"/>
      <c r="U12087" s="2"/>
      <c r="V12087" s="2"/>
      <c r="W12087" s="2"/>
      <c r="X12087" s="2"/>
      <c r="Y12087" s="2"/>
      <c r="Z12087" s="2"/>
    </row>
    <row r="12088" spans="1:26" ht="16.5" x14ac:dyDescent="0.35">
      <c r="A12088" s="2" t="str">
        <f ca="1">IFERROR(__xludf.DUMMYFUNCTION("""COMPUTED_VALUE"""),"Dubai")</f>
        <v>Dubai</v>
      </c>
      <c r="B12088" s="2" t="str">
        <f ca="1">IFERROR(__xludf.DUMMYFUNCTION("""COMPUTED_VALUE"""),"Building 241")</f>
        <v>Building 241</v>
      </c>
      <c r="C12088" s="2" t="str">
        <f ca="1">IFERROR(__xludf.DUMMYFUNCTION("""COMPUTED_VALUE"""),"Building")</f>
        <v>Building</v>
      </c>
      <c r="D12088" s="2" t="str">
        <f ca="1">IFERROR(__xludf.DUMMYFUNCTION("""COMPUTED_VALUE"""),"Dubai&gt;Discovery Gardens&gt;Mesoamerican&gt;Building 241")</f>
        <v>Dubai&gt;Discovery Gardens&gt;Mesoamerican&gt;Building 241</v>
      </c>
      <c r="E12088" s="2"/>
      <c r="F12088" s="2"/>
      <c r="G12088" s="2"/>
      <c r="H12088" s="2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2"/>
      <c r="T12088" s="2"/>
      <c r="U12088" s="2"/>
      <c r="V12088" s="2"/>
      <c r="W12088" s="2"/>
      <c r="X12088" s="2"/>
      <c r="Y12088" s="2"/>
      <c r="Z12088" s="2"/>
    </row>
    <row r="12089" spans="1:26" ht="16.5" x14ac:dyDescent="0.35">
      <c r="A12089" s="2" t="str">
        <f ca="1">IFERROR(__xludf.DUMMYFUNCTION("""COMPUTED_VALUE"""),"Dubai")</f>
        <v>Dubai</v>
      </c>
      <c r="B12089" s="2" t="str">
        <f ca="1">IFERROR(__xludf.DUMMYFUNCTION("""COMPUTED_VALUE"""),"Building 232")</f>
        <v>Building 232</v>
      </c>
      <c r="C12089" s="2" t="str">
        <f ca="1">IFERROR(__xludf.DUMMYFUNCTION("""COMPUTED_VALUE"""),"Building")</f>
        <v>Building</v>
      </c>
      <c r="D12089" s="2" t="str">
        <f ca="1">IFERROR(__xludf.DUMMYFUNCTION("""COMPUTED_VALUE"""),"Dubai&gt;Discovery Gardens&gt;Mogul&gt;Building 232")</f>
        <v>Dubai&gt;Discovery Gardens&gt;Mogul&gt;Building 232</v>
      </c>
      <c r="E12089" s="2"/>
      <c r="F12089" s="2"/>
      <c r="G12089" s="2"/>
      <c r="H12089" s="2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2"/>
      <c r="T12089" s="2"/>
      <c r="U12089" s="2"/>
      <c r="V12089" s="2"/>
      <c r="W12089" s="2"/>
      <c r="X12089" s="2"/>
      <c r="Y12089" s="2"/>
      <c r="Z12089" s="2"/>
    </row>
    <row r="12090" spans="1:26" ht="16.5" x14ac:dyDescent="0.35">
      <c r="A12090" s="2" t="str">
        <f ca="1">IFERROR(__xludf.DUMMYFUNCTION("""COMPUTED_VALUE"""),"Dubai")</f>
        <v>Dubai</v>
      </c>
      <c r="B12090" s="2" t="str">
        <f ca="1">IFERROR(__xludf.DUMMYFUNCTION("""COMPUTED_VALUE"""),"Building 2")</f>
        <v>Building 2</v>
      </c>
      <c r="C12090" s="2" t="str">
        <f ca="1">IFERROR(__xludf.DUMMYFUNCTION("""COMPUTED_VALUE"""),"Building")</f>
        <v>Building</v>
      </c>
      <c r="D12090" s="2" t="str">
        <f ca="1">IFERROR(__xludf.DUMMYFUNCTION("""COMPUTED_VALUE"""),"Dubai&gt;Discovery Gardens&gt;Zen Cluster&gt;Building 2")</f>
        <v>Dubai&gt;Discovery Gardens&gt;Zen Cluster&gt;Building 2</v>
      </c>
      <c r="E12090" s="2"/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2"/>
      <c r="T12090" s="2"/>
      <c r="U12090" s="2"/>
      <c r="V12090" s="2"/>
      <c r="W12090" s="2"/>
      <c r="X12090" s="2"/>
      <c r="Y12090" s="2"/>
      <c r="Z12090" s="2"/>
    </row>
    <row r="12091" spans="1:26" ht="16.5" x14ac:dyDescent="0.35">
      <c r="A12091" s="2" t="str">
        <f ca="1">IFERROR(__xludf.DUMMYFUNCTION("""COMPUTED_VALUE"""),"Dubai")</f>
        <v>Dubai</v>
      </c>
      <c r="B12091" s="2" t="str">
        <f ca="1">IFERROR(__xludf.DUMMYFUNCTION("""COMPUTED_VALUE"""),"Chelsea Gardens")</f>
        <v>Chelsea Gardens</v>
      </c>
      <c r="C12091" s="2" t="str">
        <f ca="1">IFERROR(__xludf.DUMMYFUNCTION("""COMPUTED_VALUE"""),"Building")</f>
        <v>Building</v>
      </c>
      <c r="D12091" s="2" t="str">
        <f ca="1">IFERROR(__xludf.DUMMYFUNCTION("""COMPUTED_VALUE"""),"Dubai&gt;Discovery Gardens&gt;Zen Cluster&gt;Chelsea Gardens")</f>
        <v>Dubai&gt;Discovery Gardens&gt;Zen Cluster&gt;Chelsea Gardens</v>
      </c>
      <c r="E12091" s="2"/>
      <c r="F12091" s="2"/>
      <c r="G12091" s="2"/>
      <c r="H12091" s="2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2"/>
      <c r="T12091" s="2"/>
      <c r="U12091" s="2"/>
      <c r="V12091" s="2"/>
      <c r="W12091" s="2"/>
      <c r="X12091" s="2"/>
      <c r="Y12091" s="2"/>
      <c r="Z12091" s="2"/>
    </row>
    <row r="12092" spans="1:26" ht="16.5" x14ac:dyDescent="0.35">
      <c r="A12092" s="2" t="str">
        <f ca="1">IFERROR(__xludf.DUMMYFUNCTION("""COMPUTED_VALUE"""),"Dubai")</f>
        <v>Dubai</v>
      </c>
      <c r="B12092" s="2" t="str">
        <f ca="1">IFERROR(__xludf.DUMMYFUNCTION("""COMPUTED_VALUE"""),"Building 44")</f>
        <v>Building 44</v>
      </c>
      <c r="C12092" s="2" t="str">
        <f ca="1">IFERROR(__xludf.DUMMYFUNCTION("""COMPUTED_VALUE"""),"Building")</f>
        <v>Building</v>
      </c>
      <c r="D12092" s="2" t="str">
        <f ca="1">IFERROR(__xludf.DUMMYFUNCTION("""COMPUTED_VALUE"""),"Dubai&gt;Discovery Gardens&gt;Mediterranean&gt;Building 44")</f>
        <v>Dubai&gt;Discovery Gardens&gt;Mediterranean&gt;Building 44</v>
      </c>
      <c r="E12092" s="2"/>
      <c r="F12092" s="2"/>
      <c r="G12092" s="2"/>
      <c r="H12092" s="2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2"/>
      <c r="T12092" s="2"/>
      <c r="U12092" s="2"/>
      <c r="V12092" s="2"/>
      <c r="W12092" s="2"/>
      <c r="X12092" s="2"/>
      <c r="Y12092" s="2"/>
      <c r="Z12092" s="2"/>
    </row>
    <row r="12093" spans="1:26" ht="16.5" x14ac:dyDescent="0.35">
      <c r="A12093" s="2" t="str">
        <f ca="1">IFERROR(__xludf.DUMMYFUNCTION("""COMPUTED_VALUE"""),"Dubai")</f>
        <v>Dubai</v>
      </c>
      <c r="B12093" s="2" t="str">
        <f ca="1">IFERROR(__xludf.DUMMYFUNCTION("""COMPUTED_VALUE"""),"Building 96")</f>
        <v>Building 96</v>
      </c>
      <c r="C12093" s="2" t="str">
        <f ca="1">IFERROR(__xludf.DUMMYFUNCTION("""COMPUTED_VALUE"""),"Building")</f>
        <v>Building</v>
      </c>
      <c r="D12093" s="2" t="str">
        <f ca="1">IFERROR(__xludf.DUMMYFUNCTION("""COMPUTED_VALUE"""),"Dubai&gt;Discovery Gardens&gt;Mediterranean&gt;Building 96")</f>
        <v>Dubai&gt;Discovery Gardens&gt;Mediterranean&gt;Building 96</v>
      </c>
      <c r="E12093" s="2"/>
      <c r="F12093" s="2"/>
      <c r="G12093" s="2"/>
      <c r="H12093" s="2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2"/>
      <c r="T12093" s="2"/>
      <c r="U12093" s="2"/>
      <c r="V12093" s="2"/>
      <c r="W12093" s="2"/>
      <c r="X12093" s="2"/>
      <c r="Y12093" s="2"/>
      <c r="Z12093" s="2"/>
    </row>
    <row r="12094" spans="1:26" ht="16.5" x14ac:dyDescent="0.35">
      <c r="A12094" s="2" t="str">
        <f ca="1">IFERROR(__xludf.DUMMYFUNCTION("""COMPUTED_VALUE"""),"Dubai")</f>
        <v>Dubai</v>
      </c>
      <c r="B12094" s="2" t="str">
        <f ca="1">IFERROR(__xludf.DUMMYFUNCTION("""COMPUTED_VALUE"""),"Royal Bay by Azizi")</f>
        <v>Royal Bay by Azizi</v>
      </c>
      <c r="C12094" s="2" t="str">
        <f ca="1">IFERROR(__xludf.DUMMYFUNCTION("""COMPUTED_VALUE"""),"Building")</f>
        <v>Building</v>
      </c>
      <c r="D12094" s="2" t="str">
        <f ca="1">IFERROR(__xludf.DUMMYFUNCTION("""COMPUTED_VALUE"""),"Dubai&gt;Palm Jumeirah&gt;Royal Bay by Azizi")</f>
        <v>Dubai&gt;Palm Jumeirah&gt;Royal Bay by Azizi</v>
      </c>
      <c r="E12094" s="2"/>
      <c r="F12094" s="2"/>
      <c r="G12094" s="2"/>
      <c r="H12094" s="2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2"/>
      <c r="T12094" s="2"/>
      <c r="U12094" s="2"/>
      <c r="V12094" s="2"/>
      <c r="W12094" s="2"/>
      <c r="X12094" s="2"/>
      <c r="Y12094" s="2"/>
      <c r="Z12094" s="2"/>
    </row>
    <row r="12095" spans="1:26" ht="16.5" x14ac:dyDescent="0.35">
      <c r="A12095" s="2" t="str">
        <f ca="1">IFERROR(__xludf.DUMMYFUNCTION("""COMPUTED_VALUE"""),"Dubai")</f>
        <v>Dubai</v>
      </c>
      <c r="B12095" s="2" t="str">
        <f ca="1">IFERROR(__xludf.DUMMYFUNCTION("""COMPUTED_VALUE"""),"Diamond")</f>
        <v>Diamond</v>
      </c>
      <c r="C12095" s="2" t="str">
        <f ca="1">IFERROR(__xludf.DUMMYFUNCTION("""COMPUTED_VALUE"""),"Building")</f>
        <v>Building</v>
      </c>
      <c r="D12095" s="2" t="str">
        <f ca="1">IFERROR(__xludf.DUMMYFUNCTION("""COMPUTED_VALUE"""),"Dubai&gt;Palm Jumeirah&gt;Tiara Residences&gt;Diamond")</f>
        <v>Dubai&gt;Palm Jumeirah&gt;Tiara Residences&gt;Diamond</v>
      </c>
      <c r="E12095" s="2"/>
      <c r="F12095" s="2"/>
      <c r="G12095" s="2"/>
      <c r="H12095" s="2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2"/>
      <c r="T12095" s="2"/>
      <c r="U12095" s="2"/>
      <c r="V12095" s="2"/>
      <c r="W12095" s="2"/>
      <c r="X12095" s="2"/>
      <c r="Y12095" s="2"/>
      <c r="Z12095" s="2"/>
    </row>
    <row r="12096" spans="1:26" ht="16.5" x14ac:dyDescent="0.35">
      <c r="A12096" s="2" t="str">
        <f ca="1">IFERROR(__xludf.DUMMYFUNCTION("""COMPUTED_VALUE"""),"Dubai")</f>
        <v>Dubai</v>
      </c>
      <c r="B12096" s="2" t="str">
        <f ca="1">IFERROR(__xludf.DUMMYFUNCTION("""COMPUTED_VALUE"""),"Golden Mile 4")</f>
        <v>Golden Mile 4</v>
      </c>
      <c r="C12096" s="2" t="str">
        <f ca="1">IFERROR(__xludf.DUMMYFUNCTION("""COMPUTED_VALUE"""),"Building")</f>
        <v>Building</v>
      </c>
      <c r="D12096" s="2" t="str">
        <f ca="1">IFERROR(__xludf.DUMMYFUNCTION("""COMPUTED_VALUE"""),"Dubai&gt;Palm Jumeirah&gt;Golden Mile&gt;Golden Mile 4")</f>
        <v>Dubai&gt;Palm Jumeirah&gt;Golden Mile&gt;Golden Mile 4</v>
      </c>
      <c r="E12096" s="2"/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2"/>
      <c r="T12096" s="2"/>
      <c r="U12096" s="2"/>
      <c r="V12096" s="2"/>
      <c r="W12096" s="2"/>
      <c r="X12096" s="2"/>
      <c r="Y12096" s="2"/>
      <c r="Z12096" s="2"/>
    </row>
    <row r="12097" spans="1:26" ht="16.5" x14ac:dyDescent="0.35">
      <c r="A12097" s="2" t="str">
        <f ca="1">IFERROR(__xludf.DUMMYFUNCTION("""COMPUTED_VALUE"""),"Dubai")</f>
        <v>Dubai</v>
      </c>
      <c r="B12097" s="2" t="str">
        <f ca="1">IFERROR(__xludf.DUMMYFUNCTION("""COMPUTED_VALUE"""),"Mughal")</f>
        <v>Mughal</v>
      </c>
      <c r="C12097" s="2" t="str">
        <f ca="1">IFERROR(__xludf.DUMMYFUNCTION("""COMPUTED_VALUE"""),"Building")</f>
        <v>Building</v>
      </c>
      <c r="D12097" s="2" t="str">
        <f ca="1">IFERROR(__xludf.DUMMYFUNCTION("""COMPUTED_VALUE"""),"Dubai&gt;Palm Jumeirah&gt;The Crescent&gt;The Grandeur Residences&gt;Mughal")</f>
        <v>Dubai&gt;Palm Jumeirah&gt;The Crescent&gt;The Grandeur Residences&gt;Mughal</v>
      </c>
      <c r="E12097" s="2"/>
      <c r="F12097" s="2"/>
      <c r="G12097" s="2"/>
      <c r="H12097" s="2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2"/>
      <c r="T12097" s="2"/>
      <c r="U12097" s="2"/>
      <c r="V12097" s="2"/>
      <c r="W12097" s="2"/>
      <c r="X12097" s="2"/>
      <c r="Y12097" s="2"/>
      <c r="Z12097" s="2"/>
    </row>
    <row r="12098" spans="1:26" ht="16.5" x14ac:dyDescent="0.35">
      <c r="A12098" s="2" t="str">
        <f ca="1">IFERROR(__xludf.DUMMYFUNCTION("""COMPUTED_VALUE"""),"Dubai")</f>
        <v>Dubai</v>
      </c>
      <c r="B12098" s="2" t="str">
        <f ca="1">IFERROR(__xludf.DUMMYFUNCTION("""COMPUTED_VALUE"""),"Garden Homes Frond C")</f>
        <v>Garden Homes Frond C</v>
      </c>
      <c r="C12098" s="2" t="str">
        <f ca="1">IFERROR(__xludf.DUMMYFUNCTION("""COMPUTED_VALUE"""),"Neighbourhood")</f>
        <v>Neighbourhood</v>
      </c>
      <c r="D12098" s="2" t="str">
        <f ca="1">IFERROR(__xludf.DUMMYFUNCTION("""COMPUTED_VALUE"""),"Dubai&gt;Palm Jumeirah&gt;Garden Homes Palm Jumeirah&gt;Garden Homes Frond C")</f>
        <v>Dubai&gt;Palm Jumeirah&gt;Garden Homes Palm Jumeirah&gt;Garden Homes Frond C</v>
      </c>
      <c r="E12098" s="2"/>
      <c r="F12098" s="2"/>
      <c r="G12098" s="2"/>
      <c r="H12098" s="2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2"/>
      <c r="T12098" s="2"/>
      <c r="U12098" s="2"/>
      <c r="V12098" s="2"/>
      <c r="W12098" s="2"/>
      <c r="X12098" s="2"/>
      <c r="Y12098" s="2"/>
      <c r="Z12098" s="2"/>
    </row>
    <row r="12099" spans="1:26" ht="16.5" x14ac:dyDescent="0.35">
      <c r="A12099" s="2" t="str">
        <f ca="1">IFERROR(__xludf.DUMMYFUNCTION("""COMPUTED_VALUE"""),"Dubai")</f>
        <v>Dubai</v>
      </c>
      <c r="B12099" s="2" t="str">
        <f ca="1">IFERROR(__xludf.DUMMYFUNCTION("""COMPUTED_VALUE"""),"Serenia Residences The Palm")</f>
        <v>Serenia Residences The Palm</v>
      </c>
      <c r="C12099" s="2" t="str">
        <f ca="1">IFERROR(__xludf.DUMMYFUNCTION("""COMPUTED_VALUE"""),"Cluster")</f>
        <v>Cluster</v>
      </c>
      <c r="D12099" s="2" t="str">
        <f ca="1">IFERROR(__xludf.DUMMYFUNCTION("""COMPUTED_VALUE"""),"Dubai&gt;Palm Jumeirah&gt;Serenia Residences The Palm")</f>
        <v>Dubai&gt;Palm Jumeirah&gt;Serenia Residences The Palm</v>
      </c>
      <c r="E12099" s="2"/>
      <c r="F12099" s="2"/>
      <c r="G12099" s="2"/>
      <c r="H12099" s="2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2"/>
      <c r="T12099" s="2"/>
      <c r="U12099" s="2"/>
      <c r="V12099" s="2"/>
      <c r="W12099" s="2"/>
      <c r="X12099" s="2"/>
      <c r="Y12099" s="2"/>
      <c r="Z12099" s="2"/>
    </row>
    <row r="12100" spans="1:26" ht="16.5" x14ac:dyDescent="0.35">
      <c r="A12100" s="2" t="str">
        <f ca="1">IFERROR(__xludf.DUMMYFUNCTION("""COMPUTED_VALUE"""),"Dubai")</f>
        <v>Dubai</v>
      </c>
      <c r="B12100" s="2" t="str">
        <f ca="1">IFERROR(__xludf.DUMMYFUNCTION("""COMPUTED_VALUE"""),"Radisson Beach Resort Palm Jumeirah")</f>
        <v>Radisson Beach Resort Palm Jumeirah</v>
      </c>
      <c r="C12100" s="2" t="str">
        <f ca="1">IFERROR(__xludf.DUMMYFUNCTION("""COMPUTED_VALUE"""),"Building")</f>
        <v>Building</v>
      </c>
      <c r="D12100" s="2" t="str">
        <f ca="1">IFERROR(__xludf.DUMMYFUNCTION("""COMPUTED_VALUE"""),"Dubai&gt;Palm Jumeirah&gt;Radisson Beach Resort Palm Jumeirah")</f>
        <v>Dubai&gt;Palm Jumeirah&gt;Radisson Beach Resort Palm Jumeirah</v>
      </c>
      <c r="E12100" s="2"/>
      <c r="F12100" s="2"/>
      <c r="G12100" s="2"/>
      <c r="H12100" s="2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2"/>
      <c r="T12100" s="2"/>
      <c r="U12100" s="2"/>
      <c r="V12100" s="2"/>
      <c r="W12100" s="2"/>
      <c r="X12100" s="2"/>
      <c r="Y12100" s="2"/>
      <c r="Z12100" s="2"/>
    </row>
    <row r="12101" spans="1:26" ht="16.5" x14ac:dyDescent="0.35">
      <c r="A12101" s="2" t="str">
        <f ca="1">IFERROR(__xludf.DUMMYFUNCTION("""COMPUTED_VALUE"""),"Dubai")</f>
        <v>Dubai</v>
      </c>
      <c r="B12101" s="2" t="str">
        <f ca="1">IFERROR(__xludf.DUMMYFUNCTION("""COMPUTED_VALUE"""),"Jadaf Western Residence")</f>
        <v>Jadaf Western Residence</v>
      </c>
      <c r="C12101" s="2" t="str">
        <f ca="1">IFERROR(__xludf.DUMMYFUNCTION("""COMPUTED_VALUE"""),"Building")</f>
        <v>Building</v>
      </c>
      <c r="D12101" s="2" t="str">
        <f ca="1">IFERROR(__xludf.DUMMYFUNCTION("""COMPUTED_VALUE"""),"Dubai&gt;Al Jaddaf&gt;Jadaf Western Residence")</f>
        <v>Dubai&gt;Al Jaddaf&gt;Jadaf Western Residence</v>
      </c>
      <c r="E12101" s="2"/>
      <c r="F12101" s="2"/>
      <c r="G12101" s="2"/>
      <c r="H12101" s="2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2"/>
      <c r="T12101" s="2"/>
      <c r="U12101" s="2"/>
      <c r="V12101" s="2"/>
      <c r="W12101" s="2"/>
      <c r="X12101" s="2"/>
      <c r="Y12101" s="2"/>
      <c r="Z12101" s="2"/>
    </row>
    <row r="12102" spans="1:26" ht="16.5" x14ac:dyDescent="0.35">
      <c r="A12102" s="2" t="str">
        <f ca="1">IFERROR(__xludf.DUMMYFUNCTION("""COMPUTED_VALUE"""),"Dubai")</f>
        <v>Dubai</v>
      </c>
      <c r="B12102" s="2" t="str">
        <f ca="1">IFERROR(__xludf.DUMMYFUNCTION("""COMPUTED_VALUE"""),"Maysoon 3")</f>
        <v>Maysoon 3</v>
      </c>
      <c r="C12102" s="2" t="str">
        <f ca="1">IFERROR(__xludf.DUMMYFUNCTION("""COMPUTED_VALUE"""),"Building")</f>
        <v>Building</v>
      </c>
      <c r="D12102" s="2" t="str">
        <f ca="1">IFERROR(__xludf.DUMMYFUNCTION("""COMPUTED_VALUE"""),"Dubai&gt;Al Jaddaf&gt;Maysoon 3")</f>
        <v>Dubai&gt;Al Jaddaf&gt;Maysoon 3</v>
      </c>
      <c r="E12102" s="2"/>
      <c r="F12102" s="2"/>
      <c r="G12102" s="2"/>
      <c r="H12102" s="2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2"/>
      <c r="T12102" s="2"/>
      <c r="U12102" s="2"/>
      <c r="V12102" s="2"/>
      <c r="W12102" s="2"/>
      <c r="X12102" s="2"/>
      <c r="Y12102" s="2"/>
      <c r="Z12102" s="2"/>
    </row>
    <row r="12103" spans="1:26" ht="16.5" x14ac:dyDescent="0.35">
      <c r="A12103" s="2" t="str">
        <f ca="1">IFERROR(__xludf.DUMMYFUNCTION("""COMPUTED_VALUE"""),"Dubai")</f>
        <v>Dubai</v>
      </c>
      <c r="B12103" s="2" t="str">
        <f ca="1">IFERROR(__xludf.DUMMYFUNCTION("""COMPUTED_VALUE"""),"SB Building")</f>
        <v>SB Building</v>
      </c>
      <c r="C12103" s="2" t="str">
        <f ca="1">IFERROR(__xludf.DUMMYFUNCTION("""COMPUTED_VALUE"""),"Building")</f>
        <v>Building</v>
      </c>
      <c r="D12103" s="2" t="str">
        <f ca="1">IFERROR(__xludf.DUMMYFUNCTION("""COMPUTED_VALUE"""),"Dubai&gt;Al Jaddaf&gt;SB Building")</f>
        <v>Dubai&gt;Al Jaddaf&gt;SB Building</v>
      </c>
      <c r="E12103" s="2"/>
      <c r="F12103" s="2"/>
      <c r="G12103" s="2"/>
      <c r="H12103" s="2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2"/>
      <c r="T12103" s="2"/>
      <c r="U12103" s="2"/>
      <c r="V12103" s="2"/>
      <c r="W12103" s="2"/>
      <c r="X12103" s="2"/>
      <c r="Y12103" s="2"/>
      <c r="Z12103" s="2"/>
    </row>
    <row r="12104" spans="1:26" ht="16.5" x14ac:dyDescent="0.35">
      <c r="A12104" s="2" t="str">
        <f ca="1">IFERROR(__xludf.DUMMYFUNCTION("""COMPUTED_VALUE"""),"Dubai")</f>
        <v>Dubai</v>
      </c>
      <c r="B12104" s="2" t="str">
        <f ca="1">IFERROR(__xludf.DUMMYFUNCTION("""COMPUTED_VALUE"""),"Frond A")</f>
        <v>Frond A</v>
      </c>
      <c r="C12104" s="2" t="str">
        <f ca="1">IFERROR(__xludf.DUMMYFUNCTION("""COMPUTED_VALUE"""),"Neighbourhood")</f>
        <v>Neighbourhood</v>
      </c>
      <c r="D12104" s="2" t="str">
        <f ca="1">IFERROR(__xludf.DUMMYFUNCTION("""COMPUTED_VALUE"""),"Dubai&gt;Palm Jebel Ali&gt;Frond A")</f>
        <v>Dubai&gt;Palm Jebel Ali&gt;Frond A</v>
      </c>
      <c r="E12104" s="2"/>
      <c r="F12104" s="2"/>
      <c r="G12104" s="2"/>
      <c r="H12104" s="2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2"/>
      <c r="T12104" s="2"/>
      <c r="U12104" s="2"/>
      <c r="V12104" s="2"/>
      <c r="W12104" s="2"/>
      <c r="X12104" s="2"/>
      <c r="Y12104" s="2"/>
      <c r="Z12104" s="2"/>
    </row>
    <row r="12105" spans="1:26" ht="16.5" x14ac:dyDescent="0.35">
      <c r="A12105" s="2" t="str">
        <f ca="1">IFERROR(__xludf.DUMMYFUNCTION("""COMPUTED_VALUE"""),"Dubai")</f>
        <v>Dubai</v>
      </c>
      <c r="B12105" s="2" t="str">
        <f ca="1">IFERROR(__xludf.DUMMYFUNCTION("""COMPUTED_VALUE"""),"Orchid Residence")</f>
        <v>Orchid Residence</v>
      </c>
      <c r="C12105" s="2" t="str">
        <f ca="1">IFERROR(__xludf.DUMMYFUNCTION("""COMPUTED_VALUE"""),"Building")</f>
        <v>Building</v>
      </c>
      <c r="D12105" s="2" t="str">
        <f ca="1">IFERROR(__xludf.DUMMYFUNCTION("""COMPUTED_VALUE"""),"Dubai&gt;Dubai Science Park&gt;Orchid Residence")</f>
        <v>Dubai&gt;Dubai Science Park&gt;Orchid Residence</v>
      </c>
      <c r="E12105" s="2"/>
      <c r="F12105" s="2"/>
      <c r="G12105" s="2"/>
      <c r="H12105" s="2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2"/>
      <c r="T12105" s="2"/>
      <c r="U12105" s="2"/>
      <c r="V12105" s="2"/>
      <c r="W12105" s="2"/>
      <c r="X12105" s="2"/>
      <c r="Y12105" s="2"/>
      <c r="Z12105" s="2"/>
    </row>
    <row r="12106" spans="1:26" ht="16.5" x14ac:dyDescent="0.35">
      <c r="A12106" s="2" t="str">
        <f ca="1">IFERROR(__xludf.DUMMYFUNCTION("""COMPUTED_VALUE"""),"Dubai")</f>
        <v>Dubai</v>
      </c>
      <c r="B12106" s="2" t="str">
        <f ca="1">IFERROR(__xludf.DUMMYFUNCTION("""COMPUTED_VALUE"""),"National Industries Park")</f>
        <v>National Industries Park</v>
      </c>
      <c r="C12106" s="2" t="str">
        <f ca="1">IFERROR(__xludf.DUMMYFUNCTION("""COMPUTED_VALUE"""),"Neighbourhood")</f>
        <v>Neighbourhood</v>
      </c>
      <c r="D12106" s="2" t="str">
        <f ca="1">IFERROR(__xludf.DUMMYFUNCTION("""COMPUTED_VALUE"""),"Dubai&gt;National Industries Park")</f>
        <v>Dubai&gt;National Industries Park</v>
      </c>
      <c r="E12106" s="2"/>
      <c r="F12106" s="2"/>
      <c r="G12106" s="2"/>
      <c r="H12106" s="2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2"/>
      <c r="T12106" s="2"/>
      <c r="U12106" s="2"/>
      <c r="V12106" s="2"/>
      <c r="W12106" s="2"/>
      <c r="X12106" s="2"/>
      <c r="Y12106" s="2"/>
      <c r="Z12106" s="2"/>
    </row>
    <row r="12107" spans="1:26" ht="16.5" x14ac:dyDescent="0.35">
      <c r="A12107" s="2" t="str">
        <f ca="1">IFERROR(__xludf.DUMMYFUNCTION("""COMPUTED_VALUE"""),"Dubai")</f>
        <v>Dubai</v>
      </c>
      <c r="B12107" s="2" t="str">
        <f ca="1">IFERROR(__xludf.DUMMYFUNCTION("""COMPUTED_VALUE"""),"Hillside Residences")</f>
        <v>Hillside Residences</v>
      </c>
      <c r="C12107" s="2" t="str">
        <f ca="1">IFERROR(__xludf.DUMMYFUNCTION("""COMPUTED_VALUE"""),"Neighbourhood")</f>
        <v>Neighbourhood</v>
      </c>
      <c r="D12107" s="2" t="str">
        <f ca="1">IFERROR(__xludf.DUMMYFUNCTION("""COMPUTED_VALUE"""),"Dubai&gt;Wasl Gate&gt;Hillside Residences")</f>
        <v>Dubai&gt;Wasl Gate&gt;Hillside Residences</v>
      </c>
      <c r="E12107" s="2"/>
      <c r="F12107" s="2"/>
      <c r="G12107" s="2"/>
      <c r="H12107" s="2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2"/>
      <c r="T12107" s="2"/>
      <c r="U12107" s="2"/>
      <c r="V12107" s="2"/>
      <c r="W12107" s="2"/>
      <c r="X12107" s="2"/>
      <c r="Y12107" s="2"/>
      <c r="Z12107" s="2"/>
    </row>
    <row r="12108" spans="1:26" ht="16.5" x14ac:dyDescent="0.35">
      <c r="A12108" s="2" t="str">
        <f ca="1">IFERROR(__xludf.DUMMYFUNCTION("""COMPUTED_VALUE"""),"Dubai")</f>
        <v>Dubai</v>
      </c>
      <c r="B12108" s="2" t="str">
        <f ca="1">IFERROR(__xludf.DUMMYFUNCTION("""COMPUTED_VALUE"""),"South Garden E")</f>
        <v>South Garden E</v>
      </c>
      <c r="C12108" s="2" t="str">
        <f ca="1">IFERROR(__xludf.DUMMYFUNCTION("""COMPUTED_VALUE"""),"Building")</f>
        <v>Building</v>
      </c>
      <c r="D12108" s="2" t="str">
        <f ca="1">IFERROR(__xludf.DUMMYFUNCTION("""COMPUTED_VALUE"""),"Dubai&gt;Wasl Gate&gt;South Garden E")</f>
        <v>Dubai&gt;Wasl Gate&gt;South Garden E</v>
      </c>
      <c r="E12108" s="2"/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2"/>
      <c r="T12108" s="2"/>
      <c r="U12108" s="2"/>
      <c r="V12108" s="2"/>
      <c r="W12108" s="2"/>
      <c r="X12108" s="2"/>
      <c r="Y12108" s="2"/>
      <c r="Z12108" s="2"/>
    </row>
    <row r="12109" spans="1:26" ht="16.5" x14ac:dyDescent="0.35">
      <c r="A12109" s="2" t="str">
        <f ca="1">IFERROR(__xludf.DUMMYFUNCTION("""COMPUTED_VALUE"""),"Dubai")</f>
        <v>Dubai</v>
      </c>
      <c r="B12109" s="2" t="str">
        <f ca="1">IFERROR(__xludf.DUMMYFUNCTION("""COMPUTED_VALUE"""),"Kings’ School Nad Al Sheba")</f>
        <v>Kings’ School Nad Al Sheba</v>
      </c>
      <c r="C12109" s="2" t="str">
        <f ca="1">IFERROR(__xludf.DUMMYFUNCTION("""COMPUTED_VALUE"""),"School")</f>
        <v>School</v>
      </c>
      <c r="D12109" s="2" t="str">
        <f ca="1">IFERROR(__xludf.DUMMYFUNCTION("""COMPUTED_VALUE"""),"Dubai&gt;Nad Al Sheba&gt;Nad Al Sheba 2&gt;Kings’ School Nad Al Sheba")</f>
        <v>Dubai&gt;Nad Al Sheba&gt;Nad Al Sheba 2&gt;Kings’ School Nad Al Sheba</v>
      </c>
      <c r="E12109" s="2"/>
      <c r="F12109" s="2"/>
      <c r="G12109" s="2"/>
      <c r="H12109" s="2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2"/>
      <c r="T12109" s="2"/>
      <c r="U12109" s="2"/>
      <c r="V12109" s="2"/>
      <c r="W12109" s="2"/>
      <c r="X12109" s="2"/>
      <c r="Y12109" s="2"/>
      <c r="Z12109" s="2"/>
    </row>
    <row r="12110" spans="1:26" ht="16.5" x14ac:dyDescent="0.35">
      <c r="A12110" s="2" t="str">
        <f ca="1">IFERROR(__xludf.DUMMYFUNCTION("""COMPUTED_VALUE"""),"Dubai")</f>
        <v>Dubai</v>
      </c>
      <c r="B12110" s="2" t="str">
        <f ca="1">IFERROR(__xludf.DUMMYFUNCTION("""COMPUTED_VALUE"""),"Al Shatha Tower")</f>
        <v>Al Shatha Tower</v>
      </c>
      <c r="C12110" s="2" t="str">
        <f ca="1">IFERROR(__xludf.DUMMYFUNCTION("""COMPUTED_VALUE"""),"Building")</f>
        <v>Building</v>
      </c>
      <c r="D12110" s="2" t="str">
        <f ca="1">IFERROR(__xludf.DUMMYFUNCTION("""COMPUTED_VALUE"""),"Dubai&gt;Dubai Internet City&gt;Al Shatha Tower")</f>
        <v>Dubai&gt;Dubai Internet City&gt;Al Shatha Tower</v>
      </c>
      <c r="E12110" s="2"/>
      <c r="F12110" s="2"/>
      <c r="G12110" s="2"/>
      <c r="H12110" s="2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2"/>
      <c r="T12110" s="2"/>
      <c r="U12110" s="2"/>
      <c r="V12110" s="2"/>
      <c r="W12110" s="2"/>
      <c r="X12110" s="2"/>
      <c r="Y12110" s="2"/>
      <c r="Z12110" s="2"/>
    </row>
    <row r="12111" spans="1:26" ht="16.5" x14ac:dyDescent="0.35">
      <c r="A12111" s="2" t="str">
        <f ca="1">IFERROR(__xludf.DUMMYFUNCTION("""COMPUTED_VALUE"""),"Dubai")</f>
        <v>Dubai</v>
      </c>
      <c r="B12111" s="2" t="str">
        <f ca="1">IFERROR(__xludf.DUMMYFUNCTION("""COMPUTED_VALUE"""),"Joy")</f>
        <v>Joy</v>
      </c>
      <c r="C12111" s="2" t="str">
        <f ca="1">IFERROR(__xludf.DUMMYFUNCTION("""COMPUTED_VALUE"""),"Neighbourhood")</f>
        <v>Neighbourhood</v>
      </c>
      <c r="D12111" s="2" t="str">
        <f ca="1">IFERROR(__xludf.DUMMYFUNCTION("""COMPUTED_VALUE"""),"Dubai&gt;Arabian Ranches 3&gt;Joy")</f>
        <v>Dubai&gt;Arabian Ranches 3&gt;Joy</v>
      </c>
      <c r="E12111" s="2"/>
      <c r="F12111" s="2"/>
      <c r="G12111" s="2"/>
      <c r="H12111" s="2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2"/>
      <c r="T12111" s="2"/>
      <c r="U12111" s="2"/>
      <c r="V12111" s="2"/>
      <c r="W12111" s="2"/>
      <c r="X12111" s="2"/>
      <c r="Y12111" s="2"/>
      <c r="Z12111" s="2"/>
    </row>
    <row r="12112" spans="1:26" ht="16.5" x14ac:dyDescent="0.35">
      <c r="A12112" s="2" t="str">
        <f ca="1">IFERROR(__xludf.DUMMYFUNCTION("""COMPUTED_VALUE"""),"Dubai")</f>
        <v>Dubai</v>
      </c>
      <c r="B12112" s="2" t="str">
        <f ca="1">IFERROR(__xludf.DUMMYFUNCTION("""COMPUTED_VALUE"""),"Seagate Building 1")</f>
        <v>Seagate Building 1</v>
      </c>
      <c r="C12112" s="2" t="str">
        <f ca="1">IFERROR(__xludf.DUMMYFUNCTION("""COMPUTED_VALUE"""),"Building")</f>
        <v>Building</v>
      </c>
      <c r="D12112" s="2" t="str">
        <f ca="1">IFERROR(__xludf.DUMMYFUNCTION("""COMPUTED_VALUE"""),"Dubai&gt;Mina Rashid&gt;Seagate&gt;Seagate Building 1")</f>
        <v>Dubai&gt;Mina Rashid&gt;Seagate&gt;Seagate Building 1</v>
      </c>
      <c r="E12112" s="2"/>
      <c r="F12112" s="2"/>
      <c r="G12112" s="2"/>
      <c r="H12112" s="2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2"/>
      <c r="T12112" s="2"/>
      <c r="U12112" s="2"/>
      <c r="V12112" s="2"/>
      <c r="W12112" s="2"/>
      <c r="X12112" s="2"/>
      <c r="Y12112" s="2"/>
      <c r="Z12112" s="2"/>
    </row>
    <row r="12113" spans="1:26" ht="16.5" x14ac:dyDescent="0.35">
      <c r="A12113" s="2" t="str">
        <f ca="1">IFERROR(__xludf.DUMMYFUNCTION("""COMPUTED_VALUE"""),"Dubai")</f>
        <v>Dubai</v>
      </c>
      <c r="B12113" s="2" t="str">
        <f ca="1">IFERROR(__xludf.DUMMYFUNCTION("""COMPUTED_VALUE"""),"Marina Place 1")</f>
        <v>Marina Place 1</v>
      </c>
      <c r="C12113" s="2" t="str">
        <f ca="1">IFERROR(__xludf.DUMMYFUNCTION("""COMPUTED_VALUE"""),"Building")</f>
        <v>Building</v>
      </c>
      <c r="D12113" s="2" t="str">
        <f ca="1">IFERROR(__xludf.DUMMYFUNCTION("""COMPUTED_VALUE"""),"Dubai&gt;Mina Rashid&gt;Marina Place&gt;Marina Place 1")</f>
        <v>Dubai&gt;Mina Rashid&gt;Marina Place&gt;Marina Place 1</v>
      </c>
      <c r="E12113" s="2"/>
      <c r="F12113" s="2"/>
      <c r="G12113" s="2"/>
      <c r="H12113" s="2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2"/>
      <c r="T12113" s="2"/>
      <c r="U12113" s="2"/>
      <c r="V12113" s="2"/>
      <c r="W12113" s="2"/>
      <c r="X12113" s="2"/>
      <c r="Y12113" s="2"/>
      <c r="Z12113" s="2"/>
    </row>
    <row r="12114" spans="1:26" ht="16.5" x14ac:dyDescent="0.35">
      <c r="A12114" s="2" t="str">
        <f ca="1">IFERROR(__xludf.DUMMYFUNCTION("""COMPUTED_VALUE"""),"Dubai")</f>
        <v>Dubai</v>
      </c>
      <c r="B12114" s="2" t="str">
        <f ca="1">IFERROR(__xludf.DUMMYFUNCTION("""COMPUTED_VALUE"""),"Farm Gardens")</f>
        <v>Farm Gardens</v>
      </c>
      <c r="C12114" s="2" t="str">
        <f ca="1">IFERROR(__xludf.DUMMYFUNCTION("""COMPUTED_VALUE"""),"Neighbourhood")</f>
        <v>Neighbourhood</v>
      </c>
      <c r="D12114" s="2" t="str">
        <f ca="1">IFERROR(__xludf.DUMMYFUNCTION("""COMPUTED_VALUE"""),"Dubai&gt;The Valley by Emaar&gt;Farm Gardens")</f>
        <v>Dubai&gt;The Valley by Emaar&gt;Farm Gardens</v>
      </c>
      <c r="E12114" s="2"/>
      <c r="F12114" s="2"/>
      <c r="G12114" s="2"/>
      <c r="H12114" s="2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2"/>
      <c r="T12114" s="2"/>
      <c r="U12114" s="2"/>
      <c r="V12114" s="2"/>
      <c r="W12114" s="2"/>
      <c r="X12114" s="2"/>
      <c r="Y12114" s="2"/>
      <c r="Z12114" s="2"/>
    </row>
    <row r="12115" spans="1:26" ht="16.5" x14ac:dyDescent="0.35">
      <c r="A12115" s="2" t="str">
        <f ca="1">IFERROR(__xludf.DUMMYFUNCTION("""COMPUTED_VALUE"""),"Dubai")</f>
        <v>Dubai</v>
      </c>
      <c r="B12115" s="2" t="str">
        <f ca="1">IFERROR(__xludf.DUMMYFUNCTION("""COMPUTED_VALUE"""),"Golf Homes")</f>
        <v>Golf Homes</v>
      </c>
      <c r="C12115" s="2" t="str">
        <f ca="1">IFERROR(__xludf.DUMMYFUNCTION("""COMPUTED_VALUE"""),"Neighbourhood")</f>
        <v>Neighbourhood</v>
      </c>
      <c r="D12115" s="2" t="str">
        <f ca="1">IFERROR(__xludf.DUMMYFUNCTION("""COMPUTED_VALUE"""),"Dubai&gt;Arabian Ranches&gt;Golf Homes")</f>
        <v>Dubai&gt;Arabian Ranches&gt;Golf Homes</v>
      </c>
      <c r="E12115" s="2"/>
      <c r="F12115" s="2"/>
      <c r="G12115" s="2"/>
      <c r="H12115" s="2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2"/>
      <c r="T12115" s="2"/>
      <c r="U12115" s="2"/>
      <c r="V12115" s="2"/>
      <c r="W12115" s="2"/>
      <c r="X12115" s="2"/>
      <c r="Y12115" s="2"/>
      <c r="Z12115" s="2"/>
    </row>
    <row r="12116" spans="1:26" ht="16.5" x14ac:dyDescent="0.35">
      <c r="A12116" s="2" t="str">
        <f ca="1">IFERROR(__xludf.DUMMYFUNCTION("""COMPUTED_VALUE"""),"Dubai")</f>
        <v>Dubai</v>
      </c>
      <c r="B12116" s="2" t="str">
        <f ca="1">IFERROR(__xludf.DUMMYFUNCTION("""COMPUTED_VALUE"""),"Chubby Cheeks Nursery Discovery Gardens")</f>
        <v>Chubby Cheeks Nursery Discovery Gardens</v>
      </c>
      <c r="C12116" s="2" t="str">
        <f ca="1">IFERROR(__xludf.DUMMYFUNCTION("""COMPUTED_VALUE"""),"Nursery")</f>
        <v>Nursery</v>
      </c>
      <c r="D12116" s="2" t="str">
        <f ca="1">IFERROR(__xludf.DUMMYFUNCTION("""COMPUTED_VALUE"""),"Dubai&gt;The Gardens&gt;Chubby Cheeks Nursery Discovery Gardens")</f>
        <v>Dubai&gt;The Gardens&gt;Chubby Cheeks Nursery Discovery Gardens</v>
      </c>
      <c r="E12116" s="2"/>
      <c r="F12116" s="2"/>
      <c r="G12116" s="2"/>
      <c r="H12116" s="2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2"/>
      <c r="T12116" s="2"/>
      <c r="U12116" s="2"/>
      <c r="V12116" s="2"/>
      <c r="W12116" s="2"/>
      <c r="X12116" s="2"/>
      <c r="Y12116" s="2"/>
      <c r="Z12116" s="2"/>
    </row>
    <row r="12117" spans="1:26" ht="16.5" x14ac:dyDescent="0.35">
      <c r="A12117" s="2" t="str">
        <f ca="1">IFERROR(__xludf.DUMMYFUNCTION("""COMPUTED_VALUE"""),"Dubai")</f>
        <v>Dubai</v>
      </c>
      <c r="B12117" s="2" t="str">
        <f ca="1">IFERROR(__xludf.DUMMYFUNCTION("""COMPUTED_VALUE"""),"The Gardens Building 9")</f>
        <v>The Gardens Building 9</v>
      </c>
      <c r="C12117" s="2" t="str">
        <f ca="1">IFERROR(__xludf.DUMMYFUNCTION("""COMPUTED_VALUE"""),"Building")</f>
        <v>Building</v>
      </c>
      <c r="D12117" s="2" t="str">
        <f ca="1">IFERROR(__xludf.DUMMYFUNCTION("""COMPUTED_VALUE"""),"Dubai&gt;The Gardens&gt;The Gardens Building 9")</f>
        <v>Dubai&gt;The Gardens&gt;The Gardens Building 9</v>
      </c>
      <c r="E12117" s="2"/>
      <c r="F12117" s="2"/>
      <c r="G12117" s="2"/>
      <c r="H12117" s="2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2"/>
      <c r="T12117" s="2"/>
      <c r="U12117" s="2"/>
      <c r="V12117" s="2"/>
      <c r="W12117" s="2"/>
      <c r="X12117" s="2"/>
      <c r="Y12117" s="2"/>
      <c r="Z12117" s="2"/>
    </row>
    <row r="12118" spans="1:26" ht="16.5" x14ac:dyDescent="0.35">
      <c r="A12118" s="2" t="str">
        <f ca="1">IFERROR(__xludf.DUMMYFUNCTION("""COMPUTED_VALUE"""),"Dubai")</f>
        <v>Dubai</v>
      </c>
      <c r="B12118" s="2" t="str">
        <f ca="1">IFERROR(__xludf.DUMMYFUNCTION("""COMPUTED_VALUE"""),"The Gardens Building 75")</f>
        <v>The Gardens Building 75</v>
      </c>
      <c r="C12118" s="2" t="str">
        <f ca="1">IFERROR(__xludf.DUMMYFUNCTION("""COMPUTED_VALUE"""),"Building")</f>
        <v>Building</v>
      </c>
      <c r="D12118" s="2" t="str">
        <f ca="1">IFERROR(__xludf.DUMMYFUNCTION("""COMPUTED_VALUE"""),"Dubai&gt;The Gardens&gt;The Gardens Building 75")</f>
        <v>Dubai&gt;The Gardens&gt;The Gardens Building 75</v>
      </c>
      <c r="E12118" s="2"/>
      <c r="F12118" s="2"/>
      <c r="G12118" s="2"/>
      <c r="H12118" s="2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2"/>
      <c r="T12118" s="2"/>
      <c r="U12118" s="2"/>
      <c r="V12118" s="2"/>
      <c r="W12118" s="2"/>
      <c r="X12118" s="2"/>
      <c r="Y12118" s="2"/>
      <c r="Z12118" s="2"/>
    </row>
    <row r="12119" spans="1:26" ht="16.5" x14ac:dyDescent="0.35">
      <c r="A12119" s="2" t="str">
        <f ca="1">IFERROR(__xludf.DUMMYFUNCTION("""COMPUTED_VALUE"""),"Dubai")</f>
        <v>Dubai</v>
      </c>
      <c r="B12119" s="2" t="str">
        <f ca="1">IFERROR(__xludf.DUMMYFUNCTION("""COMPUTED_VALUE"""),"The Gardens Building 16")</f>
        <v>The Gardens Building 16</v>
      </c>
      <c r="C12119" s="2" t="str">
        <f ca="1">IFERROR(__xludf.DUMMYFUNCTION("""COMPUTED_VALUE"""),"Building")</f>
        <v>Building</v>
      </c>
      <c r="D12119" s="2" t="str">
        <f ca="1">IFERROR(__xludf.DUMMYFUNCTION("""COMPUTED_VALUE"""),"Dubai&gt;The Gardens&gt;The Gardens Building 16")</f>
        <v>Dubai&gt;The Gardens&gt;The Gardens Building 16</v>
      </c>
      <c r="E12119" s="2"/>
      <c r="F12119" s="2"/>
      <c r="G12119" s="2"/>
      <c r="H12119" s="2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2"/>
      <c r="T12119" s="2"/>
      <c r="U12119" s="2"/>
      <c r="V12119" s="2"/>
      <c r="W12119" s="2"/>
      <c r="X12119" s="2"/>
      <c r="Y12119" s="2"/>
      <c r="Z12119" s="2"/>
    </row>
    <row r="12120" spans="1:26" ht="16.5" x14ac:dyDescent="0.35">
      <c r="A12120" s="2" t="str">
        <f ca="1">IFERROR(__xludf.DUMMYFUNCTION("""COMPUTED_VALUE"""),"Dubai")</f>
        <v>Dubai</v>
      </c>
      <c r="B12120" s="2" t="str">
        <f ca="1">IFERROR(__xludf.DUMMYFUNCTION("""COMPUTED_VALUE"""),"The Gardens Building 56")</f>
        <v>The Gardens Building 56</v>
      </c>
      <c r="C12120" s="2" t="str">
        <f ca="1">IFERROR(__xludf.DUMMYFUNCTION("""COMPUTED_VALUE"""),"Building")</f>
        <v>Building</v>
      </c>
      <c r="D12120" s="2" t="str">
        <f ca="1">IFERROR(__xludf.DUMMYFUNCTION("""COMPUTED_VALUE"""),"Dubai&gt;The Gardens&gt;The Gardens Building 56")</f>
        <v>Dubai&gt;The Gardens&gt;The Gardens Building 56</v>
      </c>
      <c r="E12120" s="2"/>
      <c r="F12120" s="2"/>
      <c r="G12120" s="2"/>
      <c r="H12120" s="2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2"/>
      <c r="T12120" s="2"/>
      <c r="U12120" s="2"/>
      <c r="V12120" s="2"/>
      <c r="W12120" s="2"/>
      <c r="X12120" s="2"/>
      <c r="Y12120" s="2"/>
      <c r="Z12120" s="2"/>
    </row>
    <row r="12121" spans="1:26" ht="16.5" x14ac:dyDescent="0.35">
      <c r="A12121" s="2" t="str">
        <f ca="1">IFERROR(__xludf.DUMMYFUNCTION("""COMPUTED_VALUE"""),"Dubai")</f>
        <v>Dubai</v>
      </c>
      <c r="B12121" s="2" t="str">
        <f ca="1">IFERROR(__xludf.DUMMYFUNCTION("""COMPUTED_VALUE"""),"Al Zarooni Building")</f>
        <v>Al Zarooni Building</v>
      </c>
      <c r="C12121" s="2" t="str">
        <f ca="1">IFERROR(__xludf.DUMMYFUNCTION("""COMPUTED_VALUE"""),"Building")</f>
        <v>Building</v>
      </c>
      <c r="D12121" s="2" t="str">
        <f ca="1">IFERROR(__xludf.DUMMYFUNCTION("""COMPUTED_VALUE"""),"Dubai&gt;Al Mamzar&gt;Al Zarooni Building")</f>
        <v>Dubai&gt;Al Mamzar&gt;Al Zarooni Building</v>
      </c>
      <c r="E12121" s="2"/>
      <c r="F12121" s="2"/>
      <c r="G12121" s="2"/>
      <c r="H12121" s="2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2"/>
      <c r="T12121" s="2"/>
      <c r="U12121" s="2"/>
      <c r="V12121" s="2"/>
      <c r="W12121" s="2"/>
      <c r="X12121" s="2"/>
      <c r="Y12121" s="2"/>
      <c r="Z12121" s="2"/>
    </row>
    <row r="12122" spans="1:26" ht="16.5" x14ac:dyDescent="0.35">
      <c r="A12122" s="2" t="str">
        <f ca="1">IFERROR(__xludf.DUMMYFUNCTION("""COMPUTED_VALUE"""),"Dubai")</f>
        <v>Dubai</v>
      </c>
      <c r="B12122" s="2" t="str">
        <f ca="1">IFERROR(__xludf.DUMMYFUNCTION("""COMPUTED_VALUE"""),"Bluewaters Townhouses")</f>
        <v>Bluewaters Townhouses</v>
      </c>
      <c r="C12122" s="2" t="str">
        <f ca="1">IFERROR(__xludf.DUMMYFUNCTION("""COMPUTED_VALUE"""),"Neighbourhood")</f>
        <v>Neighbourhood</v>
      </c>
      <c r="D12122" s="2" t="str">
        <f ca="1">IFERROR(__xludf.DUMMYFUNCTION("""COMPUTED_VALUE"""),"Dubai&gt;Bluewaters Island&gt;Bluewaters Residences&gt;Bluewaters Townhouses")</f>
        <v>Dubai&gt;Bluewaters Island&gt;Bluewaters Residences&gt;Bluewaters Townhouses</v>
      </c>
      <c r="E12122" s="2"/>
      <c r="F12122" s="2"/>
      <c r="G12122" s="2"/>
      <c r="H12122" s="2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2"/>
      <c r="T12122" s="2"/>
      <c r="U12122" s="2"/>
      <c r="V12122" s="2"/>
      <c r="W12122" s="2"/>
      <c r="X12122" s="2"/>
      <c r="Y12122" s="2"/>
      <c r="Z12122" s="2"/>
    </row>
    <row r="12123" spans="1:26" ht="16.5" x14ac:dyDescent="0.35">
      <c r="A12123" s="2" t="str">
        <f ca="1">IFERROR(__xludf.DUMMYFUNCTION("""COMPUTED_VALUE"""),"Dubai")</f>
        <v>Dubai</v>
      </c>
      <c r="B12123" s="2" t="str">
        <f ca="1">IFERROR(__xludf.DUMMYFUNCTION("""COMPUTED_VALUE"""),"Al Wasl Oasis 3")</f>
        <v>Al Wasl Oasis 3</v>
      </c>
      <c r="C12123" s="2" t="str">
        <f ca="1">IFERROR(__xludf.DUMMYFUNCTION("""COMPUTED_VALUE"""),"Building")</f>
        <v>Building</v>
      </c>
      <c r="D12123" s="2" t="str">
        <f ca="1">IFERROR(__xludf.DUMMYFUNCTION("""COMPUTED_VALUE"""),"Dubai&gt;Muhaisnah&gt;Muhaisnah 4&gt;Al Wasl Oasis 3")</f>
        <v>Dubai&gt;Muhaisnah&gt;Muhaisnah 4&gt;Al Wasl Oasis 3</v>
      </c>
      <c r="E12123" s="2"/>
      <c r="F12123" s="2"/>
      <c r="G12123" s="2"/>
      <c r="H12123" s="2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2"/>
      <c r="T12123" s="2"/>
      <c r="U12123" s="2"/>
      <c r="V12123" s="2"/>
      <c r="W12123" s="2"/>
      <c r="X12123" s="2"/>
      <c r="Y12123" s="2"/>
      <c r="Z12123" s="2"/>
    </row>
    <row r="12124" spans="1:26" ht="16.5" x14ac:dyDescent="0.35">
      <c r="A12124" s="2" t="str">
        <f ca="1">IFERROR(__xludf.DUMMYFUNCTION("""COMPUTED_VALUE"""),"Dubai")</f>
        <v>Dubai</v>
      </c>
      <c r="B12124" s="2" t="str">
        <f ca="1">IFERROR(__xludf.DUMMYFUNCTION("""COMPUTED_VALUE"""),"Qamar 10")</f>
        <v>Qamar 10</v>
      </c>
      <c r="C12124" s="2" t="str">
        <f ca="1">IFERROR(__xludf.DUMMYFUNCTION("""COMPUTED_VALUE"""),"Building")</f>
        <v>Building</v>
      </c>
      <c r="D12124" s="2" t="str">
        <f ca="1">IFERROR(__xludf.DUMMYFUNCTION("""COMPUTED_VALUE"""),"Dubai&gt;Muhaisnah&gt;Muhaisnah 1&gt;Madinat Badr&gt;Qamar 10")</f>
        <v>Dubai&gt;Muhaisnah&gt;Muhaisnah 1&gt;Madinat Badr&gt;Qamar 10</v>
      </c>
      <c r="E12124" s="2"/>
      <c r="F12124" s="2"/>
      <c r="G12124" s="2"/>
      <c r="H12124" s="2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2"/>
      <c r="T12124" s="2"/>
      <c r="U12124" s="2"/>
      <c r="V12124" s="2"/>
      <c r="W12124" s="2"/>
      <c r="X12124" s="2"/>
      <c r="Y12124" s="2"/>
      <c r="Z12124" s="2"/>
    </row>
    <row r="12125" spans="1:26" ht="16.5" x14ac:dyDescent="0.35">
      <c r="A12125" s="2" t="str">
        <f ca="1">IFERROR(__xludf.DUMMYFUNCTION("""COMPUTED_VALUE"""),"Dubai")</f>
        <v>Dubai</v>
      </c>
      <c r="B12125" s="2" t="str">
        <f ca="1">IFERROR(__xludf.DUMMYFUNCTION("""COMPUTED_VALUE"""),"Emirates Grand Hotel Apartments")</f>
        <v>Emirates Grand Hotel Apartments</v>
      </c>
      <c r="C12125" s="2" t="str">
        <f ca="1">IFERROR(__xludf.DUMMYFUNCTION("""COMPUTED_VALUE"""),"Building")</f>
        <v>Building</v>
      </c>
      <c r="D12125" s="2" t="str">
        <f ca="1">IFERROR(__xludf.DUMMYFUNCTION("""COMPUTED_VALUE"""),"Dubai&gt;Sheikh Zayed Road&gt;Emirates Grand Hotel Apartments")</f>
        <v>Dubai&gt;Sheikh Zayed Road&gt;Emirates Grand Hotel Apartments</v>
      </c>
      <c r="E12125" s="2"/>
      <c r="F12125" s="2"/>
      <c r="G12125" s="2"/>
      <c r="H12125" s="2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2"/>
      <c r="T12125" s="2"/>
      <c r="U12125" s="2"/>
      <c r="V12125" s="2"/>
      <c r="W12125" s="2"/>
      <c r="X12125" s="2"/>
      <c r="Y12125" s="2"/>
      <c r="Z12125" s="2"/>
    </row>
    <row r="12126" spans="1:26" ht="16.5" x14ac:dyDescent="0.35">
      <c r="A12126" s="2" t="str">
        <f ca="1">IFERROR(__xludf.DUMMYFUNCTION("""COMPUTED_VALUE"""),"Dubai")</f>
        <v>Dubai</v>
      </c>
      <c r="B12126" s="2" t="str">
        <f ca="1">IFERROR(__xludf.DUMMYFUNCTION("""COMPUTED_VALUE"""),"Sama Tower")</f>
        <v>Sama Tower</v>
      </c>
      <c r="C12126" s="2" t="str">
        <f ca="1">IFERROR(__xludf.DUMMYFUNCTION("""COMPUTED_VALUE"""),"Building")</f>
        <v>Building</v>
      </c>
      <c r="D12126" s="2" t="str">
        <f ca="1">IFERROR(__xludf.DUMMYFUNCTION("""COMPUTED_VALUE"""),"Dubai&gt;Sheikh Zayed Road&gt;Sama Tower")</f>
        <v>Dubai&gt;Sheikh Zayed Road&gt;Sama Tower</v>
      </c>
      <c r="E12126" s="2"/>
      <c r="F12126" s="2"/>
      <c r="G12126" s="2"/>
      <c r="H12126" s="2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2"/>
      <c r="T12126" s="2"/>
      <c r="U12126" s="2"/>
      <c r="V12126" s="2"/>
      <c r="W12126" s="2"/>
      <c r="X12126" s="2"/>
      <c r="Y12126" s="2"/>
      <c r="Z12126" s="2"/>
    </row>
    <row r="12127" spans="1:26" ht="16.5" x14ac:dyDescent="0.35">
      <c r="A12127" s="2" t="str">
        <f ca="1">IFERROR(__xludf.DUMMYFUNCTION("""COMPUTED_VALUE"""),"Dubai")</f>
        <v>Dubai</v>
      </c>
      <c r="B12127" s="2" t="str">
        <f ca="1">IFERROR(__xludf.DUMMYFUNCTION("""COMPUTED_VALUE"""),"Millennium Tower")</f>
        <v>Millennium Tower</v>
      </c>
      <c r="C12127" s="2" t="str">
        <f ca="1">IFERROR(__xludf.DUMMYFUNCTION("""COMPUTED_VALUE"""),"Building")</f>
        <v>Building</v>
      </c>
      <c r="D12127" s="2" t="str">
        <f ca="1">IFERROR(__xludf.DUMMYFUNCTION("""COMPUTED_VALUE"""),"Dubai&gt;Sheikh Zayed Road&gt;Millennium Tower")</f>
        <v>Dubai&gt;Sheikh Zayed Road&gt;Millennium Tower</v>
      </c>
      <c r="E12127" s="2"/>
      <c r="F12127" s="2"/>
      <c r="G12127" s="2"/>
      <c r="H12127" s="2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2"/>
      <c r="T12127" s="2"/>
      <c r="U12127" s="2"/>
      <c r="V12127" s="2"/>
      <c r="W12127" s="2"/>
      <c r="X12127" s="2"/>
      <c r="Y12127" s="2"/>
      <c r="Z12127" s="2"/>
    </row>
    <row r="12128" spans="1:26" ht="16.5" x14ac:dyDescent="0.35">
      <c r="A12128" s="2" t="str">
        <f ca="1">IFERROR(__xludf.DUMMYFUNCTION("""COMPUTED_VALUE"""),"Dubai")</f>
        <v>Dubai</v>
      </c>
      <c r="B12128" s="2" t="str">
        <f ca="1">IFERROR(__xludf.DUMMYFUNCTION("""COMPUTED_VALUE"""),"The Carlton Downtown Hotel")</f>
        <v>The Carlton Downtown Hotel</v>
      </c>
      <c r="C12128" s="2" t="str">
        <f ca="1">IFERROR(__xludf.DUMMYFUNCTION("""COMPUTED_VALUE"""),"Building")</f>
        <v>Building</v>
      </c>
      <c r="D12128" s="2" t="str">
        <f ca="1">IFERROR(__xludf.DUMMYFUNCTION("""COMPUTED_VALUE"""),"Dubai&gt;Sheikh Zayed Road&gt;The Carlton Downtown Hotel")</f>
        <v>Dubai&gt;Sheikh Zayed Road&gt;The Carlton Downtown Hotel</v>
      </c>
      <c r="E12128" s="2"/>
      <c r="F12128" s="2"/>
      <c r="G12128" s="2"/>
      <c r="H12128" s="2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2"/>
      <c r="T12128" s="2"/>
      <c r="U12128" s="2"/>
      <c r="V12128" s="2"/>
      <c r="W12128" s="2"/>
      <c r="X12128" s="2"/>
      <c r="Y12128" s="2"/>
      <c r="Z12128" s="2"/>
    </row>
    <row r="12129" spans="1:26" ht="16.5" x14ac:dyDescent="0.35">
      <c r="A12129" s="2" t="str">
        <f ca="1">IFERROR(__xludf.DUMMYFUNCTION("""COMPUTED_VALUE"""),"Dubai")</f>
        <v>Dubai</v>
      </c>
      <c r="B12129" s="2" t="str">
        <f ca="1">IFERROR(__xludf.DUMMYFUNCTION("""COMPUTED_VALUE"""),"Rose 8")</f>
        <v>Rose 8</v>
      </c>
      <c r="C12129" s="2" t="str">
        <f ca="1">IFERROR(__xludf.DUMMYFUNCTION("""COMPUTED_VALUE"""),"Building")</f>
        <v>Building</v>
      </c>
      <c r="D12129" s="2" t="str">
        <f ca="1">IFERROR(__xludf.DUMMYFUNCTION("""COMPUTED_VALUE"""),"Dubai&gt;Al Karama&gt;Rose 8")</f>
        <v>Dubai&gt;Al Karama&gt;Rose 8</v>
      </c>
      <c r="E12129" s="2"/>
      <c r="F12129" s="2"/>
      <c r="G12129" s="2"/>
      <c r="H12129" s="2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2"/>
      <c r="T12129" s="2"/>
      <c r="U12129" s="2"/>
      <c r="V12129" s="2"/>
      <c r="W12129" s="2"/>
      <c r="X12129" s="2"/>
      <c r="Y12129" s="2"/>
      <c r="Z12129" s="2"/>
    </row>
    <row r="12130" spans="1:26" ht="16.5" x14ac:dyDescent="0.35">
      <c r="A12130" s="2" t="str">
        <f ca="1">IFERROR(__xludf.DUMMYFUNCTION("""COMPUTED_VALUE"""),"Dubai")</f>
        <v>Dubai</v>
      </c>
      <c r="B12130" s="2" t="str">
        <f ca="1">IFERROR(__xludf.DUMMYFUNCTION("""COMPUTED_VALUE"""),"Building 19")</f>
        <v>Building 19</v>
      </c>
      <c r="C12130" s="2" t="str">
        <f ca="1">IFERROR(__xludf.DUMMYFUNCTION("""COMPUTED_VALUE"""),"Building")</f>
        <v>Building</v>
      </c>
      <c r="D12130" s="2" t="str">
        <f ca="1">IFERROR(__xludf.DUMMYFUNCTION("""COMPUTED_VALUE"""),"Dubai&gt;Al Karama&gt;Karam Pioneer Buildings&gt;Building 19")</f>
        <v>Dubai&gt;Al Karama&gt;Karam Pioneer Buildings&gt;Building 19</v>
      </c>
      <c r="E12130" s="2"/>
      <c r="F12130" s="2"/>
      <c r="G12130" s="2"/>
      <c r="H12130" s="2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2"/>
      <c r="T12130" s="2"/>
      <c r="U12130" s="2"/>
      <c r="V12130" s="2"/>
      <c r="W12130" s="2"/>
      <c r="X12130" s="2"/>
      <c r="Y12130" s="2"/>
      <c r="Z12130" s="2"/>
    </row>
    <row r="12131" spans="1:26" ht="16.5" x14ac:dyDescent="0.35">
      <c r="A12131" s="2" t="str">
        <f ca="1">IFERROR(__xludf.DUMMYFUNCTION("""COMPUTED_VALUE"""),"Dubai")</f>
        <v>Dubai</v>
      </c>
      <c r="B12131" s="2" t="str">
        <f ca="1">IFERROR(__xludf.DUMMYFUNCTION("""COMPUTED_VALUE"""),"Muzoon Building")</f>
        <v>Muzoon Building</v>
      </c>
      <c r="C12131" s="2" t="str">
        <f ca="1">IFERROR(__xludf.DUMMYFUNCTION("""COMPUTED_VALUE"""),"Building")</f>
        <v>Building</v>
      </c>
      <c r="D12131" s="2" t="str">
        <f ca="1">IFERROR(__xludf.DUMMYFUNCTION("""COMPUTED_VALUE"""),"Dubai&gt;Al Karama&gt;Muzoon Building")</f>
        <v>Dubai&gt;Al Karama&gt;Muzoon Building</v>
      </c>
      <c r="E12131" s="2"/>
      <c r="F12131" s="2"/>
      <c r="G12131" s="2"/>
      <c r="H12131" s="2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2"/>
      <c r="T12131" s="2"/>
      <c r="U12131" s="2"/>
      <c r="V12131" s="2"/>
      <c r="W12131" s="2"/>
      <c r="X12131" s="2"/>
      <c r="Y12131" s="2"/>
      <c r="Z12131" s="2"/>
    </row>
    <row r="12132" spans="1:26" ht="16.5" x14ac:dyDescent="0.35">
      <c r="A12132" s="2" t="str">
        <f ca="1">IFERROR(__xludf.DUMMYFUNCTION("""COMPUTED_VALUE"""),"Dubai")</f>
        <v>Dubai</v>
      </c>
      <c r="B12132" s="2" t="str">
        <f ca="1">IFERROR(__xludf.DUMMYFUNCTION("""COMPUTED_VALUE"""),"Wasl Onyx")</f>
        <v>Wasl Onyx</v>
      </c>
      <c r="C12132" s="2" t="str">
        <f ca="1">IFERROR(__xludf.DUMMYFUNCTION("""COMPUTED_VALUE"""),"Building")</f>
        <v>Building</v>
      </c>
      <c r="D12132" s="2" t="str">
        <f ca="1">IFERROR(__xludf.DUMMYFUNCTION("""COMPUTED_VALUE"""),"Dubai&gt;Al Karama&gt;Wasl Onyx")</f>
        <v>Dubai&gt;Al Karama&gt;Wasl Onyx</v>
      </c>
      <c r="E12132" s="2"/>
      <c r="F12132" s="2"/>
      <c r="G12132" s="2"/>
      <c r="H12132" s="2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2"/>
      <c r="T12132" s="2"/>
      <c r="U12132" s="2"/>
      <c r="V12132" s="2"/>
      <c r="W12132" s="2"/>
      <c r="X12132" s="2"/>
      <c r="Y12132" s="2"/>
      <c r="Z12132" s="2"/>
    </row>
    <row r="12133" spans="1:26" ht="16.5" x14ac:dyDescent="0.35">
      <c r="A12133" s="2" t="str">
        <f ca="1">IFERROR(__xludf.DUMMYFUNCTION("""COMPUTED_VALUE"""),"Dubai")</f>
        <v>Dubai</v>
      </c>
      <c r="B12133" s="2" t="str">
        <f ca="1">IFERROR(__xludf.DUMMYFUNCTION("""COMPUTED_VALUE"""),"Zomorrodah Building")</f>
        <v>Zomorrodah Building</v>
      </c>
      <c r="C12133" s="2" t="str">
        <f ca="1">IFERROR(__xludf.DUMMYFUNCTION("""COMPUTED_VALUE"""),"Building")</f>
        <v>Building</v>
      </c>
      <c r="D12133" s="2" t="str">
        <f ca="1">IFERROR(__xludf.DUMMYFUNCTION("""COMPUTED_VALUE"""),"Dubai&gt;Al Karama&gt;Zomorrodah Building")</f>
        <v>Dubai&gt;Al Karama&gt;Zomorrodah Building</v>
      </c>
      <c r="E12133" s="2"/>
      <c r="F12133" s="2"/>
      <c r="G12133" s="2"/>
      <c r="H12133" s="2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2"/>
      <c r="T12133" s="2"/>
      <c r="U12133" s="2"/>
      <c r="V12133" s="2"/>
      <c r="W12133" s="2"/>
      <c r="X12133" s="2"/>
      <c r="Y12133" s="2"/>
      <c r="Z12133" s="2"/>
    </row>
    <row r="12134" spans="1:26" ht="16.5" x14ac:dyDescent="0.35">
      <c r="A12134" s="2" t="str">
        <f ca="1">IFERROR(__xludf.DUMMYFUNCTION("""COMPUTED_VALUE"""),"Dubai")</f>
        <v>Dubai</v>
      </c>
      <c r="B12134" s="2" t="str">
        <f ca="1">IFERROR(__xludf.DUMMYFUNCTION("""COMPUTED_VALUE"""),"Ayesha Rashid Bin Thani Building")</f>
        <v>Ayesha Rashid Bin Thani Building</v>
      </c>
      <c r="C12134" s="2" t="str">
        <f ca="1">IFERROR(__xludf.DUMMYFUNCTION("""COMPUTED_VALUE"""),"Building")</f>
        <v>Building</v>
      </c>
      <c r="D12134" s="2" t="str">
        <f ca="1">IFERROR(__xludf.DUMMYFUNCTION("""COMPUTED_VALUE"""),"Dubai&gt;Al Karama&gt;Ayesha Rashid Bin Thani Building")</f>
        <v>Dubai&gt;Al Karama&gt;Ayesha Rashid Bin Thani Building</v>
      </c>
      <c r="E12134" s="2"/>
      <c r="F12134" s="2"/>
      <c r="G12134" s="2"/>
      <c r="H12134" s="2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2"/>
      <c r="T12134" s="2"/>
      <c r="U12134" s="2"/>
      <c r="V12134" s="2"/>
      <c r="W12134" s="2"/>
      <c r="X12134" s="2"/>
      <c r="Y12134" s="2"/>
      <c r="Z12134" s="2"/>
    </row>
    <row r="12135" spans="1:26" ht="16.5" x14ac:dyDescent="0.35">
      <c r="A12135" s="2" t="str">
        <f ca="1">IFERROR(__xludf.DUMMYFUNCTION("""COMPUTED_VALUE"""),"Dubai")</f>
        <v>Dubai</v>
      </c>
      <c r="B12135" s="2" t="str">
        <f ca="1">IFERROR(__xludf.DUMMYFUNCTION("""COMPUTED_VALUE"""),"Al Yamama Building")</f>
        <v>Al Yamama Building</v>
      </c>
      <c r="C12135" s="2" t="str">
        <f ca="1">IFERROR(__xludf.DUMMYFUNCTION("""COMPUTED_VALUE"""),"Building")</f>
        <v>Building</v>
      </c>
      <c r="D12135" s="2" t="str">
        <f ca="1">IFERROR(__xludf.DUMMYFUNCTION("""COMPUTED_VALUE"""),"Dubai&gt;Al Karama&gt;Al Yamama Building")</f>
        <v>Dubai&gt;Al Karama&gt;Al Yamama Building</v>
      </c>
      <c r="E12135" s="2"/>
      <c r="F12135" s="2"/>
      <c r="G12135" s="2"/>
      <c r="H12135" s="2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2"/>
      <c r="T12135" s="2"/>
      <c r="U12135" s="2"/>
      <c r="V12135" s="2"/>
      <c r="W12135" s="2"/>
      <c r="X12135" s="2"/>
      <c r="Y12135" s="2"/>
      <c r="Z12135" s="2"/>
    </row>
    <row r="12136" spans="1:26" ht="16.5" x14ac:dyDescent="0.35">
      <c r="A12136" s="2" t="str">
        <f ca="1">IFERROR(__xludf.DUMMYFUNCTION("""COMPUTED_VALUE"""),"Dubai")</f>
        <v>Dubai</v>
      </c>
      <c r="B12136" s="2" t="str">
        <f ca="1">IFERROR(__xludf.DUMMYFUNCTION("""COMPUTED_VALUE"""),"Naresco 1")</f>
        <v>Naresco 1</v>
      </c>
      <c r="C12136" s="2" t="str">
        <f ca="1">IFERROR(__xludf.DUMMYFUNCTION("""COMPUTED_VALUE"""),"Building")</f>
        <v>Building</v>
      </c>
      <c r="D12136" s="2" t="str">
        <f ca="1">IFERROR(__xludf.DUMMYFUNCTION("""COMPUTED_VALUE"""),"Dubai&gt;Al Karama&gt;Naresco 1")</f>
        <v>Dubai&gt;Al Karama&gt;Naresco 1</v>
      </c>
      <c r="E12136" s="2"/>
      <c r="F12136" s="2"/>
      <c r="G12136" s="2"/>
      <c r="H12136" s="2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2"/>
      <c r="T12136" s="2"/>
      <c r="U12136" s="2"/>
      <c r="V12136" s="2"/>
      <c r="W12136" s="2"/>
      <c r="X12136" s="2"/>
      <c r="Y12136" s="2"/>
      <c r="Z12136" s="2"/>
    </row>
    <row r="12137" spans="1:26" ht="16.5" x14ac:dyDescent="0.35">
      <c r="A12137" s="2" t="str">
        <f ca="1">IFERROR(__xludf.DUMMYFUNCTION("""COMPUTED_VALUE"""),"Dubai")</f>
        <v>Dubai</v>
      </c>
      <c r="B12137" s="2" t="str">
        <f ca="1">IFERROR(__xludf.DUMMYFUNCTION("""COMPUTED_VALUE"""),"Fatima Building")</f>
        <v>Fatima Building</v>
      </c>
      <c r="C12137" s="2" t="str">
        <f ca="1">IFERROR(__xludf.DUMMYFUNCTION("""COMPUTED_VALUE"""),"Building")</f>
        <v>Building</v>
      </c>
      <c r="D12137" s="2" t="str">
        <f ca="1">IFERROR(__xludf.DUMMYFUNCTION("""COMPUTED_VALUE"""),"Dubai&gt;Al Karama&gt;Fatima Building")</f>
        <v>Dubai&gt;Al Karama&gt;Fatima Building</v>
      </c>
      <c r="E12137" s="2"/>
      <c r="F12137" s="2"/>
      <c r="G12137" s="2"/>
      <c r="H12137" s="2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2"/>
      <c r="T12137" s="2"/>
      <c r="U12137" s="2"/>
      <c r="V12137" s="2"/>
      <c r="W12137" s="2"/>
      <c r="X12137" s="2"/>
      <c r="Y12137" s="2"/>
      <c r="Z12137" s="2"/>
    </row>
    <row r="12138" spans="1:26" ht="16.5" x14ac:dyDescent="0.35">
      <c r="A12138" s="2" t="str">
        <f ca="1">IFERROR(__xludf.DUMMYFUNCTION("""COMPUTED_VALUE"""),"Dubai")</f>
        <v>Dubai</v>
      </c>
      <c r="B12138" s="2" t="str">
        <f ca="1">IFERROR(__xludf.DUMMYFUNCTION("""COMPUTED_VALUE"""),"Mubarak Block B")</f>
        <v>Mubarak Block B</v>
      </c>
      <c r="C12138" s="2" t="str">
        <f ca="1">IFERROR(__xludf.DUMMYFUNCTION("""COMPUTED_VALUE"""),"Building")</f>
        <v>Building</v>
      </c>
      <c r="D12138" s="2" t="str">
        <f ca="1">IFERROR(__xludf.DUMMYFUNCTION("""COMPUTED_VALUE"""),"Dubai&gt;Al Karama&gt;Mubarak Blocks&gt;Mubarak Block B")</f>
        <v>Dubai&gt;Al Karama&gt;Mubarak Blocks&gt;Mubarak Block B</v>
      </c>
      <c r="E12138" s="2"/>
      <c r="F12138" s="2"/>
      <c r="G12138" s="2"/>
      <c r="H12138" s="2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2"/>
      <c r="T12138" s="2"/>
      <c r="U12138" s="2"/>
      <c r="V12138" s="2"/>
      <c r="W12138" s="2"/>
      <c r="X12138" s="2"/>
      <c r="Y12138" s="2"/>
      <c r="Z12138" s="2"/>
    </row>
    <row r="12139" spans="1:26" ht="16.5" x14ac:dyDescent="0.35">
      <c r="A12139" s="2" t="str">
        <f ca="1">IFERROR(__xludf.DUMMYFUNCTION("""COMPUTED_VALUE"""),"Dubai")</f>
        <v>Dubai</v>
      </c>
      <c r="B12139" s="2" t="str">
        <f ca="1">IFERROR(__xludf.DUMMYFUNCTION("""COMPUTED_VALUE"""),"Mohd Sultan Belshalat Building")</f>
        <v>Mohd Sultan Belshalat Building</v>
      </c>
      <c r="C12139" s="2" t="str">
        <f ca="1">IFERROR(__xludf.DUMMYFUNCTION("""COMPUTED_VALUE"""),"Building")</f>
        <v>Building</v>
      </c>
      <c r="D12139" s="2" t="str">
        <f ca="1">IFERROR(__xludf.DUMMYFUNCTION("""COMPUTED_VALUE"""),"Dubai&gt;Al Karama&gt;Mohd Sultan Belshalat Building")</f>
        <v>Dubai&gt;Al Karama&gt;Mohd Sultan Belshalat Building</v>
      </c>
      <c r="E12139" s="2"/>
      <c r="F12139" s="2"/>
      <c r="G12139" s="2"/>
      <c r="H12139" s="2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2"/>
      <c r="T12139" s="2"/>
      <c r="U12139" s="2"/>
      <c r="V12139" s="2"/>
      <c r="W12139" s="2"/>
      <c r="X12139" s="2"/>
      <c r="Y12139" s="2"/>
      <c r="Z12139" s="2"/>
    </row>
    <row r="12140" spans="1:26" ht="16.5" x14ac:dyDescent="0.35">
      <c r="A12140" s="2" t="str">
        <f ca="1">IFERROR(__xludf.DUMMYFUNCTION("""COMPUTED_VALUE"""),"Dubai")</f>
        <v>Dubai</v>
      </c>
      <c r="B12140" s="2" t="str">
        <f ca="1">IFERROR(__xludf.DUMMYFUNCTION("""COMPUTED_VALUE"""),"Jumma Al Majid 2 Building")</f>
        <v>Jumma Al Majid 2 Building</v>
      </c>
      <c r="C12140" s="2" t="str">
        <f ca="1">IFERROR(__xludf.DUMMYFUNCTION("""COMPUTED_VALUE"""),"Building")</f>
        <v>Building</v>
      </c>
      <c r="D12140" s="2" t="str">
        <f ca="1">IFERROR(__xludf.DUMMYFUNCTION("""COMPUTED_VALUE"""),"Dubai&gt;Al Karama&gt;Jumma Al Majid 2 Building")</f>
        <v>Dubai&gt;Al Karama&gt;Jumma Al Majid 2 Building</v>
      </c>
      <c r="E12140" s="2"/>
      <c r="F12140" s="2"/>
      <c r="G12140" s="2"/>
      <c r="H12140" s="2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2"/>
      <c r="T12140" s="2"/>
      <c r="U12140" s="2"/>
      <c r="V12140" s="2"/>
      <c r="W12140" s="2"/>
      <c r="X12140" s="2"/>
      <c r="Y12140" s="2"/>
      <c r="Z12140" s="2"/>
    </row>
    <row r="12141" spans="1:26" ht="16.5" x14ac:dyDescent="0.35">
      <c r="A12141" s="2" t="str">
        <f ca="1">IFERROR(__xludf.DUMMYFUNCTION("""COMPUTED_VALUE"""),"Dubai")</f>
        <v>Dubai</v>
      </c>
      <c r="B12141" s="2" t="str">
        <f ca="1">IFERROR(__xludf.DUMMYFUNCTION("""COMPUTED_VALUE"""),"Intercity Hotel")</f>
        <v>Intercity Hotel</v>
      </c>
      <c r="C12141" s="2" t="str">
        <f ca="1">IFERROR(__xludf.DUMMYFUNCTION("""COMPUTED_VALUE"""),"Building")</f>
        <v>Building</v>
      </c>
      <c r="D12141" s="2" t="str">
        <f ca="1">IFERROR(__xludf.DUMMYFUNCTION("""COMPUTED_VALUE"""),"Dubai&gt;Culture Village (Jaddaf Waterfront)&gt;Intercity Hotel")</f>
        <v>Dubai&gt;Culture Village (Jaddaf Waterfront)&gt;Intercity Hotel</v>
      </c>
      <c r="E12141" s="2"/>
      <c r="F12141" s="2"/>
      <c r="G12141" s="2"/>
      <c r="H12141" s="2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2"/>
      <c r="T12141" s="2"/>
      <c r="U12141" s="2"/>
      <c r="V12141" s="2"/>
      <c r="W12141" s="2"/>
      <c r="X12141" s="2"/>
      <c r="Y12141" s="2"/>
      <c r="Z12141" s="2"/>
    </row>
    <row r="12142" spans="1:26" ht="16.5" x14ac:dyDescent="0.35">
      <c r="A12142" s="2" t="str">
        <f ca="1">IFERROR(__xludf.DUMMYFUNCTION("""COMPUTED_VALUE"""),"Dubai")</f>
        <v>Dubai</v>
      </c>
      <c r="B12142" s="2" t="str">
        <f ca="1">IFERROR(__xludf.DUMMYFUNCTION("""COMPUTED_VALUE"""),"The Mall")</f>
        <v>The Mall</v>
      </c>
      <c r="C12142" s="2" t="str">
        <f ca="1">IFERROR(__xludf.DUMMYFUNCTION("""COMPUTED_VALUE"""),"Building")</f>
        <v>Building</v>
      </c>
      <c r="D12142" s="2" t="str">
        <f ca="1">IFERROR(__xludf.DUMMYFUNCTION("""COMPUTED_VALUE"""),"Dubai&gt;Umm Suqeim&gt;Umm Suqeim 3&gt;The Mall")</f>
        <v>Dubai&gt;Umm Suqeim&gt;Umm Suqeim 3&gt;The Mall</v>
      </c>
      <c r="E12142" s="2"/>
      <c r="F12142" s="2"/>
      <c r="G12142" s="2"/>
      <c r="H12142" s="2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2"/>
      <c r="T12142" s="2"/>
      <c r="U12142" s="2"/>
      <c r="V12142" s="2"/>
      <c r="W12142" s="2"/>
      <c r="X12142" s="2"/>
      <c r="Y12142" s="2"/>
      <c r="Z12142" s="2"/>
    </row>
    <row r="12143" spans="1:26" ht="16.5" x14ac:dyDescent="0.35">
      <c r="A12143" s="2" t="str">
        <f ca="1">IFERROR(__xludf.DUMMYFUNCTION("""COMPUTED_VALUE"""),"Dubai")</f>
        <v>Dubai</v>
      </c>
      <c r="B12143" s="2" t="str">
        <f ca="1">IFERROR(__xludf.DUMMYFUNCTION("""COMPUTED_VALUE"""),"Jomana 2")</f>
        <v>Jomana 2</v>
      </c>
      <c r="C12143" s="2" t="str">
        <f ca="1">IFERROR(__xludf.DUMMYFUNCTION("""COMPUTED_VALUE"""),"Building")</f>
        <v>Building</v>
      </c>
      <c r="D12143" s="2" t="str">
        <f ca="1">IFERROR(__xludf.DUMMYFUNCTION("""COMPUTED_VALUE"""),"Dubai&gt;Umm Suqeim&gt;Madinat Jumeirah Living&gt;Jomana&gt;Jomana 2")</f>
        <v>Dubai&gt;Umm Suqeim&gt;Madinat Jumeirah Living&gt;Jomana&gt;Jomana 2</v>
      </c>
      <c r="E12143" s="2"/>
      <c r="F12143" s="2"/>
      <c r="G12143" s="2"/>
      <c r="H12143" s="2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2"/>
      <c r="T12143" s="2"/>
      <c r="U12143" s="2"/>
      <c r="V12143" s="2"/>
      <c r="W12143" s="2"/>
      <c r="X12143" s="2"/>
      <c r="Y12143" s="2"/>
      <c r="Z12143" s="2"/>
    </row>
    <row r="12144" spans="1:26" ht="16.5" x14ac:dyDescent="0.35">
      <c r="A12144" s="2" t="str">
        <f ca="1">IFERROR(__xludf.DUMMYFUNCTION("""COMPUTED_VALUE"""),"Dubai")</f>
        <v>Dubai</v>
      </c>
      <c r="B12144" s="2" t="str">
        <f ca="1">IFERROR(__xludf.DUMMYFUNCTION("""COMPUTED_VALUE"""),"Umm Suqeim 1")</f>
        <v>Umm Suqeim 1</v>
      </c>
      <c r="C12144" s="2" t="str">
        <f ca="1">IFERROR(__xludf.DUMMYFUNCTION("""COMPUTED_VALUE"""),"Neighbourhood")</f>
        <v>Neighbourhood</v>
      </c>
      <c r="D12144" s="2" t="str">
        <f ca="1">IFERROR(__xludf.DUMMYFUNCTION("""COMPUTED_VALUE"""),"Dubai&gt;Umm Suqeim&gt;Umm Suqeim 1")</f>
        <v>Dubai&gt;Umm Suqeim&gt;Umm Suqeim 1</v>
      </c>
      <c r="E12144" s="2"/>
      <c r="F12144" s="2"/>
      <c r="G12144" s="2"/>
      <c r="H12144" s="2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2"/>
      <c r="T12144" s="2"/>
      <c r="U12144" s="2"/>
      <c r="V12144" s="2"/>
      <c r="W12144" s="2"/>
      <c r="X12144" s="2"/>
      <c r="Y12144" s="2"/>
      <c r="Z12144" s="2"/>
    </row>
    <row r="12145" spans="1:26" ht="16.5" x14ac:dyDescent="0.35">
      <c r="A12145" s="2" t="str">
        <f ca="1">IFERROR(__xludf.DUMMYFUNCTION("""COMPUTED_VALUE"""),"Dubai")</f>
        <v>Dubai</v>
      </c>
      <c r="B12145" s="2" t="str">
        <f ca="1">IFERROR(__xludf.DUMMYFUNCTION("""COMPUTED_VALUE"""),"Azizi Milan Heights Tower B")</f>
        <v>Azizi Milan Heights Tower B</v>
      </c>
      <c r="C12145" s="2" t="str">
        <f ca="1">IFERROR(__xludf.DUMMYFUNCTION("""COMPUTED_VALUE"""),"Building")</f>
        <v>Building</v>
      </c>
      <c r="D12145" s="2" t="str">
        <f ca="1">IFERROR(__xludf.DUMMYFUNCTION("""COMPUTED_VALUE"""),"Dubai&gt;City of Arabia&gt;Azizi Milan&gt;Azizi Milan Heights&gt;Azizi Milan Heights Tower B")</f>
        <v>Dubai&gt;City of Arabia&gt;Azizi Milan&gt;Azizi Milan Heights&gt;Azizi Milan Heights Tower B</v>
      </c>
      <c r="E12145" s="2"/>
      <c r="F12145" s="2"/>
      <c r="G12145" s="2"/>
      <c r="H12145" s="2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2"/>
      <c r="T12145" s="2"/>
      <c r="U12145" s="2"/>
      <c r="V12145" s="2"/>
      <c r="W12145" s="2"/>
      <c r="X12145" s="2"/>
      <c r="Y12145" s="2"/>
      <c r="Z12145" s="2"/>
    </row>
    <row r="12146" spans="1:26" ht="16.5" x14ac:dyDescent="0.35">
      <c r="A12146" s="2" t="str">
        <f ca="1">IFERROR(__xludf.DUMMYFUNCTION("""COMPUTED_VALUE"""),"Dubai")</f>
        <v>Dubai</v>
      </c>
      <c r="B12146" s="2" t="str">
        <f ca="1">IFERROR(__xludf.DUMMYFUNCTION("""COMPUTED_VALUE"""),"Al Suwaidi Family Building")</f>
        <v>Al Suwaidi Family Building</v>
      </c>
      <c r="C12146" s="2" t="str">
        <f ca="1">IFERROR(__xludf.DUMMYFUNCTION("""COMPUTED_VALUE"""),"Building")</f>
        <v>Building</v>
      </c>
      <c r="D12146" s="2" t="str">
        <f ca="1">IFERROR(__xludf.DUMMYFUNCTION("""COMPUTED_VALUE"""),"Dubai&gt;Al Badaa&gt;Al Suwaidi Family Building")</f>
        <v>Dubai&gt;Al Badaa&gt;Al Suwaidi Family Building</v>
      </c>
      <c r="E12146" s="2"/>
      <c r="F12146" s="2"/>
      <c r="G12146" s="2"/>
      <c r="H12146" s="2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2"/>
      <c r="T12146" s="2"/>
      <c r="U12146" s="2"/>
      <c r="V12146" s="2"/>
      <c r="W12146" s="2"/>
      <c r="X12146" s="2"/>
      <c r="Y12146" s="2"/>
      <c r="Z12146" s="2"/>
    </row>
    <row r="12147" spans="1:26" ht="16.5" x14ac:dyDescent="0.35">
      <c r="A12147" s="2" t="str">
        <f ca="1">IFERROR(__xludf.DUMMYFUNCTION("""COMPUTED_VALUE"""),"Dubai")</f>
        <v>Dubai</v>
      </c>
      <c r="B12147" s="2" t="str">
        <f ca="1">IFERROR(__xludf.DUMMYFUNCTION("""COMPUTED_VALUE"""),"Shaikha Maryam Building")</f>
        <v>Shaikha Maryam Building</v>
      </c>
      <c r="C12147" s="2" t="str">
        <f ca="1">IFERROR(__xludf.DUMMYFUNCTION("""COMPUTED_VALUE"""),"Building")</f>
        <v>Building</v>
      </c>
      <c r="D12147" s="2" t="str">
        <f ca="1">IFERROR(__xludf.DUMMYFUNCTION("""COMPUTED_VALUE"""),"Dubai&gt;Al Badaa&gt;Shaikha Maryam Building")</f>
        <v>Dubai&gt;Al Badaa&gt;Shaikha Maryam Building</v>
      </c>
      <c r="E12147" s="2"/>
      <c r="F12147" s="2"/>
      <c r="G12147" s="2"/>
      <c r="H12147" s="2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2"/>
      <c r="T12147" s="2"/>
      <c r="U12147" s="2"/>
      <c r="V12147" s="2"/>
      <c r="W12147" s="2"/>
      <c r="X12147" s="2"/>
      <c r="Y12147" s="2"/>
      <c r="Z12147" s="2"/>
    </row>
    <row r="12148" spans="1:26" ht="16.5" x14ac:dyDescent="0.35">
      <c r="A12148" s="2" t="str">
        <f ca="1">IFERROR(__xludf.DUMMYFUNCTION("""COMPUTED_VALUE"""),"Dubai")</f>
        <v>Dubai</v>
      </c>
      <c r="B12148" s="2" t="str">
        <f ca="1">IFERROR(__xludf.DUMMYFUNCTION("""COMPUTED_VALUE"""),"Manara 7")</f>
        <v>Manara 7</v>
      </c>
      <c r="C12148" s="2" t="str">
        <f ca="1">IFERROR(__xludf.DUMMYFUNCTION("""COMPUTED_VALUE"""),"Building")</f>
        <v>Building</v>
      </c>
      <c r="D12148" s="2" t="str">
        <f ca="1">IFERROR(__xludf.DUMMYFUNCTION("""COMPUTED_VALUE"""),"Dubai&gt;Dubai Waterfront&gt;Badrah&gt;Manara&gt;Manara 7")</f>
        <v>Dubai&gt;Dubai Waterfront&gt;Badrah&gt;Manara&gt;Manara 7</v>
      </c>
      <c r="E12148" s="2"/>
      <c r="F12148" s="2"/>
      <c r="G12148" s="2"/>
      <c r="H12148" s="2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2"/>
      <c r="T12148" s="2"/>
      <c r="U12148" s="2"/>
      <c r="V12148" s="2"/>
      <c r="W12148" s="2"/>
      <c r="X12148" s="2"/>
      <c r="Y12148" s="2"/>
      <c r="Z12148" s="2"/>
    </row>
    <row r="12149" spans="1:26" ht="16.5" x14ac:dyDescent="0.35">
      <c r="A12149" s="2" t="str">
        <f ca="1">IFERROR(__xludf.DUMMYFUNCTION("""COMPUTED_VALUE"""),"Dubai")</f>
        <v>Dubai</v>
      </c>
      <c r="B12149" s="2" t="str">
        <f ca="1">IFERROR(__xludf.DUMMYFUNCTION("""COMPUTED_VALUE"""),"Al Rashidiya")</f>
        <v>Al Rashidiya</v>
      </c>
      <c r="C12149" s="2" t="str">
        <f ca="1">IFERROR(__xludf.DUMMYFUNCTION("""COMPUTED_VALUE"""),"Neighbourhood")</f>
        <v>Neighbourhood</v>
      </c>
      <c r="D12149" s="2" t="str">
        <f ca="1">IFERROR(__xludf.DUMMYFUNCTION("""COMPUTED_VALUE"""),"Dubai&gt;Al Rashidiya")</f>
        <v>Dubai&gt;Al Rashidiya</v>
      </c>
      <c r="E12149" s="2"/>
      <c r="F12149" s="2"/>
      <c r="G12149" s="2"/>
      <c r="H12149" s="2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2"/>
      <c r="T12149" s="2"/>
      <c r="U12149" s="2"/>
      <c r="V12149" s="2"/>
      <c r="W12149" s="2"/>
      <c r="X12149" s="2"/>
      <c r="Y12149" s="2"/>
      <c r="Z12149" s="2"/>
    </row>
    <row r="12150" spans="1:26" ht="16.5" x14ac:dyDescent="0.35">
      <c r="A12150" s="2" t="str">
        <f ca="1">IFERROR(__xludf.DUMMYFUNCTION("""COMPUTED_VALUE"""),"Dubai")</f>
        <v>Dubai</v>
      </c>
      <c r="B12150" s="2" t="str">
        <f ca="1">IFERROR(__xludf.DUMMYFUNCTION("""COMPUTED_VALUE"""),"Building 1B")</f>
        <v>Building 1B</v>
      </c>
      <c r="C12150" s="2" t="str">
        <f ca="1">IFERROR(__xludf.DUMMYFUNCTION("""COMPUTED_VALUE"""),"Building")</f>
        <v>Building</v>
      </c>
      <c r="D12150" s="2" t="str">
        <f ca="1">IFERROR(__xludf.DUMMYFUNCTION("""COMPUTED_VALUE"""),"Dubai&gt;Dubai Design District&gt;Dubai Design District Building 1&gt;Building 1B")</f>
        <v>Dubai&gt;Dubai Design District&gt;Dubai Design District Building 1&gt;Building 1B</v>
      </c>
      <c r="E12150" s="2"/>
      <c r="F12150" s="2"/>
      <c r="G12150" s="2"/>
      <c r="H12150" s="2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2"/>
      <c r="T12150" s="2"/>
      <c r="U12150" s="2"/>
      <c r="V12150" s="2"/>
      <c r="W12150" s="2"/>
      <c r="X12150" s="2"/>
      <c r="Y12150" s="2"/>
      <c r="Z12150" s="2"/>
    </row>
    <row r="12151" spans="1:26" ht="16.5" x14ac:dyDescent="0.35">
      <c r="A12151" s="2" t="str">
        <f ca="1">IFERROR(__xludf.DUMMYFUNCTION("""COMPUTED_VALUE"""),"Dubai")</f>
        <v>Dubai</v>
      </c>
      <c r="B12151" s="2" t="str">
        <f ca="1">IFERROR(__xludf.DUMMYFUNCTION("""COMPUTED_VALUE"""),"Al Jarsh Building")</f>
        <v>Al Jarsh Building</v>
      </c>
      <c r="C12151" s="2" t="str">
        <f ca="1">IFERROR(__xludf.DUMMYFUNCTION("""COMPUTED_VALUE"""),"Building")</f>
        <v>Building</v>
      </c>
      <c r="D12151" s="2" t="str">
        <f ca="1">IFERROR(__xludf.DUMMYFUNCTION("""COMPUTED_VALUE"""),"Dubai&gt;Al Hudaiba&gt;Al Jarsh Building")</f>
        <v>Dubai&gt;Al Hudaiba&gt;Al Jarsh Building</v>
      </c>
      <c r="E12151" s="2"/>
      <c r="F12151" s="2"/>
      <c r="G12151" s="2"/>
      <c r="H12151" s="2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2"/>
      <c r="T12151" s="2"/>
      <c r="U12151" s="2"/>
      <c r="V12151" s="2"/>
      <c r="W12151" s="2"/>
      <c r="X12151" s="2"/>
      <c r="Y12151" s="2"/>
      <c r="Z12151" s="2"/>
    </row>
    <row r="12152" spans="1:26" ht="16.5" x14ac:dyDescent="0.35">
      <c r="A12152" s="2" t="str">
        <f ca="1">IFERROR(__xludf.DUMMYFUNCTION("""COMPUTED_VALUE"""),"Dubai")</f>
        <v>Dubai</v>
      </c>
      <c r="B12152" s="2" t="str">
        <f ca="1">IFERROR(__xludf.DUMMYFUNCTION("""COMPUTED_VALUE"""),"Century Plaza")</f>
        <v>Century Plaza</v>
      </c>
      <c r="C12152" s="2" t="str">
        <f ca="1">IFERROR(__xludf.DUMMYFUNCTION("""COMPUTED_VALUE"""),"Building")</f>
        <v>Building</v>
      </c>
      <c r="D12152" s="2" t="str">
        <f ca="1">IFERROR(__xludf.DUMMYFUNCTION("""COMPUTED_VALUE"""),"Dubai&gt;Jumeirah&gt;Jumeirah 1&gt;Century Plaza")</f>
        <v>Dubai&gt;Jumeirah&gt;Jumeirah 1&gt;Century Plaza</v>
      </c>
      <c r="E12152" s="2"/>
      <c r="F12152" s="2"/>
      <c r="G12152" s="2"/>
      <c r="H12152" s="2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2"/>
      <c r="T12152" s="2"/>
      <c r="U12152" s="2"/>
      <c r="V12152" s="2"/>
      <c r="W12152" s="2"/>
      <c r="X12152" s="2"/>
      <c r="Y12152" s="2"/>
      <c r="Z12152" s="2"/>
    </row>
    <row r="12153" spans="1:26" ht="16.5" x14ac:dyDescent="0.35">
      <c r="A12153" s="2" t="str">
        <f ca="1">IFERROR(__xludf.DUMMYFUNCTION("""COMPUTED_VALUE"""),"Dubai")</f>
        <v>Dubai</v>
      </c>
      <c r="B12153" s="2" t="str">
        <f ca="1">IFERROR(__xludf.DUMMYFUNCTION("""COMPUTED_VALUE"""),"Sea Mirror")</f>
        <v>Sea Mirror</v>
      </c>
      <c r="C12153" s="2" t="str">
        <f ca="1">IFERROR(__xludf.DUMMYFUNCTION("""COMPUTED_VALUE"""),"Neighbourhood")</f>
        <v>Neighbourhood</v>
      </c>
      <c r="D12153" s="2" t="str">
        <f ca="1">IFERROR(__xludf.DUMMYFUNCTION("""COMPUTED_VALUE"""),"Dubai&gt;Jumeirah&gt;Jumeirah Bay Islands&gt;Sea Mirror")</f>
        <v>Dubai&gt;Jumeirah&gt;Jumeirah Bay Islands&gt;Sea Mirror</v>
      </c>
      <c r="E12153" s="2"/>
      <c r="F12153" s="2"/>
      <c r="G12153" s="2"/>
      <c r="H12153" s="2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2"/>
      <c r="T12153" s="2"/>
      <c r="U12153" s="2"/>
      <c r="V12153" s="2"/>
      <c r="W12153" s="2"/>
      <c r="X12153" s="2"/>
      <c r="Y12153" s="2"/>
      <c r="Z12153" s="2"/>
    </row>
    <row r="12154" spans="1:26" ht="16.5" x14ac:dyDescent="0.35">
      <c r="A12154" s="2" t="str">
        <f ca="1">IFERROR(__xludf.DUMMYFUNCTION("""COMPUTED_VALUE"""),"Dubai")</f>
        <v>Dubai</v>
      </c>
      <c r="B12154" s="2" t="str">
        <f ca="1">IFERROR(__xludf.DUMMYFUNCTION("""COMPUTED_VALUE"""),"La Rive Tower 2")</f>
        <v>La Rive Tower 2</v>
      </c>
      <c r="C12154" s="2" t="str">
        <f ca="1">IFERROR(__xludf.DUMMYFUNCTION("""COMPUTED_VALUE"""),"Building")</f>
        <v>Building</v>
      </c>
      <c r="D12154" s="2" t="str">
        <f ca="1">IFERROR(__xludf.DUMMYFUNCTION("""COMPUTED_VALUE"""),"Dubai&gt;Jumeirah&gt;La Mer&gt;Port de La Mer&gt;La Rive&gt;La Rive Tower 2")</f>
        <v>Dubai&gt;Jumeirah&gt;La Mer&gt;Port de La Mer&gt;La Rive&gt;La Rive Tower 2</v>
      </c>
      <c r="E12154" s="2"/>
      <c r="F12154" s="2"/>
      <c r="G12154" s="2"/>
      <c r="H12154" s="2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2"/>
      <c r="T12154" s="2"/>
      <c r="U12154" s="2"/>
      <c r="V12154" s="2"/>
      <c r="W12154" s="2"/>
      <c r="X12154" s="2"/>
      <c r="Y12154" s="2"/>
      <c r="Z12154" s="2"/>
    </row>
    <row r="12155" spans="1:26" ht="16.5" x14ac:dyDescent="0.35">
      <c r="A12155" s="2" t="str">
        <f ca="1">IFERROR(__xludf.DUMMYFUNCTION("""COMPUTED_VALUE"""),"Dubai")</f>
        <v>Dubai</v>
      </c>
      <c r="B12155" s="2" t="str">
        <f ca="1">IFERROR(__xludf.DUMMYFUNCTION("""COMPUTED_VALUE"""),"Solaya 3")</f>
        <v>Solaya 3</v>
      </c>
      <c r="C12155" s="2" t="str">
        <f ca="1">IFERROR(__xludf.DUMMYFUNCTION("""COMPUTED_VALUE"""),"Building")</f>
        <v>Building</v>
      </c>
      <c r="D12155" s="2" t="str">
        <f ca="1">IFERROR(__xludf.DUMMYFUNCTION("""COMPUTED_VALUE"""),"Dubai&gt;Jumeirah&gt;La Mer&gt;Solaya&gt;Solaya 3")</f>
        <v>Dubai&gt;Jumeirah&gt;La Mer&gt;Solaya&gt;Solaya 3</v>
      </c>
      <c r="E12155" s="2"/>
      <c r="F12155" s="2"/>
      <c r="G12155" s="2"/>
      <c r="H12155" s="2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2"/>
      <c r="T12155" s="2"/>
      <c r="U12155" s="2"/>
      <c r="V12155" s="2"/>
      <c r="W12155" s="2"/>
      <c r="X12155" s="2"/>
      <c r="Y12155" s="2"/>
      <c r="Z12155" s="2"/>
    </row>
    <row r="12156" spans="1:26" ht="16.5" x14ac:dyDescent="0.35">
      <c r="A12156" s="2" t="str">
        <f ca="1">IFERROR(__xludf.DUMMYFUNCTION("""COMPUTED_VALUE"""),"Dubai")</f>
        <v>Dubai</v>
      </c>
      <c r="B12156" s="2" t="str">
        <f ca="1">IFERROR(__xludf.DUMMYFUNCTION("""COMPUTED_VALUE"""),"Harbour Gate Tower 2")</f>
        <v>Harbour Gate Tower 2</v>
      </c>
      <c r="C12156" s="2" t="str">
        <f ca="1">IFERROR(__xludf.DUMMYFUNCTION("""COMPUTED_VALUE"""),"Building")</f>
        <v>Building</v>
      </c>
      <c r="D12156" s="2" t="str">
        <f ca="1">IFERROR(__xludf.DUMMYFUNCTION("""COMPUTED_VALUE"""),"Dubai&gt;Dubai Creek Harbour&gt;Harbour Gate&gt;Harbour Gate Tower 2")</f>
        <v>Dubai&gt;Dubai Creek Harbour&gt;Harbour Gate&gt;Harbour Gate Tower 2</v>
      </c>
      <c r="E12156" s="2"/>
      <c r="F12156" s="2"/>
      <c r="G12156" s="2"/>
      <c r="H12156" s="2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2"/>
      <c r="T12156" s="2"/>
      <c r="U12156" s="2"/>
      <c r="V12156" s="2"/>
      <c r="W12156" s="2"/>
      <c r="X12156" s="2"/>
      <c r="Y12156" s="2"/>
      <c r="Z12156" s="2"/>
    </row>
    <row r="12157" spans="1:26" ht="16.5" x14ac:dyDescent="0.35">
      <c r="A12157" s="2" t="str">
        <f ca="1">IFERROR(__xludf.DUMMYFUNCTION("""COMPUTED_VALUE"""),"Dubai")</f>
        <v>Dubai</v>
      </c>
      <c r="B12157" s="2" t="str">
        <f ca="1">IFERROR(__xludf.DUMMYFUNCTION("""COMPUTED_VALUE"""),"Creek Palace")</f>
        <v>Creek Palace</v>
      </c>
      <c r="C12157" s="2" t="str">
        <f ca="1">IFERROR(__xludf.DUMMYFUNCTION("""COMPUTED_VALUE"""),"Building")</f>
        <v>Building</v>
      </c>
      <c r="D12157" s="2" t="str">
        <f ca="1">IFERROR(__xludf.DUMMYFUNCTION("""COMPUTED_VALUE"""),"Dubai&gt;Dubai Creek Harbour&gt;Creek Palace")</f>
        <v>Dubai&gt;Dubai Creek Harbour&gt;Creek Palace</v>
      </c>
      <c r="E12157" s="2"/>
      <c r="F12157" s="2"/>
      <c r="G12157" s="2"/>
      <c r="H12157" s="2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2"/>
      <c r="T12157" s="2"/>
      <c r="U12157" s="2"/>
      <c r="V12157" s="2"/>
      <c r="W12157" s="2"/>
      <c r="X12157" s="2"/>
      <c r="Y12157" s="2"/>
      <c r="Z12157" s="2"/>
    </row>
    <row r="12158" spans="1:26" ht="16.5" x14ac:dyDescent="0.35">
      <c r="A12158" s="2" t="str">
        <f ca="1">IFERROR(__xludf.DUMMYFUNCTION("""COMPUTED_VALUE"""),"Dubai")</f>
        <v>Dubai</v>
      </c>
      <c r="B12158" s="2" t="str">
        <f ca="1">IFERROR(__xludf.DUMMYFUNCTION("""COMPUTED_VALUE"""),"The Cove II Building 7")</f>
        <v>The Cove II Building 7</v>
      </c>
      <c r="C12158" s="2" t="str">
        <f ca="1">IFERROR(__xludf.DUMMYFUNCTION("""COMPUTED_VALUE"""),"Building")</f>
        <v>Building</v>
      </c>
      <c r="D12158" s="2" t="str">
        <f ca="1">IFERROR(__xludf.DUMMYFUNCTION("""COMPUTED_VALUE"""),"Dubai&gt;Dubai Creek Harbour&gt;The Cove II&gt;The Cove II Building 7")</f>
        <v>Dubai&gt;Dubai Creek Harbour&gt;The Cove II&gt;The Cove II Building 7</v>
      </c>
      <c r="E12158" s="2"/>
      <c r="F12158" s="2"/>
      <c r="G12158" s="2"/>
      <c r="H12158" s="2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2"/>
      <c r="T12158" s="2"/>
      <c r="U12158" s="2"/>
      <c r="V12158" s="2"/>
      <c r="W12158" s="2"/>
      <c r="X12158" s="2"/>
      <c r="Y12158" s="2"/>
      <c r="Z12158" s="2"/>
    </row>
    <row r="12159" spans="1:26" ht="16.5" x14ac:dyDescent="0.35">
      <c r="A12159" s="2" t="str">
        <f ca="1">IFERROR(__xludf.DUMMYFUNCTION("""COMPUTED_VALUE"""),"Dubai")</f>
        <v>Dubai</v>
      </c>
      <c r="B12159" s="2" t="str">
        <f ca="1">IFERROR(__xludf.DUMMYFUNCTION("""COMPUTED_VALUE"""),"Canopy at Creek Beach Building 3")</f>
        <v>Canopy at Creek Beach Building 3</v>
      </c>
      <c r="C12159" s="2" t="str">
        <f ca="1">IFERROR(__xludf.DUMMYFUNCTION("""COMPUTED_VALUE"""),"Building")</f>
        <v>Building</v>
      </c>
      <c r="D12159" s="2" t="str">
        <f ca="1">IFERROR(__xludf.DUMMYFUNCTION("""COMPUTED_VALUE"""),"Dubai&gt;Dubai Creek Harbour&gt;Canopy at Creek Beach&gt;Canopy at Creek Beach Building 3")</f>
        <v>Dubai&gt;Dubai Creek Harbour&gt;Canopy at Creek Beach&gt;Canopy at Creek Beach Building 3</v>
      </c>
      <c r="E12159" s="2"/>
      <c r="F12159" s="2"/>
      <c r="G12159" s="2"/>
      <c r="H12159" s="2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2"/>
      <c r="T12159" s="2"/>
      <c r="U12159" s="2"/>
      <c r="V12159" s="2"/>
      <c r="W12159" s="2"/>
      <c r="X12159" s="2"/>
      <c r="Y12159" s="2"/>
      <c r="Z12159" s="2"/>
    </row>
    <row r="12160" spans="1:26" ht="16.5" x14ac:dyDescent="0.35">
      <c r="A12160" s="2" t="str">
        <f ca="1">IFERROR(__xludf.DUMMYFUNCTION("""COMPUTED_VALUE"""),"Dubai")</f>
        <v>Dubai</v>
      </c>
      <c r="B12160" s="2" t="str">
        <f ca="1">IFERROR(__xludf.DUMMYFUNCTION("""COMPUTED_VALUE"""),"Sky Central Hotel (TRYP by Wyndham)")</f>
        <v>Sky Central Hotel (TRYP by Wyndham)</v>
      </c>
      <c r="C12160" s="2" t="str">
        <f ca="1">IFERROR(__xludf.DUMMYFUNCTION("""COMPUTED_VALUE"""),"Building")</f>
        <v>Building</v>
      </c>
      <c r="D12160" s="2" t="str">
        <f ca="1">IFERROR(__xludf.DUMMYFUNCTION("""COMPUTED_VALUE"""),"Dubai&gt;Barsha Heights (Tecom)&gt;Sky Central Hotel (TRYP by Wyndham)")</f>
        <v>Dubai&gt;Barsha Heights (Tecom)&gt;Sky Central Hotel (TRYP by Wyndham)</v>
      </c>
      <c r="E12160" s="2"/>
      <c r="F12160" s="2"/>
      <c r="G12160" s="2"/>
      <c r="H12160" s="2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2"/>
      <c r="T12160" s="2"/>
      <c r="U12160" s="2"/>
      <c r="V12160" s="2"/>
      <c r="W12160" s="2"/>
      <c r="X12160" s="2"/>
      <c r="Y12160" s="2"/>
      <c r="Z12160" s="2"/>
    </row>
    <row r="12161" spans="1:26" ht="16.5" x14ac:dyDescent="0.35">
      <c r="A12161" s="2" t="str">
        <f ca="1">IFERROR(__xludf.DUMMYFUNCTION("""COMPUTED_VALUE"""),"Dubai")</f>
        <v>Dubai</v>
      </c>
      <c r="B12161" s="2" t="str">
        <f ca="1">IFERROR(__xludf.DUMMYFUNCTION("""COMPUTED_VALUE"""),"Green View 1")</f>
        <v>Green View 1</v>
      </c>
      <c r="C12161" s="2" t="str">
        <f ca="1">IFERROR(__xludf.DUMMYFUNCTION("""COMPUTED_VALUE"""),"Building")</f>
        <v>Building</v>
      </c>
      <c r="D12161" s="2" t="str">
        <f ca="1">IFERROR(__xludf.DUMMYFUNCTION("""COMPUTED_VALUE"""),"Dubai&gt;Barsha Heights (Tecom)&gt;Green View Residences&gt;Green View 1")</f>
        <v>Dubai&gt;Barsha Heights (Tecom)&gt;Green View Residences&gt;Green View 1</v>
      </c>
      <c r="E12161" s="2"/>
      <c r="F12161" s="2"/>
      <c r="G12161" s="2"/>
      <c r="H12161" s="2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2"/>
      <c r="T12161" s="2"/>
      <c r="U12161" s="2"/>
      <c r="V12161" s="2"/>
      <c r="W12161" s="2"/>
      <c r="X12161" s="2"/>
      <c r="Y12161" s="2"/>
      <c r="Z12161" s="2"/>
    </row>
    <row r="12162" spans="1:26" ht="16.5" x14ac:dyDescent="0.35">
      <c r="A12162" s="2" t="str">
        <f ca="1">IFERROR(__xludf.DUMMYFUNCTION("""COMPUTED_VALUE"""),"Dubai")</f>
        <v>Dubai</v>
      </c>
      <c r="B12162" s="2" t="str">
        <f ca="1">IFERROR(__xludf.DUMMYFUNCTION("""COMPUTED_VALUE"""),"Yas 1")</f>
        <v>Yas 1</v>
      </c>
      <c r="C12162" s="2" t="str">
        <f ca="1">IFERROR(__xludf.DUMMYFUNCTION("""COMPUTED_VALUE"""),"Building")</f>
        <v>Building</v>
      </c>
      <c r="D12162" s="2" t="str">
        <f ca="1">IFERROR(__xludf.DUMMYFUNCTION("""COMPUTED_VALUE"""),"Dubai&gt;Barsha Heights (Tecom)&gt;Yas 1")</f>
        <v>Dubai&gt;Barsha Heights (Tecom)&gt;Yas 1</v>
      </c>
      <c r="E12162" s="2"/>
      <c r="F12162" s="2"/>
      <c r="G12162" s="2"/>
      <c r="H12162" s="2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2"/>
      <c r="T12162" s="2"/>
      <c r="U12162" s="2"/>
      <c r="V12162" s="2"/>
      <c r="W12162" s="2"/>
      <c r="X12162" s="2"/>
      <c r="Y12162" s="2"/>
      <c r="Z12162" s="2"/>
    </row>
    <row r="12163" spans="1:26" ht="16.5" x14ac:dyDescent="0.35">
      <c r="A12163" s="2" t="str">
        <f ca="1">IFERROR(__xludf.DUMMYFUNCTION("""COMPUTED_VALUE"""),"Dubai")</f>
        <v>Dubai</v>
      </c>
      <c r="B12163" s="2" t="str">
        <f ca="1">IFERROR(__xludf.DUMMYFUNCTION("""COMPUTED_VALUE"""),"Ramada by Wyndham")</f>
        <v>Ramada by Wyndham</v>
      </c>
      <c r="C12163" s="2" t="str">
        <f ca="1">IFERROR(__xludf.DUMMYFUNCTION("""COMPUTED_VALUE"""),"Building")</f>
        <v>Building</v>
      </c>
      <c r="D12163" s="2" t="str">
        <f ca="1">IFERROR(__xludf.DUMMYFUNCTION("""COMPUTED_VALUE"""),"Dubai&gt;Barsha Heights (Tecom)&gt;Ramada by Wyndham")</f>
        <v>Dubai&gt;Barsha Heights (Tecom)&gt;Ramada by Wyndham</v>
      </c>
      <c r="E12163" s="2"/>
      <c r="F12163" s="2"/>
      <c r="G12163" s="2"/>
      <c r="H12163" s="2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2"/>
      <c r="T12163" s="2"/>
      <c r="U12163" s="2"/>
      <c r="V12163" s="2"/>
      <c r="W12163" s="2"/>
      <c r="X12163" s="2"/>
      <c r="Y12163" s="2"/>
      <c r="Z12163" s="2"/>
    </row>
    <row r="12164" spans="1:26" ht="16.5" x14ac:dyDescent="0.35">
      <c r="A12164" s="2" t="str">
        <f ca="1">IFERROR(__xludf.DUMMYFUNCTION("""COMPUTED_VALUE"""),"Dubai")</f>
        <v>Dubai</v>
      </c>
      <c r="B12164" s="2" t="str">
        <f ca="1">IFERROR(__xludf.DUMMYFUNCTION("""COMPUTED_VALUE"""),"Green Community (Motor City)")</f>
        <v>Green Community (Motor City)</v>
      </c>
      <c r="C12164" s="2" t="str">
        <f ca="1">IFERROR(__xludf.DUMMYFUNCTION("""COMPUTED_VALUE"""),"Neighbourhood")</f>
        <v>Neighbourhood</v>
      </c>
      <c r="D12164" s="2" t="str">
        <f ca="1">IFERROR(__xludf.DUMMYFUNCTION("""COMPUTED_VALUE"""),"Dubai&gt;Motor City&gt;Green Community (Motor City)")</f>
        <v>Dubai&gt;Motor City&gt;Green Community (Motor City)</v>
      </c>
      <c r="E12164" s="2"/>
      <c r="F12164" s="2"/>
      <c r="G12164" s="2"/>
      <c r="H12164" s="2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2"/>
      <c r="T12164" s="2"/>
      <c r="U12164" s="2"/>
      <c r="V12164" s="2"/>
      <c r="W12164" s="2"/>
      <c r="X12164" s="2"/>
      <c r="Y12164" s="2"/>
      <c r="Z12164" s="2"/>
    </row>
    <row r="12165" spans="1:26" ht="16.5" x14ac:dyDescent="0.35">
      <c r="A12165" s="2" t="str">
        <f ca="1">IFERROR(__xludf.DUMMYFUNCTION("""COMPUTED_VALUE"""),"Dubai")</f>
        <v>Dubai</v>
      </c>
      <c r="B12165" s="2" t="str">
        <f ca="1">IFERROR(__xludf.DUMMYFUNCTION("""COMPUTED_VALUE"""),"Claverton House 1")</f>
        <v>Claverton House 1</v>
      </c>
      <c r="C12165" s="2" t="str">
        <f ca="1">IFERROR(__xludf.DUMMYFUNCTION("""COMPUTED_VALUE"""),"Building")</f>
        <v>Building</v>
      </c>
      <c r="D12165" s="2" t="str">
        <f ca="1">IFERROR(__xludf.DUMMYFUNCTION("""COMPUTED_VALUE"""),"Dubai&gt;Motor City&gt;Uptown Motor City&gt;Claverton House&gt;Claverton House 1")</f>
        <v>Dubai&gt;Motor City&gt;Uptown Motor City&gt;Claverton House&gt;Claverton House 1</v>
      </c>
      <c r="E12165" s="2"/>
      <c r="F12165" s="2"/>
      <c r="G12165" s="2"/>
      <c r="H12165" s="2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2"/>
      <c r="T12165" s="2"/>
      <c r="U12165" s="2"/>
      <c r="V12165" s="2"/>
      <c r="W12165" s="2"/>
      <c r="X12165" s="2"/>
      <c r="Y12165" s="2"/>
      <c r="Z12165" s="2"/>
    </row>
    <row r="12166" spans="1:26" ht="16.5" x14ac:dyDescent="0.35">
      <c r="A12166" s="2" t="str">
        <f ca="1">IFERROR(__xludf.DUMMYFUNCTION("""COMPUTED_VALUE"""),"Dubai")</f>
        <v>Dubai</v>
      </c>
      <c r="B12166" s="2" t="str">
        <f ca="1">IFERROR(__xludf.DUMMYFUNCTION("""COMPUTED_VALUE"""),"Fox Hill 2")</f>
        <v>Fox Hill 2</v>
      </c>
      <c r="C12166" s="2" t="str">
        <f ca="1">IFERROR(__xludf.DUMMYFUNCTION("""COMPUTED_VALUE"""),"Building")</f>
        <v>Building</v>
      </c>
      <c r="D12166" s="2" t="str">
        <f ca="1">IFERROR(__xludf.DUMMYFUNCTION("""COMPUTED_VALUE"""),"Dubai&gt;Motor City&gt;Uptown Motor City&gt;Fox Hill&gt;Fox Hill 2")</f>
        <v>Dubai&gt;Motor City&gt;Uptown Motor City&gt;Fox Hill&gt;Fox Hill 2</v>
      </c>
      <c r="E12166" s="2"/>
      <c r="F12166" s="2"/>
      <c r="G12166" s="2"/>
      <c r="H12166" s="2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2"/>
      <c r="T12166" s="2"/>
      <c r="U12166" s="2"/>
      <c r="V12166" s="2"/>
      <c r="W12166" s="2"/>
      <c r="X12166" s="2"/>
      <c r="Y12166" s="2"/>
      <c r="Z12166" s="2"/>
    </row>
    <row r="12167" spans="1:26" ht="16.5" x14ac:dyDescent="0.35">
      <c r="A12167" s="2" t="str">
        <f ca="1">IFERROR(__xludf.DUMMYFUNCTION("""COMPUTED_VALUE"""),"Dubai")</f>
        <v>Dubai</v>
      </c>
      <c r="B12167" s="2" t="str">
        <f ca="1">IFERROR(__xludf.DUMMYFUNCTION("""COMPUTED_VALUE"""),"Lootah Avenue")</f>
        <v>Lootah Avenue</v>
      </c>
      <c r="C12167" s="2" t="str">
        <f ca="1">IFERROR(__xludf.DUMMYFUNCTION("""COMPUTED_VALUE"""),"Building")</f>
        <v>Building</v>
      </c>
      <c r="D12167" s="2" t="str">
        <f ca="1">IFERROR(__xludf.DUMMYFUNCTION("""COMPUTED_VALUE"""),"Dubai&gt;Motor City&gt;Lootah Avenue")</f>
        <v>Dubai&gt;Motor City&gt;Lootah Avenue</v>
      </c>
      <c r="E12167" s="2"/>
      <c r="F12167" s="2"/>
      <c r="G12167" s="2"/>
      <c r="H12167" s="2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2"/>
      <c r="T12167" s="2"/>
      <c r="U12167" s="2"/>
      <c r="V12167" s="2"/>
      <c r="W12167" s="2"/>
      <c r="X12167" s="2"/>
      <c r="Y12167" s="2"/>
      <c r="Z12167" s="2"/>
    </row>
    <row r="12168" spans="1:26" ht="16.5" x14ac:dyDescent="0.35">
      <c r="A12168" s="2" t="str">
        <f ca="1">IFERROR(__xludf.DUMMYFUNCTION("""COMPUTED_VALUE"""),"Dubai")</f>
        <v>Dubai</v>
      </c>
      <c r="B12168" s="2" t="str">
        <f ca="1">IFERROR(__xludf.DUMMYFUNCTION("""COMPUTED_VALUE"""),"Mirdad 2")</f>
        <v>Mirdad 2</v>
      </c>
      <c r="C12168" s="2" t="str">
        <f ca="1">IFERROR(__xludf.DUMMYFUNCTION("""COMPUTED_VALUE"""),"Building")</f>
        <v>Building</v>
      </c>
      <c r="D12168" s="2" t="str">
        <f ca="1">IFERROR(__xludf.DUMMYFUNCTION("""COMPUTED_VALUE"""),"Dubai&gt;Motor City&gt;Mirdad&gt;Mirdad 2")</f>
        <v>Dubai&gt;Motor City&gt;Mirdad&gt;Mirdad 2</v>
      </c>
      <c r="E12168" s="2"/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2"/>
      <c r="T12168" s="2"/>
      <c r="U12168" s="2"/>
      <c r="V12168" s="2"/>
      <c r="W12168" s="2"/>
      <c r="X12168" s="2"/>
      <c r="Y12168" s="2"/>
      <c r="Z12168" s="2"/>
    </row>
    <row r="12169" spans="1:26" ht="16.5" x14ac:dyDescent="0.35">
      <c r="A12169" s="2" t="str">
        <f ca="1">IFERROR(__xludf.DUMMYFUNCTION("""COMPUTED_VALUE"""),"Dubai")</f>
        <v>Dubai</v>
      </c>
      <c r="B12169" s="2" t="str">
        <f ca="1">IFERROR(__xludf.DUMMYFUNCTION("""COMPUTED_VALUE"""),"Biltmore Sufouh")</f>
        <v>Biltmore Sufouh</v>
      </c>
      <c r="C12169" s="2" t="str">
        <f ca="1">IFERROR(__xludf.DUMMYFUNCTION("""COMPUTED_VALUE"""),"Building")</f>
        <v>Building</v>
      </c>
      <c r="D12169" s="2" t="str">
        <f ca="1">IFERROR(__xludf.DUMMYFUNCTION("""COMPUTED_VALUE"""),"Dubai&gt;Al Sufouh&gt;Al Sufouh 1&gt;Biltmore Sufouh")</f>
        <v>Dubai&gt;Al Sufouh&gt;Al Sufouh 1&gt;Biltmore Sufouh</v>
      </c>
      <c r="E12169" s="2"/>
      <c r="F12169" s="2"/>
      <c r="G12169" s="2"/>
      <c r="H12169" s="2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2"/>
      <c r="T12169" s="2"/>
      <c r="U12169" s="2"/>
      <c r="V12169" s="2"/>
      <c r="W12169" s="2"/>
      <c r="X12169" s="2"/>
      <c r="Y12169" s="2"/>
      <c r="Z12169" s="2"/>
    </row>
    <row r="12170" spans="1:26" ht="16.5" x14ac:dyDescent="0.35">
      <c r="A12170" s="2" t="str">
        <f ca="1">IFERROR(__xludf.DUMMYFUNCTION("""COMPUTED_VALUE"""),"Dubai")</f>
        <v>Dubai</v>
      </c>
      <c r="B12170" s="2" t="str">
        <f ca="1">IFERROR(__xludf.DUMMYFUNCTION("""COMPUTED_VALUE"""),"Boutique Office 8")</f>
        <v>Boutique Office 8</v>
      </c>
      <c r="C12170" s="2" t="str">
        <f ca="1">IFERROR(__xludf.DUMMYFUNCTION("""COMPUTED_VALUE"""),"Building")</f>
        <v>Building</v>
      </c>
      <c r="D12170" s="2" t="str">
        <f ca="1">IFERROR(__xludf.DUMMYFUNCTION("""COMPUTED_VALUE"""),"Dubai&gt;Al Sufouh&gt;Al Sufouh 2&gt;Boutique Offices&gt;Boutique Office 8")</f>
        <v>Dubai&gt;Al Sufouh&gt;Al Sufouh 2&gt;Boutique Offices&gt;Boutique Office 8</v>
      </c>
      <c r="E12170" s="2"/>
      <c r="F12170" s="2"/>
      <c r="G12170" s="2"/>
      <c r="H12170" s="2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2"/>
      <c r="T12170" s="2"/>
      <c r="U12170" s="2"/>
      <c r="V12170" s="2"/>
      <c r="W12170" s="2"/>
      <c r="X12170" s="2"/>
      <c r="Y12170" s="2"/>
      <c r="Z12170" s="2"/>
    </row>
    <row r="12171" spans="1:26" ht="16.5" x14ac:dyDescent="0.35">
      <c r="A12171" s="2" t="str">
        <f ca="1">IFERROR(__xludf.DUMMYFUNCTION("""COMPUTED_VALUE"""),"Dubai")</f>
        <v>Dubai</v>
      </c>
      <c r="B12171" s="2" t="str">
        <f ca="1">IFERROR(__xludf.DUMMYFUNCTION("""COMPUTED_VALUE"""),"Al Badia Condo 6")</f>
        <v>Al Badia Condo 6</v>
      </c>
      <c r="C12171" s="2" t="str">
        <f ca="1">IFERROR(__xludf.DUMMYFUNCTION("""COMPUTED_VALUE"""),"Building")</f>
        <v>Building</v>
      </c>
      <c r="D12171" s="2" t="str">
        <f ca="1">IFERROR(__xludf.DUMMYFUNCTION("""COMPUTED_VALUE"""),"Dubai&gt;Dubai Festival City&gt;Al Badia Hillside Village&gt;Al Badia Condo 6")</f>
        <v>Dubai&gt;Dubai Festival City&gt;Al Badia Hillside Village&gt;Al Badia Condo 6</v>
      </c>
      <c r="E12171" s="2"/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2"/>
      <c r="T12171" s="2"/>
      <c r="U12171" s="2"/>
      <c r="V12171" s="2"/>
      <c r="W12171" s="2"/>
      <c r="X12171" s="2"/>
      <c r="Y12171" s="2"/>
      <c r="Z12171" s="2"/>
    </row>
    <row r="12172" spans="1:26" ht="16.5" x14ac:dyDescent="0.35">
      <c r="A12172" s="2" t="str">
        <f ca="1">IFERROR(__xludf.DUMMYFUNCTION("""COMPUTED_VALUE"""),"Dubai")</f>
        <v>Dubai</v>
      </c>
      <c r="B12172" s="2" t="str">
        <f ca="1">IFERROR(__xludf.DUMMYFUNCTION("""COMPUTED_VALUE"""),"Golf Promenade")</f>
        <v>Golf Promenade</v>
      </c>
      <c r="C12172" s="2" t="str">
        <f ca="1">IFERROR(__xludf.DUMMYFUNCTION("""COMPUTED_VALUE"""),"Neighbourhood")</f>
        <v>Neighbourhood</v>
      </c>
      <c r="D12172" s="2" t="str">
        <f ca="1">IFERROR(__xludf.DUMMYFUNCTION("""COMPUTED_VALUE"""),"Dubai&gt;DAMAC Hills&gt;Golf Town&gt;Golf Promenade")</f>
        <v>Dubai&gt;DAMAC Hills&gt;Golf Town&gt;Golf Promenade</v>
      </c>
      <c r="E12172" s="2"/>
      <c r="F12172" s="2"/>
      <c r="G12172" s="2"/>
      <c r="H12172" s="2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2"/>
      <c r="T12172" s="2"/>
      <c r="U12172" s="2"/>
      <c r="V12172" s="2"/>
      <c r="W12172" s="2"/>
      <c r="X12172" s="2"/>
      <c r="Y12172" s="2"/>
      <c r="Z12172" s="2"/>
    </row>
    <row r="12173" spans="1:26" ht="16.5" x14ac:dyDescent="0.35">
      <c r="A12173" s="2" t="str">
        <f ca="1">IFERROR(__xludf.DUMMYFUNCTION("""COMPUTED_VALUE"""),"Dubai")</f>
        <v>Dubai</v>
      </c>
      <c r="B12173" s="2" t="str">
        <f ca="1">IFERROR(__xludf.DUMMYFUNCTION("""COMPUTED_VALUE"""),"Rochester")</f>
        <v>Rochester</v>
      </c>
      <c r="C12173" s="2" t="str">
        <f ca="1">IFERROR(__xludf.DUMMYFUNCTION("""COMPUTED_VALUE"""),"Neighbourhood")</f>
        <v>Neighbourhood</v>
      </c>
      <c r="D12173" s="2" t="str">
        <f ca="1">IFERROR(__xludf.DUMMYFUNCTION("""COMPUTED_VALUE"""),"Dubai&gt;DAMAC Hills&gt;The Park Villas&gt;Rochester")</f>
        <v>Dubai&gt;DAMAC Hills&gt;The Park Villas&gt;Rochester</v>
      </c>
      <c r="E12173" s="2"/>
      <c r="F12173" s="2"/>
      <c r="G12173" s="2"/>
      <c r="H12173" s="2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2"/>
      <c r="T12173" s="2"/>
      <c r="U12173" s="2"/>
      <c r="V12173" s="2"/>
      <c r="W12173" s="2"/>
      <c r="X12173" s="2"/>
      <c r="Y12173" s="2"/>
      <c r="Z12173" s="2"/>
    </row>
    <row r="12174" spans="1:26" ht="16.5" x14ac:dyDescent="0.35">
      <c r="A12174" s="2" t="str">
        <f ca="1">IFERROR(__xludf.DUMMYFUNCTION("""COMPUTED_VALUE"""),"Dubai")</f>
        <v>Dubai</v>
      </c>
      <c r="B12174" s="2" t="str">
        <f ca="1">IFERROR(__xludf.DUMMYFUNCTION("""COMPUTED_VALUE"""),"Loreto 2B")</f>
        <v>Loreto 2B</v>
      </c>
      <c r="C12174" s="2" t="str">
        <f ca="1">IFERROR(__xludf.DUMMYFUNCTION("""COMPUTED_VALUE"""),"Building")</f>
        <v>Building</v>
      </c>
      <c r="D12174" s="2" t="str">
        <f ca="1">IFERROR(__xludf.DUMMYFUNCTION("""COMPUTED_VALUE"""),"Dubai&gt;DAMAC Hills&gt;Loreto&gt;Loreto B&gt;Loreto 2B")</f>
        <v>Dubai&gt;DAMAC Hills&gt;Loreto&gt;Loreto B&gt;Loreto 2B</v>
      </c>
      <c r="E12174" s="2"/>
      <c r="F12174" s="2"/>
      <c r="G12174" s="2"/>
      <c r="H12174" s="2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2"/>
      <c r="T12174" s="2"/>
      <c r="U12174" s="2"/>
      <c r="V12174" s="2"/>
      <c r="W12174" s="2"/>
      <c r="X12174" s="2"/>
      <c r="Y12174" s="2"/>
      <c r="Z12174" s="2"/>
    </row>
    <row r="12175" spans="1:26" ht="16.5" x14ac:dyDescent="0.35">
      <c r="A12175" s="2" t="str">
        <f ca="1">IFERROR(__xludf.DUMMYFUNCTION("""COMPUTED_VALUE"""),"Dubai")</f>
        <v>Dubai</v>
      </c>
      <c r="B12175" s="2" t="str">
        <f ca="1">IFERROR(__xludf.DUMMYFUNCTION("""COMPUTED_VALUE"""),"Wasl Port Views")</f>
        <v>Wasl Port Views</v>
      </c>
      <c r="C12175" s="2" t="str">
        <f ca="1">IFERROR(__xludf.DUMMYFUNCTION("""COMPUTED_VALUE"""),"Cluster")</f>
        <v>Cluster</v>
      </c>
      <c r="D12175" s="2" t="str">
        <f ca="1">IFERROR(__xludf.DUMMYFUNCTION("""COMPUTED_VALUE"""),"Dubai&gt;Al Mina&gt;Wasl Port Views")</f>
        <v>Dubai&gt;Al Mina&gt;Wasl Port Views</v>
      </c>
      <c r="E12175" s="2"/>
      <c r="F12175" s="2"/>
      <c r="G12175" s="2"/>
      <c r="H12175" s="2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2"/>
      <c r="T12175" s="2"/>
      <c r="U12175" s="2"/>
      <c r="V12175" s="2"/>
      <c r="W12175" s="2"/>
      <c r="X12175" s="2"/>
      <c r="Y12175" s="2"/>
      <c r="Z12175" s="2"/>
    </row>
    <row r="12176" spans="1:26" ht="16.5" x14ac:dyDescent="0.35">
      <c r="A12176" s="2" t="str">
        <f ca="1">IFERROR(__xludf.DUMMYFUNCTION("""COMPUTED_VALUE"""),"Dubai")</f>
        <v>Dubai</v>
      </c>
      <c r="B12176" s="2" t="str">
        <f ca="1">IFERROR(__xludf.DUMMYFUNCTION("""COMPUTED_VALUE"""),"Ocean Point")</f>
        <v>Ocean Point</v>
      </c>
      <c r="C12176" s="2" t="str">
        <f ca="1">IFERROR(__xludf.DUMMYFUNCTION("""COMPUTED_VALUE"""),"Cluster")</f>
        <v>Cluster</v>
      </c>
      <c r="D12176" s="2" t="str">
        <f ca="1">IFERROR(__xludf.DUMMYFUNCTION("""COMPUTED_VALUE"""),"Dubai&gt;Al Mina&gt;Ocean Point")</f>
        <v>Dubai&gt;Al Mina&gt;Ocean Point</v>
      </c>
      <c r="E12176" s="2"/>
      <c r="F12176" s="2"/>
      <c r="G12176" s="2"/>
      <c r="H12176" s="2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2"/>
      <c r="T12176" s="2"/>
      <c r="U12176" s="2"/>
      <c r="V12176" s="2"/>
      <c r="W12176" s="2"/>
      <c r="X12176" s="2"/>
      <c r="Y12176" s="2"/>
      <c r="Z12176" s="2"/>
    </row>
    <row r="12177" spans="1:26" ht="16.5" x14ac:dyDescent="0.35">
      <c r="A12177" s="2" t="str">
        <f ca="1">IFERROR(__xludf.DUMMYFUNCTION("""COMPUTED_VALUE"""),"Dubai")</f>
        <v>Dubai</v>
      </c>
      <c r="B12177" s="2" t="str">
        <f ca="1">IFERROR(__xludf.DUMMYFUNCTION("""COMPUTED_VALUE"""),"Chelsea Residences 2 by DAMAC Tower A")</f>
        <v>Chelsea Residences 2 by DAMAC Tower A</v>
      </c>
      <c r="C12177" s="2" t="str">
        <f ca="1">IFERROR(__xludf.DUMMYFUNCTION("""COMPUTED_VALUE"""),"Building")</f>
        <v>Building</v>
      </c>
      <c r="D12177" s="2" t="str">
        <f ca="1">IFERROR(__xludf.DUMMYFUNCTION("""COMPUTED_VALUE"""),"Dubai&gt;Dubai Maritime City&gt;Chelsea Residences 2 by DAMAC&gt;Chelsea Residences 2 by DAMAC Tower A")</f>
        <v>Dubai&gt;Dubai Maritime City&gt;Chelsea Residences 2 by DAMAC&gt;Chelsea Residences 2 by DAMAC Tower A</v>
      </c>
      <c r="E12177" s="2"/>
      <c r="F12177" s="2"/>
      <c r="G12177" s="2"/>
      <c r="H12177" s="2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2"/>
      <c r="T12177" s="2"/>
      <c r="U12177" s="2"/>
      <c r="V12177" s="2"/>
      <c r="W12177" s="2"/>
      <c r="X12177" s="2"/>
      <c r="Y12177" s="2"/>
      <c r="Z12177" s="2"/>
    </row>
    <row r="12178" spans="1:26" ht="16.5" x14ac:dyDescent="0.35">
      <c r="A12178" s="2" t="str">
        <f ca="1">IFERROR(__xludf.DUMMYFUNCTION("""COMPUTED_VALUE"""),"Dubai")</f>
        <v>Dubai</v>
      </c>
      <c r="B12178" s="2" t="str">
        <f ca="1">IFERROR(__xludf.DUMMYFUNCTION("""COMPUTED_VALUE"""),"Mosela")</f>
        <v>Mosela</v>
      </c>
      <c r="C12178" s="2" t="str">
        <f ca="1">IFERROR(__xludf.DUMMYFUNCTION("""COMPUTED_VALUE"""),"Cluster")</f>
        <v>Cluster</v>
      </c>
      <c r="D12178" s="2" t="str">
        <f ca="1">IFERROR(__xludf.DUMMYFUNCTION("""COMPUTED_VALUE"""),"Dubai&gt;The Views&gt;Mosela")</f>
        <v>Dubai&gt;The Views&gt;Mosela</v>
      </c>
      <c r="E12178" s="2"/>
      <c r="F12178" s="2"/>
      <c r="G12178" s="2"/>
      <c r="H12178" s="2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2"/>
      <c r="T12178" s="2"/>
      <c r="U12178" s="2"/>
      <c r="V12178" s="2"/>
      <c r="W12178" s="2"/>
      <c r="X12178" s="2"/>
      <c r="Y12178" s="2"/>
      <c r="Z12178" s="2"/>
    </row>
    <row r="12179" spans="1:26" ht="16.5" x14ac:dyDescent="0.35">
      <c r="A12179" s="2" t="str">
        <f ca="1">IFERROR(__xludf.DUMMYFUNCTION("""COMPUTED_VALUE"""),"Dubai")</f>
        <v>Dubai</v>
      </c>
      <c r="B12179" s="2" t="str">
        <f ca="1">IFERROR(__xludf.DUMMYFUNCTION("""COMPUTED_VALUE"""),"Blue Bird Nursery Al Quoz")</f>
        <v>Blue Bird Nursery Al Quoz</v>
      </c>
      <c r="C12179" s="2" t="str">
        <f ca="1">IFERROR(__xludf.DUMMYFUNCTION("""COMPUTED_VALUE"""),"Nursery")</f>
        <v>Nursery</v>
      </c>
      <c r="D12179" s="2" t="str">
        <f ca="1">IFERROR(__xludf.DUMMYFUNCTION("""COMPUTED_VALUE"""),"Dubai&gt;Al Quoz&gt;Al Quoz 1&gt;Blue Bird Nursery Al Quoz")</f>
        <v>Dubai&gt;Al Quoz&gt;Al Quoz 1&gt;Blue Bird Nursery Al Quoz</v>
      </c>
      <c r="E12179" s="2"/>
      <c r="F12179" s="2"/>
      <c r="G12179" s="2"/>
      <c r="H12179" s="2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2"/>
      <c r="T12179" s="2"/>
      <c r="U12179" s="2"/>
      <c r="V12179" s="2"/>
      <c r="W12179" s="2"/>
      <c r="X12179" s="2"/>
      <c r="Y12179" s="2"/>
      <c r="Z12179" s="2"/>
    </row>
    <row r="12180" spans="1:26" ht="16.5" x14ac:dyDescent="0.35">
      <c r="A12180" s="2" t="str">
        <f ca="1">IFERROR(__xludf.DUMMYFUNCTION("""COMPUTED_VALUE"""),"Dubai")</f>
        <v>Dubai</v>
      </c>
      <c r="B12180" s="2" t="str">
        <f ca="1">IFERROR(__xludf.DUMMYFUNCTION("""COMPUTED_VALUE"""),"Lotus Plaza")</f>
        <v>Lotus Plaza</v>
      </c>
      <c r="C12180" s="2" t="str">
        <f ca="1">IFERROR(__xludf.DUMMYFUNCTION("""COMPUTED_VALUE"""),"Building")</f>
        <v>Building</v>
      </c>
      <c r="D12180" s="2" t="str">
        <f ca="1">IFERROR(__xludf.DUMMYFUNCTION("""COMPUTED_VALUE"""),"Dubai&gt;Al Quoz&gt;Al Quoz Industrial Area&gt;Al Quoz Industrial Area 1&gt;Lotus Plaza")</f>
        <v>Dubai&gt;Al Quoz&gt;Al Quoz Industrial Area&gt;Al Quoz Industrial Area 1&gt;Lotus Plaza</v>
      </c>
      <c r="E12180" s="2"/>
      <c r="F12180" s="2"/>
      <c r="G12180" s="2"/>
      <c r="H12180" s="2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2"/>
      <c r="T12180" s="2"/>
      <c r="U12180" s="2"/>
      <c r="V12180" s="2"/>
      <c r="W12180" s="2"/>
      <c r="X12180" s="2"/>
      <c r="Y12180" s="2"/>
      <c r="Z12180" s="2"/>
    </row>
    <row r="12181" spans="1:26" ht="16.5" x14ac:dyDescent="0.35">
      <c r="A12181" s="2" t="str">
        <f ca="1">IFERROR(__xludf.DUMMYFUNCTION("""COMPUTED_VALUE"""),"Dubai")</f>
        <v>Dubai</v>
      </c>
      <c r="B12181" s="2" t="str">
        <f ca="1">IFERROR(__xludf.DUMMYFUNCTION("""COMPUTED_VALUE"""),"Al Khail Heights Building 6A")</f>
        <v>Al Khail Heights Building 6A</v>
      </c>
      <c r="C12181" s="2" t="str">
        <f ca="1">IFERROR(__xludf.DUMMYFUNCTION("""COMPUTED_VALUE"""),"Building")</f>
        <v>Building</v>
      </c>
      <c r="D12181" s="2" t="str">
        <f ca="1">IFERROR(__xludf.DUMMYFUNCTION("""COMPUTED_VALUE"""),"Dubai&gt;Al Quoz&gt;Al Quoz 4&gt;Al Khail Heights&gt;Al Khail Heights Building 6A")</f>
        <v>Dubai&gt;Al Quoz&gt;Al Quoz 4&gt;Al Khail Heights&gt;Al Khail Heights Building 6A</v>
      </c>
      <c r="E12181" s="2"/>
      <c r="F12181" s="2"/>
      <c r="G12181" s="2"/>
      <c r="H12181" s="2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2"/>
      <c r="T12181" s="2"/>
      <c r="U12181" s="2"/>
      <c r="V12181" s="2"/>
      <c r="W12181" s="2"/>
      <c r="X12181" s="2"/>
      <c r="Y12181" s="2"/>
      <c r="Z12181" s="2"/>
    </row>
    <row r="12182" spans="1:26" ht="16.5" x14ac:dyDescent="0.35">
      <c r="A12182" s="2" t="str">
        <f ca="1">IFERROR(__xludf.DUMMYFUNCTION("""COMPUTED_VALUE"""),"Dubai")</f>
        <v>Dubai</v>
      </c>
      <c r="B12182" s="2" t="str">
        <f ca="1">IFERROR(__xludf.DUMMYFUNCTION("""COMPUTED_VALUE"""),"La Vista Residence 3")</f>
        <v>La Vista Residence 3</v>
      </c>
      <c r="C12182" s="2" t="str">
        <f ca="1">IFERROR(__xludf.DUMMYFUNCTION("""COMPUTED_VALUE"""),"Building")</f>
        <v>Building</v>
      </c>
      <c r="D12182" s="2" t="str">
        <f ca="1">IFERROR(__xludf.DUMMYFUNCTION("""COMPUTED_VALUE"""),"Dubai&gt;Dubai Silicon Oasis (DSO)&gt;La Vista Residence&gt;La Vista Residence 3")</f>
        <v>Dubai&gt;Dubai Silicon Oasis (DSO)&gt;La Vista Residence&gt;La Vista Residence 3</v>
      </c>
      <c r="E12182" s="2"/>
      <c r="F12182" s="2"/>
      <c r="G12182" s="2"/>
      <c r="H12182" s="2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2"/>
      <c r="T12182" s="2"/>
      <c r="U12182" s="2"/>
      <c r="V12182" s="2"/>
      <c r="W12182" s="2"/>
      <c r="X12182" s="2"/>
      <c r="Y12182" s="2"/>
      <c r="Z12182" s="2"/>
    </row>
    <row r="12183" spans="1:26" ht="16.5" x14ac:dyDescent="0.35">
      <c r="A12183" s="2" t="str">
        <f ca="1">IFERROR(__xludf.DUMMYFUNCTION("""COMPUTED_VALUE"""),"Dubai")</f>
        <v>Dubai</v>
      </c>
      <c r="B12183" s="2" t="str">
        <f ca="1">IFERROR(__xludf.DUMMYFUNCTION("""COMPUTED_VALUE"""),"Silicon Residence 2")</f>
        <v>Silicon Residence 2</v>
      </c>
      <c r="C12183" s="2" t="str">
        <f ca="1">IFERROR(__xludf.DUMMYFUNCTION("""COMPUTED_VALUE"""),"Building")</f>
        <v>Building</v>
      </c>
      <c r="D12183" s="2" t="str">
        <f ca="1">IFERROR(__xludf.DUMMYFUNCTION("""COMPUTED_VALUE"""),"Dubai&gt;Dubai Silicon Oasis (DSO)&gt;Silicon Residences&gt;Silicon Residence 2")</f>
        <v>Dubai&gt;Dubai Silicon Oasis (DSO)&gt;Silicon Residences&gt;Silicon Residence 2</v>
      </c>
      <c r="E12183" s="2"/>
      <c r="F12183" s="2"/>
      <c r="G12183" s="2"/>
      <c r="H12183" s="2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2"/>
      <c r="T12183" s="2"/>
      <c r="U12183" s="2"/>
      <c r="V12183" s="2"/>
      <c r="W12183" s="2"/>
      <c r="X12183" s="2"/>
      <c r="Y12183" s="2"/>
      <c r="Z12183" s="2"/>
    </row>
    <row r="12184" spans="1:26" ht="16.5" x14ac:dyDescent="0.35">
      <c r="A12184" s="2" t="str">
        <f ca="1">IFERROR(__xludf.DUMMYFUNCTION("""COMPUTED_VALUE"""),"Dubai")</f>
        <v>Dubai</v>
      </c>
      <c r="B12184" s="2" t="str">
        <f ca="1">IFERROR(__xludf.DUMMYFUNCTION("""COMPUTED_VALUE"""),"Binghatti Pearls")</f>
        <v>Binghatti Pearls</v>
      </c>
      <c r="C12184" s="2" t="str">
        <f ca="1">IFERROR(__xludf.DUMMYFUNCTION("""COMPUTED_VALUE"""),"Building")</f>
        <v>Building</v>
      </c>
      <c r="D12184" s="2" t="str">
        <f ca="1">IFERROR(__xludf.DUMMYFUNCTION("""COMPUTED_VALUE"""),"Dubai&gt;Dubai Silicon Oasis (DSO)&gt;Binghatti Pearls")</f>
        <v>Dubai&gt;Dubai Silicon Oasis (DSO)&gt;Binghatti Pearls</v>
      </c>
      <c r="E12184" s="2"/>
      <c r="F12184" s="2"/>
      <c r="G12184" s="2"/>
      <c r="H12184" s="2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2"/>
      <c r="T12184" s="2"/>
      <c r="U12184" s="2"/>
      <c r="V12184" s="2"/>
      <c r="W12184" s="2"/>
      <c r="X12184" s="2"/>
      <c r="Y12184" s="2"/>
      <c r="Z12184" s="2"/>
    </row>
    <row r="12185" spans="1:26" ht="16.5" x14ac:dyDescent="0.35">
      <c r="A12185" s="2" t="str">
        <f ca="1">IFERROR(__xludf.DUMMYFUNCTION("""COMPUTED_VALUE"""),"Dubai")</f>
        <v>Dubai</v>
      </c>
      <c r="B12185" s="2" t="str">
        <f ca="1">IFERROR(__xludf.DUMMYFUNCTION("""COMPUTED_VALUE"""),"Altia Residence")</f>
        <v>Altia Residence</v>
      </c>
      <c r="C12185" s="2" t="str">
        <f ca="1">IFERROR(__xludf.DUMMYFUNCTION("""COMPUTED_VALUE"""),"Building")</f>
        <v>Building</v>
      </c>
      <c r="D12185" s="2" t="str">
        <f ca="1">IFERROR(__xludf.DUMMYFUNCTION("""COMPUTED_VALUE"""),"Dubai&gt;Dubai Silicon Oasis (DSO)&gt;Altia Residence")</f>
        <v>Dubai&gt;Dubai Silicon Oasis (DSO)&gt;Altia Residence</v>
      </c>
      <c r="E12185" s="2"/>
      <c r="F12185" s="2"/>
      <c r="G12185" s="2"/>
      <c r="H12185" s="2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2"/>
      <c r="T12185" s="2"/>
      <c r="U12185" s="2"/>
      <c r="V12185" s="2"/>
      <c r="W12185" s="2"/>
      <c r="X12185" s="2"/>
      <c r="Y12185" s="2"/>
      <c r="Z12185" s="2"/>
    </row>
    <row r="12186" spans="1:26" ht="16.5" x14ac:dyDescent="0.35">
      <c r="A12186" s="2" t="str">
        <f ca="1">IFERROR(__xludf.DUMMYFUNCTION("""COMPUTED_VALUE"""),"Dubai")</f>
        <v>Dubai</v>
      </c>
      <c r="B12186" s="2" t="str">
        <f ca="1">IFERROR(__xludf.DUMMYFUNCTION("""COMPUTED_VALUE"""),"Liwa Oasis")</f>
        <v>Liwa Oasis</v>
      </c>
      <c r="C12186" s="2" t="str">
        <f ca="1">IFERROR(__xludf.DUMMYFUNCTION("""COMPUTED_VALUE"""),"Cluster")</f>
        <v>Cluster</v>
      </c>
      <c r="D12186" s="2" t="str">
        <f ca="1">IFERROR(__xludf.DUMMYFUNCTION("""COMPUTED_VALUE"""),"Dubai&gt;Dubai Silicon Oasis (DSO)&gt;Liwa Oasis")</f>
        <v>Dubai&gt;Dubai Silicon Oasis (DSO)&gt;Liwa Oasis</v>
      </c>
      <c r="E12186" s="2"/>
      <c r="F12186" s="2"/>
      <c r="G12186" s="2"/>
      <c r="H12186" s="2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2"/>
      <c r="T12186" s="2"/>
      <c r="U12186" s="2"/>
      <c r="V12186" s="2"/>
      <c r="W12186" s="2"/>
      <c r="X12186" s="2"/>
      <c r="Y12186" s="2"/>
      <c r="Z12186" s="2"/>
    </row>
    <row r="12187" spans="1:26" ht="16.5" x14ac:dyDescent="0.35">
      <c r="A12187" s="2" t="str">
        <f ca="1">IFERROR(__xludf.DUMMYFUNCTION("""COMPUTED_VALUE"""),"Dubai")</f>
        <v>Dubai</v>
      </c>
      <c r="B12187" s="2" t="str">
        <f ca="1">IFERROR(__xludf.DUMMYFUNCTION("""COMPUTED_VALUE"""),"Latif Residence")</f>
        <v>Latif Residence</v>
      </c>
      <c r="C12187" s="2" t="str">
        <f ca="1">IFERROR(__xludf.DUMMYFUNCTION("""COMPUTED_VALUE"""),"Building")</f>
        <v>Building</v>
      </c>
      <c r="D12187" s="2" t="str">
        <f ca="1">IFERROR(__xludf.DUMMYFUNCTION("""COMPUTED_VALUE"""),"Dubai&gt;Dubai Silicon Oasis (DSO)&gt;Latif Residence")</f>
        <v>Dubai&gt;Dubai Silicon Oasis (DSO)&gt;Latif Residence</v>
      </c>
      <c r="E12187" s="2"/>
      <c r="F12187" s="2"/>
      <c r="G12187" s="2"/>
      <c r="H12187" s="2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2"/>
      <c r="T12187" s="2"/>
      <c r="U12187" s="2"/>
      <c r="V12187" s="2"/>
      <c r="W12187" s="2"/>
      <c r="X12187" s="2"/>
      <c r="Y12187" s="2"/>
      <c r="Z12187" s="2"/>
    </row>
    <row r="12188" spans="1:26" ht="16.5" x14ac:dyDescent="0.35">
      <c r="A12188" s="2" t="str">
        <f ca="1">IFERROR(__xludf.DUMMYFUNCTION("""COMPUTED_VALUE"""),"Dubai")</f>
        <v>Dubai</v>
      </c>
      <c r="B12188" s="2" t="str">
        <f ca="1">IFERROR(__xludf.DUMMYFUNCTION("""COMPUTED_VALUE"""),"Silicon Central Mall")</f>
        <v>Silicon Central Mall</v>
      </c>
      <c r="C12188" s="2" t="str">
        <f ca="1">IFERROR(__xludf.DUMMYFUNCTION("""COMPUTED_VALUE"""),"Building")</f>
        <v>Building</v>
      </c>
      <c r="D12188" s="2" t="str">
        <f ca="1">IFERROR(__xludf.DUMMYFUNCTION("""COMPUTED_VALUE"""),"Dubai&gt;Dubai Silicon Oasis (DSO)&gt;Silicon Central Mall")</f>
        <v>Dubai&gt;Dubai Silicon Oasis (DSO)&gt;Silicon Central Mall</v>
      </c>
      <c r="E12188" s="2"/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2"/>
      <c r="T12188" s="2"/>
      <c r="U12188" s="2"/>
      <c r="V12188" s="2"/>
      <c r="W12188" s="2"/>
      <c r="X12188" s="2"/>
      <c r="Y12188" s="2"/>
      <c r="Z12188" s="2"/>
    </row>
    <row r="12189" spans="1:26" ht="16.5" x14ac:dyDescent="0.35">
      <c r="A12189" s="2" t="str">
        <f ca="1">IFERROR(__xludf.DUMMYFUNCTION("""COMPUTED_VALUE"""),"Dubai")</f>
        <v>Dubai</v>
      </c>
      <c r="B12189" s="2" t="str">
        <f ca="1">IFERROR(__xludf.DUMMYFUNCTION("""COMPUTED_VALUE"""),"Desert Leaf")</f>
        <v>Desert Leaf</v>
      </c>
      <c r="C12189" s="2" t="str">
        <f ca="1">IFERROR(__xludf.DUMMYFUNCTION("""COMPUTED_VALUE"""),"Neighbourhood")</f>
        <v>Neighbourhood</v>
      </c>
      <c r="D12189" s="2" t="str">
        <f ca="1">IFERROR(__xludf.DUMMYFUNCTION("""COMPUTED_VALUE"""),"Dubai&gt;Al Barari&gt;The Residences&gt;Desert Leaf")</f>
        <v>Dubai&gt;Al Barari&gt;The Residences&gt;Desert Leaf</v>
      </c>
      <c r="E12189" s="2"/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2"/>
      <c r="T12189" s="2"/>
      <c r="U12189" s="2"/>
      <c r="V12189" s="2"/>
      <c r="W12189" s="2"/>
      <c r="X12189" s="2"/>
      <c r="Y12189" s="2"/>
      <c r="Z12189" s="2"/>
    </row>
    <row r="12190" spans="1:26" ht="16.5" x14ac:dyDescent="0.35">
      <c r="A12190" s="2" t="str">
        <f ca="1">IFERROR(__xludf.DUMMYFUNCTION("""COMPUTED_VALUE"""),"Dubai")</f>
        <v>Dubai</v>
      </c>
      <c r="B12190" s="2" t="str">
        <f ca="1">IFERROR(__xludf.DUMMYFUNCTION("""COMPUTED_VALUE"""),"MAG 960")</f>
        <v>MAG 960</v>
      </c>
      <c r="C12190" s="2" t="str">
        <f ca="1">IFERROR(__xludf.DUMMYFUNCTION("""COMPUTED_VALUE"""),"Building")</f>
        <v>Building</v>
      </c>
      <c r="D12190" s="2" t="str">
        <f ca="1">IFERROR(__xludf.DUMMYFUNCTION("""COMPUTED_VALUE"""),"Dubai&gt;Mohammed Bin Rashid City&gt;District 7&gt;MAG City&gt;MAG 960")</f>
        <v>Dubai&gt;Mohammed Bin Rashid City&gt;District 7&gt;MAG City&gt;MAG 960</v>
      </c>
      <c r="E12190" s="2"/>
      <c r="F12190" s="2"/>
      <c r="G12190" s="2"/>
      <c r="H12190" s="2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2"/>
      <c r="T12190" s="2"/>
      <c r="U12190" s="2"/>
      <c r="V12190" s="2"/>
      <c r="W12190" s="2"/>
      <c r="X12190" s="2"/>
      <c r="Y12190" s="2"/>
      <c r="Z12190" s="2"/>
    </row>
    <row r="12191" spans="1:26" ht="16.5" x14ac:dyDescent="0.35">
      <c r="A12191" s="2" t="str">
        <f ca="1">IFERROR(__xludf.DUMMYFUNCTION("""COMPUTED_VALUE"""),"Dubai")</f>
        <v>Dubai</v>
      </c>
      <c r="B12191" s="2" t="str">
        <f ca="1">IFERROR(__xludf.DUMMYFUNCTION("""COMPUTED_VALUE"""),"Starlight Park")</f>
        <v>Starlight Park</v>
      </c>
      <c r="C12191" s="2" t="str">
        <f ca="1">IFERROR(__xludf.DUMMYFUNCTION("""COMPUTED_VALUE"""),"Building")</f>
        <v>Building</v>
      </c>
      <c r="D12191" s="2" t="str">
        <f ca="1">IFERROR(__xludf.DUMMYFUNCTION("""COMPUTED_VALUE"""),"Dubai&gt;Mohammed Bin Rashid City&gt;District 11&gt;Starlight Park")</f>
        <v>Dubai&gt;Mohammed Bin Rashid City&gt;District 11&gt;Starlight Park</v>
      </c>
      <c r="E12191" s="2"/>
      <c r="F12191" s="2"/>
      <c r="G12191" s="2"/>
      <c r="H12191" s="2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2"/>
      <c r="T12191" s="2"/>
      <c r="U12191" s="2"/>
      <c r="V12191" s="2"/>
      <c r="W12191" s="2"/>
      <c r="X12191" s="2"/>
      <c r="Y12191" s="2"/>
      <c r="Z12191" s="2"/>
    </row>
    <row r="12192" spans="1:26" ht="16.5" x14ac:dyDescent="0.35">
      <c r="A12192" s="2" t="str">
        <f ca="1">IFERROR(__xludf.DUMMYFUNCTION("""COMPUTED_VALUE"""),"Dubai")</f>
        <v>Dubai</v>
      </c>
      <c r="B12192" s="2" t="str">
        <f ca="1">IFERROR(__xludf.DUMMYFUNCTION("""COMPUTED_VALUE"""),"Residences 13")</f>
        <v>Residences 13</v>
      </c>
      <c r="C12192" s="2" t="str">
        <f ca="1">IFERROR(__xludf.DUMMYFUNCTION("""COMPUTED_VALUE"""),"Building")</f>
        <v>Building</v>
      </c>
      <c r="D12192" s="2" t="str">
        <f ca="1">IFERROR(__xludf.DUMMYFUNCTION("""COMPUTED_VALUE"""),"Dubai&gt;Mohammed Bin Rashid City&gt;District One&gt;The Residences at District One&gt;Residences 13")</f>
        <v>Dubai&gt;Mohammed Bin Rashid City&gt;District One&gt;The Residences at District One&gt;Residences 13</v>
      </c>
      <c r="E12192" s="2"/>
      <c r="F12192" s="2"/>
      <c r="G12192" s="2"/>
      <c r="H12192" s="2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2"/>
      <c r="T12192" s="2"/>
      <c r="U12192" s="2"/>
      <c r="V12192" s="2"/>
      <c r="W12192" s="2"/>
      <c r="X12192" s="2"/>
      <c r="Y12192" s="2"/>
      <c r="Z12192" s="2"/>
    </row>
    <row r="12193" spans="1:26" ht="16.5" x14ac:dyDescent="0.35">
      <c r="A12193" s="2" t="str">
        <f ca="1">IFERROR(__xludf.DUMMYFUNCTION("""COMPUTED_VALUE"""),"Dubai")</f>
        <v>Dubai</v>
      </c>
      <c r="B12193" s="2" t="str">
        <f ca="1">IFERROR(__xludf.DUMMYFUNCTION("""COMPUTED_VALUE"""),"Dubai South")</f>
        <v>Dubai South</v>
      </c>
      <c r="C12193" s="2" t="str">
        <f ca="1">IFERROR(__xludf.DUMMYFUNCTION("""COMPUTED_VALUE"""),"Neighbourhood")</f>
        <v>Neighbourhood</v>
      </c>
      <c r="D12193" s="2" t="str">
        <f ca="1">IFERROR(__xludf.DUMMYFUNCTION("""COMPUTED_VALUE"""),"Dubai&gt;Dubai South")</f>
        <v>Dubai&gt;Dubai South</v>
      </c>
      <c r="E12193" s="2"/>
      <c r="F12193" s="2"/>
      <c r="G12193" s="2"/>
      <c r="H12193" s="2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2"/>
      <c r="T12193" s="2"/>
      <c r="U12193" s="2"/>
      <c r="V12193" s="2"/>
      <c r="W12193" s="2"/>
      <c r="X12193" s="2"/>
      <c r="Y12193" s="2"/>
      <c r="Z12193" s="2"/>
    </row>
    <row r="12194" spans="1:26" ht="16.5" x14ac:dyDescent="0.35">
      <c r="A12194" s="2" t="str">
        <f ca="1">IFERROR(__xludf.DUMMYFUNCTION("""COMPUTED_VALUE"""),"Dubai")</f>
        <v>Dubai</v>
      </c>
      <c r="B12194" s="2" t="str">
        <f ca="1">IFERROR(__xludf.DUMMYFUNCTION("""COMPUTED_VALUE"""),"The Pulse Residence Park B4")</f>
        <v>The Pulse Residence Park B4</v>
      </c>
      <c r="C12194" s="2" t="str">
        <f ca="1">IFERROR(__xludf.DUMMYFUNCTION("""COMPUTED_VALUE"""),"Building")</f>
        <v>Building</v>
      </c>
      <c r="D12194" s="2" t="str">
        <f ca="1">IFERROR(__xludf.DUMMYFUNCTION("""COMPUTED_VALUE"""),"Dubai&gt;Dubai South&gt;Residential District&gt;The Pulse&gt;The Pulse Residence Park&gt;The Pulse Residence Park B4")</f>
        <v>Dubai&gt;Dubai South&gt;Residential District&gt;The Pulse&gt;The Pulse Residence Park&gt;The Pulse Residence Park B4</v>
      </c>
      <c r="E12194" s="2"/>
      <c r="F12194" s="2"/>
      <c r="G12194" s="2"/>
      <c r="H12194" s="2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2"/>
      <c r="T12194" s="2"/>
      <c r="U12194" s="2"/>
      <c r="V12194" s="2"/>
      <c r="W12194" s="2"/>
      <c r="X12194" s="2"/>
      <c r="Y12194" s="2"/>
      <c r="Z12194" s="2"/>
    </row>
    <row r="12195" spans="1:26" ht="16.5" x14ac:dyDescent="0.35">
      <c r="A12195" s="2" t="str">
        <f ca="1">IFERROR(__xludf.DUMMYFUNCTION("""COMPUTED_VALUE"""),"Dubai")</f>
        <v>Dubai</v>
      </c>
      <c r="B12195" s="2" t="str">
        <f ca="1">IFERROR(__xludf.DUMMYFUNCTION("""COMPUTED_VALUE"""),"South Bay 4")</f>
        <v>South Bay 4</v>
      </c>
      <c r="C12195" s="2" t="str">
        <f ca="1">IFERROR(__xludf.DUMMYFUNCTION("""COMPUTED_VALUE"""),"Neighbourhood")</f>
        <v>Neighbourhood</v>
      </c>
      <c r="D12195" s="2" t="str">
        <f ca="1">IFERROR(__xludf.DUMMYFUNCTION("""COMPUTED_VALUE"""),"Dubai&gt;Dubai South&gt;Residential District&gt;South Bay&gt;South Bay 4")</f>
        <v>Dubai&gt;Dubai South&gt;Residential District&gt;South Bay&gt;South Bay 4</v>
      </c>
      <c r="E12195" s="2"/>
      <c r="F12195" s="2"/>
      <c r="G12195" s="2"/>
      <c r="H12195" s="2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2"/>
      <c r="T12195" s="2"/>
      <c r="U12195" s="2"/>
      <c r="V12195" s="2"/>
      <c r="W12195" s="2"/>
      <c r="X12195" s="2"/>
      <c r="Y12195" s="2"/>
      <c r="Z12195" s="2"/>
    </row>
    <row r="12196" spans="1:26" ht="16.5" x14ac:dyDescent="0.35">
      <c r="A12196" s="2" t="str">
        <f ca="1">IFERROR(__xludf.DUMMYFUNCTION("""COMPUTED_VALUE"""),"Dubai")</f>
        <v>Dubai</v>
      </c>
      <c r="B12196" s="2" t="str">
        <f ca="1">IFERROR(__xludf.DUMMYFUNCTION("""COMPUTED_VALUE"""),"Beachfront Gates 2")</f>
        <v>Beachfront Gates 2</v>
      </c>
      <c r="C12196" s="2" t="str">
        <f ca="1">IFERROR(__xludf.DUMMYFUNCTION("""COMPUTED_VALUE"""),"Building")</f>
        <v>Building</v>
      </c>
      <c r="D12196" s="2" t="str">
        <f ca="1">IFERROR(__xludf.DUMMYFUNCTION("""COMPUTED_VALUE"""),"Dubai&gt;Dubai South&gt;Residential District&gt;Beachfront Gates&gt;Beachfront Gates 2")</f>
        <v>Dubai&gt;Dubai South&gt;Residential District&gt;Beachfront Gates&gt;Beachfront Gates 2</v>
      </c>
      <c r="E12196" s="2"/>
      <c r="F12196" s="2"/>
      <c r="G12196" s="2"/>
      <c r="H12196" s="2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2"/>
      <c r="T12196" s="2"/>
      <c r="U12196" s="2"/>
      <c r="V12196" s="2"/>
      <c r="W12196" s="2"/>
      <c r="X12196" s="2"/>
      <c r="Y12196" s="2"/>
      <c r="Z12196" s="2"/>
    </row>
    <row r="12197" spans="1:26" ht="16.5" x14ac:dyDescent="0.35">
      <c r="A12197" s="2" t="str">
        <f ca="1">IFERROR(__xludf.DUMMYFUNCTION("""COMPUTED_VALUE"""),"Dubai")</f>
        <v>Dubai</v>
      </c>
      <c r="B12197" s="2" t="str">
        <f ca="1">IFERROR(__xludf.DUMMYFUNCTION("""COMPUTED_VALUE"""),"Divine Elements")</f>
        <v>Divine Elements</v>
      </c>
      <c r="C12197" s="2" t="str">
        <f ca="1">IFERROR(__xludf.DUMMYFUNCTION("""COMPUTED_VALUE"""),"Building")</f>
        <v>Building</v>
      </c>
      <c r="D12197" s="2" t="str">
        <f ca="1">IFERROR(__xludf.DUMMYFUNCTION("""COMPUTED_VALUE"""),"Dubai&gt;Dubai South&gt;Residential District&gt;Divine Elements")</f>
        <v>Dubai&gt;Dubai South&gt;Residential District&gt;Divine Elements</v>
      </c>
      <c r="E12197" s="2"/>
      <c r="F12197" s="2"/>
      <c r="G12197" s="2"/>
      <c r="H12197" s="2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2"/>
      <c r="T12197" s="2"/>
      <c r="U12197" s="2"/>
      <c r="V12197" s="2"/>
      <c r="W12197" s="2"/>
      <c r="X12197" s="2"/>
      <c r="Y12197" s="2"/>
      <c r="Z12197" s="2"/>
    </row>
    <row r="12198" spans="1:26" ht="16.5" x14ac:dyDescent="0.35">
      <c r="A12198" s="2" t="str">
        <f ca="1">IFERROR(__xludf.DUMMYFUNCTION("""COMPUTED_VALUE"""),"Dubai")</f>
        <v>Dubai</v>
      </c>
      <c r="B12198" s="2" t="str">
        <f ca="1">IFERROR(__xludf.DUMMYFUNCTION("""COMPUTED_VALUE"""),"Greenridge")</f>
        <v>Greenridge</v>
      </c>
      <c r="C12198" s="2" t="str">
        <f ca="1">IFERROR(__xludf.DUMMYFUNCTION("""COMPUTED_VALUE"""),"Neighbourhood")</f>
        <v>Neighbourhood</v>
      </c>
      <c r="D12198" s="2" t="str">
        <f ca="1">IFERROR(__xludf.DUMMYFUNCTION("""COMPUTED_VALUE"""),"Dubai&gt;Dubai South&gt;Emaar South&gt;Greenridge")</f>
        <v>Dubai&gt;Dubai South&gt;Emaar South&gt;Greenridge</v>
      </c>
      <c r="E12198" s="2"/>
      <c r="F12198" s="2"/>
      <c r="G12198" s="2"/>
      <c r="H12198" s="2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2"/>
      <c r="T12198" s="2"/>
      <c r="U12198" s="2"/>
      <c r="V12198" s="2"/>
      <c r="W12198" s="2"/>
      <c r="X12198" s="2"/>
      <c r="Y12198" s="2"/>
      <c r="Z12198" s="2"/>
    </row>
    <row r="12199" spans="1:26" ht="16.5" x14ac:dyDescent="0.35">
      <c r="A12199" s="2" t="str">
        <f ca="1">IFERROR(__xludf.DUMMYFUNCTION("""COMPUTED_VALUE"""),"Dubai")</f>
        <v>Dubai</v>
      </c>
      <c r="B12199" s="2" t="str">
        <f ca="1">IFERROR(__xludf.DUMMYFUNCTION("""COMPUTED_VALUE"""),"Dubai South Business Park B2")</f>
        <v>Dubai South Business Park B2</v>
      </c>
      <c r="C12199" s="2" t="str">
        <f ca="1">IFERROR(__xludf.DUMMYFUNCTION("""COMPUTED_VALUE"""),"Building")</f>
        <v>Building</v>
      </c>
      <c r="D12199" s="2" t="str">
        <f ca="1">IFERROR(__xludf.DUMMYFUNCTION("""COMPUTED_VALUE"""),"Dubai&gt;Dubai South&gt;Logistics City&gt;The Avenue&gt;Dubai South Business Park B2")</f>
        <v>Dubai&gt;Dubai South&gt;Logistics City&gt;The Avenue&gt;Dubai South Business Park B2</v>
      </c>
      <c r="E12199" s="2"/>
      <c r="F12199" s="2"/>
      <c r="G12199" s="2"/>
      <c r="H12199" s="2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2"/>
      <c r="T12199" s="2"/>
      <c r="U12199" s="2"/>
      <c r="V12199" s="2"/>
      <c r="W12199" s="2"/>
      <c r="X12199" s="2"/>
      <c r="Y12199" s="2"/>
      <c r="Z12199" s="2"/>
    </row>
    <row r="12200" spans="1:26" ht="16.5" x14ac:dyDescent="0.35">
      <c r="A12200" s="2" t="str">
        <f ca="1">IFERROR(__xludf.DUMMYFUNCTION("""COMPUTED_VALUE"""),"Dubai")</f>
        <v>Dubai</v>
      </c>
      <c r="B12200" s="2" t="str">
        <f ca="1">IFERROR(__xludf.DUMMYFUNCTION("""COMPUTED_VALUE"""),"Azizi Venice 7 Building A")</f>
        <v>Azizi Venice 7 Building A</v>
      </c>
      <c r="C12200" s="2" t="str">
        <f ca="1">IFERROR(__xludf.DUMMYFUNCTION("""COMPUTED_VALUE"""),"Building")</f>
        <v>Building</v>
      </c>
      <c r="D12200" s="2" t="str">
        <f ca="1">IFERROR(__xludf.DUMMYFUNCTION("""COMPUTED_VALUE"""),"Dubai&gt;Dubai South&gt;Azizi Venice&gt;Azizi Venice 7&gt;Azizi Venice 7 Building A")</f>
        <v>Dubai&gt;Dubai South&gt;Azizi Venice&gt;Azizi Venice 7&gt;Azizi Venice 7 Building A</v>
      </c>
      <c r="E12200" s="2"/>
      <c r="F12200" s="2"/>
      <c r="G12200" s="2"/>
      <c r="H12200" s="2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2"/>
      <c r="T12200" s="2"/>
      <c r="U12200" s="2"/>
      <c r="V12200" s="2"/>
      <c r="W12200" s="2"/>
      <c r="X12200" s="2"/>
      <c r="Y12200" s="2"/>
      <c r="Z12200" s="2"/>
    </row>
    <row r="12201" spans="1:26" ht="16.5" x14ac:dyDescent="0.35">
      <c r="A12201" s="2" t="str">
        <f ca="1">IFERROR(__xludf.DUMMYFUNCTION("""COMPUTED_VALUE"""),"Dubai")</f>
        <v>Dubai</v>
      </c>
      <c r="B12201" s="2" t="str">
        <f ca="1">IFERROR(__xludf.DUMMYFUNCTION("""COMPUTED_VALUE"""),"Azizi Venice 15 Tower B")</f>
        <v>Azizi Venice 15 Tower B</v>
      </c>
      <c r="C12201" s="2" t="str">
        <f ca="1">IFERROR(__xludf.DUMMYFUNCTION("""COMPUTED_VALUE"""),"Building")</f>
        <v>Building</v>
      </c>
      <c r="D12201" s="2" t="str">
        <f ca="1">IFERROR(__xludf.DUMMYFUNCTION("""COMPUTED_VALUE"""),"Dubai&gt;Dubai South&gt;Azizi Venice&gt;Azizi Venice 15&gt;Azizi Venice 15 Tower B")</f>
        <v>Dubai&gt;Dubai South&gt;Azizi Venice&gt;Azizi Venice 15&gt;Azizi Venice 15 Tower B</v>
      </c>
      <c r="E12201" s="2"/>
      <c r="F12201" s="2"/>
      <c r="G12201" s="2"/>
      <c r="H12201" s="2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2"/>
      <c r="T12201" s="2"/>
      <c r="U12201" s="2"/>
      <c r="V12201" s="2"/>
      <c r="W12201" s="2"/>
      <c r="X12201" s="2"/>
      <c r="Y12201" s="2"/>
      <c r="Z12201" s="2"/>
    </row>
    <row r="12202" spans="1:26" ht="16.5" x14ac:dyDescent="0.35">
      <c r="A12202" s="2" t="str">
        <f ca="1">IFERROR(__xludf.DUMMYFUNCTION("""COMPUTED_VALUE"""),"Dubai")</f>
        <v>Dubai</v>
      </c>
      <c r="B12202" s="2" t="str">
        <f ca="1">IFERROR(__xludf.DUMMYFUNCTION("""COMPUTED_VALUE"""),"Nikki Beach Resort &amp; Spa Dubai")</f>
        <v>Nikki Beach Resort &amp; Spa Dubai</v>
      </c>
      <c r="C12202" s="2" t="str">
        <f ca="1">IFERROR(__xludf.DUMMYFUNCTION("""COMPUTED_VALUE"""),"Building")</f>
        <v>Building</v>
      </c>
      <c r="D12202" s="2" t="str">
        <f ca="1">IFERROR(__xludf.DUMMYFUNCTION("""COMPUTED_VALUE"""),"Dubai&gt;Pearl Jumeirah&gt;Nikki Beach Resort &amp; Spa Dubai")</f>
        <v>Dubai&gt;Pearl Jumeirah&gt;Nikki Beach Resort &amp; Spa Dubai</v>
      </c>
      <c r="E12202" s="2"/>
      <c r="F12202" s="2"/>
      <c r="G12202" s="2"/>
      <c r="H12202" s="2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2"/>
      <c r="T12202" s="2"/>
      <c r="U12202" s="2"/>
      <c r="V12202" s="2"/>
      <c r="W12202" s="2"/>
      <c r="X12202" s="2"/>
      <c r="Y12202" s="2"/>
      <c r="Z12202" s="2"/>
    </row>
    <row r="12203" spans="1:26" ht="16.5" x14ac:dyDescent="0.35">
      <c r="A12203" s="2" t="str">
        <f ca="1">IFERROR(__xludf.DUMMYFUNCTION("""COMPUTED_VALUE"""),"Dubai")</f>
        <v>Dubai</v>
      </c>
      <c r="B12203" s="2" t="str">
        <f ca="1">IFERROR(__xludf.DUMMYFUNCTION("""COMPUTED_VALUE"""),"Gulf Residence")</f>
        <v>Gulf Residence</v>
      </c>
      <c r="C12203" s="2" t="str">
        <f ca="1">IFERROR(__xludf.DUMMYFUNCTION("""COMPUTED_VALUE"""),"Building")</f>
        <v>Building</v>
      </c>
      <c r="D12203" s="2" t="str">
        <f ca="1">IFERROR(__xludf.DUMMYFUNCTION("""COMPUTED_VALUE"""),"Dubai&gt;Bur Dubai&gt;Oud Metha&gt;Gulf Residence")</f>
        <v>Dubai&gt;Bur Dubai&gt;Oud Metha&gt;Gulf Residence</v>
      </c>
      <c r="E12203" s="2"/>
      <c r="F12203" s="2"/>
      <c r="G12203" s="2"/>
      <c r="H12203" s="2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2"/>
      <c r="T12203" s="2"/>
      <c r="U12203" s="2"/>
      <c r="V12203" s="2"/>
      <c r="W12203" s="2"/>
      <c r="X12203" s="2"/>
      <c r="Y12203" s="2"/>
      <c r="Z12203" s="2"/>
    </row>
    <row r="12204" spans="1:26" ht="16.5" x14ac:dyDescent="0.35">
      <c r="A12204" s="2" t="str">
        <f ca="1">IFERROR(__xludf.DUMMYFUNCTION("""COMPUTED_VALUE"""),"Dubai")</f>
        <v>Dubai</v>
      </c>
      <c r="B12204" s="2" t="str">
        <f ca="1">IFERROR(__xludf.DUMMYFUNCTION("""COMPUTED_VALUE"""),"Al Nasr Central")</f>
        <v>Al Nasr Central</v>
      </c>
      <c r="C12204" s="2" t="str">
        <f ca="1">IFERROR(__xludf.DUMMYFUNCTION("""COMPUTED_VALUE"""),"Building")</f>
        <v>Building</v>
      </c>
      <c r="D12204" s="2" t="str">
        <f ca="1">IFERROR(__xludf.DUMMYFUNCTION("""COMPUTED_VALUE"""),"Dubai&gt;Bur Dubai&gt;Oud Metha&gt;Al Nasr Central")</f>
        <v>Dubai&gt;Bur Dubai&gt;Oud Metha&gt;Al Nasr Central</v>
      </c>
      <c r="E12204" s="2"/>
      <c r="F12204" s="2"/>
      <c r="G12204" s="2"/>
      <c r="H12204" s="2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2"/>
      <c r="T12204" s="2"/>
      <c r="U12204" s="2"/>
      <c r="V12204" s="2"/>
      <c r="W12204" s="2"/>
      <c r="X12204" s="2"/>
      <c r="Y12204" s="2"/>
      <c r="Z12204" s="2"/>
    </row>
    <row r="12205" spans="1:26" ht="16.5" x14ac:dyDescent="0.35">
      <c r="A12205" s="2" t="str">
        <f ca="1">IFERROR(__xludf.DUMMYFUNCTION("""COMPUTED_VALUE"""),"Dubai")</f>
        <v>Dubai</v>
      </c>
      <c r="B12205" s="2" t="str">
        <f ca="1">IFERROR(__xludf.DUMMYFUNCTION("""COMPUTED_VALUE"""),"Al Salam Building")</f>
        <v>Al Salam Building</v>
      </c>
      <c r="C12205" s="2" t="str">
        <f ca="1">IFERROR(__xludf.DUMMYFUNCTION("""COMPUTED_VALUE"""),"Building")</f>
        <v>Building</v>
      </c>
      <c r="D12205" s="2" t="str">
        <f ca="1">IFERROR(__xludf.DUMMYFUNCTION("""COMPUTED_VALUE"""),"Dubai&gt;Bur Dubai&gt;Al Raffa&gt;Al Salam Building")</f>
        <v>Dubai&gt;Bur Dubai&gt;Al Raffa&gt;Al Salam Building</v>
      </c>
      <c r="E12205" s="2"/>
      <c r="F12205" s="2"/>
      <c r="G12205" s="2"/>
      <c r="H12205" s="2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2"/>
      <c r="T12205" s="2"/>
      <c r="U12205" s="2"/>
      <c r="V12205" s="2"/>
      <c r="W12205" s="2"/>
      <c r="X12205" s="2"/>
      <c r="Y12205" s="2"/>
      <c r="Z12205" s="2"/>
    </row>
    <row r="12206" spans="1:26" ht="16.5" x14ac:dyDescent="0.35">
      <c r="A12206" s="2" t="str">
        <f ca="1">IFERROR(__xludf.DUMMYFUNCTION("""COMPUTED_VALUE"""),"Dubai")</f>
        <v>Dubai</v>
      </c>
      <c r="B12206" s="2" t="str">
        <f ca="1">IFERROR(__xludf.DUMMYFUNCTION("""COMPUTED_VALUE"""),"Al Mankhool")</f>
        <v>Al Mankhool</v>
      </c>
      <c r="C12206" s="2" t="str">
        <f ca="1">IFERROR(__xludf.DUMMYFUNCTION("""COMPUTED_VALUE"""),"Neighbourhood")</f>
        <v>Neighbourhood</v>
      </c>
      <c r="D12206" s="2" t="str">
        <f ca="1">IFERROR(__xludf.DUMMYFUNCTION("""COMPUTED_VALUE"""),"Dubai&gt;Bur Dubai&gt;Al Mankhool")</f>
        <v>Dubai&gt;Bur Dubai&gt;Al Mankhool</v>
      </c>
      <c r="E12206" s="2"/>
      <c r="F12206" s="2"/>
      <c r="G12206" s="2"/>
      <c r="H12206" s="2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2"/>
      <c r="T12206" s="2"/>
      <c r="U12206" s="2"/>
      <c r="V12206" s="2"/>
      <c r="W12206" s="2"/>
      <c r="X12206" s="2"/>
      <c r="Y12206" s="2"/>
      <c r="Z12206" s="2"/>
    </row>
    <row r="12207" spans="1:26" ht="16.5" x14ac:dyDescent="0.35">
      <c r="A12207" s="2" t="str">
        <f ca="1">IFERROR(__xludf.DUMMYFUNCTION("""COMPUTED_VALUE"""),"Dubai")</f>
        <v>Dubai</v>
      </c>
      <c r="B12207" s="2" t="str">
        <f ca="1">IFERROR(__xludf.DUMMYFUNCTION("""COMPUTED_VALUE"""),"Golden Sands 14")</f>
        <v>Golden Sands 14</v>
      </c>
      <c r="C12207" s="2" t="str">
        <f ca="1">IFERROR(__xludf.DUMMYFUNCTION("""COMPUTED_VALUE"""),"Building")</f>
        <v>Building</v>
      </c>
      <c r="D12207" s="2" t="str">
        <f ca="1">IFERROR(__xludf.DUMMYFUNCTION("""COMPUTED_VALUE"""),"Dubai&gt;Bur Dubai&gt;Al Mankhool&gt;Golden Sands 14")</f>
        <v>Dubai&gt;Bur Dubai&gt;Al Mankhool&gt;Golden Sands 14</v>
      </c>
      <c r="E12207" s="2"/>
      <c r="F12207" s="2"/>
      <c r="G12207" s="2"/>
      <c r="H12207" s="2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2"/>
      <c r="T12207" s="2"/>
      <c r="U12207" s="2"/>
      <c r="V12207" s="2"/>
      <c r="W12207" s="2"/>
      <c r="X12207" s="2"/>
      <c r="Y12207" s="2"/>
      <c r="Z12207" s="2"/>
    </row>
    <row r="12208" spans="1:26" ht="16.5" x14ac:dyDescent="0.35">
      <c r="A12208" s="2" t="str">
        <f ca="1">IFERROR(__xludf.DUMMYFUNCTION("""COMPUTED_VALUE"""),"Dubai")</f>
        <v>Dubai</v>
      </c>
      <c r="B12208" s="2" t="str">
        <f ca="1">IFERROR(__xludf.DUMMYFUNCTION("""COMPUTED_VALUE"""),"Andalus Plaza 4")</f>
        <v>Andalus Plaza 4</v>
      </c>
      <c r="C12208" s="2" t="str">
        <f ca="1">IFERROR(__xludf.DUMMYFUNCTION("""COMPUTED_VALUE"""),"Building")</f>
        <v>Building</v>
      </c>
      <c r="D12208" s="2" t="str">
        <f ca="1">IFERROR(__xludf.DUMMYFUNCTION("""COMPUTED_VALUE"""),"Dubai&gt;Bur Dubai&gt;Al Mankhool&gt;Andalus Plaza 4")</f>
        <v>Dubai&gt;Bur Dubai&gt;Al Mankhool&gt;Andalus Plaza 4</v>
      </c>
      <c r="E12208" s="2"/>
      <c r="F12208" s="2"/>
      <c r="G12208" s="2"/>
      <c r="H12208" s="2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2"/>
      <c r="T12208" s="2"/>
      <c r="U12208" s="2"/>
      <c r="V12208" s="2"/>
      <c r="W12208" s="2"/>
      <c r="X12208" s="2"/>
      <c r="Y12208" s="2"/>
      <c r="Z12208" s="2"/>
    </row>
    <row r="12209" spans="1:26" ht="16.5" x14ac:dyDescent="0.35">
      <c r="A12209" s="2" t="str">
        <f ca="1">IFERROR(__xludf.DUMMYFUNCTION("""COMPUTED_VALUE"""),"Dubai")</f>
        <v>Dubai</v>
      </c>
      <c r="B12209" s="2" t="str">
        <f ca="1">IFERROR(__xludf.DUMMYFUNCTION("""COMPUTED_VALUE"""),"BV Residence 1")</f>
        <v>BV Residence 1</v>
      </c>
      <c r="C12209" s="2" t="str">
        <f ca="1">IFERROR(__xludf.DUMMYFUNCTION("""COMPUTED_VALUE"""),"Building")</f>
        <v>Building</v>
      </c>
      <c r="D12209" s="2" t="str">
        <f ca="1">IFERROR(__xludf.DUMMYFUNCTION("""COMPUTED_VALUE"""),"Dubai&gt;Bur Dubai&gt;Al Mankhool&gt;BV Residence 1")</f>
        <v>Dubai&gt;Bur Dubai&gt;Al Mankhool&gt;BV Residence 1</v>
      </c>
      <c r="E12209" s="2"/>
      <c r="F12209" s="2"/>
      <c r="G12209" s="2"/>
      <c r="H12209" s="2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2"/>
      <c r="T12209" s="2"/>
      <c r="U12209" s="2"/>
      <c r="V12209" s="2"/>
      <c r="W12209" s="2"/>
      <c r="X12209" s="2"/>
      <c r="Y12209" s="2"/>
      <c r="Z12209" s="2"/>
    </row>
    <row r="12210" spans="1:26" ht="16.5" x14ac:dyDescent="0.35">
      <c r="A12210" s="2" t="str">
        <f ca="1">IFERROR(__xludf.DUMMYFUNCTION("""COMPUTED_VALUE"""),"Dubai")</f>
        <v>Dubai</v>
      </c>
      <c r="B12210" s="2" t="str">
        <f ca="1">IFERROR(__xludf.DUMMYFUNCTION("""COMPUTED_VALUE"""),"Wafi Residence")</f>
        <v>Wafi Residence</v>
      </c>
      <c r="C12210" s="2" t="str">
        <f ca="1">IFERROR(__xludf.DUMMYFUNCTION("""COMPUTED_VALUE"""),"Building")</f>
        <v>Building</v>
      </c>
      <c r="D12210" s="2" t="str">
        <f ca="1">IFERROR(__xludf.DUMMYFUNCTION("""COMPUTED_VALUE"""),"Dubai&gt;Bur Dubai&gt;Umm Hurair&gt;Umm Hurair 2&gt;Wafi Residence")</f>
        <v>Dubai&gt;Bur Dubai&gt;Umm Hurair&gt;Umm Hurair 2&gt;Wafi Residence</v>
      </c>
      <c r="E12210" s="2"/>
      <c r="F12210" s="2"/>
      <c r="G12210" s="2"/>
      <c r="H12210" s="2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2"/>
      <c r="T12210" s="2"/>
      <c r="U12210" s="2"/>
      <c r="V12210" s="2"/>
      <c r="W12210" s="2"/>
      <c r="X12210" s="2"/>
      <c r="Y12210" s="2"/>
      <c r="Z12210" s="2"/>
    </row>
    <row r="12211" spans="1:26" ht="16.5" x14ac:dyDescent="0.35">
      <c r="A12211" s="2" t="str">
        <f ca="1">IFERROR(__xludf.DUMMYFUNCTION("""COMPUTED_VALUE"""),"Dubai")</f>
        <v>Dubai</v>
      </c>
      <c r="B12211" s="2" t="str">
        <f ca="1">IFERROR(__xludf.DUMMYFUNCTION("""COMPUTED_VALUE"""),"Bin Dhaen Holding Building New Al Raffa")</f>
        <v>Bin Dhaen Holding Building New Al Raffa</v>
      </c>
      <c r="C12211" s="2" t="str">
        <f ca="1">IFERROR(__xludf.DUMMYFUNCTION("""COMPUTED_VALUE"""),"Building")</f>
        <v>Building</v>
      </c>
      <c r="D12211" s="2" t="str">
        <f ca="1">IFERROR(__xludf.DUMMYFUNCTION("""COMPUTED_VALUE"""),"Dubai&gt;Bur Dubai&gt;Al Souk Al Kabeer (Al Fahidi)&gt;Bin Dhaen Holding Building New Al Raffa")</f>
        <v>Dubai&gt;Bur Dubai&gt;Al Souk Al Kabeer (Al Fahidi)&gt;Bin Dhaen Holding Building New Al Raffa</v>
      </c>
      <c r="E12211" s="2"/>
      <c r="F12211" s="2"/>
      <c r="G12211" s="2"/>
      <c r="H12211" s="2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2"/>
      <c r="T12211" s="2"/>
      <c r="U12211" s="2"/>
      <c r="V12211" s="2"/>
      <c r="W12211" s="2"/>
      <c r="X12211" s="2"/>
      <c r="Y12211" s="2"/>
      <c r="Z12211" s="2"/>
    </row>
    <row r="12212" spans="1:26" ht="16.5" x14ac:dyDescent="0.35">
      <c r="A12212" s="2" t="str">
        <f ca="1">IFERROR(__xludf.DUMMYFUNCTION("""COMPUTED_VALUE"""),"Dubai")</f>
        <v>Dubai</v>
      </c>
      <c r="B12212" s="2" t="str">
        <f ca="1">IFERROR(__xludf.DUMMYFUNCTION("""COMPUTED_VALUE"""),"Al Yousuf Building Hamriya 1")</f>
        <v>Al Yousuf Building Hamriya 1</v>
      </c>
      <c r="C12212" s="2" t="str">
        <f ca="1">IFERROR(__xludf.DUMMYFUNCTION("""COMPUTED_VALUE"""),"Building")</f>
        <v>Building</v>
      </c>
      <c r="D12212" s="2" t="str">
        <f ca="1">IFERROR(__xludf.DUMMYFUNCTION("""COMPUTED_VALUE"""),"Dubai&gt;Bur Dubai&gt;Al Hamriya&gt;Al Yousuf Building Hamriya 1")</f>
        <v>Dubai&gt;Bur Dubai&gt;Al Hamriya&gt;Al Yousuf Building Hamriya 1</v>
      </c>
      <c r="E12212" s="2"/>
      <c r="F12212" s="2"/>
      <c r="G12212" s="2"/>
      <c r="H12212" s="2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2"/>
      <c r="T12212" s="2"/>
      <c r="U12212" s="2"/>
      <c r="V12212" s="2"/>
      <c r="W12212" s="2"/>
      <c r="X12212" s="2"/>
      <c r="Y12212" s="2"/>
      <c r="Z12212" s="2"/>
    </row>
    <row r="12213" spans="1:26" ht="16.5" x14ac:dyDescent="0.35">
      <c r="A12213" s="2" t="str">
        <f ca="1">IFERROR(__xludf.DUMMYFUNCTION("""COMPUTED_VALUE"""),"Dubai")</f>
        <v>Dubai</v>
      </c>
      <c r="B12213" s="2" t="str">
        <f ca="1">IFERROR(__xludf.DUMMYFUNCTION("""COMPUTED_VALUE"""),"Building 39")</f>
        <v>Building 39</v>
      </c>
      <c r="C12213" s="2" t="str">
        <f ca="1">IFERROR(__xludf.DUMMYFUNCTION("""COMPUTED_VALUE"""),"Building")</f>
        <v>Building</v>
      </c>
      <c r="D12213" s="2" t="str">
        <f ca="1">IFERROR(__xludf.DUMMYFUNCTION("""COMPUTED_VALUE"""),"Dubai&gt;Bur Dubai&gt;Dubai Healthcare City&gt;Building 39")</f>
        <v>Dubai&gt;Bur Dubai&gt;Dubai Healthcare City&gt;Building 39</v>
      </c>
      <c r="E12213" s="2"/>
      <c r="F12213" s="2"/>
      <c r="G12213" s="2"/>
      <c r="H12213" s="2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2"/>
      <c r="T12213" s="2"/>
      <c r="U12213" s="2"/>
      <c r="V12213" s="2"/>
      <c r="W12213" s="2"/>
      <c r="X12213" s="2"/>
      <c r="Y12213" s="2"/>
      <c r="Z12213" s="2"/>
    </row>
    <row r="12214" spans="1:26" ht="16.5" x14ac:dyDescent="0.35">
      <c r="A12214" s="2" t="str">
        <f ca="1">IFERROR(__xludf.DUMMYFUNCTION("""COMPUTED_VALUE"""),"Dubai")</f>
        <v>Dubai</v>
      </c>
      <c r="B12214" s="2" t="str">
        <f ca="1">IFERROR(__xludf.DUMMYFUNCTION("""COMPUTED_VALUE"""),"Al Andalus Tower B")</f>
        <v>Al Andalus Tower B</v>
      </c>
      <c r="C12214" s="2" t="str">
        <f ca="1">IFERROR(__xludf.DUMMYFUNCTION("""COMPUTED_VALUE"""),"Building")</f>
        <v>Building</v>
      </c>
      <c r="D12214" s="2" t="str">
        <f ca="1">IFERROR(__xludf.DUMMYFUNCTION("""COMPUTED_VALUE"""),"Dubai&gt;Jumeirah Golf Estates&gt;Al Andalus&gt;Al Andalus Tower B")</f>
        <v>Dubai&gt;Jumeirah Golf Estates&gt;Al Andalus&gt;Al Andalus Tower B</v>
      </c>
      <c r="E12214" s="2"/>
      <c r="F12214" s="2"/>
      <c r="G12214" s="2"/>
      <c r="H12214" s="2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2"/>
      <c r="T12214" s="2"/>
      <c r="U12214" s="2"/>
      <c r="V12214" s="2"/>
      <c r="W12214" s="2"/>
      <c r="X12214" s="2"/>
      <c r="Y12214" s="2"/>
      <c r="Z12214" s="2"/>
    </row>
    <row r="12215" spans="1:26" ht="16.5" x14ac:dyDescent="0.35">
      <c r="A12215" s="2" t="str">
        <f ca="1">IFERROR(__xludf.DUMMYFUNCTION("""COMPUTED_VALUE"""),"Dubai")</f>
        <v>Dubai</v>
      </c>
      <c r="B12215" s="2" t="str">
        <f ca="1">IFERROR(__xludf.DUMMYFUNCTION("""COMPUTED_VALUE"""),"Marina Vista Tower 2")</f>
        <v>Marina Vista Tower 2</v>
      </c>
      <c r="C12215" s="2" t="str">
        <f ca="1">IFERROR(__xludf.DUMMYFUNCTION("""COMPUTED_VALUE"""),"Building")</f>
        <v>Building</v>
      </c>
      <c r="D12215" s="2" t="str">
        <f ca="1">IFERROR(__xludf.DUMMYFUNCTION("""COMPUTED_VALUE"""),"Dubai&gt;Dubai Harbour&gt;Emaar Beachfront&gt;Marina Vista&gt;Marina Vista Tower 2")</f>
        <v>Dubai&gt;Dubai Harbour&gt;Emaar Beachfront&gt;Marina Vista&gt;Marina Vista Tower 2</v>
      </c>
      <c r="E12215" s="2"/>
      <c r="F12215" s="2"/>
      <c r="G12215" s="2"/>
      <c r="H12215" s="2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2"/>
      <c r="T12215" s="2"/>
      <c r="U12215" s="2"/>
      <c r="V12215" s="2"/>
      <c r="W12215" s="2"/>
      <c r="X12215" s="2"/>
      <c r="Y12215" s="2"/>
      <c r="Z12215" s="2"/>
    </row>
    <row r="12216" spans="1:26" ht="16.5" x14ac:dyDescent="0.35">
      <c r="A12216" s="2" t="str">
        <f ca="1">IFERROR(__xludf.DUMMYFUNCTION("""COMPUTED_VALUE"""),"Dubai")</f>
        <v>Dubai</v>
      </c>
      <c r="B12216" s="2" t="str">
        <f ca="1">IFERROR(__xludf.DUMMYFUNCTION("""COMPUTED_VALUE"""),"The Bristol Luxury Hotels &amp; Resorts")</f>
        <v>The Bristol Luxury Hotels &amp; Resorts</v>
      </c>
      <c r="C12216" s="2" t="str">
        <f ca="1">IFERROR(__xludf.DUMMYFUNCTION("""COMPUTED_VALUE"""),"Building")</f>
        <v>Building</v>
      </c>
      <c r="D12216" s="2" t="str">
        <f ca="1">IFERROR(__xludf.DUMMYFUNCTION("""COMPUTED_VALUE"""),"Dubai&gt;Dubai Harbour&gt;Emaar Beachfront&gt;The Bristol Luxury Hotels &amp; Resorts")</f>
        <v>Dubai&gt;Dubai Harbour&gt;Emaar Beachfront&gt;The Bristol Luxury Hotels &amp; Resorts</v>
      </c>
      <c r="E12216" s="2"/>
      <c r="F12216" s="2"/>
      <c r="G12216" s="2"/>
      <c r="H12216" s="2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2"/>
      <c r="T12216" s="2"/>
      <c r="U12216" s="2"/>
      <c r="V12216" s="2"/>
      <c r="W12216" s="2"/>
      <c r="X12216" s="2"/>
      <c r="Y12216" s="2"/>
      <c r="Z12216" s="2"/>
    </row>
    <row r="12217" spans="1:26" ht="16.5" x14ac:dyDescent="0.35">
      <c r="A12217" s="2" t="str">
        <f ca="1">IFERROR(__xludf.DUMMYFUNCTION("""COMPUTED_VALUE"""),"Dubai")</f>
        <v>Dubai</v>
      </c>
      <c r="B12217" s="2" t="str">
        <f ca="1">IFERROR(__xludf.DUMMYFUNCTION("""COMPUTED_VALUE"""),"Juniper")</f>
        <v>Juniper</v>
      </c>
      <c r="C12217" s="2" t="str">
        <f ca="1">IFERROR(__xludf.DUMMYFUNCTION("""COMPUTED_VALUE"""),"Neighbourhood")</f>
        <v>Neighbourhood</v>
      </c>
      <c r="D12217" s="2" t="str">
        <f ca="1">IFERROR(__xludf.DUMMYFUNCTION("""COMPUTED_VALUE"""),"Dubai&gt;DAMAC Hills 2 (Akoya by DAMAC)&gt;Juniper")</f>
        <v>Dubai&gt;DAMAC Hills 2 (Akoya by DAMAC)&gt;Juniper</v>
      </c>
      <c r="E12217" s="2"/>
      <c r="F12217" s="2"/>
      <c r="G12217" s="2"/>
      <c r="H12217" s="2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2"/>
      <c r="T12217" s="2"/>
      <c r="U12217" s="2"/>
      <c r="V12217" s="2"/>
      <c r="W12217" s="2"/>
      <c r="X12217" s="2"/>
      <c r="Y12217" s="2"/>
      <c r="Z12217" s="2"/>
    </row>
    <row r="12218" spans="1:26" ht="16.5" x14ac:dyDescent="0.35">
      <c r="A12218" s="2" t="str">
        <f ca="1">IFERROR(__xludf.DUMMYFUNCTION("""COMPUTED_VALUE"""),"Dubai")</f>
        <v>Dubai</v>
      </c>
      <c r="B12218" s="2" t="str">
        <f ca="1">IFERROR(__xludf.DUMMYFUNCTION("""COMPUTED_VALUE"""),"Serena")</f>
        <v>Serena</v>
      </c>
      <c r="C12218" s="2" t="str">
        <f ca="1">IFERROR(__xludf.DUMMYFUNCTION("""COMPUTED_VALUE"""),"Neighbourhood")</f>
        <v>Neighbourhood</v>
      </c>
      <c r="D12218" s="2" t="str">
        <f ca="1">IFERROR(__xludf.DUMMYFUNCTION("""COMPUTED_VALUE"""),"Dubai&gt;Serena")</f>
        <v>Dubai&gt;Serena</v>
      </c>
      <c r="E12218" s="2"/>
      <c r="F12218" s="2"/>
      <c r="G12218" s="2"/>
      <c r="H12218" s="2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2"/>
      <c r="T12218" s="2"/>
      <c r="U12218" s="2"/>
      <c r="V12218" s="2"/>
      <c r="W12218" s="2"/>
      <c r="X12218" s="2"/>
      <c r="Y12218" s="2"/>
      <c r="Z12218" s="2"/>
    </row>
    <row r="12219" spans="1:26" ht="16.5" x14ac:dyDescent="0.35">
      <c r="A12219" s="2" t="str">
        <f ca="1">IFERROR(__xludf.DUMMYFUNCTION("""COMPUTED_VALUE"""),"Dubai")</f>
        <v>Dubai</v>
      </c>
      <c r="B12219" s="2" t="str">
        <f ca="1">IFERROR(__xludf.DUMMYFUNCTION("""COMPUTED_VALUE"""),"J-04")</f>
        <v>J-04</v>
      </c>
      <c r="C12219" s="2" t="str">
        <f ca="1">IFERROR(__xludf.DUMMYFUNCTION("""COMPUTED_VALUE"""),"Building")</f>
        <v>Building</v>
      </c>
      <c r="D12219" s="2" t="str">
        <f ca="1">IFERROR(__xludf.DUMMYFUNCTION("""COMPUTED_VALUE"""),"Dubai&gt;International City&gt;Morocco Cluster&gt;J-04")</f>
        <v>Dubai&gt;International City&gt;Morocco Cluster&gt;J-04</v>
      </c>
      <c r="E12219" s="2"/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2"/>
      <c r="T12219" s="2"/>
      <c r="U12219" s="2"/>
      <c r="V12219" s="2"/>
      <c r="W12219" s="2"/>
      <c r="X12219" s="2"/>
      <c r="Y12219" s="2"/>
      <c r="Z12219" s="2"/>
    </row>
    <row r="12220" spans="1:26" ht="16.5" x14ac:dyDescent="0.35">
      <c r="A12220" s="2" t="str">
        <f ca="1">IFERROR(__xludf.DUMMYFUNCTION("""COMPUTED_VALUE"""),"Dubai")</f>
        <v>Dubai</v>
      </c>
      <c r="B12220" s="2" t="str">
        <f ca="1">IFERROR(__xludf.DUMMYFUNCTION("""COMPUTED_VALUE"""),"E-05")</f>
        <v>E-05</v>
      </c>
      <c r="C12220" s="2" t="str">
        <f ca="1">IFERROR(__xludf.DUMMYFUNCTION("""COMPUTED_VALUE"""),"Building")</f>
        <v>Building</v>
      </c>
      <c r="D12220" s="2" t="str">
        <f ca="1">IFERROR(__xludf.DUMMYFUNCTION("""COMPUTED_VALUE"""),"Dubai&gt;International City&gt;China Cluster&gt;E-05")</f>
        <v>Dubai&gt;International City&gt;China Cluster&gt;E-05</v>
      </c>
      <c r="E12220" s="2"/>
      <c r="F12220" s="2"/>
      <c r="G12220" s="2"/>
      <c r="H12220" s="2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2"/>
      <c r="T12220" s="2"/>
      <c r="U12220" s="2"/>
      <c r="V12220" s="2"/>
      <c r="W12220" s="2"/>
      <c r="X12220" s="2"/>
      <c r="Y12220" s="2"/>
      <c r="Z12220" s="2"/>
    </row>
    <row r="12221" spans="1:26" ht="16.5" x14ac:dyDescent="0.35">
      <c r="A12221" s="2" t="str">
        <f ca="1">IFERROR(__xludf.DUMMYFUNCTION("""COMPUTED_VALUE"""),"Dubai")</f>
        <v>Dubai</v>
      </c>
      <c r="B12221" s="2" t="str">
        <f ca="1">IFERROR(__xludf.DUMMYFUNCTION("""COMPUTED_VALUE"""),"C-03")</f>
        <v>C-03</v>
      </c>
      <c r="C12221" s="2" t="str">
        <f ca="1">IFERROR(__xludf.DUMMYFUNCTION("""COMPUTED_VALUE"""),"Building")</f>
        <v>Building</v>
      </c>
      <c r="D12221" s="2" t="str">
        <f ca="1">IFERROR(__xludf.DUMMYFUNCTION("""COMPUTED_VALUE"""),"Dubai&gt;International City&gt;China Cluster&gt;C-03")</f>
        <v>Dubai&gt;International City&gt;China Cluster&gt;C-03</v>
      </c>
      <c r="E12221" s="2"/>
      <c r="F12221" s="2"/>
      <c r="G12221" s="2"/>
      <c r="H12221" s="2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2"/>
      <c r="T12221" s="2"/>
      <c r="U12221" s="2"/>
      <c r="V12221" s="2"/>
      <c r="W12221" s="2"/>
      <c r="X12221" s="2"/>
      <c r="Y12221" s="2"/>
      <c r="Z12221" s="2"/>
    </row>
    <row r="12222" spans="1:26" ht="16.5" x14ac:dyDescent="0.35">
      <c r="A12222" s="2" t="str">
        <f ca="1">IFERROR(__xludf.DUMMYFUNCTION("""COMPUTED_VALUE"""),"Dubai")</f>
        <v>Dubai</v>
      </c>
      <c r="B12222" s="2" t="str">
        <f ca="1">IFERROR(__xludf.DUMMYFUNCTION("""COMPUTED_VALUE"""),"F-09")</f>
        <v>F-09</v>
      </c>
      <c r="C12222" s="2" t="str">
        <f ca="1">IFERROR(__xludf.DUMMYFUNCTION("""COMPUTED_VALUE"""),"Building")</f>
        <v>Building</v>
      </c>
      <c r="D12222" s="2" t="str">
        <f ca="1">IFERROR(__xludf.DUMMYFUNCTION("""COMPUTED_VALUE"""),"Dubai&gt;International City&gt;China Cluster&gt;F-09")</f>
        <v>Dubai&gt;International City&gt;China Cluster&gt;F-09</v>
      </c>
      <c r="E12222" s="2"/>
      <c r="F12222" s="2"/>
      <c r="G12222" s="2"/>
      <c r="H12222" s="2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2"/>
      <c r="T12222" s="2"/>
      <c r="U12222" s="2"/>
      <c r="V12222" s="2"/>
      <c r="W12222" s="2"/>
      <c r="X12222" s="2"/>
      <c r="Y12222" s="2"/>
      <c r="Z12222" s="2"/>
    </row>
    <row r="12223" spans="1:26" ht="16.5" x14ac:dyDescent="0.35">
      <c r="A12223" s="2" t="str">
        <f ca="1">IFERROR(__xludf.DUMMYFUNCTION("""COMPUTED_VALUE"""),"Dubai")</f>
        <v>Dubai</v>
      </c>
      <c r="B12223" s="2" t="str">
        <f ca="1">IFERROR(__xludf.DUMMYFUNCTION("""COMPUTED_VALUE"""),"T-09")</f>
        <v>T-09</v>
      </c>
      <c r="C12223" s="2" t="str">
        <f ca="1">IFERROR(__xludf.DUMMYFUNCTION("""COMPUTED_VALUE"""),"Building")</f>
        <v>Building</v>
      </c>
      <c r="D12223" s="2" t="str">
        <f ca="1">IFERROR(__xludf.DUMMYFUNCTION("""COMPUTED_VALUE"""),"Dubai&gt;International City&gt;Spain Cluster&gt;T-09")</f>
        <v>Dubai&gt;International City&gt;Spain Cluster&gt;T-09</v>
      </c>
      <c r="E12223" s="2"/>
      <c r="F12223" s="2"/>
      <c r="G12223" s="2"/>
      <c r="H12223" s="2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2"/>
      <c r="T12223" s="2"/>
      <c r="U12223" s="2"/>
      <c r="V12223" s="2"/>
      <c r="W12223" s="2"/>
      <c r="X12223" s="2"/>
      <c r="Y12223" s="2"/>
      <c r="Z12223" s="2"/>
    </row>
    <row r="12224" spans="1:26" ht="16.5" x14ac:dyDescent="0.35">
      <c r="A12224" s="2" t="str">
        <f ca="1">IFERROR(__xludf.DUMMYFUNCTION("""COMPUTED_VALUE"""),"Dubai")</f>
        <v>Dubai</v>
      </c>
      <c r="B12224" s="2" t="str">
        <f ca="1">IFERROR(__xludf.DUMMYFUNCTION("""COMPUTED_VALUE"""),"U-06")</f>
        <v>U-06</v>
      </c>
      <c r="C12224" s="2" t="str">
        <f ca="1">IFERROR(__xludf.DUMMYFUNCTION("""COMPUTED_VALUE"""),"Building")</f>
        <v>Building</v>
      </c>
      <c r="D12224" s="2" t="str">
        <f ca="1">IFERROR(__xludf.DUMMYFUNCTION("""COMPUTED_VALUE"""),"Dubai&gt;International City&gt;Italy Cluster&gt;U-06")</f>
        <v>Dubai&gt;International City&gt;Italy Cluster&gt;U-06</v>
      </c>
      <c r="E12224" s="2"/>
      <c r="F12224" s="2"/>
      <c r="G12224" s="2"/>
      <c r="H12224" s="2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2"/>
      <c r="T12224" s="2"/>
      <c r="U12224" s="2"/>
      <c r="V12224" s="2"/>
      <c r="W12224" s="2"/>
      <c r="X12224" s="2"/>
      <c r="Y12224" s="2"/>
      <c r="Z12224" s="2"/>
    </row>
    <row r="12225" spans="1:26" ht="16.5" x14ac:dyDescent="0.35">
      <c r="A12225" s="2" t="str">
        <f ca="1">IFERROR(__xludf.DUMMYFUNCTION("""COMPUTED_VALUE"""),"Dubai")</f>
        <v>Dubai</v>
      </c>
      <c r="B12225" s="2" t="str">
        <f ca="1">IFERROR(__xludf.DUMMYFUNCTION("""COMPUTED_VALUE"""),"V-10")</f>
        <v>V-10</v>
      </c>
      <c r="C12225" s="2" t="str">
        <f ca="1">IFERROR(__xludf.DUMMYFUNCTION("""COMPUTED_VALUE"""),"Building")</f>
        <v>Building</v>
      </c>
      <c r="D12225" s="2" t="str">
        <f ca="1">IFERROR(__xludf.DUMMYFUNCTION("""COMPUTED_VALUE"""),"Dubai&gt;International City&gt;Russia Cluster&gt;V-10")</f>
        <v>Dubai&gt;International City&gt;Russia Cluster&gt;V-10</v>
      </c>
      <c r="E12225" s="2"/>
      <c r="F12225" s="2"/>
      <c r="G12225" s="2"/>
      <c r="H12225" s="2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2"/>
      <c r="T12225" s="2"/>
      <c r="U12225" s="2"/>
      <c r="V12225" s="2"/>
      <c r="W12225" s="2"/>
      <c r="X12225" s="2"/>
      <c r="Y12225" s="2"/>
      <c r="Z12225" s="2"/>
    </row>
    <row r="12226" spans="1:26" ht="16.5" x14ac:dyDescent="0.35">
      <c r="A12226" s="2" t="str">
        <f ca="1">IFERROR(__xludf.DUMMYFUNCTION("""COMPUTED_VALUE"""),"Dubai")</f>
        <v>Dubai</v>
      </c>
      <c r="B12226" s="2" t="str">
        <f ca="1">IFERROR(__xludf.DUMMYFUNCTION("""COMPUTED_VALUE"""),"N-15")</f>
        <v>N-15</v>
      </c>
      <c r="C12226" s="2" t="str">
        <f ca="1">IFERROR(__xludf.DUMMYFUNCTION("""COMPUTED_VALUE"""),"Building")</f>
        <v>Building</v>
      </c>
      <c r="D12226" s="2" t="str">
        <f ca="1">IFERROR(__xludf.DUMMYFUNCTION("""COMPUTED_VALUE"""),"Dubai&gt;International City&gt;Persia Cluster&gt;N-15")</f>
        <v>Dubai&gt;International City&gt;Persia Cluster&gt;N-15</v>
      </c>
      <c r="E12226" s="2"/>
      <c r="F12226" s="2"/>
      <c r="G12226" s="2"/>
      <c r="H12226" s="2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2"/>
      <c r="T12226" s="2"/>
      <c r="U12226" s="2"/>
      <c r="V12226" s="2"/>
      <c r="W12226" s="2"/>
      <c r="X12226" s="2"/>
      <c r="Y12226" s="2"/>
      <c r="Z12226" s="2"/>
    </row>
    <row r="12227" spans="1:26" ht="16.5" x14ac:dyDescent="0.35">
      <c r="A12227" s="2" t="str">
        <f ca="1">IFERROR(__xludf.DUMMYFUNCTION("""COMPUTED_VALUE"""),"Dubai")</f>
        <v>Dubai</v>
      </c>
      <c r="B12227" s="2" t="str">
        <f ca="1">IFERROR(__xludf.DUMMYFUNCTION("""COMPUTED_VALUE"""),"EMR-25")</f>
        <v>EMR-25</v>
      </c>
      <c r="C12227" s="2" t="str">
        <f ca="1">IFERROR(__xludf.DUMMYFUNCTION("""COMPUTED_VALUE"""),"Building")</f>
        <v>Building</v>
      </c>
      <c r="D12227" s="2" t="str">
        <f ca="1">IFERROR(__xludf.DUMMYFUNCTION("""COMPUTED_VALUE"""),"Dubai&gt;International City&gt;Emirates Cluster&gt;EMR-25")</f>
        <v>Dubai&gt;International City&gt;Emirates Cluster&gt;EMR-25</v>
      </c>
      <c r="E12227" s="2"/>
      <c r="F12227" s="2"/>
      <c r="G12227" s="2"/>
      <c r="H12227" s="2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2"/>
      <c r="T12227" s="2"/>
      <c r="U12227" s="2"/>
      <c r="V12227" s="2"/>
      <c r="W12227" s="2"/>
      <c r="X12227" s="2"/>
      <c r="Y12227" s="2"/>
      <c r="Z12227" s="2"/>
    </row>
    <row r="12228" spans="1:26" ht="16.5" x14ac:dyDescent="0.35">
      <c r="A12228" s="2" t="str">
        <f ca="1">IFERROR(__xludf.DUMMYFUNCTION("""COMPUTED_VALUE"""),"Dubai")</f>
        <v>Dubai</v>
      </c>
      <c r="B12228" s="2" t="str">
        <f ca="1">IFERROR(__xludf.DUMMYFUNCTION("""COMPUTED_VALUE"""),"X-10")</f>
        <v>X-10</v>
      </c>
      <c r="C12228" s="2" t="str">
        <f ca="1">IFERROR(__xludf.DUMMYFUNCTION("""COMPUTED_VALUE"""),"Building")</f>
        <v>Building</v>
      </c>
      <c r="D12228" s="2" t="str">
        <f ca="1">IFERROR(__xludf.DUMMYFUNCTION("""COMPUTED_VALUE"""),"Dubai&gt;International City&gt;England Cluster&gt;X-10")</f>
        <v>Dubai&gt;International City&gt;England Cluster&gt;X-10</v>
      </c>
      <c r="E12228" s="2"/>
      <c r="F12228" s="2"/>
      <c r="G12228" s="2"/>
      <c r="H12228" s="2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2"/>
      <c r="T12228" s="2"/>
      <c r="U12228" s="2"/>
      <c r="V12228" s="2"/>
      <c r="W12228" s="2"/>
      <c r="X12228" s="2"/>
      <c r="Y12228" s="2"/>
      <c r="Z12228" s="2"/>
    </row>
    <row r="12229" spans="1:26" ht="16.5" x14ac:dyDescent="0.35">
      <c r="A12229" s="2" t="str">
        <f ca="1">IFERROR(__xludf.DUMMYFUNCTION("""COMPUTED_VALUE"""),"Dubai")</f>
        <v>Dubai</v>
      </c>
      <c r="B12229" s="2" t="str">
        <f ca="1">IFERROR(__xludf.DUMMYFUNCTION("""COMPUTED_VALUE"""),"Y-16")</f>
        <v>Y-16</v>
      </c>
      <c r="C12229" s="2" t="str">
        <f ca="1">IFERROR(__xludf.DUMMYFUNCTION("""COMPUTED_VALUE"""),"Building")</f>
        <v>Building</v>
      </c>
      <c r="D12229" s="2" t="str">
        <f ca="1">IFERROR(__xludf.DUMMYFUNCTION("""COMPUTED_VALUE"""),"Dubai&gt;International City&gt;England Cluster&gt;Y-16")</f>
        <v>Dubai&gt;International City&gt;England Cluster&gt;Y-16</v>
      </c>
      <c r="E12229" s="2"/>
      <c r="F12229" s="2"/>
      <c r="G12229" s="2"/>
      <c r="H12229" s="2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2"/>
      <c r="T12229" s="2"/>
      <c r="U12229" s="2"/>
      <c r="V12229" s="2"/>
      <c r="W12229" s="2"/>
      <c r="X12229" s="2"/>
      <c r="Y12229" s="2"/>
      <c r="Z12229" s="2"/>
    </row>
    <row r="12230" spans="1:26" ht="16.5" x14ac:dyDescent="0.35">
      <c r="A12230" s="2" t="str">
        <f ca="1">IFERROR(__xludf.DUMMYFUNCTION("""COMPUTED_VALUE"""),"Dubai")</f>
        <v>Dubai</v>
      </c>
      <c r="B12230" s="2" t="str">
        <f ca="1">IFERROR(__xludf.DUMMYFUNCTION("""COMPUTED_VALUE"""),"Al Basha 7")</f>
        <v>Al Basha 7</v>
      </c>
      <c r="C12230" s="2" t="str">
        <f ca="1">IFERROR(__xludf.DUMMYFUNCTION("""COMPUTED_VALUE"""),"Building")</f>
        <v>Building</v>
      </c>
      <c r="D12230" s="2" t="str">
        <f ca="1">IFERROR(__xludf.DUMMYFUNCTION("""COMPUTED_VALUE"""),"Dubai&gt;International City&gt;International City Phase 2 (Warsan 4)&gt;Al Basha 7")</f>
        <v>Dubai&gt;International City&gt;International City Phase 2 (Warsan 4)&gt;Al Basha 7</v>
      </c>
      <c r="E12230" s="2"/>
      <c r="F12230" s="2"/>
      <c r="G12230" s="2"/>
      <c r="H12230" s="2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2"/>
      <c r="T12230" s="2"/>
      <c r="U12230" s="2"/>
      <c r="V12230" s="2"/>
      <c r="W12230" s="2"/>
      <c r="X12230" s="2"/>
      <c r="Y12230" s="2"/>
      <c r="Z12230" s="2"/>
    </row>
    <row r="12231" spans="1:26" ht="16.5" x14ac:dyDescent="0.35">
      <c r="A12231" s="2" t="str">
        <f ca="1">IFERROR(__xludf.DUMMYFUNCTION("""COMPUTED_VALUE"""),"Dubai")</f>
        <v>Dubai</v>
      </c>
      <c r="B12231" s="2" t="str">
        <f ca="1">IFERROR(__xludf.DUMMYFUNCTION("""COMPUTED_VALUE"""),"SD 1 Building")</f>
        <v>SD 1 Building</v>
      </c>
      <c r="C12231" s="2" t="str">
        <f ca="1">IFERROR(__xludf.DUMMYFUNCTION("""COMPUTED_VALUE"""),"Building")</f>
        <v>Building</v>
      </c>
      <c r="D12231" s="2" t="str">
        <f ca="1">IFERROR(__xludf.DUMMYFUNCTION("""COMPUTED_VALUE"""),"Dubai&gt;International City&gt;International City Phase 2 (Warsan 4)&gt;SD 1 Building")</f>
        <v>Dubai&gt;International City&gt;International City Phase 2 (Warsan 4)&gt;SD 1 Building</v>
      </c>
      <c r="E12231" s="2"/>
      <c r="F12231" s="2"/>
      <c r="G12231" s="2"/>
      <c r="H12231" s="2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2"/>
      <c r="T12231" s="2"/>
      <c r="U12231" s="2"/>
      <c r="V12231" s="2"/>
      <c r="W12231" s="2"/>
      <c r="X12231" s="2"/>
      <c r="Y12231" s="2"/>
      <c r="Z12231" s="2"/>
    </row>
    <row r="12232" spans="1:26" ht="16.5" x14ac:dyDescent="0.35">
      <c r="A12232" s="2" t="str">
        <f ca="1">IFERROR(__xludf.DUMMYFUNCTION("""COMPUTED_VALUE"""),"Dubai")</f>
        <v>Dubai</v>
      </c>
      <c r="B12232" s="2" t="str">
        <f ca="1">IFERROR(__xludf.DUMMYFUNCTION("""COMPUTED_VALUE"""),"Marjan Building")</f>
        <v>Marjan Building</v>
      </c>
      <c r="C12232" s="2" t="str">
        <f ca="1">IFERROR(__xludf.DUMMYFUNCTION("""COMPUTED_VALUE"""),"Building")</f>
        <v>Building</v>
      </c>
      <c r="D12232" s="2" t="str">
        <f ca="1">IFERROR(__xludf.DUMMYFUNCTION("""COMPUTED_VALUE"""),"Dubai&gt;International City&gt;International City Phase 2 (Warsan 4)&gt;Marjan Building")</f>
        <v>Dubai&gt;International City&gt;International City Phase 2 (Warsan 4)&gt;Marjan Building</v>
      </c>
      <c r="E12232" s="2"/>
      <c r="F12232" s="2"/>
      <c r="G12232" s="2"/>
      <c r="H12232" s="2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2"/>
      <c r="T12232" s="2"/>
      <c r="U12232" s="2"/>
      <c r="V12232" s="2"/>
      <c r="W12232" s="2"/>
      <c r="X12232" s="2"/>
      <c r="Y12232" s="2"/>
      <c r="Z12232" s="2"/>
    </row>
    <row r="12233" spans="1:26" ht="16.5" x14ac:dyDescent="0.35">
      <c r="A12233" s="2" t="str">
        <f ca="1">IFERROR(__xludf.DUMMYFUNCTION("""COMPUTED_VALUE"""),"Dubai")</f>
        <v>Dubai</v>
      </c>
      <c r="B12233" s="2" t="str">
        <f ca="1">IFERROR(__xludf.DUMMYFUNCTION("""COMPUTED_VALUE"""),"Greenwood")</f>
        <v>Greenwood</v>
      </c>
      <c r="C12233" s="2" t="str">
        <f ca="1">IFERROR(__xludf.DUMMYFUNCTION("""COMPUTED_VALUE"""),"Neighbourhood")</f>
        <v>Neighbourhood</v>
      </c>
      <c r="D12233" s="2" t="str">
        <f ca="1">IFERROR(__xludf.DUMMYFUNCTION("""COMPUTED_VALUE"""),"Dubai&gt;International City&gt;International City Phase 2 (Warsan 4)&gt;Greenwood")</f>
        <v>Dubai&gt;International City&gt;International City Phase 2 (Warsan 4)&gt;Greenwood</v>
      </c>
      <c r="E12233" s="2"/>
      <c r="F12233" s="2"/>
      <c r="G12233" s="2"/>
      <c r="H12233" s="2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2"/>
      <c r="T12233" s="2"/>
      <c r="U12233" s="2"/>
      <c r="V12233" s="2"/>
      <c r="W12233" s="2"/>
      <c r="X12233" s="2"/>
      <c r="Y12233" s="2"/>
      <c r="Z12233" s="2"/>
    </row>
    <row r="12234" spans="1:26" ht="16.5" x14ac:dyDescent="0.35">
      <c r="A12234" s="2" t="str">
        <f ca="1">IFERROR(__xludf.DUMMYFUNCTION("""COMPUTED_VALUE"""),"Dubai")</f>
        <v>Dubai</v>
      </c>
      <c r="B12234" s="2" t="str">
        <f ca="1">IFERROR(__xludf.DUMMYFUNCTION("""COMPUTED_VALUE"""),"BNH Smart Tower 02")</f>
        <v>BNH Smart Tower 02</v>
      </c>
      <c r="C12234" s="2" t="str">
        <f ca="1">IFERROR(__xludf.DUMMYFUNCTION("""COMPUTED_VALUE"""),"Building")</f>
        <v>Building</v>
      </c>
      <c r="D12234" s="2" t="str">
        <f ca="1">IFERROR(__xludf.DUMMYFUNCTION("""COMPUTED_VALUE"""),"Dubai&gt;International City&gt;International City Phase 2 (Warsan 4)&gt;BNH Smart Tower 02")</f>
        <v>Dubai&gt;International City&gt;International City Phase 2 (Warsan 4)&gt;BNH Smart Tower 02</v>
      </c>
      <c r="E12234" s="2"/>
      <c r="F12234" s="2"/>
      <c r="G12234" s="2"/>
      <c r="H12234" s="2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2"/>
      <c r="T12234" s="2"/>
      <c r="U12234" s="2"/>
      <c r="V12234" s="2"/>
      <c r="W12234" s="2"/>
      <c r="X12234" s="2"/>
      <c r="Y12234" s="2"/>
      <c r="Z12234" s="2"/>
    </row>
    <row r="12235" spans="1:26" ht="16.5" x14ac:dyDescent="0.35">
      <c r="A12235" s="2" t="str">
        <f ca="1">IFERROR(__xludf.DUMMYFUNCTION("""COMPUTED_VALUE"""),"Dubai")</f>
        <v>Dubai</v>
      </c>
      <c r="B12235" s="2" t="str">
        <f ca="1">IFERROR(__xludf.DUMMYFUNCTION("""COMPUTED_VALUE"""),"K-02")</f>
        <v>K-02</v>
      </c>
      <c r="C12235" s="2" t="str">
        <f ca="1">IFERROR(__xludf.DUMMYFUNCTION("""COMPUTED_VALUE"""),"Building")</f>
        <v>Building</v>
      </c>
      <c r="D12235" s="2" t="str">
        <f ca="1">IFERROR(__xludf.DUMMYFUNCTION("""COMPUTED_VALUE"""),"Dubai&gt;International City&gt;Greece Cluster&gt;K-02")</f>
        <v>Dubai&gt;International City&gt;Greece Cluster&gt;K-02</v>
      </c>
      <c r="E12235" s="2"/>
      <c r="F12235" s="2"/>
      <c r="G12235" s="2"/>
      <c r="H12235" s="2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2"/>
      <c r="T12235" s="2"/>
      <c r="U12235" s="2"/>
      <c r="V12235" s="2"/>
      <c r="W12235" s="2"/>
      <c r="X12235" s="2"/>
      <c r="Y12235" s="2"/>
      <c r="Z12235" s="2"/>
    </row>
    <row r="12236" spans="1:26" ht="16.5" x14ac:dyDescent="0.35">
      <c r="A12236" s="2" t="str">
        <f ca="1">IFERROR(__xludf.DUMMYFUNCTION("""COMPUTED_VALUE"""),"Dubai")</f>
        <v>Dubai</v>
      </c>
      <c r="B12236" s="2" t="str">
        <f ca="1">IFERROR(__xludf.DUMMYFUNCTION("""COMPUTED_VALUE"""),"P-16")</f>
        <v>P-16</v>
      </c>
      <c r="C12236" s="2" t="str">
        <f ca="1">IFERROR(__xludf.DUMMYFUNCTION("""COMPUTED_VALUE"""),"Building")</f>
        <v>Building</v>
      </c>
      <c r="D12236" s="2" t="str">
        <f ca="1">IFERROR(__xludf.DUMMYFUNCTION("""COMPUTED_VALUE"""),"Dubai&gt;International City&gt;France Cluster&gt;P-16")</f>
        <v>Dubai&gt;International City&gt;France Cluster&gt;P-16</v>
      </c>
      <c r="E12236" s="2"/>
      <c r="F12236" s="2"/>
      <c r="G12236" s="2"/>
      <c r="H12236" s="2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2"/>
      <c r="T12236" s="2"/>
      <c r="U12236" s="2"/>
      <c r="V12236" s="2"/>
      <c r="W12236" s="2"/>
      <c r="X12236" s="2"/>
      <c r="Y12236" s="2"/>
      <c r="Z12236" s="2"/>
    </row>
    <row r="12237" spans="1:26" ht="16.5" x14ac:dyDescent="0.35">
      <c r="A12237" s="2" t="str">
        <f ca="1">IFERROR(__xludf.DUMMYFUNCTION("""COMPUTED_VALUE"""),"Dubai")</f>
        <v>Dubai</v>
      </c>
      <c r="B12237" s="2" t="str">
        <f ca="1">IFERROR(__xludf.DUMMYFUNCTION("""COMPUTED_VALUE"""),"R-28")</f>
        <v>R-28</v>
      </c>
      <c r="C12237" s="2" t="str">
        <f ca="1">IFERROR(__xludf.DUMMYFUNCTION("""COMPUTED_VALUE"""),"Building")</f>
        <v>Building</v>
      </c>
      <c r="D12237" s="2" t="str">
        <f ca="1">IFERROR(__xludf.DUMMYFUNCTION("""COMPUTED_VALUE"""),"Dubai&gt;International City&gt;France Cluster&gt;R-28")</f>
        <v>Dubai&gt;International City&gt;France Cluster&gt;R-28</v>
      </c>
      <c r="E12237" s="2"/>
      <c r="F12237" s="2"/>
      <c r="G12237" s="2"/>
      <c r="H12237" s="2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2"/>
      <c r="T12237" s="2"/>
      <c r="U12237" s="2"/>
      <c r="V12237" s="2"/>
      <c r="W12237" s="2"/>
      <c r="X12237" s="2"/>
      <c r="Y12237" s="2"/>
      <c r="Z12237" s="2"/>
    </row>
    <row r="12238" spans="1:26" ht="16.5" x14ac:dyDescent="0.35">
      <c r="A12238" s="2" t="str">
        <f ca="1">IFERROR(__xludf.DUMMYFUNCTION("""COMPUTED_VALUE"""),"Dubai")</f>
        <v>Dubai</v>
      </c>
      <c r="B12238" s="2" t="str">
        <f ca="1">IFERROR(__xludf.DUMMYFUNCTION("""COMPUTED_VALUE"""),"Global Green View")</f>
        <v>Global Green View</v>
      </c>
      <c r="C12238" s="2" t="str">
        <f ca="1">IFERROR(__xludf.DUMMYFUNCTION("""COMPUTED_VALUE"""),"Building")</f>
        <v>Building</v>
      </c>
      <c r="D12238" s="2" t="str">
        <f ca="1">IFERROR(__xludf.DUMMYFUNCTION("""COMPUTED_VALUE"""),"Dubai&gt;International City&gt;Central Business District&gt;Global Green View")</f>
        <v>Dubai&gt;International City&gt;Central Business District&gt;Global Green View</v>
      </c>
      <c r="E12238" s="2"/>
      <c r="F12238" s="2"/>
      <c r="G12238" s="2"/>
      <c r="H12238" s="2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2"/>
      <c r="T12238" s="2"/>
      <c r="U12238" s="2"/>
      <c r="V12238" s="2"/>
      <c r="W12238" s="2"/>
      <c r="X12238" s="2"/>
      <c r="Y12238" s="2"/>
      <c r="Z12238" s="2"/>
    </row>
    <row r="12239" spans="1:26" ht="16.5" x14ac:dyDescent="0.35">
      <c r="A12239" s="2" t="str">
        <f ca="1">IFERROR(__xludf.DUMMYFUNCTION("""COMPUTED_VALUE"""),"Dubai")</f>
        <v>Dubai</v>
      </c>
      <c r="B12239" s="2" t="str">
        <f ca="1">IFERROR(__xludf.DUMMYFUNCTION("""COMPUTED_VALUE"""),"Saeed Bin Shafar 1 Building")</f>
        <v>Saeed Bin Shafar 1 Building</v>
      </c>
      <c r="C12239" s="2" t="str">
        <f ca="1">IFERROR(__xludf.DUMMYFUNCTION("""COMPUTED_VALUE"""),"Building")</f>
        <v>Building</v>
      </c>
      <c r="D12239" s="2" t="str">
        <f ca="1">IFERROR(__xludf.DUMMYFUNCTION("""COMPUTED_VALUE"""),"Dubai&gt;International City&gt;Saeed Bin Shafar 1 Building")</f>
        <v>Dubai&gt;International City&gt;Saeed Bin Shafar 1 Building</v>
      </c>
      <c r="E12239" s="2"/>
      <c r="F12239" s="2"/>
      <c r="G12239" s="2"/>
      <c r="H12239" s="2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2"/>
      <c r="T12239" s="2"/>
      <c r="U12239" s="2"/>
      <c r="V12239" s="2"/>
      <c r="W12239" s="2"/>
      <c r="X12239" s="2"/>
      <c r="Y12239" s="2"/>
      <c r="Z12239" s="2"/>
    </row>
    <row r="12240" spans="1:26" ht="16.5" x14ac:dyDescent="0.35">
      <c r="A12240" s="2" t="str">
        <f ca="1">IFERROR(__xludf.DUMMYFUNCTION("""COMPUTED_VALUE"""),"Dubai")</f>
        <v>Dubai</v>
      </c>
      <c r="B12240" s="2" t="str">
        <f ca="1">IFERROR(__xludf.DUMMYFUNCTION("""COMPUTED_VALUE"""),"Marina Wharf I")</f>
        <v>Marina Wharf I</v>
      </c>
      <c r="C12240" s="2" t="str">
        <f ca="1">IFERROR(__xludf.DUMMYFUNCTION("""COMPUTED_VALUE"""),"Building")</f>
        <v>Building</v>
      </c>
      <c r="D12240" s="2" t="str">
        <f ca="1">IFERROR(__xludf.DUMMYFUNCTION("""COMPUTED_VALUE"""),"Dubai&gt;Dubai Marina&gt;Marina Wharf&gt;Marina Wharf I")</f>
        <v>Dubai&gt;Dubai Marina&gt;Marina Wharf&gt;Marina Wharf I</v>
      </c>
      <c r="E12240" s="2"/>
      <c r="F12240" s="2"/>
      <c r="G12240" s="2"/>
      <c r="H12240" s="2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2"/>
      <c r="T12240" s="2"/>
      <c r="U12240" s="2"/>
      <c r="V12240" s="2"/>
      <c r="W12240" s="2"/>
      <c r="X12240" s="2"/>
      <c r="Y12240" s="2"/>
      <c r="Z12240" s="2"/>
    </row>
    <row r="12241" spans="1:26" ht="16.5" x14ac:dyDescent="0.35">
      <c r="A12241" s="2" t="str">
        <f ca="1">IFERROR(__xludf.DUMMYFUNCTION("""COMPUTED_VALUE"""),"Dubai")</f>
        <v>Dubai</v>
      </c>
      <c r="B12241" s="2" t="str">
        <f ca="1">IFERROR(__xludf.DUMMYFUNCTION("""COMPUTED_VALUE"""),"Marina Quays North")</f>
        <v>Marina Quays North</v>
      </c>
      <c r="C12241" s="2" t="str">
        <f ca="1">IFERROR(__xludf.DUMMYFUNCTION("""COMPUTED_VALUE"""),"Building")</f>
        <v>Building</v>
      </c>
      <c r="D12241" s="2" t="str">
        <f ca="1">IFERROR(__xludf.DUMMYFUNCTION("""COMPUTED_VALUE"""),"Dubai&gt;Dubai Marina&gt;Marina Quays&gt;Marina Quays North")</f>
        <v>Dubai&gt;Dubai Marina&gt;Marina Quays&gt;Marina Quays North</v>
      </c>
      <c r="E12241" s="2"/>
      <c r="F12241" s="2"/>
      <c r="G12241" s="2"/>
      <c r="H12241" s="2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2"/>
      <c r="T12241" s="2"/>
      <c r="U12241" s="2"/>
      <c r="V12241" s="2"/>
      <c r="W12241" s="2"/>
      <c r="X12241" s="2"/>
      <c r="Y12241" s="2"/>
      <c r="Z12241" s="2"/>
    </row>
    <row r="12242" spans="1:26" ht="16.5" x14ac:dyDescent="0.35">
      <c r="A12242" s="2" t="str">
        <f ca="1">IFERROR(__xludf.DUMMYFUNCTION("""COMPUTED_VALUE"""),"Dubai")</f>
        <v>Dubai</v>
      </c>
      <c r="B12242" s="2" t="str">
        <f ca="1">IFERROR(__xludf.DUMMYFUNCTION("""COMPUTED_VALUE"""),"Cayan Tower")</f>
        <v>Cayan Tower</v>
      </c>
      <c r="C12242" s="2" t="str">
        <f ca="1">IFERROR(__xludf.DUMMYFUNCTION("""COMPUTED_VALUE"""),"Building")</f>
        <v>Building</v>
      </c>
      <c r="D12242" s="2" t="str">
        <f ca="1">IFERROR(__xludf.DUMMYFUNCTION("""COMPUTED_VALUE"""),"Dubai&gt;Dubai Marina&gt;Cayan Tower")</f>
        <v>Dubai&gt;Dubai Marina&gt;Cayan Tower</v>
      </c>
      <c r="E12242" s="2"/>
      <c r="F12242" s="2"/>
      <c r="G12242" s="2"/>
      <c r="H12242" s="2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2"/>
      <c r="T12242" s="2"/>
      <c r="U12242" s="2"/>
      <c r="V12242" s="2"/>
      <c r="W12242" s="2"/>
      <c r="X12242" s="2"/>
      <c r="Y12242" s="2"/>
      <c r="Z12242" s="2"/>
    </row>
    <row r="12243" spans="1:26" ht="16.5" x14ac:dyDescent="0.35">
      <c r="A12243" s="2" t="str">
        <f ca="1">IFERROR(__xludf.DUMMYFUNCTION("""COMPUTED_VALUE"""),"Dubai")</f>
        <v>Dubai</v>
      </c>
      <c r="B12243" s="2" t="str">
        <f ca="1">IFERROR(__xludf.DUMMYFUNCTION("""COMPUTED_VALUE"""),"JAM Marina Residence")</f>
        <v>JAM Marina Residence</v>
      </c>
      <c r="C12243" s="2" t="str">
        <f ca="1">IFERROR(__xludf.DUMMYFUNCTION("""COMPUTED_VALUE"""),"Building")</f>
        <v>Building</v>
      </c>
      <c r="D12243" s="2" t="str">
        <f ca="1">IFERROR(__xludf.DUMMYFUNCTION("""COMPUTED_VALUE"""),"Dubai&gt;Dubai Marina&gt;JAM Marina Residence")</f>
        <v>Dubai&gt;Dubai Marina&gt;JAM Marina Residence</v>
      </c>
      <c r="E12243" s="2"/>
      <c r="F12243" s="2"/>
      <c r="G12243" s="2"/>
      <c r="H12243" s="2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2"/>
      <c r="T12243" s="2"/>
      <c r="U12243" s="2"/>
      <c r="V12243" s="2"/>
      <c r="W12243" s="2"/>
      <c r="X12243" s="2"/>
      <c r="Y12243" s="2"/>
      <c r="Z12243" s="2"/>
    </row>
    <row r="12244" spans="1:26" ht="16.5" x14ac:dyDescent="0.35">
      <c r="A12244" s="2" t="str">
        <f ca="1">IFERROR(__xludf.DUMMYFUNCTION("""COMPUTED_VALUE"""),"Dubai")</f>
        <v>Dubai</v>
      </c>
      <c r="B12244" s="2" t="str">
        <f ca="1">IFERROR(__xludf.DUMMYFUNCTION("""COMPUTED_VALUE"""),"Marina View Hotel Apartments")</f>
        <v>Marina View Hotel Apartments</v>
      </c>
      <c r="C12244" s="2" t="str">
        <f ca="1">IFERROR(__xludf.DUMMYFUNCTION("""COMPUTED_VALUE"""),"Building")</f>
        <v>Building</v>
      </c>
      <c r="D12244" s="2" t="str">
        <f ca="1">IFERROR(__xludf.DUMMYFUNCTION("""COMPUTED_VALUE"""),"Dubai&gt;Dubai Marina&gt;Marina View Hotel Apartments")</f>
        <v>Dubai&gt;Dubai Marina&gt;Marina View Hotel Apartments</v>
      </c>
      <c r="E12244" s="2"/>
      <c r="F12244" s="2"/>
      <c r="G12244" s="2"/>
      <c r="H12244" s="2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2"/>
      <c r="T12244" s="2"/>
      <c r="U12244" s="2"/>
      <c r="V12244" s="2"/>
      <c r="W12244" s="2"/>
      <c r="X12244" s="2"/>
      <c r="Y12244" s="2"/>
      <c r="Z12244" s="2"/>
    </row>
    <row r="12245" spans="1:26" ht="16.5" x14ac:dyDescent="0.35">
      <c r="A12245" s="2" t="str">
        <f ca="1">IFERROR(__xludf.DUMMYFUNCTION("""COMPUTED_VALUE"""),"Dubai")</f>
        <v>Dubai</v>
      </c>
      <c r="B12245" s="2" t="str">
        <f ca="1">IFERROR(__xludf.DUMMYFUNCTION("""COMPUTED_VALUE"""),"The Belvedere")</f>
        <v>The Belvedere</v>
      </c>
      <c r="C12245" s="2" t="str">
        <f ca="1">IFERROR(__xludf.DUMMYFUNCTION("""COMPUTED_VALUE"""),"Building")</f>
        <v>Building</v>
      </c>
      <c r="D12245" s="2" t="str">
        <f ca="1">IFERROR(__xludf.DUMMYFUNCTION("""COMPUTED_VALUE"""),"Dubai&gt;Dubai Marina&gt;The Belvedere")</f>
        <v>Dubai&gt;Dubai Marina&gt;The Belvedere</v>
      </c>
      <c r="E12245" s="2"/>
      <c r="F12245" s="2"/>
      <c r="G12245" s="2"/>
      <c r="H12245" s="2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2"/>
      <c r="T12245" s="2"/>
      <c r="U12245" s="2"/>
      <c r="V12245" s="2"/>
      <c r="W12245" s="2"/>
      <c r="X12245" s="2"/>
      <c r="Y12245" s="2"/>
      <c r="Z12245" s="2"/>
    </row>
    <row r="12246" spans="1:26" ht="16.5" x14ac:dyDescent="0.35">
      <c r="A12246" s="2" t="str">
        <f ca="1">IFERROR(__xludf.DUMMYFUNCTION("""COMPUTED_VALUE"""),"Dubai")</f>
        <v>Dubai</v>
      </c>
      <c r="B12246" s="2" t="str">
        <f ca="1">IFERROR(__xludf.DUMMYFUNCTION("""COMPUTED_VALUE"""),"Kempinski Marina Residences")</f>
        <v>Kempinski Marina Residences</v>
      </c>
      <c r="C12246" s="2" t="str">
        <f ca="1">IFERROR(__xludf.DUMMYFUNCTION("""COMPUTED_VALUE"""),"Building")</f>
        <v>Building</v>
      </c>
      <c r="D12246" s="2" t="str">
        <f ca="1">IFERROR(__xludf.DUMMYFUNCTION("""COMPUTED_VALUE"""),"Dubai&gt;Dubai Marina&gt;Kempinski Marina Residences")</f>
        <v>Dubai&gt;Dubai Marina&gt;Kempinski Marina Residences</v>
      </c>
      <c r="E12246" s="2"/>
      <c r="F12246" s="2"/>
      <c r="G12246" s="2"/>
      <c r="H12246" s="2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2"/>
      <c r="T12246" s="2"/>
      <c r="U12246" s="2"/>
      <c r="V12246" s="2"/>
      <c r="W12246" s="2"/>
      <c r="X12246" s="2"/>
      <c r="Y12246" s="2"/>
      <c r="Z12246" s="2"/>
    </row>
    <row r="12247" spans="1:26" ht="16.5" x14ac:dyDescent="0.35">
      <c r="A12247" s="2" t="str">
        <f ca="1">IFERROR(__xludf.DUMMYFUNCTION("""COMPUTED_VALUE"""),"Dubai")</f>
        <v>Dubai</v>
      </c>
      <c r="B12247" s="2" t="str">
        <f ca="1">IFERROR(__xludf.DUMMYFUNCTION("""COMPUTED_VALUE"""),"Safi Apartments 2B")</f>
        <v>Safi Apartments 2B</v>
      </c>
      <c r="C12247" s="2" t="str">
        <f ca="1">IFERROR(__xludf.DUMMYFUNCTION("""COMPUTED_VALUE"""),"Building")</f>
        <v>Building</v>
      </c>
      <c r="D12247" s="2" t="str">
        <f ca="1">IFERROR(__xludf.DUMMYFUNCTION("""COMPUTED_VALUE"""),"Dubai&gt;Town Square&gt;Safi Apartments&gt;Safi Apartments 2B")</f>
        <v>Dubai&gt;Town Square&gt;Safi Apartments&gt;Safi Apartments 2B</v>
      </c>
      <c r="E12247" s="2"/>
      <c r="F12247" s="2"/>
      <c r="G12247" s="2"/>
      <c r="H12247" s="2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2"/>
      <c r="T12247" s="2"/>
      <c r="U12247" s="2"/>
      <c r="V12247" s="2"/>
      <c r="W12247" s="2"/>
      <c r="X12247" s="2"/>
      <c r="Y12247" s="2"/>
      <c r="Z12247" s="2"/>
    </row>
    <row r="12248" spans="1:26" ht="16.5" x14ac:dyDescent="0.35">
      <c r="A12248" s="2" t="str">
        <f ca="1">IFERROR(__xludf.DUMMYFUNCTION("""COMPUTED_VALUE"""),"Dubai")</f>
        <v>Dubai</v>
      </c>
      <c r="B12248" s="2" t="str">
        <f ca="1">IFERROR(__xludf.DUMMYFUNCTION("""COMPUTED_VALUE"""),"The Diplomat Residences")</f>
        <v>The Diplomat Residences</v>
      </c>
      <c r="C12248" s="2" t="str">
        <f ca="1">IFERROR(__xludf.DUMMYFUNCTION("""COMPUTED_VALUE"""),"Building")</f>
        <v>Building</v>
      </c>
      <c r="D12248" s="2" t="str">
        <f ca="1">IFERROR(__xludf.DUMMYFUNCTION("""COMPUTED_VALUE"""),"Dubai&gt;Town Square&gt;The Diplomat Residences")</f>
        <v>Dubai&gt;Town Square&gt;The Diplomat Residences</v>
      </c>
      <c r="E12248" s="2"/>
      <c r="F12248" s="2"/>
      <c r="G12248" s="2"/>
      <c r="H12248" s="2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2"/>
      <c r="T12248" s="2"/>
      <c r="U12248" s="2"/>
      <c r="V12248" s="2"/>
      <c r="W12248" s="2"/>
      <c r="X12248" s="2"/>
      <c r="Y12248" s="2"/>
      <c r="Z12248" s="2"/>
    </row>
    <row r="12249" spans="1:26" ht="16.5" x14ac:dyDescent="0.35">
      <c r="A12249" s="2" t="str">
        <f ca="1">IFERROR(__xludf.DUMMYFUNCTION("""COMPUTED_VALUE"""),"Dubai")</f>
        <v>Dubai</v>
      </c>
      <c r="B12249" s="2" t="str">
        <f ca="1">IFERROR(__xludf.DUMMYFUNCTION("""COMPUTED_VALUE"""),"Alton")</f>
        <v>Alton</v>
      </c>
      <c r="C12249" s="2" t="str">
        <f ca="1">IFERROR(__xludf.DUMMYFUNCTION("""COMPUTED_VALUE"""),"Building")</f>
        <v>Building</v>
      </c>
      <c r="D12249" s="2" t="str">
        <f ca="1">IFERROR(__xludf.DUMMYFUNCTION("""COMPUTED_VALUE"""),"Dubai&gt;Town Square&gt;Alton")</f>
        <v>Dubai&gt;Town Square&gt;Alton</v>
      </c>
      <c r="E12249" s="2"/>
      <c r="F12249" s="2"/>
      <c r="G12249" s="2"/>
      <c r="H12249" s="2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2"/>
      <c r="T12249" s="2"/>
      <c r="U12249" s="2"/>
      <c r="V12249" s="2"/>
      <c r="W12249" s="2"/>
      <c r="X12249" s="2"/>
      <c r="Y12249" s="2"/>
      <c r="Z12249" s="2"/>
    </row>
    <row r="12250" spans="1:26" ht="16.5" x14ac:dyDescent="0.35">
      <c r="A12250" s="2" t="str">
        <f ca="1">IFERROR(__xludf.DUMMYFUNCTION("""COMPUTED_VALUE"""),"Dubai")</f>
        <v>Dubai</v>
      </c>
      <c r="B12250" s="2" t="str">
        <f ca="1">IFERROR(__xludf.DUMMYFUNCTION("""COMPUTED_VALUE"""),"Avenue Residence 1")</f>
        <v>Avenue Residence 1</v>
      </c>
      <c r="C12250" s="2" t="str">
        <f ca="1">IFERROR(__xludf.DUMMYFUNCTION("""COMPUTED_VALUE"""),"Building")</f>
        <v>Building</v>
      </c>
      <c r="D12250" s="2" t="str">
        <f ca="1">IFERROR(__xludf.DUMMYFUNCTION("""COMPUTED_VALUE"""),"Dubai&gt;Al Furjan&gt;Avenue Residence 1")</f>
        <v>Dubai&gt;Al Furjan&gt;Avenue Residence 1</v>
      </c>
      <c r="E12250" s="2"/>
      <c r="F12250" s="2"/>
      <c r="G12250" s="2"/>
      <c r="H12250" s="2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2"/>
      <c r="T12250" s="2"/>
      <c r="U12250" s="2"/>
      <c r="V12250" s="2"/>
      <c r="W12250" s="2"/>
      <c r="X12250" s="2"/>
      <c r="Y12250" s="2"/>
      <c r="Z12250" s="2"/>
    </row>
    <row r="12251" spans="1:26" ht="16.5" x14ac:dyDescent="0.35">
      <c r="A12251" s="2" t="str">
        <f ca="1">IFERROR(__xludf.DUMMYFUNCTION("""COMPUTED_VALUE"""),"Dubai")</f>
        <v>Dubai</v>
      </c>
      <c r="B12251" s="2" t="str">
        <f ca="1">IFERROR(__xludf.DUMMYFUNCTION("""COMPUTED_VALUE"""),"Avenue Residence 2")</f>
        <v>Avenue Residence 2</v>
      </c>
      <c r="C12251" s="2" t="str">
        <f ca="1">IFERROR(__xludf.DUMMYFUNCTION("""COMPUTED_VALUE"""),"Building")</f>
        <v>Building</v>
      </c>
      <c r="D12251" s="2" t="str">
        <f ca="1">IFERROR(__xludf.DUMMYFUNCTION("""COMPUTED_VALUE"""),"Dubai&gt;Al Furjan&gt;Avenue Residence 2")</f>
        <v>Dubai&gt;Al Furjan&gt;Avenue Residence 2</v>
      </c>
      <c r="E12251" s="2"/>
      <c r="F12251" s="2"/>
      <c r="G12251" s="2"/>
      <c r="H12251" s="2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2"/>
      <c r="T12251" s="2"/>
      <c r="U12251" s="2"/>
      <c r="V12251" s="2"/>
      <c r="W12251" s="2"/>
      <c r="X12251" s="2"/>
      <c r="Y12251" s="2"/>
      <c r="Z12251" s="2"/>
    </row>
    <row r="12252" spans="1:26" ht="16.5" x14ac:dyDescent="0.35">
      <c r="A12252" s="2" t="str">
        <f ca="1">IFERROR(__xludf.DUMMYFUNCTION("""COMPUTED_VALUE"""),"Dubai")</f>
        <v>Dubai</v>
      </c>
      <c r="B12252" s="2" t="str">
        <f ca="1">IFERROR(__xludf.DUMMYFUNCTION("""COMPUTED_VALUE"""),"Westwood by Imtiaz")</f>
        <v>Westwood by Imtiaz</v>
      </c>
      <c r="C12252" s="2" t="str">
        <f ca="1">IFERROR(__xludf.DUMMYFUNCTION("""COMPUTED_VALUE"""),"Building")</f>
        <v>Building</v>
      </c>
      <c r="D12252" s="2" t="str">
        <f ca="1">IFERROR(__xludf.DUMMYFUNCTION("""COMPUTED_VALUE"""),"Dubai&gt;Al Furjan&gt;Westwood by Imtiaz")</f>
        <v>Dubai&gt;Al Furjan&gt;Westwood by Imtiaz</v>
      </c>
      <c r="E12252" s="2"/>
      <c r="F12252" s="2"/>
      <c r="G12252" s="2"/>
      <c r="H12252" s="2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2"/>
      <c r="T12252" s="2"/>
      <c r="U12252" s="2"/>
      <c r="V12252" s="2"/>
      <c r="W12252" s="2"/>
      <c r="X12252" s="2"/>
      <c r="Y12252" s="2"/>
      <c r="Z12252" s="2"/>
    </row>
    <row r="12253" spans="1:26" ht="16.5" x14ac:dyDescent="0.35">
      <c r="A12253" s="2" t="str">
        <f ca="1">IFERROR(__xludf.DUMMYFUNCTION("""COMPUTED_VALUE"""),"Dubai")</f>
        <v>Dubai</v>
      </c>
      <c r="B12253" s="2" t="str">
        <f ca="1">IFERROR(__xludf.DUMMYFUNCTION("""COMPUTED_VALUE"""),"Symbolic Aura")</f>
        <v>Symbolic Aura</v>
      </c>
      <c r="C12253" s="2" t="str">
        <f ca="1">IFERROR(__xludf.DUMMYFUNCTION("""COMPUTED_VALUE"""),"Building")</f>
        <v>Building</v>
      </c>
      <c r="D12253" s="2" t="str">
        <f ca="1">IFERROR(__xludf.DUMMYFUNCTION("""COMPUTED_VALUE"""),"Dubai&gt;Al Furjan&gt;Symbolic Aura")</f>
        <v>Dubai&gt;Al Furjan&gt;Symbolic Aura</v>
      </c>
      <c r="E12253" s="2"/>
      <c r="F12253" s="2"/>
      <c r="G12253" s="2"/>
      <c r="H12253" s="2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2"/>
      <c r="T12253" s="2"/>
      <c r="U12253" s="2"/>
      <c r="V12253" s="2"/>
      <c r="W12253" s="2"/>
      <c r="X12253" s="2"/>
      <c r="Y12253" s="2"/>
      <c r="Z12253" s="2"/>
    </row>
    <row r="12254" spans="1:26" ht="16.5" x14ac:dyDescent="0.35">
      <c r="A12254" s="2" t="str">
        <f ca="1">IFERROR(__xludf.DUMMYFUNCTION("""COMPUTED_VALUE"""),"Dubai")</f>
        <v>Dubai</v>
      </c>
      <c r="B12254" s="2" t="str">
        <f ca="1">IFERROR(__xludf.DUMMYFUNCTION("""COMPUTED_VALUE"""),"Tori by IGO")</f>
        <v>Tori by IGO</v>
      </c>
      <c r="C12254" s="2" t="str">
        <f ca="1">IFERROR(__xludf.DUMMYFUNCTION("""COMPUTED_VALUE"""),"Neighbourhood")</f>
        <v>Neighbourhood</v>
      </c>
      <c r="D12254" s="2" t="str">
        <f ca="1">IFERROR(__xludf.DUMMYFUNCTION("""COMPUTED_VALUE"""),"Dubai&gt;Al Furjan&gt;Tori by IGO")</f>
        <v>Dubai&gt;Al Furjan&gt;Tori by IGO</v>
      </c>
      <c r="E12254" s="2"/>
      <c r="F12254" s="2"/>
      <c r="G12254" s="2"/>
      <c r="H12254" s="2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2"/>
      <c r="T12254" s="2"/>
      <c r="U12254" s="2"/>
      <c r="V12254" s="2"/>
      <c r="W12254" s="2"/>
      <c r="X12254" s="2"/>
      <c r="Y12254" s="2"/>
      <c r="Z12254" s="2"/>
    </row>
    <row r="12255" spans="1:26" ht="16.5" x14ac:dyDescent="0.35">
      <c r="A12255" s="2" t="str">
        <f ca="1">IFERROR(__xludf.DUMMYFUNCTION("""COMPUTED_VALUE"""),"Dubai")</f>
        <v>Dubai</v>
      </c>
      <c r="B12255" s="2" t="str">
        <f ca="1">IFERROR(__xludf.DUMMYFUNCTION("""COMPUTED_VALUE"""),"Azizi Riviera 26")</f>
        <v>Azizi Riviera 26</v>
      </c>
      <c r="C12255" s="2" t="str">
        <f ca="1">IFERROR(__xludf.DUMMYFUNCTION("""COMPUTED_VALUE"""),"Building")</f>
        <v>Building</v>
      </c>
      <c r="D12255" s="2" t="str">
        <f ca="1">IFERROR(__xludf.DUMMYFUNCTION("""COMPUTED_VALUE"""),"Dubai&gt;Meydan City&gt;Meydan One&gt;Azizi Riviera&gt;Azizi Riviera 26")</f>
        <v>Dubai&gt;Meydan City&gt;Meydan One&gt;Azizi Riviera&gt;Azizi Riviera 26</v>
      </c>
      <c r="E12255" s="2"/>
      <c r="F12255" s="2"/>
      <c r="G12255" s="2"/>
      <c r="H12255" s="2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2"/>
      <c r="T12255" s="2"/>
      <c r="U12255" s="2"/>
      <c r="V12255" s="2"/>
      <c r="W12255" s="2"/>
      <c r="X12255" s="2"/>
      <c r="Y12255" s="2"/>
      <c r="Z12255" s="2"/>
    </row>
    <row r="12256" spans="1:26" ht="16.5" x14ac:dyDescent="0.35">
      <c r="A12256" s="2" t="str">
        <f ca="1">IFERROR(__xludf.DUMMYFUNCTION("""COMPUTED_VALUE"""),"Dubai")</f>
        <v>Dubai</v>
      </c>
      <c r="B12256" s="2" t="str">
        <f ca="1">IFERROR(__xludf.DUMMYFUNCTION("""COMPUTED_VALUE"""),"Azizi Riviera 20")</f>
        <v>Azizi Riviera 20</v>
      </c>
      <c r="C12256" s="2" t="str">
        <f ca="1">IFERROR(__xludf.DUMMYFUNCTION("""COMPUTED_VALUE"""),"Building")</f>
        <v>Building</v>
      </c>
      <c r="D12256" s="2" t="str">
        <f ca="1">IFERROR(__xludf.DUMMYFUNCTION("""COMPUTED_VALUE"""),"Dubai&gt;Meydan City&gt;Meydan One&gt;Azizi Riviera&gt;Azizi Riviera 20")</f>
        <v>Dubai&gt;Meydan City&gt;Meydan One&gt;Azizi Riviera&gt;Azizi Riviera 20</v>
      </c>
      <c r="E12256" s="2"/>
      <c r="F12256" s="2"/>
      <c r="G12256" s="2"/>
      <c r="H12256" s="2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2"/>
      <c r="T12256" s="2"/>
      <c r="U12256" s="2"/>
      <c r="V12256" s="2"/>
      <c r="W12256" s="2"/>
      <c r="X12256" s="2"/>
      <c r="Y12256" s="2"/>
      <c r="Z12256" s="2"/>
    </row>
    <row r="12257" spans="1:26" ht="16.5" x14ac:dyDescent="0.35">
      <c r="A12257" s="2" t="str">
        <f ca="1">IFERROR(__xludf.DUMMYFUNCTION("""COMPUTED_VALUE"""),"Dubai")</f>
        <v>Dubai</v>
      </c>
      <c r="B12257" s="2" t="str">
        <f ca="1">IFERROR(__xludf.DUMMYFUNCTION("""COMPUTED_VALUE"""),"Azizi Riviera 69")</f>
        <v>Azizi Riviera 69</v>
      </c>
      <c r="C12257" s="2" t="str">
        <f ca="1">IFERROR(__xludf.DUMMYFUNCTION("""COMPUTED_VALUE"""),"Building")</f>
        <v>Building</v>
      </c>
      <c r="D12257" s="2" t="str">
        <f ca="1">IFERROR(__xludf.DUMMYFUNCTION("""COMPUTED_VALUE"""),"Dubai&gt;Meydan City&gt;Meydan One&gt;Azizi Riviera&gt;Azizi Riviera 69")</f>
        <v>Dubai&gt;Meydan City&gt;Meydan One&gt;Azizi Riviera&gt;Azizi Riviera 69</v>
      </c>
      <c r="E12257" s="2"/>
      <c r="F12257" s="2"/>
      <c r="G12257" s="2"/>
      <c r="H12257" s="2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2"/>
      <c r="T12257" s="2"/>
      <c r="U12257" s="2"/>
      <c r="V12257" s="2"/>
      <c r="W12257" s="2"/>
      <c r="X12257" s="2"/>
      <c r="Y12257" s="2"/>
      <c r="Z12257" s="2"/>
    </row>
    <row r="12258" spans="1:26" ht="16.5" x14ac:dyDescent="0.35">
      <c r="A12258" s="2" t="str">
        <f ca="1">IFERROR(__xludf.DUMMYFUNCTION("""COMPUTED_VALUE"""),"Dubai")</f>
        <v>Dubai</v>
      </c>
      <c r="B12258" s="2" t="str">
        <f ca="1">IFERROR(__xludf.DUMMYFUNCTION("""COMPUTED_VALUE"""),"Polo Residence A4")</f>
        <v>Polo Residence A4</v>
      </c>
      <c r="C12258" s="2" t="str">
        <f ca="1">IFERROR(__xludf.DUMMYFUNCTION("""COMPUTED_VALUE"""),"Building")</f>
        <v>Building</v>
      </c>
      <c r="D12258" s="2" t="str">
        <f ca="1">IFERROR(__xludf.DUMMYFUNCTION("""COMPUTED_VALUE"""),"Dubai&gt;Meydan City&gt;Meydan Avenue&gt;Polo Residence&gt;Polo Residence A4")</f>
        <v>Dubai&gt;Meydan City&gt;Meydan Avenue&gt;Polo Residence&gt;Polo Residence A4</v>
      </c>
      <c r="E12258" s="2"/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2"/>
      <c r="T12258" s="2"/>
      <c r="U12258" s="2"/>
      <c r="V12258" s="2"/>
      <c r="W12258" s="2"/>
      <c r="X12258" s="2"/>
      <c r="Y12258" s="2"/>
      <c r="Z12258" s="2"/>
    </row>
    <row r="12259" spans="1:26" ht="16.5" x14ac:dyDescent="0.35">
      <c r="A12259" s="2" t="str">
        <f ca="1">IFERROR(__xludf.DUMMYFUNCTION("""COMPUTED_VALUE"""),"Dubai")</f>
        <v>Dubai</v>
      </c>
      <c r="B12259" s="2" t="str">
        <f ca="1">IFERROR(__xludf.DUMMYFUNCTION("""COMPUTED_VALUE"""),"Park Avenue II")</f>
        <v>Park Avenue II</v>
      </c>
      <c r="C12259" s="2" t="str">
        <f ca="1">IFERROR(__xludf.DUMMYFUNCTION("""COMPUTED_VALUE"""),"Building")</f>
        <v>Building</v>
      </c>
      <c r="D12259" s="2" t="str">
        <f ca="1">IFERROR(__xludf.DUMMYFUNCTION("""COMPUTED_VALUE"""),"Dubai&gt;Meydan City&gt;Meydan Avenue&gt;Park Avenue II")</f>
        <v>Dubai&gt;Meydan City&gt;Meydan Avenue&gt;Park Avenue II</v>
      </c>
      <c r="E12259" s="2"/>
      <c r="F12259" s="2"/>
      <c r="G12259" s="2"/>
      <c r="H12259" s="2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2"/>
      <c r="T12259" s="2"/>
      <c r="U12259" s="2"/>
      <c r="V12259" s="2"/>
      <c r="W12259" s="2"/>
      <c r="X12259" s="2"/>
      <c r="Y12259" s="2"/>
      <c r="Z12259" s="2"/>
    </row>
    <row r="12260" spans="1:26" ht="16.5" x14ac:dyDescent="0.35">
      <c r="A12260" s="2" t="str">
        <f ca="1">IFERROR(__xludf.DUMMYFUNCTION("""COMPUTED_VALUE"""),"Dubai")</f>
        <v>Dubai</v>
      </c>
      <c r="B12260" s="2" t="str">
        <f ca="1">IFERROR(__xludf.DUMMYFUNCTION("""COMPUTED_VALUE"""),"Al Nakheel 4")</f>
        <v>Al Nakheel 4</v>
      </c>
      <c r="C12260" s="2" t="str">
        <f ca="1">IFERROR(__xludf.DUMMYFUNCTION("""COMPUTED_VALUE"""),"Building")</f>
        <v>Building</v>
      </c>
      <c r="D12260" s="2" t="str">
        <f ca="1">IFERROR(__xludf.DUMMYFUNCTION("""COMPUTED_VALUE"""),"Dubai&gt;The Greens&gt;Al Nakheel&gt;Al Nakheel 4")</f>
        <v>Dubai&gt;The Greens&gt;Al Nakheel&gt;Al Nakheel 4</v>
      </c>
      <c r="E12260" s="2"/>
      <c r="F12260" s="2"/>
      <c r="G12260" s="2"/>
      <c r="H12260" s="2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2"/>
      <c r="T12260" s="2"/>
      <c r="U12260" s="2"/>
      <c r="V12260" s="2"/>
      <c r="W12260" s="2"/>
      <c r="X12260" s="2"/>
      <c r="Y12260" s="2"/>
      <c r="Z12260" s="2"/>
    </row>
    <row r="12261" spans="1:26" ht="16.5" x14ac:dyDescent="0.35">
      <c r="A12261" s="2" t="str">
        <f ca="1">IFERROR(__xludf.DUMMYFUNCTION("""COMPUTED_VALUE"""),"Dubai")</f>
        <v>Dubai</v>
      </c>
      <c r="B12261" s="2" t="str">
        <f ca="1">IFERROR(__xludf.DUMMYFUNCTION("""COMPUTED_VALUE"""),"Al Jaz 2")</f>
        <v>Al Jaz 2</v>
      </c>
      <c r="C12261" s="2" t="str">
        <f ca="1">IFERROR(__xludf.DUMMYFUNCTION("""COMPUTED_VALUE"""),"Building")</f>
        <v>Building</v>
      </c>
      <c r="D12261" s="2" t="str">
        <f ca="1">IFERROR(__xludf.DUMMYFUNCTION("""COMPUTED_VALUE"""),"Dubai&gt;The Greens&gt;Al Jaz&gt;Al Jaz 2")</f>
        <v>Dubai&gt;The Greens&gt;Al Jaz&gt;Al Jaz 2</v>
      </c>
      <c r="E12261" s="2"/>
      <c r="F12261" s="2"/>
      <c r="G12261" s="2"/>
      <c r="H12261" s="2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2"/>
      <c r="T12261" s="2"/>
      <c r="U12261" s="2"/>
      <c r="V12261" s="2"/>
      <c r="W12261" s="2"/>
      <c r="X12261" s="2"/>
      <c r="Y12261" s="2"/>
      <c r="Z12261" s="2"/>
    </row>
    <row r="12262" spans="1:26" ht="16.5" x14ac:dyDescent="0.35">
      <c r="A12262" s="2" t="str">
        <f ca="1">IFERROR(__xludf.DUMMYFUNCTION("""COMPUTED_VALUE"""),"Dubai")</f>
        <v>Dubai</v>
      </c>
      <c r="B12262" s="2" t="str">
        <f ca="1">IFERROR(__xludf.DUMMYFUNCTION("""COMPUTED_VALUE"""),"Aloft Me'aisam")</f>
        <v>Aloft Me'aisam</v>
      </c>
      <c r="C12262" s="2" t="str">
        <f ca="1">IFERROR(__xludf.DUMMYFUNCTION("""COMPUTED_VALUE"""),"Building")</f>
        <v>Building</v>
      </c>
      <c r="D12262" s="2" t="str">
        <f ca="1">IFERROR(__xludf.DUMMYFUNCTION("""COMPUTED_VALUE"""),"Dubai&gt;Dubai Production City (IMPZ)&gt;Aloft Me'aisam")</f>
        <v>Dubai&gt;Dubai Production City (IMPZ)&gt;Aloft Me'aisam</v>
      </c>
      <c r="E12262" s="2"/>
      <c r="F12262" s="2"/>
      <c r="G12262" s="2"/>
      <c r="H12262" s="2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2"/>
      <c r="T12262" s="2"/>
      <c r="U12262" s="2"/>
      <c r="V12262" s="2"/>
      <c r="W12262" s="2"/>
      <c r="X12262" s="2"/>
      <c r="Y12262" s="2"/>
      <c r="Z12262" s="2"/>
    </row>
    <row r="12263" spans="1:26" ht="16.5" x14ac:dyDescent="0.35">
      <c r="A12263" s="2" t="str">
        <f ca="1">IFERROR(__xludf.DUMMYFUNCTION("""COMPUTED_VALUE"""),"Dubai")</f>
        <v>Dubai</v>
      </c>
      <c r="B12263" s="2" t="str">
        <f ca="1">IFERROR(__xludf.DUMMYFUNCTION("""COMPUTED_VALUE"""),"Dania 5")</f>
        <v>Dania 5</v>
      </c>
      <c r="C12263" s="2" t="str">
        <f ca="1">IFERROR(__xludf.DUMMYFUNCTION("""COMPUTED_VALUE"""),"Building")</f>
        <v>Building</v>
      </c>
      <c r="D12263" s="2" t="str">
        <f ca="1">IFERROR(__xludf.DUMMYFUNCTION("""COMPUTED_VALUE"""),"Dubai&gt;Dubai Production City (IMPZ)&gt;Midtown&gt;Dania District&gt;Dania 5")</f>
        <v>Dubai&gt;Dubai Production City (IMPZ)&gt;Midtown&gt;Dania District&gt;Dania 5</v>
      </c>
      <c r="E12263" s="2"/>
      <c r="F12263" s="2"/>
      <c r="G12263" s="2"/>
      <c r="H12263" s="2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2"/>
      <c r="T12263" s="2"/>
      <c r="U12263" s="2"/>
      <c r="V12263" s="2"/>
      <c r="W12263" s="2"/>
      <c r="X12263" s="2"/>
      <c r="Y12263" s="2"/>
      <c r="Z12263" s="2"/>
    </row>
    <row r="12264" spans="1:26" ht="16.5" x14ac:dyDescent="0.35">
      <c r="A12264" s="2" t="str">
        <f ca="1">IFERROR(__xludf.DUMMYFUNCTION("""COMPUTED_VALUE"""),"Dubai")</f>
        <v>Dubai</v>
      </c>
      <c r="B12264" s="2" t="str">
        <f ca="1">IFERROR(__xludf.DUMMYFUNCTION("""COMPUTED_VALUE"""),"Lakeside Tower A")</f>
        <v>Lakeside Tower A</v>
      </c>
      <c r="C12264" s="2" t="str">
        <f ca="1">IFERROR(__xludf.DUMMYFUNCTION("""COMPUTED_VALUE"""),"Building")</f>
        <v>Building</v>
      </c>
      <c r="D12264" s="2" t="str">
        <f ca="1">IFERROR(__xludf.DUMMYFUNCTION("""COMPUTED_VALUE"""),"Dubai&gt;Dubai Production City (IMPZ)&gt;Lakeside&gt;Lakeside Tower A")</f>
        <v>Dubai&gt;Dubai Production City (IMPZ)&gt;Lakeside&gt;Lakeside Tower A</v>
      </c>
      <c r="E12264" s="2"/>
      <c r="F12264" s="2"/>
      <c r="G12264" s="2"/>
      <c r="H12264" s="2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2"/>
      <c r="T12264" s="2"/>
      <c r="U12264" s="2"/>
      <c r="V12264" s="2"/>
      <c r="W12264" s="2"/>
      <c r="X12264" s="2"/>
      <c r="Y12264" s="2"/>
      <c r="Z12264" s="2"/>
    </row>
    <row r="12265" spans="1:26" ht="16.5" x14ac:dyDescent="0.35">
      <c r="A12265" s="2" t="str">
        <f ca="1">IFERROR(__xludf.DUMMYFUNCTION("""COMPUTED_VALUE"""),"Dubai")</f>
        <v>Dubai</v>
      </c>
      <c r="B12265" s="2" t="str">
        <f ca="1">IFERROR(__xludf.DUMMYFUNCTION("""COMPUTED_VALUE"""),"Publishing Pavilion Building")</f>
        <v>Publishing Pavilion Building</v>
      </c>
      <c r="C12265" s="2" t="str">
        <f ca="1">IFERROR(__xludf.DUMMYFUNCTION("""COMPUTED_VALUE"""),"Building")</f>
        <v>Building</v>
      </c>
      <c r="D12265" s="2" t="str">
        <f ca="1">IFERROR(__xludf.DUMMYFUNCTION("""COMPUTED_VALUE"""),"Dubai&gt;Dubai Production City (IMPZ)&gt;Publishing Pavilion Building")</f>
        <v>Dubai&gt;Dubai Production City (IMPZ)&gt;Publishing Pavilion Building</v>
      </c>
      <c r="E12265" s="2"/>
      <c r="F12265" s="2"/>
      <c r="G12265" s="2"/>
      <c r="H12265" s="2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2"/>
      <c r="T12265" s="2"/>
      <c r="U12265" s="2"/>
      <c r="V12265" s="2"/>
      <c r="W12265" s="2"/>
      <c r="X12265" s="2"/>
      <c r="Y12265" s="2"/>
      <c r="Z12265" s="2"/>
    </row>
    <row r="12266" spans="1:26" ht="16.5" x14ac:dyDescent="0.35">
      <c r="A12266" s="2" t="str">
        <f ca="1">IFERROR(__xludf.DUMMYFUNCTION("""COMPUTED_VALUE"""),"Dubai")</f>
        <v>Dubai</v>
      </c>
      <c r="B12266" s="2" t="str">
        <f ca="1">IFERROR(__xludf.DUMMYFUNCTION("""COMPUTED_VALUE"""),"Al Sondos Residences 1")</f>
        <v>Al Sondos Residences 1</v>
      </c>
      <c r="C12266" s="2" t="str">
        <f ca="1">IFERROR(__xludf.DUMMYFUNCTION("""COMPUTED_VALUE"""),"Building")</f>
        <v>Building</v>
      </c>
      <c r="D12266" s="2" t="str">
        <f ca="1">IFERROR(__xludf.DUMMYFUNCTION("""COMPUTED_VALUE"""),"Dubai&gt;Dubai Industrial City&gt;Al Sondos Residences&gt;Al Sondos Residences 1")</f>
        <v>Dubai&gt;Dubai Industrial City&gt;Al Sondos Residences&gt;Al Sondos Residences 1</v>
      </c>
      <c r="E12266" s="2"/>
      <c r="F12266" s="2"/>
      <c r="G12266" s="2"/>
      <c r="H12266" s="2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2"/>
      <c r="T12266" s="2"/>
      <c r="U12266" s="2"/>
      <c r="V12266" s="2"/>
      <c r="W12266" s="2"/>
      <c r="X12266" s="2"/>
      <c r="Y12266" s="2"/>
      <c r="Z12266" s="2"/>
    </row>
    <row r="12267" spans="1:26" ht="16.5" x14ac:dyDescent="0.35">
      <c r="A12267" s="2" t="str">
        <f ca="1">IFERROR(__xludf.DUMMYFUNCTION("""COMPUTED_VALUE"""),"Dubai")</f>
        <v>Dubai</v>
      </c>
      <c r="B12267" s="2" t="str">
        <f ca="1">IFERROR(__xludf.DUMMYFUNCTION("""COMPUTED_VALUE"""),"Samana Hills South 2 Tower B")</f>
        <v>Samana Hills South 2 Tower B</v>
      </c>
      <c r="C12267" s="2" t="str">
        <f ca="1">IFERROR(__xludf.DUMMYFUNCTION("""COMPUTED_VALUE"""),"Building")</f>
        <v>Building</v>
      </c>
      <c r="D12267" s="2" t="str">
        <f ca="1">IFERROR(__xludf.DUMMYFUNCTION("""COMPUTED_VALUE"""),"Dubai&gt;Dubai Industrial City&gt;Samana Hills South 2&gt;Samana Hills South 2 Tower B")</f>
        <v>Dubai&gt;Dubai Industrial City&gt;Samana Hills South 2&gt;Samana Hills South 2 Tower B</v>
      </c>
      <c r="E12267" s="2"/>
      <c r="F12267" s="2"/>
      <c r="G12267" s="2"/>
      <c r="H12267" s="2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2"/>
      <c r="T12267" s="2"/>
      <c r="U12267" s="2"/>
      <c r="V12267" s="2"/>
      <c r="W12267" s="2"/>
      <c r="X12267" s="2"/>
      <c r="Y12267" s="2"/>
      <c r="Z12267" s="2"/>
    </row>
    <row r="12268" spans="1:26" ht="16.5" x14ac:dyDescent="0.35">
      <c r="A12268" s="2" t="str">
        <f ca="1">IFERROR(__xludf.DUMMYFUNCTION("""COMPUTED_VALUE"""),"Dubai")</f>
        <v>Dubai</v>
      </c>
      <c r="B12268" s="2" t="str">
        <f ca="1">IFERROR(__xludf.DUMMYFUNCTION("""COMPUTED_VALUE"""),"Alaya Beach")</f>
        <v>Alaya Beach</v>
      </c>
      <c r="C12268" s="2" t="str">
        <f ca="1">IFERROR(__xludf.DUMMYFUNCTION("""COMPUTED_VALUE"""),"Neighbourhood")</f>
        <v>Neighbourhood</v>
      </c>
      <c r="D12268" s="2" t="str">
        <f ca="1">IFERROR(__xludf.DUMMYFUNCTION("""COMPUTED_VALUE"""),"Dubai&gt;Tilal Al Ghaf&gt;Alaya Beach")</f>
        <v>Dubai&gt;Tilal Al Ghaf&gt;Alaya Beach</v>
      </c>
      <c r="E12268" s="2"/>
      <c r="F12268" s="2"/>
      <c r="G12268" s="2"/>
      <c r="H12268" s="2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2"/>
      <c r="T12268" s="2"/>
      <c r="U12268" s="2"/>
      <c r="V12268" s="2"/>
      <c r="W12268" s="2"/>
      <c r="X12268" s="2"/>
      <c r="Y12268" s="2"/>
      <c r="Z12268" s="2"/>
    </row>
    <row r="12269" spans="1:26" ht="16.5" x14ac:dyDescent="0.35">
      <c r="A12269" s="2" t="str">
        <f ca="1">IFERROR(__xludf.DUMMYFUNCTION("""COMPUTED_VALUE"""),"Dubai")</f>
        <v>Dubai</v>
      </c>
      <c r="B12269" s="2" t="str">
        <f ca="1">IFERROR(__xludf.DUMMYFUNCTION("""COMPUTED_VALUE"""),"Bay Grove Residences Building 1")</f>
        <v>Bay Grove Residences Building 1</v>
      </c>
      <c r="C12269" s="2" t="str">
        <f ca="1">IFERROR(__xludf.DUMMYFUNCTION("""COMPUTED_VALUE"""),"Building")</f>
        <v>Building</v>
      </c>
      <c r="D12269" s="2" t="str">
        <f ca="1">IFERROR(__xludf.DUMMYFUNCTION("""COMPUTED_VALUE"""),"Dubai&gt;Dubai Islands&gt;Bay Grove Residences&gt;Bay Grove Residences Building 1")</f>
        <v>Dubai&gt;Dubai Islands&gt;Bay Grove Residences&gt;Bay Grove Residences Building 1</v>
      </c>
      <c r="E12269" s="2"/>
      <c r="F12269" s="2"/>
      <c r="G12269" s="2"/>
      <c r="H12269" s="2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2"/>
      <c r="T12269" s="2"/>
      <c r="U12269" s="2"/>
      <c r="V12269" s="2"/>
      <c r="W12269" s="2"/>
      <c r="X12269" s="2"/>
      <c r="Y12269" s="2"/>
      <c r="Z12269" s="2"/>
    </row>
    <row r="12270" spans="1:26" ht="16.5" x14ac:dyDescent="0.35">
      <c r="A12270" s="2" t="str">
        <f ca="1">IFERROR(__xludf.DUMMYFUNCTION("""COMPUTED_VALUE"""),"Dubai")</f>
        <v>Dubai</v>
      </c>
      <c r="B12270" s="2" t="str">
        <f ca="1">IFERROR(__xludf.DUMMYFUNCTION("""COMPUTED_VALUE"""),"Coastal Haven")</f>
        <v>Coastal Haven</v>
      </c>
      <c r="C12270" s="2" t="str">
        <f ca="1">IFERROR(__xludf.DUMMYFUNCTION("""COMPUTED_VALUE"""),"Building")</f>
        <v>Building</v>
      </c>
      <c r="D12270" s="2" t="str">
        <f ca="1">IFERROR(__xludf.DUMMYFUNCTION("""COMPUTED_VALUE"""),"Dubai&gt;Dubai Islands&gt;Coastal Haven")</f>
        <v>Dubai&gt;Dubai Islands&gt;Coastal Haven</v>
      </c>
      <c r="E12270" s="2"/>
      <c r="F12270" s="2"/>
      <c r="G12270" s="2"/>
      <c r="H12270" s="2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2"/>
      <c r="T12270" s="2"/>
      <c r="U12270" s="2"/>
      <c r="V12270" s="2"/>
      <c r="W12270" s="2"/>
      <c r="X12270" s="2"/>
      <c r="Y12270" s="2"/>
      <c r="Z12270" s="2"/>
    </row>
    <row r="12271" spans="1:26" ht="16.5" x14ac:dyDescent="0.35">
      <c r="A12271" s="2" t="str">
        <f ca="1">IFERROR(__xludf.DUMMYFUNCTION("""COMPUTED_VALUE"""),"Dubai")</f>
        <v>Dubai</v>
      </c>
      <c r="B12271" s="2" t="str">
        <f ca="1">IFERROR(__xludf.DUMMYFUNCTION("""COMPUTED_VALUE"""),"Flow Residence")</f>
        <v>Flow Residence</v>
      </c>
      <c r="C12271" s="2" t="str">
        <f ca="1">IFERROR(__xludf.DUMMYFUNCTION("""COMPUTED_VALUE"""),"Building")</f>
        <v>Building</v>
      </c>
      <c r="D12271" s="2" t="str">
        <f ca="1">IFERROR(__xludf.DUMMYFUNCTION("""COMPUTED_VALUE"""),"Dubai&gt;Dubai Islands&gt;Flow Residence")</f>
        <v>Dubai&gt;Dubai Islands&gt;Flow Residence</v>
      </c>
      <c r="E12271" s="2"/>
      <c r="F12271" s="2"/>
      <c r="G12271" s="2"/>
      <c r="H12271" s="2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2"/>
      <c r="T12271" s="2"/>
      <c r="U12271" s="2"/>
      <c r="V12271" s="2"/>
      <c r="W12271" s="2"/>
      <c r="X12271" s="2"/>
      <c r="Y12271" s="2"/>
      <c r="Z12271" s="2"/>
    </row>
    <row r="12272" spans="1:26" ht="16.5" x14ac:dyDescent="0.35">
      <c r="A12272" s="2" t="str">
        <f ca="1">IFERROR(__xludf.DUMMYFUNCTION("""COMPUTED_VALUE"""),"Dubai")</f>
        <v>Dubai</v>
      </c>
      <c r="B12272" s="2" t="str">
        <f ca="1">IFERROR(__xludf.DUMMYFUNCTION("""COMPUTED_VALUE"""),"Blue Marina Residence")</f>
        <v>Blue Marina Residence</v>
      </c>
      <c r="C12272" s="2" t="str">
        <f ca="1">IFERROR(__xludf.DUMMYFUNCTION("""COMPUTED_VALUE"""),"Cluster")</f>
        <v>Cluster</v>
      </c>
      <c r="D12272" s="2" t="str">
        <f ca="1">IFERROR(__xludf.DUMMYFUNCTION("""COMPUTED_VALUE"""),"Dubai&gt;Dubai Islands&gt;Blue Marina Residence")</f>
        <v>Dubai&gt;Dubai Islands&gt;Blue Marina Residence</v>
      </c>
      <c r="E12272" s="2"/>
      <c r="F12272" s="2"/>
      <c r="G12272" s="2"/>
      <c r="H12272" s="2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2"/>
      <c r="T12272" s="2"/>
      <c r="U12272" s="2"/>
      <c r="V12272" s="2"/>
      <c r="W12272" s="2"/>
      <c r="X12272" s="2"/>
      <c r="Y12272" s="2"/>
      <c r="Z12272" s="2"/>
    </row>
    <row r="12273" spans="1:26" ht="16.5" x14ac:dyDescent="0.35">
      <c r="A12273" s="2" t="str">
        <f ca="1">IFERROR(__xludf.DUMMYFUNCTION("""COMPUTED_VALUE"""),"Dubai")</f>
        <v>Dubai</v>
      </c>
      <c r="B12273" s="2" t="str">
        <f ca="1">IFERROR(__xludf.DUMMYFUNCTION("""COMPUTED_VALUE"""),"42 East Residences")</f>
        <v>42 East Residences</v>
      </c>
      <c r="C12273" s="2" t="str">
        <f ca="1">IFERROR(__xludf.DUMMYFUNCTION("""COMPUTED_VALUE"""),"Building")</f>
        <v>Building</v>
      </c>
      <c r="D12273" s="2" t="str">
        <f ca="1">IFERROR(__xludf.DUMMYFUNCTION("""COMPUTED_VALUE"""),"Dubai&gt;Dubai Islands&gt;42 East Residences")</f>
        <v>Dubai&gt;Dubai Islands&gt;42 East Residences</v>
      </c>
      <c r="E12273" s="2"/>
      <c r="F12273" s="2"/>
      <c r="G12273" s="2"/>
      <c r="H12273" s="2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2"/>
      <c r="T12273" s="2"/>
      <c r="U12273" s="2"/>
      <c r="V12273" s="2"/>
      <c r="W12273" s="2"/>
      <c r="X12273" s="2"/>
      <c r="Y12273" s="2"/>
      <c r="Z12273" s="2"/>
    </row>
    <row r="12274" spans="1:26" ht="16.5" x14ac:dyDescent="0.35">
      <c r="A12274" s="2" t="str">
        <f ca="1">IFERROR(__xludf.DUMMYFUNCTION("""COMPUTED_VALUE"""),"Dubai")</f>
        <v>Dubai</v>
      </c>
      <c r="B12274" s="2" t="str">
        <f ca="1">IFERROR(__xludf.DUMMYFUNCTION("""COMPUTED_VALUE"""),"La Rosa 3")</f>
        <v>La Rosa 3</v>
      </c>
      <c r="C12274" s="2" t="str">
        <f ca="1">IFERROR(__xludf.DUMMYFUNCTION("""COMPUTED_VALUE"""),"Neighbourhood")</f>
        <v>Neighbourhood</v>
      </c>
      <c r="D12274" s="2" t="str">
        <f ca="1">IFERROR(__xludf.DUMMYFUNCTION("""COMPUTED_VALUE"""),"Dubai&gt;Dubailand&gt;Villanova&gt;La Rosa&gt;La Rosa 3")</f>
        <v>Dubai&gt;Dubailand&gt;Villanova&gt;La Rosa&gt;La Rosa 3</v>
      </c>
      <c r="E12274" s="2"/>
      <c r="F12274" s="2"/>
      <c r="G12274" s="2"/>
      <c r="H12274" s="2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2"/>
      <c r="T12274" s="2"/>
      <c r="U12274" s="2"/>
      <c r="V12274" s="2"/>
      <c r="W12274" s="2"/>
      <c r="X12274" s="2"/>
      <c r="Y12274" s="2"/>
      <c r="Z12274" s="2"/>
    </row>
    <row r="12275" spans="1:26" ht="16.5" x14ac:dyDescent="0.35">
      <c r="A12275" s="2" t="str">
        <f ca="1">IFERROR(__xludf.DUMMYFUNCTION("""COMPUTED_VALUE"""),"Dubai")</f>
        <v>Dubai</v>
      </c>
      <c r="B12275" s="2" t="str">
        <f ca="1">IFERROR(__xludf.DUMMYFUNCTION("""COMPUTED_VALUE"""),"Cassia 2")</f>
        <v>Cassia 2</v>
      </c>
      <c r="C12275" s="2" t="str">
        <f ca="1">IFERROR(__xludf.DUMMYFUNCTION("""COMPUTED_VALUE"""),"Neighbourhood")</f>
        <v>Neighbourhood</v>
      </c>
      <c r="D12275" s="2" t="str">
        <f ca="1">IFERROR(__xludf.DUMMYFUNCTION("""COMPUTED_VALUE"""),"Dubai&gt;Dubailand&gt;The Wilds&gt;Cassia 2")</f>
        <v>Dubai&gt;Dubailand&gt;The Wilds&gt;Cassia 2</v>
      </c>
      <c r="E12275" s="2"/>
      <c r="F12275" s="2"/>
      <c r="G12275" s="2"/>
      <c r="H12275" s="2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2"/>
      <c r="T12275" s="2"/>
      <c r="U12275" s="2"/>
      <c r="V12275" s="2"/>
      <c r="W12275" s="2"/>
      <c r="X12275" s="2"/>
      <c r="Y12275" s="2"/>
      <c r="Z12275" s="2"/>
    </row>
    <row r="12276" spans="1:26" ht="16.5" x14ac:dyDescent="0.35">
      <c r="A12276" s="2" t="str">
        <f ca="1">IFERROR(__xludf.DUMMYFUNCTION("""COMPUTED_VALUE"""),"Dubai")</f>
        <v>Dubai</v>
      </c>
      <c r="B12276" s="2" t="str">
        <f ca="1">IFERROR(__xludf.DUMMYFUNCTION("""COMPUTED_VALUE"""),"KOA Canvas")</f>
        <v>KOA Canvas</v>
      </c>
      <c r="C12276" s="2" t="str">
        <f ca="1">IFERROR(__xludf.DUMMYFUNCTION("""COMPUTED_VALUE"""),"Building")</f>
        <v>Building</v>
      </c>
      <c r="D12276" s="2" t="str">
        <f ca="1">IFERROR(__xludf.DUMMYFUNCTION("""COMPUTED_VALUE"""),"Dubai&gt;Living Legends&gt;KOA Canvas")</f>
        <v>Dubai&gt;Living Legends&gt;KOA Canvas</v>
      </c>
      <c r="E12276" s="2"/>
      <c r="F12276" s="2"/>
      <c r="G12276" s="2"/>
      <c r="H12276" s="2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2"/>
      <c r="T12276" s="2"/>
      <c r="U12276" s="2"/>
      <c r="V12276" s="2"/>
      <c r="W12276" s="2"/>
      <c r="X12276" s="2"/>
      <c r="Y12276" s="2"/>
      <c r="Z12276" s="2"/>
    </row>
    <row r="12277" spans="1:26" ht="16.5" x14ac:dyDescent="0.35">
      <c r="A12277" s="2" t="str">
        <f ca="1">IFERROR(__xludf.DUMMYFUNCTION("""COMPUTED_VALUE"""),"Dubai")</f>
        <v>Dubai</v>
      </c>
      <c r="B12277" s="2" t="str">
        <f ca="1">IFERROR(__xludf.DUMMYFUNCTION("""COMPUTED_VALUE"""),"Sajaya 1")</f>
        <v>Sajaya 1</v>
      </c>
      <c r="C12277" s="2" t="str">
        <f ca="1">IFERROR(__xludf.DUMMYFUNCTION("""COMPUTED_VALUE"""),"Building")</f>
        <v>Building</v>
      </c>
      <c r="D12277" s="2" t="str">
        <f ca="1">IFERROR(__xludf.DUMMYFUNCTION("""COMPUTED_VALUE"""),"Dubai&gt;Al Qusais&gt;Al Qusais Residential Area&gt;Al Qusais 2&gt;Sajaya 1")</f>
        <v>Dubai&gt;Al Qusais&gt;Al Qusais Residential Area&gt;Al Qusais 2&gt;Sajaya 1</v>
      </c>
      <c r="E12277" s="2"/>
      <c r="F12277" s="2"/>
      <c r="G12277" s="2"/>
      <c r="H12277" s="2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2"/>
      <c r="T12277" s="2"/>
      <c r="U12277" s="2"/>
      <c r="V12277" s="2"/>
      <c r="W12277" s="2"/>
      <c r="X12277" s="2"/>
      <c r="Y12277" s="2"/>
      <c r="Z12277" s="2"/>
    </row>
    <row r="12278" spans="1:26" ht="16.5" x14ac:dyDescent="0.35">
      <c r="A12278" s="2" t="str">
        <f ca="1">IFERROR(__xludf.DUMMYFUNCTION("""COMPUTED_VALUE"""),"Dubai")</f>
        <v>Dubai</v>
      </c>
      <c r="B12278" s="2" t="str">
        <f ca="1">IFERROR(__xludf.DUMMYFUNCTION("""COMPUTED_VALUE"""),"Golf Point Tower 1")</f>
        <v>Golf Point Tower 1</v>
      </c>
      <c r="C12278" s="2" t="str">
        <f ca="1">IFERROR(__xludf.DUMMYFUNCTION("""COMPUTED_VALUE"""),"Building")</f>
        <v>Building</v>
      </c>
      <c r="D12278" s="2" t="str">
        <f ca="1">IFERROR(__xludf.DUMMYFUNCTION("""COMPUTED_VALUE"""),"Dubai&gt;Dubai South&gt;Emaar South&gt;Golf Point&gt;Golf Point Tower 1")</f>
        <v>Dubai&gt;Dubai South&gt;Emaar South&gt;Golf Point&gt;Golf Point Tower 1</v>
      </c>
      <c r="E12278" s="2"/>
      <c r="F12278" s="2"/>
      <c r="G12278" s="2"/>
      <c r="H12278" s="2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2"/>
      <c r="T12278" s="2"/>
      <c r="U12278" s="2"/>
      <c r="V12278" s="2"/>
      <c r="W12278" s="2"/>
      <c r="X12278" s="2"/>
      <c r="Y12278" s="2"/>
      <c r="Z12278" s="2"/>
    </row>
    <row r="12279" spans="1:26" ht="16.5" x14ac:dyDescent="0.35">
      <c r="A12279" s="2" t="str">
        <f ca="1">IFERROR(__xludf.DUMMYFUNCTION("""COMPUTED_VALUE"""),"Dubai")</f>
        <v>Dubai</v>
      </c>
      <c r="B12279" s="2" t="str">
        <f ca="1">IFERROR(__xludf.DUMMYFUNCTION("""COMPUTED_VALUE"""),"Dubai South Business Park A5")</f>
        <v>Dubai South Business Park A5</v>
      </c>
      <c r="C12279" s="2" t="str">
        <f ca="1">IFERROR(__xludf.DUMMYFUNCTION("""COMPUTED_VALUE"""),"Building")</f>
        <v>Building</v>
      </c>
      <c r="D12279" s="2" t="str">
        <f ca="1">IFERROR(__xludf.DUMMYFUNCTION("""COMPUTED_VALUE"""),"Dubai&gt;Dubai South&gt;Logistics City&gt;The Avenue&gt;Dubai South Business Park A5")</f>
        <v>Dubai&gt;Dubai South&gt;Logistics City&gt;The Avenue&gt;Dubai South Business Park A5</v>
      </c>
      <c r="E12279" s="2"/>
      <c r="F12279" s="2"/>
      <c r="G12279" s="2"/>
      <c r="H12279" s="2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2"/>
      <c r="T12279" s="2"/>
      <c r="U12279" s="2"/>
      <c r="V12279" s="2"/>
      <c r="W12279" s="2"/>
      <c r="X12279" s="2"/>
      <c r="Y12279" s="2"/>
      <c r="Z12279" s="2"/>
    </row>
    <row r="12280" spans="1:26" ht="16.5" x14ac:dyDescent="0.35">
      <c r="A12280" s="2" t="str">
        <f ca="1">IFERROR(__xludf.DUMMYFUNCTION("""COMPUTED_VALUE"""),"Dubai")</f>
        <v>Dubai</v>
      </c>
      <c r="B12280" s="2" t="str">
        <f ca="1">IFERROR(__xludf.DUMMYFUNCTION("""COMPUTED_VALUE"""),"Azizi Venice 6")</f>
        <v>Azizi Venice 6</v>
      </c>
      <c r="C12280" s="2" t="str">
        <f ca="1">IFERROR(__xludf.DUMMYFUNCTION("""COMPUTED_VALUE"""),"Building")</f>
        <v>Building</v>
      </c>
      <c r="D12280" s="2" t="str">
        <f ca="1">IFERROR(__xludf.DUMMYFUNCTION("""COMPUTED_VALUE"""),"Dubai&gt;Dubai South&gt;Azizi Venice&gt;Azizi Venice 6")</f>
        <v>Dubai&gt;Dubai South&gt;Azizi Venice&gt;Azizi Venice 6</v>
      </c>
      <c r="E12280" s="2"/>
      <c r="F12280" s="2"/>
      <c r="G12280" s="2"/>
      <c r="H12280" s="2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2"/>
      <c r="T12280" s="2"/>
      <c r="U12280" s="2"/>
      <c r="V12280" s="2"/>
      <c r="W12280" s="2"/>
      <c r="X12280" s="2"/>
      <c r="Y12280" s="2"/>
      <c r="Z12280" s="2"/>
    </row>
    <row r="12281" spans="1:26" ht="16.5" x14ac:dyDescent="0.35">
      <c r="A12281" s="2" t="str">
        <f ca="1">IFERROR(__xludf.DUMMYFUNCTION("""COMPUTED_VALUE"""),"Dubai")</f>
        <v>Dubai</v>
      </c>
      <c r="B12281" s="2" t="str">
        <f ca="1">IFERROR(__xludf.DUMMYFUNCTION("""COMPUTED_VALUE"""),"Azizi Venice 15")</f>
        <v>Azizi Venice 15</v>
      </c>
      <c r="C12281" s="2" t="str">
        <f ca="1">IFERROR(__xludf.DUMMYFUNCTION("""COMPUTED_VALUE"""),"Cluster")</f>
        <v>Cluster</v>
      </c>
      <c r="D12281" s="2" t="str">
        <f ca="1">IFERROR(__xludf.DUMMYFUNCTION("""COMPUTED_VALUE"""),"Dubai&gt;Dubai South&gt;Azizi Venice&gt;Azizi Venice 15")</f>
        <v>Dubai&gt;Dubai South&gt;Azizi Venice&gt;Azizi Venice 15</v>
      </c>
      <c r="E12281" s="2"/>
      <c r="F12281" s="2"/>
      <c r="G12281" s="2"/>
      <c r="H12281" s="2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2"/>
      <c r="T12281" s="2"/>
      <c r="U12281" s="2"/>
      <c r="V12281" s="2"/>
      <c r="W12281" s="2"/>
      <c r="X12281" s="2"/>
      <c r="Y12281" s="2"/>
      <c r="Z12281" s="2"/>
    </row>
    <row r="12282" spans="1:26" ht="16.5" x14ac:dyDescent="0.35">
      <c r="A12282" s="2" t="str">
        <f ca="1">IFERROR(__xludf.DUMMYFUNCTION("""COMPUTED_VALUE"""),"Dubai")</f>
        <v>Dubai</v>
      </c>
      <c r="B12282" s="2" t="str">
        <f ca="1">IFERROR(__xludf.DUMMYFUNCTION("""COMPUTED_VALUE"""),"The Meadows 5")</f>
        <v>The Meadows 5</v>
      </c>
      <c r="C12282" s="2" t="str">
        <f ca="1">IFERROR(__xludf.DUMMYFUNCTION("""COMPUTED_VALUE"""),"Neighbourhood")</f>
        <v>Neighbourhood</v>
      </c>
      <c r="D12282" s="2" t="str">
        <f ca="1">IFERROR(__xludf.DUMMYFUNCTION("""COMPUTED_VALUE"""),"Dubai&gt;The Meadows&gt;The Meadows 5")</f>
        <v>Dubai&gt;The Meadows&gt;The Meadows 5</v>
      </c>
      <c r="E12282" s="2"/>
      <c r="F12282" s="2"/>
      <c r="G12282" s="2"/>
      <c r="H12282" s="2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2"/>
      <c r="T12282" s="2"/>
      <c r="U12282" s="2"/>
      <c r="V12282" s="2"/>
      <c r="W12282" s="2"/>
      <c r="X12282" s="2"/>
      <c r="Y12282" s="2"/>
      <c r="Z12282" s="2"/>
    </row>
    <row r="12283" spans="1:26" ht="16.5" x14ac:dyDescent="0.35">
      <c r="A12283" s="2" t="str">
        <f ca="1">IFERROR(__xludf.DUMMYFUNCTION("""COMPUTED_VALUE"""),"Dubai")</f>
        <v>Dubai</v>
      </c>
      <c r="B12283" s="2" t="str">
        <f ca="1">IFERROR(__xludf.DUMMYFUNCTION("""COMPUTED_VALUE"""),"Lamcy Plaza")</f>
        <v>Lamcy Plaza</v>
      </c>
      <c r="C12283" s="2" t="str">
        <f ca="1">IFERROR(__xludf.DUMMYFUNCTION("""COMPUTED_VALUE"""),"Building")</f>
        <v>Building</v>
      </c>
      <c r="D12283" s="2" t="str">
        <f ca="1">IFERROR(__xludf.DUMMYFUNCTION("""COMPUTED_VALUE"""),"Dubai&gt;Bur Dubai&gt;Oud Metha&gt;Lamcy Plaza")</f>
        <v>Dubai&gt;Bur Dubai&gt;Oud Metha&gt;Lamcy Plaza</v>
      </c>
      <c r="E12283" s="2"/>
      <c r="F12283" s="2"/>
      <c r="G12283" s="2"/>
      <c r="H12283" s="2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2"/>
      <c r="T12283" s="2"/>
      <c r="U12283" s="2"/>
      <c r="V12283" s="2"/>
      <c r="W12283" s="2"/>
      <c r="X12283" s="2"/>
      <c r="Y12283" s="2"/>
      <c r="Z12283" s="2"/>
    </row>
    <row r="12284" spans="1:26" ht="16.5" x14ac:dyDescent="0.35">
      <c r="A12284" s="2" t="str">
        <f ca="1">IFERROR(__xludf.DUMMYFUNCTION("""COMPUTED_VALUE"""),"Dubai")</f>
        <v>Dubai</v>
      </c>
      <c r="B12284" s="2" t="str">
        <f ca="1">IFERROR(__xludf.DUMMYFUNCTION("""COMPUTED_VALUE"""),"Lamcy C Building")</f>
        <v>Lamcy C Building</v>
      </c>
      <c r="C12284" s="2" t="str">
        <f ca="1">IFERROR(__xludf.DUMMYFUNCTION("""COMPUTED_VALUE"""),"Building")</f>
        <v>Building</v>
      </c>
      <c r="D12284" s="2" t="str">
        <f ca="1">IFERROR(__xludf.DUMMYFUNCTION("""COMPUTED_VALUE"""),"Dubai&gt;Bur Dubai&gt;Oud Metha&gt;Lamcy C Building")</f>
        <v>Dubai&gt;Bur Dubai&gt;Oud Metha&gt;Lamcy C Building</v>
      </c>
      <c r="E12284" s="2"/>
      <c r="F12284" s="2"/>
      <c r="G12284" s="2"/>
      <c r="H12284" s="2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2"/>
      <c r="T12284" s="2"/>
      <c r="U12284" s="2"/>
      <c r="V12284" s="2"/>
      <c r="W12284" s="2"/>
      <c r="X12284" s="2"/>
      <c r="Y12284" s="2"/>
      <c r="Z12284" s="2"/>
    </row>
    <row r="12285" spans="1:26" ht="16.5" x14ac:dyDescent="0.35">
      <c r="A12285" s="2" t="str">
        <f ca="1">IFERROR(__xludf.DUMMYFUNCTION("""COMPUTED_VALUE"""),"Dubai")</f>
        <v>Dubai</v>
      </c>
      <c r="B12285" s="2" t="str">
        <f ca="1">IFERROR(__xludf.DUMMYFUNCTION("""COMPUTED_VALUE"""),"Al Telal 4")</f>
        <v>Al Telal 4</v>
      </c>
      <c r="C12285" s="2" t="str">
        <f ca="1">IFERROR(__xludf.DUMMYFUNCTION("""COMPUTED_VALUE"""),"Building")</f>
        <v>Building</v>
      </c>
      <c r="D12285" s="2" t="str">
        <f ca="1">IFERROR(__xludf.DUMMYFUNCTION("""COMPUTED_VALUE"""),"Dubai&gt;Bur Dubai&gt;Al Raffa&gt;Al Telal 4")</f>
        <v>Dubai&gt;Bur Dubai&gt;Al Raffa&gt;Al Telal 4</v>
      </c>
      <c r="E12285" s="2"/>
      <c r="F12285" s="2"/>
      <c r="G12285" s="2"/>
      <c r="H12285" s="2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2"/>
      <c r="T12285" s="2"/>
      <c r="U12285" s="2"/>
      <c r="V12285" s="2"/>
      <c r="W12285" s="2"/>
      <c r="X12285" s="2"/>
      <c r="Y12285" s="2"/>
      <c r="Z12285" s="2"/>
    </row>
    <row r="12286" spans="1:26" ht="16.5" x14ac:dyDescent="0.35">
      <c r="A12286" s="2" t="str">
        <f ca="1">IFERROR(__xludf.DUMMYFUNCTION("""COMPUTED_VALUE"""),"Dubai")</f>
        <v>Dubai</v>
      </c>
      <c r="B12286" s="2" t="str">
        <f ca="1">IFERROR(__xludf.DUMMYFUNCTION("""COMPUTED_VALUE"""),"Mahra Rashed Building")</f>
        <v>Mahra Rashed Building</v>
      </c>
      <c r="C12286" s="2" t="str">
        <f ca="1">IFERROR(__xludf.DUMMYFUNCTION("""COMPUTED_VALUE"""),"Building")</f>
        <v>Building</v>
      </c>
      <c r="D12286" s="2" t="str">
        <f ca="1">IFERROR(__xludf.DUMMYFUNCTION("""COMPUTED_VALUE"""),"Dubai&gt;Bur Dubai&gt;Al Raffa&gt;Mahra Rashed Building")</f>
        <v>Dubai&gt;Bur Dubai&gt;Al Raffa&gt;Mahra Rashed Building</v>
      </c>
      <c r="E12286" s="2"/>
      <c r="F12286" s="2"/>
      <c r="G12286" s="2"/>
      <c r="H12286" s="2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2"/>
      <c r="T12286" s="2"/>
      <c r="U12286" s="2"/>
      <c r="V12286" s="2"/>
      <c r="W12286" s="2"/>
      <c r="X12286" s="2"/>
      <c r="Y12286" s="2"/>
      <c r="Z12286" s="2"/>
    </row>
    <row r="12287" spans="1:26" ht="16.5" x14ac:dyDescent="0.35">
      <c r="A12287" s="2" t="str">
        <f ca="1">IFERROR(__xludf.DUMMYFUNCTION("""COMPUTED_VALUE"""),"Dubai")</f>
        <v>Dubai</v>
      </c>
      <c r="B12287" s="2" t="str">
        <f ca="1">IFERROR(__xludf.DUMMYFUNCTION("""COMPUTED_VALUE"""),"Rose Garden Hotel Apartments")</f>
        <v>Rose Garden Hotel Apartments</v>
      </c>
      <c r="C12287" s="2" t="str">
        <f ca="1">IFERROR(__xludf.DUMMYFUNCTION("""COMPUTED_VALUE"""),"Building")</f>
        <v>Building</v>
      </c>
      <c r="D12287" s="2" t="str">
        <f ca="1">IFERROR(__xludf.DUMMYFUNCTION("""COMPUTED_VALUE"""),"Dubai&gt;Bur Dubai&gt;Al Mankhool&gt;Rose Garden Hotel Apartments")</f>
        <v>Dubai&gt;Bur Dubai&gt;Al Mankhool&gt;Rose Garden Hotel Apartments</v>
      </c>
      <c r="E12287" s="2"/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2"/>
      <c r="T12287" s="2"/>
      <c r="U12287" s="2"/>
      <c r="V12287" s="2"/>
      <c r="W12287" s="2"/>
      <c r="X12287" s="2"/>
      <c r="Y12287" s="2"/>
      <c r="Z12287" s="2"/>
    </row>
    <row r="12288" spans="1:26" ht="16.5" x14ac:dyDescent="0.35">
      <c r="A12288" s="2" t="str">
        <f ca="1">IFERROR(__xludf.DUMMYFUNCTION("""COMPUTED_VALUE"""),"Dubai")</f>
        <v>Dubai</v>
      </c>
      <c r="B12288" s="2" t="str">
        <f ca="1">IFERROR(__xludf.DUMMYFUNCTION("""COMPUTED_VALUE"""),"The Bricks")</f>
        <v>The Bricks</v>
      </c>
      <c r="C12288" s="2" t="str">
        <f ca="1">IFERROR(__xludf.DUMMYFUNCTION("""COMPUTED_VALUE"""),"Building")</f>
        <v>Building</v>
      </c>
      <c r="D12288" s="2" t="str">
        <f ca="1">IFERROR(__xludf.DUMMYFUNCTION("""COMPUTED_VALUE"""),"Dubai&gt;Bur Dubai&gt;Al Mankhool&gt;The Bricks")</f>
        <v>Dubai&gt;Bur Dubai&gt;Al Mankhool&gt;The Bricks</v>
      </c>
      <c r="E12288" s="2"/>
      <c r="F12288" s="2"/>
      <c r="G12288" s="2"/>
      <c r="H12288" s="2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2"/>
      <c r="T12288" s="2"/>
      <c r="U12288" s="2"/>
      <c r="V12288" s="2"/>
      <c r="W12288" s="2"/>
      <c r="X12288" s="2"/>
      <c r="Y12288" s="2"/>
      <c r="Z12288" s="2"/>
    </row>
    <row r="12289" spans="1:26" ht="16.5" x14ac:dyDescent="0.35">
      <c r="A12289" s="2" t="str">
        <f ca="1">IFERROR(__xludf.DUMMYFUNCTION("""COMPUTED_VALUE"""),"Dubai")</f>
        <v>Dubai</v>
      </c>
      <c r="B12289" s="2" t="str">
        <f ca="1">IFERROR(__xludf.DUMMYFUNCTION("""COMPUTED_VALUE"""),"Al Falasi Residence")</f>
        <v>Al Falasi Residence</v>
      </c>
      <c r="C12289" s="2" t="str">
        <f ca="1">IFERROR(__xludf.DUMMYFUNCTION("""COMPUTED_VALUE"""),"Building")</f>
        <v>Building</v>
      </c>
      <c r="D12289" s="2" t="str">
        <f ca="1">IFERROR(__xludf.DUMMYFUNCTION("""COMPUTED_VALUE"""),"Dubai&gt;Bur Dubai&gt;Al Mankhool&gt;Al Falasi Residence")</f>
        <v>Dubai&gt;Bur Dubai&gt;Al Mankhool&gt;Al Falasi Residence</v>
      </c>
      <c r="E12289" s="2"/>
      <c r="F12289" s="2"/>
      <c r="G12289" s="2"/>
      <c r="H12289" s="2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2"/>
      <c r="T12289" s="2"/>
      <c r="U12289" s="2"/>
      <c r="V12289" s="2"/>
      <c r="W12289" s="2"/>
      <c r="X12289" s="2"/>
      <c r="Y12289" s="2"/>
      <c r="Z12289" s="2"/>
    </row>
    <row r="12290" spans="1:26" ht="16.5" x14ac:dyDescent="0.35">
      <c r="A12290" s="2" t="str">
        <f ca="1">IFERROR(__xludf.DUMMYFUNCTION("""COMPUTED_VALUE"""),"Dubai")</f>
        <v>Dubai</v>
      </c>
      <c r="B12290" s="2" t="str">
        <f ca="1">IFERROR(__xludf.DUMMYFUNCTION("""COMPUTED_VALUE"""),"Al Jawhara Building")</f>
        <v>Al Jawhara Building</v>
      </c>
      <c r="C12290" s="2" t="str">
        <f ca="1">IFERROR(__xludf.DUMMYFUNCTION("""COMPUTED_VALUE"""),"Building")</f>
        <v>Building</v>
      </c>
      <c r="D12290" s="2" t="str">
        <f ca="1">IFERROR(__xludf.DUMMYFUNCTION("""COMPUTED_VALUE"""),"Dubai&gt;Bur Dubai&gt;Umm Hurair&gt;Umm Hurair 2&gt;Al Jawhara Building")</f>
        <v>Dubai&gt;Bur Dubai&gt;Umm Hurair&gt;Umm Hurair 2&gt;Al Jawhara Building</v>
      </c>
      <c r="E12290" s="2"/>
      <c r="F12290" s="2"/>
      <c r="G12290" s="2"/>
      <c r="H12290" s="2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2"/>
      <c r="T12290" s="2"/>
      <c r="U12290" s="2"/>
      <c r="V12290" s="2"/>
      <c r="W12290" s="2"/>
      <c r="X12290" s="2"/>
      <c r="Y12290" s="2"/>
      <c r="Z12290" s="2"/>
    </row>
    <row r="12291" spans="1:26" ht="16.5" x14ac:dyDescent="0.35">
      <c r="A12291" s="2" t="str">
        <f ca="1">IFERROR(__xludf.DUMMYFUNCTION("""COMPUTED_VALUE"""),"Dubai")</f>
        <v>Dubai</v>
      </c>
      <c r="B12291" s="2" t="str">
        <f ca="1">IFERROR(__xludf.DUMMYFUNCTION("""COMPUTED_VALUE"""),"Bin Dhaen Holding Building Baloosh")</f>
        <v>Bin Dhaen Holding Building Baloosh</v>
      </c>
      <c r="C12291" s="2" t="str">
        <f ca="1">IFERROR(__xludf.DUMMYFUNCTION("""COMPUTED_VALUE"""),"Building")</f>
        <v>Building</v>
      </c>
      <c r="D12291" s="2" t="str">
        <f ca="1">IFERROR(__xludf.DUMMYFUNCTION("""COMPUTED_VALUE"""),"Dubai&gt;Bur Dubai&gt;Al Souk Al Kabeer (Al Fahidi)&gt;Bin Dhaen Holding Building Baloosh")</f>
        <v>Dubai&gt;Bur Dubai&gt;Al Souk Al Kabeer (Al Fahidi)&gt;Bin Dhaen Holding Building Baloosh</v>
      </c>
      <c r="E12291" s="2"/>
      <c r="F12291" s="2"/>
      <c r="G12291" s="2"/>
      <c r="H12291" s="2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2"/>
      <c r="T12291" s="2"/>
      <c r="U12291" s="2"/>
      <c r="V12291" s="2"/>
      <c r="W12291" s="2"/>
      <c r="X12291" s="2"/>
      <c r="Y12291" s="2"/>
      <c r="Z12291" s="2"/>
    </row>
    <row r="12292" spans="1:26" ht="16.5" x14ac:dyDescent="0.35">
      <c r="A12292" s="2" t="str">
        <f ca="1">IFERROR(__xludf.DUMMYFUNCTION("""COMPUTED_VALUE"""),"Dubai")</f>
        <v>Dubai</v>
      </c>
      <c r="B12292" s="2" t="str">
        <f ca="1">IFERROR(__xludf.DUMMYFUNCTION("""COMPUTED_VALUE"""),"Rose 3")</f>
        <v>Rose 3</v>
      </c>
      <c r="C12292" s="2" t="str">
        <f ca="1">IFERROR(__xludf.DUMMYFUNCTION("""COMPUTED_VALUE"""),"Building")</f>
        <v>Building</v>
      </c>
      <c r="D12292" s="2" t="str">
        <f ca="1">IFERROR(__xludf.DUMMYFUNCTION("""COMPUTED_VALUE"""),"Dubai&gt;Bur Dubai&gt;Al Hamriya&gt;Rose 3")</f>
        <v>Dubai&gt;Bur Dubai&gt;Al Hamriya&gt;Rose 3</v>
      </c>
      <c r="E12292" s="2"/>
      <c r="F12292" s="2"/>
      <c r="G12292" s="2"/>
      <c r="H12292" s="2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2"/>
      <c r="T12292" s="2"/>
      <c r="U12292" s="2"/>
      <c r="V12292" s="2"/>
      <c r="W12292" s="2"/>
      <c r="X12292" s="2"/>
      <c r="Y12292" s="2"/>
      <c r="Z12292" s="2"/>
    </row>
    <row r="12293" spans="1:26" ht="16.5" x14ac:dyDescent="0.35">
      <c r="A12293" s="2" t="str">
        <f ca="1">IFERROR(__xludf.DUMMYFUNCTION("""COMPUTED_VALUE"""),"Dubai")</f>
        <v>Dubai</v>
      </c>
      <c r="B12293" s="2" t="str">
        <f ca="1">IFERROR(__xludf.DUMMYFUNCTION("""COMPUTED_VALUE"""),"Building 49")</f>
        <v>Building 49</v>
      </c>
      <c r="C12293" s="2" t="str">
        <f ca="1">IFERROR(__xludf.DUMMYFUNCTION("""COMPUTED_VALUE"""),"Building")</f>
        <v>Building</v>
      </c>
      <c r="D12293" s="2" t="str">
        <f ca="1">IFERROR(__xludf.DUMMYFUNCTION("""COMPUTED_VALUE"""),"Dubai&gt;Bur Dubai&gt;Dubai Healthcare City&gt;Building 49")</f>
        <v>Dubai&gt;Bur Dubai&gt;Dubai Healthcare City&gt;Building 49</v>
      </c>
      <c r="E12293" s="2"/>
      <c r="F12293" s="2"/>
      <c r="G12293" s="2"/>
      <c r="H12293" s="2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2"/>
      <c r="T12293" s="2"/>
      <c r="U12293" s="2"/>
      <c r="V12293" s="2"/>
      <c r="W12293" s="2"/>
      <c r="X12293" s="2"/>
      <c r="Y12293" s="2"/>
      <c r="Z12293" s="2"/>
    </row>
    <row r="12294" spans="1:26" ht="16.5" x14ac:dyDescent="0.35">
      <c r="A12294" s="2" t="str">
        <f ca="1">IFERROR(__xludf.DUMMYFUNCTION("""COMPUTED_VALUE"""),"Dubai")</f>
        <v>Dubai</v>
      </c>
      <c r="B12294" s="2" t="str">
        <f ca="1">IFERROR(__xludf.DUMMYFUNCTION("""COMPUTED_VALUE"""),"Al Andalus Tower C")</f>
        <v>Al Andalus Tower C</v>
      </c>
      <c r="C12294" s="2" t="str">
        <f ca="1">IFERROR(__xludf.DUMMYFUNCTION("""COMPUTED_VALUE"""),"Building")</f>
        <v>Building</v>
      </c>
      <c r="D12294" s="2" t="str">
        <f ca="1">IFERROR(__xludf.DUMMYFUNCTION("""COMPUTED_VALUE"""),"Dubai&gt;Jumeirah Golf Estates&gt;Al Andalus&gt;Al Andalus Tower C")</f>
        <v>Dubai&gt;Jumeirah Golf Estates&gt;Al Andalus&gt;Al Andalus Tower C</v>
      </c>
      <c r="E12294" s="2"/>
      <c r="F12294" s="2"/>
      <c r="G12294" s="2"/>
      <c r="H12294" s="2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2"/>
      <c r="T12294" s="2"/>
      <c r="U12294" s="2"/>
      <c r="V12294" s="2"/>
      <c r="W12294" s="2"/>
      <c r="X12294" s="2"/>
      <c r="Y12294" s="2"/>
      <c r="Z12294" s="2"/>
    </row>
    <row r="12295" spans="1:26" ht="16.5" x14ac:dyDescent="0.35">
      <c r="A12295" s="2" t="str">
        <f ca="1">IFERROR(__xludf.DUMMYFUNCTION("""COMPUTED_VALUE"""),"Dubai")</f>
        <v>Dubai</v>
      </c>
      <c r="B12295" s="2" t="str">
        <f ca="1">IFERROR(__xludf.DUMMYFUNCTION("""COMPUTED_VALUE"""),"Emaar Beachfront")</f>
        <v>Emaar Beachfront</v>
      </c>
      <c r="C12295" s="2" t="str">
        <f ca="1">IFERROR(__xludf.DUMMYFUNCTION("""COMPUTED_VALUE"""),"Neighbourhood")</f>
        <v>Neighbourhood</v>
      </c>
      <c r="D12295" s="2" t="str">
        <f ca="1">IFERROR(__xludf.DUMMYFUNCTION("""COMPUTED_VALUE"""),"Dubai&gt;Dubai Harbour&gt;Emaar Beachfront")</f>
        <v>Dubai&gt;Dubai Harbour&gt;Emaar Beachfront</v>
      </c>
      <c r="E12295" s="2"/>
      <c r="F12295" s="2"/>
      <c r="G12295" s="2"/>
      <c r="H12295" s="2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2"/>
      <c r="T12295" s="2"/>
      <c r="U12295" s="2"/>
      <c r="V12295" s="2"/>
      <c r="W12295" s="2"/>
      <c r="X12295" s="2"/>
      <c r="Y12295" s="2"/>
      <c r="Z12295" s="2"/>
    </row>
    <row r="12296" spans="1:26" ht="16.5" x14ac:dyDescent="0.35">
      <c r="A12296" s="2" t="str">
        <f ca="1">IFERROR(__xludf.DUMMYFUNCTION("""COMPUTED_VALUE"""),"Dubai")</f>
        <v>Dubai</v>
      </c>
      <c r="B12296" s="2" t="str">
        <f ca="1">IFERROR(__xludf.DUMMYFUNCTION("""COMPUTED_VALUE"""),"Address Bayview Tower 1")</f>
        <v>Address Bayview Tower 1</v>
      </c>
      <c r="C12296" s="2" t="str">
        <f ca="1">IFERROR(__xludf.DUMMYFUNCTION("""COMPUTED_VALUE"""),"Building")</f>
        <v>Building</v>
      </c>
      <c r="D12296" s="2" t="str">
        <f ca="1">IFERROR(__xludf.DUMMYFUNCTION("""COMPUTED_VALUE"""),"Dubai&gt;Dubai Harbour&gt;Emaar Beachfront&gt;Bayview by Address Resort&gt;Address Bayview Tower 1")</f>
        <v>Dubai&gt;Dubai Harbour&gt;Emaar Beachfront&gt;Bayview by Address Resort&gt;Address Bayview Tower 1</v>
      </c>
      <c r="E12296" s="2"/>
      <c r="F12296" s="2"/>
      <c r="G12296" s="2"/>
      <c r="H12296" s="2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2"/>
      <c r="T12296" s="2"/>
      <c r="U12296" s="2"/>
      <c r="V12296" s="2"/>
      <c r="W12296" s="2"/>
      <c r="X12296" s="2"/>
      <c r="Y12296" s="2"/>
      <c r="Z12296" s="2"/>
    </row>
    <row r="12297" spans="1:26" ht="16.5" x14ac:dyDescent="0.35">
      <c r="A12297" s="2" t="str">
        <f ca="1">IFERROR(__xludf.DUMMYFUNCTION("""COMPUTED_VALUE"""),"Dubai")</f>
        <v>Dubai</v>
      </c>
      <c r="B12297" s="2" t="str">
        <f ca="1">IFERROR(__xludf.DUMMYFUNCTION("""COMPUTED_VALUE"""),"Avencia")</f>
        <v>Avencia</v>
      </c>
      <c r="C12297" s="2" t="str">
        <f ca="1">IFERROR(__xludf.DUMMYFUNCTION("""COMPUTED_VALUE"""),"Neighbourhood")</f>
        <v>Neighbourhood</v>
      </c>
      <c r="D12297" s="2" t="str">
        <f ca="1">IFERROR(__xludf.DUMMYFUNCTION("""COMPUTED_VALUE"""),"Dubai&gt;DAMAC Hills 2 (Akoya by DAMAC)&gt;Avencia")</f>
        <v>Dubai&gt;DAMAC Hills 2 (Akoya by DAMAC)&gt;Avencia</v>
      </c>
      <c r="E12297" s="2"/>
      <c r="F12297" s="2"/>
      <c r="G12297" s="2"/>
      <c r="H12297" s="2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2"/>
      <c r="T12297" s="2"/>
      <c r="U12297" s="2"/>
      <c r="V12297" s="2"/>
      <c r="W12297" s="2"/>
      <c r="X12297" s="2"/>
      <c r="Y12297" s="2"/>
      <c r="Z12297" s="2"/>
    </row>
    <row r="12298" spans="1:26" ht="16.5" x14ac:dyDescent="0.35">
      <c r="A12298" s="2" t="str">
        <f ca="1">IFERROR(__xludf.DUMMYFUNCTION("""COMPUTED_VALUE"""),"Dubai")</f>
        <v>Dubai</v>
      </c>
      <c r="B12298" s="2" t="str">
        <f ca="1">IFERROR(__xludf.DUMMYFUNCTION("""COMPUTED_VALUE"""),"Violet 3")</f>
        <v>Violet 3</v>
      </c>
      <c r="C12298" s="2" t="str">
        <f ca="1">IFERROR(__xludf.DUMMYFUNCTION("""COMPUTED_VALUE"""),"Neighbourhood")</f>
        <v>Neighbourhood</v>
      </c>
      <c r="D12298" s="2" t="str">
        <f ca="1">IFERROR(__xludf.DUMMYFUNCTION("""COMPUTED_VALUE"""),"Dubai&gt;DAMAC Hills 2 (Akoya by DAMAC)&gt;Violet 3")</f>
        <v>Dubai&gt;DAMAC Hills 2 (Akoya by DAMAC)&gt;Violet 3</v>
      </c>
      <c r="E12298" s="2"/>
      <c r="F12298" s="2"/>
      <c r="G12298" s="2"/>
      <c r="H12298" s="2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2"/>
      <c r="T12298" s="2"/>
      <c r="U12298" s="2"/>
      <c r="V12298" s="2"/>
      <c r="W12298" s="2"/>
      <c r="X12298" s="2"/>
      <c r="Y12298" s="2"/>
      <c r="Z12298" s="2"/>
    </row>
    <row r="12299" spans="1:26" ht="16.5" x14ac:dyDescent="0.35">
      <c r="A12299" s="2" t="str">
        <f ca="1">IFERROR(__xludf.DUMMYFUNCTION("""COMPUTED_VALUE"""),"Dubai")</f>
        <v>Dubai</v>
      </c>
      <c r="B12299" s="2" t="str">
        <f ca="1">IFERROR(__xludf.DUMMYFUNCTION("""COMPUTED_VALUE"""),"J-01")</f>
        <v>J-01</v>
      </c>
      <c r="C12299" s="2" t="str">
        <f ca="1">IFERROR(__xludf.DUMMYFUNCTION("""COMPUTED_VALUE"""),"Building")</f>
        <v>Building</v>
      </c>
      <c r="D12299" s="2" t="str">
        <f ca="1">IFERROR(__xludf.DUMMYFUNCTION("""COMPUTED_VALUE"""),"Dubai&gt;International City&gt;Morocco Cluster&gt;J-01")</f>
        <v>Dubai&gt;International City&gt;Morocco Cluster&gt;J-01</v>
      </c>
      <c r="E12299" s="2"/>
      <c r="F12299" s="2"/>
      <c r="G12299" s="2"/>
      <c r="H12299" s="2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2"/>
      <c r="T12299" s="2"/>
      <c r="U12299" s="2"/>
      <c r="V12299" s="2"/>
      <c r="W12299" s="2"/>
      <c r="X12299" s="2"/>
      <c r="Y12299" s="2"/>
      <c r="Z12299" s="2"/>
    </row>
    <row r="12300" spans="1:26" ht="16.5" x14ac:dyDescent="0.35">
      <c r="A12300" s="2" t="str">
        <f ca="1">IFERROR(__xludf.DUMMYFUNCTION("""COMPUTED_VALUE"""),"Dubai")</f>
        <v>Dubai</v>
      </c>
      <c r="B12300" s="2" t="str">
        <f ca="1">IFERROR(__xludf.DUMMYFUNCTION("""COMPUTED_VALUE"""),"Armitage Building")</f>
        <v>Armitage Building</v>
      </c>
      <c r="C12300" s="2" t="str">
        <f ca="1">IFERROR(__xludf.DUMMYFUNCTION("""COMPUTED_VALUE"""),"Building")</f>
        <v>Building</v>
      </c>
      <c r="D12300" s="2" t="str">
        <f ca="1">IFERROR(__xludf.DUMMYFUNCTION("""COMPUTED_VALUE"""),"Dubai&gt;International City&gt;China Cluster&gt;Armitage Building")</f>
        <v>Dubai&gt;International City&gt;China Cluster&gt;Armitage Building</v>
      </c>
      <c r="E12300" s="2"/>
      <c r="F12300" s="2"/>
      <c r="G12300" s="2"/>
      <c r="H12300" s="2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2"/>
      <c r="T12300" s="2"/>
      <c r="U12300" s="2"/>
      <c r="V12300" s="2"/>
      <c r="W12300" s="2"/>
      <c r="X12300" s="2"/>
      <c r="Y12300" s="2"/>
      <c r="Z12300" s="2"/>
    </row>
    <row r="12301" spans="1:26" ht="16.5" x14ac:dyDescent="0.35">
      <c r="A12301" s="2" t="str">
        <f ca="1">IFERROR(__xludf.DUMMYFUNCTION("""COMPUTED_VALUE"""),"Dubai")</f>
        <v>Dubai</v>
      </c>
      <c r="B12301" s="2" t="str">
        <f ca="1">IFERROR(__xludf.DUMMYFUNCTION("""COMPUTED_VALUE"""),"C-01")</f>
        <v>C-01</v>
      </c>
      <c r="C12301" s="2" t="str">
        <f ca="1">IFERROR(__xludf.DUMMYFUNCTION("""COMPUTED_VALUE"""),"Building")</f>
        <v>Building</v>
      </c>
      <c r="D12301" s="2" t="str">
        <f ca="1">IFERROR(__xludf.DUMMYFUNCTION("""COMPUTED_VALUE"""),"Dubai&gt;International City&gt;China Cluster&gt;C-01")</f>
        <v>Dubai&gt;International City&gt;China Cluster&gt;C-01</v>
      </c>
      <c r="E12301" s="2"/>
      <c r="F12301" s="2"/>
      <c r="G12301" s="2"/>
      <c r="H12301" s="2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2"/>
      <c r="T12301" s="2"/>
      <c r="U12301" s="2"/>
      <c r="V12301" s="2"/>
      <c r="W12301" s="2"/>
      <c r="X12301" s="2"/>
      <c r="Y12301" s="2"/>
      <c r="Z12301" s="2"/>
    </row>
    <row r="12302" spans="1:26" ht="16.5" x14ac:dyDescent="0.35">
      <c r="A12302" s="2" t="str">
        <f ca="1">IFERROR(__xludf.DUMMYFUNCTION("""COMPUTED_VALUE"""),"Dubai")</f>
        <v>Dubai</v>
      </c>
      <c r="B12302" s="2" t="str">
        <f ca="1">IFERROR(__xludf.DUMMYFUNCTION("""COMPUTED_VALUE"""),"F-06")</f>
        <v>F-06</v>
      </c>
      <c r="C12302" s="2" t="str">
        <f ca="1">IFERROR(__xludf.DUMMYFUNCTION("""COMPUTED_VALUE"""),"Building")</f>
        <v>Building</v>
      </c>
      <c r="D12302" s="2" t="str">
        <f ca="1">IFERROR(__xludf.DUMMYFUNCTION("""COMPUTED_VALUE"""),"Dubai&gt;International City&gt;China Cluster&gt;F-06")</f>
        <v>Dubai&gt;International City&gt;China Cluster&gt;F-06</v>
      </c>
      <c r="E12302" s="2"/>
      <c r="F12302" s="2"/>
      <c r="G12302" s="2"/>
      <c r="H12302" s="2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2"/>
      <c r="T12302" s="2"/>
      <c r="U12302" s="2"/>
      <c r="V12302" s="2"/>
      <c r="W12302" s="2"/>
      <c r="X12302" s="2"/>
      <c r="Y12302" s="2"/>
      <c r="Z12302" s="2"/>
    </row>
    <row r="12303" spans="1:26" ht="16.5" x14ac:dyDescent="0.35">
      <c r="A12303" s="2" t="str">
        <f ca="1">IFERROR(__xludf.DUMMYFUNCTION("""COMPUTED_VALUE"""),"Dubai")</f>
        <v>Dubai</v>
      </c>
      <c r="B12303" s="2" t="str">
        <f ca="1">IFERROR(__xludf.DUMMYFUNCTION("""COMPUTED_VALUE"""),"S-05")</f>
        <v>S-05</v>
      </c>
      <c r="C12303" s="2" t="str">
        <f ca="1">IFERROR(__xludf.DUMMYFUNCTION("""COMPUTED_VALUE"""),"Building")</f>
        <v>Building</v>
      </c>
      <c r="D12303" s="2" t="str">
        <f ca="1">IFERROR(__xludf.DUMMYFUNCTION("""COMPUTED_VALUE"""),"Dubai&gt;International City&gt;Spain Cluster&gt;S-05")</f>
        <v>Dubai&gt;International City&gt;Spain Cluster&gt;S-05</v>
      </c>
      <c r="E12303" s="2"/>
      <c r="F12303" s="2"/>
      <c r="G12303" s="2"/>
      <c r="H12303" s="2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2"/>
      <c r="T12303" s="2"/>
      <c r="U12303" s="2"/>
      <c r="V12303" s="2"/>
      <c r="W12303" s="2"/>
      <c r="X12303" s="2"/>
      <c r="Y12303" s="2"/>
      <c r="Z12303" s="2"/>
    </row>
    <row r="12304" spans="1:26" ht="16.5" x14ac:dyDescent="0.35">
      <c r="A12304" s="2" t="str">
        <f ca="1">IFERROR(__xludf.DUMMYFUNCTION("""COMPUTED_VALUE"""),"Dubai")</f>
        <v>Dubai</v>
      </c>
      <c r="B12304" s="2" t="str">
        <f ca="1">IFERROR(__xludf.DUMMYFUNCTION("""COMPUTED_VALUE"""),"U-04")</f>
        <v>U-04</v>
      </c>
      <c r="C12304" s="2" t="str">
        <f ca="1">IFERROR(__xludf.DUMMYFUNCTION("""COMPUTED_VALUE"""),"Building")</f>
        <v>Building</v>
      </c>
      <c r="D12304" s="2" t="str">
        <f ca="1">IFERROR(__xludf.DUMMYFUNCTION("""COMPUTED_VALUE"""),"Dubai&gt;International City&gt;Italy Cluster&gt;U-04")</f>
        <v>Dubai&gt;International City&gt;Italy Cluster&gt;U-04</v>
      </c>
      <c r="E12304" s="2"/>
      <c r="F12304" s="2"/>
      <c r="G12304" s="2"/>
      <c r="H12304" s="2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2"/>
      <c r="T12304" s="2"/>
      <c r="U12304" s="2"/>
      <c r="V12304" s="2"/>
      <c r="W12304" s="2"/>
      <c r="X12304" s="2"/>
      <c r="Y12304" s="2"/>
      <c r="Z12304" s="2"/>
    </row>
    <row r="12305" spans="1:26" ht="16.5" x14ac:dyDescent="0.35">
      <c r="A12305" s="2" t="str">
        <f ca="1">IFERROR(__xludf.DUMMYFUNCTION("""COMPUTED_VALUE"""),"Dubai")</f>
        <v>Dubai</v>
      </c>
      <c r="B12305" s="2" t="str">
        <f ca="1">IFERROR(__xludf.DUMMYFUNCTION("""COMPUTED_VALUE"""),"V-08")</f>
        <v>V-08</v>
      </c>
      <c r="C12305" s="2" t="str">
        <f ca="1">IFERROR(__xludf.DUMMYFUNCTION("""COMPUTED_VALUE"""),"Building")</f>
        <v>Building</v>
      </c>
      <c r="D12305" s="2" t="str">
        <f ca="1">IFERROR(__xludf.DUMMYFUNCTION("""COMPUTED_VALUE"""),"Dubai&gt;International City&gt;Russia Cluster&gt;V-08")</f>
        <v>Dubai&gt;International City&gt;Russia Cluster&gt;V-08</v>
      </c>
      <c r="E12305" s="2"/>
      <c r="F12305" s="2"/>
      <c r="G12305" s="2"/>
      <c r="H12305" s="2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2"/>
      <c r="T12305" s="2"/>
      <c r="U12305" s="2"/>
      <c r="V12305" s="2"/>
      <c r="W12305" s="2"/>
      <c r="X12305" s="2"/>
      <c r="Y12305" s="2"/>
      <c r="Z12305" s="2"/>
    </row>
    <row r="12306" spans="1:26" ht="16.5" x14ac:dyDescent="0.35">
      <c r="A12306" s="2" t="str">
        <f ca="1">IFERROR(__xludf.DUMMYFUNCTION("""COMPUTED_VALUE"""),"Dubai")</f>
        <v>Dubai</v>
      </c>
      <c r="B12306" s="2" t="str">
        <f ca="1">IFERROR(__xludf.DUMMYFUNCTION("""COMPUTED_VALUE"""),"N-02")</f>
        <v>N-02</v>
      </c>
      <c r="C12306" s="2" t="str">
        <f ca="1">IFERROR(__xludf.DUMMYFUNCTION("""COMPUTED_VALUE"""),"Building")</f>
        <v>Building</v>
      </c>
      <c r="D12306" s="2" t="str">
        <f ca="1">IFERROR(__xludf.DUMMYFUNCTION("""COMPUTED_VALUE"""),"Dubai&gt;International City&gt;Persia Cluster&gt;N-02")</f>
        <v>Dubai&gt;International City&gt;Persia Cluster&gt;N-02</v>
      </c>
      <c r="E12306" s="2"/>
      <c r="F12306" s="2"/>
      <c r="G12306" s="2"/>
      <c r="H12306" s="2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2"/>
      <c r="T12306" s="2"/>
      <c r="U12306" s="2"/>
      <c r="V12306" s="2"/>
      <c r="W12306" s="2"/>
      <c r="X12306" s="2"/>
      <c r="Y12306" s="2"/>
      <c r="Z12306" s="2"/>
    </row>
    <row r="12307" spans="1:26" ht="16.5" x14ac:dyDescent="0.35">
      <c r="A12307" s="2" t="str">
        <f ca="1">IFERROR(__xludf.DUMMYFUNCTION("""COMPUTED_VALUE"""),"Dubai")</f>
        <v>Dubai</v>
      </c>
      <c r="B12307" s="2" t="str">
        <f ca="1">IFERROR(__xludf.DUMMYFUNCTION("""COMPUTED_VALUE"""),"EMR-20")</f>
        <v>EMR-20</v>
      </c>
      <c r="C12307" s="2" t="str">
        <f ca="1">IFERROR(__xludf.DUMMYFUNCTION("""COMPUTED_VALUE"""),"Building")</f>
        <v>Building</v>
      </c>
      <c r="D12307" s="2" t="str">
        <f ca="1">IFERROR(__xludf.DUMMYFUNCTION("""COMPUTED_VALUE"""),"Dubai&gt;International City&gt;Emirates Cluster&gt;EMR-20")</f>
        <v>Dubai&gt;International City&gt;Emirates Cluster&gt;EMR-20</v>
      </c>
      <c r="E12307" s="2"/>
      <c r="F12307" s="2"/>
      <c r="G12307" s="2"/>
      <c r="H12307" s="2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2"/>
      <c r="T12307" s="2"/>
      <c r="U12307" s="2"/>
      <c r="V12307" s="2"/>
      <c r="W12307" s="2"/>
      <c r="X12307" s="2"/>
      <c r="Y12307" s="2"/>
      <c r="Z12307" s="2"/>
    </row>
    <row r="12308" spans="1:26" ht="16.5" x14ac:dyDescent="0.35">
      <c r="A12308" s="2" t="str">
        <f ca="1">IFERROR(__xludf.DUMMYFUNCTION("""COMPUTED_VALUE"""),"Dubai")</f>
        <v>Dubai</v>
      </c>
      <c r="B12308" s="2" t="str">
        <f ca="1">IFERROR(__xludf.DUMMYFUNCTION("""COMPUTED_VALUE"""),"X-08")</f>
        <v>X-08</v>
      </c>
      <c r="C12308" s="2" t="str">
        <f ca="1">IFERROR(__xludf.DUMMYFUNCTION("""COMPUTED_VALUE"""),"Building")</f>
        <v>Building</v>
      </c>
      <c r="D12308" s="2" t="str">
        <f ca="1">IFERROR(__xludf.DUMMYFUNCTION("""COMPUTED_VALUE"""),"Dubai&gt;International City&gt;England Cluster&gt;X-08")</f>
        <v>Dubai&gt;International City&gt;England Cluster&gt;X-08</v>
      </c>
      <c r="E12308" s="2"/>
      <c r="F12308" s="2"/>
      <c r="G12308" s="2"/>
      <c r="H12308" s="2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2"/>
      <c r="T12308" s="2"/>
      <c r="U12308" s="2"/>
      <c r="V12308" s="2"/>
      <c r="W12308" s="2"/>
      <c r="X12308" s="2"/>
      <c r="Y12308" s="2"/>
      <c r="Z12308" s="2"/>
    </row>
    <row r="12309" spans="1:26" ht="16.5" x14ac:dyDescent="0.35">
      <c r="A12309" s="2" t="str">
        <f ca="1">IFERROR(__xludf.DUMMYFUNCTION("""COMPUTED_VALUE"""),"Dubai")</f>
        <v>Dubai</v>
      </c>
      <c r="B12309" s="2" t="str">
        <f ca="1">IFERROR(__xludf.DUMMYFUNCTION("""COMPUTED_VALUE"""),"Y-14")</f>
        <v>Y-14</v>
      </c>
      <c r="C12309" s="2" t="str">
        <f ca="1">IFERROR(__xludf.DUMMYFUNCTION("""COMPUTED_VALUE"""),"Building")</f>
        <v>Building</v>
      </c>
      <c r="D12309" s="2" t="str">
        <f ca="1">IFERROR(__xludf.DUMMYFUNCTION("""COMPUTED_VALUE"""),"Dubai&gt;International City&gt;England Cluster&gt;Y-14")</f>
        <v>Dubai&gt;International City&gt;England Cluster&gt;Y-14</v>
      </c>
      <c r="E12309" s="2"/>
      <c r="F12309" s="2"/>
      <c r="G12309" s="2"/>
      <c r="H12309" s="2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2"/>
      <c r="T12309" s="2"/>
      <c r="U12309" s="2"/>
      <c r="V12309" s="2"/>
      <c r="W12309" s="2"/>
      <c r="X12309" s="2"/>
      <c r="Y12309" s="2"/>
      <c r="Z12309" s="2"/>
    </row>
    <row r="12310" spans="1:26" ht="16.5" x14ac:dyDescent="0.35">
      <c r="A12310" s="2" t="str">
        <f ca="1">IFERROR(__xludf.DUMMYFUNCTION("""COMPUTED_VALUE"""),"Dubai")</f>
        <v>Dubai</v>
      </c>
      <c r="B12310" s="2" t="str">
        <f ca="1">IFERROR(__xludf.DUMMYFUNCTION("""COMPUTED_VALUE"""),"Al Basha 5")</f>
        <v>Al Basha 5</v>
      </c>
      <c r="C12310" s="2" t="str">
        <f ca="1">IFERROR(__xludf.DUMMYFUNCTION("""COMPUTED_VALUE"""),"Building")</f>
        <v>Building</v>
      </c>
      <c r="D12310" s="2" t="str">
        <f ca="1">IFERROR(__xludf.DUMMYFUNCTION("""COMPUTED_VALUE"""),"Dubai&gt;International City&gt;International City Phase 2 (Warsan 4)&gt;Al Basha 5")</f>
        <v>Dubai&gt;International City&gt;International City Phase 2 (Warsan 4)&gt;Al Basha 5</v>
      </c>
      <c r="E12310" s="2"/>
      <c r="F12310" s="2"/>
      <c r="G12310" s="2"/>
      <c r="H12310" s="2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2"/>
      <c r="T12310" s="2"/>
      <c r="U12310" s="2"/>
      <c r="V12310" s="2"/>
      <c r="W12310" s="2"/>
      <c r="X12310" s="2"/>
      <c r="Y12310" s="2"/>
      <c r="Z12310" s="2"/>
    </row>
    <row r="12311" spans="1:26" ht="16.5" x14ac:dyDescent="0.35">
      <c r="A12311" s="2" t="str">
        <f ca="1">IFERROR(__xludf.DUMMYFUNCTION("""COMPUTED_VALUE"""),"Dubai")</f>
        <v>Dubai</v>
      </c>
      <c r="B12311" s="2" t="str">
        <f ca="1">IFERROR(__xludf.DUMMYFUNCTION("""COMPUTED_VALUE"""),"Warsan Akasya")</f>
        <v>Warsan Akasya</v>
      </c>
      <c r="C12311" s="2" t="str">
        <f ca="1">IFERROR(__xludf.DUMMYFUNCTION("""COMPUTED_VALUE"""),"Building")</f>
        <v>Building</v>
      </c>
      <c r="D12311" s="2" t="str">
        <f ca="1">IFERROR(__xludf.DUMMYFUNCTION("""COMPUTED_VALUE"""),"Dubai&gt;International City&gt;International City Phase 2 (Warsan 4)&gt;Warsan Akasya")</f>
        <v>Dubai&gt;International City&gt;International City Phase 2 (Warsan 4)&gt;Warsan Akasya</v>
      </c>
      <c r="E12311" s="2"/>
      <c r="F12311" s="2"/>
      <c r="G12311" s="2"/>
      <c r="H12311" s="2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2"/>
      <c r="T12311" s="2"/>
      <c r="U12311" s="2"/>
      <c r="V12311" s="2"/>
      <c r="W12311" s="2"/>
      <c r="X12311" s="2"/>
      <c r="Y12311" s="2"/>
      <c r="Z12311" s="2"/>
    </row>
    <row r="12312" spans="1:26" ht="16.5" x14ac:dyDescent="0.35">
      <c r="A12312" s="2" t="str">
        <f ca="1">IFERROR(__xludf.DUMMYFUNCTION("""COMPUTED_VALUE"""),"Dubai")</f>
        <v>Dubai</v>
      </c>
      <c r="B12312" s="2" t="str">
        <f ca="1">IFERROR(__xludf.DUMMYFUNCTION("""COMPUTED_VALUE"""),"Majestic One")</f>
        <v>Majestic One</v>
      </c>
      <c r="C12312" s="2" t="str">
        <f ca="1">IFERROR(__xludf.DUMMYFUNCTION("""COMPUTED_VALUE"""),"Building")</f>
        <v>Building</v>
      </c>
      <c r="D12312" s="2" t="str">
        <f ca="1">IFERROR(__xludf.DUMMYFUNCTION("""COMPUTED_VALUE"""),"Dubai&gt;International City&gt;International City Phase 2 (Warsan 4)&gt;Majestic One")</f>
        <v>Dubai&gt;International City&gt;International City Phase 2 (Warsan 4)&gt;Majestic One</v>
      </c>
      <c r="E12312" s="2"/>
      <c r="F12312" s="2"/>
      <c r="G12312" s="2"/>
      <c r="H12312" s="2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2"/>
      <c r="T12312" s="2"/>
      <c r="U12312" s="2"/>
      <c r="V12312" s="2"/>
      <c r="W12312" s="2"/>
      <c r="X12312" s="2"/>
      <c r="Y12312" s="2"/>
      <c r="Z12312" s="2"/>
    </row>
    <row r="12313" spans="1:26" ht="16.5" x14ac:dyDescent="0.35">
      <c r="A12313" s="2" t="str">
        <f ca="1">IFERROR(__xludf.DUMMYFUNCTION("""COMPUTED_VALUE"""),"Dubai")</f>
        <v>Dubai</v>
      </c>
      <c r="B12313" s="2" t="str">
        <f ca="1">IFERROR(__xludf.DUMMYFUNCTION("""COMPUTED_VALUE"""),"OST Tower 10")</f>
        <v>OST Tower 10</v>
      </c>
      <c r="C12313" s="2" t="str">
        <f ca="1">IFERROR(__xludf.DUMMYFUNCTION("""COMPUTED_VALUE"""),"Building")</f>
        <v>Building</v>
      </c>
      <c r="D12313" s="2" t="str">
        <f ca="1">IFERROR(__xludf.DUMMYFUNCTION("""COMPUTED_VALUE"""),"Dubai&gt;International City&gt;International City Phase 2 (Warsan 4)&gt;OST Tower 10")</f>
        <v>Dubai&gt;International City&gt;International City Phase 2 (Warsan 4)&gt;OST Tower 10</v>
      </c>
      <c r="E12313" s="2"/>
      <c r="F12313" s="2"/>
      <c r="G12313" s="2"/>
      <c r="H12313" s="2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2"/>
      <c r="T12313" s="2"/>
      <c r="U12313" s="2"/>
      <c r="V12313" s="2"/>
      <c r="W12313" s="2"/>
      <c r="X12313" s="2"/>
      <c r="Y12313" s="2"/>
      <c r="Z12313" s="2"/>
    </row>
    <row r="12314" spans="1:26" ht="16.5" x14ac:dyDescent="0.35">
      <c r="A12314" s="2" t="str">
        <f ca="1">IFERROR(__xludf.DUMMYFUNCTION("""COMPUTED_VALUE"""),"Dubai")</f>
        <v>Dubai</v>
      </c>
      <c r="B12314" s="2" t="str">
        <f ca="1">IFERROR(__xludf.DUMMYFUNCTION("""COMPUTED_VALUE"""),"Chapter 01 by Newbury")</f>
        <v>Chapter 01 by Newbury</v>
      </c>
      <c r="C12314" s="2" t="str">
        <f ca="1">IFERROR(__xludf.DUMMYFUNCTION("""COMPUTED_VALUE"""),"Building")</f>
        <v>Building</v>
      </c>
      <c r="D12314" s="2" t="str">
        <f ca="1">IFERROR(__xludf.DUMMYFUNCTION("""COMPUTED_VALUE"""),"Dubai&gt;International City&gt;International City Phase 2 (Warsan 4)&gt;Chapter 01 by Newbury")</f>
        <v>Dubai&gt;International City&gt;International City Phase 2 (Warsan 4)&gt;Chapter 01 by Newbury</v>
      </c>
      <c r="E12314" s="2"/>
      <c r="F12314" s="2"/>
      <c r="G12314" s="2"/>
      <c r="H12314" s="2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2"/>
      <c r="T12314" s="2"/>
      <c r="U12314" s="2"/>
      <c r="V12314" s="2"/>
      <c r="W12314" s="2"/>
      <c r="X12314" s="2"/>
      <c r="Y12314" s="2"/>
      <c r="Z12314" s="2"/>
    </row>
    <row r="12315" spans="1:26" ht="16.5" x14ac:dyDescent="0.35">
      <c r="A12315" s="2" t="str">
        <f ca="1">IFERROR(__xludf.DUMMYFUNCTION("""COMPUTED_VALUE"""),"Dubai")</f>
        <v>Dubai</v>
      </c>
      <c r="B12315" s="2" t="str">
        <f ca="1">IFERROR(__xludf.DUMMYFUNCTION("""COMPUTED_VALUE"""),"L-05")</f>
        <v>L-05</v>
      </c>
      <c r="C12315" s="2" t="str">
        <f ca="1">IFERROR(__xludf.DUMMYFUNCTION("""COMPUTED_VALUE"""),"Building")</f>
        <v>Building</v>
      </c>
      <c r="D12315" s="2" t="str">
        <f ca="1">IFERROR(__xludf.DUMMYFUNCTION("""COMPUTED_VALUE"""),"Dubai&gt;International City&gt;Greece Cluster&gt;L-05")</f>
        <v>Dubai&gt;International City&gt;Greece Cluster&gt;L-05</v>
      </c>
      <c r="E12315" s="2"/>
      <c r="F12315" s="2"/>
      <c r="G12315" s="2"/>
      <c r="H12315" s="2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2"/>
      <c r="T12315" s="2"/>
      <c r="U12315" s="2"/>
      <c r="V12315" s="2"/>
      <c r="W12315" s="2"/>
      <c r="X12315" s="2"/>
      <c r="Y12315" s="2"/>
      <c r="Z12315" s="2"/>
    </row>
    <row r="12316" spans="1:26" ht="16.5" x14ac:dyDescent="0.35">
      <c r="A12316" s="2" t="str">
        <f ca="1">IFERROR(__xludf.DUMMYFUNCTION("""COMPUTED_VALUE"""),"Dubai")</f>
        <v>Dubai</v>
      </c>
      <c r="B12316" s="2" t="str">
        <f ca="1">IFERROR(__xludf.DUMMYFUNCTION("""COMPUTED_VALUE"""),"P-06")</f>
        <v>P-06</v>
      </c>
      <c r="C12316" s="2" t="str">
        <f ca="1">IFERROR(__xludf.DUMMYFUNCTION("""COMPUTED_VALUE"""),"Building")</f>
        <v>Building</v>
      </c>
      <c r="D12316" s="2" t="str">
        <f ca="1">IFERROR(__xludf.DUMMYFUNCTION("""COMPUTED_VALUE"""),"Dubai&gt;International City&gt;France Cluster&gt;P-06")</f>
        <v>Dubai&gt;International City&gt;France Cluster&gt;P-06</v>
      </c>
      <c r="E12316" s="2"/>
      <c r="F12316" s="2"/>
      <c r="G12316" s="2"/>
      <c r="H12316" s="2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2"/>
      <c r="T12316" s="2"/>
      <c r="U12316" s="2"/>
      <c r="V12316" s="2"/>
      <c r="W12316" s="2"/>
      <c r="X12316" s="2"/>
      <c r="Y12316" s="2"/>
      <c r="Z12316" s="2"/>
    </row>
    <row r="12317" spans="1:26" ht="16.5" x14ac:dyDescent="0.35">
      <c r="A12317" s="2" t="str">
        <f ca="1">IFERROR(__xludf.DUMMYFUNCTION("""COMPUTED_VALUE"""),"Dubai")</f>
        <v>Dubai</v>
      </c>
      <c r="B12317" s="2" t="str">
        <f ca="1">IFERROR(__xludf.DUMMYFUNCTION("""COMPUTED_VALUE"""),"R-26")</f>
        <v>R-26</v>
      </c>
      <c r="C12317" s="2" t="str">
        <f ca="1">IFERROR(__xludf.DUMMYFUNCTION("""COMPUTED_VALUE"""),"Building")</f>
        <v>Building</v>
      </c>
      <c r="D12317" s="2" t="str">
        <f ca="1">IFERROR(__xludf.DUMMYFUNCTION("""COMPUTED_VALUE"""),"Dubai&gt;International City&gt;France Cluster&gt;R-26")</f>
        <v>Dubai&gt;International City&gt;France Cluster&gt;R-26</v>
      </c>
      <c r="E12317" s="2"/>
      <c r="F12317" s="2"/>
      <c r="G12317" s="2"/>
      <c r="H12317" s="2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2"/>
      <c r="T12317" s="2"/>
      <c r="U12317" s="2"/>
      <c r="V12317" s="2"/>
      <c r="W12317" s="2"/>
      <c r="X12317" s="2"/>
      <c r="Y12317" s="2"/>
      <c r="Z12317" s="2"/>
    </row>
    <row r="12318" spans="1:26" ht="16.5" x14ac:dyDescent="0.35">
      <c r="A12318" s="2" t="str">
        <f ca="1">IFERROR(__xludf.DUMMYFUNCTION("""COMPUTED_VALUE"""),"Dubai")</f>
        <v>Dubai</v>
      </c>
      <c r="B12318" s="2" t="str">
        <f ca="1">IFERROR(__xludf.DUMMYFUNCTION("""COMPUTED_VALUE"""),"Rufi Garden")</f>
        <v>Rufi Garden</v>
      </c>
      <c r="C12318" s="2" t="str">
        <f ca="1">IFERROR(__xludf.DUMMYFUNCTION("""COMPUTED_VALUE"""),"Building")</f>
        <v>Building</v>
      </c>
      <c r="D12318" s="2" t="str">
        <f ca="1">IFERROR(__xludf.DUMMYFUNCTION("""COMPUTED_VALUE"""),"Dubai&gt;International City&gt;Central Business District&gt;Rufi Garden")</f>
        <v>Dubai&gt;International City&gt;Central Business District&gt;Rufi Garden</v>
      </c>
      <c r="E12318" s="2"/>
      <c r="F12318" s="2"/>
      <c r="G12318" s="2"/>
      <c r="H12318" s="2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2"/>
      <c r="T12318" s="2"/>
      <c r="U12318" s="2"/>
      <c r="V12318" s="2"/>
      <c r="W12318" s="2"/>
      <c r="X12318" s="2"/>
      <c r="Y12318" s="2"/>
      <c r="Z12318" s="2"/>
    </row>
    <row r="12319" spans="1:26" ht="16.5" x14ac:dyDescent="0.35">
      <c r="A12319" s="2" t="str">
        <f ca="1">IFERROR(__xludf.DUMMYFUNCTION("""COMPUTED_VALUE"""),"Dubai")</f>
        <v>Dubai</v>
      </c>
      <c r="B12319" s="2" t="str">
        <f ca="1">IFERROR(__xludf.DUMMYFUNCTION("""COMPUTED_VALUE"""),"Buamim 2")</f>
        <v>Buamim 2</v>
      </c>
      <c r="C12319" s="2" t="str">
        <f ca="1">IFERROR(__xludf.DUMMYFUNCTION("""COMPUTED_VALUE"""),"Building")</f>
        <v>Building</v>
      </c>
      <c r="D12319" s="2" t="str">
        <f ca="1">IFERROR(__xludf.DUMMYFUNCTION("""COMPUTED_VALUE"""),"Dubai&gt;International City&gt;Buamim 2")</f>
        <v>Dubai&gt;International City&gt;Buamim 2</v>
      </c>
      <c r="E12319" s="2"/>
      <c r="F12319" s="2"/>
      <c r="G12319" s="2"/>
      <c r="H12319" s="2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2"/>
      <c r="T12319" s="2"/>
      <c r="U12319" s="2"/>
      <c r="V12319" s="2"/>
      <c r="W12319" s="2"/>
      <c r="X12319" s="2"/>
      <c r="Y12319" s="2"/>
      <c r="Z12319" s="2"/>
    </row>
    <row r="12320" spans="1:26" ht="16.5" x14ac:dyDescent="0.35">
      <c r="A12320" s="2" t="str">
        <f ca="1">IFERROR(__xludf.DUMMYFUNCTION("""COMPUTED_VALUE"""),"Dubai")</f>
        <v>Dubai</v>
      </c>
      <c r="B12320" s="2" t="str">
        <f ca="1">IFERROR(__xludf.DUMMYFUNCTION("""COMPUTED_VALUE"""),"Marina Wharf")</f>
        <v>Marina Wharf</v>
      </c>
      <c r="C12320" s="2" t="str">
        <f ca="1">IFERROR(__xludf.DUMMYFUNCTION("""COMPUTED_VALUE"""),"Cluster")</f>
        <v>Cluster</v>
      </c>
      <c r="D12320" s="2" t="str">
        <f ca="1">IFERROR(__xludf.DUMMYFUNCTION("""COMPUTED_VALUE"""),"Dubai&gt;Dubai Marina&gt;Marina Wharf")</f>
        <v>Dubai&gt;Dubai Marina&gt;Marina Wharf</v>
      </c>
      <c r="E12320" s="2"/>
      <c r="F12320" s="2"/>
      <c r="G12320" s="2"/>
      <c r="H12320" s="2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2"/>
      <c r="T12320" s="2"/>
      <c r="U12320" s="2"/>
      <c r="V12320" s="2"/>
      <c r="W12320" s="2"/>
      <c r="X12320" s="2"/>
      <c r="Y12320" s="2"/>
      <c r="Z12320" s="2"/>
    </row>
    <row r="12321" spans="1:26" ht="16.5" x14ac:dyDescent="0.35">
      <c r="A12321" s="2" t="str">
        <f ca="1">IFERROR(__xludf.DUMMYFUNCTION("""COMPUTED_VALUE"""),"Dubai")</f>
        <v>Dubai</v>
      </c>
      <c r="B12321" s="2" t="str">
        <f ca="1">IFERROR(__xludf.DUMMYFUNCTION("""COMPUTED_VALUE"""),"Marina Quays Villas")</f>
        <v>Marina Quays Villas</v>
      </c>
      <c r="C12321" s="2" t="str">
        <f ca="1">IFERROR(__xludf.DUMMYFUNCTION("""COMPUTED_VALUE"""),"Neighbourhood")</f>
        <v>Neighbourhood</v>
      </c>
      <c r="D12321" s="2" t="str">
        <f ca="1">IFERROR(__xludf.DUMMYFUNCTION("""COMPUTED_VALUE"""),"Dubai&gt;Dubai Marina&gt;Marina Quays&gt;Marina Quays Villas")</f>
        <v>Dubai&gt;Dubai Marina&gt;Marina Quays&gt;Marina Quays Villas</v>
      </c>
      <c r="E12321" s="2"/>
      <c r="F12321" s="2"/>
      <c r="G12321" s="2"/>
      <c r="H12321" s="2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2"/>
      <c r="T12321" s="2"/>
      <c r="U12321" s="2"/>
      <c r="V12321" s="2"/>
      <c r="W12321" s="2"/>
      <c r="X12321" s="2"/>
      <c r="Y12321" s="2"/>
      <c r="Z12321" s="2"/>
    </row>
    <row r="12322" spans="1:26" ht="16.5" x14ac:dyDescent="0.35">
      <c r="A12322" s="2" t="str">
        <f ca="1">IFERROR(__xludf.DUMMYFUNCTION("""COMPUTED_VALUE"""),"Dubai")</f>
        <v>Dubai</v>
      </c>
      <c r="B12322" s="2" t="str">
        <f ca="1">IFERROR(__xludf.DUMMYFUNCTION("""COMPUTED_VALUE"""),"Bunyan Tower")</f>
        <v>Bunyan Tower</v>
      </c>
      <c r="C12322" s="2" t="str">
        <f ca="1">IFERROR(__xludf.DUMMYFUNCTION("""COMPUTED_VALUE"""),"Building")</f>
        <v>Building</v>
      </c>
      <c r="D12322" s="2" t="str">
        <f ca="1">IFERROR(__xludf.DUMMYFUNCTION("""COMPUTED_VALUE"""),"Dubai&gt;Dubai Marina&gt;Bunyan Tower")</f>
        <v>Dubai&gt;Dubai Marina&gt;Bunyan Tower</v>
      </c>
      <c r="E12322" s="2"/>
      <c r="F12322" s="2"/>
      <c r="G12322" s="2"/>
      <c r="H12322" s="2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2"/>
      <c r="T12322" s="2"/>
      <c r="U12322" s="2"/>
      <c r="V12322" s="2"/>
      <c r="W12322" s="2"/>
      <c r="X12322" s="2"/>
      <c r="Y12322" s="2"/>
      <c r="Z12322" s="2"/>
    </row>
    <row r="12323" spans="1:26" ht="16.5" x14ac:dyDescent="0.35">
      <c r="A12323" s="2" t="str">
        <f ca="1">IFERROR(__xludf.DUMMYFUNCTION("""COMPUTED_VALUE"""),"Dubai")</f>
        <v>Dubai</v>
      </c>
      <c r="B12323" s="2" t="str">
        <f ca="1">IFERROR(__xludf.DUMMYFUNCTION("""COMPUTED_VALUE"""),"No. 9")</f>
        <v>No. 9</v>
      </c>
      <c r="C12323" s="2" t="str">
        <f ca="1">IFERROR(__xludf.DUMMYFUNCTION("""COMPUTED_VALUE"""),"Building")</f>
        <v>Building</v>
      </c>
      <c r="D12323" s="2" t="str">
        <f ca="1">IFERROR(__xludf.DUMMYFUNCTION("""COMPUTED_VALUE"""),"Dubai&gt;Dubai Marina&gt;No. 9")</f>
        <v>Dubai&gt;Dubai Marina&gt;No. 9</v>
      </c>
      <c r="E12323" s="2"/>
      <c r="F12323" s="2"/>
      <c r="G12323" s="2"/>
      <c r="H12323" s="2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2"/>
      <c r="T12323" s="2"/>
      <c r="U12323" s="2"/>
      <c r="V12323" s="2"/>
      <c r="W12323" s="2"/>
      <c r="X12323" s="2"/>
      <c r="Y12323" s="2"/>
      <c r="Z12323" s="2"/>
    </row>
    <row r="12324" spans="1:26" ht="16.5" x14ac:dyDescent="0.35">
      <c r="A12324" s="2" t="str">
        <f ca="1">IFERROR(__xludf.DUMMYFUNCTION("""COMPUTED_VALUE"""),"Dubai")</f>
        <v>Dubai</v>
      </c>
      <c r="B12324" s="2" t="str">
        <f ca="1">IFERROR(__xludf.DUMMYFUNCTION("""COMPUTED_VALUE"""),"Le Royal Meridien Beach Resort &amp; Spa")</f>
        <v>Le Royal Meridien Beach Resort &amp; Spa</v>
      </c>
      <c r="C12324" s="2" t="str">
        <f ca="1">IFERROR(__xludf.DUMMYFUNCTION("""COMPUTED_VALUE"""),"Building")</f>
        <v>Building</v>
      </c>
      <c r="D12324" s="2" t="str">
        <f ca="1">IFERROR(__xludf.DUMMYFUNCTION("""COMPUTED_VALUE"""),"Dubai&gt;Dubai Marina&gt;Le Royal Meridien Beach Resort &amp; Spa")</f>
        <v>Dubai&gt;Dubai Marina&gt;Le Royal Meridien Beach Resort &amp; Spa</v>
      </c>
      <c r="E12324" s="2"/>
      <c r="F12324" s="2"/>
      <c r="G12324" s="2"/>
      <c r="H12324" s="2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2"/>
      <c r="T12324" s="2"/>
      <c r="U12324" s="2"/>
      <c r="V12324" s="2"/>
      <c r="W12324" s="2"/>
      <c r="X12324" s="2"/>
      <c r="Y12324" s="2"/>
      <c r="Z12324" s="2"/>
    </row>
    <row r="12325" spans="1:26" ht="16.5" x14ac:dyDescent="0.35">
      <c r="A12325" s="2" t="str">
        <f ca="1">IFERROR(__xludf.DUMMYFUNCTION("""COMPUTED_VALUE"""),"Dubai")</f>
        <v>Dubai</v>
      </c>
      <c r="B12325" s="2" t="str">
        <f ca="1">IFERROR(__xludf.DUMMYFUNCTION("""COMPUTED_VALUE"""),"Marina Gate 2")</f>
        <v>Marina Gate 2</v>
      </c>
      <c r="C12325" s="2" t="str">
        <f ca="1">IFERROR(__xludf.DUMMYFUNCTION("""COMPUTED_VALUE"""),"Building")</f>
        <v>Building</v>
      </c>
      <c r="D12325" s="2" t="str">
        <f ca="1">IFERROR(__xludf.DUMMYFUNCTION("""COMPUTED_VALUE"""),"Dubai&gt;Dubai Marina&gt;Marina Gate&gt;Marina Gate 2")</f>
        <v>Dubai&gt;Dubai Marina&gt;Marina Gate&gt;Marina Gate 2</v>
      </c>
      <c r="E12325" s="2"/>
      <c r="F12325" s="2"/>
      <c r="G12325" s="2"/>
      <c r="H12325" s="2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2"/>
      <c r="T12325" s="2"/>
      <c r="U12325" s="2"/>
      <c r="V12325" s="2"/>
      <c r="W12325" s="2"/>
      <c r="X12325" s="2"/>
      <c r="Y12325" s="2"/>
      <c r="Z12325" s="2"/>
    </row>
    <row r="12326" spans="1:26" ht="16.5" x14ac:dyDescent="0.35">
      <c r="A12326" s="2" t="str">
        <f ca="1">IFERROR(__xludf.DUMMYFUNCTION("""COMPUTED_VALUE"""),"Dubai")</f>
        <v>Dubai</v>
      </c>
      <c r="B12326" s="2" t="str">
        <f ca="1">IFERROR(__xludf.DUMMYFUNCTION("""COMPUTED_VALUE"""),"Zumurud Tower")</f>
        <v>Zumurud Tower</v>
      </c>
      <c r="C12326" s="2" t="str">
        <f ca="1">IFERROR(__xludf.DUMMYFUNCTION("""COMPUTED_VALUE"""),"Building")</f>
        <v>Building</v>
      </c>
      <c r="D12326" s="2" t="str">
        <f ca="1">IFERROR(__xludf.DUMMYFUNCTION("""COMPUTED_VALUE"""),"Dubai&gt;Dubai Marina&gt;Zumurud Tower")</f>
        <v>Dubai&gt;Dubai Marina&gt;Zumurud Tower</v>
      </c>
      <c r="E12326" s="2"/>
      <c r="F12326" s="2"/>
      <c r="G12326" s="2"/>
      <c r="H12326" s="2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2"/>
      <c r="T12326" s="2"/>
      <c r="U12326" s="2"/>
      <c r="V12326" s="2"/>
      <c r="W12326" s="2"/>
      <c r="X12326" s="2"/>
      <c r="Y12326" s="2"/>
      <c r="Z12326" s="2"/>
    </row>
    <row r="12327" spans="1:26" ht="16.5" x14ac:dyDescent="0.35">
      <c r="A12327" s="2" t="str">
        <f ca="1">IFERROR(__xludf.DUMMYFUNCTION("""COMPUTED_VALUE"""),"Dubai")</f>
        <v>Dubai</v>
      </c>
      <c r="B12327" s="2" t="str">
        <f ca="1">IFERROR(__xludf.DUMMYFUNCTION("""COMPUTED_VALUE"""),"Safi Apartments 2A")</f>
        <v>Safi Apartments 2A</v>
      </c>
      <c r="C12327" s="2" t="str">
        <f ca="1">IFERROR(__xludf.DUMMYFUNCTION("""COMPUTED_VALUE"""),"Building")</f>
        <v>Building</v>
      </c>
      <c r="D12327" s="2" t="str">
        <f ca="1">IFERROR(__xludf.DUMMYFUNCTION("""COMPUTED_VALUE"""),"Dubai&gt;Town Square&gt;Safi Apartments&gt;Safi Apartments 2A")</f>
        <v>Dubai&gt;Town Square&gt;Safi Apartments&gt;Safi Apartments 2A</v>
      </c>
      <c r="E12327" s="2"/>
      <c r="F12327" s="2"/>
      <c r="G12327" s="2"/>
      <c r="H12327" s="2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2"/>
      <c r="T12327" s="2"/>
      <c r="U12327" s="2"/>
      <c r="V12327" s="2"/>
      <c r="W12327" s="2"/>
      <c r="X12327" s="2"/>
      <c r="Y12327" s="2"/>
      <c r="Z12327" s="2"/>
    </row>
    <row r="12328" spans="1:26" ht="16.5" x14ac:dyDescent="0.35">
      <c r="A12328" s="2" t="str">
        <f ca="1">IFERROR(__xludf.DUMMYFUNCTION("""COMPUTED_VALUE"""),"Dubai")</f>
        <v>Dubai</v>
      </c>
      <c r="B12328" s="2" t="str">
        <f ca="1">IFERROR(__xludf.DUMMYFUNCTION("""COMPUTED_VALUE"""),"Maha Townhouses")</f>
        <v>Maha Townhouses</v>
      </c>
      <c r="C12328" s="2" t="str">
        <f ca="1">IFERROR(__xludf.DUMMYFUNCTION("""COMPUTED_VALUE"""),"Neighbourhood")</f>
        <v>Neighbourhood</v>
      </c>
      <c r="D12328" s="2" t="str">
        <f ca="1">IFERROR(__xludf.DUMMYFUNCTION("""COMPUTED_VALUE"""),"Dubai&gt;Town Square&gt;Maha Townhouses")</f>
        <v>Dubai&gt;Town Square&gt;Maha Townhouses</v>
      </c>
      <c r="E12328" s="2"/>
      <c r="F12328" s="2"/>
      <c r="G12328" s="2"/>
      <c r="H12328" s="2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2"/>
      <c r="T12328" s="2"/>
      <c r="U12328" s="2"/>
      <c r="V12328" s="2"/>
      <c r="W12328" s="2"/>
      <c r="X12328" s="2"/>
      <c r="Y12328" s="2"/>
      <c r="Z12328" s="2"/>
    </row>
    <row r="12329" spans="1:26" ht="16.5" x14ac:dyDescent="0.35">
      <c r="A12329" s="2" t="str">
        <f ca="1">IFERROR(__xludf.DUMMYFUNCTION("""COMPUTED_VALUE"""),"Dubai")</f>
        <v>Dubai</v>
      </c>
      <c r="B12329" s="2" t="str">
        <f ca="1">IFERROR(__xludf.DUMMYFUNCTION("""COMPUTED_VALUE"""),"Odessa")</f>
        <v>Odessa</v>
      </c>
      <c r="C12329" s="2" t="str">
        <f ca="1">IFERROR(__xludf.DUMMYFUNCTION("""COMPUTED_VALUE"""),"Building")</f>
        <v>Building</v>
      </c>
      <c r="D12329" s="2" t="str">
        <f ca="1">IFERROR(__xludf.DUMMYFUNCTION("""COMPUTED_VALUE"""),"Dubai&gt;Town Square&gt;Odessa")</f>
        <v>Dubai&gt;Town Square&gt;Odessa</v>
      </c>
      <c r="E12329" s="2"/>
      <c r="F12329" s="2"/>
      <c r="G12329" s="2"/>
      <c r="H12329" s="2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2"/>
      <c r="T12329" s="2"/>
      <c r="U12329" s="2"/>
      <c r="V12329" s="2"/>
      <c r="W12329" s="2"/>
      <c r="X12329" s="2"/>
      <c r="Y12329" s="2"/>
      <c r="Z12329" s="2"/>
    </row>
    <row r="12330" spans="1:26" ht="16.5" x14ac:dyDescent="0.35">
      <c r="A12330" s="2" t="str">
        <f ca="1">IFERROR(__xludf.DUMMYFUNCTION("""COMPUTED_VALUE"""),"Dubai")</f>
        <v>Dubai</v>
      </c>
      <c r="B12330" s="2" t="str">
        <f ca="1">IFERROR(__xludf.DUMMYFUNCTION("""COMPUTED_VALUE"""),"Azizi Orchid")</f>
        <v>Azizi Orchid</v>
      </c>
      <c r="C12330" s="2" t="str">
        <f ca="1">IFERROR(__xludf.DUMMYFUNCTION("""COMPUTED_VALUE"""),"Building")</f>
        <v>Building</v>
      </c>
      <c r="D12330" s="2" t="str">
        <f ca="1">IFERROR(__xludf.DUMMYFUNCTION("""COMPUTED_VALUE"""),"Dubai&gt;Al Furjan&gt;Azizi Orchid")</f>
        <v>Dubai&gt;Al Furjan&gt;Azizi Orchid</v>
      </c>
      <c r="E12330" s="2"/>
      <c r="F12330" s="2"/>
      <c r="G12330" s="2"/>
      <c r="H12330" s="2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2"/>
      <c r="T12330" s="2"/>
      <c r="U12330" s="2"/>
      <c r="V12330" s="2"/>
      <c r="W12330" s="2"/>
      <c r="X12330" s="2"/>
      <c r="Y12330" s="2"/>
      <c r="Z12330" s="2"/>
    </row>
    <row r="12331" spans="1:26" ht="16.5" x14ac:dyDescent="0.35">
      <c r="A12331" s="2" t="str">
        <f ca="1">IFERROR(__xludf.DUMMYFUNCTION("""COMPUTED_VALUE"""),"Dubai")</f>
        <v>Dubai</v>
      </c>
      <c r="B12331" s="2" t="str">
        <f ca="1">IFERROR(__xludf.DUMMYFUNCTION("""COMPUTED_VALUE"""),"The Estate II Townhouses")</f>
        <v>The Estate II Townhouses</v>
      </c>
      <c r="C12331" s="2" t="str">
        <f ca="1">IFERROR(__xludf.DUMMYFUNCTION("""COMPUTED_VALUE"""),"Neighbourhood")</f>
        <v>Neighbourhood</v>
      </c>
      <c r="D12331" s="2" t="str">
        <f ca="1">IFERROR(__xludf.DUMMYFUNCTION("""COMPUTED_VALUE"""),"Dubai&gt;Al Furjan&gt;The Estate II Townhouses")</f>
        <v>Dubai&gt;Al Furjan&gt;The Estate II Townhouses</v>
      </c>
      <c r="E12331" s="2"/>
      <c r="F12331" s="2"/>
      <c r="G12331" s="2"/>
      <c r="H12331" s="2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2"/>
      <c r="T12331" s="2"/>
      <c r="U12331" s="2"/>
      <c r="V12331" s="2"/>
      <c r="W12331" s="2"/>
      <c r="X12331" s="2"/>
      <c r="Y12331" s="2"/>
      <c r="Z12331" s="2"/>
    </row>
    <row r="12332" spans="1:26" ht="16.5" x14ac:dyDescent="0.35">
      <c r="A12332" s="2" t="str">
        <f ca="1">IFERROR(__xludf.DUMMYFUNCTION("""COMPUTED_VALUE"""),"Dubai")</f>
        <v>Dubai</v>
      </c>
      <c r="B12332" s="2" t="str">
        <f ca="1">IFERROR(__xludf.DUMMYFUNCTION("""COMPUTED_VALUE"""),"Masakin Al Furjan Block G")</f>
        <v>Masakin Al Furjan Block G</v>
      </c>
      <c r="C12332" s="2" t="str">
        <f ca="1">IFERROR(__xludf.DUMMYFUNCTION("""COMPUTED_VALUE"""),"Building")</f>
        <v>Building</v>
      </c>
      <c r="D12332" s="2" t="str">
        <f ca="1">IFERROR(__xludf.DUMMYFUNCTION("""COMPUTED_VALUE"""),"Dubai&gt;Al Furjan&gt;Masakin Al Furjan&gt;Masakin Al Furjan Block G")</f>
        <v>Dubai&gt;Al Furjan&gt;Masakin Al Furjan&gt;Masakin Al Furjan Block G</v>
      </c>
      <c r="E12332" s="2"/>
      <c r="F12332" s="2"/>
      <c r="G12332" s="2"/>
      <c r="H12332" s="2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2"/>
      <c r="T12332" s="2"/>
      <c r="U12332" s="2"/>
      <c r="V12332" s="2"/>
      <c r="W12332" s="2"/>
      <c r="X12332" s="2"/>
      <c r="Y12332" s="2"/>
      <c r="Z12332" s="2"/>
    </row>
    <row r="12333" spans="1:26" ht="16.5" x14ac:dyDescent="0.35">
      <c r="A12333" s="2" t="str">
        <f ca="1">IFERROR(__xludf.DUMMYFUNCTION("""COMPUTED_VALUE"""),"Dubai")</f>
        <v>Dubai</v>
      </c>
      <c r="B12333" s="2" t="str">
        <f ca="1">IFERROR(__xludf.DUMMYFUNCTION("""COMPUTED_VALUE"""),"Rose Residences 2")</f>
        <v>Rose Residences 2</v>
      </c>
      <c r="C12333" s="2" t="str">
        <f ca="1">IFERROR(__xludf.DUMMYFUNCTION("""COMPUTED_VALUE"""),"Building")</f>
        <v>Building</v>
      </c>
      <c r="D12333" s="2" t="str">
        <f ca="1">IFERROR(__xludf.DUMMYFUNCTION("""COMPUTED_VALUE"""),"Dubai&gt;Al Furjan&gt;Rose Residences 2")</f>
        <v>Dubai&gt;Al Furjan&gt;Rose Residences 2</v>
      </c>
      <c r="E12333" s="2"/>
      <c r="F12333" s="2"/>
      <c r="G12333" s="2"/>
      <c r="H12333" s="2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2"/>
      <c r="T12333" s="2"/>
      <c r="U12333" s="2"/>
      <c r="V12333" s="2"/>
      <c r="W12333" s="2"/>
      <c r="X12333" s="2"/>
      <c r="Y12333" s="2"/>
      <c r="Z12333" s="2"/>
    </row>
    <row r="12334" spans="1:26" ht="16.5" x14ac:dyDescent="0.35">
      <c r="A12334" s="2" t="str">
        <f ca="1">IFERROR(__xludf.DUMMYFUNCTION("""COMPUTED_VALUE"""),"Dubai")</f>
        <v>Dubai</v>
      </c>
      <c r="B12334" s="2" t="str">
        <f ca="1">IFERROR(__xludf.DUMMYFUNCTION("""COMPUTED_VALUE"""),"Amaya Residences")</f>
        <v>Amaya Residences</v>
      </c>
      <c r="C12334" s="2" t="str">
        <f ca="1">IFERROR(__xludf.DUMMYFUNCTION("""COMPUTED_VALUE"""),"Building")</f>
        <v>Building</v>
      </c>
      <c r="D12334" s="2" t="str">
        <f ca="1">IFERROR(__xludf.DUMMYFUNCTION("""COMPUTED_VALUE"""),"Dubai&gt;Al Furjan&gt;Amaya Residences")</f>
        <v>Dubai&gt;Al Furjan&gt;Amaya Residences</v>
      </c>
      <c r="E12334" s="2"/>
      <c r="F12334" s="2"/>
      <c r="G12334" s="2"/>
      <c r="H12334" s="2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2"/>
      <c r="T12334" s="2"/>
      <c r="U12334" s="2"/>
      <c r="V12334" s="2"/>
      <c r="W12334" s="2"/>
      <c r="X12334" s="2"/>
      <c r="Y12334" s="2"/>
      <c r="Z12334" s="2"/>
    </row>
    <row r="12335" spans="1:26" ht="16.5" x14ac:dyDescent="0.35">
      <c r="A12335" s="2" t="str">
        <f ca="1">IFERROR(__xludf.DUMMYFUNCTION("""COMPUTED_VALUE"""),"Dubai")</f>
        <v>Dubai</v>
      </c>
      <c r="B12335" s="2" t="str">
        <f ca="1">IFERROR(__xludf.DUMMYFUNCTION("""COMPUTED_VALUE"""),"Meydan One")</f>
        <v>Meydan One</v>
      </c>
      <c r="C12335" s="2" t="str">
        <f ca="1">IFERROR(__xludf.DUMMYFUNCTION("""COMPUTED_VALUE"""),"Neighbourhood")</f>
        <v>Neighbourhood</v>
      </c>
      <c r="D12335" s="2" t="str">
        <f ca="1">IFERROR(__xludf.DUMMYFUNCTION("""COMPUTED_VALUE"""),"Dubai&gt;Meydan City&gt;Meydan One")</f>
        <v>Dubai&gt;Meydan City&gt;Meydan One</v>
      </c>
      <c r="E12335" s="2"/>
      <c r="F12335" s="2"/>
      <c r="G12335" s="2"/>
      <c r="H12335" s="2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2"/>
      <c r="T12335" s="2"/>
      <c r="U12335" s="2"/>
      <c r="V12335" s="2"/>
      <c r="W12335" s="2"/>
      <c r="X12335" s="2"/>
      <c r="Y12335" s="2"/>
      <c r="Z12335" s="2"/>
    </row>
    <row r="12336" spans="1:26" ht="16.5" x14ac:dyDescent="0.35">
      <c r="A12336" s="2" t="str">
        <f ca="1">IFERROR(__xludf.DUMMYFUNCTION("""COMPUTED_VALUE"""),"Dubai")</f>
        <v>Dubai</v>
      </c>
      <c r="B12336" s="2" t="str">
        <f ca="1">IFERROR(__xludf.DUMMYFUNCTION("""COMPUTED_VALUE"""),"Azizi Riviera 10")</f>
        <v>Azizi Riviera 10</v>
      </c>
      <c r="C12336" s="2" t="str">
        <f ca="1">IFERROR(__xludf.DUMMYFUNCTION("""COMPUTED_VALUE"""),"Building")</f>
        <v>Building</v>
      </c>
      <c r="D12336" s="2" t="str">
        <f ca="1">IFERROR(__xludf.DUMMYFUNCTION("""COMPUTED_VALUE"""),"Dubai&gt;Meydan City&gt;Meydan One&gt;Azizi Riviera&gt;Azizi Riviera 10")</f>
        <v>Dubai&gt;Meydan City&gt;Meydan One&gt;Azizi Riviera&gt;Azizi Riviera 10</v>
      </c>
      <c r="E12336" s="2"/>
      <c r="F12336" s="2"/>
      <c r="G12336" s="2"/>
      <c r="H12336" s="2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2"/>
      <c r="T12336" s="2"/>
      <c r="U12336" s="2"/>
      <c r="V12336" s="2"/>
      <c r="W12336" s="2"/>
      <c r="X12336" s="2"/>
      <c r="Y12336" s="2"/>
      <c r="Z12336" s="2"/>
    </row>
    <row r="12337" spans="1:26" ht="16.5" x14ac:dyDescent="0.35">
      <c r="A12337" s="2" t="str">
        <f ca="1">IFERROR(__xludf.DUMMYFUNCTION("""COMPUTED_VALUE"""),"Dubai")</f>
        <v>Dubai</v>
      </c>
      <c r="B12337" s="2" t="str">
        <f ca="1">IFERROR(__xludf.DUMMYFUNCTION("""COMPUTED_VALUE"""),"Azizi Riviera 61")</f>
        <v>Azizi Riviera 61</v>
      </c>
      <c r="C12337" s="2" t="str">
        <f ca="1">IFERROR(__xludf.DUMMYFUNCTION("""COMPUTED_VALUE"""),"Building")</f>
        <v>Building</v>
      </c>
      <c r="D12337" s="2" t="str">
        <f ca="1">IFERROR(__xludf.DUMMYFUNCTION("""COMPUTED_VALUE"""),"Dubai&gt;Meydan City&gt;Meydan One&gt;Azizi Riviera&gt;Azizi Riviera 61")</f>
        <v>Dubai&gt;Meydan City&gt;Meydan One&gt;Azizi Riviera&gt;Azizi Riviera 61</v>
      </c>
      <c r="E12337" s="2"/>
      <c r="F12337" s="2"/>
      <c r="G12337" s="2"/>
      <c r="H12337" s="2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2"/>
      <c r="T12337" s="2"/>
      <c r="U12337" s="2"/>
      <c r="V12337" s="2"/>
      <c r="W12337" s="2"/>
      <c r="X12337" s="2"/>
      <c r="Y12337" s="2"/>
      <c r="Z12337" s="2"/>
    </row>
    <row r="12338" spans="1:26" ht="16.5" x14ac:dyDescent="0.35">
      <c r="A12338" s="2" t="str">
        <f ca="1">IFERROR(__xludf.DUMMYFUNCTION("""COMPUTED_VALUE"""),"Dubai")</f>
        <v>Dubai</v>
      </c>
      <c r="B12338" s="2" t="str">
        <f ca="1">IFERROR(__xludf.DUMMYFUNCTION("""COMPUTED_VALUE"""),"Polo Residence A2")</f>
        <v>Polo Residence A2</v>
      </c>
      <c r="C12338" s="2" t="str">
        <f ca="1">IFERROR(__xludf.DUMMYFUNCTION("""COMPUTED_VALUE"""),"Building")</f>
        <v>Building</v>
      </c>
      <c r="D12338" s="2" t="str">
        <f ca="1">IFERROR(__xludf.DUMMYFUNCTION("""COMPUTED_VALUE"""),"Dubai&gt;Meydan City&gt;Meydan Avenue&gt;Polo Residence&gt;Polo Residence A2")</f>
        <v>Dubai&gt;Meydan City&gt;Meydan Avenue&gt;Polo Residence&gt;Polo Residence A2</v>
      </c>
      <c r="E12338" s="2"/>
      <c r="F12338" s="2"/>
      <c r="G12338" s="2"/>
      <c r="H12338" s="2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2"/>
      <c r="T12338" s="2"/>
      <c r="U12338" s="2"/>
      <c r="V12338" s="2"/>
      <c r="W12338" s="2"/>
      <c r="X12338" s="2"/>
      <c r="Y12338" s="2"/>
      <c r="Z12338" s="2"/>
    </row>
    <row r="12339" spans="1:26" ht="16.5" x14ac:dyDescent="0.35">
      <c r="A12339" s="2" t="str">
        <f ca="1">IFERROR(__xludf.DUMMYFUNCTION("""COMPUTED_VALUE"""),"Dubai")</f>
        <v>Dubai</v>
      </c>
      <c r="B12339" s="2" t="str">
        <f ca="1">IFERROR(__xludf.DUMMYFUNCTION("""COMPUTED_VALUE"""),"Dawson House")</f>
        <v>Dawson House</v>
      </c>
      <c r="C12339" s="2" t="str">
        <f ca="1">IFERROR(__xludf.DUMMYFUNCTION("""COMPUTED_VALUE"""),"Building")</f>
        <v>Building</v>
      </c>
      <c r="D12339" s="2" t="str">
        <f ca="1">IFERROR(__xludf.DUMMYFUNCTION("""COMPUTED_VALUE"""),"Dubai&gt;Meydan City&gt;Meydan Avenue&gt;Dawson House")</f>
        <v>Dubai&gt;Meydan City&gt;Meydan Avenue&gt;Dawson House</v>
      </c>
      <c r="E12339" s="2"/>
      <c r="F12339" s="2"/>
      <c r="G12339" s="2"/>
      <c r="H12339" s="2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2"/>
      <c r="T12339" s="2"/>
      <c r="U12339" s="2"/>
      <c r="V12339" s="2"/>
      <c r="W12339" s="2"/>
      <c r="X12339" s="2"/>
      <c r="Y12339" s="2"/>
      <c r="Z12339" s="2"/>
    </row>
    <row r="12340" spans="1:26" ht="16.5" x14ac:dyDescent="0.35">
      <c r="A12340" s="2" t="str">
        <f ca="1">IFERROR(__xludf.DUMMYFUNCTION("""COMPUTED_VALUE"""),"Dubai")</f>
        <v>Dubai</v>
      </c>
      <c r="B12340" s="2" t="str">
        <f ca="1">IFERROR(__xludf.DUMMYFUNCTION("""COMPUTED_VALUE"""),"The Greens")</f>
        <v>The Greens</v>
      </c>
      <c r="C12340" s="2" t="str">
        <f ca="1">IFERROR(__xludf.DUMMYFUNCTION("""COMPUTED_VALUE"""),"Neighbourhood")</f>
        <v>Neighbourhood</v>
      </c>
      <c r="D12340" s="2" t="str">
        <f ca="1">IFERROR(__xludf.DUMMYFUNCTION("""COMPUTED_VALUE"""),"Dubai&gt;The Greens")</f>
        <v>Dubai&gt;The Greens</v>
      </c>
      <c r="E12340" s="2"/>
      <c r="F12340" s="2"/>
      <c r="G12340" s="2"/>
      <c r="H12340" s="2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2"/>
      <c r="T12340" s="2"/>
      <c r="U12340" s="2"/>
      <c r="V12340" s="2"/>
      <c r="W12340" s="2"/>
      <c r="X12340" s="2"/>
      <c r="Y12340" s="2"/>
      <c r="Z12340" s="2"/>
    </row>
    <row r="12341" spans="1:26" ht="16.5" x14ac:dyDescent="0.35">
      <c r="A12341" s="2" t="str">
        <f ca="1">IFERROR(__xludf.DUMMYFUNCTION("""COMPUTED_VALUE"""),"Dubai")</f>
        <v>Dubai</v>
      </c>
      <c r="B12341" s="2" t="str">
        <f ca="1">IFERROR(__xludf.DUMMYFUNCTION("""COMPUTED_VALUE"""),"Al Jaz 3")</f>
        <v>Al Jaz 3</v>
      </c>
      <c r="C12341" s="2" t="str">
        <f ca="1">IFERROR(__xludf.DUMMYFUNCTION("""COMPUTED_VALUE"""),"Building")</f>
        <v>Building</v>
      </c>
      <c r="D12341" s="2" t="str">
        <f ca="1">IFERROR(__xludf.DUMMYFUNCTION("""COMPUTED_VALUE"""),"Dubai&gt;The Greens&gt;Al Jaz&gt;Al Jaz 3")</f>
        <v>Dubai&gt;The Greens&gt;Al Jaz&gt;Al Jaz 3</v>
      </c>
      <c r="E12341" s="2"/>
      <c r="F12341" s="2"/>
      <c r="G12341" s="2"/>
      <c r="H12341" s="2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2"/>
      <c r="T12341" s="2"/>
      <c r="U12341" s="2"/>
      <c r="V12341" s="2"/>
      <c r="W12341" s="2"/>
      <c r="X12341" s="2"/>
      <c r="Y12341" s="2"/>
      <c r="Z12341" s="2"/>
    </row>
    <row r="12342" spans="1:26" ht="16.5" x14ac:dyDescent="0.35">
      <c r="A12342" s="2" t="str">
        <f ca="1">IFERROR(__xludf.DUMMYFUNCTION("""COMPUTED_VALUE"""),"Dubai")</f>
        <v>Dubai</v>
      </c>
      <c r="B12342" s="2" t="str">
        <f ca="1">IFERROR(__xludf.DUMMYFUNCTION("""COMPUTED_VALUE"""),"Alwan Residence 1")</f>
        <v>Alwan Residence 1</v>
      </c>
      <c r="C12342" s="2" t="str">
        <f ca="1">IFERROR(__xludf.DUMMYFUNCTION("""COMPUTED_VALUE"""),"Building")</f>
        <v>Building</v>
      </c>
      <c r="D12342" s="2" t="str">
        <f ca="1">IFERROR(__xludf.DUMMYFUNCTION("""COMPUTED_VALUE"""),"Dubai&gt;Dubai Production City (IMPZ)&gt;Alwan Residence 1")</f>
        <v>Dubai&gt;Dubai Production City (IMPZ)&gt;Alwan Residence 1</v>
      </c>
      <c r="E12342" s="2"/>
      <c r="F12342" s="2"/>
      <c r="G12342" s="2"/>
      <c r="H12342" s="2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2"/>
      <c r="T12342" s="2"/>
      <c r="U12342" s="2"/>
      <c r="V12342" s="2"/>
      <c r="W12342" s="2"/>
      <c r="X12342" s="2"/>
      <c r="Y12342" s="2"/>
      <c r="Z12342" s="2"/>
    </row>
    <row r="12343" spans="1:26" ht="16.5" x14ac:dyDescent="0.35">
      <c r="A12343" s="2" t="str">
        <f ca="1">IFERROR(__xludf.DUMMYFUNCTION("""COMPUTED_VALUE"""),"Dubai")</f>
        <v>Dubai</v>
      </c>
      <c r="B12343" s="2" t="str">
        <f ca="1">IFERROR(__xludf.DUMMYFUNCTION("""COMPUTED_VALUE"""),"Dania 4")</f>
        <v>Dania 4</v>
      </c>
      <c r="C12343" s="2" t="str">
        <f ca="1">IFERROR(__xludf.DUMMYFUNCTION("""COMPUTED_VALUE"""),"Building")</f>
        <v>Building</v>
      </c>
      <c r="D12343" s="2" t="str">
        <f ca="1">IFERROR(__xludf.DUMMYFUNCTION("""COMPUTED_VALUE"""),"Dubai&gt;Dubai Production City (IMPZ)&gt;Midtown&gt;Dania District&gt;Dania 4")</f>
        <v>Dubai&gt;Dubai Production City (IMPZ)&gt;Midtown&gt;Dania District&gt;Dania 4</v>
      </c>
      <c r="E12343" s="2"/>
      <c r="F12343" s="2"/>
      <c r="G12343" s="2"/>
      <c r="H12343" s="2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2"/>
      <c r="T12343" s="2"/>
      <c r="U12343" s="2"/>
      <c r="V12343" s="2"/>
      <c r="W12343" s="2"/>
      <c r="X12343" s="2"/>
      <c r="Y12343" s="2"/>
      <c r="Z12343" s="2"/>
    </row>
    <row r="12344" spans="1:26" ht="16.5" x14ac:dyDescent="0.35">
      <c r="A12344" s="2" t="str">
        <f ca="1">IFERROR(__xludf.DUMMYFUNCTION("""COMPUTED_VALUE"""),"Dubai")</f>
        <v>Dubai</v>
      </c>
      <c r="B12344" s="2" t="str">
        <f ca="1">IFERROR(__xludf.DUMMYFUNCTION("""COMPUTED_VALUE"""),"Qasr Sabah 3")</f>
        <v>Qasr Sabah 3</v>
      </c>
      <c r="C12344" s="2" t="str">
        <f ca="1">IFERROR(__xludf.DUMMYFUNCTION("""COMPUTED_VALUE"""),"Building")</f>
        <v>Building</v>
      </c>
      <c r="D12344" s="2" t="str">
        <f ca="1">IFERROR(__xludf.DUMMYFUNCTION("""COMPUTED_VALUE"""),"Dubai&gt;Dubai Production City (IMPZ)&gt;Qasr Sabah&gt;Qasr Sabah 3")</f>
        <v>Dubai&gt;Dubai Production City (IMPZ)&gt;Qasr Sabah&gt;Qasr Sabah 3</v>
      </c>
      <c r="E12344" s="2"/>
      <c r="F12344" s="2"/>
      <c r="G12344" s="2"/>
      <c r="H12344" s="2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2"/>
      <c r="T12344" s="2"/>
      <c r="U12344" s="2"/>
      <c r="V12344" s="2"/>
      <c r="W12344" s="2"/>
      <c r="X12344" s="2"/>
      <c r="Y12344" s="2"/>
      <c r="Z12344" s="2"/>
    </row>
    <row r="12345" spans="1:26" ht="16.5" x14ac:dyDescent="0.35">
      <c r="A12345" s="2" t="str">
        <f ca="1">IFERROR(__xludf.DUMMYFUNCTION("""COMPUTED_VALUE"""),"Dubai")</f>
        <v>Dubai</v>
      </c>
      <c r="B12345" s="2" t="str">
        <f ca="1">IFERROR(__xludf.DUMMYFUNCTION("""COMPUTED_VALUE"""),"Imperial Residence")</f>
        <v>Imperial Residence</v>
      </c>
      <c r="C12345" s="2" t="str">
        <f ca="1">IFERROR(__xludf.DUMMYFUNCTION("""COMPUTED_VALUE"""),"Building")</f>
        <v>Building</v>
      </c>
      <c r="D12345" s="2" t="str">
        <f ca="1">IFERROR(__xludf.DUMMYFUNCTION("""COMPUTED_VALUE"""),"Dubai&gt;Dubai Production City (IMPZ)&gt;Imperial Residence")</f>
        <v>Dubai&gt;Dubai Production City (IMPZ)&gt;Imperial Residence</v>
      </c>
      <c r="E12345" s="2"/>
      <c r="F12345" s="2"/>
      <c r="G12345" s="2"/>
      <c r="H12345" s="2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2"/>
      <c r="T12345" s="2"/>
      <c r="U12345" s="2"/>
      <c r="V12345" s="2"/>
      <c r="W12345" s="2"/>
      <c r="X12345" s="2"/>
      <c r="Y12345" s="2"/>
      <c r="Z12345" s="2"/>
    </row>
    <row r="12346" spans="1:26" ht="16.5" x14ac:dyDescent="0.35">
      <c r="A12346" s="2" t="str">
        <f ca="1">IFERROR(__xludf.DUMMYFUNCTION("""COMPUTED_VALUE"""),"Dubai")</f>
        <v>Dubai</v>
      </c>
      <c r="B12346" s="2" t="str">
        <f ca="1">IFERROR(__xludf.DUMMYFUNCTION("""COMPUTED_VALUE"""),"Dezire South Residences")</f>
        <v>Dezire South Residences</v>
      </c>
      <c r="C12346" s="2" t="str">
        <f ca="1">IFERROR(__xludf.DUMMYFUNCTION("""COMPUTED_VALUE"""),"Building")</f>
        <v>Building</v>
      </c>
      <c r="D12346" s="2" t="str">
        <f ca="1">IFERROR(__xludf.DUMMYFUNCTION("""COMPUTED_VALUE"""),"Dubai&gt;Dubai Industrial City&gt;Dezire South Residences")</f>
        <v>Dubai&gt;Dubai Industrial City&gt;Dezire South Residences</v>
      </c>
      <c r="E12346" s="2"/>
      <c r="F12346" s="2"/>
      <c r="G12346" s="2"/>
      <c r="H12346" s="2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2"/>
      <c r="T12346" s="2"/>
      <c r="U12346" s="2"/>
      <c r="V12346" s="2"/>
      <c r="W12346" s="2"/>
      <c r="X12346" s="2"/>
      <c r="Y12346" s="2"/>
      <c r="Z12346" s="2"/>
    </row>
    <row r="12347" spans="1:26" ht="16.5" x14ac:dyDescent="0.35">
      <c r="A12347" s="2" t="str">
        <f ca="1">IFERROR(__xludf.DUMMYFUNCTION("""COMPUTED_VALUE"""),"Dubai")</f>
        <v>Dubai</v>
      </c>
      <c r="B12347" s="2" t="str">
        <f ca="1">IFERROR(__xludf.DUMMYFUNCTION("""COMPUTED_VALUE"""),"Samana Hills South 2")</f>
        <v>Samana Hills South 2</v>
      </c>
      <c r="C12347" s="2" t="str">
        <f ca="1">IFERROR(__xludf.DUMMYFUNCTION("""COMPUTED_VALUE"""),"Cluster")</f>
        <v>Cluster</v>
      </c>
      <c r="D12347" s="2" t="str">
        <f ca="1">IFERROR(__xludf.DUMMYFUNCTION("""COMPUTED_VALUE"""),"Dubai&gt;Dubai Industrial City&gt;Samana Hills South 2")</f>
        <v>Dubai&gt;Dubai Industrial City&gt;Samana Hills South 2</v>
      </c>
      <c r="E12347" s="2"/>
      <c r="F12347" s="2"/>
      <c r="G12347" s="2"/>
      <c r="H12347" s="2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2"/>
      <c r="T12347" s="2"/>
      <c r="U12347" s="2"/>
      <c r="V12347" s="2"/>
      <c r="W12347" s="2"/>
      <c r="X12347" s="2"/>
      <c r="Y12347" s="2"/>
      <c r="Z12347" s="2"/>
    </row>
    <row r="12348" spans="1:26" ht="16.5" x14ac:dyDescent="0.35">
      <c r="A12348" s="2" t="str">
        <f ca="1">IFERROR(__xludf.DUMMYFUNCTION("""COMPUTED_VALUE"""),"Dubai")</f>
        <v>Dubai</v>
      </c>
      <c r="B12348" s="2" t="str">
        <f ca="1">IFERROR(__xludf.DUMMYFUNCTION("""COMPUTED_VALUE"""),"Elysian Mansions")</f>
        <v>Elysian Mansions</v>
      </c>
      <c r="C12348" s="2" t="str">
        <f ca="1">IFERROR(__xludf.DUMMYFUNCTION("""COMPUTED_VALUE"""),"Neighbourhood")</f>
        <v>Neighbourhood</v>
      </c>
      <c r="D12348" s="2" t="str">
        <f ca="1">IFERROR(__xludf.DUMMYFUNCTION("""COMPUTED_VALUE"""),"Dubai&gt;Tilal Al Ghaf&gt;Elysian Mansions")</f>
        <v>Dubai&gt;Tilal Al Ghaf&gt;Elysian Mansions</v>
      </c>
      <c r="E12348" s="2"/>
      <c r="F12348" s="2"/>
      <c r="G12348" s="2"/>
      <c r="H12348" s="2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2"/>
      <c r="T12348" s="2"/>
      <c r="U12348" s="2"/>
      <c r="V12348" s="2"/>
      <c r="W12348" s="2"/>
      <c r="X12348" s="2"/>
      <c r="Y12348" s="2"/>
      <c r="Z12348" s="2"/>
    </row>
    <row r="12349" spans="1:26" ht="16.5" x14ac:dyDescent="0.35">
      <c r="A12349" s="2" t="str">
        <f ca="1">IFERROR(__xludf.DUMMYFUNCTION("""COMPUTED_VALUE"""),"Dubai")</f>
        <v>Dubai</v>
      </c>
      <c r="B12349" s="2" t="str">
        <f ca="1">IFERROR(__xludf.DUMMYFUNCTION("""COMPUTED_VALUE"""),"Natuzzi Harmony Residences by Peace Homes")</f>
        <v>Natuzzi Harmony Residences by Peace Homes</v>
      </c>
      <c r="C12349" s="2" t="str">
        <f ca="1">IFERROR(__xludf.DUMMYFUNCTION("""COMPUTED_VALUE"""),"Building")</f>
        <v>Building</v>
      </c>
      <c r="D12349" s="2" t="str">
        <f ca="1">IFERROR(__xludf.DUMMYFUNCTION("""COMPUTED_VALUE"""),"Dubai&gt;Dubai Islands&gt;Natuzzi Harmony Residences by Peace Homes")</f>
        <v>Dubai&gt;Dubai Islands&gt;Natuzzi Harmony Residences by Peace Homes</v>
      </c>
      <c r="E12349" s="2"/>
      <c r="F12349" s="2"/>
      <c r="G12349" s="2"/>
      <c r="H12349" s="2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2"/>
      <c r="T12349" s="2"/>
      <c r="U12349" s="2"/>
      <c r="V12349" s="2"/>
      <c r="W12349" s="2"/>
      <c r="X12349" s="2"/>
      <c r="Y12349" s="2"/>
      <c r="Z12349" s="2"/>
    </row>
    <row r="12350" spans="1:26" ht="16.5" x14ac:dyDescent="0.35">
      <c r="A12350" s="2" t="str">
        <f ca="1">IFERROR(__xludf.DUMMYFUNCTION("""COMPUTED_VALUE"""),"Dubai")</f>
        <v>Dubai</v>
      </c>
      <c r="B12350" s="2" t="str">
        <f ca="1">IFERROR(__xludf.DUMMYFUNCTION("""COMPUTED_VALUE"""),"Allegro Residences")</f>
        <v>Allegro Residences</v>
      </c>
      <c r="C12350" s="2" t="str">
        <f ca="1">IFERROR(__xludf.DUMMYFUNCTION("""COMPUTED_VALUE"""),"Building")</f>
        <v>Building</v>
      </c>
      <c r="D12350" s="2" t="str">
        <f ca="1">IFERROR(__xludf.DUMMYFUNCTION("""COMPUTED_VALUE"""),"Dubai&gt;Dubai Islands&gt;Allegro Residences")</f>
        <v>Dubai&gt;Dubai Islands&gt;Allegro Residences</v>
      </c>
      <c r="E12350" s="2"/>
      <c r="F12350" s="2"/>
      <c r="G12350" s="2"/>
      <c r="H12350" s="2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2"/>
      <c r="T12350" s="2"/>
      <c r="U12350" s="2"/>
      <c r="V12350" s="2"/>
      <c r="W12350" s="2"/>
      <c r="X12350" s="2"/>
      <c r="Y12350" s="2"/>
      <c r="Z12350" s="2"/>
    </row>
    <row r="12351" spans="1:26" ht="16.5" x14ac:dyDescent="0.35">
      <c r="A12351" s="2" t="str">
        <f ca="1">IFERROR(__xludf.DUMMYFUNCTION("""COMPUTED_VALUE"""),"Dubai")</f>
        <v>Dubai</v>
      </c>
      <c r="B12351" s="2" t="str">
        <f ca="1">IFERROR(__xludf.DUMMYFUNCTION("""COMPUTED_VALUE"""),"Omoria Hotel Residences")</f>
        <v>Omoria Hotel Residences</v>
      </c>
      <c r="C12351" s="2" t="str">
        <f ca="1">IFERROR(__xludf.DUMMYFUNCTION("""COMPUTED_VALUE"""),"Building")</f>
        <v>Building</v>
      </c>
      <c r="D12351" s="2" t="str">
        <f ca="1">IFERROR(__xludf.DUMMYFUNCTION("""COMPUTED_VALUE"""),"Dubai&gt;Dubai Islands&gt;Omoria Hotel Residences")</f>
        <v>Dubai&gt;Dubai Islands&gt;Omoria Hotel Residences</v>
      </c>
      <c r="E12351" s="2"/>
      <c r="F12351" s="2"/>
      <c r="G12351" s="2"/>
      <c r="H12351" s="2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2"/>
      <c r="T12351" s="2"/>
      <c r="U12351" s="2"/>
      <c r="V12351" s="2"/>
      <c r="W12351" s="2"/>
      <c r="X12351" s="2"/>
      <c r="Y12351" s="2"/>
      <c r="Z12351" s="2"/>
    </row>
    <row r="12352" spans="1:26" ht="16.5" x14ac:dyDescent="0.35">
      <c r="A12352" s="2" t="str">
        <f ca="1">IFERROR(__xludf.DUMMYFUNCTION("""COMPUTED_VALUE"""),"Dubai")</f>
        <v>Dubai</v>
      </c>
      <c r="B12352" s="2" t="str">
        <f ca="1">IFERROR(__xludf.DUMMYFUNCTION("""COMPUTED_VALUE"""),"Aquora by Casa Vista")</f>
        <v>Aquora by Casa Vista</v>
      </c>
      <c r="C12352" s="2" t="str">
        <f ca="1">IFERROR(__xludf.DUMMYFUNCTION("""COMPUTED_VALUE"""),"Building")</f>
        <v>Building</v>
      </c>
      <c r="D12352" s="2" t="str">
        <f ca="1">IFERROR(__xludf.DUMMYFUNCTION("""COMPUTED_VALUE"""),"Dubai&gt;Dubai Islands&gt;Aquora by Casa Vista")</f>
        <v>Dubai&gt;Dubai Islands&gt;Aquora by Casa Vista</v>
      </c>
      <c r="E12352" s="2"/>
      <c r="F12352" s="2"/>
      <c r="G12352" s="2"/>
      <c r="H12352" s="2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2"/>
      <c r="T12352" s="2"/>
      <c r="U12352" s="2"/>
      <c r="V12352" s="2"/>
      <c r="W12352" s="2"/>
      <c r="X12352" s="2"/>
      <c r="Y12352" s="2"/>
      <c r="Z12352" s="2"/>
    </row>
    <row r="12353" spans="1:26" ht="16.5" x14ac:dyDescent="0.35">
      <c r="A12353" s="2" t="str">
        <f ca="1">IFERROR(__xludf.DUMMYFUNCTION("""COMPUTED_VALUE"""),"Dubai")</f>
        <v>Dubai</v>
      </c>
      <c r="B12353" s="2" t="str">
        <f ca="1">IFERROR(__xludf.DUMMYFUNCTION("""COMPUTED_VALUE"""),"Island Living by Condor")</f>
        <v>Island Living by Condor</v>
      </c>
      <c r="C12353" s="2" t="str">
        <f ca="1">IFERROR(__xludf.DUMMYFUNCTION("""COMPUTED_VALUE"""),"Building")</f>
        <v>Building</v>
      </c>
      <c r="D12353" s="2" t="str">
        <f ca="1">IFERROR(__xludf.DUMMYFUNCTION("""COMPUTED_VALUE"""),"Dubai&gt;Dubai Islands&gt;Island Living by Condor")</f>
        <v>Dubai&gt;Dubai Islands&gt;Island Living by Condor</v>
      </c>
      <c r="E12353" s="2"/>
      <c r="F12353" s="2"/>
      <c r="G12353" s="2"/>
      <c r="H12353" s="2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2"/>
      <c r="T12353" s="2"/>
      <c r="U12353" s="2"/>
      <c r="V12353" s="2"/>
      <c r="W12353" s="2"/>
      <c r="X12353" s="2"/>
      <c r="Y12353" s="2"/>
      <c r="Z12353" s="2"/>
    </row>
    <row r="12354" spans="1:26" ht="16.5" x14ac:dyDescent="0.35">
      <c r="A12354" s="2" t="str">
        <f ca="1">IFERROR(__xludf.DUMMYFUNCTION("""COMPUTED_VALUE"""),"Dubai")</f>
        <v>Dubai</v>
      </c>
      <c r="B12354" s="2" t="str">
        <f ca="1">IFERROR(__xludf.DUMMYFUNCTION("""COMPUTED_VALUE"""),"La Rosa 1")</f>
        <v>La Rosa 1</v>
      </c>
      <c r="C12354" s="2" t="str">
        <f ca="1">IFERROR(__xludf.DUMMYFUNCTION("""COMPUTED_VALUE"""),"Neighbourhood")</f>
        <v>Neighbourhood</v>
      </c>
      <c r="D12354" s="2" t="str">
        <f ca="1">IFERROR(__xludf.DUMMYFUNCTION("""COMPUTED_VALUE"""),"Dubai&gt;Dubailand&gt;Villanova&gt;La Rosa&gt;La Rosa 1")</f>
        <v>Dubai&gt;Dubailand&gt;Villanova&gt;La Rosa&gt;La Rosa 1</v>
      </c>
      <c r="E12354" s="2"/>
      <c r="F12354" s="2"/>
      <c r="G12354" s="2"/>
      <c r="H12354" s="2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2"/>
      <c r="T12354" s="2"/>
      <c r="U12354" s="2"/>
      <c r="V12354" s="2"/>
      <c r="W12354" s="2"/>
      <c r="X12354" s="2"/>
      <c r="Y12354" s="2"/>
      <c r="Z12354" s="2"/>
    </row>
    <row r="12355" spans="1:26" ht="16.5" x14ac:dyDescent="0.35">
      <c r="A12355" s="2" t="str">
        <f ca="1">IFERROR(__xludf.DUMMYFUNCTION("""COMPUTED_VALUE"""),"Dubai")</f>
        <v>Dubai</v>
      </c>
      <c r="B12355" s="2" t="str">
        <f ca="1">IFERROR(__xludf.DUMMYFUNCTION("""COMPUTED_VALUE"""),"The Wilds")</f>
        <v>The Wilds</v>
      </c>
      <c r="C12355" s="2" t="str">
        <f ca="1">IFERROR(__xludf.DUMMYFUNCTION("""COMPUTED_VALUE"""),"Neighbourhood")</f>
        <v>Neighbourhood</v>
      </c>
      <c r="D12355" s="2" t="str">
        <f ca="1">IFERROR(__xludf.DUMMYFUNCTION("""COMPUTED_VALUE"""),"Dubai&gt;Dubailand&gt;The Wilds")</f>
        <v>Dubai&gt;Dubailand&gt;The Wilds</v>
      </c>
      <c r="E12355" s="2"/>
      <c r="F12355" s="2"/>
      <c r="G12355" s="2"/>
      <c r="H12355" s="2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2"/>
      <c r="T12355" s="2"/>
      <c r="U12355" s="2"/>
      <c r="V12355" s="2"/>
      <c r="W12355" s="2"/>
      <c r="X12355" s="2"/>
      <c r="Y12355" s="2"/>
      <c r="Z12355" s="2"/>
    </row>
    <row r="12356" spans="1:26" ht="16.5" x14ac:dyDescent="0.35">
      <c r="A12356" s="2" t="str">
        <f ca="1">IFERROR(__xludf.DUMMYFUNCTION("""COMPUTED_VALUE"""),"Dubai")</f>
        <v>Dubai</v>
      </c>
      <c r="B12356" s="2" t="str">
        <f ca="1">IFERROR(__xludf.DUMMYFUNCTION("""COMPUTED_VALUE"""),"C Villas")</f>
        <v>C Villas</v>
      </c>
      <c r="C12356" s="2" t="str">
        <f ca="1">IFERROR(__xludf.DUMMYFUNCTION("""COMPUTED_VALUE"""),"Neighbourhood")</f>
        <v>Neighbourhood</v>
      </c>
      <c r="D12356" s="2" t="str">
        <f ca="1">IFERROR(__xludf.DUMMYFUNCTION("""COMPUTED_VALUE"""),"Dubai&gt;Living Legends&gt;C Villas")</f>
        <v>Dubai&gt;Living Legends&gt;C Villas</v>
      </c>
      <c r="E12356" s="2"/>
      <c r="F12356" s="2"/>
      <c r="G12356" s="2"/>
      <c r="H12356" s="2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2"/>
      <c r="T12356" s="2"/>
      <c r="U12356" s="2"/>
      <c r="V12356" s="2"/>
      <c r="W12356" s="2"/>
      <c r="X12356" s="2"/>
      <c r="Y12356" s="2"/>
      <c r="Z12356" s="2"/>
    </row>
    <row r="12357" spans="1:26" ht="16.5" x14ac:dyDescent="0.35">
      <c r="A12357" s="2" t="str">
        <f ca="1">IFERROR(__xludf.DUMMYFUNCTION("""COMPUTED_VALUE"""),"Dubai")</f>
        <v>Dubai</v>
      </c>
      <c r="B12357" s="2" t="str">
        <f ca="1">IFERROR(__xludf.DUMMYFUNCTION("""COMPUTED_VALUE"""),"Al Murooj Rotana B")</f>
        <v>Al Murooj Rotana B</v>
      </c>
      <c r="C12357" s="2" t="str">
        <f ca="1">IFERROR(__xludf.DUMMYFUNCTION("""COMPUTED_VALUE"""),"Building")</f>
        <v>Building</v>
      </c>
      <c r="D12357" s="2" t="str">
        <f ca="1">IFERROR(__xludf.DUMMYFUNCTION("""COMPUTED_VALUE"""),"Dubai&gt;Za'abeel&gt;Za'abeel 2&gt;Al Murooj Complex&gt;Al Murooj Rotana B")</f>
        <v>Dubai&gt;Za'abeel&gt;Za'abeel 2&gt;Al Murooj Complex&gt;Al Murooj Rotana B</v>
      </c>
      <c r="E12357" s="2"/>
      <c r="F12357" s="2"/>
      <c r="G12357" s="2"/>
      <c r="H12357" s="2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2"/>
      <c r="T12357" s="2"/>
      <c r="U12357" s="2"/>
      <c r="V12357" s="2"/>
      <c r="W12357" s="2"/>
      <c r="X12357" s="2"/>
      <c r="Y12357" s="2"/>
      <c r="Z12357" s="2"/>
    </row>
    <row r="12358" spans="1:26" ht="16.5" x14ac:dyDescent="0.35">
      <c r="A12358" s="2" t="str">
        <f ca="1">IFERROR(__xludf.DUMMYFUNCTION("""COMPUTED_VALUE"""),"Dubai")</f>
        <v>Dubai</v>
      </c>
      <c r="B12358" s="2" t="str">
        <f ca="1">IFERROR(__xludf.DUMMYFUNCTION("""COMPUTED_VALUE"""),"Samari Residences 12")</f>
        <v>Samari Residences 12</v>
      </c>
      <c r="C12358" s="2" t="str">
        <f ca="1">IFERROR(__xludf.DUMMYFUNCTION("""COMPUTED_VALUE"""),"Building")</f>
        <v>Building</v>
      </c>
      <c r="D12358" s="2" t="str">
        <f ca="1">IFERROR(__xludf.DUMMYFUNCTION("""COMPUTED_VALUE"""),"Dubai&gt;Ras Al Khor&gt;Ras Al Khor Industrial&gt;Ras Al Khor Industrial 3&gt;Samari Residences&gt;Samari Residences 12")</f>
        <v>Dubai&gt;Ras Al Khor&gt;Ras Al Khor Industrial&gt;Ras Al Khor Industrial 3&gt;Samari Residences&gt;Samari Residences 12</v>
      </c>
      <c r="E12358" s="2"/>
      <c r="F12358" s="2"/>
      <c r="G12358" s="2"/>
      <c r="H12358" s="2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2"/>
      <c r="T12358" s="2"/>
      <c r="U12358" s="2"/>
      <c r="V12358" s="2"/>
      <c r="W12358" s="2"/>
      <c r="X12358" s="2"/>
      <c r="Y12358" s="2"/>
      <c r="Z12358" s="2"/>
    </row>
    <row r="12359" spans="1:26" ht="16.5" x14ac:dyDescent="0.35">
      <c r="A12359" s="2" t="str">
        <f ca="1">IFERROR(__xludf.DUMMYFUNCTION("""COMPUTED_VALUE"""),"Dubai")</f>
        <v>Dubai</v>
      </c>
      <c r="B12359" s="2" t="str">
        <f ca="1">IFERROR(__xludf.DUMMYFUNCTION("""COMPUTED_VALUE"""),"The Galleries")</f>
        <v>The Galleries</v>
      </c>
      <c r="C12359" s="2" t="str">
        <f ca="1">IFERROR(__xludf.DUMMYFUNCTION("""COMPUTED_VALUE"""),"Cluster")</f>
        <v>Cluster</v>
      </c>
      <c r="D12359" s="2" t="str">
        <f ca="1">IFERROR(__xludf.DUMMYFUNCTION("""COMPUTED_VALUE"""),"Dubai&gt;Jebel Ali&gt;Downtown Jebel Ali&gt;The Galleries")</f>
        <v>Dubai&gt;Jebel Ali&gt;Downtown Jebel Ali&gt;The Galleries</v>
      </c>
      <c r="E12359" s="2"/>
      <c r="F12359" s="2"/>
      <c r="G12359" s="2"/>
      <c r="H12359" s="2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2"/>
      <c r="T12359" s="2"/>
      <c r="U12359" s="2"/>
      <c r="V12359" s="2"/>
      <c r="W12359" s="2"/>
      <c r="X12359" s="2"/>
      <c r="Y12359" s="2"/>
      <c r="Z12359" s="2"/>
    </row>
    <row r="12360" spans="1:26" ht="16.5" x14ac:dyDescent="0.35">
      <c r="A12360" s="2" t="str">
        <f ca="1">IFERROR(__xludf.DUMMYFUNCTION("""COMPUTED_VALUE"""),"Dubai")</f>
        <v>Dubai</v>
      </c>
      <c r="B12360" s="2" t="str">
        <f ca="1">IFERROR(__xludf.DUMMYFUNCTION("""COMPUTED_VALUE"""),"Jewellery and Gemplex 1")</f>
        <v>Jewellery and Gemplex 1</v>
      </c>
      <c r="C12360" s="2" t="str">
        <f ca="1">IFERROR(__xludf.DUMMYFUNCTION("""COMPUTED_VALUE"""),"Building")</f>
        <v>Building</v>
      </c>
      <c r="D12360" s="2" t="str">
        <f ca="1">IFERROR(__xludf.DUMMYFUNCTION("""COMPUTED_VALUE"""),"Dubai&gt;Jebel Ali&gt;Jewellery and Gemplex&gt;Jewellery and Gemplex 1")</f>
        <v>Dubai&gt;Jebel Ali&gt;Jewellery and Gemplex&gt;Jewellery and Gemplex 1</v>
      </c>
      <c r="E12360" s="2"/>
      <c r="F12360" s="2"/>
      <c r="G12360" s="2"/>
      <c r="H12360" s="2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2"/>
      <c r="T12360" s="2"/>
      <c r="U12360" s="2"/>
      <c r="V12360" s="2"/>
      <c r="W12360" s="2"/>
      <c r="X12360" s="2"/>
      <c r="Y12360" s="2"/>
      <c r="Z12360" s="2"/>
    </row>
    <row r="12361" spans="1:26" ht="16.5" x14ac:dyDescent="0.35">
      <c r="A12361" s="2" t="str">
        <f ca="1">IFERROR(__xludf.DUMMYFUNCTION("""COMPUTED_VALUE"""),"Dubai")</f>
        <v>Dubai</v>
      </c>
      <c r="B12361" s="2" t="str">
        <f ca="1">IFERROR(__xludf.DUMMYFUNCTION("""COMPUTED_VALUE"""),"Wasl Nad Tower")</f>
        <v>Wasl Nad Tower</v>
      </c>
      <c r="C12361" s="2" t="str">
        <f ca="1">IFERROR(__xludf.DUMMYFUNCTION("""COMPUTED_VALUE"""),"Building")</f>
        <v>Building</v>
      </c>
      <c r="D12361" s="2" t="str">
        <f ca="1">IFERROR(__xludf.DUMMYFUNCTION("""COMPUTED_VALUE"""),"Dubai&gt;Nad Al Hamar&gt;Wasl Nad Tower")</f>
        <v>Dubai&gt;Nad Al Hamar&gt;Wasl Nad Tower</v>
      </c>
      <c r="E12361" s="2"/>
      <c r="F12361" s="2"/>
      <c r="G12361" s="2"/>
      <c r="H12361" s="2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2"/>
      <c r="T12361" s="2"/>
      <c r="U12361" s="2"/>
      <c r="V12361" s="2"/>
      <c r="W12361" s="2"/>
      <c r="X12361" s="2"/>
      <c r="Y12361" s="2"/>
      <c r="Z12361" s="2"/>
    </row>
    <row r="12362" spans="1:26" ht="16.5" x14ac:dyDescent="0.35">
      <c r="A12362" s="2" t="str">
        <f ca="1">IFERROR(__xludf.DUMMYFUNCTION("""COMPUTED_VALUE"""),"Dubai")</f>
        <v>Dubai</v>
      </c>
      <c r="B12362" s="2" t="str">
        <f ca="1">IFERROR(__xludf.DUMMYFUNCTION("""COMPUTED_VALUE"""),"Nad Al Hamar One Building")</f>
        <v>Nad Al Hamar One Building</v>
      </c>
      <c r="C12362" s="2" t="str">
        <f ca="1">IFERROR(__xludf.DUMMYFUNCTION("""COMPUTED_VALUE"""),"Building")</f>
        <v>Building</v>
      </c>
      <c r="D12362" s="2" t="str">
        <f ca="1">IFERROR(__xludf.DUMMYFUNCTION("""COMPUTED_VALUE"""),"Dubai&gt;Nad Al Hamar&gt;Nad Al Hamar One Building")</f>
        <v>Dubai&gt;Nad Al Hamar&gt;Nad Al Hamar One Building</v>
      </c>
      <c r="E12362" s="2"/>
      <c r="F12362" s="2"/>
      <c r="G12362" s="2"/>
      <c r="H12362" s="2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2"/>
      <c r="T12362" s="2"/>
      <c r="U12362" s="2"/>
      <c r="V12362" s="2"/>
      <c r="W12362" s="2"/>
      <c r="X12362" s="2"/>
      <c r="Y12362" s="2"/>
      <c r="Z12362" s="2"/>
    </row>
    <row r="12363" spans="1:26" ht="16.5" x14ac:dyDescent="0.35">
      <c r="A12363" s="2" t="str">
        <f ca="1">IFERROR(__xludf.DUMMYFUNCTION("""COMPUTED_VALUE"""),"Dubai")</f>
        <v>Dubai</v>
      </c>
      <c r="B12363" s="2" t="str">
        <f ca="1">IFERROR(__xludf.DUMMYFUNCTION("""COMPUTED_VALUE"""),"1095 Residence")</f>
        <v>1095 Residence</v>
      </c>
      <c r="C12363" s="2" t="str">
        <f ca="1">IFERROR(__xludf.DUMMYFUNCTION("""COMPUTED_VALUE"""),"Building")</f>
        <v>Building</v>
      </c>
      <c r="D12363" s="2" t="str">
        <f ca="1">IFERROR(__xludf.DUMMYFUNCTION("""COMPUTED_VALUE"""),"Dubai&gt;Al Barsha&gt;Al Barsha 1&gt;1095 Residence")</f>
        <v>Dubai&gt;Al Barsha&gt;Al Barsha 1&gt;1095 Residence</v>
      </c>
      <c r="E12363" s="2"/>
      <c r="F12363" s="2"/>
      <c r="G12363" s="2"/>
      <c r="H12363" s="2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2"/>
      <c r="T12363" s="2"/>
      <c r="U12363" s="2"/>
      <c r="V12363" s="2"/>
      <c r="W12363" s="2"/>
      <c r="X12363" s="2"/>
      <c r="Y12363" s="2"/>
      <c r="Z12363" s="2"/>
    </row>
    <row r="12364" spans="1:26" ht="16.5" x14ac:dyDescent="0.35">
      <c r="A12364" s="2" t="str">
        <f ca="1">IFERROR(__xludf.DUMMYFUNCTION("""COMPUTED_VALUE"""),"Dubai")</f>
        <v>Dubai</v>
      </c>
      <c r="B12364" s="2" t="str">
        <f ca="1">IFERROR(__xludf.DUMMYFUNCTION("""COMPUTED_VALUE"""),"Sunrise Building")</f>
        <v>Sunrise Building</v>
      </c>
      <c r="C12364" s="2" t="str">
        <f ca="1">IFERROR(__xludf.DUMMYFUNCTION("""COMPUTED_VALUE"""),"Building")</f>
        <v>Building</v>
      </c>
      <c r="D12364" s="2" t="str">
        <f ca="1">IFERROR(__xludf.DUMMYFUNCTION("""COMPUTED_VALUE"""),"Dubai&gt;Al Barsha&gt;Al Barsha 1&gt;Sunrise Building")</f>
        <v>Dubai&gt;Al Barsha&gt;Al Barsha 1&gt;Sunrise Building</v>
      </c>
      <c r="E12364" s="2"/>
      <c r="F12364" s="2"/>
      <c r="G12364" s="2"/>
      <c r="H12364" s="2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2"/>
      <c r="T12364" s="2"/>
      <c r="U12364" s="2"/>
      <c r="V12364" s="2"/>
      <c r="W12364" s="2"/>
      <c r="X12364" s="2"/>
      <c r="Y12364" s="2"/>
      <c r="Z12364" s="2"/>
    </row>
    <row r="12365" spans="1:26" ht="16.5" x14ac:dyDescent="0.35">
      <c r="A12365" s="2" t="str">
        <f ca="1">IFERROR(__xludf.DUMMYFUNCTION("""COMPUTED_VALUE"""),"Dubai")</f>
        <v>Dubai</v>
      </c>
      <c r="B12365" s="2" t="str">
        <f ca="1">IFERROR(__xludf.DUMMYFUNCTION("""COMPUTED_VALUE"""),"Eros House")</f>
        <v>Eros House</v>
      </c>
      <c r="C12365" s="2" t="str">
        <f ca="1">IFERROR(__xludf.DUMMYFUNCTION("""COMPUTED_VALUE"""),"Building")</f>
        <v>Building</v>
      </c>
      <c r="D12365" s="2" t="str">
        <f ca="1">IFERROR(__xludf.DUMMYFUNCTION("""COMPUTED_VALUE"""),"Dubai&gt;Al Barsha&gt;Al Barsha 1&gt;Eros House")</f>
        <v>Dubai&gt;Al Barsha&gt;Al Barsha 1&gt;Eros House</v>
      </c>
      <c r="E12365" s="2"/>
      <c r="F12365" s="2"/>
      <c r="G12365" s="2"/>
      <c r="H12365" s="2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2"/>
      <c r="T12365" s="2"/>
      <c r="U12365" s="2"/>
      <c r="V12365" s="2"/>
      <c r="W12365" s="2"/>
      <c r="X12365" s="2"/>
      <c r="Y12365" s="2"/>
      <c r="Z12365" s="2"/>
    </row>
    <row r="12366" spans="1:26" ht="16.5" x14ac:dyDescent="0.35">
      <c r="A12366" s="2" t="str">
        <f ca="1">IFERROR(__xludf.DUMMYFUNCTION("""COMPUTED_VALUE"""),"Dubai")</f>
        <v>Dubai</v>
      </c>
      <c r="B12366" s="2" t="str">
        <f ca="1">IFERROR(__xludf.DUMMYFUNCTION("""COMPUTED_VALUE"""),"Emerald Building")</f>
        <v>Emerald Building</v>
      </c>
      <c r="C12366" s="2" t="str">
        <f ca="1">IFERROR(__xludf.DUMMYFUNCTION("""COMPUTED_VALUE"""),"Building")</f>
        <v>Building</v>
      </c>
      <c r="D12366" s="2" t="str">
        <f ca="1">IFERROR(__xludf.DUMMYFUNCTION("""COMPUTED_VALUE"""),"Dubai&gt;Al Barsha&gt;Al Barsha 1&gt;Emerald Building")</f>
        <v>Dubai&gt;Al Barsha&gt;Al Barsha 1&gt;Emerald Building</v>
      </c>
      <c r="E12366" s="2"/>
      <c r="F12366" s="2"/>
      <c r="G12366" s="2"/>
      <c r="H12366" s="2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2"/>
      <c r="T12366" s="2"/>
      <c r="U12366" s="2"/>
      <c r="V12366" s="2"/>
      <c r="W12366" s="2"/>
      <c r="X12366" s="2"/>
      <c r="Y12366" s="2"/>
      <c r="Z12366" s="2"/>
    </row>
    <row r="12367" spans="1:26" ht="16.5" x14ac:dyDescent="0.35">
      <c r="A12367" s="2" t="str">
        <f ca="1">IFERROR(__xludf.DUMMYFUNCTION("""COMPUTED_VALUE"""),"Dubai")</f>
        <v>Dubai</v>
      </c>
      <c r="B12367" s="2" t="str">
        <f ca="1">IFERROR(__xludf.DUMMYFUNCTION("""COMPUTED_VALUE"""),"Armada Hotel")</f>
        <v>Armada Hotel</v>
      </c>
      <c r="C12367" s="2" t="str">
        <f ca="1">IFERROR(__xludf.DUMMYFUNCTION("""COMPUTED_VALUE"""),"Building")</f>
        <v>Building</v>
      </c>
      <c r="D12367" s="2" t="str">
        <f ca="1">IFERROR(__xludf.DUMMYFUNCTION("""COMPUTED_VALUE"""),"Dubai&gt;Al Barsha&gt;Al Barsha 1&gt;Armada Hotel")</f>
        <v>Dubai&gt;Al Barsha&gt;Al Barsha 1&gt;Armada Hotel</v>
      </c>
      <c r="E12367" s="2"/>
      <c r="F12367" s="2"/>
      <c r="G12367" s="2"/>
      <c r="H12367" s="2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2"/>
      <c r="T12367" s="2"/>
      <c r="U12367" s="2"/>
      <c r="V12367" s="2"/>
      <c r="W12367" s="2"/>
      <c r="X12367" s="2"/>
      <c r="Y12367" s="2"/>
      <c r="Z12367" s="2"/>
    </row>
    <row r="12368" spans="1:26" ht="16.5" x14ac:dyDescent="0.35">
      <c r="A12368" s="2" t="str">
        <f ca="1">IFERROR(__xludf.DUMMYFUNCTION("""COMPUTED_VALUE"""),"Dubai")</f>
        <v>Dubai</v>
      </c>
      <c r="B12368" s="2" t="str">
        <f ca="1">IFERROR(__xludf.DUMMYFUNCTION("""COMPUTED_VALUE"""),"Salim Bin Lahej Building")</f>
        <v>Salim Bin Lahej Building</v>
      </c>
      <c r="C12368" s="2" t="str">
        <f ca="1">IFERROR(__xludf.DUMMYFUNCTION("""COMPUTED_VALUE"""),"Building")</f>
        <v>Building</v>
      </c>
      <c r="D12368" s="2" t="str">
        <f ca="1">IFERROR(__xludf.DUMMYFUNCTION("""COMPUTED_VALUE"""),"Dubai&gt;Al Barsha&gt;Al Barsha 1&gt;Salim Bin Lahej Building")</f>
        <v>Dubai&gt;Al Barsha&gt;Al Barsha 1&gt;Salim Bin Lahej Building</v>
      </c>
      <c r="E12368" s="2"/>
      <c r="F12368" s="2"/>
      <c r="G12368" s="2"/>
      <c r="H12368" s="2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2"/>
      <c r="T12368" s="2"/>
      <c r="U12368" s="2"/>
      <c r="V12368" s="2"/>
      <c r="W12368" s="2"/>
      <c r="X12368" s="2"/>
      <c r="Y12368" s="2"/>
      <c r="Z12368" s="2"/>
    </row>
    <row r="12369" spans="1:26" ht="16.5" x14ac:dyDescent="0.35">
      <c r="A12369" s="2" t="str">
        <f ca="1">IFERROR(__xludf.DUMMYFUNCTION("""COMPUTED_VALUE"""),"Dubai")</f>
        <v>Dubai</v>
      </c>
      <c r="B12369" s="2" t="str">
        <f ca="1">IFERROR(__xludf.DUMMYFUNCTION("""COMPUTED_VALUE"""),"Arabian Gulf Building")</f>
        <v>Arabian Gulf Building</v>
      </c>
      <c r="C12369" s="2" t="str">
        <f ca="1">IFERROR(__xludf.DUMMYFUNCTION("""COMPUTED_VALUE"""),"Building")</f>
        <v>Building</v>
      </c>
      <c r="D12369" s="2" t="str">
        <f ca="1">IFERROR(__xludf.DUMMYFUNCTION("""COMPUTED_VALUE"""),"Dubai&gt;Al Barsha&gt;Al Barsha 1&gt;Arabian Gulf Building")</f>
        <v>Dubai&gt;Al Barsha&gt;Al Barsha 1&gt;Arabian Gulf Building</v>
      </c>
      <c r="E12369" s="2"/>
      <c r="F12369" s="2"/>
      <c r="G12369" s="2"/>
      <c r="H12369" s="2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2"/>
      <c r="T12369" s="2"/>
      <c r="U12369" s="2"/>
      <c r="V12369" s="2"/>
      <c r="W12369" s="2"/>
      <c r="X12369" s="2"/>
      <c r="Y12369" s="2"/>
      <c r="Z12369" s="2"/>
    </row>
    <row r="12370" spans="1:26" ht="16.5" x14ac:dyDescent="0.35">
      <c r="A12370" s="2" t="str">
        <f ca="1">IFERROR(__xludf.DUMMYFUNCTION("""COMPUTED_VALUE"""),"Dubai")</f>
        <v>Dubai</v>
      </c>
      <c r="B12370" s="2" t="str">
        <f ca="1">IFERROR(__xludf.DUMMYFUNCTION("""COMPUTED_VALUE"""),"Al Idrissi Building")</f>
        <v>Al Idrissi Building</v>
      </c>
      <c r="C12370" s="2" t="str">
        <f ca="1">IFERROR(__xludf.DUMMYFUNCTION("""COMPUTED_VALUE"""),"Building")</f>
        <v>Building</v>
      </c>
      <c r="D12370" s="2" t="str">
        <f ca="1">IFERROR(__xludf.DUMMYFUNCTION("""COMPUTED_VALUE"""),"Dubai&gt;Al Barsha&gt;Al Barsha 1&gt;Al Idrissi Building")</f>
        <v>Dubai&gt;Al Barsha&gt;Al Barsha 1&gt;Al Idrissi Building</v>
      </c>
      <c r="E12370" s="2"/>
      <c r="F12370" s="2"/>
      <c r="G12370" s="2"/>
      <c r="H12370" s="2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2"/>
      <c r="T12370" s="2"/>
      <c r="U12370" s="2"/>
      <c r="V12370" s="2"/>
      <c r="W12370" s="2"/>
      <c r="X12370" s="2"/>
      <c r="Y12370" s="2"/>
      <c r="Z12370" s="2"/>
    </row>
    <row r="12371" spans="1:26" ht="16.5" x14ac:dyDescent="0.35">
      <c r="A12371" s="2" t="str">
        <f ca="1">IFERROR(__xludf.DUMMYFUNCTION("""COMPUTED_VALUE"""),"Dubai")</f>
        <v>Dubai</v>
      </c>
      <c r="B12371" s="2" t="str">
        <f ca="1">IFERROR(__xludf.DUMMYFUNCTION("""COMPUTED_VALUE"""),"YK Building")</f>
        <v>YK Building</v>
      </c>
      <c r="C12371" s="2" t="str">
        <f ca="1">IFERROR(__xludf.DUMMYFUNCTION("""COMPUTED_VALUE"""),"Building")</f>
        <v>Building</v>
      </c>
      <c r="D12371" s="2" t="str">
        <f ca="1">IFERROR(__xludf.DUMMYFUNCTION("""COMPUTED_VALUE"""),"Dubai&gt;Al Barsha&gt;Al Barsha 1&gt;YK Building")</f>
        <v>Dubai&gt;Al Barsha&gt;Al Barsha 1&gt;YK Building</v>
      </c>
      <c r="E12371" s="2"/>
      <c r="F12371" s="2"/>
      <c r="G12371" s="2"/>
      <c r="H12371" s="2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2"/>
      <c r="T12371" s="2"/>
      <c r="U12371" s="2"/>
      <c r="V12371" s="2"/>
      <c r="W12371" s="2"/>
      <c r="X12371" s="2"/>
      <c r="Y12371" s="2"/>
      <c r="Z12371" s="2"/>
    </row>
    <row r="12372" spans="1:26" ht="16.5" x14ac:dyDescent="0.35">
      <c r="A12372" s="2" t="str">
        <f ca="1">IFERROR(__xludf.DUMMYFUNCTION("""COMPUTED_VALUE"""),"Dubai")</f>
        <v>Dubai</v>
      </c>
      <c r="B12372" s="2" t="str">
        <f ca="1">IFERROR(__xludf.DUMMYFUNCTION("""COMPUTED_VALUE"""),"GEMS Al Barsha National School")</f>
        <v>GEMS Al Barsha National School</v>
      </c>
      <c r="C12372" s="2" t="str">
        <f ca="1">IFERROR(__xludf.DUMMYFUNCTION("""COMPUTED_VALUE"""),"School")</f>
        <v>School</v>
      </c>
      <c r="D12372" s="2" t="str">
        <f ca="1">IFERROR(__xludf.DUMMYFUNCTION("""COMPUTED_VALUE"""),"Dubai&gt;Al Barsha&gt;Al Barsha South&gt;Al Barsha South 2&gt;GEMS Al Barsha National School")</f>
        <v>Dubai&gt;Al Barsha&gt;Al Barsha South&gt;Al Barsha South 2&gt;GEMS Al Barsha National School</v>
      </c>
      <c r="E12372" s="2"/>
      <c r="F12372" s="2"/>
      <c r="G12372" s="2"/>
      <c r="H12372" s="2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2"/>
      <c r="T12372" s="2"/>
      <c r="U12372" s="2"/>
      <c r="V12372" s="2"/>
      <c r="W12372" s="2"/>
      <c r="X12372" s="2"/>
      <c r="Y12372" s="2"/>
      <c r="Z12372" s="2"/>
    </row>
    <row r="12373" spans="1:26" ht="16.5" x14ac:dyDescent="0.35">
      <c r="A12373" s="2" t="str">
        <f ca="1">IFERROR(__xludf.DUMMYFUNCTION("""COMPUTED_VALUE"""),"Dubai")</f>
        <v>Dubai</v>
      </c>
      <c r="B12373" s="2" t="str">
        <f ca="1">IFERROR(__xludf.DUMMYFUNCTION("""COMPUTED_VALUE"""),"Souk Al Bahar")</f>
        <v>Souk Al Bahar</v>
      </c>
      <c r="C12373" s="2" t="str">
        <f ca="1">IFERROR(__xludf.DUMMYFUNCTION("""COMPUTED_VALUE"""),"Building")</f>
        <v>Building</v>
      </c>
      <c r="D12373" s="2" t="str">
        <f ca="1">IFERROR(__xludf.DUMMYFUNCTION("""COMPUTED_VALUE"""),"Dubai&gt;Downtown Dubai&gt;Souk Al Bahar")</f>
        <v>Dubai&gt;Downtown Dubai&gt;Souk Al Bahar</v>
      </c>
      <c r="E12373" s="2"/>
      <c r="F12373" s="2"/>
      <c r="G12373" s="2"/>
      <c r="H12373" s="2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2"/>
      <c r="T12373" s="2"/>
      <c r="U12373" s="2"/>
      <c r="V12373" s="2"/>
      <c r="W12373" s="2"/>
      <c r="X12373" s="2"/>
      <c r="Y12373" s="2"/>
      <c r="Z12373" s="2"/>
    </row>
    <row r="12374" spans="1:26" ht="16.5" x14ac:dyDescent="0.35">
      <c r="A12374" s="2" t="str">
        <f ca="1">IFERROR(__xludf.DUMMYFUNCTION("""COMPUTED_VALUE"""),"Dubai")</f>
        <v>Dubai</v>
      </c>
      <c r="B12374" s="2" t="str">
        <f ca="1">IFERROR(__xludf.DUMMYFUNCTION("""COMPUTED_VALUE"""),"The Lofts")</f>
        <v>The Lofts</v>
      </c>
      <c r="C12374" s="2" t="str">
        <f ca="1">IFERROR(__xludf.DUMMYFUNCTION("""COMPUTED_VALUE"""),"Cluster")</f>
        <v>Cluster</v>
      </c>
      <c r="D12374" s="2" t="str">
        <f ca="1">IFERROR(__xludf.DUMMYFUNCTION("""COMPUTED_VALUE"""),"Dubai&gt;Downtown Dubai&gt;The Lofts")</f>
        <v>Dubai&gt;Downtown Dubai&gt;The Lofts</v>
      </c>
      <c r="E12374" s="2"/>
      <c r="F12374" s="2"/>
      <c r="G12374" s="2"/>
      <c r="H12374" s="2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2"/>
      <c r="T12374" s="2"/>
      <c r="U12374" s="2"/>
      <c r="V12374" s="2"/>
      <c r="W12374" s="2"/>
      <c r="X12374" s="2"/>
      <c r="Y12374" s="2"/>
      <c r="Z12374" s="2"/>
    </row>
    <row r="12375" spans="1:26" ht="16.5" x14ac:dyDescent="0.35">
      <c r="A12375" s="2" t="str">
        <f ca="1">IFERROR(__xludf.DUMMYFUNCTION("""COMPUTED_VALUE"""),"Dubai")</f>
        <v>Dubai</v>
      </c>
      <c r="B12375" s="2" t="str">
        <f ca="1">IFERROR(__xludf.DUMMYFUNCTION("""COMPUTED_VALUE"""),"Burj Vista 1")</f>
        <v>Burj Vista 1</v>
      </c>
      <c r="C12375" s="2" t="str">
        <f ca="1">IFERROR(__xludf.DUMMYFUNCTION("""COMPUTED_VALUE"""),"Building")</f>
        <v>Building</v>
      </c>
      <c r="D12375" s="2" t="str">
        <f ca="1">IFERROR(__xludf.DUMMYFUNCTION("""COMPUTED_VALUE"""),"Dubai&gt;Downtown Dubai&gt;Burj Vista&gt;Burj Vista 1")</f>
        <v>Dubai&gt;Downtown Dubai&gt;Burj Vista&gt;Burj Vista 1</v>
      </c>
      <c r="E12375" s="2"/>
      <c r="F12375" s="2"/>
      <c r="G12375" s="2"/>
      <c r="H12375" s="2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2"/>
      <c r="T12375" s="2"/>
      <c r="U12375" s="2"/>
      <c r="V12375" s="2"/>
      <c r="W12375" s="2"/>
      <c r="X12375" s="2"/>
      <c r="Y12375" s="2"/>
      <c r="Z12375" s="2"/>
    </row>
    <row r="12376" spans="1:26" ht="16.5" x14ac:dyDescent="0.35">
      <c r="A12376" s="2" t="str">
        <f ca="1">IFERROR(__xludf.DUMMYFUNCTION("""COMPUTED_VALUE"""),"Dubai")</f>
        <v>Dubai</v>
      </c>
      <c r="B12376" s="2" t="str">
        <f ca="1">IFERROR(__xludf.DUMMYFUNCTION("""COMPUTED_VALUE"""),"Kamoon")</f>
        <v>Kamoon</v>
      </c>
      <c r="C12376" s="2" t="str">
        <f ca="1">IFERROR(__xludf.DUMMYFUNCTION("""COMPUTED_VALUE"""),"Cluster")</f>
        <v>Cluster</v>
      </c>
      <c r="D12376" s="2" t="str">
        <f ca="1">IFERROR(__xludf.DUMMYFUNCTION("""COMPUTED_VALUE"""),"Dubai&gt;Downtown Dubai&gt;Old Town&gt;Kamoon")</f>
        <v>Dubai&gt;Downtown Dubai&gt;Old Town&gt;Kamoon</v>
      </c>
      <c r="E12376" s="2"/>
      <c r="F12376" s="2"/>
      <c r="G12376" s="2"/>
      <c r="H12376" s="2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2"/>
      <c r="T12376" s="2"/>
      <c r="U12376" s="2"/>
      <c r="V12376" s="2"/>
      <c r="W12376" s="2"/>
      <c r="X12376" s="2"/>
      <c r="Y12376" s="2"/>
      <c r="Z12376" s="2"/>
    </row>
    <row r="12377" spans="1:26" ht="16.5" x14ac:dyDescent="0.35">
      <c r="A12377" s="2" t="str">
        <f ca="1">IFERROR(__xludf.DUMMYFUNCTION("""COMPUTED_VALUE"""),"Dubai")</f>
        <v>Dubai</v>
      </c>
      <c r="B12377" s="2" t="str">
        <f ca="1">IFERROR(__xludf.DUMMYFUNCTION("""COMPUTED_VALUE"""),"Miska 5")</f>
        <v>Miska 5</v>
      </c>
      <c r="C12377" s="2" t="str">
        <f ca="1">IFERROR(__xludf.DUMMYFUNCTION("""COMPUTED_VALUE"""),"Building")</f>
        <v>Building</v>
      </c>
      <c r="D12377" s="2" t="str">
        <f ca="1">IFERROR(__xludf.DUMMYFUNCTION("""COMPUTED_VALUE"""),"Dubai&gt;Downtown Dubai&gt;Old Town&gt;Miska&gt;Miska 5")</f>
        <v>Dubai&gt;Downtown Dubai&gt;Old Town&gt;Miska&gt;Miska 5</v>
      </c>
      <c r="E12377" s="2"/>
      <c r="F12377" s="2"/>
      <c r="G12377" s="2"/>
      <c r="H12377" s="2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2"/>
      <c r="T12377" s="2"/>
      <c r="U12377" s="2"/>
      <c r="V12377" s="2"/>
      <c r="W12377" s="2"/>
      <c r="X12377" s="2"/>
      <c r="Y12377" s="2"/>
      <c r="Z12377" s="2"/>
    </row>
    <row r="12378" spans="1:26" ht="16.5" x14ac:dyDescent="0.35">
      <c r="A12378" s="2" t="str">
        <f ca="1">IFERROR(__xludf.DUMMYFUNCTION("""COMPUTED_VALUE"""),"Dubai")</f>
        <v>Dubai</v>
      </c>
      <c r="B12378" s="2" t="str">
        <f ca="1">IFERROR(__xludf.DUMMYFUNCTION("""COMPUTED_VALUE"""),"St. Regis Residences Financial Center Road")</f>
        <v>St. Regis Residences Financial Center Road</v>
      </c>
      <c r="C12378" s="2" t="str">
        <f ca="1">IFERROR(__xludf.DUMMYFUNCTION("""COMPUTED_VALUE"""),"Building")</f>
        <v>Building</v>
      </c>
      <c r="D12378" s="2" t="str">
        <f ca="1">IFERROR(__xludf.DUMMYFUNCTION("""COMPUTED_VALUE"""),"Dubai&gt;Downtown Dubai&gt;St. Regis Residences Financial Center Road")</f>
        <v>Dubai&gt;Downtown Dubai&gt;St. Regis Residences Financial Center Road</v>
      </c>
      <c r="E12378" s="2"/>
      <c r="F12378" s="2"/>
      <c r="G12378" s="2"/>
      <c r="H12378" s="2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2"/>
      <c r="T12378" s="2"/>
      <c r="U12378" s="2"/>
      <c r="V12378" s="2"/>
      <c r="W12378" s="2"/>
      <c r="X12378" s="2"/>
      <c r="Y12378" s="2"/>
      <c r="Z12378" s="2"/>
    </row>
    <row r="12379" spans="1:26" ht="16.5" x14ac:dyDescent="0.35">
      <c r="A12379" s="2" t="str">
        <f ca="1">IFERROR(__xludf.DUMMYFUNCTION("""COMPUTED_VALUE"""),"Dubai")</f>
        <v>Dubai</v>
      </c>
      <c r="B12379" s="2" t="str">
        <f ca="1">IFERROR(__xludf.DUMMYFUNCTION("""COMPUTED_VALUE"""),"Farah Tower 2")</f>
        <v>Farah Tower 2</v>
      </c>
      <c r="C12379" s="2" t="str">
        <f ca="1">IFERROR(__xludf.DUMMYFUNCTION("""COMPUTED_VALUE"""),"Building")</f>
        <v>Building</v>
      </c>
      <c r="D12379" s="2" t="str">
        <f ca="1">IFERROR(__xludf.DUMMYFUNCTION("""COMPUTED_VALUE"""),"Dubai&gt;Liwan&gt;Queue Point&gt;Farah Tower 2")</f>
        <v>Dubai&gt;Liwan&gt;Queue Point&gt;Farah Tower 2</v>
      </c>
      <c r="E12379" s="2"/>
      <c r="F12379" s="2"/>
      <c r="G12379" s="2"/>
      <c r="H12379" s="2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2"/>
      <c r="T12379" s="2"/>
      <c r="U12379" s="2"/>
      <c r="V12379" s="2"/>
      <c r="W12379" s="2"/>
      <c r="X12379" s="2"/>
      <c r="Y12379" s="2"/>
      <c r="Z12379" s="2"/>
    </row>
    <row r="12380" spans="1:26" ht="16.5" x14ac:dyDescent="0.35">
      <c r="A12380" s="2" t="str">
        <f ca="1">IFERROR(__xludf.DUMMYFUNCTION("""COMPUTED_VALUE"""),"Dubai")</f>
        <v>Dubai</v>
      </c>
      <c r="B12380" s="2" t="str">
        <f ca="1">IFERROR(__xludf.DUMMYFUNCTION("""COMPUTED_VALUE"""),"Mazaya 5")</f>
        <v>Mazaya 5</v>
      </c>
      <c r="C12380" s="2" t="str">
        <f ca="1">IFERROR(__xludf.DUMMYFUNCTION("""COMPUTED_VALUE"""),"Building")</f>
        <v>Building</v>
      </c>
      <c r="D12380" s="2" t="str">
        <f ca="1">IFERROR(__xludf.DUMMYFUNCTION("""COMPUTED_VALUE"""),"Dubai&gt;Liwan&gt;Queue Point&gt;Mazaya 5")</f>
        <v>Dubai&gt;Liwan&gt;Queue Point&gt;Mazaya 5</v>
      </c>
      <c r="E12380" s="2"/>
      <c r="F12380" s="2"/>
      <c r="G12380" s="2"/>
      <c r="H12380" s="2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2"/>
      <c r="T12380" s="2"/>
      <c r="U12380" s="2"/>
      <c r="V12380" s="2"/>
      <c r="W12380" s="2"/>
      <c r="X12380" s="2"/>
      <c r="Y12380" s="2"/>
      <c r="Z12380" s="2"/>
    </row>
    <row r="12381" spans="1:26" ht="16.5" x14ac:dyDescent="0.35">
      <c r="A12381" s="2" t="str">
        <f ca="1">IFERROR(__xludf.DUMMYFUNCTION("""COMPUTED_VALUE"""),"Dubai")</f>
        <v>Dubai</v>
      </c>
      <c r="B12381" s="2" t="str">
        <f ca="1">IFERROR(__xludf.DUMMYFUNCTION("""COMPUTED_VALUE"""),"Confident Adur")</f>
        <v>Confident Adur</v>
      </c>
      <c r="C12381" s="2" t="str">
        <f ca="1">IFERROR(__xludf.DUMMYFUNCTION("""COMPUTED_VALUE"""),"Building")</f>
        <v>Building</v>
      </c>
      <c r="D12381" s="2" t="str">
        <f ca="1">IFERROR(__xludf.DUMMYFUNCTION("""COMPUTED_VALUE"""),"Dubai&gt;Liwan&gt;Confident Adur")</f>
        <v>Dubai&gt;Liwan&gt;Confident Adur</v>
      </c>
      <c r="E12381" s="2"/>
      <c r="F12381" s="2"/>
      <c r="G12381" s="2"/>
      <c r="H12381" s="2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2"/>
      <c r="T12381" s="2"/>
      <c r="U12381" s="2"/>
      <c r="V12381" s="2"/>
      <c r="W12381" s="2"/>
      <c r="X12381" s="2"/>
      <c r="Y12381" s="2"/>
      <c r="Z12381" s="2"/>
    </row>
    <row r="12382" spans="1:26" ht="16.5" x14ac:dyDescent="0.35">
      <c r="A12382" s="2" t="str">
        <f ca="1">IFERROR(__xludf.DUMMYFUNCTION("""COMPUTED_VALUE"""),"Dubai")</f>
        <v>Dubai</v>
      </c>
      <c r="B12382" s="2" t="str">
        <f ca="1">IFERROR(__xludf.DUMMYFUNCTION("""COMPUTED_VALUE"""),"Burj Daman")</f>
        <v>Burj Daman</v>
      </c>
      <c r="C12382" s="2" t="str">
        <f ca="1">IFERROR(__xludf.DUMMYFUNCTION("""COMPUTED_VALUE"""),"Building")</f>
        <v>Building</v>
      </c>
      <c r="D12382" s="2" t="str">
        <f ca="1">IFERROR(__xludf.DUMMYFUNCTION("""COMPUTED_VALUE"""),"Dubai&gt;DIFC&gt;Burj Daman")</f>
        <v>Dubai&gt;DIFC&gt;Burj Daman</v>
      </c>
      <c r="E12382" s="2"/>
      <c r="F12382" s="2"/>
      <c r="G12382" s="2"/>
      <c r="H12382" s="2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2"/>
      <c r="T12382" s="2"/>
      <c r="U12382" s="2"/>
      <c r="V12382" s="2"/>
      <c r="W12382" s="2"/>
      <c r="X12382" s="2"/>
      <c r="Y12382" s="2"/>
      <c r="Z12382" s="2"/>
    </row>
    <row r="12383" spans="1:26" ht="16.5" x14ac:dyDescent="0.35">
      <c r="A12383" s="2" t="str">
        <f ca="1">IFERROR(__xludf.DUMMYFUNCTION("""COMPUTED_VALUE"""),"Dubai")</f>
        <v>Dubai</v>
      </c>
      <c r="B12383" s="2" t="str">
        <f ca="1">IFERROR(__xludf.DUMMYFUNCTION("""COMPUTED_VALUE"""),"Emirates Financial Towers")</f>
        <v>Emirates Financial Towers</v>
      </c>
      <c r="C12383" s="2" t="str">
        <f ca="1">IFERROR(__xludf.DUMMYFUNCTION("""COMPUTED_VALUE"""),"Cluster")</f>
        <v>Cluster</v>
      </c>
      <c r="D12383" s="2" t="str">
        <f ca="1">IFERROR(__xludf.DUMMYFUNCTION("""COMPUTED_VALUE"""),"Dubai&gt;DIFC&gt;Emirates Financial Towers")</f>
        <v>Dubai&gt;DIFC&gt;Emirates Financial Towers</v>
      </c>
      <c r="E12383" s="2"/>
      <c r="F12383" s="2"/>
      <c r="G12383" s="2"/>
      <c r="H12383" s="2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2"/>
      <c r="T12383" s="2"/>
      <c r="U12383" s="2"/>
      <c r="V12383" s="2"/>
      <c r="W12383" s="2"/>
      <c r="X12383" s="2"/>
      <c r="Y12383" s="2"/>
      <c r="Z12383" s="2"/>
    </row>
    <row r="12384" spans="1:26" ht="16.5" x14ac:dyDescent="0.35">
      <c r="A12384" s="2" t="str">
        <f ca="1">IFERROR(__xludf.DUMMYFUNCTION("""COMPUTED_VALUE"""),"Dubai")</f>
        <v>Dubai</v>
      </c>
      <c r="B12384" s="2" t="str">
        <f ca="1">IFERROR(__xludf.DUMMYFUNCTION("""COMPUTED_VALUE"""),"Al Warqaa 2")</f>
        <v>Al Warqaa 2</v>
      </c>
      <c r="C12384" s="2" t="str">
        <f ca="1">IFERROR(__xludf.DUMMYFUNCTION("""COMPUTED_VALUE"""),"Neighbourhood")</f>
        <v>Neighbourhood</v>
      </c>
      <c r="D12384" s="2" t="str">
        <f ca="1">IFERROR(__xludf.DUMMYFUNCTION("""COMPUTED_VALUE"""),"Dubai&gt;Al Warqaa&gt;Al Warqaa 2")</f>
        <v>Dubai&gt;Al Warqaa&gt;Al Warqaa 2</v>
      </c>
      <c r="E12384" s="2"/>
      <c r="F12384" s="2"/>
      <c r="G12384" s="2"/>
      <c r="H12384" s="2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2"/>
      <c r="T12384" s="2"/>
      <c r="U12384" s="2"/>
      <c r="V12384" s="2"/>
      <c r="W12384" s="2"/>
      <c r="X12384" s="2"/>
      <c r="Y12384" s="2"/>
      <c r="Z12384" s="2"/>
    </row>
    <row r="12385" spans="1:26" ht="16.5" x14ac:dyDescent="0.35">
      <c r="A12385" s="2" t="str">
        <f ca="1">IFERROR(__xludf.DUMMYFUNCTION("""COMPUTED_VALUE"""),"Dubai")</f>
        <v>Dubai</v>
      </c>
      <c r="B12385" s="2" t="str">
        <f ca="1">IFERROR(__xludf.DUMMYFUNCTION("""COMPUTED_VALUE"""),"Marwan Khalifa Building")</f>
        <v>Marwan Khalifa Building</v>
      </c>
      <c r="C12385" s="2" t="str">
        <f ca="1">IFERROR(__xludf.DUMMYFUNCTION("""COMPUTED_VALUE"""),"Building")</f>
        <v>Building</v>
      </c>
      <c r="D12385" s="2" t="str">
        <f ca="1">IFERROR(__xludf.DUMMYFUNCTION("""COMPUTED_VALUE"""),"Dubai&gt;Al Warqaa&gt;Al Warqaa 1&gt;Marwan Khalifa Building")</f>
        <v>Dubai&gt;Al Warqaa&gt;Al Warqaa 1&gt;Marwan Khalifa Building</v>
      </c>
      <c r="E12385" s="2"/>
      <c r="F12385" s="2"/>
      <c r="G12385" s="2"/>
      <c r="H12385" s="2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2"/>
      <c r="T12385" s="2"/>
      <c r="U12385" s="2"/>
      <c r="V12385" s="2"/>
      <c r="W12385" s="2"/>
      <c r="X12385" s="2"/>
      <c r="Y12385" s="2"/>
      <c r="Z12385" s="2"/>
    </row>
    <row r="12386" spans="1:26" ht="16.5" x14ac:dyDescent="0.35">
      <c r="A12386" s="2" t="str">
        <f ca="1">IFERROR(__xludf.DUMMYFUNCTION("""COMPUTED_VALUE"""),"Dubai")</f>
        <v>Dubai</v>
      </c>
      <c r="B12386" s="2" t="str">
        <f ca="1">IFERROR(__xludf.DUMMYFUNCTION("""COMPUTED_VALUE"""),"Al Warqaa Residence")</f>
        <v>Al Warqaa Residence</v>
      </c>
      <c r="C12386" s="2" t="str">
        <f ca="1">IFERROR(__xludf.DUMMYFUNCTION("""COMPUTED_VALUE"""),"Building")</f>
        <v>Building</v>
      </c>
      <c r="D12386" s="2" t="str">
        <f ca="1">IFERROR(__xludf.DUMMYFUNCTION("""COMPUTED_VALUE"""),"Dubai&gt;Al Warqaa&gt;Al Warqaa 1&gt;Al Warqaa Residence")</f>
        <v>Dubai&gt;Al Warqaa&gt;Al Warqaa 1&gt;Al Warqaa Residence</v>
      </c>
      <c r="E12386" s="2"/>
      <c r="F12386" s="2"/>
      <c r="G12386" s="2"/>
      <c r="H12386" s="2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2"/>
      <c r="T12386" s="2"/>
      <c r="U12386" s="2"/>
      <c r="V12386" s="2"/>
      <c r="W12386" s="2"/>
      <c r="X12386" s="2"/>
      <c r="Y12386" s="2"/>
      <c r="Z12386" s="2"/>
    </row>
    <row r="12387" spans="1:26" ht="16.5" x14ac:dyDescent="0.35">
      <c r="A12387" s="2" t="str">
        <f ca="1">IFERROR(__xludf.DUMMYFUNCTION("""COMPUTED_VALUE"""),"Dubai")</f>
        <v>Dubai</v>
      </c>
      <c r="B12387" s="2" t="str">
        <f ca="1">IFERROR(__xludf.DUMMYFUNCTION("""COMPUTED_VALUE"""),"Al Dahoos Building")</f>
        <v>Al Dahoos Building</v>
      </c>
      <c r="C12387" s="2" t="str">
        <f ca="1">IFERROR(__xludf.DUMMYFUNCTION("""COMPUTED_VALUE"""),"Building")</f>
        <v>Building</v>
      </c>
      <c r="D12387" s="2" t="str">
        <f ca="1">IFERROR(__xludf.DUMMYFUNCTION("""COMPUTED_VALUE"""),"Dubai&gt;Al Warqaa&gt;Al Warqaa 1&gt;Al Dahoos Building")</f>
        <v>Dubai&gt;Al Warqaa&gt;Al Warqaa 1&gt;Al Dahoos Building</v>
      </c>
      <c r="E12387" s="2"/>
      <c r="F12387" s="2"/>
      <c r="G12387" s="2"/>
      <c r="H12387" s="2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2"/>
      <c r="T12387" s="2"/>
      <c r="U12387" s="2"/>
      <c r="V12387" s="2"/>
      <c r="W12387" s="2"/>
      <c r="X12387" s="2"/>
      <c r="Y12387" s="2"/>
      <c r="Z12387" s="2"/>
    </row>
    <row r="12388" spans="1:26" ht="16.5" x14ac:dyDescent="0.35">
      <c r="A12388" s="2" t="str">
        <f ca="1">IFERROR(__xludf.DUMMYFUNCTION("""COMPUTED_VALUE"""),"Dubai")</f>
        <v>Dubai</v>
      </c>
      <c r="B12388" s="2" t="str">
        <f ca="1">IFERROR(__xludf.DUMMYFUNCTION("""COMPUTED_VALUE"""),"Shaikha Hamad Saeed Bin Atiq Al Falasi")</f>
        <v>Shaikha Hamad Saeed Bin Atiq Al Falasi</v>
      </c>
      <c r="C12388" s="2" t="str">
        <f ca="1">IFERROR(__xludf.DUMMYFUNCTION("""COMPUTED_VALUE"""),"Building")</f>
        <v>Building</v>
      </c>
      <c r="D12388" s="2" t="str">
        <f ca="1">IFERROR(__xludf.DUMMYFUNCTION("""COMPUTED_VALUE"""),"Dubai&gt;Al Warqaa&gt;Al Warqaa 1&gt;Shaikha Hamad Saeed Bin Atiq Al Falasi")</f>
        <v>Dubai&gt;Al Warqaa&gt;Al Warqaa 1&gt;Shaikha Hamad Saeed Bin Atiq Al Falasi</v>
      </c>
      <c r="E12388" s="2"/>
      <c r="F12388" s="2"/>
      <c r="G12388" s="2"/>
      <c r="H12388" s="2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2"/>
      <c r="T12388" s="2"/>
      <c r="U12388" s="2"/>
      <c r="V12388" s="2"/>
      <c r="W12388" s="2"/>
      <c r="X12388" s="2"/>
      <c r="Y12388" s="2"/>
      <c r="Z12388" s="2"/>
    </row>
    <row r="12389" spans="1:26" ht="16.5" x14ac:dyDescent="0.35">
      <c r="A12389" s="2" t="str">
        <f ca="1">IFERROR(__xludf.DUMMYFUNCTION("""COMPUTED_VALUE"""),"Dubai")</f>
        <v>Dubai</v>
      </c>
      <c r="B12389" s="2" t="str">
        <f ca="1">IFERROR(__xludf.DUMMYFUNCTION("""COMPUTED_VALUE"""),"Kids Kare Nursery, Dubai")</f>
        <v>Kids Kare Nursery, Dubai</v>
      </c>
      <c r="C12389" s="2" t="str">
        <f ca="1">IFERROR(__xludf.DUMMYFUNCTION("""COMPUTED_VALUE"""),"Nursery")</f>
        <v>Nursery</v>
      </c>
      <c r="D12389" s="2" t="str">
        <f ca="1">IFERROR(__xludf.DUMMYFUNCTION("""COMPUTED_VALUE"""),"Dubai&gt;Jumeirah Lake Towers (JLT)&gt;JLT Cluster E&gt;Kids Kare Nursery, Dubai")</f>
        <v>Dubai&gt;Jumeirah Lake Towers (JLT)&gt;JLT Cluster E&gt;Kids Kare Nursery, Dubai</v>
      </c>
      <c r="E12389" s="2"/>
      <c r="F12389" s="2"/>
      <c r="G12389" s="2"/>
      <c r="H12389" s="2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2"/>
      <c r="T12389" s="2"/>
      <c r="U12389" s="2"/>
      <c r="V12389" s="2"/>
      <c r="W12389" s="2"/>
      <c r="X12389" s="2"/>
      <c r="Y12389" s="2"/>
      <c r="Z12389" s="2"/>
    </row>
    <row r="12390" spans="1:26" ht="16.5" x14ac:dyDescent="0.35">
      <c r="A12390" s="2" t="str">
        <f ca="1">IFERROR(__xludf.DUMMYFUNCTION("""COMPUTED_VALUE"""),"Dubai")</f>
        <v>Dubai</v>
      </c>
      <c r="B12390" s="2" t="str">
        <f ca="1">IFERROR(__xludf.DUMMYFUNCTION("""COMPUTED_VALUE"""),"Preatoni Tower")</f>
        <v>Preatoni Tower</v>
      </c>
      <c r="C12390" s="2" t="str">
        <f ca="1">IFERROR(__xludf.DUMMYFUNCTION("""COMPUTED_VALUE"""),"Building")</f>
        <v>Building</v>
      </c>
      <c r="D12390" s="2" t="str">
        <f ca="1">IFERROR(__xludf.DUMMYFUNCTION("""COMPUTED_VALUE"""),"Dubai&gt;Jumeirah Lake Towers (JLT)&gt;JLT Cluster L&gt;Preatoni Tower")</f>
        <v>Dubai&gt;Jumeirah Lake Towers (JLT)&gt;JLT Cluster L&gt;Preatoni Tower</v>
      </c>
      <c r="E12390" s="2"/>
      <c r="F12390" s="2"/>
      <c r="G12390" s="2"/>
      <c r="H12390" s="2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2"/>
      <c r="T12390" s="2"/>
      <c r="U12390" s="2"/>
      <c r="V12390" s="2"/>
      <c r="W12390" s="2"/>
      <c r="X12390" s="2"/>
      <c r="Y12390" s="2"/>
      <c r="Z12390" s="2"/>
    </row>
    <row r="12391" spans="1:26" ht="16.5" x14ac:dyDescent="0.35">
      <c r="A12391" s="2" t="str">
        <f ca="1">IFERROR(__xludf.DUMMYFUNCTION("""COMPUTED_VALUE"""),"Dubai")</f>
        <v>Dubai</v>
      </c>
      <c r="B12391" s="2" t="str">
        <f ca="1">IFERROR(__xludf.DUMMYFUNCTION("""COMPUTED_VALUE"""),"Mosaic Nursery JLT")</f>
        <v>Mosaic Nursery JLT</v>
      </c>
      <c r="C12391" s="2" t="str">
        <f ca="1">IFERROR(__xludf.DUMMYFUNCTION("""COMPUTED_VALUE"""),"Nursery")</f>
        <v>Nursery</v>
      </c>
      <c r="D12391" s="2" t="str">
        <f ca="1">IFERROR(__xludf.DUMMYFUNCTION("""COMPUTED_VALUE"""),"Dubai&gt;Jumeirah Lake Towers (JLT)&gt;JLT Cluster T&gt;Mosaic Nursery JLT")</f>
        <v>Dubai&gt;Jumeirah Lake Towers (JLT)&gt;JLT Cluster T&gt;Mosaic Nursery JLT</v>
      </c>
      <c r="E12391" s="2"/>
      <c r="F12391" s="2"/>
      <c r="G12391" s="2"/>
      <c r="H12391" s="2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2"/>
      <c r="T12391" s="2"/>
      <c r="U12391" s="2"/>
      <c r="V12391" s="2"/>
      <c r="W12391" s="2"/>
      <c r="X12391" s="2"/>
      <c r="Y12391" s="2"/>
      <c r="Z12391" s="2"/>
    </row>
    <row r="12392" spans="1:26" ht="16.5" x14ac:dyDescent="0.35">
      <c r="A12392" s="2" t="str">
        <f ca="1">IFERROR(__xludf.DUMMYFUNCTION("""COMPUTED_VALUE"""),"Dubai")</f>
        <v>Dubai</v>
      </c>
      <c r="B12392" s="2" t="str">
        <f ca="1">IFERROR(__xludf.DUMMYFUNCTION("""COMPUTED_VALUE"""),"Upper House")</f>
        <v>Upper House</v>
      </c>
      <c r="C12392" s="2" t="str">
        <f ca="1">IFERROR(__xludf.DUMMYFUNCTION("""COMPUTED_VALUE"""),"Cluster")</f>
        <v>Cluster</v>
      </c>
      <c r="D12392" s="2" t="str">
        <f ca="1">IFERROR(__xludf.DUMMYFUNCTION("""COMPUTED_VALUE"""),"Dubai&gt;Jumeirah Lake Towers (JLT)&gt;Upper House")</f>
        <v>Dubai&gt;Jumeirah Lake Towers (JLT)&gt;Upper House</v>
      </c>
      <c r="E12392" s="2"/>
      <c r="F12392" s="2"/>
      <c r="G12392" s="2"/>
      <c r="H12392" s="2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2"/>
      <c r="T12392" s="2"/>
      <c r="U12392" s="2"/>
      <c r="V12392" s="2"/>
      <c r="W12392" s="2"/>
      <c r="X12392" s="2"/>
      <c r="Y12392" s="2"/>
      <c r="Z12392" s="2"/>
    </row>
    <row r="12393" spans="1:26" ht="16.5" x14ac:dyDescent="0.35">
      <c r="A12393" s="2" t="str">
        <f ca="1">IFERROR(__xludf.DUMMYFUNCTION("""COMPUTED_VALUE"""),"Dubai")</f>
        <v>Dubai</v>
      </c>
      <c r="B12393" s="2" t="str">
        <f ca="1">IFERROR(__xludf.DUMMYFUNCTION("""COMPUTED_VALUE"""),"Mudon Al Ranim 3")</f>
        <v>Mudon Al Ranim 3</v>
      </c>
      <c r="C12393" s="2" t="str">
        <f ca="1">IFERROR(__xludf.DUMMYFUNCTION("""COMPUTED_VALUE"""),"Neighbourhood")</f>
        <v>Neighbourhood</v>
      </c>
      <c r="D12393" s="2" t="str">
        <f ca="1">IFERROR(__xludf.DUMMYFUNCTION("""COMPUTED_VALUE"""),"Dubai&gt;Mudon&gt;Mudon Al Ranim&gt;Mudon Al Ranim 3")</f>
        <v>Dubai&gt;Mudon&gt;Mudon Al Ranim&gt;Mudon Al Ranim 3</v>
      </c>
      <c r="E12393" s="2"/>
      <c r="F12393" s="2"/>
      <c r="G12393" s="2"/>
      <c r="H12393" s="2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2"/>
      <c r="T12393" s="2"/>
      <c r="U12393" s="2"/>
      <c r="V12393" s="2"/>
      <c r="W12393" s="2"/>
      <c r="X12393" s="2"/>
      <c r="Y12393" s="2"/>
      <c r="Z12393" s="2"/>
    </row>
    <row r="12394" spans="1:26" ht="16.5" x14ac:dyDescent="0.35">
      <c r="A12394" s="2" t="str">
        <f ca="1">IFERROR(__xludf.DUMMYFUNCTION("""COMPUTED_VALUE"""),"Dubai")</f>
        <v>Dubai</v>
      </c>
      <c r="B12394" s="2" t="str">
        <f ca="1">IFERROR(__xludf.DUMMYFUNCTION("""COMPUTED_VALUE"""),"Al Badaa Residences")</f>
        <v>Al Badaa Residences</v>
      </c>
      <c r="C12394" s="2" t="str">
        <f ca="1">IFERROR(__xludf.DUMMYFUNCTION("""COMPUTED_VALUE"""),"Building")</f>
        <v>Building</v>
      </c>
      <c r="D12394" s="2" t="str">
        <f ca="1">IFERROR(__xludf.DUMMYFUNCTION("""COMPUTED_VALUE"""),"Dubai&gt;Al Satwa&gt;Al Badaa Residences")</f>
        <v>Dubai&gt;Al Satwa&gt;Al Badaa Residences</v>
      </c>
      <c r="E12394" s="2"/>
      <c r="F12394" s="2"/>
      <c r="G12394" s="2"/>
      <c r="H12394" s="2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2"/>
      <c r="T12394" s="2"/>
      <c r="U12394" s="2"/>
      <c r="V12394" s="2"/>
      <c r="W12394" s="2"/>
      <c r="X12394" s="2"/>
      <c r="Y12394" s="2"/>
      <c r="Z12394" s="2"/>
    </row>
    <row r="12395" spans="1:26" ht="16.5" x14ac:dyDescent="0.35">
      <c r="A12395" s="2" t="str">
        <f ca="1">IFERROR(__xludf.DUMMYFUNCTION("""COMPUTED_VALUE"""),"Dubai")</f>
        <v>Dubai</v>
      </c>
      <c r="B12395" s="2" t="str">
        <f ca="1">IFERROR(__xludf.DUMMYFUNCTION("""COMPUTED_VALUE"""),"Escala House")</f>
        <v>Escala House</v>
      </c>
      <c r="C12395" s="2" t="str">
        <f ca="1">IFERROR(__xludf.DUMMYFUNCTION("""COMPUTED_VALUE"""),"Building")</f>
        <v>Building</v>
      </c>
      <c r="D12395" s="2" t="str">
        <f ca="1">IFERROR(__xludf.DUMMYFUNCTION("""COMPUTED_VALUE"""),"Dubai&gt;Al Satwa&gt;Jumeirah Garden City&gt;Escala House")</f>
        <v>Dubai&gt;Al Satwa&gt;Jumeirah Garden City&gt;Escala House</v>
      </c>
      <c r="E12395" s="2"/>
      <c r="F12395" s="2"/>
      <c r="G12395" s="2"/>
      <c r="H12395" s="2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2"/>
      <c r="T12395" s="2"/>
      <c r="U12395" s="2"/>
      <c r="V12395" s="2"/>
      <c r="W12395" s="2"/>
      <c r="X12395" s="2"/>
      <c r="Y12395" s="2"/>
      <c r="Z12395" s="2"/>
    </row>
    <row r="12396" spans="1:26" ht="16.5" x14ac:dyDescent="0.35">
      <c r="A12396" s="2" t="str">
        <f ca="1">IFERROR(__xludf.DUMMYFUNCTION("""COMPUTED_VALUE"""),"Dubai")</f>
        <v>Dubai</v>
      </c>
      <c r="B12396" s="2" t="str">
        <f ca="1">IFERROR(__xludf.DUMMYFUNCTION("""COMPUTED_VALUE"""),"Jumeirah Garden Building 3")</f>
        <v>Jumeirah Garden Building 3</v>
      </c>
      <c r="C12396" s="2" t="str">
        <f ca="1">IFERROR(__xludf.DUMMYFUNCTION("""COMPUTED_VALUE"""),"Building")</f>
        <v>Building</v>
      </c>
      <c r="D12396" s="2" t="str">
        <f ca="1">IFERROR(__xludf.DUMMYFUNCTION("""COMPUTED_VALUE"""),"Dubai&gt;Al Satwa&gt;Jumeirah Garden City&gt;Jumeirah Garden Building 3")</f>
        <v>Dubai&gt;Al Satwa&gt;Jumeirah Garden City&gt;Jumeirah Garden Building 3</v>
      </c>
      <c r="E12396" s="2"/>
      <c r="F12396" s="2"/>
      <c r="G12396" s="2"/>
      <c r="H12396" s="2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2"/>
      <c r="T12396" s="2"/>
      <c r="U12396" s="2"/>
      <c r="V12396" s="2"/>
      <c r="W12396" s="2"/>
      <c r="X12396" s="2"/>
      <c r="Y12396" s="2"/>
      <c r="Z12396" s="2"/>
    </row>
    <row r="12397" spans="1:26" ht="16.5" x14ac:dyDescent="0.35">
      <c r="A12397" s="2" t="str">
        <f ca="1">IFERROR(__xludf.DUMMYFUNCTION("""COMPUTED_VALUE"""),"Dubai")</f>
        <v>Dubai</v>
      </c>
      <c r="B12397" s="2" t="str">
        <f ca="1">IFERROR(__xludf.DUMMYFUNCTION("""COMPUTED_VALUE"""),"The Elysian")</f>
        <v>The Elysian</v>
      </c>
      <c r="C12397" s="2" t="str">
        <f ca="1">IFERROR(__xludf.DUMMYFUNCTION("""COMPUTED_VALUE"""),"Building")</f>
        <v>Building</v>
      </c>
      <c r="D12397" s="2" t="str">
        <f ca="1">IFERROR(__xludf.DUMMYFUNCTION("""COMPUTED_VALUE"""),"Dubai&gt;Al Satwa&gt;Jumeirah Garden City&gt;The Elysian")</f>
        <v>Dubai&gt;Al Satwa&gt;Jumeirah Garden City&gt;The Elysian</v>
      </c>
      <c r="E12397" s="2"/>
      <c r="F12397" s="2"/>
      <c r="G12397" s="2"/>
      <c r="H12397" s="2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2"/>
      <c r="T12397" s="2"/>
      <c r="U12397" s="2"/>
      <c r="V12397" s="2"/>
      <c r="W12397" s="2"/>
      <c r="X12397" s="2"/>
      <c r="Y12397" s="2"/>
      <c r="Z12397" s="2"/>
    </row>
    <row r="12398" spans="1:26" ht="16.5" x14ac:dyDescent="0.35">
      <c r="A12398" s="2" t="str">
        <f ca="1">IFERROR(__xludf.DUMMYFUNCTION("""COMPUTED_VALUE"""),"Dubai")</f>
        <v>Dubai</v>
      </c>
      <c r="B12398" s="2" t="str">
        <f ca="1">IFERROR(__xludf.DUMMYFUNCTION("""COMPUTED_VALUE"""),"Dubai Modern Education School")</f>
        <v>Dubai Modern Education School</v>
      </c>
      <c r="C12398" s="2" t="str">
        <f ca="1">IFERROR(__xludf.DUMMYFUNCTION("""COMPUTED_VALUE"""),"School")</f>
        <v>School</v>
      </c>
      <c r="D12398" s="2" t="str">
        <f ca="1">IFERROR(__xludf.DUMMYFUNCTION("""COMPUTED_VALUE"""),"Dubai&gt;Al Mizhar&gt;Al Mizhar 1&gt;Dubai Modern Education School")</f>
        <v>Dubai&gt;Al Mizhar&gt;Al Mizhar 1&gt;Dubai Modern Education School</v>
      </c>
      <c r="E12398" s="2"/>
      <c r="F12398" s="2"/>
      <c r="G12398" s="2"/>
      <c r="H12398" s="2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2"/>
      <c r="T12398" s="2"/>
      <c r="U12398" s="2"/>
      <c r="V12398" s="2"/>
      <c r="W12398" s="2"/>
      <c r="X12398" s="2"/>
      <c r="Y12398" s="2"/>
      <c r="Z12398" s="2"/>
    </row>
    <row r="12399" spans="1:26" ht="16.5" x14ac:dyDescent="0.35">
      <c r="A12399" s="2" t="str">
        <f ca="1">IFERROR(__xludf.DUMMYFUNCTION("""COMPUTED_VALUE"""),"Dubai")</f>
        <v>Dubai</v>
      </c>
      <c r="B12399" s="2" t="str">
        <f ca="1">IFERROR(__xludf.DUMMYFUNCTION("""COMPUTED_VALUE"""),"Building 124")</f>
        <v>Building 124</v>
      </c>
      <c r="C12399" s="2" t="str">
        <f ca="1">IFERROR(__xludf.DUMMYFUNCTION("""COMPUTED_VALUE"""),"Building")</f>
        <v>Building</v>
      </c>
      <c r="D12399" s="2" t="str">
        <f ca="1">IFERROR(__xludf.DUMMYFUNCTION("""COMPUTED_VALUE"""),"Dubai&gt;Discovery Gardens&gt;Contemporary&gt;Building 124")</f>
        <v>Dubai&gt;Discovery Gardens&gt;Contemporary&gt;Building 124</v>
      </c>
      <c r="E12399" s="2"/>
      <c r="F12399" s="2"/>
      <c r="G12399" s="2"/>
      <c r="H12399" s="2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2"/>
      <c r="T12399" s="2"/>
      <c r="U12399" s="2"/>
      <c r="V12399" s="2"/>
      <c r="W12399" s="2"/>
      <c r="X12399" s="2"/>
      <c r="Y12399" s="2"/>
      <c r="Z12399" s="2"/>
    </row>
    <row r="12400" spans="1:26" ht="16.5" x14ac:dyDescent="0.35">
      <c r="A12400" s="2" t="str">
        <f ca="1">IFERROR(__xludf.DUMMYFUNCTION("""COMPUTED_VALUE"""),"Dubai")</f>
        <v>Dubai</v>
      </c>
      <c r="B12400" s="2" t="str">
        <f ca="1">IFERROR(__xludf.DUMMYFUNCTION("""COMPUTED_VALUE"""),"Building 240")</f>
        <v>Building 240</v>
      </c>
      <c r="C12400" s="2" t="str">
        <f ca="1">IFERROR(__xludf.DUMMYFUNCTION("""COMPUTED_VALUE"""),"Building")</f>
        <v>Building</v>
      </c>
      <c r="D12400" s="2" t="str">
        <f ca="1">IFERROR(__xludf.DUMMYFUNCTION("""COMPUTED_VALUE"""),"Dubai&gt;Discovery Gardens&gt;Mesoamerican&gt;Building 240")</f>
        <v>Dubai&gt;Discovery Gardens&gt;Mesoamerican&gt;Building 240</v>
      </c>
      <c r="E12400" s="2"/>
      <c r="F12400" s="2"/>
      <c r="G12400" s="2"/>
      <c r="H12400" s="2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2"/>
      <c r="T12400" s="2"/>
      <c r="U12400" s="2"/>
      <c r="V12400" s="2"/>
      <c r="W12400" s="2"/>
      <c r="X12400" s="2"/>
      <c r="Y12400" s="2"/>
      <c r="Z12400" s="2"/>
    </row>
    <row r="12401" spans="1:26" ht="16.5" x14ac:dyDescent="0.35">
      <c r="A12401" s="2" t="str">
        <f ca="1">IFERROR(__xludf.DUMMYFUNCTION("""COMPUTED_VALUE"""),"Dubai")</f>
        <v>Dubai</v>
      </c>
      <c r="B12401" s="2" t="str">
        <f ca="1">IFERROR(__xludf.DUMMYFUNCTION("""COMPUTED_VALUE"""),"Building 212")</f>
        <v>Building 212</v>
      </c>
      <c r="C12401" s="2" t="str">
        <f ca="1">IFERROR(__xludf.DUMMYFUNCTION("""COMPUTED_VALUE"""),"Building")</f>
        <v>Building</v>
      </c>
      <c r="D12401" s="2" t="str">
        <f ca="1">IFERROR(__xludf.DUMMYFUNCTION("""COMPUTED_VALUE"""),"Dubai&gt;Discovery Gardens&gt;Mogul&gt;Building 212")</f>
        <v>Dubai&gt;Discovery Gardens&gt;Mogul&gt;Building 212</v>
      </c>
      <c r="E12401" s="2"/>
      <c r="F12401" s="2"/>
      <c r="G12401" s="2"/>
      <c r="H12401" s="2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2"/>
      <c r="T12401" s="2"/>
      <c r="U12401" s="2"/>
      <c r="V12401" s="2"/>
      <c r="W12401" s="2"/>
      <c r="X12401" s="2"/>
      <c r="Y12401" s="2"/>
      <c r="Z12401" s="2"/>
    </row>
    <row r="12402" spans="1:26" ht="16.5" x14ac:dyDescent="0.35">
      <c r="A12402" s="2" t="str">
        <f ca="1">IFERROR(__xludf.DUMMYFUNCTION("""COMPUTED_VALUE"""),"Dubai")</f>
        <v>Dubai</v>
      </c>
      <c r="B12402" s="2" t="str">
        <f ca="1">IFERROR(__xludf.DUMMYFUNCTION("""COMPUTED_VALUE"""),"Building 1")</f>
        <v>Building 1</v>
      </c>
      <c r="C12402" s="2" t="str">
        <f ca="1">IFERROR(__xludf.DUMMYFUNCTION("""COMPUTED_VALUE"""),"Building")</f>
        <v>Building</v>
      </c>
      <c r="D12402" s="2" t="str">
        <f ca="1">IFERROR(__xludf.DUMMYFUNCTION("""COMPUTED_VALUE"""),"Dubai&gt;Discovery Gardens&gt;Zen Cluster&gt;Building 1")</f>
        <v>Dubai&gt;Discovery Gardens&gt;Zen Cluster&gt;Building 1</v>
      </c>
      <c r="E12402" s="2"/>
      <c r="F12402" s="2"/>
      <c r="G12402" s="2"/>
      <c r="H12402" s="2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2"/>
      <c r="T12402" s="2"/>
      <c r="U12402" s="2"/>
      <c r="V12402" s="2"/>
      <c r="W12402" s="2"/>
      <c r="X12402" s="2"/>
      <c r="Y12402" s="2"/>
      <c r="Z12402" s="2"/>
    </row>
    <row r="12403" spans="1:26" ht="16.5" x14ac:dyDescent="0.35">
      <c r="A12403" s="2" t="str">
        <f ca="1">IFERROR(__xludf.DUMMYFUNCTION("""COMPUTED_VALUE"""),"Dubai")</f>
        <v>Dubai</v>
      </c>
      <c r="B12403" s="2" t="str">
        <f ca="1">IFERROR(__xludf.DUMMYFUNCTION("""COMPUTED_VALUE"""),"Grand Midwest Tower And Hotel Apartments")</f>
        <v>Grand Midwest Tower And Hotel Apartments</v>
      </c>
      <c r="C12403" s="2" t="str">
        <f ca="1">IFERROR(__xludf.DUMMYFUNCTION("""COMPUTED_VALUE"""),"Building")</f>
        <v>Building</v>
      </c>
      <c r="D12403" s="2" t="str">
        <f ca="1">IFERROR(__xludf.DUMMYFUNCTION("""COMPUTED_VALUE"""),"Dubai&gt;Discovery Gardens&gt;Zen Cluster&gt;Grand Midwest Tower And Hotel Apartments")</f>
        <v>Dubai&gt;Discovery Gardens&gt;Zen Cluster&gt;Grand Midwest Tower And Hotel Apartments</v>
      </c>
      <c r="E12403" s="2"/>
      <c r="F12403" s="2"/>
      <c r="G12403" s="2"/>
      <c r="H12403" s="2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2"/>
      <c r="T12403" s="2"/>
      <c r="U12403" s="2"/>
      <c r="V12403" s="2"/>
      <c r="W12403" s="2"/>
      <c r="X12403" s="2"/>
      <c r="Y12403" s="2"/>
      <c r="Z12403" s="2"/>
    </row>
    <row r="12404" spans="1:26" ht="16.5" x14ac:dyDescent="0.35">
      <c r="A12404" s="2" t="str">
        <f ca="1">IFERROR(__xludf.DUMMYFUNCTION("""COMPUTED_VALUE"""),"Dubai")</f>
        <v>Dubai</v>
      </c>
      <c r="B12404" s="2" t="str">
        <f ca="1">IFERROR(__xludf.DUMMYFUNCTION("""COMPUTED_VALUE"""),"Building 43")</f>
        <v>Building 43</v>
      </c>
      <c r="C12404" s="2" t="str">
        <f ca="1">IFERROR(__xludf.DUMMYFUNCTION("""COMPUTED_VALUE"""),"Building")</f>
        <v>Building</v>
      </c>
      <c r="D12404" s="2" t="str">
        <f ca="1">IFERROR(__xludf.DUMMYFUNCTION("""COMPUTED_VALUE"""),"Dubai&gt;Discovery Gardens&gt;Mediterranean&gt;Building 43")</f>
        <v>Dubai&gt;Discovery Gardens&gt;Mediterranean&gt;Building 43</v>
      </c>
      <c r="E12404" s="2"/>
      <c r="F12404" s="2"/>
      <c r="G12404" s="2"/>
      <c r="H12404" s="2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2"/>
      <c r="T12404" s="2"/>
      <c r="U12404" s="2"/>
      <c r="V12404" s="2"/>
      <c r="W12404" s="2"/>
      <c r="X12404" s="2"/>
      <c r="Y12404" s="2"/>
      <c r="Z12404" s="2"/>
    </row>
    <row r="12405" spans="1:26" ht="16.5" x14ac:dyDescent="0.35">
      <c r="A12405" s="2" t="str">
        <f ca="1">IFERROR(__xludf.DUMMYFUNCTION("""COMPUTED_VALUE"""),"Dubai")</f>
        <v>Dubai</v>
      </c>
      <c r="B12405" s="2" t="str">
        <f ca="1">IFERROR(__xludf.DUMMYFUNCTION("""COMPUTED_VALUE"""),"Building 95")</f>
        <v>Building 95</v>
      </c>
      <c r="C12405" s="2" t="str">
        <f ca="1">IFERROR(__xludf.DUMMYFUNCTION("""COMPUTED_VALUE"""),"Building")</f>
        <v>Building</v>
      </c>
      <c r="D12405" s="2" t="str">
        <f ca="1">IFERROR(__xludf.DUMMYFUNCTION("""COMPUTED_VALUE"""),"Dubai&gt;Discovery Gardens&gt;Mediterranean&gt;Building 95")</f>
        <v>Dubai&gt;Discovery Gardens&gt;Mediterranean&gt;Building 95</v>
      </c>
      <c r="E12405" s="2"/>
      <c r="F12405" s="2"/>
      <c r="G12405" s="2"/>
      <c r="H12405" s="2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2"/>
      <c r="T12405" s="2"/>
      <c r="U12405" s="2"/>
      <c r="V12405" s="2"/>
      <c r="W12405" s="2"/>
      <c r="X12405" s="2"/>
      <c r="Y12405" s="2"/>
      <c r="Z12405" s="2"/>
    </row>
    <row r="12406" spans="1:26" ht="16.5" x14ac:dyDescent="0.35">
      <c r="A12406" s="2" t="str">
        <f ca="1">IFERROR(__xludf.DUMMYFUNCTION("""COMPUTED_VALUE"""),"Dubai")</f>
        <v>Dubai</v>
      </c>
      <c r="B12406" s="2" t="str">
        <f ca="1">IFERROR(__xludf.DUMMYFUNCTION("""COMPUTED_VALUE"""),"Club Vista Mare")</f>
        <v>Club Vista Mare</v>
      </c>
      <c r="C12406" s="2" t="str">
        <f ca="1">IFERROR(__xludf.DUMMYFUNCTION("""COMPUTED_VALUE"""),"Building")</f>
        <v>Building</v>
      </c>
      <c r="D12406" s="2" t="str">
        <f ca="1">IFERROR(__xludf.DUMMYFUNCTION("""COMPUTED_VALUE"""),"Dubai&gt;Palm Jumeirah&gt;Club Vista Mare")</f>
        <v>Dubai&gt;Palm Jumeirah&gt;Club Vista Mare</v>
      </c>
      <c r="E12406" s="2"/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2"/>
      <c r="T12406" s="2"/>
      <c r="U12406" s="2"/>
      <c r="V12406" s="2"/>
      <c r="W12406" s="2"/>
      <c r="X12406" s="2"/>
      <c r="Y12406" s="2"/>
      <c r="Z12406" s="2"/>
    </row>
    <row r="12407" spans="1:26" ht="16.5" x14ac:dyDescent="0.35">
      <c r="A12407" s="2" t="str">
        <f ca="1">IFERROR(__xludf.DUMMYFUNCTION("""COMPUTED_VALUE"""),"Dubai")</f>
        <v>Dubai</v>
      </c>
      <c r="B12407" s="2" t="str">
        <f ca="1">IFERROR(__xludf.DUMMYFUNCTION("""COMPUTED_VALUE"""),"Tiara Residences")</f>
        <v>Tiara Residences</v>
      </c>
      <c r="C12407" s="2" t="str">
        <f ca="1">IFERROR(__xludf.DUMMYFUNCTION("""COMPUTED_VALUE"""),"Building")</f>
        <v>Building</v>
      </c>
      <c r="D12407" s="2" t="str">
        <f ca="1">IFERROR(__xludf.DUMMYFUNCTION("""COMPUTED_VALUE"""),"Dubai&gt;Palm Jumeirah&gt;Tiara Residences")</f>
        <v>Dubai&gt;Palm Jumeirah&gt;Tiara Residences</v>
      </c>
      <c r="E12407" s="2"/>
      <c r="F12407" s="2"/>
      <c r="G12407" s="2"/>
      <c r="H12407" s="2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2"/>
      <c r="T12407" s="2"/>
      <c r="U12407" s="2"/>
      <c r="V12407" s="2"/>
      <c r="W12407" s="2"/>
      <c r="X12407" s="2"/>
      <c r="Y12407" s="2"/>
      <c r="Z12407" s="2"/>
    </row>
    <row r="12408" spans="1:26" ht="16.5" x14ac:dyDescent="0.35">
      <c r="A12408" s="2" t="str">
        <f ca="1">IFERROR(__xludf.DUMMYFUNCTION("""COMPUTED_VALUE"""),"Dubai")</f>
        <v>Dubai</v>
      </c>
      <c r="B12408" s="2" t="str">
        <f ca="1">IFERROR(__xludf.DUMMYFUNCTION("""COMPUTED_VALUE"""),"Golden Mile 10")</f>
        <v>Golden Mile 10</v>
      </c>
      <c r="C12408" s="2" t="str">
        <f ca="1">IFERROR(__xludf.DUMMYFUNCTION("""COMPUTED_VALUE"""),"Building")</f>
        <v>Building</v>
      </c>
      <c r="D12408" s="2" t="str">
        <f ca="1">IFERROR(__xludf.DUMMYFUNCTION("""COMPUTED_VALUE"""),"Dubai&gt;Palm Jumeirah&gt;Golden Mile&gt;Golden Mile 10")</f>
        <v>Dubai&gt;Palm Jumeirah&gt;Golden Mile&gt;Golden Mile 10</v>
      </c>
      <c r="E12408" s="2"/>
      <c r="F12408" s="2"/>
      <c r="G12408" s="2"/>
      <c r="H12408" s="2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2"/>
      <c r="T12408" s="2"/>
      <c r="U12408" s="2"/>
      <c r="V12408" s="2"/>
      <c r="W12408" s="2"/>
      <c r="X12408" s="2"/>
      <c r="Y12408" s="2"/>
      <c r="Z12408" s="2"/>
    </row>
    <row r="12409" spans="1:26" ht="16.5" x14ac:dyDescent="0.35">
      <c r="A12409" s="2" t="str">
        <f ca="1">IFERROR(__xludf.DUMMYFUNCTION("""COMPUTED_VALUE"""),"Dubai")</f>
        <v>Dubai</v>
      </c>
      <c r="B12409" s="2" t="str">
        <f ca="1">IFERROR(__xludf.DUMMYFUNCTION("""COMPUTED_VALUE"""),"Maurya")</f>
        <v>Maurya</v>
      </c>
      <c r="C12409" s="2" t="str">
        <f ca="1">IFERROR(__xludf.DUMMYFUNCTION("""COMPUTED_VALUE"""),"Building")</f>
        <v>Building</v>
      </c>
      <c r="D12409" s="2" t="str">
        <f ca="1">IFERROR(__xludf.DUMMYFUNCTION("""COMPUTED_VALUE"""),"Dubai&gt;Palm Jumeirah&gt;The Crescent&gt;The Grandeur Residences&gt;Maurya")</f>
        <v>Dubai&gt;Palm Jumeirah&gt;The Crescent&gt;The Grandeur Residences&gt;Maurya</v>
      </c>
      <c r="E12409" s="2"/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2"/>
      <c r="T12409" s="2"/>
      <c r="U12409" s="2"/>
      <c r="V12409" s="2"/>
      <c r="W12409" s="2"/>
      <c r="X12409" s="2"/>
      <c r="Y12409" s="2"/>
      <c r="Z12409" s="2"/>
    </row>
    <row r="12410" spans="1:26" ht="16.5" x14ac:dyDescent="0.35">
      <c r="A12410" s="2" t="str">
        <f ca="1">IFERROR(__xludf.DUMMYFUNCTION("""COMPUTED_VALUE"""),"Dubai")</f>
        <v>Dubai</v>
      </c>
      <c r="B12410" s="2" t="str">
        <f ca="1">IFERROR(__xludf.DUMMYFUNCTION("""COMPUTED_VALUE"""),"Garden Homes Frond K")</f>
        <v>Garden Homes Frond K</v>
      </c>
      <c r="C12410" s="2" t="str">
        <f ca="1">IFERROR(__xludf.DUMMYFUNCTION("""COMPUTED_VALUE"""),"Neighbourhood")</f>
        <v>Neighbourhood</v>
      </c>
      <c r="D12410" s="2" t="str">
        <f ca="1">IFERROR(__xludf.DUMMYFUNCTION("""COMPUTED_VALUE"""),"Dubai&gt;Palm Jumeirah&gt;Garden Homes Palm Jumeirah&gt;Garden Homes Frond K")</f>
        <v>Dubai&gt;Palm Jumeirah&gt;Garden Homes Palm Jumeirah&gt;Garden Homes Frond K</v>
      </c>
      <c r="E12410" s="2"/>
      <c r="F12410" s="2"/>
      <c r="G12410" s="2"/>
      <c r="H12410" s="2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2"/>
      <c r="T12410" s="2"/>
      <c r="U12410" s="2"/>
      <c r="V12410" s="2"/>
      <c r="W12410" s="2"/>
      <c r="X12410" s="2"/>
      <c r="Y12410" s="2"/>
      <c r="Z12410" s="2"/>
    </row>
    <row r="12411" spans="1:26" ht="16.5" x14ac:dyDescent="0.35">
      <c r="A12411" s="2" t="str">
        <f ca="1">IFERROR(__xludf.DUMMYFUNCTION("""COMPUTED_VALUE"""),"Dubai")</f>
        <v>Dubai</v>
      </c>
      <c r="B12411" s="2" t="str">
        <f ca="1">IFERROR(__xludf.DUMMYFUNCTION("""COMPUTED_VALUE"""),"Orla")</f>
        <v>Orla</v>
      </c>
      <c r="C12411" s="2" t="str">
        <f ca="1">IFERROR(__xludf.DUMMYFUNCTION("""COMPUTED_VALUE"""),"Building")</f>
        <v>Building</v>
      </c>
      <c r="D12411" s="2" t="str">
        <f ca="1">IFERROR(__xludf.DUMMYFUNCTION("""COMPUTED_VALUE"""),"Dubai&gt;Palm Jumeirah&gt;Orla")</f>
        <v>Dubai&gt;Palm Jumeirah&gt;Orla</v>
      </c>
      <c r="E12411" s="2"/>
      <c r="F12411" s="2"/>
      <c r="G12411" s="2"/>
      <c r="H12411" s="2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2"/>
      <c r="T12411" s="2"/>
      <c r="U12411" s="2"/>
      <c r="V12411" s="2"/>
      <c r="W12411" s="2"/>
      <c r="X12411" s="2"/>
      <c r="Y12411" s="2"/>
      <c r="Z12411" s="2"/>
    </row>
    <row r="12412" spans="1:26" ht="16.5" x14ac:dyDescent="0.35">
      <c r="A12412" s="2" t="str">
        <f ca="1">IFERROR(__xludf.DUMMYFUNCTION("""COMPUTED_VALUE"""),"Dubai")</f>
        <v>Dubai</v>
      </c>
      <c r="B12412" s="2" t="str">
        <f ca="1">IFERROR(__xludf.DUMMYFUNCTION("""COMPUTED_VALUE"""),"Aloft Palm Jumeirah")</f>
        <v>Aloft Palm Jumeirah</v>
      </c>
      <c r="C12412" s="2" t="str">
        <f ca="1">IFERROR(__xludf.DUMMYFUNCTION("""COMPUTED_VALUE"""),"Building")</f>
        <v>Building</v>
      </c>
      <c r="D12412" s="2" t="str">
        <f ca="1">IFERROR(__xludf.DUMMYFUNCTION("""COMPUTED_VALUE"""),"Dubai&gt;Palm Jumeirah&gt;Aloft Palm Jumeirah")</f>
        <v>Dubai&gt;Palm Jumeirah&gt;Aloft Palm Jumeirah</v>
      </c>
      <c r="E12412" s="2"/>
      <c r="F12412" s="2"/>
      <c r="G12412" s="2"/>
      <c r="H12412" s="2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2"/>
      <c r="T12412" s="2"/>
      <c r="U12412" s="2"/>
      <c r="V12412" s="2"/>
      <c r="W12412" s="2"/>
      <c r="X12412" s="2"/>
      <c r="Y12412" s="2"/>
      <c r="Z12412" s="2"/>
    </row>
    <row r="12413" spans="1:26" ht="16.5" x14ac:dyDescent="0.35">
      <c r="A12413" s="2" t="str">
        <f ca="1">IFERROR(__xludf.DUMMYFUNCTION("""COMPUTED_VALUE"""),"Dubai")</f>
        <v>Dubai</v>
      </c>
      <c r="B12413" s="2" t="str">
        <f ca="1">IFERROR(__xludf.DUMMYFUNCTION("""COMPUTED_VALUE"""),"Al Khayyal Building 140")</f>
        <v>Al Khayyal Building 140</v>
      </c>
      <c r="C12413" s="2" t="str">
        <f ca="1">IFERROR(__xludf.DUMMYFUNCTION("""COMPUTED_VALUE"""),"Building")</f>
        <v>Building</v>
      </c>
      <c r="D12413" s="2" t="str">
        <f ca="1">IFERROR(__xludf.DUMMYFUNCTION("""COMPUTED_VALUE"""),"Dubai&gt;Al Jaddaf&gt;Al Khayyal Building 140")</f>
        <v>Dubai&gt;Al Jaddaf&gt;Al Khayyal Building 140</v>
      </c>
      <c r="E12413" s="2"/>
      <c r="F12413" s="2"/>
      <c r="G12413" s="2"/>
      <c r="H12413" s="2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2"/>
      <c r="T12413" s="2"/>
      <c r="U12413" s="2"/>
      <c r="V12413" s="2"/>
      <c r="W12413" s="2"/>
      <c r="X12413" s="2"/>
      <c r="Y12413" s="2"/>
      <c r="Z12413" s="2"/>
    </row>
    <row r="12414" spans="1:26" ht="16.5" x14ac:dyDescent="0.35">
      <c r="A12414" s="2" t="str">
        <f ca="1">IFERROR(__xludf.DUMMYFUNCTION("""COMPUTED_VALUE"""),"Dubai")</f>
        <v>Dubai</v>
      </c>
      <c r="B12414" s="2" t="str">
        <f ca="1">IFERROR(__xludf.DUMMYFUNCTION("""COMPUTED_VALUE"""),"Saleh Building")</f>
        <v>Saleh Building</v>
      </c>
      <c r="C12414" s="2" t="str">
        <f ca="1">IFERROR(__xludf.DUMMYFUNCTION("""COMPUTED_VALUE"""),"Building")</f>
        <v>Building</v>
      </c>
      <c r="D12414" s="2" t="str">
        <f ca="1">IFERROR(__xludf.DUMMYFUNCTION("""COMPUTED_VALUE"""),"Dubai&gt;Al Jaddaf&gt;Saleh Building")</f>
        <v>Dubai&gt;Al Jaddaf&gt;Saleh Building</v>
      </c>
      <c r="E12414" s="2"/>
      <c r="F12414" s="2"/>
      <c r="G12414" s="2"/>
      <c r="H12414" s="2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2"/>
      <c r="T12414" s="2"/>
      <c r="U12414" s="2"/>
      <c r="V12414" s="2"/>
      <c r="W12414" s="2"/>
      <c r="X12414" s="2"/>
      <c r="Y12414" s="2"/>
      <c r="Z12414" s="2"/>
    </row>
    <row r="12415" spans="1:26" ht="16.5" x14ac:dyDescent="0.35">
      <c r="A12415" s="2" t="str">
        <f ca="1">IFERROR(__xludf.DUMMYFUNCTION("""COMPUTED_VALUE"""),"Dubai")</f>
        <v>Dubai</v>
      </c>
      <c r="B12415" s="2" t="str">
        <f ca="1">IFERROR(__xludf.DUMMYFUNCTION("""COMPUTED_VALUE"""),"Dutco Creek Residential Building")</f>
        <v>Dutco Creek Residential Building</v>
      </c>
      <c r="C12415" s="2" t="str">
        <f ca="1">IFERROR(__xludf.DUMMYFUNCTION("""COMPUTED_VALUE"""),"Building")</f>
        <v>Building</v>
      </c>
      <c r="D12415" s="2" t="str">
        <f ca="1">IFERROR(__xludf.DUMMYFUNCTION("""COMPUTED_VALUE"""),"Dubai&gt;Al Jaddaf&gt;Dutco Creek Residential Building")</f>
        <v>Dubai&gt;Al Jaddaf&gt;Dutco Creek Residential Building</v>
      </c>
      <c r="E12415" s="2"/>
      <c r="F12415" s="2"/>
      <c r="G12415" s="2"/>
      <c r="H12415" s="2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2"/>
      <c r="T12415" s="2"/>
      <c r="U12415" s="2"/>
      <c r="V12415" s="2"/>
      <c r="W12415" s="2"/>
      <c r="X12415" s="2"/>
      <c r="Y12415" s="2"/>
      <c r="Z12415" s="2"/>
    </row>
    <row r="12416" spans="1:26" ht="16.5" x14ac:dyDescent="0.35">
      <c r="A12416" s="2" t="str">
        <f ca="1">IFERROR(__xludf.DUMMYFUNCTION("""COMPUTED_VALUE"""),"Dubai")</f>
        <v>Dubai</v>
      </c>
      <c r="B12416" s="2" t="str">
        <f ca="1">IFERROR(__xludf.DUMMYFUNCTION("""COMPUTED_VALUE"""),"Frond D")</f>
        <v>Frond D</v>
      </c>
      <c r="C12416" s="2" t="str">
        <f ca="1">IFERROR(__xludf.DUMMYFUNCTION("""COMPUTED_VALUE"""),"Neighbourhood")</f>
        <v>Neighbourhood</v>
      </c>
      <c r="D12416" s="2" t="str">
        <f ca="1">IFERROR(__xludf.DUMMYFUNCTION("""COMPUTED_VALUE"""),"Dubai&gt;Palm Jebel Ali&gt;Frond D")</f>
        <v>Dubai&gt;Palm Jebel Ali&gt;Frond D</v>
      </c>
      <c r="E12416" s="2"/>
      <c r="F12416" s="2"/>
      <c r="G12416" s="2"/>
      <c r="H12416" s="2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2"/>
      <c r="T12416" s="2"/>
      <c r="U12416" s="2"/>
      <c r="V12416" s="2"/>
      <c r="W12416" s="2"/>
      <c r="X12416" s="2"/>
      <c r="Y12416" s="2"/>
      <c r="Z12416" s="2"/>
    </row>
    <row r="12417" spans="1:26" ht="16.5" x14ac:dyDescent="0.35">
      <c r="A12417" s="2" t="str">
        <f ca="1">IFERROR(__xludf.DUMMYFUNCTION("""COMPUTED_VALUE"""),"Dubai")</f>
        <v>Dubai</v>
      </c>
      <c r="B12417" s="2" t="str">
        <f ca="1">IFERROR(__xludf.DUMMYFUNCTION("""COMPUTED_VALUE"""),"Bella Rose")</f>
        <v>Bella Rose</v>
      </c>
      <c r="C12417" s="2" t="str">
        <f ca="1">IFERROR(__xludf.DUMMYFUNCTION("""COMPUTED_VALUE"""),"Building")</f>
        <v>Building</v>
      </c>
      <c r="D12417" s="2" t="str">
        <f ca="1">IFERROR(__xludf.DUMMYFUNCTION("""COMPUTED_VALUE"""),"Dubai&gt;Dubai Science Park&gt;Bella Rose")</f>
        <v>Dubai&gt;Dubai Science Park&gt;Bella Rose</v>
      </c>
      <c r="E12417" s="2"/>
      <c r="F12417" s="2"/>
      <c r="G12417" s="2"/>
      <c r="H12417" s="2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2"/>
      <c r="T12417" s="2"/>
      <c r="U12417" s="2"/>
      <c r="V12417" s="2"/>
      <c r="W12417" s="2"/>
      <c r="X12417" s="2"/>
      <c r="Y12417" s="2"/>
      <c r="Z12417" s="2"/>
    </row>
    <row r="12418" spans="1:26" ht="16.5" x14ac:dyDescent="0.35">
      <c r="A12418" s="2" t="str">
        <f ca="1">IFERROR(__xludf.DUMMYFUNCTION("""COMPUTED_VALUE"""),"Dubai")</f>
        <v>Dubai</v>
      </c>
      <c r="B12418" s="2" t="str">
        <f ca="1">IFERROR(__xludf.DUMMYFUNCTION("""COMPUTED_VALUE"""),"Skyhills Astra")</f>
        <v>Skyhills Astra</v>
      </c>
      <c r="C12418" s="2" t="str">
        <f ca="1">IFERROR(__xludf.DUMMYFUNCTION("""COMPUTED_VALUE"""),"Building")</f>
        <v>Building</v>
      </c>
      <c r="D12418" s="2" t="str">
        <f ca="1">IFERROR(__xludf.DUMMYFUNCTION("""COMPUTED_VALUE"""),"Dubai&gt;Dubai Science Park&gt;Skyhills Astra")</f>
        <v>Dubai&gt;Dubai Science Park&gt;Skyhills Astra</v>
      </c>
      <c r="E12418" s="2"/>
      <c r="F12418" s="2"/>
      <c r="G12418" s="2"/>
      <c r="H12418" s="2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2"/>
      <c r="T12418" s="2"/>
      <c r="U12418" s="2"/>
      <c r="V12418" s="2"/>
      <c r="W12418" s="2"/>
      <c r="X12418" s="2"/>
      <c r="Y12418" s="2"/>
      <c r="Z12418" s="2"/>
    </row>
    <row r="12419" spans="1:26" ht="16.5" x14ac:dyDescent="0.35">
      <c r="A12419" s="2" t="str">
        <f ca="1">IFERROR(__xludf.DUMMYFUNCTION("""COMPUTED_VALUE"""),"Dubai")</f>
        <v>Dubai</v>
      </c>
      <c r="B12419" s="2" t="str">
        <f ca="1">IFERROR(__xludf.DUMMYFUNCTION("""COMPUTED_VALUE"""),"Gardenia Townhomes")</f>
        <v>Gardenia Townhomes</v>
      </c>
      <c r="C12419" s="2" t="str">
        <f ca="1">IFERROR(__xludf.DUMMYFUNCTION("""COMPUTED_VALUE"""),"Neighbourhood")</f>
        <v>Neighbourhood</v>
      </c>
      <c r="D12419" s="2" t="str">
        <f ca="1">IFERROR(__xludf.DUMMYFUNCTION("""COMPUTED_VALUE"""),"Dubai&gt;Wasl Gate&gt;Gardenia Townhomes")</f>
        <v>Dubai&gt;Wasl Gate&gt;Gardenia Townhomes</v>
      </c>
      <c r="E12419" s="2"/>
      <c r="F12419" s="2"/>
      <c r="G12419" s="2"/>
      <c r="H12419" s="2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2"/>
      <c r="T12419" s="2"/>
      <c r="U12419" s="2"/>
      <c r="V12419" s="2"/>
      <c r="W12419" s="2"/>
      <c r="X12419" s="2"/>
      <c r="Y12419" s="2"/>
      <c r="Z12419" s="2"/>
    </row>
    <row r="12420" spans="1:26" ht="16.5" x14ac:dyDescent="0.35">
      <c r="A12420" s="2" t="str">
        <f ca="1">IFERROR(__xludf.DUMMYFUNCTION("""COMPUTED_VALUE"""),"Dubai")</f>
        <v>Dubai</v>
      </c>
      <c r="B12420" s="2" t="str">
        <f ca="1">IFERROR(__xludf.DUMMYFUNCTION("""COMPUTED_VALUE"""),"South Garden D")</f>
        <v>South Garden D</v>
      </c>
      <c r="C12420" s="2" t="str">
        <f ca="1">IFERROR(__xludf.DUMMYFUNCTION("""COMPUTED_VALUE"""),"Building")</f>
        <v>Building</v>
      </c>
      <c r="D12420" s="2" t="str">
        <f ca="1">IFERROR(__xludf.DUMMYFUNCTION("""COMPUTED_VALUE"""),"Dubai&gt;Wasl Gate&gt;South Garden D")</f>
        <v>Dubai&gt;Wasl Gate&gt;South Garden D</v>
      </c>
      <c r="E12420" s="2"/>
      <c r="F12420" s="2"/>
      <c r="G12420" s="2"/>
      <c r="H12420" s="2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2"/>
      <c r="T12420" s="2"/>
      <c r="U12420" s="2"/>
      <c r="V12420" s="2"/>
      <c r="W12420" s="2"/>
      <c r="X12420" s="2"/>
      <c r="Y12420" s="2"/>
      <c r="Z12420" s="2"/>
    </row>
    <row r="12421" spans="1:26" ht="16.5" x14ac:dyDescent="0.35">
      <c r="A12421" s="2" t="str">
        <f ca="1">IFERROR(__xludf.DUMMYFUNCTION("""COMPUTED_VALUE"""),"Dubai")</f>
        <v>Dubai</v>
      </c>
      <c r="B12421" s="2" t="str">
        <f ca="1">IFERROR(__xludf.DUMMYFUNCTION("""COMPUTED_VALUE"""),"Nad Al Sheba 2")</f>
        <v>Nad Al Sheba 2</v>
      </c>
      <c r="C12421" s="2" t="str">
        <f ca="1">IFERROR(__xludf.DUMMYFUNCTION("""COMPUTED_VALUE"""),"Neighbourhood")</f>
        <v>Neighbourhood</v>
      </c>
      <c r="D12421" s="2" t="str">
        <f ca="1">IFERROR(__xludf.DUMMYFUNCTION("""COMPUTED_VALUE"""),"Dubai&gt;Nad Al Sheba&gt;Nad Al Sheba 2")</f>
        <v>Dubai&gt;Nad Al Sheba&gt;Nad Al Sheba 2</v>
      </c>
      <c r="E12421" s="2"/>
      <c r="F12421" s="2"/>
      <c r="G12421" s="2"/>
      <c r="H12421" s="2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2"/>
      <c r="T12421" s="2"/>
      <c r="U12421" s="2"/>
      <c r="V12421" s="2"/>
      <c r="W12421" s="2"/>
      <c r="X12421" s="2"/>
      <c r="Y12421" s="2"/>
      <c r="Z12421" s="2"/>
    </row>
    <row r="12422" spans="1:26" ht="16.5" x14ac:dyDescent="0.35">
      <c r="A12422" s="2" t="str">
        <f ca="1">IFERROR(__xludf.DUMMYFUNCTION("""COMPUTED_VALUE"""),"Dubai")</f>
        <v>Dubai</v>
      </c>
      <c r="B12422" s="2" t="str">
        <f ca="1">IFERROR(__xludf.DUMMYFUNCTION("""COMPUTED_VALUE"""),"Al Thuraya Tower 1")</f>
        <v>Al Thuraya Tower 1</v>
      </c>
      <c r="C12422" s="2" t="str">
        <f ca="1">IFERROR(__xludf.DUMMYFUNCTION("""COMPUTED_VALUE"""),"Building")</f>
        <v>Building</v>
      </c>
      <c r="D12422" s="2" t="str">
        <f ca="1">IFERROR(__xludf.DUMMYFUNCTION("""COMPUTED_VALUE"""),"Dubai&gt;Dubai Internet City&gt;Al Thuraya Tower 1")</f>
        <v>Dubai&gt;Dubai Internet City&gt;Al Thuraya Tower 1</v>
      </c>
      <c r="E12422" s="2"/>
      <c r="F12422" s="2"/>
      <c r="G12422" s="2"/>
      <c r="H12422" s="2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2"/>
      <c r="T12422" s="2"/>
      <c r="U12422" s="2"/>
      <c r="V12422" s="2"/>
      <c r="W12422" s="2"/>
      <c r="X12422" s="2"/>
      <c r="Y12422" s="2"/>
      <c r="Z12422" s="2"/>
    </row>
    <row r="12423" spans="1:26" ht="16.5" x14ac:dyDescent="0.35">
      <c r="A12423" s="2" t="str">
        <f ca="1">IFERROR(__xludf.DUMMYFUNCTION("""COMPUTED_VALUE"""),"Dubai")</f>
        <v>Dubai</v>
      </c>
      <c r="B12423" s="2" t="str">
        <f ca="1">IFERROR(__xludf.DUMMYFUNCTION("""COMPUTED_VALUE"""),"Sun")</f>
        <v>Sun</v>
      </c>
      <c r="C12423" s="2" t="str">
        <f ca="1">IFERROR(__xludf.DUMMYFUNCTION("""COMPUTED_VALUE"""),"Neighbourhood")</f>
        <v>Neighbourhood</v>
      </c>
      <c r="D12423" s="2" t="str">
        <f ca="1">IFERROR(__xludf.DUMMYFUNCTION("""COMPUTED_VALUE"""),"Dubai&gt;Arabian Ranches 3&gt;Sun")</f>
        <v>Dubai&gt;Arabian Ranches 3&gt;Sun</v>
      </c>
      <c r="E12423" s="2"/>
      <c r="F12423" s="2"/>
      <c r="G12423" s="2"/>
      <c r="H12423" s="2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2"/>
      <c r="T12423" s="2"/>
      <c r="U12423" s="2"/>
      <c r="V12423" s="2"/>
      <c r="W12423" s="2"/>
      <c r="X12423" s="2"/>
      <c r="Y12423" s="2"/>
      <c r="Z12423" s="2"/>
    </row>
    <row r="12424" spans="1:26" ht="16.5" x14ac:dyDescent="0.35">
      <c r="A12424" s="2" t="str">
        <f ca="1">IFERROR(__xludf.DUMMYFUNCTION("""COMPUTED_VALUE"""),"Dubai")</f>
        <v>Dubai</v>
      </c>
      <c r="B12424" s="2" t="str">
        <f ca="1">IFERROR(__xludf.DUMMYFUNCTION("""COMPUTED_VALUE"""),"Seagate Building 4")</f>
        <v>Seagate Building 4</v>
      </c>
      <c r="C12424" s="2" t="str">
        <f ca="1">IFERROR(__xludf.DUMMYFUNCTION("""COMPUTED_VALUE"""),"Building")</f>
        <v>Building</v>
      </c>
      <c r="D12424" s="2" t="str">
        <f ca="1">IFERROR(__xludf.DUMMYFUNCTION("""COMPUTED_VALUE"""),"Dubai&gt;Mina Rashid&gt;Seagate&gt;Seagate Building 4")</f>
        <v>Dubai&gt;Mina Rashid&gt;Seagate&gt;Seagate Building 4</v>
      </c>
      <c r="E12424" s="2"/>
      <c r="F12424" s="2"/>
      <c r="G12424" s="2"/>
      <c r="H12424" s="2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2"/>
      <c r="T12424" s="2"/>
      <c r="U12424" s="2"/>
      <c r="V12424" s="2"/>
      <c r="W12424" s="2"/>
      <c r="X12424" s="2"/>
      <c r="Y12424" s="2"/>
      <c r="Z12424" s="2"/>
    </row>
    <row r="12425" spans="1:26" ht="16.5" x14ac:dyDescent="0.35">
      <c r="A12425" s="2" t="str">
        <f ca="1">IFERROR(__xludf.DUMMYFUNCTION("""COMPUTED_VALUE"""),"Dubai")</f>
        <v>Dubai</v>
      </c>
      <c r="B12425" s="2" t="str">
        <f ca="1">IFERROR(__xludf.DUMMYFUNCTION("""COMPUTED_VALUE"""),"Marina Place 2")</f>
        <v>Marina Place 2</v>
      </c>
      <c r="C12425" s="2" t="str">
        <f ca="1">IFERROR(__xludf.DUMMYFUNCTION("""COMPUTED_VALUE"""),"Building")</f>
        <v>Building</v>
      </c>
      <c r="D12425" s="2" t="str">
        <f ca="1">IFERROR(__xludf.DUMMYFUNCTION("""COMPUTED_VALUE"""),"Dubai&gt;Mina Rashid&gt;Marina Place&gt;Marina Place 2")</f>
        <v>Dubai&gt;Mina Rashid&gt;Marina Place&gt;Marina Place 2</v>
      </c>
      <c r="E12425" s="2"/>
      <c r="F12425" s="2"/>
      <c r="G12425" s="2"/>
      <c r="H12425" s="2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2"/>
      <c r="T12425" s="2"/>
      <c r="U12425" s="2"/>
      <c r="V12425" s="2"/>
      <c r="W12425" s="2"/>
      <c r="X12425" s="2"/>
      <c r="Y12425" s="2"/>
      <c r="Z12425" s="2"/>
    </row>
    <row r="12426" spans="1:26" ht="16.5" x14ac:dyDescent="0.35">
      <c r="A12426" s="2" t="str">
        <f ca="1">IFERROR(__xludf.DUMMYFUNCTION("""COMPUTED_VALUE"""),"Dubai")</f>
        <v>Dubai</v>
      </c>
      <c r="B12426" s="2" t="str">
        <f ca="1">IFERROR(__xludf.DUMMYFUNCTION("""COMPUTED_VALUE"""),"Orania")</f>
        <v>Orania</v>
      </c>
      <c r="C12426" s="2" t="str">
        <f ca="1">IFERROR(__xludf.DUMMYFUNCTION("""COMPUTED_VALUE"""),"Neighbourhood")</f>
        <v>Neighbourhood</v>
      </c>
      <c r="D12426" s="2" t="str">
        <f ca="1">IFERROR(__xludf.DUMMYFUNCTION("""COMPUTED_VALUE"""),"Dubai&gt;The Valley by Emaar&gt;Orania")</f>
        <v>Dubai&gt;The Valley by Emaar&gt;Orania</v>
      </c>
      <c r="E12426" s="2"/>
      <c r="F12426" s="2"/>
      <c r="G12426" s="2"/>
      <c r="H12426" s="2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2"/>
      <c r="T12426" s="2"/>
      <c r="U12426" s="2"/>
      <c r="V12426" s="2"/>
      <c r="W12426" s="2"/>
      <c r="X12426" s="2"/>
      <c r="Y12426" s="2"/>
      <c r="Z12426" s="2"/>
    </row>
    <row r="12427" spans="1:26" ht="16.5" x14ac:dyDescent="0.35">
      <c r="A12427" s="2" t="str">
        <f ca="1">IFERROR(__xludf.DUMMYFUNCTION("""COMPUTED_VALUE"""),"Dubai")</f>
        <v>Dubai</v>
      </c>
      <c r="B12427" s="2" t="str">
        <f ca="1">IFERROR(__xludf.DUMMYFUNCTION("""COMPUTED_VALUE"""),"Polo Homes")</f>
        <v>Polo Homes</v>
      </c>
      <c r="C12427" s="2" t="str">
        <f ca="1">IFERROR(__xludf.DUMMYFUNCTION("""COMPUTED_VALUE"""),"Neighbourhood")</f>
        <v>Neighbourhood</v>
      </c>
      <c r="D12427" s="2" t="str">
        <f ca="1">IFERROR(__xludf.DUMMYFUNCTION("""COMPUTED_VALUE"""),"Dubai&gt;Arabian Ranches&gt;Polo Homes")</f>
        <v>Dubai&gt;Arabian Ranches&gt;Polo Homes</v>
      </c>
      <c r="E12427" s="2"/>
      <c r="F12427" s="2"/>
      <c r="G12427" s="2"/>
      <c r="H12427" s="2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2"/>
      <c r="T12427" s="2"/>
      <c r="U12427" s="2"/>
      <c r="V12427" s="2"/>
      <c r="W12427" s="2"/>
      <c r="X12427" s="2"/>
      <c r="Y12427" s="2"/>
      <c r="Z12427" s="2"/>
    </row>
    <row r="12428" spans="1:26" ht="16.5" x14ac:dyDescent="0.35">
      <c r="A12428" s="2" t="str">
        <f ca="1">IFERROR(__xludf.DUMMYFUNCTION("""COMPUTED_VALUE"""),"Dubai")</f>
        <v>Dubai</v>
      </c>
      <c r="B12428" s="2" t="str">
        <f ca="1">IFERROR(__xludf.DUMMYFUNCTION("""COMPUTED_VALUE"""),"The Gardens")</f>
        <v>The Gardens</v>
      </c>
      <c r="C12428" s="2" t="str">
        <f ca="1">IFERROR(__xludf.DUMMYFUNCTION("""COMPUTED_VALUE"""),"Neighbourhood")</f>
        <v>Neighbourhood</v>
      </c>
      <c r="D12428" s="2" t="str">
        <f ca="1">IFERROR(__xludf.DUMMYFUNCTION("""COMPUTED_VALUE"""),"Dubai&gt;The Gardens")</f>
        <v>Dubai&gt;The Gardens</v>
      </c>
      <c r="E12428" s="2"/>
      <c r="F12428" s="2"/>
      <c r="G12428" s="2"/>
      <c r="H12428" s="2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2"/>
      <c r="T12428" s="2"/>
      <c r="U12428" s="2"/>
      <c r="V12428" s="2"/>
      <c r="W12428" s="2"/>
      <c r="X12428" s="2"/>
      <c r="Y12428" s="2"/>
      <c r="Z12428" s="2"/>
    </row>
    <row r="12429" spans="1:26" ht="16.5" x14ac:dyDescent="0.35">
      <c r="A12429" s="2" t="str">
        <f ca="1">IFERROR(__xludf.DUMMYFUNCTION("""COMPUTED_VALUE"""),"Dubai")</f>
        <v>Dubai</v>
      </c>
      <c r="B12429" s="2" t="str">
        <f ca="1">IFERROR(__xludf.DUMMYFUNCTION("""COMPUTED_VALUE"""),"The Gardens Building 68")</f>
        <v>The Gardens Building 68</v>
      </c>
      <c r="C12429" s="2" t="str">
        <f ca="1">IFERROR(__xludf.DUMMYFUNCTION("""COMPUTED_VALUE"""),"Building")</f>
        <v>Building</v>
      </c>
      <c r="D12429" s="2" t="str">
        <f ca="1">IFERROR(__xludf.DUMMYFUNCTION("""COMPUTED_VALUE"""),"Dubai&gt;The Gardens&gt;The Gardens Building 68")</f>
        <v>Dubai&gt;The Gardens&gt;The Gardens Building 68</v>
      </c>
      <c r="E12429" s="2"/>
      <c r="F12429" s="2"/>
      <c r="G12429" s="2"/>
      <c r="H12429" s="2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2"/>
      <c r="T12429" s="2"/>
      <c r="U12429" s="2"/>
      <c r="V12429" s="2"/>
      <c r="W12429" s="2"/>
      <c r="X12429" s="2"/>
      <c r="Y12429" s="2"/>
      <c r="Z12429" s="2"/>
    </row>
    <row r="12430" spans="1:26" ht="16.5" x14ac:dyDescent="0.35">
      <c r="A12430" s="2" t="str">
        <f ca="1">IFERROR(__xludf.DUMMYFUNCTION("""COMPUTED_VALUE"""),"Dubai")</f>
        <v>Dubai</v>
      </c>
      <c r="B12430" s="2" t="str">
        <f ca="1">IFERROR(__xludf.DUMMYFUNCTION("""COMPUTED_VALUE"""),"The Gardens Building 107")</f>
        <v>The Gardens Building 107</v>
      </c>
      <c r="C12430" s="2" t="str">
        <f ca="1">IFERROR(__xludf.DUMMYFUNCTION("""COMPUTED_VALUE"""),"Building")</f>
        <v>Building</v>
      </c>
      <c r="D12430" s="2" t="str">
        <f ca="1">IFERROR(__xludf.DUMMYFUNCTION("""COMPUTED_VALUE"""),"Dubai&gt;The Gardens&gt;The Gardens Building 107")</f>
        <v>Dubai&gt;The Gardens&gt;The Gardens Building 107</v>
      </c>
      <c r="E12430" s="2"/>
      <c r="F12430" s="2"/>
      <c r="G12430" s="2"/>
      <c r="H12430" s="2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2"/>
      <c r="T12430" s="2"/>
      <c r="U12430" s="2"/>
      <c r="V12430" s="2"/>
      <c r="W12430" s="2"/>
      <c r="X12430" s="2"/>
      <c r="Y12430" s="2"/>
      <c r="Z12430" s="2"/>
    </row>
    <row r="12431" spans="1:26" ht="16.5" x14ac:dyDescent="0.35">
      <c r="A12431" s="2" t="str">
        <f ca="1">IFERROR(__xludf.DUMMYFUNCTION("""COMPUTED_VALUE"""),"Dubai")</f>
        <v>Dubai</v>
      </c>
      <c r="B12431" s="2" t="str">
        <f ca="1">IFERROR(__xludf.DUMMYFUNCTION("""COMPUTED_VALUE"""),"The Gardens Building 15")</f>
        <v>The Gardens Building 15</v>
      </c>
      <c r="C12431" s="2" t="str">
        <f ca="1">IFERROR(__xludf.DUMMYFUNCTION("""COMPUTED_VALUE"""),"Building")</f>
        <v>Building</v>
      </c>
      <c r="D12431" s="2" t="str">
        <f ca="1">IFERROR(__xludf.DUMMYFUNCTION("""COMPUTED_VALUE"""),"Dubai&gt;The Gardens&gt;The Gardens Building 15")</f>
        <v>Dubai&gt;The Gardens&gt;The Gardens Building 15</v>
      </c>
      <c r="E12431" s="2"/>
      <c r="F12431" s="2"/>
      <c r="G12431" s="2"/>
      <c r="H12431" s="2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2"/>
      <c r="T12431" s="2"/>
      <c r="U12431" s="2"/>
      <c r="V12431" s="2"/>
      <c r="W12431" s="2"/>
      <c r="X12431" s="2"/>
      <c r="Y12431" s="2"/>
      <c r="Z12431" s="2"/>
    </row>
    <row r="12432" spans="1:26" ht="16.5" x14ac:dyDescent="0.35">
      <c r="A12432" s="2" t="str">
        <f ca="1">IFERROR(__xludf.DUMMYFUNCTION("""COMPUTED_VALUE"""),"Dubai")</f>
        <v>Dubai</v>
      </c>
      <c r="B12432" s="2" t="str">
        <f ca="1">IFERROR(__xludf.DUMMYFUNCTION("""COMPUTED_VALUE"""),"The Gardens Building 55")</f>
        <v>The Gardens Building 55</v>
      </c>
      <c r="C12432" s="2" t="str">
        <f ca="1">IFERROR(__xludf.DUMMYFUNCTION("""COMPUTED_VALUE"""),"Building")</f>
        <v>Building</v>
      </c>
      <c r="D12432" s="2" t="str">
        <f ca="1">IFERROR(__xludf.DUMMYFUNCTION("""COMPUTED_VALUE"""),"Dubai&gt;The Gardens&gt;The Gardens Building 55")</f>
        <v>Dubai&gt;The Gardens&gt;The Gardens Building 55</v>
      </c>
      <c r="E12432" s="2"/>
      <c r="F12432" s="2"/>
      <c r="G12432" s="2"/>
      <c r="H12432" s="2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2"/>
      <c r="T12432" s="2"/>
      <c r="U12432" s="2"/>
      <c r="V12432" s="2"/>
      <c r="W12432" s="2"/>
      <c r="X12432" s="2"/>
      <c r="Y12432" s="2"/>
      <c r="Z12432" s="2"/>
    </row>
    <row r="12433" spans="1:26" ht="16.5" x14ac:dyDescent="0.35">
      <c r="A12433" s="2" t="str">
        <f ca="1">IFERROR(__xludf.DUMMYFUNCTION("""COMPUTED_VALUE"""),"Dubai")</f>
        <v>Dubai</v>
      </c>
      <c r="B12433" s="2" t="str">
        <f ca="1">IFERROR(__xludf.DUMMYFUNCTION("""COMPUTED_VALUE"""),"Century Mall")</f>
        <v>Century Mall</v>
      </c>
      <c r="C12433" s="2" t="str">
        <f ca="1">IFERROR(__xludf.DUMMYFUNCTION("""COMPUTED_VALUE"""),"Building")</f>
        <v>Building</v>
      </c>
      <c r="D12433" s="2" t="str">
        <f ca="1">IFERROR(__xludf.DUMMYFUNCTION("""COMPUTED_VALUE"""),"Dubai&gt;Al Mamzar&gt;Century Mall")</f>
        <v>Dubai&gt;Al Mamzar&gt;Century Mall</v>
      </c>
      <c r="E12433" s="2"/>
      <c r="F12433" s="2"/>
      <c r="G12433" s="2"/>
      <c r="H12433" s="2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2"/>
      <c r="T12433" s="2"/>
      <c r="U12433" s="2"/>
      <c r="V12433" s="2"/>
      <c r="W12433" s="2"/>
      <c r="X12433" s="2"/>
      <c r="Y12433" s="2"/>
      <c r="Z12433" s="2"/>
    </row>
    <row r="12434" spans="1:26" ht="16.5" x14ac:dyDescent="0.35">
      <c r="A12434" s="2" t="str">
        <f ca="1">IFERROR(__xludf.DUMMYFUNCTION("""COMPUTED_VALUE"""),"Dubai")</f>
        <v>Dubai</v>
      </c>
      <c r="B12434" s="2" t="str">
        <f ca="1">IFERROR(__xludf.DUMMYFUNCTION("""COMPUTED_VALUE"""),"Bluewaters Residences 9")</f>
        <v>Bluewaters Residences 9</v>
      </c>
      <c r="C12434" s="2" t="str">
        <f ca="1">IFERROR(__xludf.DUMMYFUNCTION("""COMPUTED_VALUE"""),"Building")</f>
        <v>Building</v>
      </c>
      <c r="D12434" s="2" t="str">
        <f ca="1">IFERROR(__xludf.DUMMYFUNCTION("""COMPUTED_VALUE"""),"Dubai&gt;Bluewaters Island&gt;Bluewaters Residences&gt;Bluewaters Residences 9")</f>
        <v>Dubai&gt;Bluewaters Island&gt;Bluewaters Residences&gt;Bluewaters Residences 9</v>
      </c>
      <c r="E12434" s="2"/>
      <c r="F12434" s="2"/>
      <c r="G12434" s="2"/>
      <c r="H12434" s="2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2"/>
      <c r="T12434" s="2"/>
      <c r="U12434" s="2"/>
      <c r="V12434" s="2"/>
      <c r="W12434" s="2"/>
      <c r="X12434" s="2"/>
      <c r="Y12434" s="2"/>
      <c r="Z12434" s="2"/>
    </row>
    <row r="12435" spans="1:26" ht="16.5" x14ac:dyDescent="0.35">
      <c r="A12435" s="2" t="str">
        <f ca="1">IFERROR(__xludf.DUMMYFUNCTION("""COMPUTED_VALUE"""),"Dubai")</f>
        <v>Dubai</v>
      </c>
      <c r="B12435" s="2" t="str">
        <f ca="1">IFERROR(__xludf.DUMMYFUNCTION("""COMPUTED_VALUE"""),"Muhaisnah Residence 1")</f>
        <v>Muhaisnah Residence 1</v>
      </c>
      <c r="C12435" s="2" t="str">
        <f ca="1">IFERROR(__xludf.DUMMYFUNCTION("""COMPUTED_VALUE"""),"Building")</f>
        <v>Building</v>
      </c>
      <c r="D12435" s="2" t="str">
        <f ca="1">IFERROR(__xludf.DUMMYFUNCTION("""COMPUTED_VALUE"""),"Dubai&gt;Muhaisnah&gt;Muhaisnah 4&gt;Muhaisnah Residence 1")</f>
        <v>Dubai&gt;Muhaisnah&gt;Muhaisnah 4&gt;Muhaisnah Residence 1</v>
      </c>
      <c r="E12435" s="2"/>
      <c r="F12435" s="2"/>
      <c r="G12435" s="2"/>
      <c r="H12435" s="2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2"/>
      <c r="T12435" s="2"/>
      <c r="U12435" s="2"/>
      <c r="V12435" s="2"/>
      <c r="W12435" s="2"/>
      <c r="X12435" s="2"/>
      <c r="Y12435" s="2"/>
      <c r="Z12435" s="2"/>
    </row>
    <row r="12436" spans="1:26" ht="16.5" x14ac:dyDescent="0.35">
      <c r="A12436" s="2" t="str">
        <f ca="1">IFERROR(__xludf.DUMMYFUNCTION("""COMPUTED_VALUE"""),"Dubai")</f>
        <v>Dubai</v>
      </c>
      <c r="B12436" s="2" t="str">
        <f ca="1">IFERROR(__xludf.DUMMYFUNCTION("""COMPUTED_VALUE"""),"Qamar 1")</f>
        <v>Qamar 1</v>
      </c>
      <c r="C12436" s="2" t="str">
        <f ca="1">IFERROR(__xludf.DUMMYFUNCTION("""COMPUTED_VALUE"""),"Building")</f>
        <v>Building</v>
      </c>
      <c r="D12436" s="2" t="str">
        <f ca="1">IFERROR(__xludf.DUMMYFUNCTION("""COMPUTED_VALUE"""),"Dubai&gt;Muhaisnah&gt;Muhaisnah 1&gt;Madinat Badr&gt;Qamar 1")</f>
        <v>Dubai&gt;Muhaisnah&gt;Muhaisnah 1&gt;Madinat Badr&gt;Qamar 1</v>
      </c>
      <c r="E12436" s="2"/>
      <c r="F12436" s="2"/>
      <c r="G12436" s="2"/>
      <c r="H12436" s="2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2"/>
      <c r="T12436" s="2"/>
      <c r="U12436" s="2"/>
      <c r="V12436" s="2"/>
      <c r="W12436" s="2"/>
      <c r="X12436" s="2"/>
      <c r="Y12436" s="2"/>
      <c r="Z12436" s="2"/>
    </row>
    <row r="12437" spans="1:26" ht="16.5" x14ac:dyDescent="0.35">
      <c r="A12437" s="2" t="str">
        <f ca="1">IFERROR(__xludf.DUMMYFUNCTION("""COMPUTED_VALUE"""),"Dubai")</f>
        <v>Dubai</v>
      </c>
      <c r="B12437" s="2" t="str">
        <f ca="1">IFERROR(__xludf.DUMMYFUNCTION("""COMPUTED_VALUE"""),"Gevora Hotel")</f>
        <v>Gevora Hotel</v>
      </c>
      <c r="C12437" s="2" t="str">
        <f ca="1">IFERROR(__xludf.DUMMYFUNCTION("""COMPUTED_VALUE"""),"Building")</f>
        <v>Building</v>
      </c>
      <c r="D12437" s="2" t="str">
        <f ca="1">IFERROR(__xludf.DUMMYFUNCTION("""COMPUTED_VALUE"""),"Dubai&gt;Sheikh Zayed Road&gt;Gevora Hotel")</f>
        <v>Dubai&gt;Sheikh Zayed Road&gt;Gevora Hotel</v>
      </c>
      <c r="E12437" s="2"/>
      <c r="F12437" s="2"/>
      <c r="G12437" s="2"/>
      <c r="H12437" s="2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2"/>
      <c r="T12437" s="2"/>
      <c r="U12437" s="2"/>
      <c r="V12437" s="2"/>
      <c r="W12437" s="2"/>
      <c r="X12437" s="2"/>
      <c r="Y12437" s="2"/>
      <c r="Z12437" s="2"/>
    </row>
    <row r="12438" spans="1:26" ht="16.5" x14ac:dyDescent="0.35">
      <c r="A12438" s="2" t="str">
        <f ca="1">IFERROR(__xludf.DUMMYFUNCTION("""COMPUTED_VALUE"""),"Dubai")</f>
        <v>Dubai</v>
      </c>
      <c r="B12438" s="2" t="str">
        <f ca="1">IFERROR(__xludf.DUMMYFUNCTION("""COMPUTED_VALUE"""),"Conrad Commercial Tower")</f>
        <v>Conrad Commercial Tower</v>
      </c>
      <c r="C12438" s="2" t="str">
        <f ca="1">IFERROR(__xludf.DUMMYFUNCTION("""COMPUTED_VALUE"""),"Building")</f>
        <v>Building</v>
      </c>
      <c r="D12438" s="2" t="str">
        <f ca="1">IFERROR(__xludf.DUMMYFUNCTION("""COMPUTED_VALUE"""),"Dubai&gt;Sheikh Zayed Road&gt;Conrad Commercial Tower")</f>
        <v>Dubai&gt;Sheikh Zayed Road&gt;Conrad Commercial Tower</v>
      </c>
      <c r="E12438" s="2"/>
      <c r="F12438" s="2"/>
      <c r="G12438" s="2"/>
      <c r="H12438" s="2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2"/>
      <c r="T12438" s="2"/>
      <c r="U12438" s="2"/>
      <c r="V12438" s="2"/>
      <c r="W12438" s="2"/>
      <c r="X12438" s="2"/>
      <c r="Y12438" s="2"/>
      <c r="Z12438" s="2"/>
    </row>
    <row r="12439" spans="1:26" ht="16.5" x14ac:dyDescent="0.35">
      <c r="A12439" s="2" t="str">
        <f ca="1">IFERROR(__xludf.DUMMYFUNCTION("""COMPUTED_VALUE"""),"Dubai")</f>
        <v>Dubai</v>
      </c>
      <c r="B12439" s="2" t="str">
        <f ca="1">IFERROR(__xludf.DUMMYFUNCTION("""COMPUTED_VALUE"""),"Al Attar Tower")</f>
        <v>Al Attar Tower</v>
      </c>
      <c r="C12439" s="2" t="str">
        <f ca="1">IFERROR(__xludf.DUMMYFUNCTION("""COMPUTED_VALUE"""),"Building")</f>
        <v>Building</v>
      </c>
      <c r="D12439" s="2" t="str">
        <f ca="1">IFERROR(__xludf.DUMMYFUNCTION("""COMPUTED_VALUE"""),"Dubai&gt;Sheikh Zayed Road&gt;Al Attar Tower")</f>
        <v>Dubai&gt;Sheikh Zayed Road&gt;Al Attar Tower</v>
      </c>
      <c r="E12439" s="2"/>
      <c r="F12439" s="2"/>
      <c r="G12439" s="2"/>
      <c r="H12439" s="2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2"/>
      <c r="T12439" s="2"/>
      <c r="U12439" s="2"/>
      <c r="V12439" s="2"/>
      <c r="W12439" s="2"/>
      <c r="X12439" s="2"/>
      <c r="Y12439" s="2"/>
      <c r="Z12439" s="2"/>
    </row>
    <row r="12440" spans="1:26" ht="16.5" x14ac:dyDescent="0.35">
      <c r="A12440" s="2" t="str">
        <f ca="1">IFERROR(__xludf.DUMMYFUNCTION("""COMPUTED_VALUE"""),"Dubai")</f>
        <v>Dubai</v>
      </c>
      <c r="B12440" s="2" t="str">
        <f ca="1">IFERROR(__xludf.DUMMYFUNCTION("""COMPUTED_VALUE"""),"City Premiere Hotel Apartments")</f>
        <v>City Premiere Hotel Apartments</v>
      </c>
      <c r="C12440" s="2" t="str">
        <f ca="1">IFERROR(__xludf.DUMMYFUNCTION("""COMPUTED_VALUE"""),"Building")</f>
        <v>Building</v>
      </c>
      <c r="D12440" s="2" t="str">
        <f ca="1">IFERROR(__xludf.DUMMYFUNCTION("""COMPUTED_VALUE"""),"Dubai&gt;Sheikh Zayed Road&gt;City Premiere Hotel Apartments")</f>
        <v>Dubai&gt;Sheikh Zayed Road&gt;City Premiere Hotel Apartments</v>
      </c>
      <c r="E12440" s="2"/>
      <c r="F12440" s="2"/>
      <c r="G12440" s="2"/>
      <c r="H12440" s="2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2"/>
      <c r="T12440" s="2"/>
      <c r="U12440" s="2"/>
      <c r="V12440" s="2"/>
      <c r="W12440" s="2"/>
      <c r="X12440" s="2"/>
      <c r="Y12440" s="2"/>
      <c r="Z12440" s="2"/>
    </row>
    <row r="12441" spans="1:26" ht="16.5" x14ac:dyDescent="0.35">
      <c r="A12441" s="2" t="str">
        <f ca="1">IFERROR(__xludf.DUMMYFUNCTION("""COMPUTED_VALUE"""),"Dubai")</f>
        <v>Dubai</v>
      </c>
      <c r="B12441" s="2" t="str">
        <f ca="1">IFERROR(__xludf.DUMMYFUNCTION("""COMPUTED_VALUE"""),"Al Muhairibi Building")</f>
        <v>Al Muhairibi Building</v>
      </c>
      <c r="C12441" s="2" t="str">
        <f ca="1">IFERROR(__xludf.DUMMYFUNCTION("""COMPUTED_VALUE"""),"Building")</f>
        <v>Building</v>
      </c>
      <c r="D12441" s="2" t="str">
        <f ca="1">IFERROR(__xludf.DUMMYFUNCTION("""COMPUTED_VALUE"""),"Dubai&gt;Al Karama&gt;Al Muhairibi Building")</f>
        <v>Dubai&gt;Al Karama&gt;Al Muhairibi Building</v>
      </c>
      <c r="E12441" s="2"/>
      <c r="F12441" s="2"/>
      <c r="G12441" s="2"/>
      <c r="H12441" s="2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2"/>
      <c r="T12441" s="2"/>
      <c r="U12441" s="2"/>
      <c r="V12441" s="2"/>
      <c r="W12441" s="2"/>
      <c r="X12441" s="2"/>
      <c r="Y12441" s="2"/>
      <c r="Z12441" s="2"/>
    </row>
    <row r="12442" spans="1:26" ht="16.5" x14ac:dyDescent="0.35">
      <c r="A12442" s="2" t="str">
        <f ca="1">IFERROR(__xludf.DUMMYFUNCTION("""COMPUTED_VALUE"""),"Dubai")</f>
        <v>Dubai</v>
      </c>
      <c r="B12442" s="2" t="str">
        <f ca="1">IFERROR(__xludf.DUMMYFUNCTION("""COMPUTED_VALUE"""),"Building 18")</f>
        <v>Building 18</v>
      </c>
      <c r="C12442" s="2" t="str">
        <f ca="1">IFERROR(__xludf.DUMMYFUNCTION("""COMPUTED_VALUE"""),"Building")</f>
        <v>Building</v>
      </c>
      <c r="D12442" s="2" t="str">
        <f ca="1">IFERROR(__xludf.DUMMYFUNCTION("""COMPUTED_VALUE"""),"Dubai&gt;Al Karama&gt;Karam Pioneer Buildings&gt;Building 18")</f>
        <v>Dubai&gt;Al Karama&gt;Karam Pioneer Buildings&gt;Building 18</v>
      </c>
      <c r="E12442" s="2"/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2"/>
      <c r="T12442" s="2"/>
      <c r="U12442" s="2"/>
      <c r="V12442" s="2"/>
      <c r="W12442" s="2"/>
      <c r="X12442" s="2"/>
      <c r="Y12442" s="2"/>
      <c r="Z12442" s="2"/>
    </row>
    <row r="12443" spans="1:26" ht="16.5" x14ac:dyDescent="0.35">
      <c r="A12443" s="2" t="str">
        <f ca="1">IFERROR(__xludf.DUMMYFUNCTION("""COMPUTED_VALUE"""),"Dubai")</f>
        <v>Dubai</v>
      </c>
      <c r="B12443" s="2" t="str">
        <f ca="1">IFERROR(__xludf.DUMMYFUNCTION("""COMPUTED_VALUE"""),"Al Nakheel Building")</f>
        <v>Al Nakheel Building</v>
      </c>
      <c r="C12443" s="2" t="str">
        <f ca="1">IFERROR(__xludf.DUMMYFUNCTION("""COMPUTED_VALUE"""),"Building")</f>
        <v>Building</v>
      </c>
      <c r="D12443" s="2" t="str">
        <f ca="1">IFERROR(__xludf.DUMMYFUNCTION("""COMPUTED_VALUE"""),"Dubai&gt;Al Karama&gt;Al Nakheel Building")</f>
        <v>Dubai&gt;Al Karama&gt;Al Nakheel Building</v>
      </c>
      <c r="E12443" s="2"/>
      <c r="F12443" s="2"/>
      <c r="G12443" s="2"/>
      <c r="H12443" s="2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2"/>
      <c r="T12443" s="2"/>
      <c r="U12443" s="2"/>
      <c r="V12443" s="2"/>
      <c r="W12443" s="2"/>
      <c r="X12443" s="2"/>
      <c r="Y12443" s="2"/>
      <c r="Z12443" s="2"/>
    </row>
    <row r="12444" spans="1:26" ht="16.5" x14ac:dyDescent="0.35">
      <c r="A12444" s="2" t="str">
        <f ca="1">IFERROR(__xludf.DUMMYFUNCTION("""COMPUTED_VALUE"""),"Dubai")</f>
        <v>Dubai</v>
      </c>
      <c r="B12444" s="2" t="str">
        <f ca="1">IFERROR(__xludf.DUMMYFUNCTION("""COMPUTED_VALUE"""),"Al Telal 7")</f>
        <v>Al Telal 7</v>
      </c>
      <c r="C12444" s="2" t="str">
        <f ca="1">IFERROR(__xludf.DUMMYFUNCTION("""COMPUTED_VALUE"""),"Building")</f>
        <v>Building</v>
      </c>
      <c r="D12444" s="2" t="str">
        <f ca="1">IFERROR(__xludf.DUMMYFUNCTION("""COMPUTED_VALUE"""),"Dubai&gt;Al Karama&gt;Al Telal 7")</f>
        <v>Dubai&gt;Al Karama&gt;Al Telal 7</v>
      </c>
      <c r="E12444" s="2"/>
      <c r="F12444" s="2"/>
      <c r="G12444" s="2"/>
      <c r="H12444" s="2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2"/>
      <c r="T12444" s="2"/>
      <c r="U12444" s="2"/>
      <c r="V12444" s="2"/>
      <c r="W12444" s="2"/>
      <c r="X12444" s="2"/>
      <c r="Y12444" s="2"/>
      <c r="Z12444" s="2"/>
    </row>
    <row r="12445" spans="1:26" ht="16.5" x14ac:dyDescent="0.35">
      <c r="A12445" s="2" t="str">
        <f ca="1">IFERROR(__xludf.DUMMYFUNCTION("""COMPUTED_VALUE"""),"Dubai")</f>
        <v>Dubai</v>
      </c>
      <c r="B12445" s="2" t="str">
        <f ca="1">IFERROR(__xludf.DUMMYFUNCTION("""COMPUTED_VALUE"""),"Salem Al Moosa Building")</f>
        <v>Salem Al Moosa Building</v>
      </c>
      <c r="C12445" s="2" t="str">
        <f ca="1">IFERROR(__xludf.DUMMYFUNCTION("""COMPUTED_VALUE"""),"Building")</f>
        <v>Building</v>
      </c>
      <c r="D12445" s="2" t="str">
        <f ca="1">IFERROR(__xludf.DUMMYFUNCTION("""COMPUTED_VALUE"""),"Dubai&gt;Al Karama&gt;Salem Al Moosa Building")</f>
        <v>Dubai&gt;Al Karama&gt;Salem Al Moosa Building</v>
      </c>
      <c r="E12445" s="2"/>
      <c r="F12445" s="2"/>
      <c r="G12445" s="2"/>
      <c r="H12445" s="2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2"/>
      <c r="T12445" s="2"/>
      <c r="U12445" s="2"/>
      <c r="V12445" s="2"/>
      <c r="W12445" s="2"/>
      <c r="X12445" s="2"/>
      <c r="Y12445" s="2"/>
      <c r="Z12445" s="2"/>
    </row>
    <row r="12446" spans="1:26" ht="16.5" x14ac:dyDescent="0.35">
      <c r="A12446" s="2" t="str">
        <f ca="1">IFERROR(__xludf.DUMMYFUNCTION("""COMPUTED_VALUE"""),"Dubai")</f>
        <v>Dubai</v>
      </c>
      <c r="B12446" s="2" t="str">
        <f ca="1">IFERROR(__xludf.DUMMYFUNCTION("""COMPUTED_VALUE"""),"Naresco 8 Building")</f>
        <v>Naresco 8 Building</v>
      </c>
      <c r="C12446" s="2" t="str">
        <f ca="1">IFERROR(__xludf.DUMMYFUNCTION("""COMPUTED_VALUE"""),"Building")</f>
        <v>Building</v>
      </c>
      <c r="D12446" s="2" t="str">
        <f ca="1">IFERROR(__xludf.DUMMYFUNCTION("""COMPUTED_VALUE"""),"Dubai&gt;Al Karama&gt;Naresco 8 Building")</f>
        <v>Dubai&gt;Al Karama&gt;Naresco 8 Building</v>
      </c>
      <c r="E12446" s="2"/>
      <c r="F12446" s="2"/>
      <c r="G12446" s="2"/>
      <c r="H12446" s="2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2"/>
      <c r="T12446" s="2"/>
      <c r="U12446" s="2"/>
      <c r="V12446" s="2"/>
      <c r="W12446" s="2"/>
      <c r="X12446" s="2"/>
      <c r="Y12446" s="2"/>
      <c r="Z12446" s="2"/>
    </row>
    <row r="12447" spans="1:26" ht="16.5" x14ac:dyDescent="0.35">
      <c r="A12447" s="2" t="str">
        <f ca="1">IFERROR(__xludf.DUMMYFUNCTION("""COMPUTED_VALUE"""),"Dubai")</f>
        <v>Dubai</v>
      </c>
      <c r="B12447" s="2" t="str">
        <f ca="1">IFERROR(__xludf.DUMMYFUNCTION("""COMPUTED_VALUE"""),"Al Hilal Building")</f>
        <v>Al Hilal Building</v>
      </c>
      <c r="C12447" s="2" t="str">
        <f ca="1">IFERROR(__xludf.DUMMYFUNCTION("""COMPUTED_VALUE"""),"Building")</f>
        <v>Building</v>
      </c>
      <c r="D12447" s="2" t="str">
        <f ca="1">IFERROR(__xludf.DUMMYFUNCTION("""COMPUTED_VALUE"""),"Dubai&gt;Al Karama&gt;Al Hilal Building")</f>
        <v>Dubai&gt;Al Karama&gt;Al Hilal Building</v>
      </c>
      <c r="E12447" s="2"/>
      <c r="F12447" s="2"/>
      <c r="G12447" s="2"/>
      <c r="H12447" s="2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2"/>
      <c r="T12447" s="2"/>
      <c r="U12447" s="2"/>
      <c r="V12447" s="2"/>
      <c r="W12447" s="2"/>
      <c r="X12447" s="2"/>
      <c r="Y12447" s="2"/>
      <c r="Z12447" s="2"/>
    </row>
    <row r="12448" spans="1:26" ht="16.5" x14ac:dyDescent="0.35">
      <c r="A12448" s="2" t="str">
        <f ca="1">IFERROR(__xludf.DUMMYFUNCTION("""COMPUTED_VALUE"""),"Dubai")</f>
        <v>Dubai</v>
      </c>
      <c r="B12448" s="2" t="str">
        <f ca="1">IFERROR(__xludf.DUMMYFUNCTION("""COMPUTED_VALUE"""),"Mubarak Khalifa Hamad Sayed Building")</f>
        <v>Mubarak Khalifa Hamad Sayed Building</v>
      </c>
      <c r="C12448" s="2" t="str">
        <f ca="1">IFERROR(__xludf.DUMMYFUNCTION("""COMPUTED_VALUE"""),"Building")</f>
        <v>Building</v>
      </c>
      <c r="D12448" s="2" t="str">
        <f ca="1">IFERROR(__xludf.DUMMYFUNCTION("""COMPUTED_VALUE"""),"Dubai&gt;Al Karama&gt;Mubarak Khalifa Hamad Sayed Building")</f>
        <v>Dubai&gt;Al Karama&gt;Mubarak Khalifa Hamad Sayed Building</v>
      </c>
      <c r="E12448" s="2"/>
      <c r="F12448" s="2"/>
      <c r="G12448" s="2"/>
      <c r="H12448" s="2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2"/>
      <c r="T12448" s="2"/>
      <c r="U12448" s="2"/>
      <c r="V12448" s="2"/>
      <c r="W12448" s="2"/>
      <c r="X12448" s="2"/>
      <c r="Y12448" s="2"/>
      <c r="Z12448" s="2"/>
    </row>
    <row r="12449" spans="1:26" ht="16.5" x14ac:dyDescent="0.35">
      <c r="A12449" s="2" t="str">
        <f ca="1">IFERROR(__xludf.DUMMYFUNCTION("""COMPUTED_VALUE"""),"Dubai")</f>
        <v>Dubai</v>
      </c>
      <c r="B12449" s="2" t="str">
        <f ca="1">IFERROR(__xludf.DUMMYFUNCTION("""COMPUTED_VALUE"""),"Eid Khalfan Al Muhairabi Building")</f>
        <v>Eid Khalfan Al Muhairabi Building</v>
      </c>
      <c r="C12449" s="2" t="str">
        <f ca="1">IFERROR(__xludf.DUMMYFUNCTION("""COMPUTED_VALUE"""),"Building")</f>
        <v>Building</v>
      </c>
      <c r="D12449" s="2" t="str">
        <f ca="1">IFERROR(__xludf.DUMMYFUNCTION("""COMPUTED_VALUE"""),"Dubai&gt;Al Karama&gt;Eid Khalfan Al Muhairabi Building")</f>
        <v>Dubai&gt;Al Karama&gt;Eid Khalfan Al Muhairabi Building</v>
      </c>
      <c r="E12449" s="2"/>
      <c r="F12449" s="2"/>
      <c r="G12449" s="2"/>
      <c r="H12449" s="2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2"/>
      <c r="T12449" s="2"/>
      <c r="U12449" s="2"/>
      <c r="V12449" s="2"/>
      <c r="W12449" s="2"/>
      <c r="X12449" s="2"/>
      <c r="Y12449" s="2"/>
      <c r="Z12449" s="2"/>
    </row>
    <row r="12450" spans="1:26" ht="16.5" x14ac:dyDescent="0.35">
      <c r="A12450" s="2" t="str">
        <f ca="1">IFERROR(__xludf.DUMMYFUNCTION("""COMPUTED_VALUE"""),"Dubai")</f>
        <v>Dubai</v>
      </c>
      <c r="B12450" s="2" t="str">
        <f ca="1">IFERROR(__xludf.DUMMYFUNCTION("""COMPUTED_VALUE"""),"Mubarak Block A")</f>
        <v>Mubarak Block A</v>
      </c>
      <c r="C12450" s="2" t="str">
        <f ca="1">IFERROR(__xludf.DUMMYFUNCTION("""COMPUTED_VALUE"""),"Building")</f>
        <v>Building</v>
      </c>
      <c r="D12450" s="2" t="str">
        <f ca="1">IFERROR(__xludf.DUMMYFUNCTION("""COMPUTED_VALUE"""),"Dubai&gt;Al Karama&gt;Mubarak Blocks&gt;Mubarak Block A")</f>
        <v>Dubai&gt;Al Karama&gt;Mubarak Blocks&gt;Mubarak Block A</v>
      </c>
      <c r="E12450" s="2"/>
      <c r="F12450" s="2"/>
      <c r="G12450" s="2"/>
      <c r="H12450" s="2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2"/>
      <c r="T12450" s="2"/>
      <c r="U12450" s="2"/>
      <c r="V12450" s="2"/>
      <c r="W12450" s="2"/>
      <c r="X12450" s="2"/>
      <c r="Y12450" s="2"/>
      <c r="Z12450" s="2"/>
    </row>
    <row r="12451" spans="1:26" ht="16.5" x14ac:dyDescent="0.35">
      <c r="A12451" s="2" t="str">
        <f ca="1">IFERROR(__xludf.DUMMYFUNCTION("""COMPUTED_VALUE"""),"Dubai")</f>
        <v>Dubai</v>
      </c>
      <c r="B12451" s="2" t="str">
        <f ca="1">IFERROR(__xludf.DUMMYFUNCTION("""COMPUTED_VALUE"""),"Salem Al Amri Building")</f>
        <v>Salem Al Amri Building</v>
      </c>
      <c r="C12451" s="2" t="str">
        <f ca="1">IFERROR(__xludf.DUMMYFUNCTION("""COMPUTED_VALUE"""),"Building")</f>
        <v>Building</v>
      </c>
      <c r="D12451" s="2" t="str">
        <f ca="1">IFERROR(__xludf.DUMMYFUNCTION("""COMPUTED_VALUE"""),"Dubai&gt;Al Karama&gt;Salem Al Amri Building")</f>
        <v>Dubai&gt;Al Karama&gt;Salem Al Amri Building</v>
      </c>
      <c r="E12451" s="2"/>
      <c r="F12451" s="2"/>
      <c r="G12451" s="2"/>
      <c r="H12451" s="2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2"/>
      <c r="T12451" s="2"/>
      <c r="U12451" s="2"/>
      <c r="V12451" s="2"/>
      <c r="W12451" s="2"/>
      <c r="X12451" s="2"/>
      <c r="Y12451" s="2"/>
      <c r="Z12451" s="2"/>
    </row>
    <row r="12452" spans="1:26" ht="16.5" x14ac:dyDescent="0.35">
      <c r="A12452" s="2" t="str">
        <f ca="1">IFERROR(__xludf.DUMMYFUNCTION("""COMPUTED_VALUE"""),"Dubai")</f>
        <v>Dubai</v>
      </c>
      <c r="B12452" s="2" t="str">
        <f ca="1">IFERROR(__xludf.DUMMYFUNCTION("""COMPUTED_VALUE"""),"Karama Residence")</f>
        <v>Karama Residence</v>
      </c>
      <c r="C12452" s="2" t="str">
        <f ca="1">IFERROR(__xludf.DUMMYFUNCTION("""COMPUTED_VALUE"""),"Building")</f>
        <v>Building</v>
      </c>
      <c r="D12452" s="2" t="str">
        <f ca="1">IFERROR(__xludf.DUMMYFUNCTION("""COMPUTED_VALUE"""),"Dubai&gt;Al Karama&gt;Karama Residence")</f>
        <v>Dubai&gt;Al Karama&gt;Karama Residence</v>
      </c>
      <c r="E12452" s="2"/>
      <c r="F12452" s="2"/>
      <c r="G12452" s="2"/>
      <c r="H12452" s="2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2"/>
      <c r="T12452" s="2"/>
      <c r="U12452" s="2"/>
      <c r="V12452" s="2"/>
      <c r="W12452" s="2"/>
      <c r="X12452" s="2"/>
      <c r="Y12452" s="2"/>
      <c r="Z12452" s="2"/>
    </row>
    <row r="12453" spans="1:26" ht="16.5" x14ac:dyDescent="0.35">
      <c r="A12453" s="2" t="str">
        <f ca="1">IFERROR(__xludf.DUMMYFUNCTION("""COMPUTED_VALUE"""),"Dubai")</f>
        <v>Dubai</v>
      </c>
      <c r="B12453" s="2" t="str">
        <f ca="1">IFERROR(__xludf.DUMMYFUNCTION("""COMPUTED_VALUE"""),"Jameel Arts Centre")</f>
        <v>Jameel Arts Centre</v>
      </c>
      <c r="C12453" s="2" t="str">
        <f ca="1">IFERROR(__xludf.DUMMYFUNCTION("""COMPUTED_VALUE"""),"Building")</f>
        <v>Building</v>
      </c>
      <c r="D12453" s="2" t="str">
        <f ca="1">IFERROR(__xludf.DUMMYFUNCTION("""COMPUTED_VALUE"""),"Dubai&gt;Culture Village (Jaddaf Waterfront)&gt;Jameel Arts Centre")</f>
        <v>Dubai&gt;Culture Village (Jaddaf Waterfront)&gt;Jameel Arts Centre</v>
      </c>
      <c r="E12453" s="2"/>
      <c r="F12453" s="2"/>
      <c r="G12453" s="2"/>
      <c r="H12453" s="2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2"/>
      <c r="T12453" s="2"/>
      <c r="U12453" s="2"/>
      <c r="V12453" s="2"/>
      <c r="W12453" s="2"/>
      <c r="X12453" s="2"/>
      <c r="Y12453" s="2"/>
      <c r="Z12453" s="2"/>
    </row>
    <row r="12454" spans="1:26" ht="16.5" x14ac:dyDescent="0.35">
      <c r="A12454" s="2" t="str">
        <f ca="1">IFERROR(__xludf.DUMMYFUNCTION("""COMPUTED_VALUE"""),"Dubai")</f>
        <v>Dubai</v>
      </c>
      <c r="B12454" s="2" t="str">
        <f ca="1">IFERROR(__xludf.DUMMYFUNCTION("""COMPUTED_VALUE"""),"Amber Residency")</f>
        <v>Amber Residency</v>
      </c>
      <c r="C12454" s="2" t="str">
        <f ca="1">IFERROR(__xludf.DUMMYFUNCTION("""COMPUTED_VALUE"""),"Building")</f>
        <v>Building</v>
      </c>
      <c r="D12454" s="2" t="str">
        <f ca="1">IFERROR(__xludf.DUMMYFUNCTION("""COMPUTED_VALUE"""),"Dubai&gt;Umm Suqeim&gt;Umm Suqeim 3&gt;Amber Residency")</f>
        <v>Dubai&gt;Umm Suqeim&gt;Umm Suqeim 3&gt;Amber Residency</v>
      </c>
      <c r="E12454" s="2"/>
      <c r="F12454" s="2"/>
      <c r="G12454" s="2"/>
      <c r="H12454" s="2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2"/>
      <c r="T12454" s="2"/>
      <c r="U12454" s="2"/>
      <c r="V12454" s="2"/>
      <c r="W12454" s="2"/>
      <c r="X12454" s="2"/>
      <c r="Y12454" s="2"/>
      <c r="Z12454" s="2"/>
    </row>
    <row r="12455" spans="1:26" ht="16.5" x14ac:dyDescent="0.35">
      <c r="A12455" s="2" t="str">
        <f ca="1">IFERROR(__xludf.DUMMYFUNCTION("""COMPUTED_VALUE"""),"Dubai")</f>
        <v>Dubai</v>
      </c>
      <c r="B12455" s="2" t="str">
        <f ca="1">IFERROR(__xludf.DUMMYFUNCTION("""COMPUTED_VALUE"""),"Jomana 1")</f>
        <v>Jomana 1</v>
      </c>
      <c r="C12455" s="2" t="str">
        <f ca="1">IFERROR(__xludf.DUMMYFUNCTION("""COMPUTED_VALUE"""),"Building")</f>
        <v>Building</v>
      </c>
      <c r="D12455" s="2" t="str">
        <f ca="1">IFERROR(__xludf.DUMMYFUNCTION("""COMPUTED_VALUE"""),"Dubai&gt;Umm Suqeim&gt;Madinat Jumeirah Living&gt;Jomana&gt;Jomana 1")</f>
        <v>Dubai&gt;Umm Suqeim&gt;Madinat Jumeirah Living&gt;Jomana&gt;Jomana 1</v>
      </c>
      <c r="E12455" s="2"/>
      <c r="F12455" s="2"/>
      <c r="G12455" s="2"/>
      <c r="H12455" s="2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2"/>
      <c r="T12455" s="2"/>
      <c r="U12455" s="2"/>
      <c r="V12455" s="2"/>
      <c r="W12455" s="2"/>
      <c r="X12455" s="2"/>
      <c r="Y12455" s="2"/>
      <c r="Z12455" s="2"/>
    </row>
    <row r="12456" spans="1:26" ht="16.5" x14ac:dyDescent="0.35">
      <c r="A12456" s="2" t="str">
        <f ca="1">IFERROR(__xludf.DUMMYFUNCTION("""COMPUTED_VALUE"""),"Dubai")</f>
        <v>Dubai</v>
      </c>
      <c r="B12456" s="2" t="str">
        <f ca="1">IFERROR(__xludf.DUMMYFUNCTION("""COMPUTED_VALUE"""),"SMR Villas")</f>
        <v>SMR Villas</v>
      </c>
      <c r="C12456" s="2" t="str">
        <f ca="1">IFERROR(__xludf.DUMMYFUNCTION("""COMPUTED_VALUE"""),"Neighbourhood")</f>
        <v>Neighbourhood</v>
      </c>
      <c r="D12456" s="2" t="str">
        <f ca="1">IFERROR(__xludf.DUMMYFUNCTION("""COMPUTED_VALUE"""),"Dubai&gt;Umm Suqeim&gt;Umm Suqeim 2&gt;SMR Villas")</f>
        <v>Dubai&gt;Umm Suqeim&gt;Umm Suqeim 2&gt;SMR Villas</v>
      </c>
      <c r="E12456" s="2"/>
      <c r="F12456" s="2"/>
      <c r="G12456" s="2"/>
      <c r="H12456" s="2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2"/>
      <c r="T12456" s="2"/>
      <c r="U12456" s="2"/>
      <c r="V12456" s="2"/>
      <c r="W12456" s="2"/>
      <c r="X12456" s="2"/>
      <c r="Y12456" s="2"/>
      <c r="Z12456" s="2"/>
    </row>
    <row r="12457" spans="1:26" ht="16.5" x14ac:dyDescent="0.35">
      <c r="A12457" s="2" t="str">
        <f ca="1">IFERROR(__xludf.DUMMYFUNCTION("""COMPUTED_VALUE"""),"Dubai")</f>
        <v>Dubai</v>
      </c>
      <c r="B12457" s="2" t="str">
        <f ca="1">IFERROR(__xludf.DUMMYFUNCTION("""COMPUTED_VALUE"""),"Azizi Milan Heights Tower A")</f>
        <v>Azizi Milan Heights Tower A</v>
      </c>
      <c r="C12457" s="2" t="str">
        <f ca="1">IFERROR(__xludf.DUMMYFUNCTION("""COMPUTED_VALUE"""),"Building")</f>
        <v>Building</v>
      </c>
      <c r="D12457" s="2" t="str">
        <f ca="1">IFERROR(__xludf.DUMMYFUNCTION("""COMPUTED_VALUE"""),"Dubai&gt;City of Arabia&gt;Azizi Milan&gt;Azizi Milan Heights&gt;Azizi Milan Heights Tower A")</f>
        <v>Dubai&gt;City of Arabia&gt;Azizi Milan&gt;Azizi Milan Heights&gt;Azizi Milan Heights Tower A</v>
      </c>
      <c r="E12457" s="2"/>
      <c r="F12457" s="2"/>
      <c r="G12457" s="2"/>
      <c r="H12457" s="2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2"/>
      <c r="T12457" s="2"/>
      <c r="U12457" s="2"/>
      <c r="V12457" s="2"/>
      <c r="W12457" s="2"/>
      <c r="X12457" s="2"/>
      <c r="Y12457" s="2"/>
      <c r="Z12457" s="2"/>
    </row>
    <row r="12458" spans="1:26" ht="16.5" x14ac:dyDescent="0.35">
      <c r="A12458" s="2" t="str">
        <f ca="1">IFERROR(__xludf.DUMMYFUNCTION("""COMPUTED_VALUE"""),"Dubai")</f>
        <v>Dubai</v>
      </c>
      <c r="B12458" s="2" t="str">
        <f ca="1">IFERROR(__xludf.DUMMYFUNCTION("""COMPUTED_VALUE"""),"Al Bada'a Building C")</f>
        <v>Al Bada'a Building C</v>
      </c>
      <c r="C12458" s="2" t="str">
        <f ca="1">IFERROR(__xludf.DUMMYFUNCTION("""COMPUTED_VALUE"""),"Building")</f>
        <v>Building</v>
      </c>
      <c r="D12458" s="2" t="str">
        <f ca="1">IFERROR(__xludf.DUMMYFUNCTION("""COMPUTED_VALUE"""),"Dubai&gt;Al Badaa&gt;Al Bada'a Building C")</f>
        <v>Dubai&gt;Al Badaa&gt;Al Bada'a Building C</v>
      </c>
      <c r="E12458" s="2"/>
      <c r="F12458" s="2"/>
      <c r="G12458" s="2"/>
      <c r="H12458" s="2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2"/>
      <c r="T12458" s="2"/>
      <c r="U12458" s="2"/>
      <c r="V12458" s="2"/>
      <c r="W12458" s="2"/>
      <c r="X12458" s="2"/>
      <c r="Y12458" s="2"/>
      <c r="Z12458" s="2"/>
    </row>
    <row r="12459" spans="1:26" ht="16.5" x14ac:dyDescent="0.35">
      <c r="A12459" s="2" t="str">
        <f ca="1">IFERROR(__xludf.DUMMYFUNCTION("""COMPUTED_VALUE"""),"Dubai")</f>
        <v>Dubai</v>
      </c>
      <c r="B12459" s="2" t="str">
        <f ca="1">IFERROR(__xludf.DUMMYFUNCTION("""COMPUTED_VALUE"""),"Sheikh Sultan Bin Mujrin Building")</f>
        <v>Sheikh Sultan Bin Mujrin Building</v>
      </c>
      <c r="C12459" s="2" t="str">
        <f ca="1">IFERROR(__xludf.DUMMYFUNCTION("""COMPUTED_VALUE"""),"Building")</f>
        <v>Building</v>
      </c>
      <c r="D12459" s="2" t="str">
        <f ca="1">IFERROR(__xludf.DUMMYFUNCTION("""COMPUTED_VALUE"""),"Dubai&gt;Al Badaa&gt;Sheikh Sultan Bin Mujrin Building")</f>
        <v>Dubai&gt;Al Badaa&gt;Sheikh Sultan Bin Mujrin Building</v>
      </c>
      <c r="E12459" s="2"/>
      <c r="F12459" s="2"/>
      <c r="G12459" s="2"/>
      <c r="H12459" s="2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2"/>
      <c r="T12459" s="2"/>
      <c r="U12459" s="2"/>
      <c r="V12459" s="2"/>
      <c r="W12459" s="2"/>
      <c r="X12459" s="2"/>
      <c r="Y12459" s="2"/>
      <c r="Z12459" s="2"/>
    </row>
    <row r="12460" spans="1:26" ht="16.5" x14ac:dyDescent="0.35">
      <c r="A12460" s="2" t="str">
        <f ca="1">IFERROR(__xludf.DUMMYFUNCTION("""COMPUTED_VALUE"""),"Dubai")</f>
        <v>Dubai</v>
      </c>
      <c r="B12460" s="2" t="str">
        <f ca="1">IFERROR(__xludf.DUMMYFUNCTION("""COMPUTED_VALUE"""),"Manara 6")</f>
        <v>Manara 6</v>
      </c>
      <c r="C12460" s="2" t="str">
        <f ca="1">IFERROR(__xludf.DUMMYFUNCTION("""COMPUTED_VALUE"""),"Building")</f>
        <v>Building</v>
      </c>
      <c r="D12460" s="2" t="str">
        <f ca="1">IFERROR(__xludf.DUMMYFUNCTION("""COMPUTED_VALUE"""),"Dubai&gt;Dubai Waterfront&gt;Badrah&gt;Manara&gt;Manara 6")</f>
        <v>Dubai&gt;Dubai Waterfront&gt;Badrah&gt;Manara&gt;Manara 6</v>
      </c>
      <c r="E12460" s="2"/>
      <c r="F12460" s="2"/>
      <c r="G12460" s="2"/>
      <c r="H12460" s="2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2"/>
      <c r="T12460" s="2"/>
      <c r="U12460" s="2"/>
      <c r="V12460" s="2"/>
      <c r="W12460" s="2"/>
      <c r="X12460" s="2"/>
      <c r="Y12460" s="2"/>
      <c r="Z12460" s="2"/>
    </row>
    <row r="12461" spans="1:26" ht="16.5" x14ac:dyDescent="0.35">
      <c r="A12461" s="2" t="str">
        <f ca="1">IFERROR(__xludf.DUMMYFUNCTION("""COMPUTED_VALUE"""),"Dubai")</f>
        <v>Dubai</v>
      </c>
      <c r="B12461" s="2" t="str">
        <f ca="1">IFERROR(__xludf.DUMMYFUNCTION("""COMPUTED_VALUE"""),"Arab Authority For Agricultural Investment And Development")</f>
        <v>Arab Authority For Agricultural Investment And Development</v>
      </c>
      <c r="C12461" s="2" t="str">
        <f ca="1">IFERROR(__xludf.DUMMYFUNCTION("""COMPUTED_VALUE"""),"Building")</f>
        <v>Building</v>
      </c>
      <c r="D12461" s="2" t="str">
        <f ca="1">IFERROR(__xludf.DUMMYFUNCTION("""COMPUTED_VALUE"""),"Dubai&gt;Academic City&gt;Arab Authority For Agricultural Investment And Development")</f>
        <v>Dubai&gt;Academic City&gt;Arab Authority For Agricultural Investment And Development</v>
      </c>
      <c r="E12461" s="2"/>
      <c r="F12461" s="2"/>
      <c r="G12461" s="2"/>
      <c r="H12461" s="2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2"/>
      <c r="T12461" s="2"/>
      <c r="U12461" s="2"/>
      <c r="V12461" s="2"/>
      <c r="W12461" s="2"/>
      <c r="X12461" s="2"/>
      <c r="Y12461" s="2"/>
      <c r="Z12461" s="2"/>
    </row>
    <row r="12462" spans="1:26" ht="16.5" x14ac:dyDescent="0.35">
      <c r="A12462" s="2" t="str">
        <f ca="1">IFERROR(__xludf.DUMMYFUNCTION("""COMPUTED_VALUE"""),"Dubai")</f>
        <v>Dubai</v>
      </c>
      <c r="B12462" s="2" t="str">
        <f ca="1">IFERROR(__xludf.DUMMYFUNCTION("""COMPUTED_VALUE"""),"Building 1A")</f>
        <v>Building 1A</v>
      </c>
      <c r="C12462" s="2" t="str">
        <f ca="1">IFERROR(__xludf.DUMMYFUNCTION("""COMPUTED_VALUE"""),"Building")</f>
        <v>Building</v>
      </c>
      <c r="D12462" s="2" t="str">
        <f ca="1">IFERROR(__xludf.DUMMYFUNCTION("""COMPUTED_VALUE"""),"Dubai&gt;Dubai Design District&gt;Dubai Design District Building 1&gt;Building 1A")</f>
        <v>Dubai&gt;Dubai Design District&gt;Dubai Design District Building 1&gt;Building 1A</v>
      </c>
      <c r="E12462" s="2"/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  <c r="V12462" s="2"/>
      <c r="W12462" s="2"/>
      <c r="X12462" s="2"/>
      <c r="Y12462" s="2"/>
      <c r="Z12462" s="2"/>
    </row>
    <row r="12463" spans="1:26" ht="16.5" x14ac:dyDescent="0.35">
      <c r="A12463" s="2" t="str">
        <f ca="1">IFERROR(__xludf.DUMMYFUNCTION("""COMPUTED_VALUE"""),"Dubai")</f>
        <v>Dubai</v>
      </c>
      <c r="B12463" s="2" t="str">
        <f ca="1">IFERROR(__xludf.DUMMYFUNCTION("""COMPUTED_VALUE"""),"Nasser Khamis Block D")</f>
        <v>Nasser Khamis Block D</v>
      </c>
      <c r="C12463" s="2" t="str">
        <f ca="1">IFERROR(__xludf.DUMMYFUNCTION("""COMPUTED_VALUE"""),"Building")</f>
        <v>Building</v>
      </c>
      <c r="D12463" s="2" t="str">
        <f ca="1">IFERROR(__xludf.DUMMYFUNCTION("""COMPUTED_VALUE"""),"Dubai&gt;Al Hudaiba&gt;Nasser Khamis Blocks&gt;Nasser Khamis Block D")</f>
        <v>Dubai&gt;Al Hudaiba&gt;Nasser Khamis Blocks&gt;Nasser Khamis Block D</v>
      </c>
      <c r="E12463" s="2"/>
      <c r="F12463" s="2"/>
      <c r="G12463" s="2"/>
      <c r="H12463" s="2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2"/>
      <c r="T12463" s="2"/>
      <c r="U12463" s="2"/>
      <c r="V12463" s="2"/>
      <c r="W12463" s="2"/>
      <c r="X12463" s="2"/>
      <c r="Y12463" s="2"/>
      <c r="Z12463" s="2"/>
    </row>
    <row r="12464" spans="1:26" ht="16.5" x14ac:dyDescent="0.35">
      <c r="A12464" s="2" t="str">
        <f ca="1">IFERROR(__xludf.DUMMYFUNCTION("""COMPUTED_VALUE"""),"Dubai")</f>
        <v>Dubai</v>
      </c>
      <c r="B12464" s="2" t="str">
        <f ca="1">IFERROR(__xludf.DUMMYFUNCTION("""COMPUTED_VALUE"""),"Sheikh Hamdan Juma")</f>
        <v>Sheikh Hamdan Juma</v>
      </c>
      <c r="C12464" s="2" t="str">
        <f ca="1">IFERROR(__xludf.DUMMYFUNCTION("""COMPUTED_VALUE"""),"Building")</f>
        <v>Building</v>
      </c>
      <c r="D12464" s="2" t="str">
        <f ca="1">IFERROR(__xludf.DUMMYFUNCTION("""COMPUTED_VALUE"""),"Dubai&gt;Jumeirah&gt;Jumeirah 1&gt;Sheikh Hamdan Juma")</f>
        <v>Dubai&gt;Jumeirah&gt;Jumeirah 1&gt;Sheikh Hamdan Juma</v>
      </c>
      <c r="E12464" s="2"/>
      <c r="F12464" s="2"/>
      <c r="G12464" s="2"/>
      <c r="H12464" s="2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2"/>
      <c r="T12464" s="2"/>
      <c r="U12464" s="2"/>
      <c r="V12464" s="2"/>
      <c r="W12464" s="2"/>
      <c r="X12464" s="2"/>
      <c r="Y12464" s="2"/>
      <c r="Z12464" s="2"/>
    </row>
    <row r="12465" spans="1:26" ht="16.5" x14ac:dyDescent="0.35">
      <c r="A12465" s="2" t="str">
        <f ca="1">IFERROR(__xludf.DUMMYFUNCTION("""COMPUTED_VALUE"""),"Dubai")</f>
        <v>Dubai</v>
      </c>
      <c r="B12465" s="2" t="str">
        <f ca="1">IFERROR(__xludf.DUMMYFUNCTION("""COMPUTED_VALUE"""),"BVLGARI Resort")</f>
        <v>BVLGARI Resort</v>
      </c>
      <c r="C12465" s="2" t="str">
        <f ca="1">IFERROR(__xludf.DUMMYFUNCTION("""COMPUTED_VALUE"""),"Building")</f>
        <v>Building</v>
      </c>
      <c r="D12465" s="2" t="str">
        <f ca="1">IFERROR(__xludf.DUMMYFUNCTION("""COMPUTED_VALUE"""),"Dubai&gt;Jumeirah&gt;Jumeirah Bay Islands&gt;BVLGARI Resort")</f>
        <v>Dubai&gt;Jumeirah&gt;Jumeirah Bay Islands&gt;BVLGARI Resort</v>
      </c>
      <c r="E12465" s="2"/>
      <c r="F12465" s="2"/>
      <c r="G12465" s="2"/>
      <c r="H12465" s="2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2"/>
      <c r="T12465" s="2"/>
      <c r="U12465" s="2"/>
      <c r="V12465" s="2"/>
      <c r="W12465" s="2"/>
      <c r="X12465" s="2"/>
      <c r="Y12465" s="2"/>
      <c r="Z12465" s="2"/>
    </row>
    <row r="12466" spans="1:26" ht="16.5" x14ac:dyDescent="0.35">
      <c r="A12466" s="2" t="str">
        <f ca="1">IFERROR(__xludf.DUMMYFUNCTION("""COMPUTED_VALUE"""),"Dubai")</f>
        <v>Dubai</v>
      </c>
      <c r="B12466" s="2" t="str">
        <f ca="1">IFERROR(__xludf.DUMMYFUNCTION("""COMPUTED_VALUE"""),"La Rive Tower 1")</f>
        <v>La Rive Tower 1</v>
      </c>
      <c r="C12466" s="2" t="str">
        <f ca="1">IFERROR(__xludf.DUMMYFUNCTION("""COMPUTED_VALUE"""),"Building")</f>
        <v>Building</v>
      </c>
      <c r="D12466" s="2" t="str">
        <f ca="1">IFERROR(__xludf.DUMMYFUNCTION("""COMPUTED_VALUE"""),"Dubai&gt;Jumeirah&gt;La Mer&gt;Port de La Mer&gt;La Rive&gt;La Rive Tower 1")</f>
        <v>Dubai&gt;Jumeirah&gt;La Mer&gt;Port de La Mer&gt;La Rive&gt;La Rive Tower 1</v>
      </c>
      <c r="E12466" s="2"/>
      <c r="F12466" s="2"/>
      <c r="G12466" s="2"/>
      <c r="H12466" s="2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2"/>
      <c r="T12466" s="2"/>
      <c r="U12466" s="2"/>
      <c r="V12466" s="2"/>
      <c r="W12466" s="2"/>
      <c r="X12466" s="2"/>
      <c r="Y12466" s="2"/>
      <c r="Z12466" s="2"/>
    </row>
    <row r="12467" spans="1:26" ht="16.5" x14ac:dyDescent="0.35">
      <c r="A12467" s="2" t="str">
        <f ca="1">IFERROR(__xludf.DUMMYFUNCTION("""COMPUTED_VALUE"""),"Dubai")</f>
        <v>Dubai</v>
      </c>
      <c r="B12467" s="2" t="str">
        <f ca="1">IFERROR(__xludf.DUMMYFUNCTION("""COMPUTED_VALUE"""),"Solaya 2")</f>
        <v>Solaya 2</v>
      </c>
      <c r="C12467" s="2" t="str">
        <f ca="1">IFERROR(__xludf.DUMMYFUNCTION("""COMPUTED_VALUE"""),"Building")</f>
        <v>Building</v>
      </c>
      <c r="D12467" s="2" t="str">
        <f ca="1">IFERROR(__xludf.DUMMYFUNCTION("""COMPUTED_VALUE"""),"Dubai&gt;Jumeirah&gt;La Mer&gt;Solaya&gt;Solaya 2")</f>
        <v>Dubai&gt;Jumeirah&gt;La Mer&gt;Solaya&gt;Solaya 2</v>
      </c>
      <c r="E12467" s="2"/>
      <c r="F12467" s="2"/>
      <c r="G12467" s="2"/>
      <c r="H12467" s="2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2"/>
      <c r="T12467" s="2"/>
      <c r="U12467" s="2"/>
      <c r="V12467" s="2"/>
      <c r="W12467" s="2"/>
      <c r="X12467" s="2"/>
      <c r="Y12467" s="2"/>
      <c r="Z12467" s="2"/>
    </row>
    <row r="12468" spans="1:26" ht="16.5" x14ac:dyDescent="0.35">
      <c r="A12468" s="2" t="str">
        <f ca="1">IFERROR(__xludf.DUMMYFUNCTION("""COMPUTED_VALUE"""),"Dubai")</f>
        <v>Dubai</v>
      </c>
      <c r="B12468" s="2" t="str">
        <f ca="1">IFERROR(__xludf.DUMMYFUNCTION("""COMPUTED_VALUE"""),"Harbour Gate Tower 1")</f>
        <v>Harbour Gate Tower 1</v>
      </c>
      <c r="C12468" s="2" t="str">
        <f ca="1">IFERROR(__xludf.DUMMYFUNCTION("""COMPUTED_VALUE"""),"Building")</f>
        <v>Building</v>
      </c>
      <c r="D12468" s="2" t="str">
        <f ca="1">IFERROR(__xludf.DUMMYFUNCTION("""COMPUTED_VALUE"""),"Dubai&gt;Dubai Creek Harbour&gt;Harbour Gate&gt;Harbour Gate Tower 1")</f>
        <v>Dubai&gt;Dubai Creek Harbour&gt;Harbour Gate&gt;Harbour Gate Tower 1</v>
      </c>
      <c r="E12468" s="2"/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  <c r="V12468" s="2"/>
      <c r="W12468" s="2"/>
      <c r="X12468" s="2"/>
      <c r="Y12468" s="2"/>
      <c r="Z12468" s="2"/>
    </row>
    <row r="12469" spans="1:26" ht="16.5" x14ac:dyDescent="0.35">
      <c r="A12469" s="2" t="str">
        <f ca="1">IFERROR(__xludf.DUMMYFUNCTION("""COMPUTED_VALUE"""),"Dubai")</f>
        <v>Dubai</v>
      </c>
      <c r="B12469" s="2" t="str">
        <f ca="1">IFERROR(__xludf.DUMMYFUNCTION("""COMPUTED_VALUE"""),"Vida Residences Creek Beach")</f>
        <v>Vida Residences Creek Beach</v>
      </c>
      <c r="C12469" s="2" t="str">
        <f ca="1">IFERROR(__xludf.DUMMYFUNCTION("""COMPUTED_VALUE"""),"Building")</f>
        <v>Building</v>
      </c>
      <c r="D12469" s="2" t="str">
        <f ca="1">IFERROR(__xludf.DUMMYFUNCTION("""COMPUTED_VALUE"""),"Dubai&gt;Dubai Creek Harbour&gt;Vida Residences Creek Beach")</f>
        <v>Dubai&gt;Dubai Creek Harbour&gt;Vida Residences Creek Beach</v>
      </c>
      <c r="E12469" s="2"/>
      <c r="F12469" s="2"/>
      <c r="G12469" s="2"/>
      <c r="H12469" s="2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2"/>
      <c r="T12469" s="2"/>
      <c r="U12469" s="2"/>
      <c r="V12469" s="2"/>
      <c r="W12469" s="2"/>
      <c r="X12469" s="2"/>
      <c r="Y12469" s="2"/>
      <c r="Z12469" s="2"/>
    </row>
    <row r="12470" spans="1:26" ht="16.5" x14ac:dyDescent="0.35">
      <c r="A12470" s="2" t="str">
        <f ca="1">IFERROR(__xludf.DUMMYFUNCTION("""COMPUTED_VALUE"""),"Dubai")</f>
        <v>Dubai</v>
      </c>
      <c r="B12470" s="2" t="str">
        <f ca="1">IFERROR(__xludf.DUMMYFUNCTION("""COMPUTED_VALUE"""),"The Cove II Building 5")</f>
        <v>The Cove II Building 5</v>
      </c>
      <c r="C12470" s="2" t="str">
        <f ca="1">IFERROR(__xludf.DUMMYFUNCTION("""COMPUTED_VALUE"""),"Building")</f>
        <v>Building</v>
      </c>
      <c r="D12470" s="2" t="str">
        <f ca="1">IFERROR(__xludf.DUMMYFUNCTION("""COMPUTED_VALUE"""),"Dubai&gt;Dubai Creek Harbour&gt;The Cove II&gt;The Cove II Building 5")</f>
        <v>Dubai&gt;Dubai Creek Harbour&gt;The Cove II&gt;The Cove II Building 5</v>
      </c>
      <c r="E12470" s="2"/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2"/>
      <c r="T12470" s="2"/>
      <c r="U12470" s="2"/>
      <c r="V12470" s="2"/>
      <c r="W12470" s="2"/>
      <c r="X12470" s="2"/>
      <c r="Y12470" s="2"/>
      <c r="Z12470" s="2"/>
    </row>
    <row r="12471" spans="1:26" ht="16.5" x14ac:dyDescent="0.35">
      <c r="A12471" s="2" t="str">
        <f ca="1">IFERROR(__xludf.DUMMYFUNCTION("""COMPUTED_VALUE"""),"Dubai")</f>
        <v>Dubai</v>
      </c>
      <c r="B12471" s="2" t="str">
        <f ca="1">IFERROR(__xludf.DUMMYFUNCTION("""COMPUTED_VALUE"""),"Canopy at Creek Beach Building 2")</f>
        <v>Canopy at Creek Beach Building 2</v>
      </c>
      <c r="C12471" s="2" t="str">
        <f ca="1">IFERROR(__xludf.DUMMYFUNCTION("""COMPUTED_VALUE"""),"Building")</f>
        <v>Building</v>
      </c>
      <c r="D12471" s="2" t="str">
        <f ca="1">IFERROR(__xludf.DUMMYFUNCTION("""COMPUTED_VALUE"""),"Dubai&gt;Dubai Creek Harbour&gt;Canopy at Creek Beach&gt;Canopy at Creek Beach Building 2")</f>
        <v>Dubai&gt;Dubai Creek Harbour&gt;Canopy at Creek Beach&gt;Canopy at Creek Beach Building 2</v>
      </c>
      <c r="E12471" s="2"/>
      <c r="F12471" s="2"/>
      <c r="G12471" s="2"/>
      <c r="H12471" s="2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2"/>
      <c r="T12471" s="2"/>
      <c r="U12471" s="2"/>
      <c r="V12471" s="2"/>
      <c r="W12471" s="2"/>
      <c r="X12471" s="2"/>
      <c r="Y12471" s="2"/>
      <c r="Z12471" s="2"/>
    </row>
    <row r="12472" spans="1:26" ht="16.5" x14ac:dyDescent="0.35">
      <c r="A12472" s="2" t="str">
        <f ca="1">IFERROR(__xludf.DUMMYFUNCTION("""COMPUTED_VALUE"""),"Dubai")</f>
        <v>Dubai</v>
      </c>
      <c r="B12472" s="2" t="str">
        <f ca="1">IFERROR(__xludf.DUMMYFUNCTION("""COMPUTED_VALUE"""),"Cayan Business Center")</f>
        <v>Cayan Business Center</v>
      </c>
      <c r="C12472" s="2" t="str">
        <f ca="1">IFERROR(__xludf.DUMMYFUNCTION("""COMPUTED_VALUE"""),"Building")</f>
        <v>Building</v>
      </c>
      <c r="D12472" s="2" t="str">
        <f ca="1">IFERROR(__xludf.DUMMYFUNCTION("""COMPUTED_VALUE"""),"Dubai&gt;Barsha Heights (Tecom)&gt;Cayan Business Center")</f>
        <v>Dubai&gt;Barsha Heights (Tecom)&gt;Cayan Business Center</v>
      </c>
      <c r="E12472" s="2"/>
      <c r="F12472" s="2"/>
      <c r="G12472" s="2"/>
      <c r="H12472" s="2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2"/>
      <c r="T12472" s="2"/>
      <c r="U12472" s="2"/>
      <c r="V12472" s="2"/>
      <c r="W12472" s="2"/>
      <c r="X12472" s="2"/>
      <c r="Y12472" s="2"/>
      <c r="Z12472" s="2"/>
    </row>
    <row r="12473" spans="1:26" ht="16.5" x14ac:dyDescent="0.35">
      <c r="A12473" s="2" t="str">
        <f ca="1">IFERROR(__xludf.DUMMYFUNCTION("""COMPUTED_VALUE"""),"Dubai")</f>
        <v>Dubai</v>
      </c>
      <c r="B12473" s="2" t="str">
        <f ca="1">IFERROR(__xludf.DUMMYFUNCTION("""COMPUTED_VALUE"""),"Green View 2")</f>
        <v>Green View 2</v>
      </c>
      <c r="C12473" s="2" t="str">
        <f ca="1">IFERROR(__xludf.DUMMYFUNCTION("""COMPUTED_VALUE"""),"Building")</f>
        <v>Building</v>
      </c>
      <c r="D12473" s="2" t="str">
        <f ca="1">IFERROR(__xludf.DUMMYFUNCTION("""COMPUTED_VALUE"""),"Dubai&gt;Barsha Heights (Tecom)&gt;Green View Residences&gt;Green View 2")</f>
        <v>Dubai&gt;Barsha Heights (Tecom)&gt;Green View Residences&gt;Green View 2</v>
      </c>
      <c r="E12473" s="2"/>
      <c r="F12473" s="2"/>
      <c r="G12473" s="2"/>
      <c r="H12473" s="2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2"/>
      <c r="T12473" s="2"/>
      <c r="U12473" s="2"/>
      <c r="V12473" s="2"/>
      <c r="W12473" s="2"/>
      <c r="X12473" s="2"/>
      <c r="Y12473" s="2"/>
      <c r="Z12473" s="2"/>
    </row>
    <row r="12474" spans="1:26" ht="16.5" x14ac:dyDescent="0.35">
      <c r="A12474" s="2" t="str">
        <f ca="1">IFERROR(__xludf.DUMMYFUNCTION("""COMPUTED_VALUE"""),"Dubai")</f>
        <v>Dubai</v>
      </c>
      <c r="B12474" s="2" t="str">
        <f ca="1">IFERROR(__xludf.DUMMYFUNCTION("""COMPUTED_VALUE"""),"Signature Hotel")</f>
        <v>Signature Hotel</v>
      </c>
      <c r="C12474" s="2" t="str">
        <f ca="1">IFERROR(__xludf.DUMMYFUNCTION("""COMPUTED_VALUE"""),"Building")</f>
        <v>Building</v>
      </c>
      <c r="D12474" s="2" t="str">
        <f ca="1">IFERROR(__xludf.DUMMYFUNCTION("""COMPUTED_VALUE"""),"Dubai&gt;Barsha Heights (Tecom)&gt;Signature Hotel")</f>
        <v>Dubai&gt;Barsha Heights (Tecom)&gt;Signature Hotel</v>
      </c>
      <c r="E12474" s="2"/>
      <c r="F12474" s="2"/>
      <c r="G12474" s="2"/>
      <c r="H12474" s="2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2"/>
      <c r="T12474" s="2"/>
      <c r="U12474" s="2"/>
      <c r="V12474" s="2"/>
      <c r="W12474" s="2"/>
      <c r="X12474" s="2"/>
      <c r="Y12474" s="2"/>
      <c r="Z12474" s="2"/>
    </row>
    <row r="12475" spans="1:26" ht="16.5" x14ac:dyDescent="0.35">
      <c r="A12475" s="2" t="str">
        <f ca="1">IFERROR(__xludf.DUMMYFUNCTION("""COMPUTED_VALUE"""),"Dubai")</f>
        <v>Dubai</v>
      </c>
      <c r="B12475" s="2" t="str">
        <f ca="1">IFERROR(__xludf.DUMMYFUNCTION("""COMPUTED_VALUE"""),"RDK Residence")</f>
        <v>RDK Residence</v>
      </c>
      <c r="C12475" s="2" t="str">
        <f ca="1">IFERROR(__xludf.DUMMYFUNCTION("""COMPUTED_VALUE"""),"Building")</f>
        <v>Building</v>
      </c>
      <c r="D12475" s="2" t="str">
        <f ca="1">IFERROR(__xludf.DUMMYFUNCTION("""COMPUTED_VALUE"""),"Dubai&gt;Barsha Heights (Tecom)&gt;RDK Residence")</f>
        <v>Dubai&gt;Barsha Heights (Tecom)&gt;RDK Residence</v>
      </c>
      <c r="E12475" s="2"/>
      <c r="F12475" s="2"/>
      <c r="G12475" s="2"/>
      <c r="H12475" s="2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2"/>
      <c r="T12475" s="2"/>
      <c r="U12475" s="2"/>
      <c r="V12475" s="2"/>
      <c r="W12475" s="2"/>
      <c r="X12475" s="2"/>
      <c r="Y12475" s="2"/>
      <c r="Z12475" s="2"/>
    </row>
    <row r="12476" spans="1:26" ht="16.5" x14ac:dyDescent="0.35">
      <c r="A12476" s="2" t="str">
        <f ca="1">IFERROR(__xludf.DUMMYFUNCTION("""COMPUTED_VALUE"""),"Dubai")</f>
        <v>Dubai</v>
      </c>
      <c r="B12476" s="2" t="str">
        <f ca="1">IFERROR(__xludf.DUMMYFUNCTION("""COMPUTED_VALUE"""),"Eden Apartments Block C")</f>
        <v>Eden Apartments Block C</v>
      </c>
      <c r="C12476" s="2" t="str">
        <f ca="1">IFERROR(__xludf.DUMMYFUNCTION("""COMPUTED_VALUE"""),"Building")</f>
        <v>Building</v>
      </c>
      <c r="D12476" s="2" t="str">
        <f ca="1">IFERROR(__xludf.DUMMYFUNCTION("""COMPUTED_VALUE"""),"Dubai&gt;Motor City&gt;Eden Apartments&gt;Eden Apartments Block C")</f>
        <v>Dubai&gt;Motor City&gt;Eden Apartments&gt;Eden Apartments Block C</v>
      </c>
      <c r="E12476" s="2"/>
      <c r="F12476" s="2"/>
      <c r="G12476" s="2"/>
      <c r="H12476" s="2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2"/>
      <c r="T12476" s="2"/>
      <c r="U12476" s="2"/>
      <c r="V12476" s="2"/>
      <c r="W12476" s="2"/>
      <c r="X12476" s="2"/>
      <c r="Y12476" s="2"/>
      <c r="Z12476" s="2"/>
    </row>
    <row r="12477" spans="1:26" ht="16.5" x14ac:dyDescent="0.35">
      <c r="A12477" s="2" t="str">
        <f ca="1">IFERROR(__xludf.DUMMYFUNCTION("""COMPUTED_VALUE"""),"Dubai")</f>
        <v>Dubai</v>
      </c>
      <c r="B12477" s="2" t="str">
        <f ca="1">IFERROR(__xludf.DUMMYFUNCTION("""COMPUTED_VALUE"""),"Claverton House")</f>
        <v>Claverton House</v>
      </c>
      <c r="C12477" s="2" t="str">
        <f ca="1">IFERROR(__xludf.DUMMYFUNCTION("""COMPUTED_VALUE"""),"Cluster")</f>
        <v>Cluster</v>
      </c>
      <c r="D12477" s="2" t="str">
        <f ca="1">IFERROR(__xludf.DUMMYFUNCTION("""COMPUTED_VALUE"""),"Dubai&gt;Motor City&gt;Uptown Motor City&gt;Claverton House")</f>
        <v>Dubai&gt;Motor City&gt;Uptown Motor City&gt;Claverton House</v>
      </c>
      <c r="E12477" s="2"/>
      <c r="F12477" s="2"/>
      <c r="G12477" s="2"/>
      <c r="H12477" s="2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2"/>
      <c r="T12477" s="2"/>
      <c r="U12477" s="2"/>
      <c r="V12477" s="2"/>
      <c r="W12477" s="2"/>
      <c r="X12477" s="2"/>
      <c r="Y12477" s="2"/>
      <c r="Z12477" s="2"/>
    </row>
    <row r="12478" spans="1:26" ht="16.5" x14ac:dyDescent="0.35">
      <c r="A12478" s="2" t="str">
        <f ca="1">IFERROR(__xludf.DUMMYFUNCTION("""COMPUTED_VALUE"""),"Dubai")</f>
        <v>Dubai</v>
      </c>
      <c r="B12478" s="2" t="str">
        <f ca="1">IFERROR(__xludf.DUMMYFUNCTION("""COMPUTED_VALUE"""),"Fox Hill 7")</f>
        <v>Fox Hill 7</v>
      </c>
      <c r="C12478" s="2" t="str">
        <f ca="1">IFERROR(__xludf.DUMMYFUNCTION("""COMPUTED_VALUE"""),"Building")</f>
        <v>Building</v>
      </c>
      <c r="D12478" s="2" t="str">
        <f ca="1">IFERROR(__xludf.DUMMYFUNCTION("""COMPUTED_VALUE"""),"Dubai&gt;Motor City&gt;Uptown Motor City&gt;Fox Hill&gt;Fox Hill 7")</f>
        <v>Dubai&gt;Motor City&gt;Uptown Motor City&gt;Fox Hill&gt;Fox Hill 7</v>
      </c>
      <c r="E12478" s="2"/>
      <c r="F12478" s="2"/>
      <c r="G12478" s="2"/>
      <c r="H12478" s="2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2"/>
      <c r="T12478" s="2"/>
      <c r="U12478" s="2"/>
      <c r="V12478" s="2"/>
      <c r="W12478" s="2"/>
      <c r="X12478" s="2"/>
      <c r="Y12478" s="2"/>
      <c r="Z12478" s="2"/>
    </row>
    <row r="12479" spans="1:26" ht="16.5" x14ac:dyDescent="0.35">
      <c r="A12479" s="2" t="str">
        <f ca="1">IFERROR(__xludf.DUMMYFUNCTION("""COMPUTED_VALUE"""),"Dubai")</f>
        <v>Dubai</v>
      </c>
      <c r="B12479" s="2" t="str">
        <f ca="1">IFERROR(__xludf.DUMMYFUNCTION("""COMPUTED_VALUE"""),"Motor City Hills")</f>
        <v>Motor City Hills</v>
      </c>
      <c r="C12479" s="2" t="str">
        <f ca="1">IFERROR(__xludf.DUMMYFUNCTION("""COMPUTED_VALUE"""),"Neighbourhood")</f>
        <v>Neighbourhood</v>
      </c>
      <c r="D12479" s="2" t="str">
        <f ca="1">IFERROR(__xludf.DUMMYFUNCTION("""COMPUTED_VALUE"""),"Dubai&gt;Motor City&gt;Motor City Hills")</f>
        <v>Dubai&gt;Motor City&gt;Motor City Hills</v>
      </c>
      <c r="E12479" s="2"/>
      <c r="F12479" s="2"/>
      <c r="G12479" s="2"/>
      <c r="H12479" s="2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2"/>
      <c r="T12479" s="2"/>
      <c r="U12479" s="2"/>
      <c r="V12479" s="2"/>
      <c r="W12479" s="2"/>
      <c r="X12479" s="2"/>
      <c r="Y12479" s="2"/>
      <c r="Z12479" s="2"/>
    </row>
    <row r="12480" spans="1:26" ht="16.5" x14ac:dyDescent="0.35">
      <c r="A12480" s="2" t="str">
        <f ca="1">IFERROR(__xludf.DUMMYFUNCTION("""COMPUTED_VALUE"""),"Dubai")</f>
        <v>Dubai</v>
      </c>
      <c r="B12480" s="2" t="str">
        <f ca="1">IFERROR(__xludf.DUMMYFUNCTION("""COMPUTED_VALUE"""),"Mirdad 1")</f>
        <v>Mirdad 1</v>
      </c>
      <c r="C12480" s="2" t="str">
        <f ca="1">IFERROR(__xludf.DUMMYFUNCTION("""COMPUTED_VALUE"""),"Building")</f>
        <v>Building</v>
      </c>
      <c r="D12480" s="2" t="str">
        <f ca="1">IFERROR(__xludf.DUMMYFUNCTION("""COMPUTED_VALUE"""),"Dubai&gt;Motor City&gt;Mirdad&gt;Mirdad 1")</f>
        <v>Dubai&gt;Motor City&gt;Mirdad&gt;Mirdad 1</v>
      </c>
      <c r="E12480" s="2"/>
      <c r="F12480" s="2"/>
      <c r="G12480" s="2"/>
      <c r="H12480" s="2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2"/>
      <c r="T12480" s="2"/>
      <c r="U12480" s="2"/>
      <c r="V12480" s="2"/>
      <c r="W12480" s="2"/>
      <c r="X12480" s="2"/>
      <c r="Y12480" s="2"/>
      <c r="Z12480" s="2"/>
    </row>
    <row r="12481" spans="1:26" ht="16.5" x14ac:dyDescent="0.35">
      <c r="A12481" s="2" t="str">
        <f ca="1">IFERROR(__xludf.DUMMYFUNCTION("""COMPUTED_VALUE"""),"Dubai")</f>
        <v>Dubai</v>
      </c>
      <c r="B12481" s="2" t="str">
        <f ca="1">IFERROR(__xludf.DUMMYFUNCTION("""COMPUTED_VALUE"""),"Fairmont Dubai Skyline")</f>
        <v>Fairmont Dubai Skyline</v>
      </c>
      <c r="C12481" s="2" t="str">
        <f ca="1">IFERROR(__xludf.DUMMYFUNCTION("""COMPUTED_VALUE"""),"Building")</f>
        <v>Building</v>
      </c>
      <c r="D12481" s="2" t="str">
        <f ca="1">IFERROR(__xludf.DUMMYFUNCTION("""COMPUTED_VALUE"""),"Dubai&gt;Al Sufouh&gt;Al Sufouh 1&gt;Fairmont Dubai Skyline")</f>
        <v>Dubai&gt;Al Sufouh&gt;Al Sufouh 1&gt;Fairmont Dubai Skyline</v>
      </c>
      <c r="E12481" s="2"/>
      <c r="F12481" s="2"/>
      <c r="G12481" s="2"/>
      <c r="H12481" s="2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2"/>
      <c r="T12481" s="2"/>
      <c r="U12481" s="2"/>
      <c r="V12481" s="2"/>
      <c r="W12481" s="2"/>
      <c r="X12481" s="2"/>
      <c r="Y12481" s="2"/>
      <c r="Z12481" s="2"/>
    </row>
    <row r="12482" spans="1:26" ht="16.5" x14ac:dyDescent="0.35">
      <c r="A12482" s="2" t="str">
        <f ca="1">IFERROR(__xludf.DUMMYFUNCTION("""COMPUTED_VALUE"""),"Dubai")</f>
        <v>Dubai</v>
      </c>
      <c r="B12482" s="2" t="str">
        <f ca="1">IFERROR(__xludf.DUMMYFUNCTION("""COMPUTED_VALUE"""),"Boutique Office 7")</f>
        <v>Boutique Office 7</v>
      </c>
      <c r="C12482" s="2" t="str">
        <f ca="1">IFERROR(__xludf.DUMMYFUNCTION("""COMPUTED_VALUE"""),"Building")</f>
        <v>Building</v>
      </c>
      <c r="D12482" s="2" t="str">
        <f ca="1">IFERROR(__xludf.DUMMYFUNCTION("""COMPUTED_VALUE"""),"Dubai&gt;Al Sufouh&gt;Al Sufouh 2&gt;Boutique Offices&gt;Boutique Office 7")</f>
        <v>Dubai&gt;Al Sufouh&gt;Al Sufouh 2&gt;Boutique Offices&gt;Boutique Office 7</v>
      </c>
      <c r="E12482" s="2"/>
      <c r="F12482" s="2"/>
      <c r="G12482" s="2"/>
      <c r="H12482" s="2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2"/>
      <c r="T12482" s="2"/>
      <c r="U12482" s="2"/>
      <c r="V12482" s="2"/>
      <c r="W12482" s="2"/>
      <c r="X12482" s="2"/>
      <c r="Y12482" s="2"/>
      <c r="Z12482" s="2"/>
    </row>
    <row r="12483" spans="1:26" ht="16.5" x14ac:dyDescent="0.35">
      <c r="A12483" s="2" t="str">
        <f ca="1">IFERROR(__xludf.DUMMYFUNCTION("""COMPUTED_VALUE"""),"Dubai")</f>
        <v>Dubai</v>
      </c>
      <c r="B12483" s="2" t="str">
        <f ca="1">IFERROR(__xludf.DUMMYFUNCTION("""COMPUTED_VALUE"""),"Al Badia Condo 4")</f>
        <v>Al Badia Condo 4</v>
      </c>
      <c r="C12483" s="2" t="str">
        <f ca="1">IFERROR(__xludf.DUMMYFUNCTION("""COMPUTED_VALUE"""),"Building")</f>
        <v>Building</v>
      </c>
      <c r="D12483" s="2" t="str">
        <f ca="1">IFERROR(__xludf.DUMMYFUNCTION("""COMPUTED_VALUE"""),"Dubai&gt;Dubai Festival City&gt;Al Badia Hillside Village&gt;Al Badia Condo 4")</f>
        <v>Dubai&gt;Dubai Festival City&gt;Al Badia Hillside Village&gt;Al Badia Condo 4</v>
      </c>
      <c r="E12483" s="2"/>
      <c r="F12483" s="2"/>
      <c r="G12483" s="2"/>
      <c r="H12483" s="2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2"/>
      <c r="T12483" s="2"/>
      <c r="U12483" s="2"/>
      <c r="V12483" s="2"/>
      <c r="W12483" s="2"/>
      <c r="X12483" s="2"/>
      <c r="Y12483" s="2"/>
      <c r="Z12483" s="2"/>
    </row>
    <row r="12484" spans="1:26" ht="16.5" x14ac:dyDescent="0.35">
      <c r="A12484" s="2" t="str">
        <f ca="1">IFERROR(__xludf.DUMMYFUNCTION("""COMPUTED_VALUE"""),"Dubai")</f>
        <v>Dubai</v>
      </c>
      <c r="B12484" s="2" t="str">
        <f ca="1">IFERROR(__xludf.DUMMYFUNCTION("""COMPUTED_VALUE"""),"Golf Panorama A")</f>
        <v>Golf Panorama A</v>
      </c>
      <c r="C12484" s="2" t="str">
        <f ca="1">IFERROR(__xludf.DUMMYFUNCTION("""COMPUTED_VALUE"""),"Building")</f>
        <v>Building</v>
      </c>
      <c r="D12484" s="2" t="str">
        <f ca="1">IFERROR(__xludf.DUMMYFUNCTION("""COMPUTED_VALUE"""),"Dubai&gt;DAMAC Hills&gt;Golf Town&gt;Golf Panorama&gt;Golf Panorama A")</f>
        <v>Dubai&gt;DAMAC Hills&gt;Golf Town&gt;Golf Panorama&gt;Golf Panorama A</v>
      </c>
      <c r="E12484" s="2"/>
      <c r="F12484" s="2"/>
      <c r="G12484" s="2"/>
      <c r="H12484" s="2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2"/>
      <c r="T12484" s="2"/>
      <c r="U12484" s="2"/>
      <c r="V12484" s="2"/>
      <c r="W12484" s="2"/>
      <c r="X12484" s="2"/>
      <c r="Y12484" s="2"/>
      <c r="Z12484" s="2"/>
    </row>
    <row r="12485" spans="1:26" ht="16.5" x14ac:dyDescent="0.35">
      <c r="A12485" s="2" t="str">
        <f ca="1">IFERROR(__xludf.DUMMYFUNCTION("""COMPUTED_VALUE"""),"Dubai")</f>
        <v>Dubai</v>
      </c>
      <c r="B12485" s="2" t="str">
        <f ca="1">IFERROR(__xludf.DUMMYFUNCTION("""COMPUTED_VALUE"""),"Trinity")</f>
        <v>Trinity</v>
      </c>
      <c r="C12485" s="2" t="str">
        <f ca="1">IFERROR(__xludf.DUMMYFUNCTION("""COMPUTED_VALUE"""),"Neighbourhood")</f>
        <v>Neighbourhood</v>
      </c>
      <c r="D12485" s="2" t="str">
        <f ca="1">IFERROR(__xludf.DUMMYFUNCTION("""COMPUTED_VALUE"""),"Dubai&gt;DAMAC Hills&gt;The Park Villas&gt;Trinity")</f>
        <v>Dubai&gt;DAMAC Hills&gt;The Park Villas&gt;Trinity</v>
      </c>
      <c r="E12485" s="2"/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  <c r="V12485" s="2"/>
      <c r="W12485" s="2"/>
      <c r="X12485" s="2"/>
      <c r="Y12485" s="2"/>
      <c r="Z12485" s="2"/>
    </row>
    <row r="12486" spans="1:26" ht="16.5" x14ac:dyDescent="0.35">
      <c r="A12486" s="2" t="str">
        <f ca="1">IFERROR(__xludf.DUMMYFUNCTION("""COMPUTED_VALUE"""),"Dubai")</f>
        <v>Dubai</v>
      </c>
      <c r="B12486" s="2" t="str">
        <f ca="1">IFERROR(__xludf.DUMMYFUNCTION("""COMPUTED_VALUE"""),"Loreto 1B")</f>
        <v>Loreto 1B</v>
      </c>
      <c r="C12486" s="2" t="str">
        <f ca="1">IFERROR(__xludf.DUMMYFUNCTION("""COMPUTED_VALUE"""),"Building")</f>
        <v>Building</v>
      </c>
      <c r="D12486" s="2" t="str">
        <f ca="1">IFERROR(__xludf.DUMMYFUNCTION("""COMPUTED_VALUE"""),"Dubai&gt;DAMAC Hills&gt;Loreto&gt;Loreto B&gt;Loreto 1B")</f>
        <v>Dubai&gt;DAMAC Hills&gt;Loreto&gt;Loreto B&gt;Loreto 1B</v>
      </c>
      <c r="E12486" s="2"/>
      <c r="F12486" s="2"/>
      <c r="G12486" s="2"/>
      <c r="H12486" s="2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2"/>
      <c r="T12486" s="2"/>
      <c r="U12486" s="2"/>
      <c r="V12486" s="2"/>
      <c r="W12486" s="2"/>
      <c r="X12486" s="2"/>
      <c r="Y12486" s="2"/>
      <c r="Z12486" s="2"/>
    </row>
    <row r="12487" spans="1:26" ht="16.5" x14ac:dyDescent="0.35">
      <c r="A12487" s="2" t="str">
        <f ca="1">IFERROR(__xludf.DUMMYFUNCTION("""COMPUTED_VALUE"""),"Dubai")</f>
        <v>Dubai</v>
      </c>
      <c r="B12487" s="2" t="str">
        <f ca="1">IFERROR(__xludf.DUMMYFUNCTION("""COMPUTED_VALUE"""),"Al Mina Building")</f>
        <v>Al Mina Building</v>
      </c>
      <c r="C12487" s="2" t="str">
        <f ca="1">IFERROR(__xludf.DUMMYFUNCTION("""COMPUTED_VALUE"""),"Building")</f>
        <v>Building</v>
      </c>
      <c r="D12487" s="2" t="str">
        <f ca="1">IFERROR(__xludf.DUMMYFUNCTION("""COMPUTED_VALUE"""),"Dubai&gt;Al Mina&gt;Al Mina Building")</f>
        <v>Dubai&gt;Al Mina&gt;Al Mina Building</v>
      </c>
      <c r="E12487" s="2"/>
      <c r="F12487" s="2"/>
      <c r="G12487" s="2"/>
      <c r="H12487" s="2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2"/>
      <c r="T12487" s="2"/>
      <c r="U12487" s="2"/>
      <c r="V12487" s="2"/>
      <c r="W12487" s="2"/>
      <c r="X12487" s="2"/>
      <c r="Y12487" s="2"/>
      <c r="Z12487" s="2"/>
    </row>
    <row r="12488" spans="1:26" ht="16.5" x14ac:dyDescent="0.35">
      <c r="A12488" s="2" t="str">
        <f ca="1">IFERROR(__xludf.DUMMYFUNCTION("""COMPUTED_VALUE"""),"Dubai")</f>
        <v>Dubai</v>
      </c>
      <c r="B12488" s="2" t="str">
        <f ca="1">IFERROR(__xludf.DUMMYFUNCTION("""COMPUTED_VALUE"""),"Platinum Building")</f>
        <v>Platinum Building</v>
      </c>
      <c r="C12488" s="2" t="str">
        <f ca="1">IFERROR(__xludf.DUMMYFUNCTION("""COMPUTED_VALUE"""),"Building")</f>
        <v>Building</v>
      </c>
      <c r="D12488" s="2" t="str">
        <f ca="1">IFERROR(__xludf.DUMMYFUNCTION("""COMPUTED_VALUE"""),"Dubai&gt;Al Mina&gt;Platinum Building")</f>
        <v>Dubai&gt;Al Mina&gt;Platinum Building</v>
      </c>
      <c r="E12488" s="2"/>
      <c r="F12488" s="2"/>
      <c r="G12488" s="2"/>
      <c r="H12488" s="2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2"/>
      <c r="T12488" s="2"/>
      <c r="U12488" s="2"/>
      <c r="V12488" s="2"/>
      <c r="W12488" s="2"/>
      <c r="X12488" s="2"/>
      <c r="Y12488" s="2"/>
      <c r="Z12488" s="2"/>
    </row>
    <row r="12489" spans="1:26" ht="16.5" x14ac:dyDescent="0.35">
      <c r="A12489" s="2" t="str">
        <f ca="1">IFERROR(__xludf.DUMMYFUNCTION("""COMPUTED_VALUE"""),"Dubai")</f>
        <v>Dubai</v>
      </c>
      <c r="B12489" s="2" t="str">
        <f ca="1">IFERROR(__xludf.DUMMYFUNCTION("""COMPUTED_VALUE"""),"Chelsea Residences 2 by DAMAC")</f>
        <v>Chelsea Residences 2 by DAMAC</v>
      </c>
      <c r="C12489" s="2" t="str">
        <f ca="1">IFERROR(__xludf.DUMMYFUNCTION("""COMPUTED_VALUE"""),"Cluster")</f>
        <v>Cluster</v>
      </c>
      <c r="D12489" s="2" t="str">
        <f ca="1">IFERROR(__xludf.DUMMYFUNCTION("""COMPUTED_VALUE"""),"Dubai&gt;Dubai Maritime City&gt;Chelsea Residences 2 by DAMAC")</f>
        <v>Dubai&gt;Dubai Maritime City&gt;Chelsea Residences 2 by DAMAC</v>
      </c>
      <c r="E12489" s="2"/>
      <c r="F12489" s="2"/>
      <c r="G12489" s="2"/>
      <c r="H12489" s="2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2"/>
      <c r="T12489" s="2"/>
      <c r="U12489" s="2"/>
      <c r="V12489" s="2"/>
      <c r="W12489" s="2"/>
      <c r="X12489" s="2"/>
      <c r="Y12489" s="2"/>
      <c r="Z12489" s="2"/>
    </row>
    <row r="12490" spans="1:26" ht="16.5" x14ac:dyDescent="0.35">
      <c r="A12490" s="2" t="str">
        <f ca="1">IFERROR(__xludf.DUMMYFUNCTION("""COMPUTED_VALUE"""),"Dubai")</f>
        <v>Dubai</v>
      </c>
      <c r="B12490" s="2" t="str">
        <f ca="1">IFERROR(__xludf.DUMMYFUNCTION("""COMPUTED_VALUE"""),"Tanaro")</f>
        <v>Tanaro</v>
      </c>
      <c r="C12490" s="2" t="str">
        <f ca="1">IFERROR(__xludf.DUMMYFUNCTION("""COMPUTED_VALUE"""),"Building")</f>
        <v>Building</v>
      </c>
      <c r="D12490" s="2" t="str">
        <f ca="1">IFERROR(__xludf.DUMMYFUNCTION("""COMPUTED_VALUE"""),"Dubai&gt;The Views&gt;Tanaro")</f>
        <v>Dubai&gt;The Views&gt;Tanaro</v>
      </c>
      <c r="E12490" s="2"/>
      <c r="F12490" s="2"/>
      <c r="G12490" s="2"/>
      <c r="H12490" s="2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2"/>
      <c r="T12490" s="2"/>
      <c r="U12490" s="2"/>
      <c r="V12490" s="2"/>
      <c r="W12490" s="2"/>
      <c r="X12490" s="2"/>
      <c r="Y12490" s="2"/>
      <c r="Z12490" s="2"/>
    </row>
    <row r="12491" spans="1:26" ht="16.5" x14ac:dyDescent="0.35">
      <c r="A12491" s="2" t="str">
        <f ca="1">IFERROR(__xludf.DUMMYFUNCTION("""COMPUTED_VALUE"""),"Dubai")</f>
        <v>Dubai</v>
      </c>
      <c r="B12491" s="2" t="str">
        <f ca="1">IFERROR(__xludf.DUMMYFUNCTION("""COMPUTED_VALUE"""),"Chubby Cheeks Business Bay")</f>
        <v>Chubby Cheeks Business Bay</v>
      </c>
      <c r="C12491" s="2" t="str">
        <f ca="1">IFERROR(__xludf.DUMMYFUNCTION("""COMPUTED_VALUE"""),"School")</f>
        <v>School</v>
      </c>
      <c r="D12491" s="2" t="str">
        <f ca="1">IFERROR(__xludf.DUMMYFUNCTION("""COMPUTED_VALUE"""),"Dubai&gt;Al Quoz&gt;Al Quoz 1&gt;Chubby Cheeks Business Bay")</f>
        <v>Dubai&gt;Al Quoz&gt;Al Quoz 1&gt;Chubby Cheeks Business Bay</v>
      </c>
      <c r="E12491" s="2"/>
      <c r="F12491" s="2"/>
      <c r="G12491" s="2"/>
      <c r="H12491" s="2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2"/>
      <c r="T12491" s="2"/>
      <c r="U12491" s="2"/>
      <c r="V12491" s="2"/>
      <c r="W12491" s="2"/>
      <c r="X12491" s="2"/>
      <c r="Y12491" s="2"/>
      <c r="Z12491" s="2"/>
    </row>
    <row r="12492" spans="1:26" ht="16.5" x14ac:dyDescent="0.35">
      <c r="A12492" s="2" t="str">
        <f ca="1">IFERROR(__xludf.DUMMYFUNCTION("""COMPUTED_VALUE"""),"Dubai")</f>
        <v>Dubai</v>
      </c>
      <c r="B12492" s="2" t="str">
        <f ca="1">IFERROR(__xludf.DUMMYFUNCTION("""COMPUTED_VALUE"""),"The Courtyard")</f>
        <v>The Courtyard</v>
      </c>
      <c r="C12492" s="2" t="str">
        <f ca="1">IFERROR(__xludf.DUMMYFUNCTION("""COMPUTED_VALUE"""),"Building")</f>
        <v>Building</v>
      </c>
      <c r="D12492" s="2" t="str">
        <f ca="1">IFERROR(__xludf.DUMMYFUNCTION("""COMPUTED_VALUE"""),"Dubai&gt;Al Quoz&gt;Al Quoz Industrial Area&gt;Al Quoz Industrial Area 1&gt;The Courtyard")</f>
        <v>Dubai&gt;Al Quoz&gt;Al Quoz Industrial Area&gt;Al Quoz Industrial Area 1&gt;The Courtyard</v>
      </c>
      <c r="E12492" s="2"/>
      <c r="F12492" s="2"/>
      <c r="G12492" s="2"/>
      <c r="H12492" s="2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2"/>
      <c r="T12492" s="2"/>
      <c r="U12492" s="2"/>
      <c r="V12492" s="2"/>
      <c r="W12492" s="2"/>
      <c r="X12492" s="2"/>
      <c r="Y12492" s="2"/>
      <c r="Z12492" s="2"/>
    </row>
    <row r="12493" spans="1:26" ht="16.5" x14ac:dyDescent="0.35">
      <c r="A12493" s="2" t="str">
        <f ca="1">IFERROR(__xludf.DUMMYFUNCTION("""COMPUTED_VALUE"""),"Dubai")</f>
        <v>Dubai</v>
      </c>
      <c r="B12493" s="2" t="str">
        <f ca="1">IFERROR(__xludf.DUMMYFUNCTION("""COMPUTED_VALUE"""),"Al Khail Heights Building 5B")</f>
        <v>Al Khail Heights Building 5B</v>
      </c>
      <c r="C12493" s="2" t="str">
        <f ca="1">IFERROR(__xludf.DUMMYFUNCTION("""COMPUTED_VALUE"""),"Building")</f>
        <v>Building</v>
      </c>
      <c r="D12493" s="2" t="str">
        <f ca="1">IFERROR(__xludf.DUMMYFUNCTION("""COMPUTED_VALUE"""),"Dubai&gt;Al Quoz&gt;Al Quoz 4&gt;Al Khail Heights&gt;Al Khail Heights Building 5B")</f>
        <v>Dubai&gt;Al Quoz&gt;Al Quoz 4&gt;Al Khail Heights&gt;Al Khail Heights Building 5B</v>
      </c>
      <c r="E12493" s="2"/>
      <c r="F12493" s="2"/>
      <c r="G12493" s="2"/>
      <c r="H12493" s="2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2"/>
      <c r="T12493" s="2"/>
      <c r="U12493" s="2"/>
      <c r="V12493" s="2"/>
      <c r="W12493" s="2"/>
      <c r="X12493" s="2"/>
      <c r="Y12493" s="2"/>
      <c r="Z12493" s="2"/>
    </row>
    <row r="12494" spans="1:26" ht="16.5" x14ac:dyDescent="0.35">
      <c r="A12494" s="2" t="str">
        <f ca="1">IFERROR(__xludf.DUMMYFUNCTION("""COMPUTED_VALUE"""),"Dubai")</f>
        <v>Dubai</v>
      </c>
      <c r="B12494" s="2" t="str">
        <f ca="1">IFERROR(__xludf.DUMMYFUNCTION("""COMPUTED_VALUE"""),"La Vista Residence")</f>
        <v>La Vista Residence</v>
      </c>
      <c r="C12494" s="2" t="str">
        <f ca="1">IFERROR(__xludf.DUMMYFUNCTION("""COMPUTED_VALUE"""),"Cluster")</f>
        <v>Cluster</v>
      </c>
      <c r="D12494" s="2" t="str">
        <f ca="1">IFERROR(__xludf.DUMMYFUNCTION("""COMPUTED_VALUE"""),"Dubai&gt;Dubai Silicon Oasis (DSO)&gt;La Vista Residence")</f>
        <v>Dubai&gt;Dubai Silicon Oasis (DSO)&gt;La Vista Residence</v>
      </c>
      <c r="E12494" s="2"/>
      <c r="F12494" s="2"/>
      <c r="G12494" s="2"/>
      <c r="H12494" s="2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2"/>
      <c r="T12494" s="2"/>
      <c r="U12494" s="2"/>
      <c r="V12494" s="2"/>
      <c r="W12494" s="2"/>
      <c r="X12494" s="2"/>
      <c r="Y12494" s="2"/>
      <c r="Z12494" s="2"/>
    </row>
    <row r="12495" spans="1:26" ht="16.5" x14ac:dyDescent="0.35">
      <c r="A12495" s="2" t="str">
        <f ca="1">IFERROR(__xludf.DUMMYFUNCTION("""COMPUTED_VALUE"""),"Dubai")</f>
        <v>Dubai</v>
      </c>
      <c r="B12495" s="2" t="str">
        <f ca="1">IFERROR(__xludf.DUMMYFUNCTION("""COMPUTED_VALUE"""),"Silicon Residence 1")</f>
        <v>Silicon Residence 1</v>
      </c>
      <c r="C12495" s="2" t="str">
        <f ca="1">IFERROR(__xludf.DUMMYFUNCTION("""COMPUTED_VALUE"""),"Building")</f>
        <v>Building</v>
      </c>
      <c r="D12495" s="2" t="str">
        <f ca="1">IFERROR(__xludf.DUMMYFUNCTION("""COMPUTED_VALUE"""),"Dubai&gt;Dubai Silicon Oasis (DSO)&gt;Silicon Residences&gt;Silicon Residence 1")</f>
        <v>Dubai&gt;Dubai Silicon Oasis (DSO)&gt;Silicon Residences&gt;Silicon Residence 1</v>
      </c>
      <c r="E12495" s="2"/>
      <c r="F12495" s="2"/>
      <c r="G12495" s="2"/>
      <c r="H12495" s="2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2"/>
      <c r="T12495" s="2"/>
      <c r="U12495" s="2"/>
      <c r="V12495" s="2"/>
      <c r="W12495" s="2"/>
      <c r="X12495" s="2"/>
      <c r="Y12495" s="2"/>
      <c r="Z12495" s="2"/>
    </row>
    <row r="12496" spans="1:26" ht="16.5" x14ac:dyDescent="0.35">
      <c r="A12496" s="2" t="str">
        <f ca="1">IFERROR(__xludf.DUMMYFUNCTION("""COMPUTED_VALUE"""),"Dubai")</f>
        <v>Dubai</v>
      </c>
      <c r="B12496" s="2" t="str">
        <f ca="1">IFERROR(__xludf.DUMMYFUNCTION("""COMPUTED_VALUE"""),"Topaz Residences")</f>
        <v>Topaz Residences</v>
      </c>
      <c r="C12496" s="2" t="str">
        <f ca="1">IFERROR(__xludf.DUMMYFUNCTION("""COMPUTED_VALUE"""),"Building")</f>
        <v>Building</v>
      </c>
      <c r="D12496" s="2" t="str">
        <f ca="1">IFERROR(__xludf.DUMMYFUNCTION("""COMPUTED_VALUE"""),"Dubai&gt;Dubai Silicon Oasis (DSO)&gt;Topaz Residences")</f>
        <v>Dubai&gt;Dubai Silicon Oasis (DSO)&gt;Topaz Residences</v>
      </c>
      <c r="E12496" s="2"/>
      <c r="F12496" s="2"/>
      <c r="G12496" s="2"/>
      <c r="H12496" s="2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2"/>
      <c r="T12496" s="2"/>
      <c r="U12496" s="2"/>
      <c r="V12496" s="2"/>
      <c r="W12496" s="2"/>
      <c r="X12496" s="2"/>
      <c r="Y12496" s="2"/>
      <c r="Z12496" s="2"/>
    </row>
    <row r="12497" spans="1:26" ht="16.5" x14ac:dyDescent="0.35">
      <c r="A12497" s="2" t="str">
        <f ca="1">IFERROR(__xludf.DUMMYFUNCTION("""COMPUTED_VALUE"""),"Dubai")</f>
        <v>Dubai</v>
      </c>
      <c r="B12497" s="2" t="str">
        <f ca="1">IFERROR(__xludf.DUMMYFUNCTION("""COMPUTED_VALUE"""),"Venezia Residence")</f>
        <v>Venezia Residence</v>
      </c>
      <c r="C12497" s="2" t="str">
        <f ca="1">IFERROR(__xludf.DUMMYFUNCTION("""COMPUTED_VALUE"""),"Building")</f>
        <v>Building</v>
      </c>
      <c r="D12497" s="2" t="str">
        <f ca="1">IFERROR(__xludf.DUMMYFUNCTION("""COMPUTED_VALUE"""),"Dubai&gt;Dubai Silicon Oasis (DSO)&gt;Venezia Residence")</f>
        <v>Dubai&gt;Dubai Silicon Oasis (DSO)&gt;Venezia Residence</v>
      </c>
      <c r="E12497" s="2"/>
      <c r="F12497" s="2"/>
      <c r="G12497" s="2"/>
      <c r="H12497" s="2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2"/>
      <c r="T12497" s="2"/>
      <c r="U12497" s="2"/>
      <c r="V12497" s="2"/>
      <c r="W12497" s="2"/>
      <c r="X12497" s="2"/>
      <c r="Y12497" s="2"/>
      <c r="Z12497" s="2"/>
    </row>
    <row r="12498" spans="1:26" ht="16.5" x14ac:dyDescent="0.35">
      <c r="A12498" s="2" t="str">
        <f ca="1">IFERROR(__xludf.DUMMYFUNCTION("""COMPUTED_VALUE"""),"Dubai")</f>
        <v>Dubai</v>
      </c>
      <c r="B12498" s="2" t="str">
        <f ca="1">IFERROR(__xludf.DUMMYFUNCTION("""COMPUTED_VALUE"""),"City Tower 1")</f>
        <v>City Tower 1</v>
      </c>
      <c r="C12498" s="2" t="str">
        <f ca="1">IFERROR(__xludf.DUMMYFUNCTION("""COMPUTED_VALUE"""),"Building")</f>
        <v>Building</v>
      </c>
      <c r="D12498" s="2" t="str">
        <f ca="1">IFERROR(__xludf.DUMMYFUNCTION("""COMPUTED_VALUE"""),"Dubai&gt;Dubai Silicon Oasis (DSO)&gt;City Tower 1")</f>
        <v>Dubai&gt;Dubai Silicon Oasis (DSO)&gt;City Tower 1</v>
      </c>
      <c r="E12498" s="2"/>
      <c r="F12498" s="2"/>
      <c r="G12498" s="2"/>
      <c r="H12498" s="2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2"/>
      <c r="T12498" s="2"/>
      <c r="U12498" s="2"/>
      <c r="V12498" s="2"/>
      <c r="W12498" s="2"/>
      <c r="X12498" s="2"/>
      <c r="Y12498" s="2"/>
      <c r="Z12498" s="2"/>
    </row>
    <row r="12499" spans="1:26" ht="16.5" x14ac:dyDescent="0.35">
      <c r="A12499" s="2" t="str">
        <f ca="1">IFERROR(__xludf.DUMMYFUNCTION("""COMPUTED_VALUE"""),"Dubai")</f>
        <v>Dubai</v>
      </c>
      <c r="B12499" s="2" t="str">
        <f ca="1">IFERROR(__xludf.DUMMYFUNCTION("""COMPUTED_VALUE"""),"Dar Munira")</f>
        <v>Dar Munira</v>
      </c>
      <c r="C12499" s="2" t="str">
        <f ca="1">IFERROR(__xludf.DUMMYFUNCTION("""COMPUTED_VALUE"""),"Building")</f>
        <v>Building</v>
      </c>
      <c r="D12499" s="2" t="str">
        <f ca="1">IFERROR(__xludf.DUMMYFUNCTION("""COMPUTED_VALUE"""),"Dubai&gt;Dubai Silicon Oasis (DSO)&gt;Dar Munira")</f>
        <v>Dubai&gt;Dubai Silicon Oasis (DSO)&gt;Dar Munira</v>
      </c>
      <c r="E12499" s="2"/>
      <c r="F12499" s="2"/>
      <c r="G12499" s="2"/>
      <c r="H12499" s="2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2"/>
      <c r="T12499" s="2"/>
      <c r="U12499" s="2"/>
      <c r="V12499" s="2"/>
      <c r="W12499" s="2"/>
      <c r="X12499" s="2"/>
      <c r="Y12499" s="2"/>
      <c r="Z12499" s="2"/>
    </row>
    <row r="12500" spans="1:26" ht="16.5" x14ac:dyDescent="0.35">
      <c r="A12500" s="2" t="str">
        <f ca="1">IFERROR(__xludf.DUMMYFUNCTION("""COMPUTED_VALUE"""),"Dubai")</f>
        <v>Dubai</v>
      </c>
      <c r="B12500" s="2" t="str">
        <f ca="1">IFERROR(__xludf.DUMMYFUNCTION("""COMPUTED_VALUE"""),"Oasis Loft")</f>
        <v>Oasis Loft</v>
      </c>
      <c r="C12500" s="2" t="str">
        <f ca="1">IFERROR(__xludf.DUMMYFUNCTION("""COMPUTED_VALUE"""),"Building")</f>
        <v>Building</v>
      </c>
      <c r="D12500" s="2" t="str">
        <f ca="1">IFERROR(__xludf.DUMMYFUNCTION("""COMPUTED_VALUE"""),"Dubai&gt;Dubai Silicon Oasis (DSO)&gt;Oasis Loft")</f>
        <v>Dubai&gt;Dubai Silicon Oasis (DSO)&gt;Oasis Loft</v>
      </c>
      <c r="E12500" s="2"/>
      <c r="F12500" s="2"/>
      <c r="G12500" s="2"/>
      <c r="H12500" s="2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2"/>
      <c r="T12500" s="2"/>
      <c r="U12500" s="2"/>
      <c r="V12500" s="2"/>
      <c r="W12500" s="2"/>
      <c r="X12500" s="2"/>
      <c r="Y12500" s="2"/>
      <c r="Z12500" s="2"/>
    </row>
    <row r="12501" spans="1:26" ht="16.5" x14ac:dyDescent="0.35">
      <c r="A12501" s="2" t="str">
        <f ca="1">IFERROR(__xludf.DUMMYFUNCTION("""COMPUTED_VALUE"""),"Dubai")</f>
        <v>Dubai</v>
      </c>
      <c r="B12501" s="2" t="str">
        <f ca="1">IFERROR(__xludf.DUMMYFUNCTION("""COMPUTED_VALUE"""),"The Residences")</f>
        <v>The Residences</v>
      </c>
      <c r="C12501" s="2" t="str">
        <f ca="1">IFERROR(__xludf.DUMMYFUNCTION("""COMPUTED_VALUE"""),"Neighbourhood")</f>
        <v>Neighbourhood</v>
      </c>
      <c r="D12501" s="2" t="str">
        <f ca="1">IFERROR(__xludf.DUMMYFUNCTION("""COMPUTED_VALUE"""),"Dubai&gt;Al Barari&gt;The Residences")</f>
        <v>Dubai&gt;Al Barari&gt;The Residences</v>
      </c>
      <c r="E12501" s="2"/>
      <c r="F12501" s="2"/>
      <c r="G12501" s="2"/>
      <c r="H12501" s="2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2"/>
      <c r="T12501" s="2"/>
      <c r="U12501" s="2"/>
      <c r="V12501" s="2"/>
      <c r="W12501" s="2"/>
      <c r="X12501" s="2"/>
      <c r="Y12501" s="2"/>
      <c r="Z12501" s="2"/>
    </row>
    <row r="12502" spans="1:26" ht="16.5" x14ac:dyDescent="0.35">
      <c r="A12502" s="2" t="str">
        <f ca="1">IFERROR(__xludf.DUMMYFUNCTION("""COMPUTED_VALUE"""),"Dubai")</f>
        <v>Dubai</v>
      </c>
      <c r="B12502" s="2" t="str">
        <f ca="1">IFERROR(__xludf.DUMMYFUNCTION("""COMPUTED_VALUE"""),"MAG 930")</f>
        <v>MAG 930</v>
      </c>
      <c r="C12502" s="2" t="str">
        <f ca="1">IFERROR(__xludf.DUMMYFUNCTION("""COMPUTED_VALUE"""),"Building")</f>
        <v>Building</v>
      </c>
      <c r="D12502" s="2" t="str">
        <f ca="1">IFERROR(__xludf.DUMMYFUNCTION("""COMPUTED_VALUE"""),"Dubai&gt;Mohammed Bin Rashid City&gt;District 7&gt;MAG City&gt;MAG 930")</f>
        <v>Dubai&gt;Mohammed Bin Rashid City&gt;District 7&gt;MAG City&gt;MAG 930</v>
      </c>
      <c r="E12502" s="2"/>
      <c r="F12502" s="2"/>
      <c r="G12502" s="2"/>
      <c r="H12502" s="2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2"/>
      <c r="T12502" s="2"/>
      <c r="U12502" s="2"/>
      <c r="V12502" s="2"/>
      <c r="W12502" s="2"/>
      <c r="X12502" s="2"/>
      <c r="Y12502" s="2"/>
      <c r="Z12502" s="2"/>
    </row>
    <row r="12503" spans="1:26" ht="16.5" x14ac:dyDescent="0.35">
      <c r="A12503" s="2" t="str">
        <f ca="1">IFERROR(__xludf.DUMMYFUNCTION("""COMPUTED_VALUE"""),"Dubai")</f>
        <v>Dubai</v>
      </c>
      <c r="B12503" s="2" t="str">
        <f ca="1">IFERROR(__xludf.DUMMYFUNCTION("""COMPUTED_VALUE"""),"Karl Lagerfeld Villas")</f>
        <v>Karl Lagerfeld Villas</v>
      </c>
      <c r="C12503" s="2" t="str">
        <f ca="1">IFERROR(__xludf.DUMMYFUNCTION("""COMPUTED_VALUE"""),"Neighbourhood")</f>
        <v>Neighbourhood</v>
      </c>
      <c r="D12503" s="2" t="str">
        <f ca="1">IFERROR(__xludf.DUMMYFUNCTION("""COMPUTED_VALUE"""),"Dubai&gt;Mohammed Bin Rashid City&gt;District 11&gt;Karl Lagerfeld Villas")</f>
        <v>Dubai&gt;Mohammed Bin Rashid City&gt;District 11&gt;Karl Lagerfeld Villas</v>
      </c>
      <c r="E12503" s="2"/>
      <c r="F12503" s="2"/>
      <c r="G12503" s="2"/>
      <c r="H12503" s="2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2"/>
      <c r="T12503" s="2"/>
      <c r="U12503" s="2"/>
      <c r="V12503" s="2"/>
      <c r="W12503" s="2"/>
      <c r="X12503" s="2"/>
      <c r="Y12503" s="2"/>
      <c r="Z12503" s="2"/>
    </row>
    <row r="12504" spans="1:26" ht="16.5" x14ac:dyDescent="0.35">
      <c r="A12504" s="2" t="str">
        <f ca="1">IFERROR(__xludf.DUMMYFUNCTION("""COMPUTED_VALUE"""),"Dubai")</f>
        <v>Dubai</v>
      </c>
      <c r="B12504" s="2" t="str">
        <f ca="1">IFERROR(__xludf.DUMMYFUNCTION("""COMPUTED_VALUE"""),"Residences 2")</f>
        <v>Residences 2</v>
      </c>
      <c r="C12504" s="2" t="str">
        <f ca="1">IFERROR(__xludf.DUMMYFUNCTION("""COMPUTED_VALUE"""),"Building")</f>
        <v>Building</v>
      </c>
      <c r="D12504" s="2" t="str">
        <f ca="1">IFERROR(__xludf.DUMMYFUNCTION("""COMPUTED_VALUE"""),"Dubai&gt;Mohammed Bin Rashid City&gt;District One&gt;The Residences at District One&gt;Residences 2")</f>
        <v>Dubai&gt;Mohammed Bin Rashid City&gt;District One&gt;The Residences at District One&gt;Residences 2</v>
      </c>
      <c r="E12504" s="2"/>
      <c r="F12504" s="2"/>
      <c r="G12504" s="2"/>
      <c r="H12504" s="2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2"/>
      <c r="T12504" s="2"/>
      <c r="U12504" s="2"/>
      <c r="V12504" s="2"/>
      <c r="W12504" s="2"/>
      <c r="X12504" s="2"/>
      <c r="Y12504" s="2"/>
      <c r="Z12504" s="2"/>
    </row>
    <row r="12505" spans="1:26" ht="16.5" x14ac:dyDescent="0.35">
      <c r="A12505" s="2" t="str">
        <f ca="1">IFERROR(__xludf.DUMMYFUNCTION("""COMPUTED_VALUE"""),"Dubai")</f>
        <v>Dubai</v>
      </c>
      <c r="B12505" s="2" t="str">
        <f ca="1">IFERROR(__xludf.DUMMYFUNCTION("""COMPUTED_VALUE"""),"District One West")</f>
        <v>District One West</v>
      </c>
      <c r="C12505" s="2" t="str">
        <f ca="1">IFERROR(__xludf.DUMMYFUNCTION("""COMPUTED_VALUE"""),"Neighbourhood")</f>
        <v>Neighbourhood</v>
      </c>
      <c r="D12505" s="2" t="str">
        <f ca="1">IFERROR(__xludf.DUMMYFUNCTION("""COMPUTED_VALUE"""),"Dubai&gt;Mohammed Bin Rashid City&gt;District One West")</f>
        <v>Dubai&gt;Mohammed Bin Rashid City&gt;District One West</v>
      </c>
      <c r="E12505" s="2"/>
      <c r="F12505" s="2"/>
      <c r="G12505" s="2"/>
      <c r="H12505" s="2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2"/>
      <c r="T12505" s="2"/>
      <c r="U12505" s="2"/>
      <c r="V12505" s="2"/>
      <c r="W12505" s="2"/>
      <c r="X12505" s="2"/>
      <c r="Y12505" s="2"/>
      <c r="Z12505" s="2"/>
    </row>
    <row r="12506" spans="1:26" ht="16.5" x14ac:dyDescent="0.35">
      <c r="A12506" s="2" t="str">
        <f ca="1">IFERROR(__xludf.DUMMYFUNCTION("""COMPUTED_VALUE"""),"Dubai")</f>
        <v>Dubai</v>
      </c>
      <c r="B12506" s="2" t="str">
        <f ca="1">IFERROR(__xludf.DUMMYFUNCTION("""COMPUTED_VALUE"""),"The Pulse Residence Park")</f>
        <v>The Pulse Residence Park</v>
      </c>
      <c r="C12506" s="2" t="str">
        <f ca="1">IFERROR(__xludf.DUMMYFUNCTION("""COMPUTED_VALUE"""),"Cluster")</f>
        <v>Cluster</v>
      </c>
      <c r="D12506" s="2" t="str">
        <f ca="1">IFERROR(__xludf.DUMMYFUNCTION("""COMPUTED_VALUE"""),"Dubai&gt;Dubai South&gt;Residential District&gt;The Pulse&gt;The Pulse Residence Park")</f>
        <v>Dubai&gt;Dubai South&gt;Residential District&gt;The Pulse&gt;The Pulse Residence Park</v>
      </c>
      <c r="E12506" s="2"/>
      <c r="F12506" s="2"/>
      <c r="G12506" s="2"/>
      <c r="H12506" s="2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2"/>
      <c r="T12506" s="2"/>
      <c r="U12506" s="2"/>
      <c r="V12506" s="2"/>
      <c r="W12506" s="2"/>
      <c r="X12506" s="2"/>
      <c r="Y12506" s="2"/>
      <c r="Z12506" s="2"/>
    </row>
    <row r="12507" spans="1:26" ht="16.5" x14ac:dyDescent="0.35">
      <c r="A12507" s="2" t="str">
        <f ca="1">IFERROR(__xludf.DUMMYFUNCTION("""COMPUTED_VALUE"""),"Dubai")</f>
        <v>Dubai</v>
      </c>
      <c r="B12507" s="2" t="str">
        <f ca="1">IFERROR(__xludf.DUMMYFUNCTION("""COMPUTED_VALUE"""),"South Bay 3")</f>
        <v>South Bay 3</v>
      </c>
      <c r="C12507" s="2" t="str">
        <f ca="1">IFERROR(__xludf.DUMMYFUNCTION("""COMPUTED_VALUE"""),"Neighbourhood")</f>
        <v>Neighbourhood</v>
      </c>
      <c r="D12507" s="2" t="str">
        <f ca="1">IFERROR(__xludf.DUMMYFUNCTION("""COMPUTED_VALUE"""),"Dubai&gt;Dubai South&gt;Residential District&gt;South Bay&gt;South Bay 3")</f>
        <v>Dubai&gt;Dubai South&gt;Residential District&gt;South Bay&gt;South Bay 3</v>
      </c>
      <c r="E12507" s="2"/>
      <c r="F12507" s="2"/>
      <c r="G12507" s="2"/>
      <c r="H12507" s="2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2"/>
      <c r="T12507" s="2"/>
      <c r="U12507" s="2"/>
      <c r="V12507" s="2"/>
      <c r="W12507" s="2"/>
      <c r="X12507" s="2"/>
      <c r="Y12507" s="2"/>
      <c r="Z12507" s="2"/>
    </row>
    <row r="12508" spans="1:26" ht="16.5" x14ac:dyDescent="0.35">
      <c r="A12508" s="2" t="str">
        <f ca="1">IFERROR(__xludf.DUMMYFUNCTION("""COMPUTED_VALUE"""),"Dubai")</f>
        <v>Dubai</v>
      </c>
      <c r="B12508" s="2" t="str">
        <f ca="1">IFERROR(__xludf.DUMMYFUNCTION("""COMPUTED_VALUE"""),"Beachfront Gates 1")</f>
        <v>Beachfront Gates 1</v>
      </c>
      <c r="C12508" s="2" t="str">
        <f ca="1">IFERROR(__xludf.DUMMYFUNCTION("""COMPUTED_VALUE"""),"Building")</f>
        <v>Building</v>
      </c>
      <c r="D12508" s="2" t="str">
        <f ca="1">IFERROR(__xludf.DUMMYFUNCTION("""COMPUTED_VALUE"""),"Dubai&gt;Dubai South&gt;Residential District&gt;Beachfront Gates&gt;Beachfront Gates 1")</f>
        <v>Dubai&gt;Dubai South&gt;Residential District&gt;Beachfront Gates&gt;Beachfront Gates 1</v>
      </c>
      <c r="E12508" s="2"/>
      <c r="F12508" s="2"/>
      <c r="G12508" s="2"/>
      <c r="H12508" s="2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2"/>
      <c r="T12508" s="2"/>
      <c r="U12508" s="2"/>
      <c r="V12508" s="2"/>
      <c r="W12508" s="2"/>
      <c r="X12508" s="2"/>
      <c r="Y12508" s="2"/>
      <c r="Z12508" s="2"/>
    </row>
    <row r="12509" spans="1:26" ht="16.5" x14ac:dyDescent="0.35">
      <c r="A12509" s="2" t="str">
        <f ca="1">IFERROR(__xludf.DUMMYFUNCTION("""COMPUTED_VALUE"""),"Dubai")</f>
        <v>Dubai</v>
      </c>
      <c r="B12509" s="2" t="str">
        <f ca="1">IFERROR(__xludf.DUMMYFUNCTION("""COMPUTED_VALUE"""),"The Serene")</f>
        <v>The Serene</v>
      </c>
      <c r="C12509" s="2" t="str">
        <f ca="1">IFERROR(__xludf.DUMMYFUNCTION("""COMPUTED_VALUE"""),"Building")</f>
        <v>Building</v>
      </c>
      <c r="D12509" s="2" t="str">
        <f ca="1">IFERROR(__xludf.DUMMYFUNCTION("""COMPUTED_VALUE"""),"Dubai&gt;Dubai South&gt;Residential District&gt;The Serene")</f>
        <v>Dubai&gt;Dubai South&gt;Residential District&gt;The Serene</v>
      </c>
      <c r="E12509" s="2"/>
      <c r="F12509" s="2"/>
      <c r="G12509" s="2"/>
      <c r="H12509" s="2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2"/>
      <c r="T12509" s="2"/>
      <c r="U12509" s="2"/>
      <c r="V12509" s="2"/>
      <c r="W12509" s="2"/>
      <c r="X12509" s="2"/>
      <c r="Y12509" s="2"/>
      <c r="Z12509" s="2"/>
    </row>
    <row r="12510" spans="1:26" ht="16.5" x14ac:dyDescent="0.35">
      <c r="A12510" s="2" t="str">
        <f ca="1">IFERROR(__xludf.DUMMYFUNCTION("""COMPUTED_VALUE"""),"Dubai")</f>
        <v>Dubai</v>
      </c>
      <c r="B12510" s="2" t="str">
        <f ca="1">IFERROR(__xludf.DUMMYFUNCTION("""COMPUTED_VALUE"""),"Golf Point Tower 2")</f>
        <v>Golf Point Tower 2</v>
      </c>
      <c r="C12510" s="2" t="str">
        <f ca="1">IFERROR(__xludf.DUMMYFUNCTION("""COMPUTED_VALUE"""),"Building")</f>
        <v>Building</v>
      </c>
      <c r="D12510" s="2" t="str">
        <f ca="1">IFERROR(__xludf.DUMMYFUNCTION("""COMPUTED_VALUE"""),"Dubai&gt;Dubai South&gt;Emaar South&gt;Golf Point&gt;Golf Point Tower 2")</f>
        <v>Dubai&gt;Dubai South&gt;Emaar South&gt;Golf Point&gt;Golf Point Tower 2</v>
      </c>
      <c r="E12510" s="2"/>
      <c r="F12510" s="2"/>
      <c r="G12510" s="2"/>
      <c r="H12510" s="2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2"/>
      <c r="T12510" s="2"/>
      <c r="U12510" s="2"/>
      <c r="V12510" s="2"/>
      <c r="W12510" s="2"/>
      <c r="X12510" s="2"/>
      <c r="Y12510" s="2"/>
      <c r="Z12510" s="2"/>
    </row>
    <row r="12511" spans="1:26" ht="16.5" x14ac:dyDescent="0.35">
      <c r="A12511" s="2" t="str">
        <f ca="1">IFERROR(__xludf.DUMMYFUNCTION("""COMPUTED_VALUE"""),"Dubai")</f>
        <v>Dubai</v>
      </c>
      <c r="B12511" s="2" t="str">
        <f ca="1">IFERROR(__xludf.DUMMYFUNCTION("""COMPUTED_VALUE"""),"Dubai South Business Park B1")</f>
        <v>Dubai South Business Park B1</v>
      </c>
      <c r="C12511" s="2" t="str">
        <f ca="1">IFERROR(__xludf.DUMMYFUNCTION("""COMPUTED_VALUE"""),"Building")</f>
        <v>Building</v>
      </c>
      <c r="D12511" s="2" t="str">
        <f ca="1">IFERROR(__xludf.DUMMYFUNCTION("""COMPUTED_VALUE"""),"Dubai&gt;Dubai South&gt;Logistics City&gt;The Avenue&gt;Dubai South Business Park B1")</f>
        <v>Dubai&gt;Dubai South&gt;Logistics City&gt;The Avenue&gt;Dubai South Business Park B1</v>
      </c>
      <c r="E12511" s="2"/>
      <c r="F12511" s="2"/>
      <c r="G12511" s="2"/>
      <c r="H12511" s="2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2"/>
      <c r="T12511" s="2"/>
      <c r="U12511" s="2"/>
      <c r="V12511" s="2"/>
      <c r="W12511" s="2"/>
      <c r="X12511" s="2"/>
      <c r="Y12511" s="2"/>
      <c r="Z12511" s="2"/>
    </row>
    <row r="12512" spans="1:26" ht="16.5" x14ac:dyDescent="0.35">
      <c r="A12512" s="2" t="str">
        <f ca="1">IFERROR(__xludf.DUMMYFUNCTION("""COMPUTED_VALUE"""),"Dubai")</f>
        <v>Dubai</v>
      </c>
      <c r="B12512" s="2" t="str">
        <f ca="1">IFERROR(__xludf.DUMMYFUNCTION("""COMPUTED_VALUE"""),"Azizi Venice 7")</f>
        <v>Azizi Venice 7</v>
      </c>
      <c r="C12512" s="2" t="str">
        <f ca="1">IFERROR(__xludf.DUMMYFUNCTION("""COMPUTED_VALUE"""),"Cluster")</f>
        <v>Cluster</v>
      </c>
      <c r="D12512" s="2" t="str">
        <f ca="1">IFERROR(__xludf.DUMMYFUNCTION("""COMPUTED_VALUE"""),"Dubai&gt;Dubai South&gt;Azizi Venice&gt;Azizi Venice 7")</f>
        <v>Dubai&gt;Dubai South&gt;Azizi Venice&gt;Azizi Venice 7</v>
      </c>
      <c r="E12512" s="2"/>
      <c r="F12512" s="2"/>
      <c r="G12512" s="2"/>
      <c r="H12512" s="2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2"/>
      <c r="T12512" s="2"/>
      <c r="U12512" s="2"/>
      <c r="V12512" s="2"/>
      <c r="W12512" s="2"/>
      <c r="X12512" s="2"/>
      <c r="Y12512" s="2"/>
      <c r="Z12512" s="2"/>
    </row>
    <row r="12513" spans="1:26" ht="16.5" x14ac:dyDescent="0.35">
      <c r="A12513" s="2" t="str">
        <f ca="1">IFERROR(__xludf.DUMMYFUNCTION("""COMPUTED_VALUE"""),"Dubai")</f>
        <v>Dubai</v>
      </c>
      <c r="B12513" s="2" t="str">
        <f ca="1">IFERROR(__xludf.DUMMYFUNCTION("""COMPUTED_VALUE"""),"Azizi Venice 15 Tower A")</f>
        <v>Azizi Venice 15 Tower A</v>
      </c>
      <c r="C12513" s="2" t="str">
        <f ca="1">IFERROR(__xludf.DUMMYFUNCTION("""COMPUTED_VALUE"""),"Building")</f>
        <v>Building</v>
      </c>
      <c r="D12513" s="2" t="str">
        <f ca="1">IFERROR(__xludf.DUMMYFUNCTION("""COMPUTED_VALUE"""),"Dubai&gt;Dubai South&gt;Azizi Venice&gt;Azizi Venice 15&gt;Azizi Venice 15 Tower A")</f>
        <v>Dubai&gt;Dubai South&gt;Azizi Venice&gt;Azizi Venice 15&gt;Azizi Venice 15 Tower A</v>
      </c>
      <c r="E12513" s="2"/>
      <c r="F12513" s="2"/>
      <c r="G12513" s="2"/>
      <c r="H12513" s="2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2"/>
      <c r="T12513" s="2"/>
      <c r="U12513" s="2"/>
      <c r="V12513" s="2"/>
      <c r="W12513" s="2"/>
      <c r="X12513" s="2"/>
      <c r="Y12513" s="2"/>
      <c r="Z12513" s="2"/>
    </row>
    <row r="12514" spans="1:26" ht="16.5" x14ac:dyDescent="0.35">
      <c r="A12514" s="2" t="str">
        <f ca="1">IFERROR(__xludf.DUMMYFUNCTION("""COMPUTED_VALUE"""),"Dubai")</f>
        <v>Dubai</v>
      </c>
      <c r="B12514" s="2" t="str">
        <f ca="1">IFERROR(__xludf.DUMMYFUNCTION("""COMPUTED_VALUE"""),"Pearl Jumeirah")</f>
        <v>Pearl Jumeirah</v>
      </c>
      <c r="C12514" s="2" t="str">
        <f ca="1">IFERROR(__xludf.DUMMYFUNCTION("""COMPUTED_VALUE"""),"Neighbourhood")</f>
        <v>Neighbourhood</v>
      </c>
      <c r="D12514" s="2" t="str">
        <f ca="1">IFERROR(__xludf.DUMMYFUNCTION("""COMPUTED_VALUE"""),"Dubai&gt;Pearl Jumeirah")</f>
        <v>Dubai&gt;Pearl Jumeirah</v>
      </c>
      <c r="E12514" s="2"/>
      <c r="F12514" s="2"/>
      <c r="G12514" s="2"/>
      <c r="H12514" s="2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2"/>
      <c r="T12514" s="2"/>
      <c r="U12514" s="2"/>
      <c r="V12514" s="2"/>
      <c r="W12514" s="2"/>
      <c r="X12514" s="2"/>
      <c r="Y12514" s="2"/>
      <c r="Z12514" s="2"/>
    </row>
    <row r="12515" spans="1:26" ht="16.5" x14ac:dyDescent="0.35">
      <c r="A12515" s="2" t="str">
        <f ca="1">IFERROR(__xludf.DUMMYFUNCTION("""COMPUTED_VALUE"""),"Dubai")</f>
        <v>Dubai</v>
      </c>
      <c r="B12515" s="2" t="str">
        <f ca="1">IFERROR(__xludf.DUMMYFUNCTION("""COMPUTED_VALUE"""),"Mozan Building")</f>
        <v>Mozan Building</v>
      </c>
      <c r="C12515" s="2" t="str">
        <f ca="1">IFERROR(__xludf.DUMMYFUNCTION("""COMPUTED_VALUE"""),"Building")</f>
        <v>Building</v>
      </c>
      <c r="D12515" s="2" t="str">
        <f ca="1">IFERROR(__xludf.DUMMYFUNCTION("""COMPUTED_VALUE"""),"Dubai&gt;Bur Dubai&gt;Oud Metha&gt;Mozan Building")</f>
        <v>Dubai&gt;Bur Dubai&gt;Oud Metha&gt;Mozan Building</v>
      </c>
      <c r="E12515" s="2"/>
      <c r="F12515" s="2"/>
      <c r="G12515" s="2"/>
      <c r="H12515" s="2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2"/>
      <c r="T12515" s="2"/>
      <c r="U12515" s="2"/>
      <c r="V12515" s="2"/>
      <c r="W12515" s="2"/>
      <c r="X12515" s="2"/>
      <c r="Y12515" s="2"/>
      <c r="Z12515" s="2"/>
    </row>
    <row r="12516" spans="1:26" ht="16.5" x14ac:dyDescent="0.35">
      <c r="A12516" s="2" t="str">
        <f ca="1">IFERROR(__xludf.DUMMYFUNCTION("""COMPUTED_VALUE"""),"Dubai")</f>
        <v>Dubai</v>
      </c>
      <c r="B12516" s="2" t="str">
        <f ca="1">IFERROR(__xludf.DUMMYFUNCTION("""COMPUTED_VALUE"""),"Metha Plaza")</f>
        <v>Metha Plaza</v>
      </c>
      <c r="C12516" s="2" t="str">
        <f ca="1">IFERROR(__xludf.DUMMYFUNCTION("""COMPUTED_VALUE"""),"Building")</f>
        <v>Building</v>
      </c>
      <c r="D12516" s="2" t="str">
        <f ca="1">IFERROR(__xludf.DUMMYFUNCTION("""COMPUTED_VALUE"""),"Dubai&gt;Bur Dubai&gt;Oud Metha&gt;Metha Plaza")</f>
        <v>Dubai&gt;Bur Dubai&gt;Oud Metha&gt;Metha Plaza</v>
      </c>
      <c r="E12516" s="2"/>
      <c r="F12516" s="2"/>
      <c r="G12516" s="2"/>
      <c r="H12516" s="2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2"/>
      <c r="T12516" s="2"/>
      <c r="U12516" s="2"/>
      <c r="V12516" s="2"/>
      <c r="W12516" s="2"/>
      <c r="X12516" s="2"/>
      <c r="Y12516" s="2"/>
      <c r="Z12516" s="2"/>
    </row>
    <row r="12517" spans="1:26" ht="16.5" x14ac:dyDescent="0.35">
      <c r="A12517" s="2" t="str">
        <f ca="1">IFERROR(__xludf.DUMMYFUNCTION("""COMPUTED_VALUE"""),"Dubai")</f>
        <v>Dubai</v>
      </c>
      <c r="B12517" s="2" t="str">
        <f ca="1">IFERROR(__xludf.DUMMYFUNCTION("""COMPUTED_VALUE"""),"Kanoo Group Building")</f>
        <v>Kanoo Group Building</v>
      </c>
      <c r="C12517" s="2" t="str">
        <f ca="1">IFERROR(__xludf.DUMMYFUNCTION("""COMPUTED_VALUE"""),"Building")</f>
        <v>Building</v>
      </c>
      <c r="D12517" s="2" t="str">
        <f ca="1">IFERROR(__xludf.DUMMYFUNCTION("""COMPUTED_VALUE"""),"Dubai&gt;Bur Dubai&gt;Al Raffa&gt;Kanoo Group Building")</f>
        <v>Dubai&gt;Bur Dubai&gt;Al Raffa&gt;Kanoo Group Building</v>
      </c>
      <c r="E12517" s="2"/>
      <c r="F12517" s="2"/>
      <c r="G12517" s="2"/>
      <c r="H12517" s="2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2"/>
      <c r="T12517" s="2"/>
      <c r="U12517" s="2"/>
      <c r="V12517" s="2"/>
      <c r="W12517" s="2"/>
      <c r="X12517" s="2"/>
      <c r="Y12517" s="2"/>
      <c r="Z12517" s="2"/>
    </row>
    <row r="12518" spans="1:26" ht="16.5" x14ac:dyDescent="0.35">
      <c r="A12518" s="2" t="str">
        <f ca="1">IFERROR(__xludf.DUMMYFUNCTION("""COMPUTED_VALUE"""),"Dubai")</f>
        <v>Dubai</v>
      </c>
      <c r="B12518" s="2" t="str">
        <f ca="1">IFERROR(__xludf.DUMMYFUNCTION("""COMPUTED_VALUE"""),"AFA Residence")</f>
        <v>AFA Residence</v>
      </c>
      <c r="C12518" s="2" t="str">
        <f ca="1">IFERROR(__xludf.DUMMYFUNCTION("""COMPUTED_VALUE"""),"Building")</f>
        <v>Building</v>
      </c>
      <c r="D12518" s="2" t="str">
        <f ca="1">IFERROR(__xludf.DUMMYFUNCTION("""COMPUTED_VALUE"""),"Dubai&gt;Bur Dubai&gt;Al Raffa&gt;AFA Residence")</f>
        <v>Dubai&gt;Bur Dubai&gt;Al Raffa&gt;AFA Residence</v>
      </c>
      <c r="E12518" s="2"/>
      <c r="F12518" s="2"/>
      <c r="G12518" s="2"/>
      <c r="H12518" s="2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2"/>
      <c r="T12518" s="2"/>
      <c r="U12518" s="2"/>
      <c r="V12518" s="2"/>
      <c r="W12518" s="2"/>
      <c r="X12518" s="2"/>
      <c r="Y12518" s="2"/>
      <c r="Z12518" s="2"/>
    </row>
    <row r="12519" spans="1:26" ht="16.5" x14ac:dyDescent="0.35">
      <c r="A12519" s="2" t="str">
        <f ca="1">IFERROR(__xludf.DUMMYFUNCTION("""COMPUTED_VALUE"""),"Dubai")</f>
        <v>Dubai</v>
      </c>
      <c r="B12519" s="2" t="str">
        <f ca="1">IFERROR(__xludf.DUMMYFUNCTION("""COMPUTED_VALUE"""),"Al Mankhool Building")</f>
        <v>Al Mankhool Building</v>
      </c>
      <c r="C12519" s="2" t="str">
        <f ca="1">IFERROR(__xludf.DUMMYFUNCTION("""COMPUTED_VALUE"""),"Building")</f>
        <v>Building</v>
      </c>
      <c r="D12519" s="2" t="str">
        <f ca="1">IFERROR(__xludf.DUMMYFUNCTION("""COMPUTED_VALUE"""),"Dubai&gt;Bur Dubai&gt;Al Mankhool&gt;Al Mankhool Building")</f>
        <v>Dubai&gt;Bur Dubai&gt;Al Mankhool&gt;Al Mankhool Building</v>
      </c>
      <c r="E12519" s="2"/>
      <c r="F12519" s="2"/>
      <c r="G12519" s="2"/>
      <c r="H12519" s="2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2"/>
      <c r="T12519" s="2"/>
      <c r="U12519" s="2"/>
      <c r="V12519" s="2"/>
      <c r="W12519" s="2"/>
      <c r="X12519" s="2"/>
      <c r="Y12519" s="2"/>
      <c r="Z12519" s="2"/>
    </row>
    <row r="12520" spans="1:26" ht="16.5" x14ac:dyDescent="0.35">
      <c r="A12520" s="2" t="str">
        <f ca="1">IFERROR(__xludf.DUMMYFUNCTION("""COMPUTED_VALUE"""),"Dubai")</f>
        <v>Dubai</v>
      </c>
      <c r="B12520" s="2" t="str">
        <f ca="1">IFERROR(__xludf.DUMMYFUNCTION("""COMPUTED_VALUE"""),"Badri Building")</f>
        <v>Badri Building</v>
      </c>
      <c r="C12520" s="2" t="str">
        <f ca="1">IFERROR(__xludf.DUMMYFUNCTION("""COMPUTED_VALUE"""),"Building")</f>
        <v>Building</v>
      </c>
      <c r="D12520" s="2" t="str">
        <f ca="1">IFERROR(__xludf.DUMMYFUNCTION("""COMPUTED_VALUE"""),"Dubai&gt;Bur Dubai&gt;Al Mankhool&gt;Badri Building")</f>
        <v>Dubai&gt;Bur Dubai&gt;Al Mankhool&gt;Badri Building</v>
      </c>
      <c r="E12520" s="2"/>
      <c r="F12520" s="2"/>
      <c r="G12520" s="2"/>
      <c r="H12520" s="2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2"/>
      <c r="T12520" s="2"/>
      <c r="U12520" s="2"/>
      <c r="V12520" s="2"/>
      <c r="W12520" s="2"/>
      <c r="X12520" s="2"/>
      <c r="Y12520" s="2"/>
      <c r="Z12520" s="2"/>
    </row>
    <row r="12521" spans="1:26" ht="16.5" x14ac:dyDescent="0.35">
      <c r="A12521" s="2" t="str">
        <f ca="1">IFERROR(__xludf.DUMMYFUNCTION("""COMPUTED_VALUE"""),"Dubai")</f>
        <v>Dubai</v>
      </c>
      <c r="B12521" s="2" t="str">
        <f ca="1">IFERROR(__xludf.DUMMYFUNCTION("""COMPUTED_VALUE"""),"Al Bafta Grand 2")</f>
        <v>Al Bafta Grand 2</v>
      </c>
      <c r="C12521" s="2" t="str">
        <f ca="1">IFERROR(__xludf.DUMMYFUNCTION("""COMPUTED_VALUE"""),"Building")</f>
        <v>Building</v>
      </c>
      <c r="D12521" s="2" t="str">
        <f ca="1">IFERROR(__xludf.DUMMYFUNCTION("""COMPUTED_VALUE"""),"Dubai&gt;Bur Dubai&gt;Al Mankhool&gt;Al Bafta Grand 2")</f>
        <v>Dubai&gt;Bur Dubai&gt;Al Mankhool&gt;Al Bafta Grand 2</v>
      </c>
      <c r="E12521" s="2"/>
      <c r="F12521" s="2"/>
      <c r="G12521" s="2"/>
      <c r="H12521" s="2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2"/>
      <c r="T12521" s="2"/>
      <c r="U12521" s="2"/>
      <c r="V12521" s="2"/>
      <c r="W12521" s="2"/>
      <c r="X12521" s="2"/>
      <c r="Y12521" s="2"/>
      <c r="Z12521" s="2"/>
    </row>
    <row r="12522" spans="1:26" ht="16.5" x14ac:dyDescent="0.35">
      <c r="A12522" s="2" t="str">
        <f ca="1">IFERROR(__xludf.DUMMYFUNCTION("""COMPUTED_VALUE"""),"Dubai")</f>
        <v>Dubai</v>
      </c>
      <c r="B12522" s="2" t="str">
        <f ca="1">IFERROR(__xludf.DUMMYFUNCTION("""COMPUTED_VALUE"""),"Gulf Towers")</f>
        <v>Gulf Towers</v>
      </c>
      <c r="C12522" s="2" t="str">
        <f ca="1">IFERROR(__xludf.DUMMYFUNCTION("""COMPUTED_VALUE"""),"Building")</f>
        <v>Building</v>
      </c>
      <c r="D12522" s="2" t="str">
        <f ca="1">IFERROR(__xludf.DUMMYFUNCTION("""COMPUTED_VALUE"""),"Dubai&gt;Bur Dubai&gt;Umm Hurair&gt;Umm Hurair 2&gt;Gulf Towers")</f>
        <v>Dubai&gt;Bur Dubai&gt;Umm Hurair&gt;Umm Hurair 2&gt;Gulf Towers</v>
      </c>
      <c r="E12522" s="2"/>
      <c r="F12522" s="2"/>
      <c r="G12522" s="2"/>
      <c r="H12522" s="2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2"/>
      <c r="T12522" s="2"/>
      <c r="U12522" s="2"/>
      <c r="V12522" s="2"/>
      <c r="W12522" s="2"/>
      <c r="X12522" s="2"/>
      <c r="Y12522" s="2"/>
      <c r="Z12522" s="2"/>
    </row>
    <row r="12523" spans="1:26" ht="16.5" x14ac:dyDescent="0.35">
      <c r="A12523" s="2" t="str">
        <f ca="1">IFERROR(__xludf.DUMMYFUNCTION("""COMPUTED_VALUE"""),"Dubai")</f>
        <v>Dubai</v>
      </c>
      <c r="B12523" s="2" t="str">
        <f ca="1">IFERROR(__xludf.DUMMYFUNCTION("""COMPUTED_VALUE"""),"Bin Dhaen Holding Building Old Al Raffa")</f>
        <v>Bin Dhaen Holding Building Old Al Raffa</v>
      </c>
      <c r="C12523" s="2" t="str">
        <f ca="1">IFERROR(__xludf.DUMMYFUNCTION("""COMPUTED_VALUE"""),"Building")</f>
        <v>Building</v>
      </c>
      <c r="D12523" s="2" t="str">
        <f ca="1">IFERROR(__xludf.DUMMYFUNCTION("""COMPUTED_VALUE"""),"Dubai&gt;Bur Dubai&gt;Al Souk Al Kabeer (Al Fahidi)&gt;Bin Dhaen Holding Building Old Al Raffa")</f>
        <v>Dubai&gt;Bur Dubai&gt;Al Souk Al Kabeer (Al Fahidi)&gt;Bin Dhaen Holding Building Old Al Raffa</v>
      </c>
      <c r="E12523" s="2"/>
      <c r="F12523" s="2"/>
      <c r="G12523" s="2"/>
      <c r="H12523" s="2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2"/>
      <c r="T12523" s="2"/>
      <c r="U12523" s="2"/>
      <c r="V12523" s="2"/>
      <c r="W12523" s="2"/>
      <c r="X12523" s="2"/>
      <c r="Y12523" s="2"/>
      <c r="Z12523" s="2"/>
    </row>
    <row r="12524" spans="1:26" ht="16.5" x14ac:dyDescent="0.35">
      <c r="A12524" s="2" t="str">
        <f ca="1">IFERROR(__xludf.DUMMYFUNCTION("""COMPUTED_VALUE"""),"Dubai")</f>
        <v>Dubai</v>
      </c>
      <c r="B12524" s="2" t="str">
        <f ca="1">IFERROR(__xludf.DUMMYFUNCTION("""COMPUTED_VALUE"""),"Al Yousuf Building Hamriya 2")</f>
        <v>Al Yousuf Building Hamriya 2</v>
      </c>
      <c r="C12524" s="2" t="str">
        <f ca="1">IFERROR(__xludf.DUMMYFUNCTION("""COMPUTED_VALUE"""),"Building")</f>
        <v>Building</v>
      </c>
      <c r="D12524" s="2" t="str">
        <f ca="1">IFERROR(__xludf.DUMMYFUNCTION("""COMPUTED_VALUE"""),"Dubai&gt;Bur Dubai&gt;Al Hamriya&gt;Al Yousuf Building Hamriya 2")</f>
        <v>Dubai&gt;Bur Dubai&gt;Al Hamriya&gt;Al Yousuf Building Hamriya 2</v>
      </c>
      <c r="E12524" s="2"/>
      <c r="F12524" s="2"/>
      <c r="G12524" s="2"/>
      <c r="H12524" s="2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2"/>
      <c r="T12524" s="2"/>
      <c r="U12524" s="2"/>
      <c r="V12524" s="2"/>
      <c r="W12524" s="2"/>
      <c r="X12524" s="2"/>
      <c r="Y12524" s="2"/>
      <c r="Z12524" s="2"/>
    </row>
    <row r="12525" spans="1:26" ht="16.5" x14ac:dyDescent="0.35">
      <c r="A12525" s="2" t="str">
        <f ca="1">IFERROR(__xludf.DUMMYFUNCTION("""COMPUTED_VALUE"""),"Dubai")</f>
        <v>Dubai</v>
      </c>
      <c r="B12525" s="2" t="str">
        <f ca="1">IFERROR(__xludf.DUMMYFUNCTION("""COMPUTED_VALUE"""),"Building 25")</f>
        <v>Building 25</v>
      </c>
      <c r="C12525" s="2" t="str">
        <f ca="1">IFERROR(__xludf.DUMMYFUNCTION("""COMPUTED_VALUE"""),"Building")</f>
        <v>Building</v>
      </c>
      <c r="D12525" s="2" t="str">
        <f ca="1">IFERROR(__xludf.DUMMYFUNCTION("""COMPUTED_VALUE"""),"Dubai&gt;Bur Dubai&gt;Dubai Healthcare City&gt;Building 25")</f>
        <v>Dubai&gt;Bur Dubai&gt;Dubai Healthcare City&gt;Building 25</v>
      </c>
      <c r="E12525" s="2"/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  <c r="V12525" s="2"/>
      <c r="W12525" s="2"/>
      <c r="X12525" s="2"/>
      <c r="Y12525" s="2"/>
      <c r="Z12525" s="2"/>
    </row>
    <row r="12526" spans="1:26" ht="16.5" x14ac:dyDescent="0.35">
      <c r="A12526" s="2" t="str">
        <f ca="1">IFERROR(__xludf.DUMMYFUNCTION("""COMPUTED_VALUE"""),"Dubai")</f>
        <v>Dubai</v>
      </c>
      <c r="B12526" s="2" t="str">
        <f ca="1">IFERROR(__xludf.DUMMYFUNCTION("""COMPUTED_VALUE"""),"Al Andalus Tower A")</f>
        <v>Al Andalus Tower A</v>
      </c>
      <c r="C12526" s="2" t="str">
        <f ca="1">IFERROR(__xludf.DUMMYFUNCTION("""COMPUTED_VALUE"""),"Building")</f>
        <v>Building</v>
      </c>
      <c r="D12526" s="2" t="str">
        <f ca="1">IFERROR(__xludf.DUMMYFUNCTION("""COMPUTED_VALUE"""),"Dubai&gt;Jumeirah Golf Estates&gt;Al Andalus&gt;Al Andalus Tower A")</f>
        <v>Dubai&gt;Jumeirah Golf Estates&gt;Al Andalus&gt;Al Andalus Tower A</v>
      </c>
      <c r="E12526" s="2"/>
      <c r="F12526" s="2"/>
      <c r="G12526" s="2"/>
      <c r="H12526" s="2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2"/>
      <c r="T12526" s="2"/>
      <c r="U12526" s="2"/>
      <c r="V12526" s="2"/>
      <c r="W12526" s="2"/>
      <c r="X12526" s="2"/>
      <c r="Y12526" s="2"/>
      <c r="Z12526" s="2"/>
    </row>
    <row r="12527" spans="1:26" ht="16.5" x14ac:dyDescent="0.35">
      <c r="A12527" s="2" t="str">
        <f ca="1">IFERROR(__xludf.DUMMYFUNCTION("""COMPUTED_VALUE"""),"Dubai")</f>
        <v>Dubai</v>
      </c>
      <c r="B12527" s="2" t="str">
        <f ca="1">IFERROR(__xludf.DUMMYFUNCTION("""COMPUTED_VALUE"""),"Marina Vista")</f>
        <v>Marina Vista</v>
      </c>
      <c r="C12527" s="2" t="str">
        <f ca="1">IFERROR(__xludf.DUMMYFUNCTION("""COMPUTED_VALUE"""),"Cluster")</f>
        <v>Cluster</v>
      </c>
      <c r="D12527" s="2" t="str">
        <f ca="1">IFERROR(__xludf.DUMMYFUNCTION("""COMPUTED_VALUE"""),"Dubai&gt;Dubai Harbour&gt;Emaar Beachfront&gt;Marina Vista")</f>
        <v>Dubai&gt;Dubai Harbour&gt;Emaar Beachfront&gt;Marina Vista</v>
      </c>
      <c r="E12527" s="2"/>
      <c r="F12527" s="2"/>
      <c r="G12527" s="2"/>
      <c r="H12527" s="2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2"/>
      <c r="T12527" s="2"/>
      <c r="U12527" s="2"/>
      <c r="V12527" s="2"/>
      <c r="W12527" s="2"/>
      <c r="X12527" s="2"/>
      <c r="Y12527" s="2"/>
      <c r="Z12527" s="2"/>
    </row>
    <row r="12528" spans="1:26" ht="16.5" x14ac:dyDescent="0.35">
      <c r="A12528" s="2" t="str">
        <f ca="1">IFERROR(__xludf.DUMMYFUNCTION("""COMPUTED_VALUE"""),"Dubai")</f>
        <v>Dubai</v>
      </c>
      <c r="B12528" s="2" t="str">
        <f ca="1">IFERROR(__xludf.DUMMYFUNCTION("""COMPUTED_VALUE"""),"Address Bayview Tower 2")</f>
        <v>Address Bayview Tower 2</v>
      </c>
      <c r="C12528" s="2" t="str">
        <f ca="1">IFERROR(__xludf.DUMMYFUNCTION("""COMPUTED_VALUE"""),"Building")</f>
        <v>Building</v>
      </c>
      <c r="D12528" s="2" t="str">
        <f ca="1">IFERROR(__xludf.DUMMYFUNCTION("""COMPUTED_VALUE"""),"Dubai&gt;Dubai Harbour&gt;Emaar Beachfront&gt;Bayview by Address Resort&gt;Address Bayview Tower 2")</f>
        <v>Dubai&gt;Dubai Harbour&gt;Emaar Beachfront&gt;Bayview by Address Resort&gt;Address Bayview Tower 2</v>
      </c>
      <c r="E12528" s="2"/>
      <c r="F12528" s="2"/>
      <c r="G12528" s="2"/>
      <c r="H12528" s="2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2"/>
      <c r="T12528" s="2"/>
      <c r="U12528" s="2"/>
      <c r="V12528" s="2"/>
      <c r="W12528" s="2"/>
      <c r="X12528" s="2"/>
      <c r="Y12528" s="2"/>
      <c r="Z12528" s="2"/>
    </row>
    <row r="12529" spans="1:26" ht="16.5" x14ac:dyDescent="0.35">
      <c r="A12529" s="2" t="str">
        <f ca="1">IFERROR(__xludf.DUMMYFUNCTION("""COMPUTED_VALUE"""),"Dubai")</f>
        <v>Dubai</v>
      </c>
      <c r="B12529" s="2" t="str">
        <f ca="1">IFERROR(__xludf.DUMMYFUNCTION("""COMPUTED_VALUE"""),"Biela Villas")</f>
        <v>Biela Villas</v>
      </c>
      <c r="C12529" s="2" t="str">
        <f ca="1">IFERROR(__xludf.DUMMYFUNCTION("""COMPUTED_VALUE"""),"Neighbourhood")</f>
        <v>Neighbourhood</v>
      </c>
      <c r="D12529" s="2" t="str">
        <f ca="1">IFERROR(__xludf.DUMMYFUNCTION("""COMPUTED_VALUE"""),"Dubai&gt;DAMAC Hills 2 (Akoya by DAMAC)&gt;Avencia&gt;Biela Villas")</f>
        <v>Dubai&gt;DAMAC Hills 2 (Akoya by DAMAC)&gt;Avencia&gt;Biela Villas</v>
      </c>
      <c r="E12529" s="2"/>
      <c r="F12529" s="2"/>
      <c r="G12529" s="2"/>
      <c r="H12529" s="2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2"/>
      <c r="T12529" s="2"/>
      <c r="U12529" s="2"/>
      <c r="V12529" s="2"/>
      <c r="W12529" s="2"/>
      <c r="X12529" s="2"/>
      <c r="Y12529" s="2"/>
      <c r="Z12529" s="2"/>
    </row>
    <row r="12530" spans="1:26" ht="16.5" x14ac:dyDescent="0.35">
      <c r="A12530" s="2" t="str">
        <f ca="1">IFERROR(__xludf.DUMMYFUNCTION("""COMPUTED_VALUE"""),"Dubai")</f>
        <v>Dubai</v>
      </c>
      <c r="B12530" s="2" t="str">
        <f ca="1">IFERROR(__xludf.DUMMYFUNCTION("""COMPUTED_VALUE"""),"Violet 2")</f>
        <v>Violet 2</v>
      </c>
      <c r="C12530" s="2" t="str">
        <f ca="1">IFERROR(__xludf.DUMMYFUNCTION("""COMPUTED_VALUE"""),"Neighbourhood")</f>
        <v>Neighbourhood</v>
      </c>
      <c r="D12530" s="2" t="str">
        <f ca="1">IFERROR(__xludf.DUMMYFUNCTION("""COMPUTED_VALUE"""),"Dubai&gt;DAMAC Hills 2 (Akoya by DAMAC)&gt;Violet 2")</f>
        <v>Dubai&gt;DAMAC Hills 2 (Akoya by DAMAC)&gt;Violet 2</v>
      </c>
      <c r="E12530" s="2"/>
      <c r="F12530" s="2"/>
      <c r="G12530" s="2"/>
      <c r="H12530" s="2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2"/>
      <c r="T12530" s="2"/>
      <c r="U12530" s="2"/>
      <c r="V12530" s="2"/>
      <c r="W12530" s="2"/>
      <c r="X12530" s="2"/>
      <c r="Y12530" s="2"/>
      <c r="Z12530" s="2"/>
    </row>
    <row r="12531" spans="1:26" ht="16.5" x14ac:dyDescent="0.35">
      <c r="A12531" s="2" t="str">
        <f ca="1">IFERROR(__xludf.DUMMYFUNCTION("""COMPUTED_VALUE"""),"Dubai")</f>
        <v>Dubai</v>
      </c>
      <c r="B12531" s="2" t="str">
        <f ca="1">IFERROR(__xludf.DUMMYFUNCTION("""COMPUTED_VALUE"""),"J-03")</f>
        <v>J-03</v>
      </c>
      <c r="C12531" s="2" t="str">
        <f ca="1">IFERROR(__xludf.DUMMYFUNCTION("""COMPUTED_VALUE"""),"Building")</f>
        <v>Building</v>
      </c>
      <c r="D12531" s="2" t="str">
        <f ca="1">IFERROR(__xludf.DUMMYFUNCTION("""COMPUTED_VALUE"""),"Dubai&gt;International City&gt;Morocco Cluster&gt;J-03")</f>
        <v>Dubai&gt;International City&gt;Morocco Cluster&gt;J-03</v>
      </c>
      <c r="E12531" s="2"/>
      <c r="F12531" s="2"/>
      <c r="G12531" s="2"/>
      <c r="H12531" s="2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2"/>
      <c r="T12531" s="2"/>
      <c r="U12531" s="2"/>
      <c r="V12531" s="2"/>
      <c r="W12531" s="2"/>
      <c r="X12531" s="2"/>
      <c r="Y12531" s="2"/>
      <c r="Z12531" s="2"/>
    </row>
    <row r="12532" spans="1:26" ht="16.5" x14ac:dyDescent="0.35">
      <c r="A12532" s="2" t="str">
        <f ca="1">IFERROR(__xludf.DUMMYFUNCTION("""COMPUTED_VALUE"""),"Dubai")</f>
        <v>Dubai</v>
      </c>
      <c r="B12532" s="2" t="str">
        <f ca="1">IFERROR(__xludf.DUMMYFUNCTION("""COMPUTED_VALUE"""),"F-08")</f>
        <v>F-08</v>
      </c>
      <c r="C12532" s="2" t="str">
        <f ca="1">IFERROR(__xludf.DUMMYFUNCTION("""COMPUTED_VALUE"""),"Building")</f>
        <v>Building</v>
      </c>
      <c r="D12532" s="2" t="str">
        <f ca="1">IFERROR(__xludf.DUMMYFUNCTION("""COMPUTED_VALUE"""),"Dubai&gt;International City&gt;China Cluster&gt;F-08")</f>
        <v>Dubai&gt;International City&gt;China Cluster&gt;F-08</v>
      </c>
      <c r="E12532" s="2"/>
      <c r="F12532" s="2"/>
      <c r="G12532" s="2"/>
      <c r="H12532" s="2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2"/>
      <c r="T12532" s="2"/>
      <c r="U12532" s="2"/>
      <c r="V12532" s="2"/>
      <c r="W12532" s="2"/>
      <c r="X12532" s="2"/>
      <c r="Y12532" s="2"/>
      <c r="Z12532" s="2"/>
    </row>
    <row r="12533" spans="1:26" ht="16.5" x14ac:dyDescent="0.35">
      <c r="A12533" s="2" t="str">
        <f ca="1">IFERROR(__xludf.DUMMYFUNCTION("""COMPUTED_VALUE"""),"Dubai")</f>
        <v>Dubai</v>
      </c>
      <c r="B12533" s="2" t="str">
        <f ca="1">IFERROR(__xludf.DUMMYFUNCTION("""COMPUTED_VALUE"""),"C-02")</f>
        <v>C-02</v>
      </c>
      <c r="C12533" s="2" t="str">
        <f ca="1">IFERROR(__xludf.DUMMYFUNCTION("""COMPUTED_VALUE"""),"Building")</f>
        <v>Building</v>
      </c>
      <c r="D12533" s="2" t="str">
        <f ca="1">IFERROR(__xludf.DUMMYFUNCTION("""COMPUTED_VALUE"""),"Dubai&gt;International City&gt;China Cluster&gt;C-02")</f>
        <v>Dubai&gt;International City&gt;China Cluster&gt;C-02</v>
      </c>
      <c r="E12533" s="2"/>
      <c r="F12533" s="2"/>
      <c r="G12533" s="2"/>
      <c r="H12533" s="2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2"/>
      <c r="T12533" s="2"/>
      <c r="U12533" s="2"/>
      <c r="V12533" s="2"/>
      <c r="W12533" s="2"/>
      <c r="X12533" s="2"/>
      <c r="Y12533" s="2"/>
      <c r="Z12533" s="2"/>
    </row>
    <row r="12534" spans="1:26" ht="16.5" x14ac:dyDescent="0.35">
      <c r="A12534" s="2" t="str">
        <f ca="1">IFERROR(__xludf.DUMMYFUNCTION("""COMPUTED_VALUE"""),"Dubai")</f>
        <v>Dubai</v>
      </c>
      <c r="B12534" s="2" t="str">
        <f ca="1">IFERROR(__xludf.DUMMYFUNCTION("""COMPUTED_VALUE"""),"F-07")</f>
        <v>F-07</v>
      </c>
      <c r="C12534" s="2" t="str">
        <f ca="1">IFERROR(__xludf.DUMMYFUNCTION("""COMPUTED_VALUE"""),"Building")</f>
        <v>Building</v>
      </c>
      <c r="D12534" s="2" t="str">
        <f ca="1">IFERROR(__xludf.DUMMYFUNCTION("""COMPUTED_VALUE"""),"Dubai&gt;International City&gt;China Cluster&gt;F-07")</f>
        <v>Dubai&gt;International City&gt;China Cluster&gt;F-07</v>
      </c>
      <c r="E12534" s="2"/>
      <c r="F12534" s="2"/>
      <c r="G12534" s="2"/>
      <c r="H12534" s="2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2"/>
      <c r="T12534" s="2"/>
      <c r="U12534" s="2"/>
      <c r="V12534" s="2"/>
      <c r="W12534" s="2"/>
      <c r="X12534" s="2"/>
      <c r="Y12534" s="2"/>
      <c r="Z12534" s="2"/>
    </row>
    <row r="12535" spans="1:26" ht="16.5" x14ac:dyDescent="0.35">
      <c r="A12535" s="2" t="str">
        <f ca="1">IFERROR(__xludf.DUMMYFUNCTION("""COMPUTED_VALUE"""),"Dubai")</f>
        <v>Dubai</v>
      </c>
      <c r="B12535" s="2" t="str">
        <f ca="1">IFERROR(__xludf.DUMMYFUNCTION("""COMPUTED_VALUE"""),"S-16")</f>
        <v>S-16</v>
      </c>
      <c r="C12535" s="2" t="str">
        <f ca="1">IFERROR(__xludf.DUMMYFUNCTION("""COMPUTED_VALUE"""),"Building")</f>
        <v>Building</v>
      </c>
      <c r="D12535" s="2" t="str">
        <f ca="1">IFERROR(__xludf.DUMMYFUNCTION("""COMPUTED_VALUE"""),"Dubai&gt;International City&gt;Spain Cluster&gt;S-16")</f>
        <v>Dubai&gt;International City&gt;Spain Cluster&gt;S-16</v>
      </c>
      <c r="E12535" s="2"/>
      <c r="F12535" s="2"/>
      <c r="G12535" s="2"/>
      <c r="H12535" s="2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2"/>
      <c r="T12535" s="2"/>
      <c r="U12535" s="2"/>
      <c r="V12535" s="2"/>
      <c r="W12535" s="2"/>
      <c r="X12535" s="2"/>
      <c r="Y12535" s="2"/>
      <c r="Z12535" s="2"/>
    </row>
    <row r="12536" spans="1:26" ht="16.5" x14ac:dyDescent="0.35">
      <c r="A12536" s="2" t="str">
        <f ca="1">IFERROR(__xludf.DUMMYFUNCTION("""COMPUTED_VALUE"""),"Dubai")</f>
        <v>Dubai</v>
      </c>
      <c r="B12536" s="2" t="str">
        <f ca="1">IFERROR(__xludf.DUMMYFUNCTION("""COMPUTED_VALUE"""),"U-05")</f>
        <v>U-05</v>
      </c>
      <c r="C12536" s="2" t="str">
        <f ca="1">IFERROR(__xludf.DUMMYFUNCTION("""COMPUTED_VALUE"""),"Building")</f>
        <v>Building</v>
      </c>
      <c r="D12536" s="2" t="str">
        <f ca="1">IFERROR(__xludf.DUMMYFUNCTION("""COMPUTED_VALUE"""),"Dubai&gt;International City&gt;Italy Cluster&gt;U-05")</f>
        <v>Dubai&gt;International City&gt;Italy Cluster&gt;U-05</v>
      </c>
      <c r="E12536" s="2"/>
      <c r="F12536" s="2"/>
      <c r="G12536" s="2"/>
      <c r="H12536" s="2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2"/>
      <c r="T12536" s="2"/>
      <c r="U12536" s="2"/>
      <c r="V12536" s="2"/>
      <c r="W12536" s="2"/>
      <c r="X12536" s="2"/>
      <c r="Y12536" s="2"/>
      <c r="Z12536" s="2"/>
    </row>
    <row r="12537" spans="1:26" ht="16.5" x14ac:dyDescent="0.35">
      <c r="A12537" s="2" t="str">
        <f ca="1">IFERROR(__xludf.DUMMYFUNCTION("""COMPUTED_VALUE"""),"Dubai")</f>
        <v>Dubai</v>
      </c>
      <c r="B12537" s="2" t="str">
        <f ca="1">IFERROR(__xludf.DUMMYFUNCTION("""COMPUTED_VALUE"""),"V-09")</f>
        <v>V-09</v>
      </c>
      <c r="C12537" s="2" t="str">
        <f ca="1">IFERROR(__xludf.DUMMYFUNCTION("""COMPUTED_VALUE"""),"Building")</f>
        <v>Building</v>
      </c>
      <c r="D12537" s="2" t="str">
        <f ca="1">IFERROR(__xludf.DUMMYFUNCTION("""COMPUTED_VALUE"""),"Dubai&gt;International City&gt;Russia Cluster&gt;V-09")</f>
        <v>Dubai&gt;International City&gt;Russia Cluster&gt;V-09</v>
      </c>
      <c r="E12537" s="2"/>
      <c r="F12537" s="2"/>
      <c r="G12537" s="2"/>
      <c r="H12537" s="2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2"/>
      <c r="T12537" s="2"/>
      <c r="U12537" s="2"/>
      <c r="V12537" s="2"/>
      <c r="W12537" s="2"/>
      <c r="X12537" s="2"/>
      <c r="Y12537" s="2"/>
      <c r="Z12537" s="2"/>
    </row>
    <row r="12538" spans="1:26" ht="16.5" x14ac:dyDescent="0.35">
      <c r="A12538" s="2" t="str">
        <f ca="1">IFERROR(__xludf.DUMMYFUNCTION("""COMPUTED_VALUE"""),"Dubai")</f>
        <v>Dubai</v>
      </c>
      <c r="B12538" s="2" t="str">
        <f ca="1">IFERROR(__xludf.DUMMYFUNCTION("""COMPUTED_VALUE"""),"N-08")</f>
        <v>N-08</v>
      </c>
      <c r="C12538" s="2" t="str">
        <f ca="1">IFERROR(__xludf.DUMMYFUNCTION("""COMPUTED_VALUE"""),"Building")</f>
        <v>Building</v>
      </c>
      <c r="D12538" s="2" t="str">
        <f ca="1">IFERROR(__xludf.DUMMYFUNCTION("""COMPUTED_VALUE"""),"Dubai&gt;International City&gt;Persia Cluster&gt;N-08")</f>
        <v>Dubai&gt;International City&gt;Persia Cluster&gt;N-08</v>
      </c>
      <c r="E12538" s="2"/>
      <c r="F12538" s="2"/>
      <c r="G12538" s="2"/>
      <c r="H12538" s="2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2"/>
      <c r="T12538" s="2"/>
      <c r="U12538" s="2"/>
      <c r="V12538" s="2"/>
      <c r="W12538" s="2"/>
      <c r="X12538" s="2"/>
      <c r="Y12538" s="2"/>
      <c r="Z12538" s="2"/>
    </row>
    <row r="12539" spans="1:26" ht="16.5" x14ac:dyDescent="0.35">
      <c r="A12539" s="2" t="str">
        <f ca="1">IFERROR(__xludf.DUMMYFUNCTION("""COMPUTED_VALUE"""),"Dubai")</f>
        <v>Dubai</v>
      </c>
      <c r="B12539" s="2" t="str">
        <f ca="1">IFERROR(__xludf.DUMMYFUNCTION("""COMPUTED_VALUE"""),"EMR-24")</f>
        <v>EMR-24</v>
      </c>
      <c r="C12539" s="2" t="str">
        <f ca="1">IFERROR(__xludf.DUMMYFUNCTION("""COMPUTED_VALUE"""),"Building")</f>
        <v>Building</v>
      </c>
      <c r="D12539" s="2" t="str">
        <f ca="1">IFERROR(__xludf.DUMMYFUNCTION("""COMPUTED_VALUE"""),"Dubai&gt;International City&gt;Emirates Cluster&gt;EMR-24")</f>
        <v>Dubai&gt;International City&gt;Emirates Cluster&gt;EMR-24</v>
      </c>
      <c r="E12539" s="2"/>
      <c r="F12539" s="2"/>
      <c r="G12539" s="2"/>
      <c r="H12539" s="2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2"/>
      <c r="T12539" s="2"/>
      <c r="U12539" s="2"/>
      <c r="V12539" s="2"/>
      <c r="W12539" s="2"/>
      <c r="X12539" s="2"/>
      <c r="Y12539" s="2"/>
      <c r="Z12539" s="2"/>
    </row>
    <row r="12540" spans="1:26" ht="16.5" x14ac:dyDescent="0.35">
      <c r="A12540" s="2" t="str">
        <f ca="1">IFERROR(__xludf.DUMMYFUNCTION("""COMPUTED_VALUE"""),"Dubai")</f>
        <v>Dubai</v>
      </c>
      <c r="B12540" s="2" t="str">
        <f ca="1">IFERROR(__xludf.DUMMYFUNCTION("""COMPUTED_VALUE"""),"X-09")</f>
        <v>X-09</v>
      </c>
      <c r="C12540" s="2" t="str">
        <f ca="1">IFERROR(__xludf.DUMMYFUNCTION("""COMPUTED_VALUE"""),"Building")</f>
        <v>Building</v>
      </c>
      <c r="D12540" s="2" t="str">
        <f ca="1">IFERROR(__xludf.DUMMYFUNCTION("""COMPUTED_VALUE"""),"Dubai&gt;International City&gt;England Cluster&gt;X-09")</f>
        <v>Dubai&gt;International City&gt;England Cluster&gt;X-09</v>
      </c>
      <c r="E12540" s="2"/>
      <c r="F12540" s="2"/>
      <c r="G12540" s="2"/>
      <c r="H12540" s="2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2"/>
      <c r="T12540" s="2"/>
      <c r="U12540" s="2"/>
      <c r="V12540" s="2"/>
      <c r="W12540" s="2"/>
      <c r="X12540" s="2"/>
      <c r="Y12540" s="2"/>
      <c r="Z12540" s="2"/>
    </row>
    <row r="12541" spans="1:26" ht="16.5" x14ac:dyDescent="0.35">
      <c r="A12541" s="2" t="str">
        <f ca="1">IFERROR(__xludf.DUMMYFUNCTION("""COMPUTED_VALUE"""),"Dubai")</f>
        <v>Dubai</v>
      </c>
      <c r="B12541" s="2" t="str">
        <f ca="1">IFERROR(__xludf.DUMMYFUNCTION("""COMPUTED_VALUE"""),"Y-15")</f>
        <v>Y-15</v>
      </c>
      <c r="C12541" s="2" t="str">
        <f ca="1">IFERROR(__xludf.DUMMYFUNCTION("""COMPUTED_VALUE"""),"Building")</f>
        <v>Building</v>
      </c>
      <c r="D12541" s="2" t="str">
        <f ca="1">IFERROR(__xludf.DUMMYFUNCTION("""COMPUTED_VALUE"""),"Dubai&gt;International City&gt;England Cluster&gt;Y-15")</f>
        <v>Dubai&gt;International City&gt;England Cluster&gt;Y-15</v>
      </c>
      <c r="E12541" s="2"/>
      <c r="F12541" s="2"/>
      <c r="G12541" s="2"/>
      <c r="H12541" s="2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2"/>
      <c r="T12541" s="2"/>
      <c r="U12541" s="2"/>
      <c r="V12541" s="2"/>
      <c r="W12541" s="2"/>
      <c r="X12541" s="2"/>
      <c r="Y12541" s="2"/>
      <c r="Z12541" s="2"/>
    </row>
    <row r="12542" spans="1:26" ht="16.5" x14ac:dyDescent="0.35">
      <c r="A12542" s="2" t="str">
        <f ca="1">IFERROR(__xludf.DUMMYFUNCTION("""COMPUTED_VALUE"""),"Dubai")</f>
        <v>Dubai</v>
      </c>
      <c r="B12542" s="2" t="str">
        <f ca="1">IFERROR(__xludf.DUMMYFUNCTION("""COMPUTED_VALUE"""),"Al Basha 6")</f>
        <v>Al Basha 6</v>
      </c>
      <c r="C12542" s="2" t="str">
        <f ca="1">IFERROR(__xludf.DUMMYFUNCTION("""COMPUTED_VALUE"""),"Building")</f>
        <v>Building</v>
      </c>
      <c r="D12542" s="2" t="str">
        <f ca="1">IFERROR(__xludf.DUMMYFUNCTION("""COMPUTED_VALUE"""),"Dubai&gt;International City&gt;International City Phase 2 (Warsan 4)&gt;Al Basha 6")</f>
        <v>Dubai&gt;International City&gt;International City Phase 2 (Warsan 4)&gt;Al Basha 6</v>
      </c>
      <c r="E12542" s="2"/>
      <c r="F12542" s="2"/>
      <c r="G12542" s="2"/>
      <c r="H12542" s="2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2"/>
      <c r="T12542" s="2"/>
      <c r="U12542" s="2"/>
      <c r="V12542" s="2"/>
      <c r="W12542" s="2"/>
      <c r="X12542" s="2"/>
      <c r="Y12542" s="2"/>
      <c r="Z12542" s="2"/>
    </row>
    <row r="12543" spans="1:26" ht="16.5" x14ac:dyDescent="0.35">
      <c r="A12543" s="2" t="str">
        <f ca="1">IFERROR(__xludf.DUMMYFUNCTION("""COMPUTED_VALUE"""),"Dubai")</f>
        <v>Dubai</v>
      </c>
      <c r="B12543" s="2" t="str">
        <f ca="1">IFERROR(__xludf.DUMMYFUNCTION("""COMPUTED_VALUE"""),"W20 Building")</f>
        <v>W20 Building</v>
      </c>
      <c r="C12543" s="2" t="str">
        <f ca="1">IFERROR(__xludf.DUMMYFUNCTION("""COMPUTED_VALUE"""),"Building")</f>
        <v>Building</v>
      </c>
      <c r="D12543" s="2" t="str">
        <f ca="1">IFERROR(__xludf.DUMMYFUNCTION("""COMPUTED_VALUE"""),"Dubai&gt;International City&gt;International City Phase 2 (Warsan 4)&gt;W20 Building")</f>
        <v>Dubai&gt;International City&gt;International City Phase 2 (Warsan 4)&gt;W20 Building</v>
      </c>
      <c r="E12543" s="2"/>
      <c r="F12543" s="2"/>
      <c r="G12543" s="2"/>
      <c r="H12543" s="2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2"/>
      <c r="T12543" s="2"/>
      <c r="U12543" s="2"/>
      <c r="V12543" s="2"/>
      <c r="W12543" s="2"/>
      <c r="X12543" s="2"/>
      <c r="Y12543" s="2"/>
      <c r="Z12543" s="2"/>
    </row>
    <row r="12544" spans="1:26" ht="16.5" x14ac:dyDescent="0.35">
      <c r="A12544" s="2" t="str">
        <f ca="1">IFERROR(__xludf.DUMMYFUNCTION("""COMPUTED_VALUE"""),"Dubai")</f>
        <v>Dubai</v>
      </c>
      <c r="B12544" s="2" t="str">
        <f ca="1">IFERROR(__xludf.DUMMYFUNCTION("""COMPUTED_VALUE"""),"Rohy")</f>
        <v>Rohy</v>
      </c>
      <c r="C12544" s="2" t="str">
        <f ca="1">IFERROR(__xludf.DUMMYFUNCTION("""COMPUTED_VALUE"""),"Building")</f>
        <v>Building</v>
      </c>
      <c r="D12544" s="2" t="str">
        <f ca="1">IFERROR(__xludf.DUMMYFUNCTION("""COMPUTED_VALUE"""),"Dubai&gt;International City&gt;International City Phase 2 (Warsan 4)&gt;Rohy")</f>
        <v>Dubai&gt;International City&gt;International City Phase 2 (Warsan 4)&gt;Rohy</v>
      </c>
      <c r="E12544" s="2"/>
      <c r="F12544" s="2"/>
      <c r="G12544" s="2"/>
      <c r="H12544" s="2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2"/>
      <c r="T12544" s="2"/>
      <c r="U12544" s="2"/>
      <c r="V12544" s="2"/>
      <c r="W12544" s="2"/>
      <c r="X12544" s="2"/>
      <c r="Y12544" s="2"/>
      <c r="Z12544" s="2"/>
    </row>
    <row r="12545" spans="1:26" ht="16.5" x14ac:dyDescent="0.35">
      <c r="A12545" s="2" t="str">
        <f ca="1">IFERROR(__xludf.DUMMYFUNCTION("""COMPUTED_VALUE"""),"Dubai")</f>
        <v>Dubai</v>
      </c>
      <c r="B12545" s="2" t="str">
        <f ca="1">IFERROR(__xludf.DUMMYFUNCTION("""COMPUTED_VALUE"""),"Glorious Central Residences")</f>
        <v>Glorious Central Residences</v>
      </c>
      <c r="C12545" s="2" t="str">
        <f ca="1">IFERROR(__xludf.DUMMYFUNCTION("""COMPUTED_VALUE"""),"Building")</f>
        <v>Building</v>
      </c>
      <c r="D12545" s="2" t="str">
        <f ca="1">IFERROR(__xludf.DUMMYFUNCTION("""COMPUTED_VALUE"""),"Dubai&gt;International City&gt;International City Phase 2 (Warsan 4)&gt;Glorious Central Residences")</f>
        <v>Dubai&gt;International City&gt;International City Phase 2 (Warsan 4)&gt;Glorious Central Residences</v>
      </c>
      <c r="E12545" s="2"/>
      <c r="F12545" s="2"/>
      <c r="G12545" s="2"/>
      <c r="H12545" s="2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2"/>
      <c r="T12545" s="2"/>
      <c r="U12545" s="2"/>
      <c r="V12545" s="2"/>
      <c r="W12545" s="2"/>
      <c r="X12545" s="2"/>
      <c r="Y12545" s="2"/>
      <c r="Z12545" s="2"/>
    </row>
    <row r="12546" spans="1:26" ht="16.5" x14ac:dyDescent="0.35">
      <c r="A12546" s="2" t="str">
        <f ca="1">IFERROR(__xludf.DUMMYFUNCTION("""COMPUTED_VALUE"""),"Dubai")</f>
        <v>Dubai</v>
      </c>
      <c r="B12546" s="2" t="str">
        <f ca="1">IFERROR(__xludf.DUMMYFUNCTION("""COMPUTED_VALUE"""),"L'horizon Residence")</f>
        <v>L'horizon Residence</v>
      </c>
      <c r="C12546" s="2" t="str">
        <f ca="1">IFERROR(__xludf.DUMMYFUNCTION("""COMPUTED_VALUE"""),"Building")</f>
        <v>Building</v>
      </c>
      <c r="D12546" s="2" t="str">
        <f ca="1">IFERROR(__xludf.DUMMYFUNCTION("""COMPUTED_VALUE"""),"Dubai&gt;International City&gt;International City Phase 2 (Warsan 4)&gt;L'horizon Residence")</f>
        <v>Dubai&gt;International City&gt;International City Phase 2 (Warsan 4)&gt;L'horizon Residence</v>
      </c>
      <c r="E12546" s="2"/>
      <c r="F12546" s="2"/>
      <c r="G12546" s="2"/>
      <c r="H12546" s="2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2"/>
      <c r="T12546" s="2"/>
      <c r="U12546" s="2"/>
      <c r="V12546" s="2"/>
      <c r="W12546" s="2"/>
      <c r="X12546" s="2"/>
      <c r="Y12546" s="2"/>
      <c r="Z12546" s="2"/>
    </row>
    <row r="12547" spans="1:26" ht="16.5" x14ac:dyDescent="0.35">
      <c r="A12547" s="2" t="str">
        <f ca="1">IFERROR(__xludf.DUMMYFUNCTION("""COMPUTED_VALUE"""),"Dubai")</f>
        <v>Dubai</v>
      </c>
      <c r="B12547" s="2" t="str">
        <f ca="1">IFERROR(__xludf.DUMMYFUNCTION("""COMPUTED_VALUE"""),"K-12")</f>
        <v>K-12</v>
      </c>
      <c r="C12547" s="2" t="str">
        <f ca="1">IFERROR(__xludf.DUMMYFUNCTION("""COMPUTED_VALUE"""),"Building")</f>
        <v>Building</v>
      </c>
      <c r="D12547" s="2" t="str">
        <f ca="1">IFERROR(__xludf.DUMMYFUNCTION("""COMPUTED_VALUE"""),"Dubai&gt;International City&gt;Greece Cluster&gt;K-12")</f>
        <v>Dubai&gt;International City&gt;Greece Cluster&gt;K-12</v>
      </c>
      <c r="E12547" s="2"/>
      <c r="F12547" s="2"/>
      <c r="G12547" s="2"/>
      <c r="H12547" s="2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2"/>
      <c r="T12547" s="2"/>
      <c r="U12547" s="2"/>
      <c r="V12547" s="2"/>
      <c r="W12547" s="2"/>
      <c r="X12547" s="2"/>
      <c r="Y12547" s="2"/>
      <c r="Z12547" s="2"/>
    </row>
    <row r="12548" spans="1:26" ht="16.5" x14ac:dyDescent="0.35">
      <c r="A12548" s="2" t="str">
        <f ca="1">IFERROR(__xludf.DUMMYFUNCTION("""COMPUTED_VALUE"""),"Dubai")</f>
        <v>Dubai</v>
      </c>
      <c r="B12548" s="2" t="str">
        <f ca="1">IFERROR(__xludf.DUMMYFUNCTION("""COMPUTED_VALUE"""),"P-25")</f>
        <v>P-25</v>
      </c>
      <c r="C12548" s="2" t="str">
        <f ca="1">IFERROR(__xludf.DUMMYFUNCTION("""COMPUTED_VALUE"""),"Building")</f>
        <v>Building</v>
      </c>
      <c r="D12548" s="2" t="str">
        <f ca="1">IFERROR(__xludf.DUMMYFUNCTION("""COMPUTED_VALUE"""),"Dubai&gt;International City&gt;France Cluster&gt;P-25")</f>
        <v>Dubai&gt;International City&gt;France Cluster&gt;P-25</v>
      </c>
      <c r="E12548" s="2"/>
      <c r="F12548" s="2"/>
      <c r="G12548" s="2"/>
      <c r="H12548" s="2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2"/>
      <c r="T12548" s="2"/>
      <c r="U12548" s="2"/>
      <c r="V12548" s="2"/>
      <c r="W12548" s="2"/>
      <c r="X12548" s="2"/>
      <c r="Y12548" s="2"/>
      <c r="Z12548" s="2"/>
    </row>
    <row r="12549" spans="1:26" ht="16.5" x14ac:dyDescent="0.35">
      <c r="A12549" s="2" t="str">
        <f ca="1">IFERROR(__xludf.DUMMYFUNCTION("""COMPUTED_VALUE"""),"Dubai")</f>
        <v>Dubai</v>
      </c>
      <c r="B12549" s="2" t="str">
        <f ca="1">IFERROR(__xludf.DUMMYFUNCTION("""COMPUTED_VALUE"""),"R-27")</f>
        <v>R-27</v>
      </c>
      <c r="C12549" s="2" t="str">
        <f ca="1">IFERROR(__xludf.DUMMYFUNCTION("""COMPUTED_VALUE"""),"Building")</f>
        <v>Building</v>
      </c>
      <c r="D12549" s="2" t="str">
        <f ca="1">IFERROR(__xludf.DUMMYFUNCTION("""COMPUTED_VALUE"""),"Dubai&gt;International City&gt;France Cluster&gt;R-27")</f>
        <v>Dubai&gt;International City&gt;France Cluster&gt;R-27</v>
      </c>
      <c r="E12549" s="2"/>
      <c r="F12549" s="2"/>
      <c r="G12549" s="2"/>
      <c r="H12549" s="2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2"/>
      <c r="T12549" s="2"/>
      <c r="U12549" s="2"/>
      <c r="V12549" s="2"/>
      <c r="W12549" s="2"/>
      <c r="X12549" s="2"/>
      <c r="Y12549" s="2"/>
      <c r="Z12549" s="2"/>
    </row>
    <row r="12550" spans="1:26" ht="16.5" x14ac:dyDescent="0.35">
      <c r="A12550" s="2" t="str">
        <f ca="1">IFERROR(__xludf.DUMMYFUNCTION("""COMPUTED_VALUE"""),"Dubai")</f>
        <v>Dubai</v>
      </c>
      <c r="B12550" s="2" t="str">
        <f ca="1">IFERROR(__xludf.DUMMYFUNCTION("""COMPUTED_VALUE"""),"Riviera Dream")</f>
        <v>Riviera Dream</v>
      </c>
      <c r="C12550" s="2" t="str">
        <f ca="1">IFERROR(__xludf.DUMMYFUNCTION("""COMPUTED_VALUE"""),"Building")</f>
        <v>Building</v>
      </c>
      <c r="D12550" s="2" t="str">
        <f ca="1">IFERROR(__xludf.DUMMYFUNCTION("""COMPUTED_VALUE"""),"Dubai&gt;International City&gt;Central Business District&gt;Riviera Dream")</f>
        <v>Dubai&gt;International City&gt;Central Business District&gt;Riviera Dream</v>
      </c>
      <c r="E12550" s="2"/>
      <c r="F12550" s="2"/>
      <c r="G12550" s="2"/>
      <c r="H12550" s="2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2"/>
      <c r="T12550" s="2"/>
      <c r="U12550" s="2"/>
      <c r="V12550" s="2"/>
      <c r="W12550" s="2"/>
      <c r="X12550" s="2"/>
      <c r="Y12550" s="2"/>
      <c r="Z12550" s="2"/>
    </row>
    <row r="12551" spans="1:26" ht="16.5" x14ac:dyDescent="0.35">
      <c r="A12551" s="2" t="str">
        <f ca="1">IFERROR(__xludf.DUMMYFUNCTION("""COMPUTED_VALUE"""),"Dubai")</f>
        <v>Dubai</v>
      </c>
      <c r="B12551" s="2" t="str">
        <f ca="1">IFERROR(__xludf.DUMMYFUNCTION("""COMPUTED_VALUE"""),"Al Zarooni Building")</f>
        <v>Al Zarooni Building</v>
      </c>
      <c r="C12551" s="2" t="str">
        <f ca="1">IFERROR(__xludf.DUMMYFUNCTION("""COMPUTED_VALUE"""),"Building")</f>
        <v>Building</v>
      </c>
      <c r="D12551" s="2" t="str">
        <f ca="1">IFERROR(__xludf.DUMMYFUNCTION("""COMPUTED_VALUE"""),"Dubai&gt;International City&gt;Al Zarooni Building")</f>
        <v>Dubai&gt;International City&gt;Al Zarooni Building</v>
      </c>
      <c r="E12551" s="2"/>
      <c r="F12551" s="2"/>
      <c r="G12551" s="2"/>
      <c r="H12551" s="2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2"/>
      <c r="T12551" s="2"/>
      <c r="U12551" s="2"/>
      <c r="V12551" s="2"/>
      <c r="W12551" s="2"/>
      <c r="X12551" s="2"/>
      <c r="Y12551" s="2"/>
      <c r="Z12551" s="2"/>
    </row>
    <row r="12552" spans="1:26" ht="16.5" x14ac:dyDescent="0.35">
      <c r="A12552" s="2" t="str">
        <f ca="1">IFERROR(__xludf.DUMMYFUNCTION("""COMPUTED_VALUE"""),"Dubai")</f>
        <v>Dubai</v>
      </c>
      <c r="B12552" s="2" t="str">
        <f ca="1">IFERROR(__xludf.DUMMYFUNCTION("""COMPUTED_VALUE"""),"Marina Wharf II")</f>
        <v>Marina Wharf II</v>
      </c>
      <c r="C12552" s="2" t="str">
        <f ca="1">IFERROR(__xludf.DUMMYFUNCTION("""COMPUTED_VALUE"""),"Building")</f>
        <v>Building</v>
      </c>
      <c r="D12552" s="2" t="str">
        <f ca="1">IFERROR(__xludf.DUMMYFUNCTION("""COMPUTED_VALUE"""),"Dubai&gt;Dubai Marina&gt;Marina Wharf&gt;Marina Wharf II")</f>
        <v>Dubai&gt;Dubai Marina&gt;Marina Wharf&gt;Marina Wharf II</v>
      </c>
      <c r="E12552" s="2"/>
      <c r="F12552" s="2"/>
      <c r="G12552" s="2"/>
      <c r="H12552" s="2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2"/>
      <c r="T12552" s="2"/>
      <c r="U12552" s="2"/>
      <c r="V12552" s="2"/>
      <c r="W12552" s="2"/>
      <c r="X12552" s="2"/>
      <c r="Y12552" s="2"/>
      <c r="Z12552" s="2"/>
    </row>
    <row r="12553" spans="1:26" ht="16.5" x14ac:dyDescent="0.35">
      <c r="A12553" s="2" t="str">
        <f ca="1">IFERROR(__xludf.DUMMYFUNCTION("""COMPUTED_VALUE"""),"Dubai")</f>
        <v>Dubai</v>
      </c>
      <c r="B12553" s="2" t="str">
        <f ca="1">IFERROR(__xludf.DUMMYFUNCTION("""COMPUTED_VALUE"""),"Marina Quays West")</f>
        <v>Marina Quays West</v>
      </c>
      <c r="C12553" s="2" t="str">
        <f ca="1">IFERROR(__xludf.DUMMYFUNCTION("""COMPUTED_VALUE"""),"Building")</f>
        <v>Building</v>
      </c>
      <c r="D12553" s="2" t="str">
        <f ca="1">IFERROR(__xludf.DUMMYFUNCTION("""COMPUTED_VALUE"""),"Dubai&gt;Dubai Marina&gt;Marina Quays&gt;Marina Quays West")</f>
        <v>Dubai&gt;Dubai Marina&gt;Marina Quays&gt;Marina Quays West</v>
      </c>
      <c r="E12553" s="2"/>
      <c r="F12553" s="2"/>
      <c r="G12553" s="2"/>
      <c r="H12553" s="2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2"/>
      <c r="T12553" s="2"/>
      <c r="U12553" s="2"/>
      <c r="V12553" s="2"/>
      <c r="W12553" s="2"/>
      <c r="X12553" s="2"/>
      <c r="Y12553" s="2"/>
      <c r="Z12553" s="2"/>
    </row>
    <row r="12554" spans="1:26" ht="16.5" x14ac:dyDescent="0.35">
      <c r="A12554" s="2" t="str">
        <f ca="1">IFERROR(__xludf.DUMMYFUNCTION("""COMPUTED_VALUE"""),"Dubai")</f>
        <v>Dubai</v>
      </c>
      <c r="B12554" s="2" t="str">
        <f ca="1">IFERROR(__xludf.DUMMYFUNCTION("""COMPUTED_VALUE"""),"Marina Pearl")</f>
        <v>Marina Pearl</v>
      </c>
      <c r="C12554" s="2" t="str">
        <f ca="1">IFERROR(__xludf.DUMMYFUNCTION("""COMPUTED_VALUE"""),"Building")</f>
        <v>Building</v>
      </c>
      <c r="D12554" s="2" t="str">
        <f ca="1">IFERROR(__xludf.DUMMYFUNCTION("""COMPUTED_VALUE"""),"Dubai&gt;Dubai Marina&gt;Marina Pearl")</f>
        <v>Dubai&gt;Dubai Marina&gt;Marina Pearl</v>
      </c>
      <c r="E12554" s="2"/>
      <c r="F12554" s="2"/>
      <c r="G12554" s="2"/>
      <c r="H12554" s="2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2"/>
      <c r="T12554" s="2"/>
      <c r="U12554" s="2"/>
      <c r="V12554" s="2"/>
      <c r="W12554" s="2"/>
      <c r="X12554" s="2"/>
      <c r="Y12554" s="2"/>
      <c r="Z12554" s="2"/>
    </row>
    <row r="12555" spans="1:26" ht="16.5" x14ac:dyDescent="0.35">
      <c r="A12555" s="2" t="str">
        <f ca="1">IFERROR(__xludf.DUMMYFUNCTION("""COMPUTED_VALUE"""),"Dubai")</f>
        <v>Dubai</v>
      </c>
      <c r="B12555" s="2" t="str">
        <f ca="1">IFERROR(__xludf.DUMMYFUNCTION("""COMPUTED_VALUE"""),"West Avenue")</f>
        <v>West Avenue</v>
      </c>
      <c r="C12555" s="2" t="str">
        <f ca="1">IFERROR(__xludf.DUMMYFUNCTION("""COMPUTED_VALUE"""),"Building")</f>
        <v>Building</v>
      </c>
      <c r="D12555" s="2" t="str">
        <f ca="1">IFERROR(__xludf.DUMMYFUNCTION("""COMPUTED_VALUE"""),"Dubai&gt;Dubai Marina&gt;West Avenue")</f>
        <v>Dubai&gt;Dubai Marina&gt;West Avenue</v>
      </c>
      <c r="E12555" s="2"/>
      <c r="F12555" s="2"/>
      <c r="G12555" s="2"/>
      <c r="H12555" s="2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2"/>
      <c r="T12555" s="2"/>
      <c r="U12555" s="2"/>
      <c r="V12555" s="2"/>
      <c r="W12555" s="2"/>
      <c r="X12555" s="2"/>
      <c r="Y12555" s="2"/>
      <c r="Z12555" s="2"/>
    </row>
    <row r="12556" spans="1:26" ht="16.5" x14ac:dyDescent="0.35">
      <c r="A12556" s="2" t="str">
        <f ca="1">IFERROR(__xludf.DUMMYFUNCTION("""COMPUTED_VALUE"""),"Dubai")</f>
        <v>Dubai</v>
      </c>
      <c r="B12556" s="2" t="str">
        <f ca="1">IFERROR(__xludf.DUMMYFUNCTION("""COMPUTED_VALUE"""),"City Premier Marina Hotel Apartments")</f>
        <v>City Premier Marina Hotel Apartments</v>
      </c>
      <c r="C12556" s="2" t="str">
        <f ca="1">IFERROR(__xludf.DUMMYFUNCTION("""COMPUTED_VALUE"""),"Building")</f>
        <v>Building</v>
      </c>
      <c r="D12556" s="2" t="str">
        <f ca="1">IFERROR(__xludf.DUMMYFUNCTION("""COMPUTED_VALUE"""),"Dubai&gt;Dubai Marina&gt;City Premier Marina Hotel Apartments")</f>
        <v>Dubai&gt;Dubai Marina&gt;City Premier Marina Hotel Apartments</v>
      </c>
      <c r="E12556" s="2"/>
      <c r="F12556" s="2"/>
      <c r="G12556" s="2"/>
      <c r="H12556" s="2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2"/>
      <c r="T12556" s="2"/>
      <c r="U12556" s="2"/>
      <c r="V12556" s="2"/>
      <c r="W12556" s="2"/>
      <c r="X12556" s="2"/>
      <c r="Y12556" s="2"/>
      <c r="Z12556" s="2"/>
    </row>
    <row r="12557" spans="1:26" ht="16.5" x14ac:dyDescent="0.35">
      <c r="A12557" s="2" t="str">
        <f ca="1">IFERROR(__xludf.DUMMYFUNCTION("""COMPUTED_VALUE"""),"Dubai")</f>
        <v>Dubai</v>
      </c>
      <c r="B12557" s="2" t="str">
        <f ca="1">IFERROR(__xludf.DUMMYFUNCTION("""COMPUTED_VALUE"""),"Marina Plaza")</f>
        <v>Marina Plaza</v>
      </c>
      <c r="C12557" s="2" t="str">
        <f ca="1">IFERROR(__xludf.DUMMYFUNCTION("""COMPUTED_VALUE"""),"Building")</f>
        <v>Building</v>
      </c>
      <c r="D12557" s="2" t="str">
        <f ca="1">IFERROR(__xludf.DUMMYFUNCTION("""COMPUTED_VALUE"""),"Dubai&gt;Dubai Marina&gt;Marina Plaza")</f>
        <v>Dubai&gt;Dubai Marina&gt;Marina Plaza</v>
      </c>
      <c r="E12557" s="2"/>
      <c r="F12557" s="2"/>
      <c r="G12557" s="2"/>
      <c r="H12557" s="2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2"/>
      <c r="T12557" s="2"/>
      <c r="U12557" s="2"/>
      <c r="V12557" s="2"/>
      <c r="W12557" s="2"/>
      <c r="X12557" s="2"/>
      <c r="Y12557" s="2"/>
      <c r="Z12557" s="2"/>
    </row>
    <row r="12558" spans="1:26" ht="16.5" x14ac:dyDescent="0.35">
      <c r="A12558" s="2" t="str">
        <f ca="1">IFERROR(__xludf.DUMMYFUNCTION("""COMPUTED_VALUE"""),"Dubai")</f>
        <v>Dubai</v>
      </c>
      <c r="B12558" s="2" t="str">
        <f ca="1">IFERROR(__xludf.DUMMYFUNCTION("""COMPUTED_VALUE"""),"Six Senses Residences Dubai Marina")</f>
        <v>Six Senses Residences Dubai Marina</v>
      </c>
      <c r="C12558" s="2" t="str">
        <f ca="1">IFERROR(__xludf.DUMMYFUNCTION("""COMPUTED_VALUE"""),"Building")</f>
        <v>Building</v>
      </c>
      <c r="D12558" s="2" t="str">
        <f ca="1">IFERROR(__xludf.DUMMYFUNCTION("""COMPUTED_VALUE"""),"Dubai&gt;Dubai Marina&gt;Six Senses Residences Dubai Marina")</f>
        <v>Dubai&gt;Dubai Marina&gt;Six Senses Residences Dubai Marina</v>
      </c>
      <c r="E12558" s="2"/>
      <c r="F12558" s="2"/>
      <c r="G12558" s="2"/>
      <c r="H12558" s="2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2"/>
      <c r="T12558" s="2"/>
      <c r="U12558" s="2"/>
      <c r="V12558" s="2"/>
      <c r="W12558" s="2"/>
      <c r="X12558" s="2"/>
      <c r="Y12558" s="2"/>
      <c r="Z12558" s="2"/>
    </row>
    <row r="12559" spans="1:26" ht="16.5" x14ac:dyDescent="0.35">
      <c r="A12559" s="2" t="str">
        <f ca="1">IFERROR(__xludf.DUMMYFUNCTION("""COMPUTED_VALUE"""),"Dubai")</f>
        <v>Dubai</v>
      </c>
      <c r="B12559" s="2" t="str">
        <f ca="1">IFERROR(__xludf.DUMMYFUNCTION("""COMPUTED_VALUE"""),"Safi Apartments 1B")</f>
        <v>Safi Apartments 1B</v>
      </c>
      <c r="C12559" s="2" t="str">
        <f ca="1">IFERROR(__xludf.DUMMYFUNCTION("""COMPUTED_VALUE"""),"Building")</f>
        <v>Building</v>
      </c>
      <c r="D12559" s="2" t="str">
        <f ca="1">IFERROR(__xludf.DUMMYFUNCTION("""COMPUTED_VALUE"""),"Dubai&gt;Town Square&gt;Safi Apartments&gt;Safi Apartments 1B")</f>
        <v>Dubai&gt;Town Square&gt;Safi Apartments&gt;Safi Apartments 1B</v>
      </c>
      <c r="E12559" s="2"/>
      <c r="F12559" s="2"/>
      <c r="G12559" s="2"/>
      <c r="H12559" s="2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2"/>
      <c r="T12559" s="2"/>
      <c r="U12559" s="2"/>
      <c r="V12559" s="2"/>
      <c r="W12559" s="2"/>
      <c r="X12559" s="2"/>
      <c r="Y12559" s="2"/>
      <c r="Z12559" s="2"/>
    </row>
    <row r="12560" spans="1:26" ht="16.5" x14ac:dyDescent="0.35">
      <c r="A12560" s="2" t="str">
        <f ca="1">IFERROR(__xludf.DUMMYFUNCTION("""COMPUTED_VALUE"""),"Dubai")</f>
        <v>Dubai</v>
      </c>
      <c r="B12560" s="2" t="str">
        <f ca="1">IFERROR(__xludf.DUMMYFUNCTION("""COMPUTED_VALUE"""),"Ascot Residences")</f>
        <v>Ascot Residences</v>
      </c>
      <c r="C12560" s="2" t="str">
        <f ca="1">IFERROR(__xludf.DUMMYFUNCTION("""COMPUTED_VALUE"""),"Building")</f>
        <v>Building</v>
      </c>
      <c r="D12560" s="2" t="str">
        <f ca="1">IFERROR(__xludf.DUMMYFUNCTION("""COMPUTED_VALUE"""),"Dubai&gt;Town Square&gt;Ascot Residences")</f>
        <v>Dubai&gt;Town Square&gt;Ascot Residences</v>
      </c>
      <c r="E12560" s="2"/>
      <c r="F12560" s="2"/>
      <c r="G12560" s="2"/>
      <c r="H12560" s="2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2"/>
      <c r="T12560" s="2"/>
      <c r="U12560" s="2"/>
      <c r="V12560" s="2"/>
      <c r="W12560" s="2"/>
      <c r="X12560" s="2"/>
      <c r="Y12560" s="2"/>
      <c r="Z12560" s="2"/>
    </row>
    <row r="12561" spans="1:26" ht="16.5" x14ac:dyDescent="0.35">
      <c r="A12561" s="2" t="str">
        <f ca="1">IFERROR(__xludf.DUMMYFUNCTION("""COMPUTED_VALUE"""),"Dubai")</f>
        <v>Dubai</v>
      </c>
      <c r="B12561" s="2" t="str">
        <f ca="1">IFERROR(__xludf.DUMMYFUNCTION("""COMPUTED_VALUE"""),"Augusta")</f>
        <v>Augusta</v>
      </c>
      <c r="C12561" s="2" t="str">
        <f ca="1">IFERROR(__xludf.DUMMYFUNCTION("""COMPUTED_VALUE"""),"Building")</f>
        <v>Building</v>
      </c>
      <c r="D12561" s="2" t="str">
        <f ca="1">IFERROR(__xludf.DUMMYFUNCTION("""COMPUTED_VALUE"""),"Dubai&gt;Town Square&gt;Augusta")</f>
        <v>Dubai&gt;Town Square&gt;Augusta</v>
      </c>
      <c r="E12561" s="2"/>
      <c r="F12561" s="2"/>
      <c r="G12561" s="2"/>
      <c r="H12561" s="2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2"/>
      <c r="T12561" s="2"/>
      <c r="U12561" s="2"/>
      <c r="V12561" s="2"/>
      <c r="W12561" s="2"/>
      <c r="X12561" s="2"/>
      <c r="Y12561" s="2"/>
      <c r="Z12561" s="2"/>
    </row>
    <row r="12562" spans="1:26" ht="16.5" x14ac:dyDescent="0.35">
      <c r="A12562" s="2" t="str">
        <f ca="1">IFERROR(__xludf.DUMMYFUNCTION("""COMPUTED_VALUE"""),"Dubai")</f>
        <v>Dubai</v>
      </c>
      <c r="B12562" s="2" t="str">
        <f ca="1">IFERROR(__xludf.DUMMYFUNCTION("""COMPUTED_VALUE"""),"Azizi Berton")</f>
        <v>Azizi Berton</v>
      </c>
      <c r="C12562" s="2" t="str">
        <f ca="1">IFERROR(__xludf.DUMMYFUNCTION("""COMPUTED_VALUE"""),"Building")</f>
        <v>Building</v>
      </c>
      <c r="D12562" s="2" t="str">
        <f ca="1">IFERROR(__xludf.DUMMYFUNCTION("""COMPUTED_VALUE"""),"Dubai&gt;Al Furjan&gt;Azizi Berton")</f>
        <v>Dubai&gt;Al Furjan&gt;Azizi Berton</v>
      </c>
      <c r="E12562" s="2"/>
      <c r="F12562" s="2"/>
      <c r="G12562" s="2"/>
      <c r="H12562" s="2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2"/>
      <c r="T12562" s="2"/>
      <c r="U12562" s="2"/>
      <c r="V12562" s="2"/>
      <c r="W12562" s="2"/>
      <c r="X12562" s="2"/>
      <c r="Y12562" s="2"/>
      <c r="Z12562" s="2"/>
    </row>
    <row r="12563" spans="1:26" ht="16.5" x14ac:dyDescent="0.35">
      <c r="A12563" s="2" t="str">
        <f ca="1">IFERROR(__xludf.DUMMYFUNCTION("""COMPUTED_VALUE"""),"Dubai")</f>
        <v>Dubai</v>
      </c>
      <c r="B12563" s="2" t="str">
        <f ca="1">IFERROR(__xludf.DUMMYFUNCTION("""COMPUTED_VALUE"""),"Quortaj")</f>
        <v>Quortaj</v>
      </c>
      <c r="C12563" s="2" t="str">
        <f ca="1">IFERROR(__xludf.DUMMYFUNCTION("""COMPUTED_VALUE"""),"Neighbourhood")</f>
        <v>Neighbourhood</v>
      </c>
      <c r="D12563" s="2" t="str">
        <f ca="1">IFERROR(__xludf.DUMMYFUNCTION("""COMPUTED_VALUE"""),"Dubai&gt;Al Furjan&gt;Quortaj")</f>
        <v>Dubai&gt;Al Furjan&gt;Quortaj</v>
      </c>
      <c r="E12563" s="2"/>
      <c r="F12563" s="2"/>
      <c r="G12563" s="2"/>
      <c r="H12563" s="2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2"/>
      <c r="T12563" s="2"/>
      <c r="U12563" s="2"/>
      <c r="V12563" s="2"/>
      <c r="W12563" s="2"/>
      <c r="X12563" s="2"/>
      <c r="Y12563" s="2"/>
      <c r="Z12563" s="2"/>
    </row>
    <row r="12564" spans="1:26" ht="16.5" x14ac:dyDescent="0.35">
      <c r="A12564" s="2" t="str">
        <f ca="1">IFERROR(__xludf.DUMMYFUNCTION("""COMPUTED_VALUE"""),"Dubai")</f>
        <v>Dubai</v>
      </c>
      <c r="B12564" s="2" t="str">
        <f ca="1">IFERROR(__xludf.DUMMYFUNCTION("""COMPUTED_VALUE"""),"Masakin Al Furjan Block H")</f>
        <v>Masakin Al Furjan Block H</v>
      </c>
      <c r="C12564" s="2" t="str">
        <f ca="1">IFERROR(__xludf.DUMMYFUNCTION("""COMPUTED_VALUE"""),"Building")</f>
        <v>Building</v>
      </c>
      <c r="D12564" s="2" t="str">
        <f ca="1">IFERROR(__xludf.DUMMYFUNCTION("""COMPUTED_VALUE"""),"Dubai&gt;Al Furjan&gt;Masakin Al Furjan&gt;Masakin Al Furjan Block H")</f>
        <v>Dubai&gt;Al Furjan&gt;Masakin Al Furjan&gt;Masakin Al Furjan Block H</v>
      </c>
      <c r="E12564" s="2"/>
      <c r="F12564" s="2"/>
      <c r="G12564" s="2"/>
      <c r="H12564" s="2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2"/>
      <c r="T12564" s="2"/>
      <c r="U12564" s="2"/>
      <c r="V12564" s="2"/>
      <c r="W12564" s="2"/>
      <c r="X12564" s="2"/>
      <c r="Y12564" s="2"/>
      <c r="Z12564" s="2"/>
    </row>
    <row r="12565" spans="1:26" ht="16.5" x14ac:dyDescent="0.35">
      <c r="A12565" s="2" t="str">
        <f ca="1">IFERROR(__xludf.DUMMYFUNCTION("""COMPUTED_VALUE"""),"Dubai")</f>
        <v>Dubai</v>
      </c>
      <c r="B12565" s="2" t="str">
        <f ca="1">IFERROR(__xludf.DUMMYFUNCTION("""COMPUTED_VALUE"""),"The Stella Residence")</f>
        <v>The Stella Residence</v>
      </c>
      <c r="C12565" s="2" t="str">
        <f ca="1">IFERROR(__xludf.DUMMYFUNCTION("""COMPUTED_VALUE"""),"Building")</f>
        <v>Building</v>
      </c>
      <c r="D12565" s="2" t="str">
        <f ca="1">IFERROR(__xludf.DUMMYFUNCTION("""COMPUTED_VALUE"""),"Dubai&gt;Al Furjan&gt;The Stella Residence")</f>
        <v>Dubai&gt;Al Furjan&gt;The Stella Residence</v>
      </c>
      <c r="E12565" s="2"/>
      <c r="F12565" s="2"/>
      <c r="G12565" s="2"/>
      <c r="H12565" s="2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2"/>
      <c r="T12565" s="2"/>
      <c r="U12565" s="2"/>
      <c r="V12565" s="2"/>
      <c r="W12565" s="2"/>
      <c r="X12565" s="2"/>
      <c r="Y12565" s="2"/>
      <c r="Z12565" s="2"/>
    </row>
    <row r="12566" spans="1:26" ht="16.5" x14ac:dyDescent="0.35">
      <c r="A12566" s="2" t="str">
        <f ca="1">IFERROR(__xludf.DUMMYFUNCTION("""COMPUTED_VALUE"""),"Dubai")</f>
        <v>Dubai</v>
      </c>
      <c r="B12566" s="2" t="str">
        <f ca="1">IFERROR(__xludf.DUMMYFUNCTION("""COMPUTED_VALUE"""),"Symbolic Zen Residences")</f>
        <v>Symbolic Zen Residences</v>
      </c>
      <c r="C12566" s="2" t="str">
        <f ca="1">IFERROR(__xludf.DUMMYFUNCTION("""COMPUTED_VALUE"""),"Building")</f>
        <v>Building</v>
      </c>
      <c r="D12566" s="2" t="str">
        <f ca="1">IFERROR(__xludf.DUMMYFUNCTION("""COMPUTED_VALUE"""),"Dubai&gt;Al Furjan&gt;Symbolic Zen Residences")</f>
        <v>Dubai&gt;Al Furjan&gt;Symbolic Zen Residences</v>
      </c>
      <c r="E12566" s="2"/>
      <c r="F12566" s="2"/>
      <c r="G12566" s="2"/>
      <c r="H12566" s="2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2"/>
      <c r="T12566" s="2"/>
      <c r="U12566" s="2"/>
      <c r="V12566" s="2"/>
      <c r="W12566" s="2"/>
      <c r="X12566" s="2"/>
      <c r="Y12566" s="2"/>
      <c r="Z12566" s="2"/>
    </row>
    <row r="12567" spans="1:26" ht="16.5" x14ac:dyDescent="0.35">
      <c r="A12567" s="2" t="str">
        <f ca="1">IFERROR(__xludf.DUMMYFUNCTION("""COMPUTED_VALUE"""),"Dubai")</f>
        <v>Dubai</v>
      </c>
      <c r="B12567" s="2" t="str">
        <f ca="1">IFERROR(__xludf.DUMMYFUNCTION("""COMPUTED_VALUE"""),"Azizi Riviera")</f>
        <v>Azizi Riviera</v>
      </c>
      <c r="C12567" s="2" t="str">
        <f ca="1">IFERROR(__xludf.DUMMYFUNCTION("""COMPUTED_VALUE"""),"Neighbourhood")</f>
        <v>Neighbourhood</v>
      </c>
      <c r="D12567" s="2" t="str">
        <f ca="1">IFERROR(__xludf.DUMMYFUNCTION("""COMPUTED_VALUE"""),"Dubai&gt;Meydan City&gt;Meydan One&gt;Azizi Riviera")</f>
        <v>Dubai&gt;Meydan City&gt;Meydan One&gt;Azizi Riviera</v>
      </c>
      <c r="E12567" s="2"/>
      <c r="F12567" s="2"/>
      <c r="G12567" s="2"/>
      <c r="H12567" s="2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2"/>
      <c r="T12567" s="2"/>
      <c r="U12567" s="2"/>
      <c r="V12567" s="2"/>
      <c r="W12567" s="2"/>
      <c r="X12567" s="2"/>
      <c r="Y12567" s="2"/>
      <c r="Z12567" s="2"/>
    </row>
    <row r="12568" spans="1:26" ht="16.5" x14ac:dyDescent="0.35">
      <c r="A12568" s="2" t="str">
        <f ca="1">IFERROR(__xludf.DUMMYFUNCTION("""COMPUTED_VALUE"""),"Dubai")</f>
        <v>Dubai</v>
      </c>
      <c r="B12568" s="2" t="str">
        <f ca="1">IFERROR(__xludf.DUMMYFUNCTION("""COMPUTED_VALUE"""),"Azizi Riviera 21")</f>
        <v>Azizi Riviera 21</v>
      </c>
      <c r="C12568" s="2" t="str">
        <f ca="1">IFERROR(__xludf.DUMMYFUNCTION("""COMPUTED_VALUE"""),"Building")</f>
        <v>Building</v>
      </c>
      <c r="D12568" s="2" t="str">
        <f ca="1">IFERROR(__xludf.DUMMYFUNCTION("""COMPUTED_VALUE"""),"Dubai&gt;Meydan City&gt;Meydan One&gt;Azizi Riviera&gt;Azizi Riviera 21")</f>
        <v>Dubai&gt;Meydan City&gt;Meydan One&gt;Azizi Riviera&gt;Azizi Riviera 21</v>
      </c>
      <c r="E12568" s="2"/>
      <c r="F12568" s="2"/>
      <c r="G12568" s="2"/>
      <c r="H12568" s="2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2"/>
      <c r="T12568" s="2"/>
      <c r="U12568" s="2"/>
      <c r="V12568" s="2"/>
      <c r="W12568" s="2"/>
      <c r="X12568" s="2"/>
      <c r="Y12568" s="2"/>
      <c r="Z12568" s="2"/>
    </row>
    <row r="12569" spans="1:26" ht="16.5" x14ac:dyDescent="0.35">
      <c r="A12569" s="2" t="str">
        <f ca="1">IFERROR(__xludf.DUMMYFUNCTION("""COMPUTED_VALUE"""),"Dubai")</f>
        <v>Dubai</v>
      </c>
      <c r="B12569" s="2" t="str">
        <f ca="1">IFERROR(__xludf.DUMMYFUNCTION("""COMPUTED_VALUE"""),"Azizi Riviera 67")</f>
        <v>Azizi Riviera 67</v>
      </c>
      <c r="C12569" s="2" t="str">
        <f ca="1">IFERROR(__xludf.DUMMYFUNCTION("""COMPUTED_VALUE"""),"Building")</f>
        <v>Building</v>
      </c>
      <c r="D12569" s="2" t="str">
        <f ca="1">IFERROR(__xludf.DUMMYFUNCTION("""COMPUTED_VALUE"""),"Dubai&gt;Meydan City&gt;Meydan One&gt;Azizi Riviera&gt;Azizi Riviera 67")</f>
        <v>Dubai&gt;Meydan City&gt;Meydan One&gt;Azizi Riviera&gt;Azizi Riviera 67</v>
      </c>
      <c r="E12569" s="2"/>
      <c r="F12569" s="2"/>
      <c r="G12569" s="2"/>
      <c r="H12569" s="2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2"/>
      <c r="T12569" s="2"/>
      <c r="U12569" s="2"/>
      <c r="V12569" s="2"/>
      <c r="W12569" s="2"/>
      <c r="X12569" s="2"/>
      <c r="Y12569" s="2"/>
      <c r="Z12569" s="2"/>
    </row>
    <row r="12570" spans="1:26" ht="16.5" x14ac:dyDescent="0.35">
      <c r="A12570" s="2" t="str">
        <f ca="1">IFERROR(__xludf.DUMMYFUNCTION("""COMPUTED_VALUE"""),"Dubai")</f>
        <v>Dubai</v>
      </c>
      <c r="B12570" s="2" t="str">
        <f ca="1">IFERROR(__xludf.DUMMYFUNCTION("""COMPUTED_VALUE"""),"Polo Residence A3")</f>
        <v>Polo Residence A3</v>
      </c>
      <c r="C12570" s="2" t="str">
        <f ca="1">IFERROR(__xludf.DUMMYFUNCTION("""COMPUTED_VALUE"""),"Building")</f>
        <v>Building</v>
      </c>
      <c r="D12570" s="2" t="str">
        <f ca="1">IFERROR(__xludf.DUMMYFUNCTION("""COMPUTED_VALUE"""),"Dubai&gt;Meydan City&gt;Meydan Avenue&gt;Polo Residence&gt;Polo Residence A3")</f>
        <v>Dubai&gt;Meydan City&gt;Meydan Avenue&gt;Polo Residence&gt;Polo Residence A3</v>
      </c>
      <c r="E12570" s="2"/>
      <c r="F12570" s="2"/>
      <c r="G12570" s="2"/>
      <c r="H12570" s="2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2"/>
      <c r="T12570" s="2"/>
      <c r="U12570" s="2"/>
      <c r="V12570" s="2"/>
      <c r="W12570" s="2"/>
      <c r="X12570" s="2"/>
      <c r="Y12570" s="2"/>
      <c r="Z12570" s="2"/>
    </row>
    <row r="12571" spans="1:26" ht="16.5" x14ac:dyDescent="0.35">
      <c r="A12571" s="2" t="str">
        <f ca="1">IFERROR(__xludf.DUMMYFUNCTION("""COMPUTED_VALUE"""),"Dubai")</f>
        <v>Dubai</v>
      </c>
      <c r="B12571" s="2" t="str">
        <f ca="1">IFERROR(__xludf.DUMMYFUNCTION("""COMPUTED_VALUE"""),"Jude Residence")</f>
        <v>Jude Residence</v>
      </c>
      <c r="C12571" s="2" t="str">
        <f ca="1">IFERROR(__xludf.DUMMYFUNCTION("""COMPUTED_VALUE"""),"Building")</f>
        <v>Building</v>
      </c>
      <c r="D12571" s="2" t="str">
        <f ca="1">IFERROR(__xludf.DUMMYFUNCTION("""COMPUTED_VALUE"""),"Dubai&gt;Meydan City&gt;Meydan Avenue&gt;Jude Residence")</f>
        <v>Dubai&gt;Meydan City&gt;Meydan Avenue&gt;Jude Residence</v>
      </c>
      <c r="E12571" s="2"/>
      <c r="F12571" s="2"/>
      <c r="G12571" s="2"/>
      <c r="H12571" s="2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2"/>
      <c r="T12571" s="2"/>
      <c r="U12571" s="2"/>
      <c r="V12571" s="2"/>
      <c r="W12571" s="2"/>
      <c r="X12571" s="2"/>
      <c r="Y12571" s="2"/>
      <c r="Z12571" s="2"/>
    </row>
    <row r="12572" spans="1:26" ht="16.5" x14ac:dyDescent="0.35">
      <c r="A12572" s="2" t="str">
        <f ca="1">IFERROR(__xludf.DUMMYFUNCTION("""COMPUTED_VALUE"""),"Dubai")</f>
        <v>Dubai</v>
      </c>
      <c r="B12572" s="2" t="str">
        <f ca="1">IFERROR(__xludf.DUMMYFUNCTION("""COMPUTED_VALUE"""),"Al Nakheel")</f>
        <v>Al Nakheel</v>
      </c>
      <c r="C12572" s="2" t="str">
        <f ca="1">IFERROR(__xludf.DUMMYFUNCTION("""COMPUTED_VALUE"""),"Cluster")</f>
        <v>Cluster</v>
      </c>
      <c r="D12572" s="2" t="str">
        <f ca="1">IFERROR(__xludf.DUMMYFUNCTION("""COMPUTED_VALUE"""),"Dubai&gt;The Greens&gt;Al Nakheel")</f>
        <v>Dubai&gt;The Greens&gt;Al Nakheel</v>
      </c>
      <c r="E12572" s="2"/>
      <c r="F12572" s="2"/>
      <c r="G12572" s="2"/>
      <c r="H12572" s="2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2"/>
      <c r="T12572" s="2"/>
      <c r="U12572" s="2"/>
      <c r="V12572" s="2"/>
      <c r="W12572" s="2"/>
      <c r="X12572" s="2"/>
      <c r="Y12572" s="2"/>
      <c r="Z12572" s="2"/>
    </row>
    <row r="12573" spans="1:26" ht="16.5" x14ac:dyDescent="0.35">
      <c r="A12573" s="2" t="str">
        <f ca="1">IFERROR(__xludf.DUMMYFUNCTION("""COMPUTED_VALUE"""),"Dubai")</f>
        <v>Dubai</v>
      </c>
      <c r="B12573" s="2" t="str">
        <f ca="1">IFERROR(__xludf.DUMMYFUNCTION("""COMPUTED_VALUE"""),"Al Jaz 1")</f>
        <v>Al Jaz 1</v>
      </c>
      <c r="C12573" s="2" t="str">
        <f ca="1">IFERROR(__xludf.DUMMYFUNCTION("""COMPUTED_VALUE"""),"Building")</f>
        <v>Building</v>
      </c>
      <c r="D12573" s="2" t="str">
        <f ca="1">IFERROR(__xludf.DUMMYFUNCTION("""COMPUTED_VALUE"""),"Dubai&gt;The Greens&gt;Al Jaz&gt;Al Jaz 1")</f>
        <v>Dubai&gt;The Greens&gt;Al Jaz&gt;Al Jaz 1</v>
      </c>
      <c r="E12573" s="2"/>
      <c r="F12573" s="2"/>
      <c r="G12573" s="2"/>
      <c r="H12573" s="2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2"/>
      <c r="T12573" s="2"/>
      <c r="U12573" s="2"/>
      <c r="V12573" s="2"/>
      <c r="W12573" s="2"/>
      <c r="X12573" s="2"/>
      <c r="Y12573" s="2"/>
      <c r="Z12573" s="2"/>
    </row>
    <row r="12574" spans="1:26" ht="16.5" x14ac:dyDescent="0.35">
      <c r="A12574" s="2" t="str">
        <f ca="1">IFERROR(__xludf.DUMMYFUNCTION("""COMPUTED_VALUE"""),"Dubai")</f>
        <v>Dubai</v>
      </c>
      <c r="B12574" s="2" t="str">
        <f ca="1">IFERROR(__xludf.DUMMYFUNCTION("""COMPUTED_VALUE"""),"Ikarus Building")</f>
        <v>Ikarus Building</v>
      </c>
      <c r="C12574" s="2" t="str">
        <f ca="1">IFERROR(__xludf.DUMMYFUNCTION("""COMPUTED_VALUE"""),"Building")</f>
        <v>Building</v>
      </c>
      <c r="D12574" s="2" t="str">
        <f ca="1">IFERROR(__xludf.DUMMYFUNCTION("""COMPUTED_VALUE"""),"Dubai&gt;Dubai Production City (IMPZ)&gt;Ikarus Building")</f>
        <v>Dubai&gt;Dubai Production City (IMPZ)&gt;Ikarus Building</v>
      </c>
      <c r="E12574" s="2"/>
      <c r="F12574" s="2"/>
      <c r="G12574" s="2"/>
      <c r="H12574" s="2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2"/>
      <c r="T12574" s="2"/>
      <c r="U12574" s="2"/>
      <c r="V12574" s="2"/>
      <c r="W12574" s="2"/>
      <c r="X12574" s="2"/>
      <c r="Y12574" s="2"/>
      <c r="Z12574" s="2"/>
    </row>
    <row r="12575" spans="1:26" ht="16.5" x14ac:dyDescent="0.35">
      <c r="A12575" s="2" t="str">
        <f ca="1">IFERROR(__xludf.DUMMYFUNCTION("""COMPUTED_VALUE"""),"Dubai")</f>
        <v>Dubai</v>
      </c>
      <c r="B12575" s="2" t="str">
        <f ca="1">IFERROR(__xludf.DUMMYFUNCTION("""COMPUTED_VALUE"""),"Dania 3")</f>
        <v>Dania 3</v>
      </c>
      <c r="C12575" s="2" t="str">
        <f ca="1">IFERROR(__xludf.DUMMYFUNCTION("""COMPUTED_VALUE"""),"Building")</f>
        <v>Building</v>
      </c>
      <c r="D12575" s="2" t="str">
        <f ca="1">IFERROR(__xludf.DUMMYFUNCTION("""COMPUTED_VALUE"""),"Dubai&gt;Dubai Production City (IMPZ)&gt;Midtown&gt;Dania District&gt;Dania 3")</f>
        <v>Dubai&gt;Dubai Production City (IMPZ)&gt;Midtown&gt;Dania District&gt;Dania 3</v>
      </c>
      <c r="E12575" s="2"/>
      <c r="F12575" s="2"/>
      <c r="G12575" s="2"/>
      <c r="H12575" s="2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2"/>
      <c r="T12575" s="2"/>
      <c r="U12575" s="2"/>
      <c r="V12575" s="2"/>
      <c r="W12575" s="2"/>
      <c r="X12575" s="2"/>
      <c r="Y12575" s="2"/>
      <c r="Z12575" s="2"/>
    </row>
    <row r="12576" spans="1:26" ht="16.5" x14ac:dyDescent="0.35">
      <c r="A12576" s="2" t="str">
        <f ca="1">IFERROR(__xludf.DUMMYFUNCTION("""COMPUTED_VALUE"""),"Dubai")</f>
        <v>Dubai</v>
      </c>
      <c r="B12576" s="2" t="str">
        <f ca="1">IFERROR(__xludf.DUMMYFUNCTION("""COMPUTED_VALUE"""),"Lakeside")</f>
        <v>Lakeside</v>
      </c>
      <c r="C12576" s="2" t="str">
        <f ca="1">IFERROR(__xludf.DUMMYFUNCTION("""COMPUTED_VALUE"""),"Cluster")</f>
        <v>Cluster</v>
      </c>
      <c r="D12576" s="2" t="str">
        <f ca="1">IFERROR(__xludf.DUMMYFUNCTION("""COMPUTED_VALUE"""),"Dubai&gt;Dubai Production City (IMPZ)&gt;Lakeside")</f>
        <v>Dubai&gt;Dubai Production City (IMPZ)&gt;Lakeside</v>
      </c>
      <c r="E12576" s="2"/>
      <c r="F12576" s="2"/>
      <c r="G12576" s="2"/>
      <c r="H12576" s="2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2"/>
      <c r="T12576" s="2"/>
      <c r="U12576" s="2"/>
      <c r="V12576" s="2"/>
      <c r="W12576" s="2"/>
      <c r="X12576" s="2"/>
      <c r="Y12576" s="2"/>
      <c r="Z12576" s="2"/>
    </row>
    <row r="12577" spans="1:26" ht="16.5" x14ac:dyDescent="0.35">
      <c r="A12577" s="2" t="str">
        <f ca="1">IFERROR(__xludf.DUMMYFUNCTION("""COMPUTED_VALUE"""),"Dubai")</f>
        <v>Dubai</v>
      </c>
      <c r="B12577" s="2" t="str">
        <f ca="1">IFERROR(__xludf.DUMMYFUNCTION("""COMPUTED_VALUE"""),"Makateb 4 Building")</f>
        <v>Makateb 4 Building</v>
      </c>
      <c r="C12577" s="2" t="str">
        <f ca="1">IFERROR(__xludf.DUMMYFUNCTION("""COMPUTED_VALUE"""),"Building")</f>
        <v>Building</v>
      </c>
      <c r="D12577" s="2" t="str">
        <f ca="1">IFERROR(__xludf.DUMMYFUNCTION("""COMPUTED_VALUE"""),"Dubai&gt;Dubai Production City (IMPZ)&gt;Makateb 4 Building")</f>
        <v>Dubai&gt;Dubai Production City (IMPZ)&gt;Makateb 4 Building</v>
      </c>
      <c r="E12577" s="2"/>
      <c r="F12577" s="2"/>
      <c r="G12577" s="2"/>
      <c r="H12577" s="2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2"/>
      <c r="T12577" s="2"/>
      <c r="U12577" s="2"/>
      <c r="V12577" s="2"/>
      <c r="W12577" s="2"/>
      <c r="X12577" s="2"/>
      <c r="Y12577" s="2"/>
      <c r="Z12577" s="2"/>
    </row>
    <row r="12578" spans="1:26" ht="16.5" x14ac:dyDescent="0.35">
      <c r="A12578" s="2" t="str">
        <f ca="1">IFERROR(__xludf.DUMMYFUNCTION("""COMPUTED_VALUE"""),"Dubai")</f>
        <v>Dubai</v>
      </c>
      <c r="B12578" s="2" t="str">
        <f ca="1">IFERROR(__xludf.DUMMYFUNCTION("""COMPUTED_VALUE"""),"Al Sondos Residences")</f>
        <v>Al Sondos Residences</v>
      </c>
      <c r="C12578" s="2" t="str">
        <f ca="1">IFERROR(__xludf.DUMMYFUNCTION("""COMPUTED_VALUE"""),"Cluster")</f>
        <v>Cluster</v>
      </c>
      <c r="D12578" s="2" t="str">
        <f ca="1">IFERROR(__xludf.DUMMYFUNCTION("""COMPUTED_VALUE"""),"Dubai&gt;Dubai Industrial City&gt;Al Sondos Residences")</f>
        <v>Dubai&gt;Dubai Industrial City&gt;Al Sondos Residences</v>
      </c>
      <c r="E12578" s="2"/>
      <c r="F12578" s="2"/>
      <c r="G12578" s="2"/>
      <c r="H12578" s="2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2"/>
      <c r="T12578" s="2"/>
      <c r="U12578" s="2"/>
      <c r="V12578" s="2"/>
      <c r="W12578" s="2"/>
      <c r="X12578" s="2"/>
      <c r="Y12578" s="2"/>
      <c r="Z12578" s="2"/>
    </row>
    <row r="12579" spans="1:26" ht="16.5" x14ac:dyDescent="0.35">
      <c r="A12579" s="2" t="str">
        <f ca="1">IFERROR(__xludf.DUMMYFUNCTION("""COMPUTED_VALUE"""),"Dubai")</f>
        <v>Dubai</v>
      </c>
      <c r="B12579" s="2" t="str">
        <f ca="1">IFERROR(__xludf.DUMMYFUNCTION("""COMPUTED_VALUE"""),"Samana Hills South 2 Tower A")</f>
        <v>Samana Hills South 2 Tower A</v>
      </c>
      <c r="C12579" s="2" t="str">
        <f ca="1">IFERROR(__xludf.DUMMYFUNCTION("""COMPUTED_VALUE"""),"Building")</f>
        <v>Building</v>
      </c>
      <c r="D12579" s="2" t="str">
        <f ca="1">IFERROR(__xludf.DUMMYFUNCTION("""COMPUTED_VALUE"""),"Dubai&gt;Dubai Industrial City&gt;Samana Hills South 2&gt;Samana Hills South 2 Tower A")</f>
        <v>Dubai&gt;Dubai Industrial City&gt;Samana Hills South 2&gt;Samana Hills South 2 Tower A</v>
      </c>
      <c r="E12579" s="2"/>
      <c r="F12579" s="2"/>
      <c r="G12579" s="2"/>
      <c r="H12579" s="2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2"/>
      <c r="T12579" s="2"/>
      <c r="U12579" s="2"/>
      <c r="V12579" s="2"/>
      <c r="W12579" s="2"/>
      <c r="X12579" s="2"/>
      <c r="Y12579" s="2"/>
      <c r="Z12579" s="2"/>
    </row>
    <row r="12580" spans="1:26" ht="16.5" x14ac:dyDescent="0.35">
      <c r="A12580" s="2" t="str">
        <f ca="1">IFERROR(__xludf.DUMMYFUNCTION("""COMPUTED_VALUE"""),"Dubai")</f>
        <v>Dubai</v>
      </c>
      <c r="B12580" s="2" t="str">
        <f ca="1">IFERROR(__xludf.DUMMYFUNCTION("""COMPUTED_VALUE"""),"Aura Gardens")</f>
        <v>Aura Gardens</v>
      </c>
      <c r="C12580" s="2" t="str">
        <f ca="1">IFERROR(__xludf.DUMMYFUNCTION("""COMPUTED_VALUE"""),"Neighbourhood")</f>
        <v>Neighbourhood</v>
      </c>
      <c r="D12580" s="2" t="str">
        <f ca="1">IFERROR(__xludf.DUMMYFUNCTION("""COMPUTED_VALUE"""),"Dubai&gt;Tilal Al Ghaf&gt;Aura Gardens")</f>
        <v>Dubai&gt;Tilal Al Ghaf&gt;Aura Gardens</v>
      </c>
      <c r="E12580" s="2"/>
      <c r="F12580" s="2"/>
      <c r="G12580" s="2"/>
      <c r="H12580" s="2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2"/>
      <c r="T12580" s="2"/>
      <c r="U12580" s="2"/>
      <c r="V12580" s="2"/>
      <c r="W12580" s="2"/>
      <c r="X12580" s="2"/>
      <c r="Y12580" s="2"/>
      <c r="Z12580" s="2"/>
    </row>
    <row r="12581" spans="1:26" ht="16.5" x14ac:dyDescent="0.35">
      <c r="A12581" s="2" t="str">
        <f ca="1">IFERROR(__xludf.DUMMYFUNCTION("""COMPUTED_VALUE"""),"Dubai")</f>
        <v>Dubai</v>
      </c>
      <c r="B12581" s="2" t="str">
        <f ca="1">IFERROR(__xludf.DUMMYFUNCTION("""COMPUTED_VALUE"""),"Bay Grove Residences")</f>
        <v>Bay Grove Residences</v>
      </c>
      <c r="C12581" s="2" t="str">
        <f ca="1">IFERROR(__xludf.DUMMYFUNCTION("""COMPUTED_VALUE"""),"Cluster")</f>
        <v>Cluster</v>
      </c>
      <c r="D12581" s="2" t="str">
        <f ca="1">IFERROR(__xludf.DUMMYFUNCTION("""COMPUTED_VALUE"""),"Dubai&gt;Dubai Islands&gt;Bay Grove Residences")</f>
        <v>Dubai&gt;Dubai Islands&gt;Bay Grove Residences</v>
      </c>
      <c r="E12581" s="2"/>
      <c r="F12581" s="2"/>
      <c r="G12581" s="2"/>
      <c r="H12581" s="2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2"/>
      <c r="T12581" s="2"/>
      <c r="U12581" s="2"/>
      <c r="V12581" s="2"/>
      <c r="W12581" s="2"/>
      <c r="X12581" s="2"/>
      <c r="Y12581" s="2"/>
      <c r="Z12581" s="2"/>
    </row>
    <row r="12582" spans="1:26" ht="16.5" x14ac:dyDescent="0.35">
      <c r="A12582" s="2" t="str">
        <f ca="1">IFERROR(__xludf.DUMMYFUNCTION("""COMPUTED_VALUE"""),"Dubai")</f>
        <v>Dubai</v>
      </c>
      <c r="B12582" s="2" t="str">
        <f ca="1">IFERROR(__xludf.DUMMYFUNCTION("""COMPUTED_VALUE"""),"Sea Legend One")</f>
        <v>Sea Legend One</v>
      </c>
      <c r="C12582" s="2" t="str">
        <f ca="1">IFERROR(__xludf.DUMMYFUNCTION("""COMPUTED_VALUE"""),"Building")</f>
        <v>Building</v>
      </c>
      <c r="D12582" s="2" t="str">
        <f ca="1">IFERROR(__xludf.DUMMYFUNCTION("""COMPUTED_VALUE"""),"Dubai&gt;Dubai Islands&gt;Sea Legend One")</f>
        <v>Dubai&gt;Dubai Islands&gt;Sea Legend One</v>
      </c>
      <c r="E12582" s="2"/>
      <c r="F12582" s="2"/>
      <c r="G12582" s="2"/>
      <c r="H12582" s="2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2"/>
      <c r="T12582" s="2"/>
      <c r="U12582" s="2"/>
      <c r="V12582" s="2"/>
      <c r="W12582" s="2"/>
      <c r="X12582" s="2"/>
      <c r="Y12582" s="2"/>
      <c r="Z12582" s="2"/>
    </row>
    <row r="12583" spans="1:26" ht="16.5" x14ac:dyDescent="0.35">
      <c r="A12583" s="2" t="str">
        <f ca="1">IFERROR(__xludf.DUMMYFUNCTION("""COMPUTED_VALUE"""),"Dubai")</f>
        <v>Dubai</v>
      </c>
      <c r="B12583" s="2" t="str">
        <f ca="1">IFERROR(__xludf.DUMMYFUNCTION("""COMPUTED_VALUE"""),"Wynwood by Imtiaz")</f>
        <v>Wynwood by Imtiaz</v>
      </c>
      <c r="C12583" s="2" t="str">
        <f ca="1">IFERROR(__xludf.DUMMYFUNCTION("""COMPUTED_VALUE"""),"Building")</f>
        <v>Building</v>
      </c>
      <c r="D12583" s="2" t="str">
        <f ca="1">IFERROR(__xludf.DUMMYFUNCTION("""COMPUTED_VALUE"""),"Dubai&gt;Dubai Islands&gt;Wynwood by Imtiaz")</f>
        <v>Dubai&gt;Dubai Islands&gt;Wynwood by Imtiaz</v>
      </c>
      <c r="E12583" s="2"/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  <c r="V12583" s="2"/>
      <c r="W12583" s="2"/>
      <c r="X12583" s="2"/>
      <c r="Y12583" s="2"/>
      <c r="Z12583" s="2"/>
    </row>
    <row r="12584" spans="1:26" ht="16.5" x14ac:dyDescent="0.35">
      <c r="A12584" s="2" t="str">
        <f ca="1">IFERROR(__xludf.DUMMYFUNCTION("""COMPUTED_VALUE"""),"Dubai")</f>
        <v>Dubai</v>
      </c>
      <c r="B12584" s="2" t="str">
        <f ca="1">IFERROR(__xludf.DUMMYFUNCTION("""COMPUTED_VALUE"""),"Marea")</f>
        <v>Marea</v>
      </c>
      <c r="C12584" s="2" t="str">
        <f ca="1">IFERROR(__xludf.DUMMYFUNCTION("""COMPUTED_VALUE"""),"Building")</f>
        <v>Building</v>
      </c>
      <c r="D12584" s="2" t="str">
        <f ca="1">IFERROR(__xludf.DUMMYFUNCTION("""COMPUTED_VALUE"""),"Dubai&gt;Dubai Islands&gt;Marea")</f>
        <v>Dubai&gt;Dubai Islands&gt;Marea</v>
      </c>
      <c r="E12584" s="2"/>
      <c r="F12584" s="2"/>
      <c r="G12584" s="2"/>
      <c r="H12584" s="2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2"/>
      <c r="T12584" s="2"/>
      <c r="U12584" s="2"/>
      <c r="V12584" s="2"/>
      <c r="W12584" s="2"/>
      <c r="X12584" s="2"/>
      <c r="Y12584" s="2"/>
      <c r="Z12584" s="2"/>
    </row>
    <row r="12585" spans="1:26" ht="16.5" x14ac:dyDescent="0.35">
      <c r="A12585" s="2" t="str">
        <f ca="1">IFERROR(__xludf.DUMMYFUNCTION("""COMPUTED_VALUE"""),"Dubai")</f>
        <v>Dubai</v>
      </c>
      <c r="B12585" s="2" t="str">
        <f ca="1">IFERROR(__xludf.DUMMYFUNCTION("""COMPUTED_VALUE"""),"CG Living")</f>
        <v>CG Living</v>
      </c>
      <c r="C12585" s="2" t="str">
        <f ca="1">IFERROR(__xludf.DUMMYFUNCTION("""COMPUTED_VALUE"""),"Building")</f>
        <v>Building</v>
      </c>
      <c r="D12585" s="2" t="str">
        <f ca="1">IFERROR(__xludf.DUMMYFUNCTION("""COMPUTED_VALUE"""),"Dubai&gt;Dubai Islands&gt;CG Living")</f>
        <v>Dubai&gt;Dubai Islands&gt;CG Living</v>
      </c>
      <c r="E12585" s="2"/>
      <c r="F12585" s="2"/>
      <c r="G12585" s="2"/>
      <c r="H12585" s="2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2"/>
      <c r="T12585" s="2"/>
      <c r="U12585" s="2"/>
      <c r="V12585" s="2"/>
      <c r="W12585" s="2"/>
      <c r="X12585" s="2"/>
      <c r="Y12585" s="2"/>
      <c r="Z12585" s="2"/>
    </row>
    <row r="12586" spans="1:26" ht="16.5" x14ac:dyDescent="0.35">
      <c r="A12586" s="2" t="str">
        <f ca="1">IFERROR(__xludf.DUMMYFUNCTION("""COMPUTED_VALUE"""),"Dubai")</f>
        <v>Dubai</v>
      </c>
      <c r="B12586" s="2" t="str">
        <f ca="1">IFERROR(__xludf.DUMMYFUNCTION("""COMPUTED_VALUE"""),"La Rosa 2")</f>
        <v>La Rosa 2</v>
      </c>
      <c r="C12586" s="2" t="str">
        <f ca="1">IFERROR(__xludf.DUMMYFUNCTION("""COMPUTED_VALUE"""),"Neighbourhood")</f>
        <v>Neighbourhood</v>
      </c>
      <c r="D12586" s="2" t="str">
        <f ca="1">IFERROR(__xludf.DUMMYFUNCTION("""COMPUTED_VALUE"""),"Dubai&gt;Dubailand&gt;Villanova&gt;La Rosa&gt;La Rosa 2")</f>
        <v>Dubai&gt;Dubailand&gt;Villanova&gt;La Rosa&gt;La Rosa 2</v>
      </c>
      <c r="E12586" s="2"/>
      <c r="F12586" s="2"/>
      <c r="G12586" s="2"/>
      <c r="H12586" s="2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2"/>
      <c r="T12586" s="2"/>
      <c r="U12586" s="2"/>
      <c r="V12586" s="2"/>
      <c r="W12586" s="2"/>
      <c r="X12586" s="2"/>
      <c r="Y12586" s="2"/>
      <c r="Z12586" s="2"/>
    </row>
    <row r="12587" spans="1:26" ht="16.5" x14ac:dyDescent="0.35">
      <c r="A12587" s="2" t="str">
        <f ca="1">IFERROR(__xludf.DUMMYFUNCTION("""COMPUTED_VALUE"""),"Dubai")</f>
        <v>Dubai</v>
      </c>
      <c r="B12587" s="2" t="str">
        <f ca="1">IFERROR(__xludf.DUMMYFUNCTION("""COMPUTED_VALUE"""),"Cassia 1")</f>
        <v>Cassia 1</v>
      </c>
      <c r="C12587" s="2" t="str">
        <f ca="1">IFERROR(__xludf.DUMMYFUNCTION("""COMPUTED_VALUE"""),"Neighbourhood")</f>
        <v>Neighbourhood</v>
      </c>
      <c r="D12587" s="2" t="str">
        <f ca="1">IFERROR(__xludf.DUMMYFUNCTION("""COMPUTED_VALUE"""),"Dubai&gt;Dubailand&gt;The Wilds&gt;Cassia 1")</f>
        <v>Dubai&gt;Dubailand&gt;The Wilds&gt;Cassia 1</v>
      </c>
      <c r="E12587" s="2"/>
      <c r="F12587" s="2"/>
      <c r="G12587" s="2"/>
      <c r="H12587" s="2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2"/>
      <c r="T12587" s="2"/>
      <c r="U12587" s="2"/>
      <c r="V12587" s="2"/>
      <c r="W12587" s="2"/>
      <c r="X12587" s="2"/>
      <c r="Y12587" s="2"/>
      <c r="Z12587" s="2"/>
    </row>
    <row r="12588" spans="1:26" ht="16.5" x14ac:dyDescent="0.35">
      <c r="A12588" s="2" t="str">
        <f ca="1">IFERROR(__xludf.DUMMYFUNCTION("""COMPUTED_VALUE"""),"Dubai")</f>
        <v>Dubai</v>
      </c>
      <c r="B12588" s="2" t="str">
        <f ca="1">IFERROR(__xludf.DUMMYFUNCTION("""COMPUTED_VALUE"""),"D Villas")</f>
        <v>D Villas</v>
      </c>
      <c r="C12588" s="2" t="str">
        <f ca="1">IFERROR(__xludf.DUMMYFUNCTION("""COMPUTED_VALUE"""),"Neighbourhood")</f>
        <v>Neighbourhood</v>
      </c>
      <c r="D12588" s="2" t="str">
        <f ca="1">IFERROR(__xludf.DUMMYFUNCTION("""COMPUTED_VALUE"""),"Dubai&gt;Living Legends&gt;D Villas")</f>
        <v>Dubai&gt;Living Legends&gt;D Villas</v>
      </c>
      <c r="E12588" s="2"/>
      <c r="F12588" s="2"/>
      <c r="G12588" s="2"/>
      <c r="H12588" s="2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2"/>
      <c r="T12588" s="2"/>
      <c r="U12588" s="2"/>
      <c r="V12588" s="2"/>
      <c r="W12588" s="2"/>
      <c r="X12588" s="2"/>
      <c r="Y12588" s="2"/>
      <c r="Z12588" s="2"/>
    </row>
    <row r="12589" spans="1:26" ht="16.5" x14ac:dyDescent="0.35">
      <c r="A12589" s="2" t="str">
        <f ca="1">IFERROR(__xludf.DUMMYFUNCTION("""COMPUTED_VALUE"""),"Dubai")</f>
        <v>Dubai</v>
      </c>
      <c r="B12589" s="2" t="str">
        <f ca="1">IFERROR(__xludf.DUMMYFUNCTION("""COMPUTED_VALUE"""),"Sahara Building")</f>
        <v>Sahara Building</v>
      </c>
      <c r="C12589" s="2" t="str">
        <f ca="1">IFERROR(__xludf.DUMMYFUNCTION("""COMPUTED_VALUE"""),"Building")</f>
        <v>Building</v>
      </c>
      <c r="D12589" s="2" t="str">
        <f ca="1">IFERROR(__xludf.DUMMYFUNCTION("""COMPUTED_VALUE"""),"Dubai&gt;Al Qusais&gt;Al Qusais Residential Area&gt;Al Qusais 2&gt;Sahara Building")</f>
        <v>Dubai&gt;Al Qusais&gt;Al Qusais Residential Area&gt;Al Qusais 2&gt;Sahara Building</v>
      </c>
      <c r="E12589" s="2"/>
      <c r="F12589" s="2"/>
      <c r="G12589" s="2"/>
      <c r="H12589" s="2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2"/>
      <c r="T12589" s="2"/>
      <c r="U12589" s="2"/>
      <c r="V12589" s="2"/>
      <c r="W12589" s="2"/>
      <c r="X12589" s="2"/>
      <c r="Y12589" s="2"/>
      <c r="Z12589" s="2"/>
    </row>
    <row r="12590" spans="1:26" ht="16.5" x14ac:dyDescent="0.35">
      <c r="A12590" s="2" t="str">
        <f ca="1">IFERROR(__xludf.DUMMYFUNCTION("""COMPUTED_VALUE"""),"Dubai")</f>
        <v>Dubai</v>
      </c>
      <c r="B12590" s="2" t="str">
        <f ca="1">IFERROR(__xludf.DUMMYFUNCTION("""COMPUTED_VALUE"""),"Cassia 3")</f>
        <v>Cassia 3</v>
      </c>
      <c r="C12590" s="2" t="str">
        <f ca="1">IFERROR(__xludf.DUMMYFUNCTION("""COMPUTED_VALUE"""),"Neighbourhood")</f>
        <v>Neighbourhood</v>
      </c>
      <c r="D12590" s="2" t="str">
        <f ca="1">IFERROR(__xludf.DUMMYFUNCTION("""COMPUTED_VALUE"""),"Dubai&gt;Dubailand&gt;The Wilds&gt;Cassia 3")</f>
        <v>Dubai&gt;Dubailand&gt;The Wilds&gt;Cassia 3</v>
      </c>
      <c r="E12590" s="2"/>
      <c r="F12590" s="2"/>
      <c r="G12590" s="2"/>
      <c r="H12590" s="2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2"/>
      <c r="T12590" s="2"/>
      <c r="U12590" s="2"/>
      <c r="V12590" s="2"/>
      <c r="W12590" s="2"/>
      <c r="X12590" s="2"/>
      <c r="Y12590" s="2"/>
      <c r="Z12590" s="2"/>
    </row>
    <row r="12591" spans="1:26" ht="16.5" x14ac:dyDescent="0.35">
      <c r="A12591" s="2" t="str">
        <f ca="1">IFERROR(__xludf.DUMMYFUNCTION("""COMPUTED_VALUE"""),"Dubai")</f>
        <v>Dubai</v>
      </c>
      <c r="B12591" s="2" t="str">
        <f ca="1">IFERROR(__xludf.DUMMYFUNCTION("""COMPUTED_VALUE"""),"Napoleon Tower")</f>
        <v>Napoleon Tower</v>
      </c>
      <c r="C12591" s="2" t="str">
        <f ca="1">IFERROR(__xludf.DUMMYFUNCTION("""COMPUTED_VALUE"""),"Building")</f>
        <v>Building</v>
      </c>
      <c r="D12591" s="2" t="str">
        <f ca="1">IFERROR(__xludf.DUMMYFUNCTION("""COMPUTED_VALUE"""),"Dubai&gt;Living Legends&gt;Napoleon Tower")</f>
        <v>Dubai&gt;Living Legends&gt;Napoleon Tower</v>
      </c>
      <c r="E12591" s="2"/>
      <c r="F12591" s="2"/>
      <c r="G12591" s="2"/>
      <c r="H12591" s="2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2"/>
      <c r="T12591" s="2"/>
      <c r="U12591" s="2"/>
      <c r="V12591" s="2"/>
      <c r="W12591" s="2"/>
      <c r="X12591" s="2"/>
      <c r="Y12591" s="2"/>
      <c r="Z12591" s="2"/>
    </row>
    <row r="12592" spans="1:26" ht="16.5" x14ac:dyDescent="0.35">
      <c r="A12592" s="2" t="str">
        <f ca="1">IFERROR(__xludf.DUMMYFUNCTION("""COMPUTED_VALUE"""),"Dubai")</f>
        <v>Dubai</v>
      </c>
      <c r="B12592" s="2" t="str">
        <f ca="1">IFERROR(__xludf.DUMMYFUNCTION("""COMPUTED_VALUE"""),"Nehal Building")</f>
        <v>Nehal Building</v>
      </c>
      <c r="C12592" s="2" t="str">
        <f ca="1">IFERROR(__xludf.DUMMYFUNCTION("""COMPUTED_VALUE"""),"Building")</f>
        <v>Building</v>
      </c>
      <c r="D12592" s="2" t="str">
        <f ca="1">IFERROR(__xludf.DUMMYFUNCTION("""COMPUTED_VALUE"""),"Dubai&gt;Al Qusais&gt;Al Qusais Residential Area&gt;Al Qusais 2&gt;Nehal Building")</f>
        <v>Dubai&gt;Al Qusais&gt;Al Qusais Residential Area&gt;Al Qusais 2&gt;Nehal Building</v>
      </c>
      <c r="E12592" s="2"/>
      <c r="F12592" s="2"/>
      <c r="G12592" s="2"/>
      <c r="H12592" s="2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2"/>
      <c r="T12592" s="2"/>
      <c r="U12592" s="2"/>
      <c r="V12592" s="2"/>
      <c r="W12592" s="2"/>
      <c r="X12592" s="2"/>
      <c r="Y12592" s="2"/>
      <c r="Z12592" s="2"/>
    </row>
    <row r="12593" spans="1:26" ht="16.5" x14ac:dyDescent="0.35">
      <c r="A12593" s="2" t="str">
        <f ca="1">IFERROR(__xludf.DUMMYFUNCTION("""COMPUTED_VALUE"""),"Dubai")</f>
        <v>Dubai</v>
      </c>
      <c r="B12593" s="2" t="str">
        <f ca="1">IFERROR(__xludf.DUMMYFUNCTION("""COMPUTED_VALUE"""),"Buhaliba Building")</f>
        <v>Buhaliba Building</v>
      </c>
      <c r="C12593" s="2" t="str">
        <f ca="1">IFERROR(__xludf.DUMMYFUNCTION("""COMPUTED_VALUE"""),"Building")</f>
        <v>Building</v>
      </c>
      <c r="D12593" s="2" t="str">
        <f ca="1">IFERROR(__xludf.DUMMYFUNCTION("""COMPUTED_VALUE"""),"Dubai&gt;Al Qusais&gt;Al Qusais Residential Area&gt;Al Qusais 1&gt;Buhaliba Building")</f>
        <v>Dubai&gt;Al Qusais&gt;Al Qusais Residential Area&gt;Al Qusais 1&gt;Buhaliba Building</v>
      </c>
      <c r="E12593" s="2"/>
      <c r="F12593" s="2"/>
      <c r="G12593" s="2"/>
      <c r="H12593" s="2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2"/>
      <c r="T12593" s="2"/>
      <c r="U12593" s="2"/>
      <c r="V12593" s="2"/>
      <c r="W12593" s="2"/>
      <c r="X12593" s="2"/>
      <c r="Y12593" s="2"/>
      <c r="Z12593" s="2"/>
    </row>
    <row r="12594" spans="1:26" ht="16.5" x14ac:dyDescent="0.35">
      <c r="A12594" s="2" t="str">
        <f ca="1">IFERROR(__xludf.DUMMYFUNCTION("""COMPUTED_VALUE"""),"Dubai")</f>
        <v>Dubai</v>
      </c>
      <c r="B12594" s="2" t="str">
        <f ca="1">IFERROR(__xludf.DUMMYFUNCTION("""COMPUTED_VALUE"""),"Al Qusais 3")</f>
        <v>Al Qusais 3</v>
      </c>
      <c r="C12594" s="2" t="str">
        <f ca="1">IFERROR(__xludf.DUMMYFUNCTION("""COMPUTED_VALUE"""),"Neighbourhood")</f>
        <v>Neighbourhood</v>
      </c>
      <c r="D12594" s="2" t="str">
        <f ca="1">IFERROR(__xludf.DUMMYFUNCTION("""COMPUTED_VALUE"""),"Dubai&gt;Al Qusais&gt;Al Qusais Residential Area&gt;Al Qusais 3")</f>
        <v>Dubai&gt;Al Qusais&gt;Al Qusais Residential Area&gt;Al Qusais 3</v>
      </c>
      <c r="E12594" s="2"/>
      <c r="F12594" s="2"/>
      <c r="G12594" s="2"/>
      <c r="H12594" s="2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2"/>
      <c r="T12594" s="2"/>
      <c r="U12594" s="2"/>
      <c r="V12594" s="2"/>
      <c r="W12594" s="2"/>
      <c r="X12594" s="2"/>
      <c r="Y12594" s="2"/>
      <c r="Z12594" s="2"/>
    </row>
    <row r="12595" spans="1:26" ht="16.5" x14ac:dyDescent="0.35">
      <c r="A12595" s="2" t="str">
        <f ca="1">IFERROR(__xludf.DUMMYFUNCTION("""COMPUTED_VALUE"""),"Dubai")</f>
        <v>Dubai</v>
      </c>
      <c r="B12595" s="2" t="str">
        <f ca="1">IFERROR(__xludf.DUMMYFUNCTION("""COMPUTED_VALUE"""),"Iliyaa Tower 1")</f>
        <v>Iliyaa Tower 1</v>
      </c>
      <c r="C12595" s="2" t="str">
        <f ca="1">IFERROR(__xludf.DUMMYFUNCTION("""COMPUTED_VALUE"""),"Building")</f>
        <v>Building</v>
      </c>
      <c r="D12595" s="2" t="str">
        <f ca="1">IFERROR(__xludf.DUMMYFUNCTION("""COMPUTED_VALUE"""),"Dubai&gt;Al Qusais&gt;Al Qusais Industrial Area&gt;Al Qusais Industrial 3&gt;Iliyaa Tower 1")</f>
        <v>Dubai&gt;Al Qusais&gt;Al Qusais Industrial Area&gt;Al Qusais Industrial 3&gt;Iliyaa Tower 1</v>
      </c>
      <c r="E12595" s="2"/>
      <c r="F12595" s="2"/>
      <c r="G12595" s="2"/>
      <c r="H12595" s="2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2"/>
      <c r="T12595" s="2"/>
      <c r="U12595" s="2"/>
      <c r="V12595" s="2"/>
      <c r="W12595" s="2"/>
      <c r="X12595" s="2"/>
      <c r="Y12595" s="2"/>
      <c r="Z12595" s="2"/>
    </row>
    <row r="12596" spans="1:26" ht="16.5" x14ac:dyDescent="0.35">
      <c r="A12596" s="2" t="str">
        <f ca="1">IFERROR(__xludf.DUMMYFUNCTION("""COMPUTED_VALUE"""),"Dubai")</f>
        <v>Dubai</v>
      </c>
      <c r="B12596" s="2" t="str">
        <f ca="1">IFERROR(__xludf.DUMMYFUNCTION("""COMPUTED_VALUE"""),"Mulberry 2 Building B2")</f>
        <v>Mulberry 2 Building B2</v>
      </c>
      <c r="C12596" s="2" t="str">
        <f ca="1">IFERROR(__xludf.DUMMYFUNCTION("""COMPUTED_VALUE"""),"Building")</f>
        <v>Building</v>
      </c>
      <c r="D12596" s="2" t="str">
        <f ca="1">IFERROR(__xludf.DUMMYFUNCTION("""COMPUTED_VALUE"""),"Dubai&gt;Dubai Hills Estate&gt;Park Heights&gt;Mulberry 2&gt;Mulberry 2 Building B2")</f>
        <v>Dubai&gt;Dubai Hills Estate&gt;Park Heights&gt;Mulberry 2&gt;Mulberry 2 Building B2</v>
      </c>
      <c r="E12596" s="2"/>
      <c r="F12596" s="2"/>
      <c r="G12596" s="2"/>
      <c r="H12596" s="2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2"/>
      <c r="T12596" s="2"/>
      <c r="U12596" s="2"/>
      <c r="V12596" s="2"/>
      <c r="W12596" s="2"/>
      <c r="X12596" s="2"/>
      <c r="Y12596" s="2"/>
      <c r="Z12596" s="2"/>
    </row>
    <row r="12597" spans="1:26" ht="16.5" x14ac:dyDescent="0.35">
      <c r="A12597" s="2" t="str">
        <f ca="1">IFERROR(__xludf.DUMMYFUNCTION("""COMPUTED_VALUE"""),"Dubai")</f>
        <v>Dubai</v>
      </c>
      <c r="B12597" s="2" t="str">
        <f ca="1">IFERROR(__xludf.DUMMYFUNCTION("""COMPUTED_VALUE"""),"Fairways")</f>
        <v>Fairways</v>
      </c>
      <c r="C12597" s="2" t="str">
        <f ca="1">IFERROR(__xludf.DUMMYFUNCTION("""COMPUTED_VALUE"""),"Neighbourhood")</f>
        <v>Neighbourhood</v>
      </c>
      <c r="D12597" s="2" t="str">
        <f ca="1">IFERROR(__xludf.DUMMYFUNCTION("""COMPUTED_VALUE"""),"Dubai&gt;Dubai Hills Estate&gt;Fairways")</f>
        <v>Dubai&gt;Dubai Hills Estate&gt;Fairways</v>
      </c>
      <c r="E12597" s="2"/>
      <c r="F12597" s="2"/>
      <c r="G12597" s="2"/>
      <c r="H12597" s="2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2"/>
      <c r="T12597" s="2"/>
      <c r="U12597" s="2"/>
      <c r="V12597" s="2"/>
      <c r="W12597" s="2"/>
      <c r="X12597" s="2"/>
      <c r="Y12597" s="2"/>
      <c r="Z12597" s="2"/>
    </row>
    <row r="12598" spans="1:26" ht="16.5" x14ac:dyDescent="0.35">
      <c r="A12598" s="2" t="str">
        <f ca="1">IFERROR(__xludf.DUMMYFUNCTION("""COMPUTED_VALUE"""),"Dubai")</f>
        <v>Dubai</v>
      </c>
      <c r="B12598" s="2" t="str">
        <f ca="1">IFERROR(__xludf.DUMMYFUNCTION("""COMPUTED_VALUE"""),"Park Horizon")</f>
        <v>Park Horizon</v>
      </c>
      <c r="C12598" s="2" t="str">
        <f ca="1">IFERROR(__xludf.DUMMYFUNCTION("""COMPUTED_VALUE"""),"Cluster")</f>
        <v>Cluster</v>
      </c>
      <c r="D12598" s="2" t="str">
        <f ca="1">IFERROR(__xludf.DUMMYFUNCTION("""COMPUTED_VALUE"""),"Dubai&gt;Dubai Hills Estate&gt;Park Horizon")</f>
        <v>Dubai&gt;Dubai Hills Estate&gt;Park Horizon</v>
      </c>
      <c r="E12598" s="2"/>
      <c r="F12598" s="2"/>
      <c r="G12598" s="2"/>
      <c r="H12598" s="2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2"/>
      <c r="T12598" s="2"/>
      <c r="U12598" s="2"/>
      <c r="V12598" s="2"/>
      <c r="W12598" s="2"/>
      <c r="X12598" s="2"/>
      <c r="Y12598" s="2"/>
      <c r="Z12598" s="2"/>
    </row>
    <row r="12599" spans="1:26" ht="16.5" x14ac:dyDescent="0.35">
      <c r="A12599" s="2" t="str">
        <f ca="1">IFERROR(__xludf.DUMMYFUNCTION("""COMPUTED_VALUE"""),"Dubai")</f>
        <v>Dubai</v>
      </c>
      <c r="B12599" s="2" t="str">
        <f ca="1">IFERROR(__xludf.DUMMYFUNCTION("""COMPUTED_VALUE"""),"Park Lane")</f>
        <v>Park Lane</v>
      </c>
      <c r="C12599" s="2" t="str">
        <f ca="1">IFERROR(__xludf.DUMMYFUNCTION("""COMPUTED_VALUE"""),"Cluster")</f>
        <v>Cluster</v>
      </c>
      <c r="D12599" s="2" t="str">
        <f ca="1">IFERROR(__xludf.DUMMYFUNCTION("""COMPUTED_VALUE"""),"Dubai&gt;Dubai Hills Estate&gt;Park Lane")</f>
        <v>Dubai&gt;Dubai Hills Estate&gt;Park Lane</v>
      </c>
      <c r="E12599" s="2"/>
      <c r="F12599" s="2"/>
      <c r="G12599" s="2"/>
      <c r="H12599" s="2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2"/>
      <c r="T12599" s="2"/>
      <c r="U12599" s="2"/>
      <c r="V12599" s="2"/>
      <c r="W12599" s="2"/>
      <c r="X12599" s="2"/>
      <c r="Y12599" s="2"/>
      <c r="Z12599" s="2"/>
    </row>
    <row r="12600" spans="1:26" ht="16.5" x14ac:dyDescent="0.35">
      <c r="A12600" s="2" t="str">
        <f ca="1">IFERROR(__xludf.DUMMYFUNCTION("""COMPUTED_VALUE"""),"Dubai")</f>
        <v>Dubai</v>
      </c>
      <c r="B12600" s="2" t="str">
        <f ca="1">IFERROR(__xludf.DUMMYFUNCTION("""COMPUTED_VALUE"""),"Deira")</f>
        <v>Deira</v>
      </c>
      <c r="C12600" s="2" t="str">
        <f ca="1">IFERROR(__xludf.DUMMYFUNCTION("""COMPUTED_VALUE"""),"Neighbourhood")</f>
        <v>Neighbourhood</v>
      </c>
      <c r="D12600" s="2" t="str">
        <f ca="1">IFERROR(__xludf.DUMMYFUNCTION("""COMPUTED_VALUE"""),"Dubai&gt;Deira")</f>
        <v>Dubai&gt;Deira</v>
      </c>
      <c r="E12600" s="2"/>
      <c r="F12600" s="2"/>
      <c r="G12600" s="2"/>
      <c r="H12600" s="2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2"/>
      <c r="T12600" s="2"/>
      <c r="U12600" s="2"/>
      <c r="V12600" s="2"/>
      <c r="W12600" s="2"/>
      <c r="X12600" s="2"/>
      <c r="Y12600" s="2"/>
      <c r="Z12600" s="2"/>
    </row>
    <row r="12601" spans="1:26" ht="16.5" x14ac:dyDescent="0.35">
      <c r="A12601" s="2" t="str">
        <f ca="1">IFERROR(__xludf.DUMMYFUNCTION("""COMPUTED_VALUE"""),"Dubai")</f>
        <v>Dubai</v>
      </c>
      <c r="B12601" s="2" t="str">
        <f ca="1">IFERROR(__xludf.DUMMYFUNCTION("""COMPUTED_VALUE"""),"Juma Al Majid Block B")</f>
        <v>Juma Al Majid Block B</v>
      </c>
      <c r="C12601" s="2" t="str">
        <f ca="1">IFERROR(__xludf.DUMMYFUNCTION("""COMPUTED_VALUE"""),"Building")</f>
        <v>Building</v>
      </c>
      <c r="D12601" s="2" t="str">
        <f ca="1">IFERROR(__xludf.DUMMYFUNCTION("""COMPUTED_VALUE"""),"Dubai&gt;Deira&gt;Al Muraqqabat&gt;Juma Al Majid Building&gt;Juma Al Majid Block B")</f>
        <v>Dubai&gt;Deira&gt;Al Muraqqabat&gt;Juma Al Majid Building&gt;Juma Al Majid Block B</v>
      </c>
      <c r="E12601" s="2"/>
      <c r="F12601" s="2"/>
      <c r="G12601" s="2"/>
      <c r="H12601" s="2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2"/>
      <c r="T12601" s="2"/>
      <c r="U12601" s="2"/>
      <c r="V12601" s="2"/>
      <c r="W12601" s="2"/>
      <c r="X12601" s="2"/>
      <c r="Y12601" s="2"/>
      <c r="Z12601" s="2"/>
    </row>
    <row r="12602" spans="1:26" ht="16.5" x14ac:dyDescent="0.35">
      <c r="A12602" s="2" t="str">
        <f ca="1">IFERROR(__xludf.DUMMYFUNCTION("""COMPUTED_VALUE"""),"Dubai")</f>
        <v>Dubai</v>
      </c>
      <c r="B12602" s="2" t="str">
        <f ca="1">IFERROR(__xludf.DUMMYFUNCTION("""COMPUTED_VALUE"""),"Makani Building")</f>
        <v>Makani Building</v>
      </c>
      <c r="C12602" s="2" t="str">
        <f ca="1">IFERROR(__xludf.DUMMYFUNCTION("""COMPUTED_VALUE"""),"Building")</f>
        <v>Building</v>
      </c>
      <c r="D12602" s="2" t="str">
        <f ca="1">IFERROR(__xludf.DUMMYFUNCTION("""COMPUTED_VALUE"""),"Dubai&gt;Deira&gt;Al Muraqqabat&gt;Makani Building")</f>
        <v>Dubai&gt;Deira&gt;Al Muraqqabat&gt;Makani Building</v>
      </c>
      <c r="E12602" s="2"/>
      <c r="F12602" s="2"/>
      <c r="G12602" s="2"/>
      <c r="H12602" s="2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2"/>
      <c r="T12602" s="2"/>
      <c r="U12602" s="2"/>
      <c r="V12602" s="2"/>
      <c r="W12602" s="2"/>
      <c r="X12602" s="2"/>
      <c r="Y12602" s="2"/>
      <c r="Z12602" s="2"/>
    </row>
    <row r="12603" spans="1:26" ht="16.5" x14ac:dyDescent="0.35">
      <c r="A12603" s="2" t="str">
        <f ca="1">IFERROR(__xludf.DUMMYFUNCTION("""COMPUTED_VALUE"""),"Dubai")</f>
        <v>Dubai</v>
      </c>
      <c r="B12603" s="2" t="str">
        <f ca="1">IFERROR(__xludf.DUMMYFUNCTION("""COMPUTED_VALUE"""),"Abdulwahed Bin Shabib Proptery 155 Building")</f>
        <v>Abdulwahed Bin Shabib Proptery 155 Building</v>
      </c>
      <c r="C12603" s="2" t="str">
        <f ca="1">IFERROR(__xludf.DUMMYFUNCTION("""COMPUTED_VALUE"""),"Building")</f>
        <v>Building</v>
      </c>
      <c r="D12603" s="2" t="str">
        <f ca="1">IFERROR(__xludf.DUMMYFUNCTION("""COMPUTED_VALUE"""),"Dubai&gt;Deira&gt;Ayal Nasir&gt;Abdulwahed Bin Shabib Proptery 155 Building")</f>
        <v>Dubai&gt;Deira&gt;Ayal Nasir&gt;Abdulwahed Bin Shabib Proptery 155 Building</v>
      </c>
      <c r="E12603" s="2"/>
      <c r="F12603" s="2"/>
      <c r="G12603" s="2"/>
      <c r="H12603" s="2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2"/>
      <c r="T12603" s="2"/>
      <c r="U12603" s="2"/>
      <c r="V12603" s="2"/>
      <c r="W12603" s="2"/>
      <c r="X12603" s="2"/>
      <c r="Y12603" s="2"/>
      <c r="Z12603" s="2"/>
    </row>
    <row r="12604" spans="1:26" ht="16.5" x14ac:dyDescent="0.35">
      <c r="A12604" s="2" t="str">
        <f ca="1">IFERROR(__xludf.DUMMYFUNCTION("""COMPUTED_VALUE"""),"Dubai")</f>
        <v>Dubai</v>
      </c>
      <c r="B12604" s="2" t="str">
        <f ca="1">IFERROR(__xludf.DUMMYFUNCTION("""COMPUTED_VALUE"""),"Sky Building")</f>
        <v>Sky Building</v>
      </c>
      <c r="C12604" s="2" t="str">
        <f ca="1">IFERROR(__xludf.DUMMYFUNCTION("""COMPUTED_VALUE"""),"Building")</f>
        <v>Building</v>
      </c>
      <c r="D12604" s="2" t="str">
        <f ca="1">IFERROR(__xludf.DUMMYFUNCTION("""COMPUTED_VALUE"""),"Dubai&gt;Deira&gt;Hor Al Anz&gt;Hor Al Anz East&gt;Sky Building")</f>
        <v>Dubai&gt;Deira&gt;Hor Al Anz&gt;Hor Al Anz East&gt;Sky Building</v>
      </c>
      <c r="E12604" s="2"/>
      <c r="F12604" s="2"/>
      <c r="G12604" s="2"/>
      <c r="H12604" s="2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2"/>
      <c r="T12604" s="2"/>
      <c r="U12604" s="2"/>
      <c r="V12604" s="2"/>
      <c r="W12604" s="2"/>
      <c r="X12604" s="2"/>
      <c r="Y12604" s="2"/>
      <c r="Z12604" s="2"/>
    </row>
    <row r="12605" spans="1:26" ht="16.5" x14ac:dyDescent="0.35">
      <c r="A12605" s="2" t="str">
        <f ca="1">IFERROR(__xludf.DUMMYFUNCTION("""COMPUTED_VALUE"""),"Dubai")</f>
        <v>Dubai</v>
      </c>
      <c r="B12605" s="2" t="str">
        <f ca="1">IFERROR(__xludf.DUMMYFUNCTION("""COMPUTED_VALUE"""),"Karama Residence")</f>
        <v>Karama Residence</v>
      </c>
      <c r="C12605" s="2" t="str">
        <f ca="1">IFERROR(__xludf.DUMMYFUNCTION("""COMPUTED_VALUE"""),"Building")</f>
        <v>Building</v>
      </c>
      <c r="D12605" s="2" t="str">
        <f ca="1">IFERROR(__xludf.DUMMYFUNCTION("""COMPUTED_VALUE"""),"Dubai&gt;Deira&gt;Al Muteena&gt;Karama Residence")</f>
        <v>Dubai&gt;Deira&gt;Al Muteena&gt;Karama Residence</v>
      </c>
      <c r="E12605" s="2"/>
      <c r="F12605" s="2"/>
      <c r="G12605" s="2"/>
      <c r="H12605" s="2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2"/>
      <c r="T12605" s="2"/>
      <c r="U12605" s="2"/>
      <c r="V12605" s="2"/>
      <c r="W12605" s="2"/>
      <c r="X12605" s="2"/>
      <c r="Y12605" s="2"/>
      <c r="Z12605" s="2"/>
    </row>
    <row r="12606" spans="1:26" ht="16.5" x14ac:dyDescent="0.35">
      <c r="A12606" s="2" t="str">
        <f ca="1">IFERROR(__xludf.DUMMYFUNCTION("""COMPUTED_VALUE"""),"Dubai")</f>
        <v>Dubai</v>
      </c>
      <c r="B12606" s="2" t="str">
        <f ca="1">IFERROR(__xludf.DUMMYFUNCTION("""COMPUTED_VALUE"""),"Al Khobaisi Warehouse Complex")</f>
        <v>Al Khobaisi Warehouse Complex</v>
      </c>
      <c r="C12606" s="2" t="str">
        <f ca="1">IFERROR(__xludf.DUMMYFUNCTION("""COMPUTED_VALUE"""),"Building")</f>
        <v>Building</v>
      </c>
      <c r="D12606" s="2" t="str">
        <f ca="1">IFERROR(__xludf.DUMMYFUNCTION("""COMPUTED_VALUE"""),"Dubai&gt;Deira&gt;Al Khabaisi&gt;Al Khobaisi Warehouse Complex")</f>
        <v>Dubai&gt;Deira&gt;Al Khabaisi&gt;Al Khobaisi Warehouse Complex</v>
      </c>
      <c r="E12606" s="2"/>
      <c r="F12606" s="2"/>
      <c r="G12606" s="2"/>
      <c r="H12606" s="2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2"/>
      <c r="T12606" s="2"/>
      <c r="U12606" s="2"/>
      <c r="V12606" s="2"/>
      <c r="W12606" s="2"/>
      <c r="X12606" s="2"/>
      <c r="Y12606" s="2"/>
      <c r="Z12606" s="2"/>
    </row>
    <row r="12607" spans="1:26" ht="16.5" x14ac:dyDescent="0.35">
      <c r="A12607" s="2" t="str">
        <f ca="1">IFERROR(__xludf.DUMMYFUNCTION("""COMPUTED_VALUE"""),"Dubai")</f>
        <v>Dubai</v>
      </c>
      <c r="B12607" s="2" t="str">
        <f ca="1">IFERROR(__xludf.DUMMYFUNCTION("""COMPUTED_VALUE"""),"Osha Plaza 3")</f>
        <v>Osha Plaza 3</v>
      </c>
      <c r="C12607" s="2" t="str">
        <f ca="1">IFERROR(__xludf.DUMMYFUNCTION("""COMPUTED_VALUE"""),"Building")</f>
        <v>Building</v>
      </c>
      <c r="D12607" s="2" t="str">
        <f ca="1">IFERROR(__xludf.DUMMYFUNCTION("""COMPUTED_VALUE"""),"Dubai&gt;Deira&gt;Deira Enrichment Project&gt;Osha Plaza&gt;Osha Plaza 3")</f>
        <v>Dubai&gt;Deira&gt;Deira Enrichment Project&gt;Osha Plaza&gt;Osha Plaza 3</v>
      </c>
      <c r="E12607" s="2"/>
      <c r="F12607" s="2"/>
      <c r="G12607" s="2"/>
      <c r="H12607" s="2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2"/>
      <c r="T12607" s="2"/>
      <c r="U12607" s="2"/>
      <c r="V12607" s="2"/>
      <c r="W12607" s="2"/>
      <c r="X12607" s="2"/>
      <c r="Y12607" s="2"/>
      <c r="Z12607" s="2"/>
    </row>
    <row r="12608" spans="1:26" ht="16.5" x14ac:dyDescent="0.35">
      <c r="A12608" s="2" t="str">
        <f ca="1">IFERROR(__xludf.DUMMYFUNCTION("""COMPUTED_VALUE"""),"Dubai")</f>
        <v>Dubai</v>
      </c>
      <c r="B12608" s="2" t="str">
        <f ca="1">IFERROR(__xludf.DUMMYFUNCTION("""COMPUTED_VALUE"""),"Al Yazia Plaza 3")</f>
        <v>Al Yazia Plaza 3</v>
      </c>
      <c r="C12608" s="2" t="str">
        <f ca="1">IFERROR(__xludf.DUMMYFUNCTION("""COMPUTED_VALUE"""),"Building")</f>
        <v>Building</v>
      </c>
      <c r="D12608" s="2" t="str">
        <f ca="1">IFERROR(__xludf.DUMMYFUNCTION("""COMPUTED_VALUE"""),"Dubai&gt;Deira&gt;Deira Enrichment Project&gt;Al Yazia Plaza&gt;Al Yazia Plaza 3")</f>
        <v>Dubai&gt;Deira&gt;Deira Enrichment Project&gt;Al Yazia Plaza&gt;Al Yazia Plaza 3</v>
      </c>
      <c r="E12608" s="2"/>
      <c r="F12608" s="2"/>
      <c r="G12608" s="2"/>
      <c r="H12608" s="2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2"/>
      <c r="T12608" s="2"/>
      <c r="U12608" s="2"/>
      <c r="V12608" s="2"/>
      <c r="W12608" s="2"/>
      <c r="X12608" s="2"/>
      <c r="Y12608" s="2"/>
      <c r="Z12608" s="2"/>
    </row>
    <row r="12609" spans="1:26" ht="16.5" x14ac:dyDescent="0.35">
      <c r="A12609" s="2" t="str">
        <f ca="1">IFERROR(__xludf.DUMMYFUNCTION("""COMPUTED_VALUE"""),"Dubai")</f>
        <v>Dubai</v>
      </c>
      <c r="B12609" s="2" t="str">
        <f ca="1">IFERROR(__xludf.DUMMYFUNCTION("""COMPUTED_VALUE"""),"Naif Building 5")</f>
        <v>Naif Building 5</v>
      </c>
      <c r="C12609" s="2" t="str">
        <f ca="1">IFERROR(__xludf.DUMMYFUNCTION("""COMPUTED_VALUE"""),"Building")</f>
        <v>Building</v>
      </c>
      <c r="D12609" s="2" t="str">
        <f ca="1">IFERROR(__xludf.DUMMYFUNCTION("""COMPUTED_VALUE"""),"Dubai&gt;Deira&gt;Naif&gt;Naif Building 5")</f>
        <v>Dubai&gt;Deira&gt;Naif&gt;Naif Building 5</v>
      </c>
      <c r="E12609" s="2"/>
      <c r="F12609" s="2"/>
      <c r="G12609" s="2"/>
      <c r="H12609" s="2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2"/>
      <c r="T12609" s="2"/>
      <c r="U12609" s="2"/>
      <c r="V12609" s="2"/>
      <c r="W12609" s="2"/>
      <c r="X12609" s="2"/>
      <c r="Y12609" s="2"/>
      <c r="Z12609" s="2"/>
    </row>
    <row r="12610" spans="1:26" ht="16.5" x14ac:dyDescent="0.35">
      <c r="A12610" s="2" t="str">
        <f ca="1">IFERROR(__xludf.DUMMYFUNCTION("""COMPUTED_VALUE"""),"Dubai")</f>
        <v>Dubai</v>
      </c>
      <c r="B12610" s="2" t="str">
        <f ca="1">IFERROR(__xludf.DUMMYFUNCTION("""COMPUTED_VALUE"""),"Abdulwahed Bin Shabib Building 21")</f>
        <v>Abdulwahed Bin Shabib Building 21</v>
      </c>
      <c r="C12610" s="2" t="str">
        <f ca="1">IFERROR(__xludf.DUMMYFUNCTION("""COMPUTED_VALUE"""),"Building")</f>
        <v>Building</v>
      </c>
      <c r="D12610" s="2" t="str">
        <f ca="1">IFERROR(__xludf.DUMMYFUNCTION("""COMPUTED_VALUE"""),"Dubai&gt;Deira&gt;Al Murar&gt;Abdulwahed Bin Shabib Building 21")</f>
        <v>Dubai&gt;Deira&gt;Al Murar&gt;Abdulwahed Bin Shabib Building 21</v>
      </c>
      <c r="E12610" s="2"/>
      <c r="F12610" s="2"/>
      <c r="G12610" s="2"/>
      <c r="H12610" s="2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2"/>
      <c r="T12610" s="2"/>
      <c r="U12610" s="2"/>
      <c r="V12610" s="2"/>
      <c r="W12610" s="2"/>
      <c r="X12610" s="2"/>
      <c r="Y12610" s="2"/>
      <c r="Z12610" s="2"/>
    </row>
    <row r="12611" spans="1:26" ht="16.5" x14ac:dyDescent="0.35">
      <c r="A12611" s="2" t="str">
        <f ca="1">IFERROR(__xludf.DUMMYFUNCTION("""COMPUTED_VALUE"""),"Dubai")</f>
        <v>Dubai</v>
      </c>
      <c r="B12611" s="2" t="str">
        <f ca="1">IFERROR(__xludf.DUMMYFUNCTION("""COMPUTED_VALUE"""),"Hassan Al Majed 3 Building")</f>
        <v>Hassan Al Majed 3 Building</v>
      </c>
      <c r="C12611" s="2" t="str">
        <f ca="1">IFERROR(__xludf.DUMMYFUNCTION("""COMPUTED_VALUE"""),"Building")</f>
        <v>Building</v>
      </c>
      <c r="D12611" s="2" t="str">
        <f ca="1">IFERROR(__xludf.DUMMYFUNCTION("""COMPUTED_VALUE"""),"Dubai&gt;Deira&gt;Al Baraha&gt;Hassan Al Majed 3 Building")</f>
        <v>Dubai&gt;Deira&gt;Al Baraha&gt;Hassan Al Majed 3 Building</v>
      </c>
      <c r="E12611" s="2"/>
      <c r="F12611" s="2"/>
      <c r="G12611" s="2"/>
      <c r="H12611" s="2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2"/>
      <c r="T12611" s="2"/>
      <c r="U12611" s="2"/>
      <c r="V12611" s="2"/>
      <c r="W12611" s="2"/>
      <c r="X12611" s="2"/>
      <c r="Y12611" s="2"/>
      <c r="Z12611" s="2"/>
    </row>
    <row r="12612" spans="1:26" ht="16.5" x14ac:dyDescent="0.35">
      <c r="A12612" s="2" t="str">
        <f ca="1">IFERROR(__xludf.DUMMYFUNCTION("""COMPUTED_VALUE"""),"Dubai")</f>
        <v>Dubai</v>
      </c>
      <c r="B12612" s="2" t="str">
        <f ca="1">IFERROR(__xludf.DUMMYFUNCTION("""COMPUTED_VALUE"""),"Rove City Centre")</f>
        <v>Rove City Centre</v>
      </c>
      <c r="C12612" s="2" t="str">
        <f ca="1">IFERROR(__xludf.DUMMYFUNCTION("""COMPUTED_VALUE"""),"Building")</f>
        <v>Building</v>
      </c>
      <c r="D12612" s="2" t="str">
        <f ca="1">IFERROR(__xludf.DUMMYFUNCTION("""COMPUTED_VALUE"""),"Dubai&gt;Deira&gt;Port Saeed&gt;Rove City Centre")</f>
        <v>Dubai&gt;Deira&gt;Port Saeed&gt;Rove City Centre</v>
      </c>
      <c r="E12612" s="2"/>
      <c r="F12612" s="2"/>
      <c r="G12612" s="2"/>
      <c r="H12612" s="2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2"/>
      <c r="T12612" s="2"/>
      <c r="U12612" s="2"/>
      <c r="V12612" s="2"/>
      <c r="W12612" s="2"/>
      <c r="X12612" s="2"/>
      <c r="Y12612" s="2"/>
      <c r="Z12612" s="2"/>
    </row>
    <row r="12613" spans="1:26" ht="16.5" x14ac:dyDescent="0.35">
      <c r="A12613" s="2" t="str">
        <f ca="1">IFERROR(__xludf.DUMMYFUNCTION("""COMPUTED_VALUE"""),"Dubai")</f>
        <v>Dubai</v>
      </c>
      <c r="B12613" s="2" t="str">
        <f ca="1">IFERROR(__xludf.DUMMYFUNCTION("""COMPUTED_VALUE"""),"Auto Center Building")</f>
        <v>Auto Center Building</v>
      </c>
      <c r="C12613" s="2" t="str">
        <f ca="1">IFERROR(__xludf.DUMMYFUNCTION("""COMPUTED_VALUE"""),"Building")</f>
        <v>Building</v>
      </c>
      <c r="D12613" s="2" t="str">
        <f ca="1">IFERROR(__xludf.DUMMYFUNCTION("""COMPUTED_VALUE"""),"Dubai&gt;Deira&gt;Port Saeed&gt;Auto Center Building")</f>
        <v>Dubai&gt;Deira&gt;Port Saeed&gt;Auto Center Building</v>
      </c>
      <c r="E12613" s="2"/>
      <c r="F12613" s="2"/>
      <c r="G12613" s="2"/>
      <c r="H12613" s="2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2"/>
      <c r="T12613" s="2"/>
      <c r="U12613" s="2"/>
      <c r="V12613" s="2"/>
      <c r="W12613" s="2"/>
      <c r="X12613" s="2"/>
      <c r="Y12613" s="2"/>
      <c r="Z12613" s="2"/>
    </row>
    <row r="12614" spans="1:26" ht="16.5" x14ac:dyDescent="0.35">
      <c r="A12614" s="2" t="str">
        <f ca="1">IFERROR(__xludf.DUMMYFUNCTION("""COMPUTED_VALUE"""),"Dubai")</f>
        <v>Dubai</v>
      </c>
      <c r="B12614" s="2" t="str">
        <f ca="1">IFERROR(__xludf.DUMMYFUNCTION("""COMPUTED_VALUE"""),"Crystal Tower")</f>
        <v>Crystal Tower</v>
      </c>
      <c r="C12614" s="2" t="str">
        <f ca="1">IFERROR(__xludf.DUMMYFUNCTION("""COMPUTED_VALUE"""),"Building")</f>
        <v>Building</v>
      </c>
      <c r="D12614" s="2" t="str">
        <f ca="1">IFERROR(__xludf.DUMMYFUNCTION("""COMPUTED_VALUE"""),"Dubai&gt;Business Bay&gt;Crystal Tower")</f>
        <v>Dubai&gt;Business Bay&gt;Crystal Tower</v>
      </c>
      <c r="E12614" s="2"/>
      <c r="F12614" s="2"/>
      <c r="G12614" s="2"/>
      <c r="H12614" s="2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2"/>
      <c r="T12614" s="2"/>
      <c r="U12614" s="2"/>
      <c r="V12614" s="2"/>
      <c r="W12614" s="2"/>
      <c r="X12614" s="2"/>
      <c r="Y12614" s="2"/>
      <c r="Z12614" s="2"/>
    </row>
    <row r="12615" spans="1:26" ht="16.5" x14ac:dyDescent="0.35">
      <c r="A12615" s="2" t="str">
        <f ca="1">IFERROR(__xludf.DUMMYFUNCTION("""COMPUTED_VALUE"""),"Dubai")</f>
        <v>Dubai</v>
      </c>
      <c r="B12615" s="2" t="str">
        <f ca="1">IFERROR(__xludf.DUMMYFUNCTION("""COMPUTED_VALUE"""),"Executive Towers")</f>
        <v>Executive Towers</v>
      </c>
      <c r="C12615" s="2" t="str">
        <f ca="1">IFERROR(__xludf.DUMMYFUNCTION("""COMPUTED_VALUE"""),"Cluster")</f>
        <v>Cluster</v>
      </c>
      <c r="D12615" s="2" t="str">
        <f ca="1">IFERROR(__xludf.DUMMYFUNCTION("""COMPUTED_VALUE"""),"Dubai&gt;Business Bay&gt;Executive Towers")</f>
        <v>Dubai&gt;Business Bay&gt;Executive Towers</v>
      </c>
      <c r="E12615" s="2"/>
      <c r="F12615" s="2"/>
      <c r="G12615" s="2"/>
      <c r="H12615" s="2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2"/>
      <c r="T12615" s="2"/>
      <c r="U12615" s="2"/>
      <c r="V12615" s="2"/>
      <c r="W12615" s="2"/>
      <c r="X12615" s="2"/>
      <c r="Y12615" s="2"/>
      <c r="Z12615" s="2"/>
    </row>
    <row r="12616" spans="1:26" ht="16.5" x14ac:dyDescent="0.35">
      <c r="A12616" s="2" t="str">
        <f ca="1">IFERROR(__xludf.DUMMYFUNCTION("""COMPUTED_VALUE"""),"Dubai")</f>
        <v>Dubai</v>
      </c>
      <c r="B12616" s="2" t="str">
        <f ca="1">IFERROR(__xludf.DUMMYFUNCTION("""COMPUTED_VALUE"""),"Bay Square 11")</f>
        <v>Bay Square 11</v>
      </c>
      <c r="C12616" s="2" t="str">
        <f ca="1">IFERROR(__xludf.DUMMYFUNCTION("""COMPUTED_VALUE"""),"Building")</f>
        <v>Building</v>
      </c>
      <c r="D12616" s="2" t="str">
        <f ca="1">IFERROR(__xludf.DUMMYFUNCTION("""COMPUTED_VALUE"""),"Dubai&gt;Business Bay&gt;Bay Square&gt;Bay Square 11")</f>
        <v>Dubai&gt;Business Bay&gt;Bay Square&gt;Bay Square 11</v>
      </c>
      <c r="E12616" s="2"/>
      <c r="F12616" s="2"/>
      <c r="G12616" s="2"/>
      <c r="H12616" s="2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2"/>
      <c r="T12616" s="2"/>
      <c r="U12616" s="2"/>
      <c r="V12616" s="2"/>
      <c r="W12616" s="2"/>
      <c r="X12616" s="2"/>
      <c r="Y12616" s="2"/>
      <c r="Z12616" s="2"/>
    </row>
    <row r="12617" spans="1:26" ht="16.5" x14ac:dyDescent="0.35">
      <c r="A12617" s="2" t="str">
        <f ca="1">IFERROR(__xludf.DUMMYFUNCTION("""COMPUTED_VALUE"""),"Dubai")</f>
        <v>Dubai</v>
      </c>
      <c r="B12617" s="2" t="str">
        <f ca="1">IFERROR(__xludf.DUMMYFUNCTION("""COMPUTED_VALUE"""),"The 9 Tower")</f>
        <v>The 9 Tower</v>
      </c>
      <c r="C12617" s="2" t="str">
        <f ca="1">IFERROR(__xludf.DUMMYFUNCTION("""COMPUTED_VALUE"""),"Building")</f>
        <v>Building</v>
      </c>
      <c r="D12617" s="2" t="str">
        <f ca="1">IFERROR(__xludf.DUMMYFUNCTION("""COMPUTED_VALUE"""),"Dubai&gt;Business Bay&gt;The 9 Tower")</f>
        <v>Dubai&gt;Business Bay&gt;The 9 Tower</v>
      </c>
      <c r="E12617" s="2"/>
      <c r="F12617" s="2"/>
      <c r="G12617" s="2"/>
      <c r="H12617" s="2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2"/>
      <c r="T12617" s="2"/>
      <c r="U12617" s="2"/>
      <c r="V12617" s="2"/>
      <c r="W12617" s="2"/>
      <c r="X12617" s="2"/>
      <c r="Y12617" s="2"/>
      <c r="Z12617" s="2"/>
    </row>
    <row r="12618" spans="1:26" ht="16.5" x14ac:dyDescent="0.35">
      <c r="A12618" s="2" t="str">
        <f ca="1">IFERROR(__xludf.DUMMYFUNCTION("""COMPUTED_VALUE"""),"Dubai")</f>
        <v>Dubai</v>
      </c>
      <c r="B12618" s="2" t="str">
        <f ca="1">IFERROR(__xludf.DUMMYFUNCTION("""COMPUTED_VALUE"""),"Tower C")</f>
        <v>Tower C</v>
      </c>
      <c r="C12618" s="2" t="str">
        <f ca="1">IFERROR(__xludf.DUMMYFUNCTION("""COMPUTED_VALUE"""),"Building")</f>
        <v>Building</v>
      </c>
      <c r="D12618" s="2" t="str">
        <f ca="1">IFERROR(__xludf.DUMMYFUNCTION("""COMPUTED_VALUE"""),"Dubai&gt;Business Bay&gt;DAMAC Towers by Paramount Hotels and Resorts&gt;Tower C")</f>
        <v>Dubai&gt;Business Bay&gt;DAMAC Towers by Paramount Hotels and Resorts&gt;Tower C</v>
      </c>
      <c r="E12618" s="2"/>
      <c r="F12618" s="2"/>
      <c r="G12618" s="2"/>
      <c r="H12618" s="2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2"/>
      <c r="T12618" s="2"/>
      <c r="U12618" s="2"/>
      <c r="V12618" s="2"/>
      <c r="W12618" s="2"/>
      <c r="X12618" s="2"/>
      <c r="Y12618" s="2"/>
      <c r="Z12618" s="2"/>
    </row>
    <row r="12619" spans="1:26" ht="16.5" x14ac:dyDescent="0.35">
      <c r="A12619" s="2" t="str">
        <f ca="1">IFERROR(__xludf.DUMMYFUNCTION("""COMPUTED_VALUE"""),"Dubai")</f>
        <v>Dubai</v>
      </c>
      <c r="B12619" s="2" t="str">
        <f ca="1">IFERROR(__xludf.DUMMYFUNCTION("""COMPUTED_VALUE"""),"Corporate Bay")</f>
        <v>Corporate Bay</v>
      </c>
      <c r="C12619" s="2" t="str">
        <f ca="1">IFERROR(__xludf.DUMMYFUNCTION("""COMPUTED_VALUE"""),"Building")</f>
        <v>Building</v>
      </c>
      <c r="D12619" s="2" t="str">
        <f ca="1">IFERROR(__xludf.DUMMYFUNCTION("""COMPUTED_VALUE"""),"Dubai&gt;Business Bay&gt;Corporate Bay")</f>
        <v>Dubai&gt;Business Bay&gt;Corporate Bay</v>
      </c>
      <c r="E12619" s="2"/>
      <c r="F12619" s="2"/>
      <c r="G12619" s="2"/>
      <c r="H12619" s="2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2"/>
      <c r="T12619" s="2"/>
      <c r="U12619" s="2"/>
      <c r="V12619" s="2"/>
      <c r="W12619" s="2"/>
      <c r="X12619" s="2"/>
      <c r="Y12619" s="2"/>
      <c r="Z12619" s="2"/>
    </row>
    <row r="12620" spans="1:26" ht="16.5" x14ac:dyDescent="0.35">
      <c r="A12620" s="2" t="str">
        <f ca="1">IFERROR(__xludf.DUMMYFUNCTION("""COMPUTED_VALUE"""),"Dubai")</f>
        <v>Dubai</v>
      </c>
      <c r="B12620" s="2" t="str">
        <f ca="1">IFERROR(__xludf.DUMMYFUNCTION("""COMPUTED_VALUE"""),"The Paragon by IGO")</f>
        <v>The Paragon by IGO</v>
      </c>
      <c r="C12620" s="2" t="str">
        <f ca="1">IFERROR(__xludf.DUMMYFUNCTION("""COMPUTED_VALUE"""),"Building")</f>
        <v>Building</v>
      </c>
      <c r="D12620" s="2" t="str">
        <f ca="1">IFERROR(__xludf.DUMMYFUNCTION("""COMPUTED_VALUE"""),"Dubai&gt;Business Bay&gt;The Paragon by IGO")</f>
        <v>Dubai&gt;Business Bay&gt;The Paragon by IGO</v>
      </c>
      <c r="E12620" s="2"/>
      <c r="F12620" s="2"/>
      <c r="G12620" s="2"/>
      <c r="H12620" s="2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2"/>
      <c r="T12620" s="2"/>
      <c r="U12620" s="2"/>
      <c r="V12620" s="2"/>
      <c r="W12620" s="2"/>
      <c r="X12620" s="2"/>
      <c r="Y12620" s="2"/>
      <c r="Z12620" s="2"/>
    </row>
    <row r="12621" spans="1:26" ht="16.5" x14ac:dyDescent="0.35">
      <c r="A12621" s="2" t="str">
        <f ca="1">IFERROR(__xludf.DUMMYFUNCTION("""COMPUTED_VALUE"""),"Dubai")</f>
        <v>Dubai</v>
      </c>
      <c r="B12621" s="2" t="str">
        <f ca="1">IFERROR(__xludf.DUMMYFUNCTION("""COMPUTED_VALUE"""),"Gulf Court Hotel Business Bay")</f>
        <v>Gulf Court Hotel Business Bay</v>
      </c>
      <c r="C12621" s="2" t="str">
        <f ca="1">IFERROR(__xludf.DUMMYFUNCTION("""COMPUTED_VALUE"""),"Building")</f>
        <v>Building</v>
      </c>
      <c r="D12621" s="2" t="str">
        <f ca="1">IFERROR(__xludf.DUMMYFUNCTION("""COMPUTED_VALUE"""),"Dubai&gt;Business Bay&gt;Gulf Court Hotel Business Bay")</f>
        <v>Dubai&gt;Business Bay&gt;Gulf Court Hotel Business Bay</v>
      </c>
      <c r="E12621" s="2"/>
      <c r="F12621" s="2"/>
      <c r="G12621" s="2"/>
      <c r="H12621" s="2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2"/>
      <c r="T12621" s="2"/>
      <c r="U12621" s="2"/>
      <c r="V12621" s="2"/>
      <c r="W12621" s="2"/>
      <c r="X12621" s="2"/>
      <c r="Y12621" s="2"/>
      <c r="Z12621" s="2"/>
    </row>
    <row r="12622" spans="1:26" ht="16.5" x14ac:dyDescent="0.35">
      <c r="A12622" s="2" t="str">
        <f ca="1">IFERROR(__xludf.DUMMYFUNCTION("""COMPUTED_VALUE"""),"Dubai")</f>
        <v>Dubai</v>
      </c>
      <c r="B12622" s="2" t="str">
        <f ca="1">IFERROR(__xludf.DUMMYFUNCTION("""COMPUTED_VALUE"""),"V-Suites")</f>
        <v>V-Suites</v>
      </c>
      <c r="C12622" s="2" t="str">
        <f ca="1">IFERROR(__xludf.DUMMYFUNCTION("""COMPUTED_VALUE"""),"Building")</f>
        <v>Building</v>
      </c>
      <c r="D12622" s="2" t="str">
        <f ca="1">IFERROR(__xludf.DUMMYFUNCTION("""COMPUTED_VALUE"""),"Dubai&gt;Business Bay&gt;V-Suites")</f>
        <v>Dubai&gt;Business Bay&gt;V-Suites</v>
      </c>
      <c r="E12622" s="2"/>
      <c r="F12622" s="2"/>
      <c r="G12622" s="2"/>
      <c r="H12622" s="2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2"/>
      <c r="T12622" s="2"/>
      <c r="U12622" s="2"/>
      <c r="V12622" s="2"/>
      <c r="W12622" s="2"/>
      <c r="X12622" s="2"/>
      <c r="Y12622" s="2"/>
      <c r="Z12622" s="2"/>
    </row>
    <row r="12623" spans="1:26" ht="16.5" x14ac:dyDescent="0.35">
      <c r="A12623" s="2" t="str">
        <f ca="1">IFERROR(__xludf.DUMMYFUNCTION("""COMPUTED_VALUE"""),"Dubai")</f>
        <v>Dubai</v>
      </c>
      <c r="B12623" s="2" t="str">
        <f ca="1">IFERROR(__xludf.DUMMYFUNCTION("""COMPUTED_VALUE"""),"Avarra by Palace")</f>
        <v>Avarra by Palace</v>
      </c>
      <c r="C12623" s="2" t="str">
        <f ca="1">IFERROR(__xludf.DUMMYFUNCTION("""COMPUTED_VALUE"""),"Building")</f>
        <v>Building</v>
      </c>
      <c r="D12623" s="2" t="str">
        <f ca="1">IFERROR(__xludf.DUMMYFUNCTION("""COMPUTED_VALUE"""),"Dubai&gt;Business Bay&gt;Avarra by Palace")</f>
        <v>Dubai&gt;Business Bay&gt;Avarra by Palace</v>
      </c>
      <c r="E12623" s="2"/>
      <c r="F12623" s="2"/>
      <c r="G12623" s="2"/>
      <c r="H12623" s="2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2"/>
      <c r="T12623" s="2"/>
      <c r="U12623" s="2"/>
      <c r="V12623" s="2"/>
      <c r="W12623" s="2"/>
      <c r="X12623" s="2"/>
      <c r="Y12623" s="2"/>
      <c r="Z12623" s="2"/>
    </row>
    <row r="12624" spans="1:26" ht="16.5" x14ac:dyDescent="0.35">
      <c r="A12624" s="2" t="str">
        <f ca="1">IFERROR(__xludf.DUMMYFUNCTION("""COMPUTED_VALUE"""),"Dubai")</f>
        <v>Dubai</v>
      </c>
      <c r="B12624" s="2" t="str">
        <f ca="1">IFERROR(__xludf.DUMMYFUNCTION("""COMPUTED_VALUE"""),"JVT District 8")</f>
        <v>JVT District 8</v>
      </c>
      <c r="C12624" s="2" t="str">
        <f ca="1">IFERROR(__xludf.DUMMYFUNCTION("""COMPUTED_VALUE"""),"Neighbourhood")</f>
        <v>Neighbourhood</v>
      </c>
      <c r="D12624" s="2" t="str">
        <f ca="1">IFERROR(__xludf.DUMMYFUNCTION("""COMPUTED_VALUE"""),"Dubai&gt;Jumeirah Village Triangle (JVT)&gt;JVT District 8")</f>
        <v>Dubai&gt;Jumeirah Village Triangle (JVT)&gt;JVT District 8</v>
      </c>
      <c r="E12624" s="2"/>
      <c r="F12624" s="2"/>
      <c r="G12624" s="2"/>
      <c r="H12624" s="2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2"/>
      <c r="T12624" s="2"/>
      <c r="U12624" s="2"/>
      <c r="V12624" s="2"/>
      <c r="W12624" s="2"/>
      <c r="X12624" s="2"/>
      <c r="Y12624" s="2"/>
      <c r="Z12624" s="2"/>
    </row>
    <row r="12625" spans="1:26" ht="16.5" x14ac:dyDescent="0.35">
      <c r="A12625" s="2" t="str">
        <f ca="1">IFERROR(__xludf.DUMMYFUNCTION("""COMPUTED_VALUE"""),"Dubai")</f>
        <v>Dubai</v>
      </c>
      <c r="B12625" s="2" t="str">
        <f ca="1">IFERROR(__xludf.DUMMYFUNCTION("""COMPUTED_VALUE"""),"District 9M")</f>
        <v>District 9M</v>
      </c>
      <c r="C12625" s="2" t="str">
        <f ca="1">IFERROR(__xludf.DUMMYFUNCTION("""COMPUTED_VALUE"""),"Building")</f>
        <v>Building</v>
      </c>
      <c r="D12625" s="2" t="str">
        <f ca="1">IFERROR(__xludf.DUMMYFUNCTION("""COMPUTED_VALUE"""),"Dubai&gt;Jumeirah Village Triangle (JVT)&gt;JVT District 9&gt;District 9M")</f>
        <v>Dubai&gt;Jumeirah Village Triangle (JVT)&gt;JVT District 9&gt;District 9M</v>
      </c>
      <c r="E12625" s="2"/>
      <c r="F12625" s="2"/>
      <c r="G12625" s="2"/>
      <c r="H12625" s="2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2"/>
      <c r="T12625" s="2"/>
      <c r="U12625" s="2"/>
      <c r="V12625" s="2"/>
      <c r="W12625" s="2"/>
      <c r="X12625" s="2"/>
      <c r="Y12625" s="2"/>
      <c r="Z12625" s="2"/>
    </row>
    <row r="12626" spans="1:26" ht="16.5" x14ac:dyDescent="0.35">
      <c r="A12626" s="2" t="str">
        <f ca="1">IFERROR(__xludf.DUMMYFUNCTION("""COMPUTED_VALUE"""),"Dubai")</f>
        <v>Dubai</v>
      </c>
      <c r="B12626" s="2" t="str">
        <f ca="1">IFERROR(__xludf.DUMMYFUNCTION("""COMPUTED_VALUE"""),"Binghatti Flare Tower 1")</f>
        <v>Binghatti Flare Tower 1</v>
      </c>
      <c r="C12626" s="2" t="str">
        <f ca="1">IFERROR(__xludf.DUMMYFUNCTION("""COMPUTED_VALUE"""),"Building")</f>
        <v>Building</v>
      </c>
      <c r="D12626" s="2" t="str">
        <f ca="1">IFERROR(__xludf.DUMMYFUNCTION("""COMPUTED_VALUE"""),"Dubai&gt;Jumeirah Village Triangle (JVT)&gt;JVT District 2&gt;Binghatti Flare&gt;Binghatti Flare Tower 1")</f>
        <v>Dubai&gt;Jumeirah Village Triangle (JVT)&gt;JVT District 2&gt;Binghatti Flare&gt;Binghatti Flare Tower 1</v>
      </c>
      <c r="E12626" s="2"/>
      <c r="F12626" s="2"/>
      <c r="G12626" s="2"/>
      <c r="H12626" s="2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2"/>
      <c r="T12626" s="2"/>
      <c r="U12626" s="2"/>
      <c r="V12626" s="2"/>
      <c r="W12626" s="2"/>
      <c r="X12626" s="2"/>
      <c r="Y12626" s="2"/>
      <c r="Z12626" s="2"/>
    </row>
    <row r="12627" spans="1:26" ht="16.5" x14ac:dyDescent="0.35">
      <c r="A12627" s="2" t="str">
        <f ca="1">IFERROR(__xludf.DUMMYFUNCTION("""COMPUTED_VALUE"""),"Dubai")</f>
        <v>Dubai</v>
      </c>
      <c r="B12627" s="2" t="str">
        <f ca="1">IFERROR(__xludf.DUMMYFUNCTION("""COMPUTED_VALUE"""),"Altai Tower")</f>
        <v>Altai Tower</v>
      </c>
      <c r="C12627" s="2" t="str">
        <f ca="1">IFERROR(__xludf.DUMMYFUNCTION("""COMPUTED_VALUE"""),"Building")</f>
        <v>Building</v>
      </c>
      <c r="D12627" s="2" t="str">
        <f ca="1">IFERROR(__xludf.DUMMYFUNCTION("""COMPUTED_VALUE"""),"Dubai&gt;Jumeirah Village Triangle (JVT)&gt;JVT District 1&gt;Altai Tower")</f>
        <v>Dubai&gt;Jumeirah Village Triangle (JVT)&gt;JVT District 1&gt;Altai Tower</v>
      </c>
      <c r="E12627" s="2"/>
      <c r="F12627" s="2"/>
      <c r="G12627" s="2"/>
      <c r="H12627" s="2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2"/>
      <c r="T12627" s="2"/>
      <c r="U12627" s="2"/>
      <c r="V12627" s="2"/>
      <c r="W12627" s="2"/>
      <c r="X12627" s="2"/>
      <c r="Y12627" s="2"/>
      <c r="Z12627" s="2"/>
    </row>
    <row r="12628" spans="1:26" ht="16.5" x14ac:dyDescent="0.35">
      <c r="A12628" s="2" t="str">
        <f ca="1">IFERROR(__xludf.DUMMYFUNCTION("""COMPUTED_VALUE"""),"Dubai")</f>
        <v>Dubai</v>
      </c>
      <c r="B12628" s="2" t="str">
        <f ca="1">IFERROR(__xludf.DUMMYFUNCTION("""COMPUTED_VALUE"""),"Elbrus Tower")</f>
        <v>Elbrus Tower</v>
      </c>
      <c r="C12628" s="2" t="str">
        <f ca="1">IFERROR(__xludf.DUMMYFUNCTION("""COMPUTED_VALUE"""),"Building")</f>
        <v>Building</v>
      </c>
      <c r="D12628" s="2" t="str">
        <f ca="1">IFERROR(__xludf.DUMMYFUNCTION("""COMPUTED_VALUE"""),"Dubai&gt;Jumeirah Village Triangle (JVT)&gt;JVT District 4&gt;Elbrus Tower")</f>
        <v>Dubai&gt;Jumeirah Village Triangle (JVT)&gt;JVT District 4&gt;Elbrus Tower</v>
      </c>
      <c r="E12628" s="2"/>
      <c r="F12628" s="2"/>
      <c r="G12628" s="2"/>
      <c r="H12628" s="2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2"/>
      <c r="T12628" s="2"/>
      <c r="U12628" s="2"/>
      <c r="V12628" s="2"/>
      <c r="W12628" s="2"/>
      <c r="X12628" s="2"/>
      <c r="Y12628" s="2"/>
      <c r="Z12628" s="2"/>
    </row>
    <row r="12629" spans="1:26" ht="16.5" x14ac:dyDescent="0.35">
      <c r="A12629" s="2" t="str">
        <f ca="1">IFERROR(__xludf.DUMMYFUNCTION("""COMPUTED_VALUE"""),"Dubai")</f>
        <v>Dubai</v>
      </c>
      <c r="B12629" s="2" t="str">
        <f ca="1">IFERROR(__xludf.DUMMYFUNCTION("""COMPUTED_VALUE"""),"Essenl1fe Residence")</f>
        <v>Essenl1fe Residence</v>
      </c>
      <c r="C12629" s="2" t="str">
        <f ca="1">IFERROR(__xludf.DUMMYFUNCTION("""COMPUTED_VALUE"""),"Building")</f>
        <v>Building</v>
      </c>
      <c r="D12629" s="2" t="str">
        <f ca="1">IFERROR(__xludf.DUMMYFUNCTION("""COMPUTED_VALUE"""),"Dubai&gt;Jumeirah Village Triangle (JVT)&gt;JVT District 3&gt;Essenl1fe Residence")</f>
        <v>Dubai&gt;Jumeirah Village Triangle (JVT)&gt;JVT District 3&gt;Essenl1fe Residence</v>
      </c>
      <c r="E12629" s="2"/>
      <c r="F12629" s="2"/>
      <c r="G12629" s="2"/>
      <c r="H12629" s="2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2"/>
      <c r="T12629" s="2"/>
      <c r="U12629" s="2"/>
      <c r="V12629" s="2"/>
      <c r="W12629" s="2"/>
      <c r="X12629" s="2"/>
      <c r="Y12629" s="2"/>
      <c r="Z12629" s="2"/>
    </row>
    <row r="12630" spans="1:26" ht="16.5" x14ac:dyDescent="0.35">
      <c r="A12630" s="2" t="str">
        <f ca="1">IFERROR(__xludf.DUMMYFUNCTION("""COMPUTED_VALUE"""),"Dubai")</f>
        <v>Dubai</v>
      </c>
      <c r="B12630" s="2" t="str">
        <f ca="1">IFERROR(__xludf.DUMMYFUNCTION("""COMPUTED_VALUE"""),"Al Ramth 39")</f>
        <v>Al Ramth 39</v>
      </c>
      <c r="C12630" s="2" t="str">
        <f ca="1">IFERROR(__xludf.DUMMYFUNCTION("""COMPUTED_VALUE"""),"Building")</f>
        <v>Building</v>
      </c>
      <c r="D12630" s="2" t="str">
        <f ca="1">IFERROR(__xludf.DUMMYFUNCTION("""COMPUTED_VALUE"""),"Dubai&gt;Remraam&gt;Al Ramth&gt;Al Ramth 39")</f>
        <v>Dubai&gt;Remraam&gt;Al Ramth&gt;Al Ramth 39</v>
      </c>
      <c r="E12630" s="2"/>
      <c r="F12630" s="2"/>
      <c r="G12630" s="2"/>
      <c r="H12630" s="2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2"/>
      <c r="T12630" s="2"/>
      <c r="U12630" s="2"/>
      <c r="V12630" s="2"/>
      <c r="W12630" s="2"/>
      <c r="X12630" s="2"/>
      <c r="Y12630" s="2"/>
      <c r="Z12630" s="2"/>
    </row>
    <row r="12631" spans="1:26" ht="16.5" x14ac:dyDescent="0.35">
      <c r="A12631" s="2" t="str">
        <f ca="1">IFERROR(__xludf.DUMMYFUNCTION("""COMPUTED_VALUE"""),"Dubai")</f>
        <v>Dubai</v>
      </c>
      <c r="B12631" s="2" t="str">
        <f ca="1">IFERROR(__xludf.DUMMYFUNCTION("""COMPUTED_VALUE"""),"Al Thamam 57")</f>
        <v>Al Thamam 57</v>
      </c>
      <c r="C12631" s="2" t="str">
        <f ca="1">IFERROR(__xludf.DUMMYFUNCTION("""COMPUTED_VALUE"""),"Building")</f>
        <v>Building</v>
      </c>
      <c r="D12631" s="2" t="str">
        <f ca="1">IFERROR(__xludf.DUMMYFUNCTION("""COMPUTED_VALUE"""),"Dubai&gt;Remraam&gt;Al Thamam&gt;Al Thamam 57")</f>
        <v>Dubai&gt;Remraam&gt;Al Thamam&gt;Al Thamam 57</v>
      </c>
      <c r="E12631" s="2"/>
      <c r="F12631" s="2"/>
      <c r="G12631" s="2"/>
      <c r="H12631" s="2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2"/>
      <c r="T12631" s="2"/>
      <c r="U12631" s="2"/>
      <c r="V12631" s="2"/>
      <c r="W12631" s="2"/>
      <c r="X12631" s="2"/>
      <c r="Y12631" s="2"/>
      <c r="Z12631" s="2"/>
    </row>
    <row r="12632" spans="1:26" ht="16.5" x14ac:dyDescent="0.35">
      <c r="A12632" s="2" t="str">
        <f ca="1">IFERROR(__xludf.DUMMYFUNCTION("""COMPUTED_VALUE"""),"Dubai")</f>
        <v>Dubai</v>
      </c>
      <c r="B12632" s="2" t="str">
        <f ca="1">IFERROR(__xludf.DUMMYFUNCTION("""COMPUTED_VALUE"""),"Al Thamam 19")</f>
        <v>Al Thamam 19</v>
      </c>
      <c r="C12632" s="2" t="str">
        <f ca="1">IFERROR(__xludf.DUMMYFUNCTION("""COMPUTED_VALUE"""),"Building")</f>
        <v>Building</v>
      </c>
      <c r="D12632" s="2" t="str">
        <f ca="1">IFERROR(__xludf.DUMMYFUNCTION("""COMPUTED_VALUE"""),"Dubai&gt;Remraam&gt;Al Thamam&gt;Al Thamam 19")</f>
        <v>Dubai&gt;Remraam&gt;Al Thamam&gt;Al Thamam 19</v>
      </c>
      <c r="E12632" s="2"/>
      <c r="F12632" s="2"/>
      <c r="G12632" s="2"/>
      <c r="H12632" s="2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2"/>
      <c r="T12632" s="2"/>
      <c r="U12632" s="2"/>
      <c r="V12632" s="2"/>
      <c r="W12632" s="2"/>
      <c r="X12632" s="2"/>
      <c r="Y12632" s="2"/>
      <c r="Z12632" s="2"/>
    </row>
    <row r="12633" spans="1:26" ht="16.5" x14ac:dyDescent="0.35">
      <c r="A12633" s="2" t="str">
        <f ca="1">IFERROR(__xludf.DUMMYFUNCTION("""COMPUTED_VALUE"""),"Dubai")</f>
        <v>Dubai</v>
      </c>
      <c r="B12633" s="2" t="str">
        <f ca="1">IFERROR(__xludf.DUMMYFUNCTION("""COMPUTED_VALUE"""),"The Icon Casa 3")</f>
        <v>The Icon Casa 3</v>
      </c>
      <c r="C12633" s="2" t="str">
        <f ca="1">IFERROR(__xludf.DUMMYFUNCTION("""COMPUTED_VALUE"""),"Building")</f>
        <v>Building</v>
      </c>
      <c r="D12633" s="2" t="str">
        <f ca="1">IFERROR(__xludf.DUMMYFUNCTION("""COMPUTED_VALUE"""),"Dubai&gt;Jumeirah Village Circle (JVC)&gt;JVC District 12&gt;The Icon Casa 3")</f>
        <v>Dubai&gt;Jumeirah Village Circle (JVC)&gt;JVC District 12&gt;The Icon Casa 3</v>
      </c>
      <c r="E12633" s="2"/>
      <c r="F12633" s="2"/>
      <c r="G12633" s="2"/>
      <c r="H12633" s="2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2"/>
      <c r="T12633" s="2"/>
      <c r="U12633" s="2"/>
      <c r="V12633" s="2"/>
      <c r="W12633" s="2"/>
      <c r="X12633" s="2"/>
      <c r="Y12633" s="2"/>
      <c r="Z12633" s="2"/>
    </row>
    <row r="12634" spans="1:26" ht="16.5" x14ac:dyDescent="0.35">
      <c r="A12634" s="2" t="str">
        <f ca="1">IFERROR(__xludf.DUMMYFUNCTION("""COMPUTED_VALUE"""),"Dubai")</f>
        <v>Dubai</v>
      </c>
      <c r="B12634" s="2" t="str">
        <f ca="1">IFERROR(__xludf.DUMMYFUNCTION("""COMPUTED_VALUE"""),"The Sloane by Belgravia Heights")</f>
        <v>The Sloane by Belgravia Heights</v>
      </c>
      <c r="C12634" s="2" t="str">
        <f ca="1">IFERROR(__xludf.DUMMYFUNCTION("""COMPUTED_VALUE"""),"Building")</f>
        <v>Building</v>
      </c>
      <c r="D12634" s="2" t="str">
        <f ca="1">IFERROR(__xludf.DUMMYFUNCTION("""COMPUTED_VALUE"""),"Dubai&gt;Jumeirah Village Circle (JVC)&gt;JVC District 12&gt;The Sloane by Belgravia Heights")</f>
        <v>Dubai&gt;Jumeirah Village Circle (JVC)&gt;JVC District 12&gt;The Sloane by Belgravia Heights</v>
      </c>
      <c r="E12634" s="2"/>
      <c r="F12634" s="2"/>
      <c r="G12634" s="2"/>
      <c r="H12634" s="2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2"/>
      <c r="T12634" s="2"/>
      <c r="U12634" s="2"/>
      <c r="V12634" s="2"/>
      <c r="W12634" s="2"/>
      <c r="X12634" s="2"/>
      <c r="Y12634" s="2"/>
      <c r="Z12634" s="2"/>
    </row>
    <row r="12635" spans="1:26" ht="16.5" x14ac:dyDescent="0.35">
      <c r="A12635" s="2" t="str">
        <f ca="1">IFERROR(__xludf.DUMMYFUNCTION("""COMPUTED_VALUE"""),"Dubai")</f>
        <v>Dubai</v>
      </c>
      <c r="B12635" s="2" t="str">
        <f ca="1">IFERROR(__xludf.DUMMYFUNCTION("""COMPUTED_VALUE"""),"Samana Manhattan 2")</f>
        <v>Samana Manhattan 2</v>
      </c>
      <c r="C12635" s="2" t="str">
        <f ca="1">IFERROR(__xludf.DUMMYFUNCTION("""COMPUTED_VALUE"""),"Building")</f>
        <v>Building</v>
      </c>
      <c r="D12635" s="2" t="str">
        <f ca="1">IFERROR(__xludf.DUMMYFUNCTION("""COMPUTED_VALUE"""),"Dubai&gt;Jumeirah Village Circle (JVC)&gt;JVC District 12&gt;Samana Manhattan 2")</f>
        <v>Dubai&gt;Jumeirah Village Circle (JVC)&gt;JVC District 12&gt;Samana Manhattan 2</v>
      </c>
      <c r="E12635" s="2"/>
      <c r="F12635" s="2"/>
      <c r="G12635" s="2"/>
      <c r="H12635" s="2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2"/>
      <c r="T12635" s="2"/>
      <c r="U12635" s="2"/>
      <c r="V12635" s="2"/>
      <c r="W12635" s="2"/>
      <c r="X12635" s="2"/>
      <c r="Y12635" s="2"/>
      <c r="Z12635" s="2"/>
    </row>
    <row r="12636" spans="1:26" ht="16.5" x14ac:dyDescent="0.35">
      <c r="A12636" s="2" t="str">
        <f ca="1">IFERROR(__xludf.DUMMYFUNCTION("""COMPUTED_VALUE"""),"Dubai")</f>
        <v>Dubai</v>
      </c>
      <c r="B12636" s="2" t="str">
        <f ca="1">IFERROR(__xludf.DUMMYFUNCTION("""COMPUTED_VALUE"""),"JVC District 13")</f>
        <v>JVC District 13</v>
      </c>
      <c r="C12636" s="2" t="str">
        <f ca="1">IFERROR(__xludf.DUMMYFUNCTION("""COMPUTED_VALUE"""),"Neighbourhood")</f>
        <v>Neighbourhood</v>
      </c>
      <c r="D12636" s="2" t="str">
        <f ca="1">IFERROR(__xludf.DUMMYFUNCTION("""COMPUTED_VALUE"""),"Dubai&gt;Jumeirah Village Circle (JVC)&gt;JVC District 13")</f>
        <v>Dubai&gt;Jumeirah Village Circle (JVC)&gt;JVC District 13</v>
      </c>
      <c r="E12636" s="2"/>
      <c r="F12636" s="2"/>
      <c r="G12636" s="2"/>
      <c r="H12636" s="2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2"/>
      <c r="T12636" s="2"/>
      <c r="U12636" s="2"/>
      <c r="V12636" s="2"/>
      <c r="W12636" s="2"/>
      <c r="X12636" s="2"/>
      <c r="Y12636" s="2"/>
      <c r="Z12636" s="2"/>
    </row>
    <row r="12637" spans="1:26" ht="16.5" x14ac:dyDescent="0.35">
      <c r="A12637" s="2" t="str">
        <f ca="1">IFERROR(__xludf.DUMMYFUNCTION("""COMPUTED_VALUE"""),"Dubai")</f>
        <v>Dubai</v>
      </c>
      <c r="B12637" s="2" t="str">
        <f ca="1">IFERROR(__xludf.DUMMYFUNCTION("""COMPUTED_VALUE"""),"Oudah Tower")</f>
        <v>Oudah Tower</v>
      </c>
      <c r="C12637" s="2" t="str">
        <f ca="1">IFERROR(__xludf.DUMMYFUNCTION("""COMPUTED_VALUE"""),"Building")</f>
        <v>Building</v>
      </c>
      <c r="D12637" s="2" t="str">
        <f ca="1">IFERROR(__xludf.DUMMYFUNCTION("""COMPUTED_VALUE"""),"Dubai&gt;Jumeirah Village Circle (JVC)&gt;JVC District 13&gt;Oudah Tower")</f>
        <v>Dubai&gt;Jumeirah Village Circle (JVC)&gt;JVC District 13&gt;Oudah Tower</v>
      </c>
      <c r="E12637" s="2"/>
      <c r="F12637" s="2"/>
      <c r="G12637" s="2"/>
      <c r="H12637" s="2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2"/>
      <c r="T12637" s="2"/>
      <c r="U12637" s="2"/>
      <c r="V12637" s="2"/>
      <c r="W12637" s="2"/>
      <c r="X12637" s="2"/>
      <c r="Y12637" s="2"/>
      <c r="Z12637" s="2"/>
    </row>
    <row r="12638" spans="1:26" ht="16.5" x14ac:dyDescent="0.35">
      <c r="A12638" s="2" t="str">
        <f ca="1">IFERROR(__xludf.DUMMYFUNCTION("""COMPUTED_VALUE"""),"Dubai")</f>
        <v>Dubai</v>
      </c>
      <c r="B12638" s="2" t="str">
        <f ca="1">IFERROR(__xludf.DUMMYFUNCTION("""COMPUTED_VALUE"""),"White Rose Building")</f>
        <v>White Rose Building</v>
      </c>
      <c r="C12638" s="2" t="str">
        <f ca="1">IFERROR(__xludf.DUMMYFUNCTION("""COMPUTED_VALUE"""),"Building")</f>
        <v>Building</v>
      </c>
      <c r="D12638" s="2" t="str">
        <f ca="1">IFERROR(__xludf.DUMMYFUNCTION("""COMPUTED_VALUE"""),"Dubai&gt;Jumeirah Village Circle (JVC)&gt;JVC District 13&gt;White Rose Building")</f>
        <v>Dubai&gt;Jumeirah Village Circle (JVC)&gt;JVC District 13&gt;White Rose Building</v>
      </c>
      <c r="E12638" s="2"/>
      <c r="F12638" s="2"/>
      <c r="G12638" s="2"/>
      <c r="H12638" s="2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2"/>
      <c r="T12638" s="2"/>
      <c r="U12638" s="2"/>
      <c r="V12638" s="2"/>
      <c r="W12638" s="2"/>
      <c r="X12638" s="2"/>
      <c r="Y12638" s="2"/>
      <c r="Z12638" s="2"/>
    </row>
    <row r="12639" spans="1:26" ht="16.5" x14ac:dyDescent="0.35">
      <c r="A12639" s="2" t="str">
        <f ca="1">IFERROR(__xludf.DUMMYFUNCTION("""COMPUTED_VALUE"""),"Dubai")</f>
        <v>Dubai</v>
      </c>
      <c r="B12639" s="2" t="str">
        <f ca="1">IFERROR(__xludf.DUMMYFUNCTION("""COMPUTED_VALUE"""),"Quattro Hotel and Business Park")</f>
        <v>Quattro Hotel and Business Park</v>
      </c>
      <c r="C12639" s="2" t="str">
        <f ca="1">IFERROR(__xludf.DUMMYFUNCTION("""COMPUTED_VALUE"""),"Building")</f>
        <v>Building</v>
      </c>
      <c r="D12639" s="2" t="str">
        <f ca="1">IFERROR(__xludf.DUMMYFUNCTION("""COMPUTED_VALUE"""),"Dubai&gt;Jumeirah Village Circle (JVC)&gt;JVC District 18&gt;Quattro Hotel and Business Park")</f>
        <v>Dubai&gt;Jumeirah Village Circle (JVC)&gt;JVC District 18&gt;Quattro Hotel and Business Park</v>
      </c>
      <c r="E12639" s="2"/>
      <c r="F12639" s="2"/>
      <c r="G12639" s="2"/>
      <c r="H12639" s="2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2"/>
      <c r="T12639" s="2"/>
      <c r="U12639" s="2"/>
      <c r="V12639" s="2"/>
      <c r="W12639" s="2"/>
      <c r="X12639" s="2"/>
      <c r="Y12639" s="2"/>
      <c r="Z12639" s="2"/>
    </row>
    <row r="12640" spans="1:26" ht="16.5" x14ac:dyDescent="0.35">
      <c r="A12640" s="2" t="str">
        <f ca="1">IFERROR(__xludf.DUMMYFUNCTION("""COMPUTED_VALUE"""),"Dubai")</f>
        <v>Dubai</v>
      </c>
      <c r="B12640" s="2" t="str">
        <f ca="1">IFERROR(__xludf.DUMMYFUNCTION("""COMPUTED_VALUE"""),"Signature Livings South")</f>
        <v>Signature Livings South</v>
      </c>
      <c r="C12640" s="2" t="str">
        <f ca="1">IFERROR(__xludf.DUMMYFUNCTION("""COMPUTED_VALUE"""),"Building")</f>
        <v>Building</v>
      </c>
      <c r="D12640" s="2" t="str">
        <f ca="1">IFERROR(__xludf.DUMMYFUNCTION("""COMPUTED_VALUE"""),"Dubai&gt;Jumeirah Village Circle (JVC)&gt;JVC District 10&gt;Signature Livings&gt;Signature Livings South")</f>
        <v>Dubai&gt;Jumeirah Village Circle (JVC)&gt;JVC District 10&gt;Signature Livings&gt;Signature Livings South</v>
      </c>
      <c r="E12640" s="2"/>
      <c r="F12640" s="2"/>
      <c r="G12640" s="2"/>
      <c r="H12640" s="2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2"/>
      <c r="T12640" s="2"/>
      <c r="U12640" s="2"/>
      <c r="V12640" s="2"/>
      <c r="W12640" s="2"/>
      <c r="X12640" s="2"/>
      <c r="Y12640" s="2"/>
      <c r="Z12640" s="2"/>
    </row>
    <row r="12641" spans="1:26" ht="16.5" x14ac:dyDescent="0.35">
      <c r="A12641" s="2" t="str">
        <f ca="1">IFERROR(__xludf.DUMMYFUNCTION("""COMPUTED_VALUE"""),"Dubai")</f>
        <v>Dubai</v>
      </c>
      <c r="B12641" s="2" t="str">
        <f ca="1">IFERROR(__xludf.DUMMYFUNCTION("""COMPUTED_VALUE"""),"Les Maisonettes")</f>
        <v>Les Maisonettes</v>
      </c>
      <c r="C12641" s="2" t="str">
        <f ca="1">IFERROR(__xludf.DUMMYFUNCTION("""COMPUTED_VALUE"""),"Neighbourhood")</f>
        <v>Neighbourhood</v>
      </c>
      <c r="D12641" s="2" t="str">
        <f ca="1">IFERROR(__xludf.DUMMYFUNCTION("""COMPUTED_VALUE"""),"Dubai&gt;Jumeirah Village Circle (JVC)&gt;JVC District 10&gt;Les Maisonettes")</f>
        <v>Dubai&gt;Jumeirah Village Circle (JVC)&gt;JVC District 10&gt;Les Maisonettes</v>
      </c>
      <c r="E12641" s="2"/>
      <c r="F12641" s="2"/>
      <c r="G12641" s="2"/>
      <c r="H12641" s="2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2"/>
      <c r="T12641" s="2"/>
      <c r="U12641" s="2"/>
      <c r="V12641" s="2"/>
      <c r="W12641" s="2"/>
      <c r="X12641" s="2"/>
      <c r="Y12641" s="2"/>
      <c r="Z12641" s="2"/>
    </row>
    <row r="12642" spans="1:26" ht="16.5" x14ac:dyDescent="0.35">
      <c r="A12642" s="2" t="str">
        <f ca="1">IFERROR(__xludf.DUMMYFUNCTION("""COMPUTED_VALUE"""),"Dubai")</f>
        <v>Dubai</v>
      </c>
      <c r="B12642" s="2" t="str">
        <f ca="1">IFERROR(__xludf.DUMMYFUNCTION("""COMPUTED_VALUE"""),"La Perla Homes 10")</f>
        <v>La Perla Homes 10</v>
      </c>
      <c r="C12642" s="2" t="str">
        <f ca="1">IFERROR(__xludf.DUMMYFUNCTION("""COMPUTED_VALUE"""),"Neighbourhood")</f>
        <v>Neighbourhood</v>
      </c>
      <c r="D12642" s="2" t="str">
        <f ca="1">IFERROR(__xludf.DUMMYFUNCTION("""COMPUTED_VALUE"""),"Dubai&gt;Jumeirah Village Circle (JVC)&gt;JVC District 10&gt;La Perla Homes 10")</f>
        <v>Dubai&gt;Jumeirah Village Circle (JVC)&gt;JVC District 10&gt;La Perla Homes 10</v>
      </c>
      <c r="E12642" s="2"/>
      <c r="F12642" s="2"/>
      <c r="G12642" s="2"/>
      <c r="H12642" s="2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2"/>
      <c r="T12642" s="2"/>
      <c r="U12642" s="2"/>
      <c r="V12642" s="2"/>
      <c r="W12642" s="2"/>
      <c r="X12642" s="2"/>
      <c r="Y12642" s="2"/>
      <c r="Z12642" s="2"/>
    </row>
    <row r="12643" spans="1:26" ht="16.5" x14ac:dyDescent="0.35">
      <c r="A12643" s="2" t="str">
        <f ca="1">IFERROR(__xludf.DUMMYFUNCTION("""COMPUTED_VALUE"""),"Dubai")</f>
        <v>Dubai</v>
      </c>
      <c r="B12643" s="2" t="str">
        <f ca="1">IFERROR(__xludf.DUMMYFUNCTION("""COMPUTED_VALUE"""),"Olivo Park Residences by Evera")</f>
        <v>Olivo Park Residences by Evera</v>
      </c>
      <c r="C12643" s="2" t="str">
        <f ca="1">IFERROR(__xludf.DUMMYFUNCTION("""COMPUTED_VALUE"""),"Building")</f>
        <v>Building</v>
      </c>
      <c r="D12643" s="2" t="str">
        <f ca="1">IFERROR(__xludf.DUMMYFUNCTION("""COMPUTED_VALUE"""),"Dubai&gt;Jumeirah Village Circle (JVC)&gt;JVC District 10&gt;Olivo Park Residences by Evera")</f>
        <v>Dubai&gt;Jumeirah Village Circle (JVC)&gt;JVC District 10&gt;Olivo Park Residences by Evera</v>
      </c>
      <c r="E12643" s="2"/>
      <c r="F12643" s="2"/>
      <c r="G12643" s="2"/>
      <c r="H12643" s="2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2"/>
      <c r="T12643" s="2"/>
      <c r="U12643" s="2"/>
      <c r="V12643" s="2"/>
      <c r="W12643" s="2"/>
      <c r="X12643" s="2"/>
      <c r="Y12643" s="2"/>
      <c r="Z12643" s="2"/>
    </row>
    <row r="12644" spans="1:26" ht="16.5" x14ac:dyDescent="0.35">
      <c r="A12644" s="2" t="str">
        <f ca="1">IFERROR(__xludf.DUMMYFUNCTION("""COMPUTED_VALUE"""),"Dubai")</f>
        <v>Dubai</v>
      </c>
      <c r="B12644" s="2" t="str">
        <f ca="1">IFERROR(__xludf.DUMMYFUNCTION("""COMPUTED_VALUE"""),"District 16J")</f>
        <v>District 16J</v>
      </c>
      <c r="C12644" s="2" t="str">
        <f ca="1">IFERROR(__xludf.DUMMYFUNCTION("""COMPUTED_VALUE"""),"Neighbourhood")</f>
        <v>Neighbourhood</v>
      </c>
      <c r="D12644" s="2" t="str">
        <f ca="1">IFERROR(__xludf.DUMMYFUNCTION("""COMPUTED_VALUE"""),"Dubai&gt;Jumeirah Village Circle (JVC)&gt;JVC District 16&gt;District 16J")</f>
        <v>Dubai&gt;Jumeirah Village Circle (JVC)&gt;JVC District 16&gt;District 16J</v>
      </c>
      <c r="E12644" s="2"/>
      <c r="F12644" s="2"/>
      <c r="G12644" s="2"/>
      <c r="H12644" s="2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2"/>
      <c r="T12644" s="2"/>
      <c r="U12644" s="2"/>
      <c r="V12644" s="2"/>
      <c r="W12644" s="2"/>
      <c r="X12644" s="2"/>
      <c r="Y12644" s="2"/>
      <c r="Z12644" s="2"/>
    </row>
    <row r="12645" spans="1:26" ht="16.5" x14ac:dyDescent="0.35">
      <c r="A12645" s="2" t="str">
        <f ca="1">IFERROR(__xludf.DUMMYFUNCTION("""COMPUTED_VALUE"""),"Dubai")</f>
        <v>Dubai</v>
      </c>
      <c r="B12645" s="2" t="str">
        <f ca="1">IFERROR(__xludf.DUMMYFUNCTION("""COMPUTED_VALUE"""),"Flamingo Building")</f>
        <v>Flamingo Building</v>
      </c>
      <c r="C12645" s="2" t="str">
        <f ca="1">IFERROR(__xludf.DUMMYFUNCTION("""COMPUTED_VALUE"""),"Building")</f>
        <v>Building</v>
      </c>
      <c r="D12645" s="2" t="str">
        <f ca="1">IFERROR(__xludf.DUMMYFUNCTION("""COMPUTED_VALUE"""),"Dubai&gt;Jumeirah Village Circle (JVC)&gt;JVC District 15&gt;Flamingo Building")</f>
        <v>Dubai&gt;Jumeirah Village Circle (JVC)&gt;JVC District 15&gt;Flamingo Building</v>
      </c>
      <c r="E12645" s="2"/>
      <c r="F12645" s="2"/>
      <c r="G12645" s="2"/>
      <c r="H12645" s="2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2"/>
      <c r="T12645" s="2"/>
      <c r="U12645" s="2"/>
      <c r="V12645" s="2"/>
      <c r="W12645" s="2"/>
      <c r="X12645" s="2"/>
      <c r="Y12645" s="2"/>
      <c r="Z12645" s="2"/>
    </row>
    <row r="12646" spans="1:26" ht="16.5" x14ac:dyDescent="0.35">
      <c r="A12646" s="2" t="str">
        <f ca="1">IFERROR(__xludf.DUMMYFUNCTION("""COMPUTED_VALUE"""),"Dubai")</f>
        <v>Dubai</v>
      </c>
      <c r="B12646" s="2" t="str">
        <f ca="1">IFERROR(__xludf.DUMMYFUNCTION("""COMPUTED_VALUE"""),"North 43")</f>
        <v>North 43</v>
      </c>
      <c r="C12646" s="2" t="str">
        <f ca="1">IFERROR(__xludf.DUMMYFUNCTION("""COMPUTED_VALUE"""),"Building")</f>
        <v>Building</v>
      </c>
      <c r="D12646" s="2" t="str">
        <f ca="1">IFERROR(__xludf.DUMMYFUNCTION("""COMPUTED_VALUE"""),"Dubai&gt;Jumeirah Village Circle (JVC)&gt;JVC District 15&gt;North 43")</f>
        <v>Dubai&gt;Jumeirah Village Circle (JVC)&gt;JVC District 15&gt;North 43</v>
      </c>
      <c r="E12646" s="2"/>
      <c r="F12646" s="2"/>
      <c r="G12646" s="2"/>
      <c r="H12646" s="2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2"/>
      <c r="T12646" s="2"/>
      <c r="U12646" s="2"/>
      <c r="V12646" s="2"/>
      <c r="W12646" s="2"/>
      <c r="X12646" s="2"/>
      <c r="Y12646" s="2"/>
      <c r="Z12646" s="2"/>
    </row>
    <row r="12647" spans="1:26" ht="16.5" x14ac:dyDescent="0.35">
      <c r="A12647" s="2" t="str">
        <f ca="1">IFERROR(__xludf.DUMMYFUNCTION("""COMPUTED_VALUE"""),"Dubai")</f>
        <v>Dubai</v>
      </c>
      <c r="B12647" s="2" t="str">
        <f ca="1">IFERROR(__xludf.DUMMYFUNCTION("""COMPUTED_VALUE"""),"Adore")</f>
        <v>Adore</v>
      </c>
      <c r="C12647" s="2" t="str">
        <f ca="1">IFERROR(__xludf.DUMMYFUNCTION("""COMPUTED_VALUE"""),"Building")</f>
        <v>Building</v>
      </c>
      <c r="D12647" s="2" t="str">
        <f ca="1">IFERROR(__xludf.DUMMYFUNCTION("""COMPUTED_VALUE"""),"Dubai&gt;Jumeirah Village Circle (JVC)&gt;JVC District 11&gt;Adore")</f>
        <v>Dubai&gt;Jumeirah Village Circle (JVC)&gt;JVC District 11&gt;Adore</v>
      </c>
      <c r="E12647" s="2"/>
      <c r="F12647" s="2"/>
      <c r="G12647" s="2"/>
      <c r="H12647" s="2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2"/>
      <c r="T12647" s="2"/>
      <c r="U12647" s="2"/>
      <c r="V12647" s="2"/>
      <c r="W12647" s="2"/>
      <c r="X12647" s="2"/>
      <c r="Y12647" s="2"/>
      <c r="Z12647" s="2"/>
    </row>
    <row r="12648" spans="1:26" ht="16.5" x14ac:dyDescent="0.35">
      <c r="A12648" s="2" t="str">
        <f ca="1">IFERROR(__xludf.DUMMYFUNCTION("""COMPUTED_VALUE"""),"Dubai")</f>
        <v>Dubai</v>
      </c>
      <c r="B12648" s="2" t="str">
        <f ca="1">IFERROR(__xludf.DUMMYFUNCTION("""COMPUTED_VALUE"""),"Mir 5")</f>
        <v>Mir 5</v>
      </c>
      <c r="C12648" s="2" t="str">
        <f ca="1">IFERROR(__xludf.DUMMYFUNCTION("""COMPUTED_VALUE"""),"Building")</f>
        <v>Building</v>
      </c>
      <c r="D12648" s="2" t="str">
        <f ca="1">IFERROR(__xludf.DUMMYFUNCTION("""COMPUTED_VALUE"""),"Dubai&gt;Jumeirah Village Circle (JVC)&gt;JVC District 11&gt;Mir 5")</f>
        <v>Dubai&gt;Jumeirah Village Circle (JVC)&gt;JVC District 11&gt;Mir 5</v>
      </c>
      <c r="E12648" s="2"/>
      <c r="F12648" s="2"/>
      <c r="G12648" s="2"/>
      <c r="H12648" s="2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2"/>
      <c r="T12648" s="2"/>
      <c r="U12648" s="2"/>
      <c r="V12648" s="2"/>
      <c r="W12648" s="2"/>
      <c r="X12648" s="2"/>
      <c r="Y12648" s="2"/>
      <c r="Z12648" s="2"/>
    </row>
    <row r="12649" spans="1:26" ht="16.5" x14ac:dyDescent="0.35">
      <c r="A12649" s="2" t="str">
        <f ca="1">IFERROR(__xludf.DUMMYFUNCTION("""COMPUTED_VALUE"""),"Dubai")</f>
        <v>Dubai</v>
      </c>
      <c r="B12649" s="2" t="str">
        <f ca="1">IFERROR(__xludf.DUMMYFUNCTION("""COMPUTED_VALUE"""),"Comfy Villas")</f>
        <v>Comfy Villas</v>
      </c>
      <c r="C12649" s="2" t="str">
        <f ca="1">IFERROR(__xludf.DUMMYFUNCTION("""COMPUTED_VALUE"""),"Neighbourhood")</f>
        <v>Neighbourhood</v>
      </c>
      <c r="D12649" s="2" t="str">
        <f ca="1">IFERROR(__xludf.DUMMYFUNCTION("""COMPUTED_VALUE"""),"Dubai&gt;Jumeirah Village Circle (JVC)&gt;JVC District 11&gt;Comfy Villas")</f>
        <v>Dubai&gt;Jumeirah Village Circle (JVC)&gt;JVC District 11&gt;Comfy Villas</v>
      </c>
      <c r="E12649" s="2"/>
      <c r="F12649" s="2"/>
      <c r="G12649" s="2"/>
      <c r="H12649" s="2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2"/>
      <c r="T12649" s="2"/>
      <c r="U12649" s="2"/>
      <c r="V12649" s="2"/>
      <c r="W12649" s="2"/>
      <c r="X12649" s="2"/>
      <c r="Y12649" s="2"/>
      <c r="Z12649" s="2"/>
    </row>
    <row r="12650" spans="1:26" ht="16.5" x14ac:dyDescent="0.35">
      <c r="A12650" s="2" t="str">
        <f ca="1">IFERROR(__xludf.DUMMYFUNCTION("""COMPUTED_VALUE"""),"Dubai")</f>
        <v>Dubai</v>
      </c>
      <c r="B12650" s="2" t="str">
        <f ca="1">IFERROR(__xludf.DUMMYFUNCTION("""COMPUTED_VALUE"""),"Capital One")</f>
        <v>Capital One</v>
      </c>
      <c r="C12650" s="2" t="str">
        <f ca="1">IFERROR(__xludf.DUMMYFUNCTION("""COMPUTED_VALUE"""),"Building")</f>
        <v>Building</v>
      </c>
      <c r="D12650" s="2" t="str">
        <f ca="1">IFERROR(__xludf.DUMMYFUNCTION("""COMPUTED_VALUE"""),"Dubai&gt;Jumeirah Village Circle (JVC)&gt;JVC District 11&gt;Capital One")</f>
        <v>Dubai&gt;Jumeirah Village Circle (JVC)&gt;JVC District 11&gt;Capital One</v>
      </c>
      <c r="E12650" s="2"/>
      <c r="F12650" s="2"/>
      <c r="G12650" s="2"/>
      <c r="H12650" s="2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2"/>
      <c r="T12650" s="2"/>
      <c r="U12650" s="2"/>
      <c r="V12650" s="2"/>
      <c r="W12650" s="2"/>
      <c r="X12650" s="2"/>
      <c r="Y12650" s="2"/>
      <c r="Z12650" s="2"/>
    </row>
    <row r="12651" spans="1:26" ht="16.5" x14ac:dyDescent="0.35">
      <c r="A12651" s="2" t="str">
        <f ca="1">IFERROR(__xludf.DUMMYFUNCTION("""COMPUTED_VALUE"""),"Dubai")</f>
        <v>Dubai</v>
      </c>
      <c r="B12651" s="2" t="str">
        <f ca="1">IFERROR(__xludf.DUMMYFUNCTION("""COMPUTED_VALUE"""),"Living Garden II")</f>
        <v>Living Garden II</v>
      </c>
      <c r="C12651" s="2" t="str">
        <f ca="1">IFERROR(__xludf.DUMMYFUNCTION("""COMPUTED_VALUE"""),"Building")</f>
        <v>Building</v>
      </c>
      <c r="D12651" s="2" t="str">
        <f ca="1">IFERROR(__xludf.DUMMYFUNCTION("""COMPUTED_VALUE"""),"Dubai&gt;Jumeirah Village Circle (JVC)&gt;JVC District 14&gt;Living Garden II")</f>
        <v>Dubai&gt;Jumeirah Village Circle (JVC)&gt;JVC District 14&gt;Living Garden II</v>
      </c>
      <c r="E12651" s="2"/>
      <c r="F12651" s="2"/>
      <c r="G12651" s="2"/>
      <c r="H12651" s="2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2"/>
      <c r="T12651" s="2"/>
      <c r="U12651" s="2"/>
      <c r="V12651" s="2"/>
      <c r="W12651" s="2"/>
      <c r="X12651" s="2"/>
      <c r="Y12651" s="2"/>
      <c r="Z12651" s="2"/>
    </row>
    <row r="12652" spans="1:26" ht="16.5" x14ac:dyDescent="0.35">
      <c r="A12652" s="2" t="str">
        <f ca="1">IFERROR(__xludf.DUMMYFUNCTION("""COMPUTED_VALUE"""),"Dubai")</f>
        <v>Dubai</v>
      </c>
      <c r="B12652" s="2" t="str">
        <f ca="1">IFERROR(__xludf.DUMMYFUNCTION("""COMPUTED_VALUE"""),"Luma Park Views")</f>
        <v>Luma Park Views</v>
      </c>
      <c r="C12652" s="2" t="str">
        <f ca="1">IFERROR(__xludf.DUMMYFUNCTION("""COMPUTED_VALUE"""),"Building")</f>
        <v>Building</v>
      </c>
      <c r="D12652" s="2" t="str">
        <f ca="1">IFERROR(__xludf.DUMMYFUNCTION("""COMPUTED_VALUE"""),"Dubai&gt;Jumeirah Village Circle (JVC)&gt;JVC District 14&gt;Luma Park Views")</f>
        <v>Dubai&gt;Jumeirah Village Circle (JVC)&gt;JVC District 14&gt;Luma Park Views</v>
      </c>
      <c r="E12652" s="2"/>
      <c r="F12652" s="2"/>
      <c r="G12652" s="2"/>
      <c r="H12652" s="2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2"/>
      <c r="T12652" s="2"/>
      <c r="U12652" s="2"/>
      <c r="V12652" s="2"/>
      <c r="W12652" s="2"/>
      <c r="X12652" s="2"/>
      <c r="Y12652" s="2"/>
      <c r="Z12652" s="2"/>
    </row>
    <row r="12653" spans="1:26" ht="16.5" x14ac:dyDescent="0.35">
      <c r="A12653" s="2" t="str">
        <f ca="1">IFERROR(__xludf.DUMMYFUNCTION("""COMPUTED_VALUE"""),"Dubai")</f>
        <v>Dubai</v>
      </c>
      <c r="B12653" s="2" t="str">
        <f ca="1">IFERROR(__xludf.DUMMYFUNCTION("""COMPUTED_VALUE"""),"Dubai Land Residence Complex")</f>
        <v>Dubai Land Residence Complex</v>
      </c>
      <c r="C12653" s="2" t="str">
        <f ca="1">IFERROR(__xludf.DUMMYFUNCTION("""COMPUTED_VALUE"""),"Neighbourhood")</f>
        <v>Neighbourhood</v>
      </c>
      <c r="D12653" s="2" t="str">
        <f ca="1">IFERROR(__xludf.DUMMYFUNCTION("""COMPUTED_VALUE"""),"Dubai&gt;Dubai Land Residence Complex")</f>
        <v>Dubai&gt;Dubai Land Residence Complex</v>
      </c>
      <c r="E12653" s="2"/>
      <c r="F12653" s="2"/>
      <c r="G12653" s="2"/>
      <c r="H12653" s="2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2"/>
      <c r="T12653" s="2"/>
      <c r="U12653" s="2"/>
      <c r="V12653" s="2"/>
      <c r="W12653" s="2"/>
      <c r="X12653" s="2"/>
      <c r="Y12653" s="2"/>
      <c r="Z12653" s="2"/>
    </row>
    <row r="12654" spans="1:26" ht="16.5" x14ac:dyDescent="0.35">
      <c r="A12654" s="2" t="str">
        <f ca="1">IFERROR(__xludf.DUMMYFUNCTION("""COMPUTED_VALUE"""),"Dubai")</f>
        <v>Dubai</v>
      </c>
      <c r="B12654" s="2" t="str">
        <f ca="1">IFERROR(__xludf.DUMMYFUNCTION("""COMPUTED_VALUE"""),"Binghatti West")</f>
        <v>Binghatti West</v>
      </c>
      <c r="C12654" s="2" t="str">
        <f ca="1">IFERROR(__xludf.DUMMYFUNCTION("""COMPUTED_VALUE"""),"Building")</f>
        <v>Building</v>
      </c>
      <c r="D12654" s="2" t="str">
        <f ca="1">IFERROR(__xludf.DUMMYFUNCTION("""COMPUTED_VALUE"""),"Dubai&gt;Dubai Land Residence Complex&gt;Binghatti West")</f>
        <v>Dubai&gt;Dubai Land Residence Complex&gt;Binghatti West</v>
      </c>
      <c r="E12654" s="2"/>
      <c r="F12654" s="2"/>
      <c r="G12654" s="2"/>
      <c r="H12654" s="2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2"/>
      <c r="T12654" s="2"/>
      <c r="U12654" s="2"/>
      <c r="V12654" s="2"/>
      <c r="W12654" s="2"/>
      <c r="X12654" s="2"/>
      <c r="Y12654" s="2"/>
      <c r="Z12654" s="2"/>
    </row>
    <row r="12655" spans="1:26" ht="16.5" x14ac:dyDescent="0.35">
      <c r="A12655" s="2" t="str">
        <f ca="1">IFERROR(__xludf.DUMMYFUNCTION("""COMPUTED_VALUE"""),"Dubai")</f>
        <v>Dubai</v>
      </c>
      <c r="B12655" s="2" t="str">
        <f ca="1">IFERROR(__xludf.DUMMYFUNCTION("""COMPUTED_VALUE"""),"Weybridge Gardens")</f>
        <v>Weybridge Gardens</v>
      </c>
      <c r="C12655" s="2" t="str">
        <f ca="1">IFERROR(__xludf.DUMMYFUNCTION("""COMPUTED_VALUE"""),"Building")</f>
        <v>Building</v>
      </c>
      <c r="D12655" s="2" t="str">
        <f ca="1">IFERROR(__xludf.DUMMYFUNCTION("""COMPUTED_VALUE"""),"Dubai&gt;Dubai Land Residence Complex&gt;Weybridge Gardens")</f>
        <v>Dubai&gt;Dubai Land Residence Complex&gt;Weybridge Gardens</v>
      </c>
      <c r="E12655" s="2"/>
      <c r="F12655" s="2"/>
      <c r="G12655" s="2"/>
      <c r="H12655" s="2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2"/>
      <c r="T12655" s="2"/>
      <c r="U12655" s="2"/>
      <c r="V12655" s="2"/>
      <c r="W12655" s="2"/>
      <c r="X12655" s="2"/>
      <c r="Y12655" s="2"/>
      <c r="Z12655" s="2"/>
    </row>
    <row r="12656" spans="1:26" ht="16.5" x14ac:dyDescent="0.35">
      <c r="A12656" s="2" t="str">
        <f ca="1">IFERROR(__xludf.DUMMYFUNCTION("""COMPUTED_VALUE"""),"Dubai")</f>
        <v>Dubai</v>
      </c>
      <c r="B12656" s="2" t="str">
        <f ca="1">IFERROR(__xludf.DUMMYFUNCTION("""COMPUTED_VALUE"""),"Cove Edition Residence 1 by Imtiaz")</f>
        <v>Cove Edition Residence 1 by Imtiaz</v>
      </c>
      <c r="C12656" s="2" t="str">
        <f ca="1">IFERROR(__xludf.DUMMYFUNCTION("""COMPUTED_VALUE"""),"Building")</f>
        <v>Building</v>
      </c>
      <c r="D12656" s="2" t="str">
        <f ca="1">IFERROR(__xludf.DUMMYFUNCTION("""COMPUTED_VALUE"""),"Dubai&gt;Dubai Land Residence Complex&gt;Cove Edition Residence 1 by Imtiaz")</f>
        <v>Dubai&gt;Dubai Land Residence Complex&gt;Cove Edition Residence 1 by Imtiaz</v>
      </c>
      <c r="E12656" s="2"/>
      <c r="F12656" s="2"/>
      <c r="G12656" s="2"/>
      <c r="H12656" s="2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2"/>
      <c r="T12656" s="2"/>
      <c r="U12656" s="2"/>
      <c r="V12656" s="2"/>
      <c r="W12656" s="2"/>
      <c r="X12656" s="2"/>
      <c r="Y12656" s="2"/>
      <c r="Z12656" s="2"/>
    </row>
    <row r="12657" spans="1:26" ht="16.5" x14ac:dyDescent="0.35">
      <c r="A12657" s="2" t="str">
        <f ca="1">IFERROR(__xludf.DUMMYFUNCTION("""COMPUTED_VALUE"""),"Dubai")</f>
        <v>Dubai</v>
      </c>
      <c r="B12657" s="2" t="str">
        <f ca="1">IFERROR(__xludf.DUMMYFUNCTION("""COMPUTED_VALUE"""),"Roof Comfort Building B")</f>
        <v>Roof Comfort Building B</v>
      </c>
      <c r="C12657" s="2" t="str">
        <f ca="1">IFERROR(__xludf.DUMMYFUNCTION("""COMPUTED_VALUE"""),"Building")</f>
        <v>Building</v>
      </c>
      <c r="D12657" s="2" t="str">
        <f ca="1">IFERROR(__xludf.DUMMYFUNCTION("""COMPUTED_VALUE"""),"Dubai&gt;Dubai Land Residence Complex&gt;Roof Comfort&gt;Roof Comfort Building B")</f>
        <v>Dubai&gt;Dubai Land Residence Complex&gt;Roof Comfort&gt;Roof Comfort Building B</v>
      </c>
      <c r="E12657" s="2"/>
      <c r="F12657" s="2"/>
      <c r="G12657" s="2"/>
      <c r="H12657" s="2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2"/>
      <c r="T12657" s="2"/>
      <c r="U12657" s="2"/>
      <c r="V12657" s="2"/>
      <c r="W12657" s="2"/>
      <c r="X12657" s="2"/>
      <c r="Y12657" s="2"/>
      <c r="Z12657" s="2"/>
    </row>
    <row r="12658" spans="1:26" ht="16.5" x14ac:dyDescent="0.35">
      <c r="A12658" s="2" t="str">
        <f ca="1">IFERROR(__xludf.DUMMYFUNCTION("""COMPUTED_VALUE"""),"Dubai")</f>
        <v>Dubai</v>
      </c>
      <c r="B12658" s="2" t="str">
        <f ca="1">IFERROR(__xludf.DUMMYFUNCTION("""COMPUTED_VALUE"""),"Garden Apartments")</f>
        <v>Garden Apartments</v>
      </c>
      <c r="C12658" s="2" t="str">
        <f ca="1">IFERROR(__xludf.DUMMYFUNCTION("""COMPUTED_VALUE"""),"Building")</f>
        <v>Building</v>
      </c>
      <c r="D12658" s="2" t="str">
        <f ca="1">IFERROR(__xludf.DUMMYFUNCTION("""COMPUTED_VALUE"""),"Dubai&gt;Mirdif&gt;Uptown Mirdif&gt;Garden Apartments")</f>
        <v>Dubai&gt;Mirdif&gt;Uptown Mirdif&gt;Garden Apartments</v>
      </c>
      <c r="E12658" s="2"/>
      <c r="F12658" s="2"/>
      <c r="G12658" s="2"/>
      <c r="H12658" s="2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2"/>
      <c r="T12658" s="2"/>
      <c r="U12658" s="2"/>
      <c r="V12658" s="2"/>
      <c r="W12658" s="2"/>
      <c r="X12658" s="2"/>
      <c r="Y12658" s="2"/>
      <c r="Z12658" s="2"/>
    </row>
    <row r="12659" spans="1:26" ht="16.5" x14ac:dyDescent="0.35">
      <c r="A12659" s="2" t="str">
        <f ca="1">IFERROR(__xludf.DUMMYFUNCTION("""COMPUTED_VALUE"""),"Dubai")</f>
        <v>Dubai</v>
      </c>
      <c r="B12659" s="2" t="str">
        <f ca="1">IFERROR(__xludf.DUMMYFUNCTION("""COMPUTED_VALUE"""),"Millennium Place Mirdif")</f>
        <v>Millennium Place Mirdif</v>
      </c>
      <c r="C12659" s="2" t="str">
        <f ca="1">IFERROR(__xludf.DUMMYFUNCTION("""COMPUTED_VALUE"""),"Building")</f>
        <v>Building</v>
      </c>
      <c r="D12659" s="2" t="str">
        <f ca="1">IFERROR(__xludf.DUMMYFUNCTION("""COMPUTED_VALUE"""),"Dubai&gt;Mirdif&gt;Mirdif Hills&gt;Millennium Place Mirdif")</f>
        <v>Dubai&gt;Mirdif&gt;Mirdif Hills&gt;Millennium Place Mirdif</v>
      </c>
      <c r="E12659" s="2"/>
      <c r="F12659" s="2"/>
      <c r="G12659" s="2"/>
      <c r="H12659" s="2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2"/>
      <c r="T12659" s="2"/>
      <c r="U12659" s="2"/>
      <c r="V12659" s="2"/>
      <c r="W12659" s="2"/>
      <c r="X12659" s="2"/>
      <c r="Y12659" s="2"/>
      <c r="Z12659" s="2"/>
    </row>
    <row r="12660" spans="1:26" ht="16.5" x14ac:dyDescent="0.35">
      <c r="A12660" s="2" t="str">
        <f ca="1">IFERROR(__xludf.DUMMYFUNCTION("""COMPUTED_VALUE"""),"Dubai")</f>
        <v>Dubai</v>
      </c>
      <c r="B12660" s="2" t="str">
        <f ca="1">IFERROR(__xludf.DUMMYFUNCTION("""COMPUTED_VALUE"""),"Deema")</f>
        <v>Deema</v>
      </c>
      <c r="C12660" s="2" t="str">
        <f ca="1">IFERROR(__xludf.DUMMYFUNCTION("""COMPUTED_VALUE"""),"Neighbourhood")</f>
        <v>Neighbourhood</v>
      </c>
      <c r="D12660" s="2" t="str">
        <f ca="1">IFERROR(__xludf.DUMMYFUNCTION("""COMPUTED_VALUE"""),"Dubai&gt;The Lakes&gt;Deema")</f>
        <v>Dubai&gt;The Lakes&gt;Deema</v>
      </c>
      <c r="E12660" s="2"/>
      <c r="F12660" s="2"/>
      <c r="G12660" s="2"/>
      <c r="H12660" s="2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2"/>
      <c r="T12660" s="2"/>
      <c r="U12660" s="2"/>
      <c r="V12660" s="2"/>
      <c r="W12660" s="2"/>
      <c r="X12660" s="2"/>
      <c r="Y12660" s="2"/>
      <c r="Z12660" s="2"/>
    </row>
    <row r="12661" spans="1:26" ht="16.5" x14ac:dyDescent="0.35">
      <c r="A12661" s="2" t="str">
        <f ca="1">IFERROR(__xludf.DUMMYFUNCTION("""COMPUTED_VALUE"""),"Dubai")</f>
        <v>Dubai</v>
      </c>
      <c r="B12661" s="2" t="str">
        <f ca="1">IFERROR(__xludf.DUMMYFUNCTION("""COMPUTED_VALUE"""),"Garhoud Views")</f>
        <v>Garhoud Views</v>
      </c>
      <c r="C12661" s="2" t="str">
        <f ca="1">IFERROR(__xludf.DUMMYFUNCTION("""COMPUTED_VALUE"""),"Building")</f>
        <v>Building</v>
      </c>
      <c r="D12661" s="2" t="str">
        <f ca="1">IFERROR(__xludf.DUMMYFUNCTION("""COMPUTED_VALUE"""),"Dubai&gt;Al Garhoud&gt;Garhoud Views")</f>
        <v>Dubai&gt;Al Garhoud&gt;Garhoud Views</v>
      </c>
      <c r="E12661" s="2"/>
      <c r="F12661" s="2"/>
      <c r="G12661" s="2"/>
      <c r="H12661" s="2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2"/>
      <c r="T12661" s="2"/>
      <c r="U12661" s="2"/>
      <c r="V12661" s="2"/>
      <c r="W12661" s="2"/>
      <c r="X12661" s="2"/>
      <c r="Y12661" s="2"/>
      <c r="Z12661" s="2"/>
    </row>
    <row r="12662" spans="1:26" ht="16.5" x14ac:dyDescent="0.35">
      <c r="A12662" s="2" t="str">
        <f ca="1">IFERROR(__xludf.DUMMYFUNCTION("""COMPUTED_VALUE"""),"Dubai")</f>
        <v>Dubai</v>
      </c>
      <c r="B12662" s="2" t="str">
        <f ca="1">IFERROR(__xludf.DUMMYFUNCTION("""COMPUTED_VALUE"""),"Garhoud Towers")</f>
        <v>Garhoud Towers</v>
      </c>
      <c r="C12662" s="2" t="str">
        <f ca="1">IFERROR(__xludf.DUMMYFUNCTION("""COMPUTED_VALUE"""),"Cluster")</f>
        <v>Cluster</v>
      </c>
      <c r="D12662" s="2" t="str">
        <f ca="1">IFERROR(__xludf.DUMMYFUNCTION("""COMPUTED_VALUE"""),"Dubai&gt;Al Garhoud&gt;Garhoud Towers")</f>
        <v>Dubai&gt;Al Garhoud&gt;Garhoud Towers</v>
      </c>
      <c r="E12662" s="2"/>
      <c r="F12662" s="2"/>
      <c r="G12662" s="2"/>
      <c r="H12662" s="2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2"/>
      <c r="T12662" s="2"/>
      <c r="U12662" s="2"/>
      <c r="V12662" s="2"/>
      <c r="W12662" s="2"/>
      <c r="X12662" s="2"/>
      <c r="Y12662" s="2"/>
      <c r="Z12662" s="2"/>
    </row>
    <row r="12663" spans="1:26" ht="16.5" x14ac:dyDescent="0.35">
      <c r="A12663" s="2" t="str">
        <f ca="1">IFERROR(__xludf.DUMMYFUNCTION("""COMPUTED_VALUE"""),"Dubai")</f>
        <v>Dubai</v>
      </c>
      <c r="B12663" s="2" t="str">
        <f ca="1">IFERROR(__xludf.DUMMYFUNCTION("""COMPUTED_VALUE"""),"Nasser Residence")</f>
        <v>Nasser Residence</v>
      </c>
      <c r="C12663" s="2" t="str">
        <f ca="1">IFERROR(__xludf.DUMMYFUNCTION("""COMPUTED_VALUE"""),"Building")</f>
        <v>Building</v>
      </c>
      <c r="D12663" s="2" t="str">
        <f ca="1">IFERROR(__xludf.DUMMYFUNCTION("""COMPUTED_VALUE"""),"Dubai&gt;Al Qusais&gt;Al Qusais Residential Area&gt;Al Qusais 1&gt;Nasser Residence")</f>
        <v>Dubai&gt;Al Qusais&gt;Al Qusais Residential Area&gt;Al Qusais 1&gt;Nasser Residence</v>
      </c>
      <c r="E12663" s="2"/>
      <c r="F12663" s="2"/>
      <c r="G12663" s="2"/>
      <c r="H12663" s="2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2"/>
      <c r="T12663" s="2"/>
      <c r="U12663" s="2"/>
      <c r="V12663" s="2"/>
      <c r="W12663" s="2"/>
      <c r="X12663" s="2"/>
      <c r="Y12663" s="2"/>
      <c r="Z12663" s="2"/>
    </row>
    <row r="12664" spans="1:26" ht="16.5" x14ac:dyDescent="0.35">
      <c r="A12664" s="2" t="str">
        <f ca="1">IFERROR(__xludf.DUMMYFUNCTION("""COMPUTED_VALUE"""),"Dubai")</f>
        <v>Dubai</v>
      </c>
      <c r="B12664" s="2" t="str">
        <f ca="1">IFERROR(__xludf.DUMMYFUNCTION("""COMPUTED_VALUE"""),"Gusais Building")</f>
        <v>Gusais Building</v>
      </c>
      <c r="C12664" s="2" t="str">
        <f ca="1">IFERROR(__xludf.DUMMYFUNCTION("""COMPUTED_VALUE"""),"Building")</f>
        <v>Building</v>
      </c>
      <c r="D12664" s="2" t="str">
        <f ca="1">IFERROR(__xludf.DUMMYFUNCTION("""COMPUTED_VALUE"""),"Dubai&gt;Al Qusais&gt;Al Qusais Residential Area&gt;Al Qusais 1&gt;Gusais Building")</f>
        <v>Dubai&gt;Al Qusais&gt;Al Qusais Residential Area&gt;Al Qusais 1&gt;Gusais Building</v>
      </c>
      <c r="E12664" s="2"/>
      <c r="F12664" s="2"/>
      <c r="G12664" s="2"/>
      <c r="H12664" s="2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2"/>
      <c r="T12664" s="2"/>
      <c r="U12664" s="2"/>
      <c r="V12664" s="2"/>
      <c r="W12664" s="2"/>
      <c r="X12664" s="2"/>
      <c r="Y12664" s="2"/>
      <c r="Z12664" s="2"/>
    </row>
    <row r="12665" spans="1:26" ht="16.5" x14ac:dyDescent="0.35">
      <c r="A12665" s="2" t="str">
        <f ca="1">IFERROR(__xludf.DUMMYFUNCTION("""COMPUTED_VALUE"""),"Dubai")</f>
        <v>Dubai</v>
      </c>
      <c r="B12665" s="2" t="str">
        <f ca="1">IFERROR(__xludf.DUMMYFUNCTION("""COMPUTED_VALUE"""),"Al Noor Building")</f>
        <v>Al Noor Building</v>
      </c>
      <c r="C12665" s="2" t="str">
        <f ca="1">IFERROR(__xludf.DUMMYFUNCTION("""COMPUTED_VALUE"""),"Building")</f>
        <v>Building</v>
      </c>
      <c r="D12665" s="2" t="str">
        <f ca="1">IFERROR(__xludf.DUMMYFUNCTION("""COMPUTED_VALUE"""),"Dubai&gt;Al Qusais&gt;Al Qusais Industrial Area&gt;Al Qusais Industrial 3&gt;Al Noor Building")</f>
        <v>Dubai&gt;Al Qusais&gt;Al Qusais Industrial Area&gt;Al Qusais Industrial 3&gt;Al Noor Building</v>
      </c>
      <c r="E12665" s="2"/>
      <c r="F12665" s="2"/>
      <c r="G12665" s="2"/>
      <c r="H12665" s="2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2"/>
      <c r="T12665" s="2"/>
      <c r="U12665" s="2"/>
      <c r="V12665" s="2"/>
      <c r="W12665" s="2"/>
      <c r="X12665" s="2"/>
      <c r="Y12665" s="2"/>
      <c r="Z12665" s="2"/>
    </row>
    <row r="12666" spans="1:26" ht="16.5" x14ac:dyDescent="0.35">
      <c r="A12666" s="2" t="str">
        <f ca="1">IFERROR(__xludf.DUMMYFUNCTION("""COMPUTED_VALUE"""),"Dubai")</f>
        <v>Dubai</v>
      </c>
      <c r="B12666" s="2" t="str">
        <f ca="1">IFERROR(__xludf.DUMMYFUNCTION("""COMPUTED_VALUE"""),"Mulberry 2 Building B1")</f>
        <v>Mulberry 2 Building B1</v>
      </c>
      <c r="C12666" s="2" t="str">
        <f ca="1">IFERROR(__xludf.DUMMYFUNCTION("""COMPUTED_VALUE"""),"Building")</f>
        <v>Building</v>
      </c>
      <c r="D12666" s="2" t="str">
        <f ca="1">IFERROR(__xludf.DUMMYFUNCTION("""COMPUTED_VALUE"""),"Dubai&gt;Dubai Hills Estate&gt;Park Heights&gt;Mulberry 2&gt;Mulberry 2 Building B1")</f>
        <v>Dubai&gt;Dubai Hills Estate&gt;Park Heights&gt;Mulberry 2&gt;Mulberry 2 Building B1</v>
      </c>
      <c r="E12666" s="2"/>
      <c r="F12666" s="2"/>
      <c r="G12666" s="2"/>
      <c r="H12666" s="2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2"/>
      <c r="T12666" s="2"/>
      <c r="U12666" s="2"/>
      <c r="V12666" s="2"/>
      <c r="W12666" s="2"/>
      <c r="X12666" s="2"/>
      <c r="Y12666" s="2"/>
      <c r="Z12666" s="2"/>
    </row>
    <row r="12667" spans="1:26" ht="16.5" x14ac:dyDescent="0.35">
      <c r="A12667" s="2" t="str">
        <f ca="1">IFERROR(__xludf.DUMMYFUNCTION("""COMPUTED_VALUE"""),"Dubai")</f>
        <v>Dubai</v>
      </c>
      <c r="B12667" s="2" t="str">
        <f ca="1">IFERROR(__xludf.DUMMYFUNCTION("""COMPUTED_VALUE"""),"Dubai Hills Grove")</f>
        <v>Dubai Hills Grove</v>
      </c>
      <c r="C12667" s="2" t="str">
        <f ca="1">IFERROR(__xludf.DUMMYFUNCTION("""COMPUTED_VALUE"""),"Neighbourhood")</f>
        <v>Neighbourhood</v>
      </c>
      <c r="D12667" s="2" t="str">
        <f ca="1">IFERROR(__xludf.DUMMYFUNCTION("""COMPUTED_VALUE"""),"Dubai&gt;Dubai Hills Estate&gt;Dubai Hills Grove")</f>
        <v>Dubai&gt;Dubai Hills Estate&gt;Dubai Hills Grove</v>
      </c>
      <c r="E12667" s="2"/>
      <c r="F12667" s="2"/>
      <c r="G12667" s="2"/>
      <c r="H12667" s="2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2"/>
      <c r="T12667" s="2"/>
      <c r="U12667" s="2"/>
      <c r="V12667" s="2"/>
      <c r="W12667" s="2"/>
      <c r="X12667" s="2"/>
      <c r="Y12667" s="2"/>
      <c r="Z12667" s="2"/>
    </row>
    <row r="12668" spans="1:26" ht="16.5" x14ac:dyDescent="0.35">
      <c r="A12668" s="2" t="str">
        <f ca="1">IFERROR(__xludf.DUMMYFUNCTION("""COMPUTED_VALUE"""),"Dubai")</f>
        <v>Dubai</v>
      </c>
      <c r="B12668" s="2" t="str">
        <f ca="1">IFERROR(__xludf.DUMMYFUNCTION("""COMPUTED_VALUE"""),"Parkways")</f>
        <v>Parkways</v>
      </c>
      <c r="C12668" s="2" t="str">
        <f ca="1">IFERROR(__xludf.DUMMYFUNCTION("""COMPUTED_VALUE"""),"Neighbourhood")</f>
        <v>Neighbourhood</v>
      </c>
      <c r="D12668" s="2" t="str">
        <f ca="1">IFERROR(__xludf.DUMMYFUNCTION("""COMPUTED_VALUE"""),"Dubai&gt;Dubai Hills Estate&gt;Parkways")</f>
        <v>Dubai&gt;Dubai Hills Estate&gt;Parkways</v>
      </c>
      <c r="E12668" s="2"/>
      <c r="F12668" s="2"/>
      <c r="G12668" s="2"/>
      <c r="H12668" s="2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2"/>
      <c r="T12668" s="2"/>
      <c r="U12668" s="2"/>
      <c r="V12668" s="2"/>
      <c r="W12668" s="2"/>
      <c r="X12668" s="2"/>
      <c r="Y12668" s="2"/>
      <c r="Z12668" s="2"/>
    </row>
    <row r="12669" spans="1:26" ht="16.5" x14ac:dyDescent="0.35">
      <c r="A12669" s="2" t="str">
        <f ca="1">IFERROR(__xludf.DUMMYFUNCTION("""COMPUTED_VALUE"""),"Dubai")</f>
        <v>Dubai</v>
      </c>
      <c r="B12669" s="2" t="str">
        <f ca="1">IFERROR(__xludf.DUMMYFUNCTION("""COMPUTED_VALUE"""),"Parkside Hills")</f>
        <v>Parkside Hills</v>
      </c>
      <c r="C12669" s="2" t="str">
        <f ca="1">IFERROR(__xludf.DUMMYFUNCTION("""COMPUTED_VALUE"""),"Building")</f>
        <v>Building</v>
      </c>
      <c r="D12669" s="2" t="str">
        <f ca="1">IFERROR(__xludf.DUMMYFUNCTION("""COMPUTED_VALUE"""),"Dubai&gt;Dubai Hills Estate&gt;Parkside Hills")</f>
        <v>Dubai&gt;Dubai Hills Estate&gt;Parkside Hills</v>
      </c>
      <c r="E12669" s="2"/>
      <c r="F12669" s="2"/>
      <c r="G12669" s="2"/>
      <c r="H12669" s="2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2"/>
      <c r="T12669" s="2"/>
      <c r="U12669" s="2"/>
      <c r="V12669" s="2"/>
      <c r="W12669" s="2"/>
      <c r="X12669" s="2"/>
      <c r="Y12669" s="2"/>
      <c r="Z12669" s="2"/>
    </row>
    <row r="12670" spans="1:26" ht="16.5" x14ac:dyDescent="0.35">
      <c r="A12670" s="2" t="str">
        <f ca="1">IFERROR(__xludf.DUMMYFUNCTION("""COMPUTED_VALUE"""),"Dubai")</f>
        <v>Dubai</v>
      </c>
      <c r="B12670" s="2" t="str">
        <f ca="1">IFERROR(__xludf.DUMMYFUNCTION("""COMPUTED_VALUE"""),"Greencrest")</f>
        <v>Greencrest</v>
      </c>
      <c r="C12670" s="2" t="str">
        <f ca="1">IFERROR(__xludf.DUMMYFUNCTION("""COMPUTED_VALUE"""),"Building")</f>
        <v>Building</v>
      </c>
      <c r="D12670" s="2" t="str">
        <f ca="1">IFERROR(__xludf.DUMMYFUNCTION("""COMPUTED_VALUE"""),"Dubai&gt;Dubai Hills Estate&gt;Greencrest")</f>
        <v>Dubai&gt;Dubai Hills Estate&gt;Greencrest</v>
      </c>
      <c r="E12670" s="2"/>
      <c r="F12670" s="2"/>
      <c r="G12670" s="2"/>
      <c r="H12670" s="2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2"/>
      <c r="T12670" s="2"/>
      <c r="U12670" s="2"/>
      <c r="V12670" s="2"/>
      <c r="W12670" s="2"/>
      <c r="X12670" s="2"/>
      <c r="Y12670" s="2"/>
      <c r="Z12670" s="2"/>
    </row>
    <row r="12671" spans="1:26" ht="16.5" x14ac:dyDescent="0.35">
      <c r="A12671" s="2" t="str">
        <f ca="1">IFERROR(__xludf.DUMMYFUNCTION("""COMPUTED_VALUE"""),"Dubai")</f>
        <v>Dubai</v>
      </c>
      <c r="B12671" s="2" t="str">
        <f ca="1">IFERROR(__xludf.DUMMYFUNCTION("""COMPUTED_VALUE"""),"Juma Al Majid Block A")</f>
        <v>Juma Al Majid Block A</v>
      </c>
      <c r="C12671" s="2" t="str">
        <f ca="1">IFERROR(__xludf.DUMMYFUNCTION("""COMPUTED_VALUE"""),"Building")</f>
        <v>Building</v>
      </c>
      <c r="D12671" s="2" t="str">
        <f ca="1">IFERROR(__xludf.DUMMYFUNCTION("""COMPUTED_VALUE"""),"Dubai&gt;Deira&gt;Al Muraqqabat&gt;Juma Al Majid Building&gt;Juma Al Majid Block A")</f>
        <v>Dubai&gt;Deira&gt;Al Muraqqabat&gt;Juma Al Majid Building&gt;Juma Al Majid Block A</v>
      </c>
      <c r="E12671" s="2"/>
      <c r="F12671" s="2"/>
      <c r="G12671" s="2"/>
      <c r="H12671" s="2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2"/>
      <c r="T12671" s="2"/>
      <c r="U12671" s="2"/>
      <c r="V12671" s="2"/>
      <c r="W12671" s="2"/>
      <c r="X12671" s="2"/>
      <c r="Y12671" s="2"/>
      <c r="Z12671" s="2"/>
    </row>
    <row r="12672" spans="1:26" ht="16.5" x14ac:dyDescent="0.35">
      <c r="A12672" s="2" t="str">
        <f ca="1">IFERROR(__xludf.DUMMYFUNCTION("""COMPUTED_VALUE"""),"Dubai")</f>
        <v>Dubai</v>
      </c>
      <c r="B12672" s="2" t="str">
        <f ca="1">IFERROR(__xludf.DUMMYFUNCTION("""COMPUTED_VALUE"""),"Green Corner Building")</f>
        <v>Green Corner Building</v>
      </c>
      <c r="C12672" s="2" t="str">
        <f ca="1">IFERROR(__xludf.DUMMYFUNCTION("""COMPUTED_VALUE"""),"Building")</f>
        <v>Building</v>
      </c>
      <c r="D12672" s="2" t="str">
        <f ca="1">IFERROR(__xludf.DUMMYFUNCTION("""COMPUTED_VALUE"""),"Dubai&gt;Deira&gt;Al Muraqqabat&gt;Green Corner Building")</f>
        <v>Dubai&gt;Deira&gt;Al Muraqqabat&gt;Green Corner Building</v>
      </c>
      <c r="E12672" s="2"/>
      <c r="F12672" s="2"/>
      <c r="G12672" s="2"/>
      <c r="H12672" s="2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2"/>
      <c r="T12672" s="2"/>
      <c r="U12672" s="2"/>
      <c r="V12672" s="2"/>
      <c r="W12672" s="2"/>
      <c r="X12672" s="2"/>
      <c r="Y12672" s="2"/>
      <c r="Z12672" s="2"/>
    </row>
    <row r="12673" spans="1:26" ht="16.5" x14ac:dyDescent="0.35">
      <c r="A12673" s="2" t="str">
        <f ca="1">IFERROR(__xludf.DUMMYFUNCTION("""COMPUTED_VALUE"""),"Dubai")</f>
        <v>Dubai</v>
      </c>
      <c r="B12673" s="2" t="str">
        <f ca="1">IFERROR(__xludf.DUMMYFUNCTION("""COMPUTED_VALUE"""),"Moaza Al Jaziri Hotel Apartments")</f>
        <v>Moaza Al Jaziri Hotel Apartments</v>
      </c>
      <c r="C12673" s="2" t="str">
        <f ca="1">IFERROR(__xludf.DUMMYFUNCTION("""COMPUTED_VALUE"""),"Building")</f>
        <v>Building</v>
      </c>
      <c r="D12673" s="2" t="str">
        <f ca="1">IFERROR(__xludf.DUMMYFUNCTION("""COMPUTED_VALUE"""),"Dubai&gt;Deira&gt;Ayal Nasir&gt;Moaza Al Jaziri Hotel Apartments")</f>
        <v>Dubai&gt;Deira&gt;Ayal Nasir&gt;Moaza Al Jaziri Hotel Apartments</v>
      </c>
      <c r="E12673" s="2"/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  <c r="V12673" s="2"/>
      <c r="W12673" s="2"/>
      <c r="X12673" s="2"/>
      <c r="Y12673" s="2"/>
      <c r="Z12673" s="2"/>
    </row>
    <row r="12674" spans="1:26" ht="16.5" x14ac:dyDescent="0.35">
      <c r="A12674" s="2" t="str">
        <f ca="1">IFERROR(__xludf.DUMMYFUNCTION("""COMPUTED_VALUE"""),"Dubai")</f>
        <v>Dubai</v>
      </c>
      <c r="B12674" s="2" t="str">
        <f ca="1">IFERROR(__xludf.DUMMYFUNCTION("""COMPUTED_VALUE"""),"Al Kazim 3 Building")</f>
        <v>Al Kazim 3 Building</v>
      </c>
      <c r="C12674" s="2" t="str">
        <f ca="1">IFERROR(__xludf.DUMMYFUNCTION("""COMPUTED_VALUE"""),"Building")</f>
        <v>Building</v>
      </c>
      <c r="D12674" s="2" t="str">
        <f ca="1">IFERROR(__xludf.DUMMYFUNCTION("""COMPUTED_VALUE"""),"Dubai&gt;Deira&gt;Hor Al Anz&gt;Hor Al Anz East&gt;Al Kazim 3 Building")</f>
        <v>Dubai&gt;Deira&gt;Hor Al Anz&gt;Hor Al Anz East&gt;Al Kazim 3 Building</v>
      </c>
      <c r="E12674" s="2"/>
      <c r="F12674" s="2"/>
      <c r="G12674" s="2"/>
      <c r="H12674" s="2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2"/>
      <c r="T12674" s="2"/>
      <c r="U12674" s="2"/>
      <c r="V12674" s="2"/>
      <c r="W12674" s="2"/>
      <c r="X12674" s="2"/>
      <c r="Y12674" s="2"/>
      <c r="Z12674" s="2"/>
    </row>
    <row r="12675" spans="1:26" ht="16.5" x14ac:dyDescent="0.35">
      <c r="A12675" s="2" t="str">
        <f ca="1">IFERROR(__xludf.DUMMYFUNCTION("""COMPUTED_VALUE"""),"Dubai")</f>
        <v>Dubai</v>
      </c>
      <c r="B12675" s="2" t="str">
        <f ca="1">IFERROR(__xludf.DUMMYFUNCTION("""COMPUTED_VALUE"""),"Residence 1072")</f>
        <v>Residence 1072</v>
      </c>
      <c r="C12675" s="2" t="str">
        <f ca="1">IFERROR(__xludf.DUMMYFUNCTION("""COMPUTED_VALUE"""),"Building")</f>
        <v>Building</v>
      </c>
      <c r="D12675" s="2" t="str">
        <f ca="1">IFERROR(__xludf.DUMMYFUNCTION("""COMPUTED_VALUE"""),"Dubai&gt;Deira&gt;Al Muteena&gt;Residence 1072")</f>
        <v>Dubai&gt;Deira&gt;Al Muteena&gt;Residence 1072</v>
      </c>
      <c r="E12675" s="2"/>
      <c r="F12675" s="2"/>
      <c r="G12675" s="2"/>
      <c r="H12675" s="2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2"/>
      <c r="T12675" s="2"/>
      <c r="U12675" s="2"/>
      <c r="V12675" s="2"/>
      <c r="W12675" s="2"/>
      <c r="X12675" s="2"/>
      <c r="Y12675" s="2"/>
      <c r="Z12675" s="2"/>
    </row>
    <row r="12676" spans="1:26" ht="16.5" x14ac:dyDescent="0.35">
      <c r="A12676" s="2" t="str">
        <f ca="1">IFERROR(__xludf.DUMMYFUNCTION("""COMPUTED_VALUE"""),"Dubai")</f>
        <v>Dubai</v>
      </c>
      <c r="B12676" s="2" t="str">
        <f ca="1">IFERROR(__xludf.DUMMYFUNCTION("""COMPUTED_VALUE"""),"Al Habtoor Al Khabaisi Building")</f>
        <v>Al Habtoor Al Khabaisi Building</v>
      </c>
      <c r="C12676" s="2" t="str">
        <f ca="1">IFERROR(__xludf.DUMMYFUNCTION("""COMPUTED_VALUE"""),"Building")</f>
        <v>Building</v>
      </c>
      <c r="D12676" s="2" t="str">
        <f ca="1">IFERROR(__xludf.DUMMYFUNCTION("""COMPUTED_VALUE"""),"Dubai&gt;Deira&gt;Al Khabaisi&gt;Al Habtoor Al Khabaisi Building")</f>
        <v>Dubai&gt;Deira&gt;Al Khabaisi&gt;Al Habtoor Al Khabaisi Building</v>
      </c>
      <c r="E12676" s="2"/>
      <c r="F12676" s="2"/>
      <c r="G12676" s="2"/>
      <c r="H12676" s="2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2"/>
      <c r="T12676" s="2"/>
      <c r="U12676" s="2"/>
      <c r="V12676" s="2"/>
      <c r="W12676" s="2"/>
      <c r="X12676" s="2"/>
      <c r="Y12676" s="2"/>
      <c r="Z12676" s="2"/>
    </row>
    <row r="12677" spans="1:26" ht="16.5" x14ac:dyDescent="0.35">
      <c r="A12677" s="2" t="str">
        <f ca="1">IFERROR(__xludf.DUMMYFUNCTION("""COMPUTED_VALUE"""),"Dubai")</f>
        <v>Dubai</v>
      </c>
      <c r="B12677" s="2" t="str">
        <f ca="1">IFERROR(__xludf.DUMMYFUNCTION("""COMPUTED_VALUE"""),"Osha Plaza 2")</f>
        <v>Osha Plaza 2</v>
      </c>
      <c r="C12677" s="2" t="str">
        <f ca="1">IFERROR(__xludf.DUMMYFUNCTION("""COMPUTED_VALUE"""),"Building")</f>
        <v>Building</v>
      </c>
      <c r="D12677" s="2" t="str">
        <f ca="1">IFERROR(__xludf.DUMMYFUNCTION("""COMPUTED_VALUE"""),"Dubai&gt;Deira&gt;Deira Enrichment Project&gt;Osha Plaza&gt;Osha Plaza 2")</f>
        <v>Dubai&gt;Deira&gt;Deira Enrichment Project&gt;Osha Plaza&gt;Osha Plaza 2</v>
      </c>
      <c r="E12677" s="2"/>
      <c r="F12677" s="2"/>
      <c r="G12677" s="2"/>
      <c r="H12677" s="2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2"/>
      <c r="T12677" s="2"/>
      <c r="U12677" s="2"/>
      <c r="V12677" s="2"/>
      <c r="W12677" s="2"/>
      <c r="X12677" s="2"/>
      <c r="Y12677" s="2"/>
      <c r="Z12677" s="2"/>
    </row>
    <row r="12678" spans="1:26" ht="16.5" x14ac:dyDescent="0.35">
      <c r="A12678" s="2" t="str">
        <f ca="1">IFERROR(__xludf.DUMMYFUNCTION("""COMPUTED_VALUE"""),"Dubai")</f>
        <v>Dubai</v>
      </c>
      <c r="B12678" s="2" t="str">
        <f ca="1">IFERROR(__xludf.DUMMYFUNCTION("""COMPUTED_VALUE"""),"Mercure Hotel")</f>
        <v>Mercure Hotel</v>
      </c>
      <c r="C12678" s="2" t="str">
        <f ca="1">IFERROR(__xludf.DUMMYFUNCTION("""COMPUTED_VALUE"""),"Building")</f>
        <v>Building</v>
      </c>
      <c r="D12678" s="2" t="str">
        <f ca="1">IFERROR(__xludf.DUMMYFUNCTION("""COMPUTED_VALUE"""),"Dubai&gt;Deira&gt;Deira Enrichment Project&gt;Al Yazia Plaza&gt;Mercure Hotel")</f>
        <v>Dubai&gt;Deira&gt;Deira Enrichment Project&gt;Al Yazia Plaza&gt;Mercure Hotel</v>
      </c>
      <c r="E12678" s="2"/>
      <c r="F12678" s="2"/>
      <c r="G12678" s="2"/>
      <c r="H12678" s="2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2"/>
      <c r="T12678" s="2"/>
      <c r="U12678" s="2"/>
      <c r="V12678" s="2"/>
      <c r="W12678" s="2"/>
      <c r="X12678" s="2"/>
      <c r="Y12678" s="2"/>
      <c r="Z12678" s="2"/>
    </row>
    <row r="12679" spans="1:26" ht="16.5" x14ac:dyDescent="0.35">
      <c r="A12679" s="2" t="str">
        <f ca="1">IFERROR(__xludf.DUMMYFUNCTION("""COMPUTED_VALUE"""),"Dubai")</f>
        <v>Dubai</v>
      </c>
      <c r="B12679" s="2" t="str">
        <f ca="1">IFERROR(__xludf.DUMMYFUNCTION("""COMPUTED_VALUE"""),"Naif Building 4")</f>
        <v>Naif Building 4</v>
      </c>
      <c r="C12679" s="2" t="str">
        <f ca="1">IFERROR(__xludf.DUMMYFUNCTION("""COMPUTED_VALUE"""),"Building")</f>
        <v>Building</v>
      </c>
      <c r="D12679" s="2" t="str">
        <f ca="1">IFERROR(__xludf.DUMMYFUNCTION("""COMPUTED_VALUE"""),"Dubai&gt;Deira&gt;Naif&gt;Naif Building 4")</f>
        <v>Dubai&gt;Deira&gt;Naif&gt;Naif Building 4</v>
      </c>
      <c r="E12679" s="2"/>
      <c r="F12679" s="2"/>
      <c r="G12679" s="2"/>
      <c r="H12679" s="2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2"/>
      <c r="T12679" s="2"/>
      <c r="U12679" s="2"/>
      <c r="V12679" s="2"/>
      <c r="W12679" s="2"/>
      <c r="X12679" s="2"/>
      <c r="Y12679" s="2"/>
      <c r="Z12679" s="2"/>
    </row>
    <row r="12680" spans="1:26" ht="16.5" x14ac:dyDescent="0.35">
      <c r="A12680" s="2" t="str">
        <f ca="1">IFERROR(__xludf.DUMMYFUNCTION("""COMPUTED_VALUE"""),"Dubai")</f>
        <v>Dubai</v>
      </c>
      <c r="B12680" s="2" t="str">
        <f ca="1">IFERROR(__xludf.DUMMYFUNCTION("""COMPUTED_VALUE"""),"Abdulwahed Bin Shabib Building 26")</f>
        <v>Abdulwahed Bin Shabib Building 26</v>
      </c>
      <c r="C12680" s="2" t="str">
        <f ca="1">IFERROR(__xludf.DUMMYFUNCTION("""COMPUTED_VALUE"""),"Building")</f>
        <v>Building</v>
      </c>
      <c r="D12680" s="2" t="str">
        <f ca="1">IFERROR(__xludf.DUMMYFUNCTION("""COMPUTED_VALUE"""),"Dubai&gt;Deira&gt;Al Murar&gt;Abdulwahed Bin Shabib Building 26")</f>
        <v>Dubai&gt;Deira&gt;Al Murar&gt;Abdulwahed Bin Shabib Building 26</v>
      </c>
      <c r="E12680" s="2"/>
      <c r="F12680" s="2"/>
      <c r="G12680" s="2"/>
      <c r="H12680" s="2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2"/>
      <c r="T12680" s="2"/>
      <c r="U12680" s="2"/>
      <c r="V12680" s="2"/>
      <c r="W12680" s="2"/>
      <c r="X12680" s="2"/>
      <c r="Y12680" s="2"/>
      <c r="Z12680" s="2"/>
    </row>
    <row r="12681" spans="1:26" ht="16.5" x14ac:dyDescent="0.35">
      <c r="A12681" s="2" t="str">
        <f ca="1">IFERROR(__xludf.DUMMYFUNCTION("""COMPUTED_VALUE"""),"Dubai")</f>
        <v>Dubai</v>
      </c>
      <c r="B12681" s="2" t="str">
        <f ca="1">IFERROR(__xludf.DUMMYFUNCTION("""COMPUTED_VALUE"""),"Al Baraha")</f>
        <v>Al Baraha</v>
      </c>
      <c r="C12681" s="2" t="str">
        <f ca="1">IFERROR(__xludf.DUMMYFUNCTION("""COMPUTED_VALUE"""),"Neighbourhood")</f>
        <v>Neighbourhood</v>
      </c>
      <c r="D12681" s="2" t="str">
        <f ca="1">IFERROR(__xludf.DUMMYFUNCTION("""COMPUTED_VALUE"""),"Dubai&gt;Deira&gt;Al Baraha")</f>
        <v>Dubai&gt;Deira&gt;Al Baraha</v>
      </c>
      <c r="E12681" s="2"/>
      <c r="F12681" s="2"/>
      <c r="G12681" s="2"/>
      <c r="H12681" s="2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2"/>
      <c r="T12681" s="2"/>
      <c r="U12681" s="2"/>
      <c r="V12681" s="2"/>
      <c r="W12681" s="2"/>
      <c r="X12681" s="2"/>
      <c r="Y12681" s="2"/>
      <c r="Z12681" s="2"/>
    </row>
    <row r="12682" spans="1:26" ht="16.5" x14ac:dyDescent="0.35">
      <c r="A12682" s="2" t="str">
        <f ca="1">IFERROR(__xludf.DUMMYFUNCTION("""COMPUTED_VALUE"""),"Dubai")</f>
        <v>Dubai</v>
      </c>
      <c r="B12682" s="2" t="str">
        <f ca="1">IFERROR(__xludf.DUMMYFUNCTION("""COMPUTED_VALUE"""),"Port Saeed")</f>
        <v>Port Saeed</v>
      </c>
      <c r="C12682" s="2" t="str">
        <f ca="1">IFERROR(__xludf.DUMMYFUNCTION("""COMPUTED_VALUE"""),"Neighbourhood")</f>
        <v>Neighbourhood</v>
      </c>
      <c r="D12682" s="2" t="str">
        <f ca="1">IFERROR(__xludf.DUMMYFUNCTION("""COMPUTED_VALUE"""),"Dubai&gt;Deira&gt;Port Saeed")</f>
        <v>Dubai&gt;Deira&gt;Port Saeed</v>
      </c>
      <c r="E12682" s="2"/>
      <c r="F12682" s="2"/>
      <c r="G12682" s="2"/>
      <c r="H12682" s="2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2"/>
      <c r="T12682" s="2"/>
      <c r="U12682" s="2"/>
      <c r="V12682" s="2"/>
      <c r="W12682" s="2"/>
      <c r="X12682" s="2"/>
      <c r="Y12682" s="2"/>
      <c r="Z12682" s="2"/>
    </row>
    <row r="12683" spans="1:26" ht="16.5" x14ac:dyDescent="0.35">
      <c r="A12683" s="2" t="str">
        <f ca="1">IFERROR(__xludf.DUMMYFUNCTION("""COMPUTED_VALUE"""),"Dubai")</f>
        <v>Dubai</v>
      </c>
      <c r="B12683" s="2" t="str">
        <f ca="1">IFERROR(__xludf.DUMMYFUNCTION("""COMPUTED_VALUE"""),"J5 Hotels Port Saeed")</f>
        <v>J5 Hotels Port Saeed</v>
      </c>
      <c r="C12683" s="2" t="str">
        <f ca="1">IFERROR(__xludf.DUMMYFUNCTION("""COMPUTED_VALUE"""),"Building")</f>
        <v>Building</v>
      </c>
      <c r="D12683" s="2" t="str">
        <f ca="1">IFERROR(__xludf.DUMMYFUNCTION("""COMPUTED_VALUE"""),"Dubai&gt;Deira&gt;Port Saeed&gt;J5 Hotels Port Saeed")</f>
        <v>Dubai&gt;Deira&gt;Port Saeed&gt;J5 Hotels Port Saeed</v>
      </c>
      <c r="E12683" s="2"/>
      <c r="F12683" s="2"/>
      <c r="G12683" s="2"/>
      <c r="H12683" s="2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2"/>
      <c r="T12683" s="2"/>
      <c r="U12683" s="2"/>
      <c r="V12683" s="2"/>
      <c r="W12683" s="2"/>
      <c r="X12683" s="2"/>
      <c r="Y12683" s="2"/>
      <c r="Z12683" s="2"/>
    </row>
    <row r="12684" spans="1:26" ht="16.5" x14ac:dyDescent="0.35">
      <c r="A12684" s="2" t="str">
        <f ca="1">IFERROR(__xludf.DUMMYFUNCTION("""COMPUTED_VALUE"""),"Dubai")</f>
        <v>Dubai</v>
      </c>
      <c r="B12684" s="2" t="str">
        <f ca="1">IFERROR(__xludf.DUMMYFUNCTION("""COMPUTED_VALUE"""),"Safeer Tower 2")</f>
        <v>Safeer Tower 2</v>
      </c>
      <c r="C12684" s="2" t="str">
        <f ca="1">IFERROR(__xludf.DUMMYFUNCTION("""COMPUTED_VALUE"""),"Building")</f>
        <v>Building</v>
      </c>
      <c r="D12684" s="2" t="str">
        <f ca="1">IFERROR(__xludf.DUMMYFUNCTION("""COMPUTED_VALUE"""),"Dubai&gt;Business Bay&gt;Safeer Tower 2")</f>
        <v>Dubai&gt;Business Bay&gt;Safeer Tower 2</v>
      </c>
      <c r="E12684" s="2"/>
      <c r="F12684" s="2"/>
      <c r="G12684" s="2"/>
      <c r="H12684" s="2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2"/>
      <c r="T12684" s="2"/>
      <c r="U12684" s="2"/>
      <c r="V12684" s="2"/>
      <c r="W12684" s="2"/>
      <c r="X12684" s="2"/>
      <c r="Y12684" s="2"/>
      <c r="Z12684" s="2"/>
    </row>
    <row r="12685" spans="1:26" ht="16.5" x14ac:dyDescent="0.35">
      <c r="A12685" s="2" t="str">
        <f ca="1">IFERROR(__xludf.DUMMYFUNCTION("""COMPUTED_VALUE"""),"Dubai")</f>
        <v>Dubai</v>
      </c>
      <c r="B12685" s="2" t="str">
        <f ca="1">IFERROR(__xludf.DUMMYFUNCTION("""COMPUTED_VALUE"""),"Art XV Tower")</f>
        <v>Art XV Tower</v>
      </c>
      <c r="C12685" s="2" t="str">
        <f ca="1">IFERROR(__xludf.DUMMYFUNCTION("""COMPUTED_VALUE"""),"Building")</f>
        <v>Building</v>
      </c>
      <c r="D12685" s="2" t="str">
        <f ca="1">IFERROR(__xludf.DUMMYFUNCTION("""COMPUTED_VALUE"""),"Dubai&gt;Business Bay&gt;Art XV Tower")</f>
        <v>Dubai&gt;Business Bay&gt;Art XV Tower</v>
      </c>
      <c r="E12685" s="2"/>
      <c r="F12685" s="2"/>
      <c r="G12685" s="2"/>
      <c r="H12685" s="2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2"/>
      <c r="T12685" s="2"/>
      <c r="U12685" s="2"/>
      <c r="V12685" s="2"/>
      <c r="W12685" s="2"/>
      <c r="X12685" s="2"/>
      <c r="Y12685" s="2"/>
      <c r="Z12685" s="2"/>
    </row>
    <row r="12686" spans="1:26" ht="16.5" x14ac:dyDescent="0.35">
      <c r="A12686" s="2" t="str">
        <f ca="1">IFERROR(__xludf.DUMMYFUNCTION("""COMPUTED_VALUE"""),"Dubai")</f>
        <v>Dubai</v>
      </c>
      <c r="B12686" s="2" t="str">
        <f ca="1">IFERROR(__xludf.DUMMYFUNCTION("""COMPUTED_VALUE"""),"Bay Square 1")</f>
        <v>Bay Square 1</v>
      </c>
      <c r="C12686" s="2" t="str">
        <f ca="1">IFERROR(__xludf.DUMMYFUNCTION("""COMPUTED_VALUE"""),"Building")</f>
        <v>Building</v>
      </c>
      <c r="D12686" s="2" t="str">
        <f ca="1">IFERROR(__xludf.DUMMYFUNCTION("""COMPUTED_VALUE"""),"Dubai&gt;Business Bay&gt;Bay Square&gt;Bay Square 1")</f>
        <v>Dubai&gt;Business Bay&gt;Bay Square&gt;Bay Square 1</v>
      </c>
      <c r="E12686" s="2"/>
      <c r="F12686" s="2"/>
      <c r="G12686" s="2"/>
      <c r="H12686" s="2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2"/>
      <c r="T12686" s="2"/>
      <c r="U12686" s="2"/>
      <c r="V12686" s="2"/>
      <c r="W12686" s="2"/>
      <c r="X12686" s="2"/>
      <c r="Y12686" s="2"/>
      <c r="Z12686" s="2"/>
    </row>
    <row r="12687" spans="1:26" ht="16.5" x14ac:dyDescent="0.35">
      <c r="A12687" s="2" t="str">
        <f ca="1">IFERROR(__xludf.DUMMYFUNCTION("""COMPUTED_VALUE"""),"Dubai")</f>
        <v>Dubai</v>
      </c>
      <c r="B12687" s="2" t="str">
        <f ca="1">IFERROR(__xludf.DUMMYFUNCTION("""COMPUTED_VALUE"""),"The Bay Gate")</f>
        <v>The Bay Gate</v>
      </c>
      <c r="C12687" s="2" t="str">
        <f ca="1">IFERROR(__xludf.DUMMYFUNCTION("""COMPUTED_VALUE"""),"Building")</f>
        <v>Building</v>
      </c>
      <c r="D12687" s="2" t="str">
        <f ca="1">IFERROR(__xludf.DUMMYFUNCTION("""COMPUTED_VALUE"""),"Dubai&gt;Business Bay&gt;The Bay Gate")</f>
        <v>Dubai&gt;Business Bay&gt;The Bay Gate</v>
      </c>
      <c r="E12687" s="2"/>
      <c r="F12687" s="2"/>
      <c r="G12687" s="2"/>
      <c r="H12687" s="2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2"/>
      <c r="T12687" s="2"/>
      <c r="U12687" s="2"/>
      <c r="V12687" s="2"/>
      <c r="W12687" s="2"/>
      <c r="X12687" s="2"/>
      <c r="Y12687" s="2"/>
      <c r="Z12687" s="2"/>
    </row>
    <row r="12688" spans="1:26" ht="16.5" x14ac:dyDescent="0.35">
      <c r="A12688" s="2" t="str">
        <f ca="1">IFERROR(__xludf.DUMMYFUNCTION("""COMPUTED_VALUE"""),"Dubai")</f>
        <v>Dubai</v>
      </c>
      <c r="B12688" s="2" t="str">
        <f ca="1">IFERROR(__xludf.DUMMYFUNCTION("""COMPUTED_VALUE"""),"DAMAC Towers by Paramount Hotels and Resorts")</f>
        <v>DAMAC Towers by Paramount Hotels and Resorts</v>
      </c>
      <c r="C12688" s="2" t="str">
        <f ca="1">IFERROR(__xludf.DUMMYFUNCTION("""COMPUTED_VALUE"""),"Cluster")</f>
        <v>Cluster</v>
      </c>
      <c r="D12688" s="2" t="str">
        <f ca="1">IFERROR(__xludf.DUMMYFUNCTION("""COMPUTED_VALUE"""),"Dubai&gt;Business Bay&gt;DAMAC Towers by Paramount Hotels and Resorts")</f>
        <v>Dubai&gt;Business Bay&gt;DAMAC Towers by Paramount Hotels and Resorts</v>
      </c>
      <c r="E12688" s="2"/>
      <c r="F12688" s="2"/>
      <c r="G12688" s="2"/>
      <c r="H12688" s="2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2"/>
      <c r="T12688" s="2"/>
      <c r="U12688" s="2"/>
      <c r="V12688" s="2"/>
      <c r="W12688" s="2"/>
      <c r="X12688" s="2"/>
      <c r="Y12688" s="2"/>
      <c r="Z12688" s="2"/>
    </row>
    <row r="12689" spans="1:26" ht="16.5" x14ac:dyDescent="0.35">
      <c r="A12689" s="2" t="str">
        <f ca="1">IFERROR(__xludf.DUMMYFUNCTION("""COMPUTED_VALUE"""),"Dubai")</f>
        <v>Dubai</v>
      </c>
      <c r="B12689" s="2" t="str">
        <f ca="1">IFERROR(__xludf.DUMMYFUNCTION("""COMPUTED_VALUE"""),"Sobha Ivory I")</f>
        <v>Sobha Ivory I</v>
      </c>
      <c r="C12689" s="2" t="str">
        <f ca="1">IFERROR(__xludf.DUMMYFUNCTION("""COMPUTED_VALUE"""),"Building")</f>
        <v>Building</v>
      </c>
      <c r="D12689" s="2" t="str">
        <f ca="1">IFERROR(__xludf.DUMMYFUNCTION("""COMPUTED_VALUE"""),"Dubai&gt;Business Bay&gt;Sobha Ivory&gt;Sobha Ivory I")</f>
        <v>Dubai&gt;Business Bay&gt;Sobha Ivory&gt;Sobha Ivory I</v>
      </c>
      <c r="E12689" s="2"/>
      <c r="F12689" s="2"/>
      <c r="G12689" s="2"/>
      <c r="H12689" s="2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2"/>
      <c r="T12689" s="2"/>
      <c r="U12689" s="2"/>
      <c r="V12689" s="2"/>
      <c r="W12689" s="2"/>
      <c r="X12689" s="2"/>
      <c r="Y12689" s="2"/>
      <c r="Z12689" s="2"/>
    </row>
    <row r="12690" spans="1:26" ht="16.5" x14ac:dyDescent="0.35">
      <c r="A12690" s="2" t="str">
        <f ca="1">IFERROR(__xludf.DUMMYFUNCTION("""COMPUTED_VALUE"""),"Dubai")</f>
        <v>Dubai</v>
      </c>
      <c r="B12690" s="2" t="str">
        <f ca="1">IFERROR(__xludf.DUMMYFUNCTION("""COMPUTED_VALUE"""),"Waves Tower")</f>
        <v>Waves Tower</v>
      </c>
      <c r="C12690" s="2" t="str">
        <f ca="1">IFERROR(__xludf.DUMMYFUNCTION("""COMPUTED_VALUE"""),"Building")</f>
        <v>Building</v>
      </c>
      <c r="D12690" s="2" t="str">
        <f ca="1">IFERROR(__xludf.DUMMYFUNCTION("""COMPUTED_VALUE"""),"Dubai&gt;Business Bay&gt;Waves Tower")</f>
        <v>Dubai&gt;Business Bay&gt;Waves Tower</v>
      </c>
      <c r="E12690" s="2"/>
      <c r="F12690" s="2"/>
      <c r="G12690" s="2"/>
      <c r="H12690" s="2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2"/>
      <c r="T12690" s="2"/>
      <c r="U12690" s="2"/>
      <c r="V12690" s="2"/>
      <c r="W12690" s="2"/>
      <c r="X12690" s="2"/>
      <c r="Y12690" s="2"/>
      <c r="Z12690" s="2"/>
    </row>
    <row r="12691" spans="1:26" ht="16.5" x14ac:dyDescent="0.35">
      <c r="A12691" s="2" t="str">
        <f ca="1">IFERROR(__xludf.DUMMYFUNCTION("""COMPUTED_VALUE"""),"Dubai")</f>
        <v>Dubai</v>
      </c>
      <c r="B12691" s="2" t="str">
        <f ca="1">IFERROR(__xludf.DUMMYFUNCTION("""COMPUTED_VALUE"""),"Citymax Hotel Business Bay")</f>
        <v>Citymax Hotel Business Bay</v>
      </c>
      <c r="C12691" s="2" t="str">
        <f ca="1">IFERROR(__xludf.DUMMYFUNCTION("""COMPUTED_VALUE"""),"Building")</f>
        <v>Building</v>
      </c>
      <c r="D12691" s="2" t="str">
        <f ca="1">IFERROR(__xludf.DUMMYFUNCTION("""COMPUTED_VALUE"""),"Dubai&gt;Business Bay&gt;Citymax Hotel Business Bay")</f>
        <v>Dubai&gt;Business Bay&gt;Citymax Hotel Business Bay</v>
      </c>
      <c r="E12691" s="2"/>
      <c r="F12691" s="2"/>
      <c r="G12691" s="2"/>
      <c r="H12691" s="2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2"/>
      <c r="T12691" s="2"/>
      <c r="U12691" s="2"/>
      <c r="V12691" s="2"/>
      <c r="W12691" s="2"/>
      <c r="X12691" s="2"/>
      <c r="Y12691" s="2"/>
      <c r="Z12691" s="2"/>
    </row>
    <row r="12692" spans="1:26" ht="16.5" x14ac:dyDescent="0.35">
      <c r="A12692" s="2" t="str">
        <f ca="1">IFERROR(__xludf.DUMMYFUNCTION("""COMPUTED_VALUE"""),"Dubai")</f>
        <v>Dubai</v>
      </c>
      <c r="B12692" s="2" t="str">
        <f ca="1">IFERROR(__xludf.DUMMYFUNCTION("""COMPUTED_VALUE"""),"Oval Tower")</f>
        <v>Oval Tower</v>
      </c>
      <c r="C12692" s="2" t="str">
        <f ca="1">IFERROR(__xludf.DUMMYFUNCTION("""COMPUTED_VALUE"""),"Building")</f>
        <v>Building</v>
      </c>
      <c r="D12692" s="2" t="str">
        <f ca="1">IFERROR(__xludf.DUMMYFUNCTION("""COMPUTED_VALUE"""),"Dubai&gt;Business Bay&gt;Oval Tower")</f>
        <v>Dubai&gt;Business Bay&gt;Oval Tower</v>
      </c>
      <c r="E12692" s="2"/>
      <c r="F12692" s="2"/>
      <c r="G12692" s="2"/>
      <c r="H12692" s="2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2"/>
      <c r="T12692" s="2"/>
      <c r="U12692" s="2"/>
      <c r="V12692" s="2"/>
      <c r="W12692" s="2"/>
      <c r="X12692" s="2"/>
      <c r="Y12692" s="2"/>
      <c r="Z12692" s="2"/>
    </row>
    <row r="12693" spans="1:26" ht="16.5" x14ac:dyDescent="0.35">
      <c r="A12693" s="2" t="str">
        <f ca="1">IFERROR(__xludf.DUMMYFUNCTION("""COMPUTED_VALUE"""),"Dubai")</f>
        <v>Dubai</v>
      </c>
      <c r="B12693" s="2" t="str">
        <f ca="1">IFERROR(__xludf.DUMMYFUNCTION("""COMPUTED_VALUE"""),"Sobha Skyparks")</f>
        <v>Sobha Skyparks</v>
      </c>
      <c r="C12693" s="2" t="str">
        <f ca="1">IFERROR(__xludf.DUMMYFUNCTION("""COMPUTED_VALUE"""),"Building")</f>
        <v>Building</v>
      </c>
      <c r="D12693" s="2" t="str">
        <f ca="1">IFERROR(__xludf.DUMMYFUNCTION("""COMPUTED_VALUE"""),"Dubai&gt;Business Bay&gt;Sobha Skyparks")</f>
        <v>Dubai&gt;Business Bay&gt;Sobha Skyparks</v>
      </c>
      <c r="E12693" s="2"/>
      <c r="F12693" s="2"/>
      <c r="G12693" s="2"/>
      <c r="H12693" s="2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2"/>
      <c r="T12693" s="2"/>
      <c r="U12693" s="2"/>
      <c r="V12693" s="2"/>
      <c r="W12693" s="2"/>
      <c r="X12693" s="2"/>
      <c r="Y12693" s="2"/>
      <c r="Z12693" s="2"/>
    </row>
    <row r="12694" spans="1:26" ht="16.5" x14ac:dyDescent="0.35">
      <c r="A12694" s="2" t="str">
        <f ca="1">IFERROR(__xludf.DUMMYFUNCTION("""COMPUTED_VALUE"""),"Dubai")</f>
        <v>Dubai</v>
      </c>
      <c r="B12694" s="2" t="str">
        <f ca="1">IFERROR(__xludf.DUMMYFUNCTION("""COMPUTED_VALUE"""),"District 5D")</f>
        <v>District 5D</v>
      </c>
      <c r="C12694" s="2" t="str">
        <f ca="1">IFERROR(__xludf.DUMMYFUNCTION("""COMPUTED_VALUE"""),"Neighbourhood")</f>
        <v>Neighbourhood</v>
      </c>
      <c r="D12694" s="2" t="str">
        <f ca="1">IFERROR(__xludf.DUMMYFUNCTION("""COMPUTED_VALUE"""),"Dubai&gt;Jumeirah Village Triangle (JVT)&gt;JVT District 5&gt;District 5D")</f>
        <v>Dubai&gt;Jumeirah Village Triangle (JVT)&gt;JVT District 5&gt;District 5D</v>
      </c>
      <c r="E12694" s="2"/>
      <c r="F12694" s="2"/>
      <c r="G12694" s="2"/>
      <c r="H12694" s="2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2"/>
      <c r="T12694" s="2"/>
      <c r="U12694" s="2"/>
      <c r="V12694" s="2"/>
      <c r="W12694" s="2"/>
      <c r="X12694" s="2"/>
      <c r="Y12694" s="2"/>
      <c r="Z12694" s="2"/>
    </row>
    <row r="12695" spans="1:26" ht="16.5" x14ac:dyDescent="0.35">
      <c r="A12695" s="2" t="str">
        <f ca="1">IFERROR(__xludf.DUMMYFUNCTION("""COMPUTED_VALUE"""),"Dubai")</f>
        <v>Dubai</v>
      </c>
      <c r="B12695" s="2" t="str">
        <f ca="1">IFERROR(__xludf.DUMMYFUNCTION("""COMPUTED_VALUE"""),"District 9K")</f>
        <v>District 9K</v>
      </c>
      <c r="C12695" s="2" t="str">
        <f ca="1">IFERROR(__xludf.DUMMYFUNCTION("""COMPUTED_VALUE"""),"Neighbourhood")</f>
        <v>Neighbourhood</v>
      </c>
      <c r="D12695" s="2" t="str">
        <f ca="1">IFERROR(__xludf.DUMMYFUNCTION("""COMPUTED_VALUE"""),"Dubai&gt;Jumeirah Village Triangle (JVT)&gt;JVT District 9&gt;District 9K")</f>
        <v>Dubai&gt;Jumeirah Village Triangle (JVT)&gt;JVT District 9&gt;District 9K</v>
      </c>
      <c r="E12695" s="2"/>
      <c r="F12695" s="2"/>
      <c r="G12695" s="2"/>
      <c r="H12695" s="2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2"/>
      <c r="T12695" s="2"/>
      <c r="U12695" s="2"/>
      <c r="V12695" s="2"/>
      <c r="W12695" s="2"/>
      <c r="X12695" s="2"/>
      <c r="Y12695" s="2"/>
      <c r="Z12695" s="2"/>
    </row>
    <row r="12696" spans="1:26" ht="16.5" x14ac:dyDescent="0.35">
      <c r="A12696" s="2" t="str">
        <f ca="1">IFERROR(__xludf.DUMMYFUNCTION("""COMPUTED_VALUE"""),"Dubai")</f>
        <v>Dubai</v>
      </c>
      <c r="B12696" s="2" t="str">
        <f ca="1">IFERROR(__xludf.DUMMYFUNCTION("""COMPUTED_VALUE"""),"Binghatti Flare")</f>
        <v>Binghatti Flare</v>
      </c>
      <c r="C12696" s="2" t="str">
        <f ca="1">IFERROR(__xludf.DUMMYFUNCTION("""COMPUTED_VALUE"""),"Cluster")</f>
        <v>Cluster</v>
      </c>
      <c r="D12696" s="2" t="str">
        <f ca="1">IFERROR(__xludf.DUMMYFUNCTION("""COMPUTED_VALUE"""),"Dubai&gt;Jumeirah Village Triangle (JVT)&gt;JVT District 2&gt;Binghatti Flare")</f>
        <v>Dubai&gt;Jumeirah Village Triangle (JVT)&gt;JVT District 2&gt;Binghatti Flare</v>
      </c>
      <c r="E12696" s="2"/>
      <c r="F12696" s="2"/>
      <c r="G12696" s="2"/>
      <c r="H12696" s="2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2"/>
      <c r="T12696" s="2"/>
      <c r="U12696" s="2"/>
      <c r="V12696" s="2"/>
      <c r="W12696" s="2"/>
      <c r="X12696" s="2"/>
      <c r="Y12696" s="2"/>
      <c r="Z12696" s="2"/>
    </row>
    <row r="12697" spans="1:26" ht="16.5" x14ac:dyDescent="0.35">
      <c r="A12697" s="2" t="str">
        <f ca="1">IFERROR(__xludf.DUMMYFUNCTION("""COMPUTED_VALUE"""),"Dubai")</f>
        <v>Dubai</v>
      </c>
      <c r="B12697" s="2" t="str">
        <f ca="1">IFERROR(__xludf.DUMMYFUNCTION("""COMPUTED_VALUE"""),"District 1J")</f>
        <v>District 1J</v>
      </c>
      <c r="C12697" s="2" t="str">
        <f ca="1">IFERROR(__xludf.DUMMYFUNCTION("""COMPUTED_VALUE"""),"Neighbourhood")</f>
        <v>Neighbourhood</v>
      </c>
      <c r="D12697" s="2" t="str">
        <f ca="1">IFERROR(__xludf.DUMMYFUNCTION("""COMPUTED_VALUE"""),"Dubai&gt;Jumeirah Village Triangle (JVT)&gt;JVT District 1&gt;District 1J")</f>
        <v>Dubai&gt;Jumeirah Village Triangle (JVT)&gt;JVT District 1&gt;District 1J</v>
      </c>
      <c r="E12697" s="2"/>
      <c r="F12697" s="2"/>
      <c r="G12697" s="2"/>
      <c r="H12697" s="2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2"/>
      <c r="T12697" s="2"/>
      <c r="U12697" s="2"/>
      <c r="V12697" s="2"/>
      <c r="W12697" s="2"/>
      <c r="X12697" s="2"/>
      <c r="Y12697" s="2"/>
      <c r="Z12697" s="2"/>
    </row>
    <row r="12698" spans="1:26" ht="16.5" x14ac:dyDescent="0.35">
      <c r="A12698" s="2" t="str">
        <f ca="1">IFERROR(__xludf.DUMMYFUNCTION("""COMPUTED_VALUE"""),"Dubai")</f>
        <v>Dubai</v>
      </c>
      <c r="B12698" s="2" t="str">
        <f ca="1">IFERROR(__xludf.DUMMYFUNCTION("""COMPUTED_VALUE"""),"Miami 2 by Samana")</f>
        <v>Miami 2 by Samana</v>
      </c>
      <c r="C12698" s="2" t="str">
        <f ca="1">IFERROR(__xludf.DUMMYFUNCTION("""COMPUTED_VALUE"""),"Building")</f>
        <v>Building</v>
      </c>
      <c r="D12698" s="2" t="str">
        <f ca="1">IFERROR(__xludf.DUMMYFUNCTION("""COMPUTED_VALUE"""),"Dubai&gt;Jumeirah Village Triangle (JVT)&gt;JVT District 4&gt;Miami 2 by Samana")</f>
        <v>Dubai&gt;Jumeirah Village Triangle (JVT)&gt;JVT District 4&gt;Miami 2 by Samana</v>
      </c>
      <c r="E12698" s="2"/>
      <c r="F12698" s="2"/>
      <c r="G12698" s="2"/>
      <c r="H12698" s="2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2"/>
      <c r="T12698" s="2"/>
      <c r="U12698" s="2"/>
      <c r="V12698" s="2"/>
      <c r="W12698" s="2"/>
      <c r="X12698" s="2"/>
      <c r="Y12698" s="2"/>
      <c r="Z12698" s="2"/>
    </row>
    <row r="12699" spans="1:26" ht="16.5" x14ac:dyDescent="0.35">
      <c r="A12699" s="2" t="str">
        <f ca="1">IFERROR(__xludf.DUMMYFUNCTION("""COMPUTED_VALUE"""),"Dubai")</f>
        <v>Dubai</v>
      </c>
      <c r="B12699" s="2" t="str">
        <f ca="1">IFERROR(__xludf.DUMMYFUNCTION("""COMPUTED_VALUE"""),"District 3A")</f>
        <v>District 3A</v>
      </c>
      <c r="C12699" s="2" t="str">
        <f ca="1">IFERROR(__xludf.DUMMYFUNCTION("""COMPUTED_VALUE"""),"Neighbourhood")</f>
        <v>Neighbourhood</v>
      </c>
      <c r="D12699" s="2" t="str">
        <f ca="1">IFERROR(__xludf.DUMMYFUNCTION("""COMPUTED_VALUE"""),"Dubai&gt;Jumeirah Village Triangle (JVT)&gt;JVT District 3&gt;District 3A")</f>
        <v>Dubai&gt;Jumeirah Village Triangle (JVT)&gt;JVT District 3&gt;District 3A</v>
      </c>
      <c r="E12699" s="2"/>
      <c r="F12699" s="2"/>
      <c r="G12699" s="2"/>
      <c r="H12699" s="2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2"/>
      <c r="T12699" s="2"/>
      <c r="U12699" s="2"/>
      <c r="V12699" s="2"/>
      <c r="W12699" s="2"/>
      <c r="X12699" s="2"/>
      <c r="Y12699" s="2"/>
      <c r="Z12699" s="2"/>
    </row>
    <row r="12700" spans="1:26" ht="16.5" x14ac:dyDescent="0.35">
      <c r="A12700" s="2" t="str">
        <f ca="1">IFERROR(__xludf.DUMMYFUNCTION("""COMPUTED_VALUE"""),"Dubai")</f>
        <v>Dubai</v>
      </c>
      <c r="B12700" s="2" t="str">
        <f ca="1">IFERROR(__xludf.DUMMYFUNCTION("""COMPUTED_VALUE"""),"Al Ramth 30")</f>
        <v>Al Ramth 30</v>
      </c>
      <c r="C12700" s="2" t="str">
        <f ca="1">IFERROR(__xludf.DUMMYFUNCTION("""COMPUTED_VALUE"""),"Building")</f>
        <v>Building</v>
      </c>
      <c r="D12700" s="2" t="str">
        <f ca="1">IFERROR(__xludf.DUMMYFUNCTION("""COMPUTED_VALUE"""),"Dubai&gt;Remraam&gt;Al Ramth&gt;Al Ramth 30")</f>
        <v>Dubai&gt;Remraam&gt;Al Ramth&gt;Al Ramth 30</v>
      </c>
      <c r="E12700" s="2"/>
      <c r="F12700" s="2"/>
      <c r="G12700" s="2"/>
      <c r="H12700" s="2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2"/>
      <c r="T12700" s="2"/>
      <c r="U12700" s="2"/>
      <c r="V12700" s="2"/>
      <c r="W12700" s="2"/>
      <c r="X12700" s="2"/>
      <c r="Y12700" s="2"/>
      <c r="Z12700" s="2"/>
    </row>
    <row r="12701" spans="1:26" ht="16.5" x14ac:dyDescent="0.35">
      <c r="A12701" s="2" t="str">
        <f ca="1">IFERROR(__xludf.DUMMYFUNCTION("""COMPUTED_VALUE"""),"Dubai")</f>
        <v>Dubai</v>
      </c>
      <c r="B12701" s="2" t="str">
        <f ca="1">IFERROR(__xludf.DUMMYFUNCTION("""COMPUTED_VALUE"""),"Al Thamam 43")</f>
        <v>Al Thamam 43</v>
      </c>
      <c r="C12701" s="2" t="str">
        <f ca="1">IFERROR(__xludf.DUMMYFUNCTION("""COMPUTED_VALUE"""),"Building")</f>
        <v>Building</v>
      </c>
      <c r="D12701" s="2" t="str">
        <f ca="1">IFERROR(__xludf.DUMMYFUNCTION("""COMPUTED_VALUE"""),"Dubai&gt;Remraam&gt;Al Thamam&gt;Al Thamam 43")</f>
        <v>Dubai&gt;Remraam&gt;Al Thamam&gt;Al Thamam 43</v>
      </c>
      <c r="E12701" s="2"/>
      <c r="F12701" s="2"/>
      <c r="G12701" s="2"/>
      <c r="H12701" s="2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2"/>
      <c r="T12701" s="2"/>
      <c r="U12701" s="2"/>
      <c r="V12701" s="2"/>
      <c r="W12701" s="2"/>
      <c r="X12701" s="2"/>
      <c r="Y12701" s="2"/>
      <c r="Z12701" s="2"/>
    </row>
    <row r="12702" spans="1:26" ht="16.5" x14ac:dyDescent="0.35">
      <c r="A12702" s="2" t="str">
        <f ca="1">IFERROR(__xludf.DUMMYFUNCTION("""COMPUTED_VALUE"""),"Dubai")</f>
        <v>Dubai</v>
      </c>
      <c r="B12702" s="2" t="str">
        <f ca="1">IFERROR(__xludf.DUMMYFUNCTION("""COMPUTED_VALUE"""),"Al Thamam 17")</f>
        <v>Al Thamam 17</v>
      </c>
      <c r="C12702" s="2" t="str">
        <f ca="1">IFERROR(__xludf.DUMMYFUNCTION("""COMPUTED_VALUE"""),"Building")</f>
        <v>Building</v>
      </c>
      <c r="D12702" s="2" t="str">
        <f ca="1">IFERROR(__xludf.DUMMYFUNCTION("""COMPUTED_VALUE"""),"Dubai&gt;Remraam&gt;Al Thamam&gt;Al Thamam 17")</f>
        <v>Dubai&gt;Remraam&gt;Al Thamam&gt;Al Thamam 17</v>
      </c>
      <c r="E12702" s="2"/>
      <c r="F12702" s="2"/>
      <c r="G12702" s="2"/>
      <c r="H12702" s="2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2"/>
      <c r="T12702" s="2"/>
      <c r="U12702" s="2"/>
      <c r="V12702" s="2"/>
      <c r="W12702" s="2"/>
      <c r="X12702" s="2"/>
      <c r="Y12702" s="2"/>
      <c r="Z12702" s="2"/>
    </row>
    <row r="12703" spans="1:26" ht="16.5" x14ac:dyDescent="0.35">
      <c r="A12703" s="2" t="str">
        <f ca="1">IFERROR(__xludf.DUMMYFUNCTION("""COMPUTED_VALUE"""),"Dubai")</f>
        <v>Dubai</v>
      </c>
      <c r="B12703" s="2" t="str">
        <f ca="1">IFERROR(__xludf.DUMMYFUNCTION("""COMPUTED_VALUE"""),"The Lawns")</f>
        <v>The Lawns</v>
      </c>
      <c r="C12703" s="2" t="str">
        <f ca="1">IFERROR(__xludf.DUMMYFUNCTION("""COMPUTED_VALUE"""),"Cluster")</f>
        <v>Cluster</v>
      </c>
      <c r="D12703" s="2" t="str">
        <f ca="1">IFERROR(__xludf.DUMMYFUNCTION("""COMPUTED_VALUE"""),"Dubai&gt;Jumeirah Village Circle (JVC)&gt;JVC District 12&gt;The Lawns")</f>
        <v>Dubai&gt;Jumeirah Village Circle (JVC)&gt;JVC District 12&gt;The Lawns</v>
      </c>
      <c r="E12703" s="2"/>
      <c r="F12703" s="2"/>
      <c r="G12703" s="2"/>
      <c r="H12703" s="2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2"/>
      <c r="T12703" s="2"/>
      <c r="U12703" s="2"/>
      <c r="V12703" s="2"/>
      <c r="W12703" s="2"/>
      <c r="X12703" s="2"/>
      <c r="Y12703" s="2"/>
      <c r="Z12703" s="2"/>
    </row>
    <row r="12704" spans="1:26" ht="16.5" x14ac:dyDescent="0.35">
      <c r="A12704" s="2" t="str">
        <f ca="1">IFERROR(__xludf.DUMMYFUNCTION("""COMPUTED_VALUE"""),"Dubai")</f>
        <v>Dubai</v>
      </c>
      <c r="B12704" s="2" t="str">
        <f ca="1">IFERROR(__xludf.DUMMYFUNCTION("""COMPUTED_VALUE"""),"Al Yousuf Tower 2")</f>
        <v>Al Yousuf Tower 2</v>
      </c>
      <c r="C12704" s="2" t="str">
        <f ca="1">IFERROR(__xludf.DUMMYFUNCTION("""COMPUTED_VALUE"""),"Building")</f>
        <v>Building</v>
      </c>
      <c r="D12704" s="2" t="str">
        <f ca="1">IFERROR(__xludf.DUMMYFUNCTION("""COMPUTED_VALUE"""),"Dubai&gt;Jumeirah Village Circle (JVC)&gt;JVC District 12&gt;Al Yousuf Towers&gt;Al Yousuf Tower 2")</f>
        <v>Dubai&gt;Jumeirah Village Circle (JVC)&gt;JVC District 12&gt;Al Yousuf Towers&gt;Al Yousuf Tower 2</v>
      </c>
      <c r="E12704" s="2"/>
      <c r="F12704" s="2"/>
      <c r="G12704" s="2"/>
      <c r="H12704" s="2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2"/>
      <c r="T12704" s="2"/>
      <c r="U12704" s="2"/>
      <c r="V12704" s="2"/>
      <c r="W12704" s="2"/>
      <c r="X12704" s="2"/>
      <c r="Y12704" s="2"/>
      <c r="Z12704" s="2"/>
    </row>
    <row r="12705" spans="1:26" ht="16.5" x14ac:dyDescent="0.35">
      <c r="A12705" s="2" t="str">
        <f ca="1">IFERROR(__xludf.DUMMYFUNCTION("""COMPUTED_VALUE"""),"Dubai")</f>
        <v>Dubai</v>
      </c>
      <c r="B12705" s="2" t="str">
        <f ca="1">IFERROR(__xludf.DUMMYFUNCTION("""COMPUTED_VALUE"""),"Joudi Residences Villa Townhouses")</f>
        <v>Joudi Residences Villa Townhouses</v>
      </c>
      <c r="C12705" s="2" t="str">
        <f ca="1">IFERROR(__xludf.DUMMYFUNCTION("""COMPUTED_VALUE"""),"Neighbourhood")</f>
        <v>Neighbourhood</v>
      </c>
      <c r="D12705" s="2" t="str">
        <f ca="1">IFERROR(__xludf.DUMMYFUNCTION("""COMPUTED_VALUE"""),"Dubai&gt;Jumeirah Village Circle (JVC)&gt;JVC District 12&gt;Joudi Residences Villa Townhouses")</f>
        <v>Dubai&gt;Jumeirah Village Circle (JVC)&gt;JVC District 12&gt;Joudi Residences Villa Townhouses</v>
      </c>
      <c r="E12705" s="2"/>
      <c r="F12705" s="2"/>
      <c r="G12705" s="2"/>
      <c r="H12705" s="2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2"/>
      <c r="T12705" s="2"/>
      <c r="U12705" s="2"/>
      <c r="V12705" s="2"/>
      <c r="W12705" s="2"/>
      <c r="X12705" s="2"/>
      <c r="Y12705" s="2"/>
      <c r="Z12705" s="2"/>
    </row>
    <row r="12706" spans="1:26" ht="16.5" x14ac:dyDescent="0.35">
      <c r="A12706" s="2" t="str">
        <f ca="1">IFERROR(__xludf.DUMMYFUNCTION("""COMPUTED_VALUE"""),"Dubai")</f>
        <v>Dubai</v>
      </c>
      <c r="B12706" s="2" t="str">
        <f ca="1">IFERROR(__xludf.DUMMYFUNCTION("""COMPUTED_VALUE"""),"Westview Terrace")</f>
        <v>Westview Terrace</v>
      </c>
      <c r="C12706" s="2" t="str">
        <f ca="1">IFERROR(__xludf.DUMMYFUNCTION("""COMPUTED_VALUE"""),"Building")</f>
        <v>Building</v>
      </c>
      <c r="D12706" s="2" t="str">
        <f ca="1">IFERROR(__xludf.DUMMYFUNCTION("""COMPUTED_VALUE"""),"Dubai&gt;Jumeirah Village Circle (JVC)&gt;JVC District 12&gt;Westview Terrace")</f>
        <v>Dubai&gt;Jumeirah Village Circle (JVC)&gt;JVC District 12&gt;Westview Terrace</v>
      </c>
      <c r="E12706" s="2"/>
      <c r="F12706" s="2"/>
      <c r="G12706" s="2"/>
      <c r="H12706" s="2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2"/>
      <c r="T12706" s="2"/>
      <c r="U12706" s="2"/>
      <c r="V12706" s="2"/>
      <c r="W12706" s="2"/>
      <c r="X12706" s="2"/>
      <c r="Y12706" s="2"/>
      <c r="Z12706" s="2"/>
    </row>
    <row r="12707" spans="1:26" ht="16.5" x14ac:dyDescent="0.35">
      <c r="A12707" s="2" t="str">
        <f ca="1">IFERROR(__xludf.DUMMYFUNCTION("""COMPUTED_VALUE"""),"Dubai")</f>
        <v>Dubai</v>
      </c>
      <c r="B12707" s="2" t="str">
        <f ca="1">IFERROR(__xludf.DUMMYFUNCTION("""COMPUTED_VALUE"""),"Park Corner")</f>
        <v>Park Corner</v>
      </c>
      <c r="C12707" s="2" t="str">
        <f ca="1">IFERROR(__xludf.DUMMYFUNCTION("""COMPUTED_VALUE"""),"Building")</f>
        <v>Building</v>
      </c>
      <c r="D12707" s="2" t="str">
        <f ca="1">IFERROR(__xludf.DUMMYFUNCTION("""COMPUTED_VALUE"""),"Dubai&gt;Jumeirah Village Circle (JVC)&gt;JVC District 13&gt;Park Corner")</f>
        <v>Dubai&gt;Jumeirah Village Circle (JVC)&gt;JVC District 13&gt;Park Corner</v>
      </c>
      <c r="E12707" s="2"/>
      <c r="F12707" s="2"/>
      <c r="G12707" s="2"/>
      <c r="H12707" s="2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2"/>
      <c r="T12707" s="2"/>
      <c r="U12707" s="2"/>
      <c r="V12707" s="2"/>
      <c r="W12707" s="2"/>
      <c r="X12707" s="2"/>
      <c r="Y12707" s="2"/>
      <c r="Z12707" s="2"/>
    </row>
    <row r="12708" spans="1:26" ht="16.5" x14ac:dyDescent="0.35">
      <c r="A12708" s="2" t="str">
        <f ca="1">IFERROR(__xludf.DUMMYFUNCTION("""COMPUTED_VALUE"""),"Dubai")</f>
        <v>Dubai</v>
      </c>
      <c r="B12708" s="2" t="str">
        <f ca="1">IFERROR(__xludf.DUMMYFUNCTION("""COMPUTED_VALUE"""),"Samana Manhattan 1")</f>
        <v>Samana Manhattan 1</v>
      </c>
      <c r="C12708" s="2" t="str">
        <f ca="1">IFERROR(__xludf.DUMMYFUNCTION("""COMPUTED_VALUE"""),"Building")</f>
        <v>Building</v>
      </c>
      <c r="D12708" s="2" t="str">
        <f ca="1">IFERROR(__xludf.DUMMYFUNCTION("""COMPUTED_VALUE"""),"Dubai&gt;Jumeirah Village Circle (JVC)&gt;JVC District 13&gt;Samana Manhattan 1")</f>
        <v>Dubai&gt;Jumeirah Village Circle (JVC)&gt;JVC District 13&gt;Samana Manhattan 1</v>
      </c>
      <c r="E12708" s="2"/>
      <c r="F12708" s="2"/>
      <c r="G12708" s="2"/>
      <c r="H12708" s="2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2"/>
      <c r="T12708" s="2"/>
      <c r="U12708" s="2"/>
      <c r="V12708" s="2"/>
      <c r="W12708" s="2"/>
      <c r="X12708" s="2"/>
      <c r="Y12708" s="2"/>
      <c r="Z12708" s="2"/>
    </row>
    <row r="12709" spans="1:26" ht="16.5" x14ac:dyDescent="0.35">
      <c r="A12709" s="2" t="str">
        <f ca="1">IFERROR(__xludf.DUMMYFUNCTION("""COMPUTED_VALUE"""),"Dubai")</f>
        <v>Dubai</v>
      </c>
      <c r="B12709" s="2" t="str">
        <f ca="1">IFERROR(__xludf.DUMMYFUNCTION("""COMPUTED_VALUE"""),"Dusit Princess Rijas")</f>
        <v>Dusit Princess Rijas</v>
      </c>
      <c r="C12709" s="2" t="str">
        <f ca="1">IFERROR(__xludf.DUMMYFUNCTION("""COMPUTED_VALUE"""),"Building")</f>
        <v>Building</v>
      </c>
      <c r="D12709" s="2" t="str">
        <f ca="1">IFERROR(__xludf.DUMMYFUNCTION("""COMPUTED_VALUE"""),"Dubai&gt;Jumeirah Village Circle (JVC)&gt;JVC District 18&gt;Dusit Princess Rijas")</f>
        <v>Dubai&gt;Jumeirah Village Circle (JVC)&gt;JVC District 18&gt;Dusit Princess Rijas</v>
      </c>
      <c r="E12709" s="2"/>
      <c r="F12709" s="2"/>
      <c r="G12709" s="2"/>
      <c r="H12709" s="2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2"/>
      <c r="T12709" s="2"/>
      <c r="U12709" s="2"/>
      <c r="V12709" s="2"/>
      <c r="W12709" s="2"/>
      <c r="X12709" s="2"/>
      <c r="Y12709" s="2"/>
      <c r="Z12709" s="2"/>
    </row>
    <row r="12710" spans="1:26" ht="16.5" x14ac:dyDescent="0.35">
      <c r="A12710" s="2" t="str">
        <f ca="1">IFERROR(__xludf.DUMMYFUNCTION("""COMPUTED_VALUE"""),"Dubai")</f>
        <v>Dubai</v>
      </c>
      <c r="B12710" s="2" t="str">
        <f ca="1">IFERROR(__xludf.DUMMYFUNCTION("""COMPUTED_VALUE"""),"Signature Livings North")</f>
        <v>Signature Livings North</v>
      </c>
      <c r="C12710" s="2" t="str">
        <f ca="1">IFERROR(__xludf.DUMMYFUNCTION("""COMPUTED_VALUE"""),"Building")</f>
        <v>Building</v>
      </c>
      <c r="D12710" s="2" t="str">
        <f ca="1">IFERROR(__xludf.DUMMYFUNCTION("""COMPUTED_VALUE"""),"Dubai&gt;Jumeirah Village Circle (JVC)&gt;JVC District 10&gt;Signature Livings&gt;Signature Livings North")</f>
        <v>Dubai&gt;Jumeirah Village Circle (JVC)&gt;JVC District 10&gt;Signature Livings&gt;Signature Livings North</v>
      </c>
      <c r="E12710" s="2"/>
      <c r="F12710" s="2"/>
      <c r="G12710" s="2"/>
      <c r="H12710" s="2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2"/>
      <c r="T12710" s="2"/>
      <c r="U12710" s="2"/>
      <c r="V12710" s="2"/>
      <c r="W12710" s="2"/>
      <c r="X12710" s="2"/>
      <c r="Y12710" s="2"/>
      <c r="Z12710" s="2"/>
    </row>
    <row r="12711" spans="1:26" ht="16.5" x14ac:dyDescent="0.35">
      <c r="A12711" s="2" t="str">
        <f ca="1">IFERROR(__xludf.DUMMYFUNCTION("""COMPUTED_VALUE"""),"Dubai")</f>
        <v>Dubai</v>
      </c>
      <c r="B12711" s="2" t="str">
        <f ca="1">IFERROR(__xludf.DUMMYFUNCTION("""COMPUTED_VALUE"""),"Plazzo Heights")</f>
        <v>Plazzo Heights</v>
      </c>
      <c r="C12711" s="2" t="str">
        <f ca="1">IFERROR(__xludf.DUMMYFUNCTION("""COMPUTED_VALUE"""),"Building")</f>
        <v>Building</v>
      </c>
      <c r="D12711" s="2" t="str">
        <f ca="1">IFERROR(__xludf.DUMMYFUNCTION("""COMPUTED_VALUE"""),"Dubai&gt;Jumeirah Village Circle (JVC)&gt;JVC District 10&gt;Plazzo Heights")</f>
        <v>Dubai&gt;Jumeirah Village Circle (JVC)&gt;JVC District 10&gt;Plazzo Heights</v>
      </c>
      <c r="E12711" s="2"/>
      <c r="F12711" s="2"/>
      <c r="G12711" s="2"/>
      <c r="H12711" s="2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2"/>
      <c r="T12711" s="2"/>
      <c r="U12711" s="2"/>
      <c r="V12711" s="2"/>
      <c r="W12711" s="2"/>
      <c r="X12711" s="2"/>
      <c r="Y12711" s="2"/>
      <c r="Z12711" s="2"/>
    </row>
    <row r="12712" spans="1:26" ht="16.5" x14ac:dyDescent="0.35">
      <c r="A12712" s="2" t="str">
        <f ca="1">IFERROR(__xludf.DUMMYFUNCTION("""COMPUTED_VALUE"""),"Dubai")</f>
        <v>Dubai</v>
      </c>
      <c r="B12712" s="2" t="str">
        <f ca="1">IFERROR(__xludf.DUMMYFUNCTION("""COMPUTED_VALUE"""),"The Autograph")</f>
        <v>The Autograph</v>
      </c>
      <c r="C12712" s="2" t="str">
        <f ca="1">IFERROR(__xludf.DUMMYFUNCTION("""COMPUTED_VALUE"""),"Building")</f>
        <v>Building</v>
      </c>
      <c r="D12712" s="2" t="str">
        <f ca="1">IFERROR(__xludf.DUMMYFUNCTION("""COMPUTED_VALUE"""),"Dubai&gt;Jumeirah Village Circle (JVC)&gt;JVC District 10&gt;The Autograph")</f>
        <v>Dubai&gt;Jumeirah Village Circle (JVC)&gt;JVC District 10&gt;The Autograph</v>
      </c>
      <c r="E12712" s="2"/>
      <c r="F12712" s="2"/>
      <c r="G12712" s="2"/>
      <c r="H12712" s="2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2"/>
      <c r="T12712" s="2"/>
      <c r="U12712" s="2"/>
      <c r="V12712" s="2"/>
      <c r="W12712" s="2"/>
      <c r="X12712" s="2"/>
      <c r="Y12712" s="2"/>
      <c r="Z12712" s="2"/>
    </row>
    <row r="12713" spans="1:26" ht="16.5" x14ac:dyDescent="0.35">
      <c r="A12713" s="2" t="str">
        <f ca="1">IFERROR(__xludf.DUMMYFUNCTION("""COMPUTED_VALUE"""),"Dubai")</f>
        <v>Dubai</v>
      </c>
      <c r="B12713" s="2" t="str">
        <f ca="1">IFERROR(__xludf.DUMMYFUNCTION("""COMPUTED_VALUE"""),"Rokane G25")</f>
        <v>Rokane G25</v>
      </c>
      <c r="C12713" s="2" t="str">
        <f ca="1">IFERROR(__xludf.DUMMYFUNCTION("""COMPUTED_VALUE"""),"Building")</f>
        <v>Building</v>
      </c>
      <c r="D12713" s="2" t="str">
        <f ca="1">IFERROR(__xludf.DUMMYFUNCTION("""COMPUTED_VALUE"""),"Dubai&gt;Jumeirah Village Circle (JVC)&gt;JVC District 10&gt;Rokane G25")</f>
        <v>Dubai&gt;Jumeirah Village Circle (JVC)&gt;JVC District 10&gt;Rokane G25</v>
      </c>
      <c r="E12713" s="2"/>
      <c r="F12713" s="2"/>
      <c r="G12713" s="2"/>
      <c r="H12713" s="2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2"/>
      <c r="T12713" s="2"/>
      <c r="U12713" s="2"/>
      <c r="V12713" s="2"/>
      <c r="W12713" s="2"/>
      <c r="X12713" s="2"/>
      <c r="Y12713" s="2"/>
      <c r="Z12713" s="2"/>
    </row>
    <row r="12714" spans="1:26" ht="16.5" x14ac:dyDescent="0.35">
      <c r="A12714" s="2" t="str">
        <f ca="1">IFERROR(__xludf.DUMMYFUNCTION("""COMPUTED_VALUE"""),"Dubai")</f>
        <v>Dubai</v>
      </c>
      <c r="B12714" s="2" t="str">
        <f ca="1">IFERROR(__xludf.DUMMYFUNCTION("""COMPUTED_VALUE"""),"Neva Residences")</f>
        <v>Neva Residences</v>
      </c>
      <c r="C12714" s="2" t="str">
        <f ca="1">IFERROR(__xludf.DUMMYFUNCTION("""COMPUTED_VALUE"""),"Building")</f>
        <v>Building</v>
      </c>
      <c r="D12714" s="2" t="str">
        <f ca="1">IFERROR(__xludf.DUMMYFUNCTION("""COMPUTED_VALUE"""),"Dubai&gt;Jumeirah Village Circle (JVC)&gt;JVC District 16&gt;Neva Residences")</f>
        <v>Dubai&gt;Jumeirah Village Circle (JVC)&gt;JVC District 16&gt;Neva Residences</v>
      </c>
      <c r="E12714" s="2"/>
      <c r="F12714" s="2"/>
      <c r="G12714" s="2"/>
      <c r="H12714" s="2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2"/>
      <c r="T12714" s="2"/>
      <c r="U12714" s="2"/>
      <c r="V12714" s="2"/>
      <c r="W12714" s="2"/>
      <c r="X12714" s="2"/>
      <c r="Y12714" s="2"/>
      <c r="Z12714" s="2"/>
    </row>
    <row r="12715" spans="1:26" ht="16.5" x14ac:dyDescent="0.35">
      <c r="A12715" s="2" t="str">
        <f ca="1">IFERROR(__xludf.DUMMYFUNCTION("""COMPUTED_VALUE"""),"Dubai")</f>
        <v>Dubai</v>
      </c>
      <c r="B12715" s="2" t="str">
        <f ca="1">IFERROR(__xludf.DUMMYFUNCTION("""COMPUTED_VALUE"""),"Eaton Place")</f>
        <v>Eaton Place</v>
      </c>
      <c r="C12715" s="2" t="str">
        <f ca="1">IFERROR(__xludf.DUMMYFUNCTION("""COMPUTED_VALUE"""),"Building")</f>
        <v>Building</v>
      </c>
      <c r="D12715" s="2" t="str">
        <f ca="1">IFERROR(__xludf.DUMMYFUNCTION("""COMPUTED_VALUE"""),"Dubai&gt;Jumeirah Village Circle (JVC)&gt;JVC District 15&gt;Eaton Place")</f>
        <v>Dubai&gt;Jumeirah Village Circle (JVC)&gt;JVC District 15&gt;Eaton Place</v>
      </c>
      <c r="E12715" s="2"/>
      <c r="F12715" s="2"/>
      <c r="G12715" s="2"/>
      <c r="H12715" s="2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2"/>
      <c r="T12715" s="2"/>
      <c r="U12715" s="2"/>
      <c r="V12715" s="2"/>
      <c r="W12715" s="2"/>
      <c r="X12715" s="2"/>
      <c r="Y12715" s="2"/>
      <c r="Z12715" s="2"/>
    </row>
    <row r="12716" spans="1:26" ht="16.5" x14ac:dyDescent="0.35">
      <c r="A12716" s="2" t="str">
        <f ca="1">IFERROR(__xludf.DUMMYFUNCTION("""COMPUTED_VALUE"""),"Dubai")</f>
        <v>Dubai</v>
      </c>
      <c r="B12716" s="2" t="str">
        <f ca="1">IFERROR(__xludf.DUMMYFUNCTION("""COMPUTED_VALUE"""),"Casa Royale")</f>
        <v>Casa Royale</v>
      </c>
      <c r="C12716" s="2" t="str">
        <f ca="1">IFERROR(__xludf.DUMMYFUNCTION("""COMPUTED_VALUE"""),"Neighbourhood")</f>
        <v>Neighbourhood</v>
      </c>
      <c r="D12716" s="2" t="str">
        <f ca="1">IFERROR(__xludf.DUMMYFUNCTION("""COMPUTED_VALUE"""),"Dubai&gt;Jumeirah Village Circle (JVC)&gt;JVC District 15&gt;Casa Royale")</f>
        <v>Dubai&gt;Jumeirah Village Circle (JVC)&gt;JVC District 15&gt;Casa Royale</v>
      </c>
      <c r="E12716" s="2"/>
      <c r="F12716" s="2"/>
      <c r="G12716" s="2"/>
      <c r="H12716" s="2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2"/>
      <c r="T12716" s="2"/>
      <c r="U12716" s="2"/>
      <c r="V12716" s="2"/>
      <c r="W12716" s="2"/>
      <c r="X12716" s="2"/>
      <c r="Y12716" s="2"/>
      <c r="Z12716" s="2"/>
    </row>
    <row r="12717" spans="1:26" ht="16.5" x14ac:dyDescent="0.35">
      <c r="A12717" s="2" t="str">
        <f ca="1">IFERROR(__xludf.DUMMYFUNCTION("""COMPUTED_VALUE"""),"Dubai")</f>
        <v>Dubai</v>
      </c>
      <c r="B12717" s="2" t="str">
        <f ca="1">IFERROR(__xludf.DUMMYFUNCTION("""COMPUTED_VALUE"""),"Oakville Residence")</f>
        <v>Oakville Residence</v>
      </c>
      <c r="C12717" s="2" t="str">
        <f ca="1">IFERROR(__xludf.DUMMYFUNCTION("""COMPUTED_VALUE"""),"Building")</f>
        <v>Building</v>
      </c>
      <c r="D12717" s="2" t="str">
        <f ca="1">IFERROR(__xludf.DUMMYFUNCTION("""COMPUTED_VALUE"""),"Dubai&gt;Jumeirah Village Circle (JVC)&gt;JVC District 11&gt;Oakville Residence")</f>
        <v>Dubai&gt;Jumeirah Village Circle (JVC)&gt;JVC District 11&gt;Oakville Residence</v>
      </c>
      <c r="E12717" s="2"/>
      <c r="F12717" s="2"/>
      <c r="G12717" s="2"/>
      <c r="H12717" s="2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2"/>
      <c r="T12717" s="2"/>
      <c r="U12717" s="2"/>
      <c r="V12717" s="2"/>
      <c r="W12717" s="2"/>
      <c r="X12717" s="2"/>
      <c r="Y12717" s="2"/>
      <c r="Z12717" s="2"/>
    </row>
    <row r="12718" spans="1:26" ht="16.5" x14ac:dyDescent="0.35">
      <c r="A12718" s="2" t="str">
        <f ca="1">IFERROR(__xludf.DUMMYFUNCTION("""COMPUTED_VALUE"""),"Dubai")</f>
        <v>Dubai</v>
      </c>
      <c r="B12718" s="2" t="str">
        <f ca="1">IFERROR(__xludf.DUMMYFUNCTION("""COMPUTED_VALUE"""),"Diamond Views 4")</f>
        <v>Diamond Views 4</v>
      </c>
      <c r="C12718" s="2" t="str">
        <f ca="1">IFERROR(__xludf.DUMMYFUNCTION("""COMPUTED_VALUE"""),"Building")</f>
        <v>Building</v>
      </c>
      <c r="D12718" s="2" t="str">
        <f ca="1">IFERROR(__xludf.DUMMYFUNCTION("""COMPUTED_VALUE"""),"Dubai&gt;Jumeirah Village Circle (JVC)&gt;JVC District 11&gt;Diamond Views 4")</f>
        <v>Dubai&gt;Jumeirah Village Circle (JVC)&gt;JVC District 11&gt;Diamond Views 4</v>
      </c>
      <c r="E12718" s="2"/>
      <c r="F12718" s="2"/>
      <c r="G12718" s="2"/>
      <c r="H12718" s="2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2"/>
      <c r="T12718" s="2"/>
      <c r="U12718" s="2"/>
      <c r="V12718" s="2"/>
      <c r="W12718" s="2"/>
      <c r="X12718" s="2"/>
      <c r="Y12718" s="2"/>
      <c r="Z12718" s="2"/>
    </row>
    <row r="12719" spans="1:26" ht="16.5" x14ac:dyDescent="0.35">
      <c r="A12719" s="2" t="str">
        <f ca="1">IFERROR(__xludf.DUMMYFUNCTION("""COMPUTED_VALUE"""),"Dubai")</f>
        <v>Dubai</v>
      </c>
      <c r="B12719" s="2" t="str">
        <f ca="1">IFERROR(__xludf.DUMMYFUNCTION("""COMPUTED_VALUE"""),"Binghatti Tulip")</f>
        <v>Binghatti Tulip</v>
      </c>
      <c r="C12719" s="2" t="str">
        <f ca="1">IFERROR(__xludf.DUMMYFUNCTION("""COMPUTED_VALUE"""),"Building")</f>
        <v>Building</v>
      </c>
      <c r="D12719" s="2" t="str">
        <f ca="1">IFERROR(__xludf.DUMMYFUNCTION("""COMPUTED_VALUE"""),"Dubai&gt;Jumeirah Village Circle (JVC)&gt;JVC District 11&gt;Binghatti Tulip")</f>
        <v>Dubai&gt;Jumeirah Village Circle (JVC)&gt;JVC District 11&gt;Binghatti Tulip</v>
      </c>
      <c r="E12719" s="2"/>
      <c r="F12719" s="2"/>
      <c r="G12719" s="2"/>
      <c r="H12719" s="2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2"/>
      <c r="T12719" s="2"/>
      <c r="U12719" s="2"/>
      <c r="V12719" s="2"/>
      <c r="W12719" s="2"/>
      <c r="X12719" s="2"/>
      <c r="Y12719" s="2"/>
      <c r="Z12719" s="2"/>
    </row>
    <row r="12720" spans="1:26" ht="16.5" x14ac:dyDescent="0.35">
      <c r="A12720" s="2" t="str">
        <f ca="1">IFERROR(__xludf.DUMMYFUNCTION("""COMPUTED_VALUE"""),"Dubai")</f>
        <v>Dubai</v>
      </c>
      <c r="B12720" s="2" t="str">
        <f ca="1">IFERROR(__xludf.DUMMYFUNCTION("""COMPUTED_VALUE"""),"Veda by Aum One")</f>
        <v>Veda by Aum One</v>
      </c>
      <c r="C12720" s="2" t="str">
        <f ca="1">IFERROR(__xludf.DUMMYFUNCTION("""COMPUTED_VALUE"""),"Building")</f>
        <v>Building</v>
      </c>
      <c r="D12720" s="2" t="str">
        <f ca="1">IFERROR(__xludf.DUMMYFUNCTION("""COMPUTED_VALUE"""),"Dubai&gt;Jumeirah Village Circle (JVC)&gt;JVC District 11&gt;Veda by Aum One")</f>
        <v>Dubai&gt;Jumeirah Village Circle (JVC)&gt;JVC District 11&gt;Veda by Aum One</v>
      </c>
      <c r="E12720" s="2"/>
      <c r="F12720" s="2"/>
      <c r="G12720" s="2"/>
      <c r="H12720" s="2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2"/>
      <c r="T12720" s="2"/>
      <c r="U12720" s="2"/>
      <c r="V12720" s="2"/>
      <c r="W12720" s="2"/>
      <c r="X12720" s="2"/>
      <c r="Y12720" s="2"/>
      <c r="Z12720" s="2"/>
    </row>
    <row r="12721" spans="1:26" ht="16.5" x14ac:dyDescent="0.35">
      <c r="A12721" s="2" t="str">
        <f ca="1">IFERROR(__xludf.DUMMYFUNCTION("""COMPUTED_VALUE"""),"Dubai")</f>
        <v>Dubai</v>
      </c>
      <c r="B12721" s="2" t="str">
        <f ca="1">IFERROR(__xludf.DUMMYFUNCTION("""COMPUTED_VALUE"""),"Palace Estates")</f>
        <v>Palace Estates</v>
      </c>
      <c r="C12721" s="2" t="str">
        <f ca="1">IFERROR(__xludf.DUMMYFUNCTION("""COMPUTED_VALUE"""),"Neighbourhood")</f>
        <v>Neighbourhood</v>
      </c>
      <c r="D12721" s="2" t="str">
        <f ca="1">IFERROR(__xludf.DUMMYFUNCTION("""COMPUTED_VALUE"""),"Dubai&gt;Jumeirah Village Circle (JVC)&gt;JVC District 14&gt;Palace Estates")</f>
        <v>Dubai&gt;Jumeirah Village Circle (JVC)&gt;JVC District 14&gt;Palace Estates</v>
      </c>
      <c r="E12721" s="2"/>
      <c r="F12721" s="2"/>
      <c r="G12721" s="2"/>
      <c r="H12721" s="2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2"/>
      <c r="T12721" s="2"/>
      <c r="U12721" s="2"/>
      <c r="V12721" s="2"/>
      <c r="W12721" s="2"/>
      <c r="X12721" s="2"/>
      <c r="Y12721" s="2"/>
      <c r="Z12721" s="2"/>
    </row>
    <row r="12722" spans="1:26" ht="16.5" x14ac:dyDescent="0.35">
      <c r="A12722" s="2" t="str">
        <f ca="1">IFERROR(__xludf.DUMMYFUNCTION("""COMPUTED_VALUE"""),"Dubai")</f>
        <v>Dubai</v>
      </c>
      <c r="B12722" s="2" t="str">
        <f ca="1">IFERROR(__xludf.DUMMYFUNCTION("""COMPUTED_VALUE"""),"1WOOD Residence")</f>
        <v>1WOOD Residence</v>
      </c>
      <c r="C12722" s="2" t="str">
        <f ca="1">IFERROR(__xludf.DUMMYFUNCTION("""COMPUTED_VALUE"""),"Building")</f>
        <v>Building</v>
      </c>
      <c r="D12722" s="2" t="str">
        <f ca="1">IFERROR(__xludf.DUMMYFUNCTION("""COMPUTED_VALUE"""),"Dubai&gt;Jumeirah Village Circle (JVC)&gt;JVC District 14&gt;1WOOD Residence")</f>
        <v>Dubai&gt;Jumeirah Village Circle (JVC)&gt;JVC District 14&gt;1WOOD Residence</v>
      </c>
      <c r="E12722" s="2"/>
      <c r="F12722" s="2"/>
      <c r="G12722" s="2"/>
      <c r="H12722" s="2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2"/>
      <c r="T12722" s="2"/>
      <c r="U12722" s="2"/>
      <c r="V12722" s="2"/>
      <c r="W12722" s="2"/>
      <c r="X12722" s="2"/>
      <c r="Y12722" s="2"/>
      <c r="Z12722" s="2"/>
    </row>
    <row r="12723" spans="1:26" ht="16.5" x14ac:dyDescent="0.35">
      <c r="A12723" s="2" t="str">
        <f ca="1">IFERROR(__xludf.DUMMYFUNCTION("""COMPUTED_VALUE"""),"Dubai")</f>
        <v>Dubai</v>
      </c>
      <c r="B12723" s="2" t="str">
        <f ca="1">IFERROR(__xludf.DUMMYFUNCTION("""COMPUTED_VALUE"""),"Lootah Villas")</f>
        <v>Lootah Villas</v>
      </c>
      <c r="C12723" s="2" t="str">
        <f ca="1">IFERROR(__xludf.DUMMYFUNCTION("""COMPUTED_VALUE"""),"Neighbourhood")</f>
        <v>Neighbourhood</v>
      </c>
      <c r="D12723" s="2" t="str">
        <f ca="1">IFERROR(__xludf.DUMMYFUNCTION("""COMPUTED_VALUE"""),"Dubai&gt;Jumeirah Village Circle (JVC)&gt;JVC District 14&gt;Lootah Villas")</f>
        <v>Dubai&gt;Jumeirah Village Circle (JVC)&gt;JVC District 14&gt;Lootah Villas</v>
      </c>
      <c r="E12723" s="2"/>
      <c r="F12723" s="2"/>
      <c r="G12723" s="2"/>
      <c r="H12723" s="2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2"/>
      <c r="T12723" s="2"/>
      <c r="U12723" s="2"/>
      <c r="V12723" s="2"/>
      <c r="W12723" s="2"/>
      <c r="X12723" s="2"/>
      <c r="Y12723" s="2"/>
      <c r="Z12723" s="2"/>
    </row>
    <row r="12724" spans="1:26" ht="16.5" x14ac:dyDescent="0.35">
      <c r="A12724" s="2" t="str">
        <f ca="1">IFERROR(__xludf.DUMMYFUNCTION("""COMPUTED_VALUE"""),"Dubai")</f>
        <v>Dubai</v>
      </c>
      <c r="B12724" s="2" t="str">
        <f ca="1">IFERROR(__xludf.DUMMYFUNCTION("""COMPUTED_VALUE"""),"Awtad Residences")</f>
        <v>Awtad Residences</v>
      </c>
      <c r="C12724" s="2" t="str">
        <f ca="1">IFERROR(__xludf.DUMMYFUNCTION("""COMPUTED_VALUE"""),"Building")</f>
        <v>Building</v>
      </c>
      <c r="D12724" s="2" t="str">
        <f ca="1">IFERROR(__xludf.DUMMYFUNCTION("""COMPUTED_VALUE"""),"Dubai&gt;Dubai Land Residence Complex&gt;Awtad Residences")</f>
        <v>Dubai&gt;Dubai Land Residence Complex&gt;Awtad Residences</v>
      </c>
      <c r="E12724" s="2"/>
      <c r="F12724" s="2"/>
      <c r="G12724" s="2"/>
      <c r="H12724" s="2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2"/>
      <c r="T12724" s="2"/>
      <c r="U12724" s="2"/>
      <c r="V12724" s="2"/>
      <c r="W12724" s="2"/>
      <c r="X12724" s="2"/>
      <c r="Y12724" s="2"/>
      <c r="Z12724" s="2"/>
    </row>
    <row r="12725" spans="1:26" ht="16.5" x14ac:dyDescent="0.35">
      <c r="A12725" s="2" t="str">
        <f ca="1">IFERROR(__xludf.DUMMYFUNCTION("""COMPUTED_VALUE"""),"Dubai")</f>
        <v>Dubai</v>
      </c>
      <c r="B12725" s="2" t="str">
        <f ca="1">IFERROR(__xludf.DUMMYFUNCTION("""COMPUTED_VALUE"""),"Kay 7")</f>
        <v>Kay 7</v>
      </c>
      <c r="C12725" s="2" t="str">
        <f ca="1">IFERROR(__xludf.DUMMYFUNCTION("""COMPUTED_VALUE"""),"Building")</f>
        <v>Building</v>
      </c>
      <c r="D12725" s="2" t="str">
        <f ca="1">IFERROR(__xludf.DUMMYFUNCTION("""COMPUTED_VALUE"""),"Dubai&gt;Dubai Land Residence Complex&gt;Kay 7")</f>
        <v>Dubai&gt;Dubai Land Residence Complex&gt;Kay 7</v>
      </c>
      <c r="E12725" s="2"/>
      <c r="F12725" s="2"/>
      <c r="G12725" s="2"/>
      <c r="H12725" s="2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2"/>
      <c r="T12725" s="2"/>
      <c r="U12725" s="2"/>
      <c r="V12725" s="2"/>
      <c r="W12725" s="2"/>
      <c r="X12725" s="2"/>
      <c r="Y12725" s="2"/>
      <c r="Z12725" s="2"/>
    </row>
    <row r="12726" spans="1:26" ht="16.5" x14ac:dyDescent="0.35">
      <c r="A12726" s="2" t="str">
        <f ca="1">IFERROR(__xludf.DUMMYFUNCTION("""COMPUTED_VALUE"""),"Dubai")</f>
        <v>Dubai</v>
      </c>
      <c r="B12726" s="2" t="str">
        <f ca="1">IFERROR(__xludf.DUMMYFUNCTION("""COMPUTED_VALUE"""),"Samana Ibiza")</f>
        <v>Samana Ibiza</v>
      </c>
      <c r="C12726" s="2" t="str">
        <f ca="1">IFERROR(__xludf.DUMMYFUNCTION("""COMPUTED_VALUE"""),"Building")</f>
        <v>Building</v>
      </c>
      <c r="D12726" s="2" t="str">
        <f ca="1">IFERROR(__xludf.DUMMYFUNCTION("""COMPUTED_VALUE"""),"Dubai&gt;Dubai Land Residence Complex&gt;Samana Ibiza")</f>
        <v>Dubai&gt;Dubai Land Residence Complex&gt;Samana Ibiza</v>
      </c>
      <c r="E12726" s="2"/>
      <c r="F12726" s="2"/>
      <c r="G12726" s="2"/>
      <c r="H12726" s="2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2"/>
      <c r="T12726" s="2"/>
      <c r="U12726" s="2"/>
      <c r="V12726" s="2"/>
      <c r="W12726" s="2"/>
      <c r="X12726" s="2"/>
      <c r="Y12726" s="2"/>
      <c r="Z12726" s="2"/>
    </row>
    <row r="12727" spans="1:26" ht="16.5" x14ac:dyDescent="0.35">
      <c r="A12727" s="2" t="str">
        <f ca="1">IFERROR(__xludf.DUMMYFUNCTION("""COMPUTED_VALUE"""),"Dubai")</f>
        <v>Dubai</v>
      </c>
      <c r="B12727" s="2" t="str">
        <f ca="1">IFERROR(__xludf.DUMMYFUNCTION("""COMPUTED_VALUE"""),"Roof Comfort Building A")</f>
        <v>Roof Comfort Building A</v>
      </c>
      <c r="C12727" s="2" t="str">
        <f ca="1">IFERROR(__xludf.DUMMYFUNCTION("""COMPUTED_VALUE"""),"Building")</f>
        <v>Building</v>
      </c>
      <c r="D12727" s="2" t="str">
        <f ca="1">IFERROR(__xludf.DUMMYFUNCTION("""COMPUTED_VALUE"""),"Dubai&gt;Dubai Land Residence Complex&gt;Roof Comfort&gt;Roof Comfort Building A")</f>
        <v>Dubai&gt;Dubai Land Residence Complex&gt;Roof Comfort&gt;Roof Comfort Building A</v>
      </c>
      <c r="E12727" s="2"/>
      <c r="F12727" s="2"/>
      <c r="G12727" s="2"/>
      <c r="H12727" s="2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2"/>
      <c r="T12727" s="2"/>
      <c r="U12727" s="2"/>
      <c r="V12727" s="2"/>
      <c r="W12727" s="2"/>
      <c r="X12727" s="2"/>
      <c r="Y12727" s="2"/>
      <c r="Z12727" s="2"/>
    </row>
    <row r="12728" spans="1:26" ht="16.5" x14ac:dyDescent="0.35">
      <c r="A12728" s="2" t="str">
        <f ca="1">IFERROR(__xludf.DUMMYFUNCTION("""COMPUTED_VALUE"""),"Dubai")</f>
        <v>Dubai</v>
      </c>
      <c r="B12728" s="2" t="str">
        <f ca="1">IFERROR(__xludf.DUMMYFUNCTION("""COMPUTED_VALUE"""),"Courtyard Apartments")</f>
        <v>Courtyard Apartments</v>
      </c>
      <c r="C12728" s="2" t="str">
        <f ca="1">IFERROR(__xludf.DUMMYFUNCTION("""COMPUTED_VALUE"""),"Building")</f>
        <v>Building</v>
      </c>
      <c r="D12728" s="2" t="str">
        <f ca="1">IFERROR(__xludf.DUMMYFUNCTION("""COMPUTED_VALUE"""),"Dubai&gt;Mirdif&gt;Uptown Mirdif&gt;Courtyard Apartments")</f>
        <v>Dubai&gt;Mirdif&gt;Uptown Mirdif&gt;Courtyard Apartments</v>
      </c>
      <c r="E12728" s="2"/>
      <c r="F12728" s="2"/>
      <c r="G12728" s="2"/>
      <c r="H12728" s="2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2"/>
      <c r="T12728" s="2"/>
      <c r="U12728" s="2"/>
      <c r="V12728" s="2"/>
      <c r="W12728" s="2"/>
      <c r="X12728" s="2"/>
      <c r="Y12728" s="2"/>
      <c r="Z12728" s="2"/>
    </row>
    <row r="12729" spans="1:26" ht="16.5" x14ac:dyDescent="0.35">
      <c r="A12729" s="2" t="str">
        <f ca="1">IFERROR(__xludf.DUMMYFUNCTION("""COMPUTED_VALUE"""),"Dubai")</f>
        <v>Dubai</v>
      </c>
      <c r="B12729" s="2" t="str">
        <f ca="1">IFERROR(__xludf.DUMMYFUNCTION("""COMPUTED_VALUE"""),"Asayel Avenue")</f>
        <v>Asayel Avenue</v>
      </c>
      <c r="C12729" s="2" t="str">
        <f ca="1">IFERROR(__xludf.DUMMYFUNCTION("""COMPUTED_VALUE"""),"Building")</f>
        <v>Building</v>
      </c>
      <c r="D12729" s="2" t="str">
        <f ca="1">IFERROR(__xludf.DUMMYFUNCTION("""COMPUTED_VALUE"""),"Dubai&gt;Mirdif&gt;Mirdif Hills&gt;Asayel Avenue")</f>
        <v>Dubai&gt;Mirdif&gt;Mirdif Hills&gt;Asayel Avenue</v>
      </c>
      <c r="E12729" s="2"/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  <c r="V12729" s="2"/>
      <c r="W12729" s="2"/>
      <c r="X12729" s="2"/>
      <c r="Y12729" s="2"/>
      <c r="Z12729" s="2"/>
    </row>
    <row r="12730" spans="1:26" ht="16.5" x14ac:dyDescent="0.35">
      <c r="A12730" s="2" t="str">
        <f ca="1">IFERROR(__xludf.DUMMYFUNCTION("""COMPUTED_VALUE"""),"Dubai")</f>
        <v>Dubai</v>
      </c>
      <c r="B12730" s="2" t="str">
        <f ca="1">IFERROR(__xludf.DUMMYFUNCTION("""COMPUTED_VALUE"""),"Zulal 3")</f>
        <v>Zulal 3</v>
      </c>
      <c r="C12730" s="2" t="str">
        <f ca="1">IFERROR(__xludf.DUMMYFUNCTION("""COMPUTED_VALUE"""),"Neighbourhood")</f>
        <v>Neighbourhood</v>
      </c>
      <c r="D12730" s="2" t="str">
        <f ca="1">IFERROR(__xludf.DUMMYFUNCTION("""COMPUTED_VALUE"""),"Dubai&gt;The Lakes&gt;Zulal&gt;Zulal 3")</f>
        <v>Dubai&gt;The Lakes&gt;Zulal&gt;Zulal 3</v>
      </c>
      <c r="E12730" s="2"/>
      <c r="F12730" s="2"/>
      <c r="G12730" s="2"/>
      <c r="H12730" s="2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2"/>
      <c r="T12730" s="2"/>
      <c r="U12730" s="2"/>
      <c r="V12730" s="2"/>
      <c r="W12730" s="2"/>
      <c r="X12730" s="2"/>
      <c r="Y12730" s="2"/>
      <c r="Z12730" s="2"/>
    </row>
    <row r="12731" spans="1:26" ht="16.5" x14ac:dyDescent="0.35">
      <c r="A12731" s="2" t="str">
        <f ca="1">IFERROR(__xludf.DUMMYFUNCTION("""COMPUTED_VALUE"""),"Dubai")</f>
        <v>Dubai</v>
      </c>
      <c r="B12731" s="2" t="str">
        <f ca="1">IFERROR(__xludf.DUMMYFUNCTION("""COMPUTED_VALUE"""),"Redwood Montessori Nursery Garhoud")</f>
        <v>Redwood Montessori Nursery Garhoud</v>
      </c>
      <c r="C12731" s="2" t="str">
        <f ca="1">IFERROR(__xludf.DUMMYFUNCTION("""COMPUTED_VALUE"""),"Nursery")</f>
        <v>Nursery</v>
      </c>
      <c r="D12731" s="2" t="str">
        <f ca="1">IFERROR(__xludf.DUMMYFUNCTION("""COMPUTED_VALUE"""),"Dubai&gt;Al Garhoud&gt;Redwood Montessori Nursery Garhoud")</f>
        <v>Dubai&gt;Al Garhoud&gt;Redwood Montessori Nursery Garhoud</v>
      </c>
      <c r="E12731" s="2"/>
      <c r="F12731" s="2"/>
      <c r="G12731" s="2"/>
      <c r="H12731" s="2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2"/>
      <c r="T12731" s="2"/>
      <c r="U12731" s="2"/>
      <c r="V12731" s="2"/>
      <c r="W12731" s="2"/>
      <c r="X12731" s="2"/>
      <c r="Y12731" s="2"/>
      <c r="Z12731" s="2"/>
    </row>
    <row r="12732" spans="1:26" ht="16.5" x14ac:dyDescent="0.35">
      <c r="A12732" s="2" t="str">
        <f ca="1">IFERROR(__xludf.DUMMYFUNCTION("""COMPUTED_VALUE"""),"Dubai")</f>
        <v>Dubai</v>
      </c>
      <c r="B12732" s="2" t="str">
        <f ca="1">IFERROR(__xludf.DUMMYFUNCTION("""COMPUTED_VALUE"""),"Al Garhoud Residential Block F")</f>
        <v>Al Garhoud Residential Block F</v>
      </c>
      <c r="C12732" s="2" t="str">
        <f ca="1">IFERROR(__xludf.DUMMYFUNCTION("""COMPUTED_VALUE"""),"Building")</f>
        <v>Building</v>
      </c>
      <c r="D12732" s="2" t="str">
        <f ca="1">IFERROR(__xludf.DUMMYFUNCTION("""COMPUTED_VALUE"""),"Dubai&gt;Al Garhoud&gt;Al Garhoud Residential Block F")</f>
        <v>Dubai&gt;Al Garhoud&gt;Al Garhoud Residential Block F</v>
      </c>
      <c r="E12732" s="2"/>
      <c r="F12732" s="2"/>
      <c r="G12732" s="2"/>
      <c r="H12732" s="2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2"/>
      <c r="T12732" s="2"/>
      <c r="U12732" s="2"/>
      <c r="V12732" s="2"/>
      <c r="W12732" s="2"/>
      <c r="X12732" s="2"/>
      <c r="Y12732" s="2"/>
      <c r="Z12732" s="2"/>
    </row>
    <row r="12733" spans="1:26" ht="16.5" x14ac:dyDescent="0.35">
      <c r="A12733" s="2" t="str">
        <f ca="1">IFERROR(__xludf.DUMMYFUNCTION("""COMPUTED_VALUE"""),"Dubai")</f>
        <v>Dubai</v>
      </c>
      <c r="B12733" s="2" t="str">
        <f ca="1">IFERROR(__xludf.DUMMYFUNCTION("""COMPUTED_VALUE"""),"Mohammed Abdul Rahman Al Ashram Building Block A")</f>
        <v>Mohammed Abdul Rahman Al Ashram Building Block A</v>
      </c>
      <c r="C12733" s="2" t="str">
        <f ca="1">IFERROR(__xludf.DUMMYFUNCTION("""COMPUTED_VALUE"""),"Building")</f>
        <v>Building</v>
      </c>
      <c r="D12733" s="2" t="str">
        <f ca="1">IFERROR(__xludf.DUMMYFUNCTION("""COMPUTED_VALUE"""),"Dubai&gt;Al Garhoud&gt;Mohammed Abdul Rahman Al Ashram Building&gt;Mohammed Abdul Rahman Al Ashram Building Block A")</f>
        <v>Dubai&gt;Al Garhoud&gt;Mohammed Abdul Rahman Al Ashram Building&gt;Mohammed Abdul Rahman Al Ashram Building Block A</v>
      </c>
      <c r="E12733" s="2"/>
      <c r="F12733" s="2"/>
      <c r="G12733" s="2"/>
      <c r="H12733" s="2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2"/>
      <c r="T12733" s="2"/>
      <c r="U12733" s="2"/>
      <c r="V12733" s="2"/>
      <c r="W12733" s="2"/>
      <c r="X12733" s="2"/>
      <c r="Y12733" s="2"/>
      <c r="Z12733" s="2"/>
    </row>
    <row r="12734" spans="1:26" ht="16.5" x14ac:dyDescent="0.35">
      <c r="A12734" s="2" t="str">
        <f ca="1">IFERROR(__xludf.DUMMYFUNCTION("""COMPUTED_VALUE"""),"Dubai")</f>
        <v>Dubai</v>
      </c>
      <c r="B12734" s="2" t="str">
        <f ca="1">IFERROR(__xludf.DUMMYFUNCTION("""COMPUTED_VALUE"""),"Cluster 21")</f>
        <v>Cluster 21</v>
      </c>
      <c r="C12734" s="2" t="str">
        <f ca="1">IFERROR(__xludf.DUMMYFUNCTION("""COMPUTED_VALUE"""),"Neighbourhood")</f>
        <v>Neighbourhood</v>
      </c>
      <c r="D12734" s="2" t="str">
        <f ca="1">IFERROR(__xludf.DUMMYFUNCTION("""COMPUTED_VALUE"""),"Dubai&gt;Jumeirah Islands&gt;Cluster 21")</f>
        <v>Dubai&gt;Jumeirah Islands&gt;Cluster 21</v>
      </c>
      <c r="E12734" s="2"/>
      <c r="F12734" s="2"/>
      <c r="G12734" s="2"/>
      <c r="H12734" s="2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2"/>
      <c r="T12734" s="2"/>
      <c r="U12734" s="2"/>
      <c r="V12734" s="2"/>
      <c r="W12734" s="2"/>
      <c r="X12734" s="2"/>
      <c r="Y12734" s="2"/>
      <c r="Z12734" s="2"/>
    </row>
    <row r="12735" spans="1:26" ht="16.5" x14ac:dyDescent="0.35">
      <c r="A12735" s="2" t="str">
        <f ca="1">IFERROR(__xludf.DUMMYFUNCTION("""COMPUTED_VALUE"""),"Dubai")</f>
        <v>Dubai</v>
      </c>
      <c r="B12735" s="2" t="str">
        <f ca="1">IFERROR(__xludf.DUMMYFUNCTION("""COMPUTED_VALUE"""),"Mediterranean Cluster")</f>
        <v>Mediterranean Cluster</v>
      </c>
      <c r="C12735" s="2" t="str">
        <f ca="1">IFERROR(__xludf.DUMMYFUNCTION("""COMPUTED_VALUE"""),"Cluster")</f>
        <v>Cluster</v>
      </c>
      <c r="D12735" s="2" t="str">
        <f ca="1">IFERROR(__xludf.DUMMYFUNCTION("""COMPUTED_VALUE"""),"Dubai&gt;Jumeirah Islands&gt;Mediterranean Cluster")</f>
        <v>Dubai&gt;Jumeirah Islands&gt;Mediterranean Cluster</v>
      </c>
      <c r="E12735" s="2"/>
      <c r="F12735" s="2"/>
      <c r="G12735" s="2"/>
      <c r="H12735" s="2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2"/>
      <c r="T12735" s="2"/>
      <c r="U12735" s="2"/>
      <c r="V12735" s="2"/>
      <c r="W12735" s="2"/>
      <c r="X12735" s="2"/>
      <c r="Y12735" s="2"/>
      <c r="Z12735" s="2"/>
    </row>
    <row r="12736" spans="1:26" ht="16.5" x14ac:dyDescent="0.35">
      <c r="A12736" s="2" t="str">
        <f ca="1">IFERROR(__xludf.DUMMYFUNCTION("""COMPUTED_VALUE"""),"Dubai")</f>
        <v>Dubai</v>
      </c>
      <c r="B12736" s="2" t="str">
        <f ca="1">IFERROR(__xludf.DUMMYFUNCTION("""COMPUTED_VALUE"""),"Union Residence 1")</f>
        <v>Union Residence 1</v>
      </c>
      <c r="C12736" s="2" t="str">
        <f ca="1">IFERROR(__xludf.DUMMYFUNCTION("""COMPUTED_VALUE"""),"Cluster")</f>
        <v>Cluster</v>
      </c>
      <c r="D12736" s="2" t="str">
        <f ca="1">IFERROR(__xludf.DUMMYFUNCTION("""COMPUTED_VALUE"""),"Dubai&gt;Green Community&gt;Union Residence 1")</f>
        <v>Dubai&gt;Green Community&gt;Union Residence 1</v>
      </c>
      <c r="E12736" s="2"/>
      <c r="F12736" s="2"/>
      <c r="G12736" s="2"/>
      <c r="H12736" s="2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2"/>
      <c r="T12736" s="2"/>
      <c r="U12736" s="2"/>
      <c r="V12736" s="2"/>
      <c r="W12736" s="2"/>
      <c r="X12736" s="2"/>
      <c r="Y12736" s="2"/>
      <c r="Z12736" s="2"/>
    </row>
    <row r="12737" spans="1:26" ht="16.5" x14ac:dyDescent="0.35">
      <c r="A12737" s="2" t="str">
        <f ca="1">IFERROR(__xludf.DUMMYFUNCTION("""COMPUTED_VALUE"""),"Dubai")</f>
        <v>Dubai</v>
      </c>
      <c r="B12737" s="2" t="str">
        <f ca="1">IFERROR(__xludf.DUMMYFUNCTION("""COMPUTED_VALUE"""),"Northwest Apartments 2")</f>
        <v>Northwest Apartments 2</v>
      </c>
      <c r="C12737" s="2" t="str">
        <f ca="1">IFERROR(__xludf.DUMMYFUNCTION("""COMPUTED_VALUE"""),"Building")</f>
        <v>Building</v>
      </c>
      <c r="D12737" s="2" t="str">
        <f ca="1">IFERROR(__xludf.DUMMYFUNCTION("""COMPUTED_VALUE"""),"Dubai&gt;Green Community&gt;Green Community West&gt;Northwest Garden Apartments&gt;Northwest Apartments 2")</f>
        <v>Dubai&gt;Green Community&gt;Green Community West&gt;Northwest Garden Apartments&gt;Northwest Apartments 2</v>
      </c>
      <c r="E12737" s="2"/>
      <c r="F12737" s="2"/>
      <c r="G12737" s="2"/>
      <c r="H12737" s="2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2"/>
      <c r="T12737" s="2"/>
      <c r="U12737" s="2"/>
      <c r="V12737" s="2"/>
      <c r="W12737" s="2"/>
      <c r="X12737" s="2"/>
      <c r="Y12737" s="2"/>
      <c r="Z12737" s="2"/>
    </row>
    <row r="12738" spans="1:26" ht="16.5" x14ac:dyDescent="0.35">
      <c r="A12738" s="2" t="str">
        <f ca="1">IFERROR(__xludf.DUMMYFUNCTION("""COMPUTED_VALUE"""),"Dubai")</f>
        <v>Dubai</v>
      </c>
      <c r="B12738" s="2" t="str">
        <f ca="1">IFERROR(__xludf.DUMMYFUNCTION("""COMPUTED_VALUE"""),"Grand Horizon")</f>
        <v>Grand Horizon</v>
      </c>
      <c r="C12738" s="2" t="str">
        <f ca="1">IFERROR(__xludf.DUMMYFUNCTION("""COMPUTED_VALUE"""),"Cluster")</f>
        <v>Cluster</v>
      </c>
      <c r="D12738" s="2" t="str">
        <f ca="1">IFERROR(__xludf.DUMMYFUNCTION("""COMPUTED_VALUE"""),"Dubai&gt;Dubai Sports City&gt;Grand Horizon")</f>
        <v>Dubai&gt;Dubai Sports City&gt;Grand Horizon</v>
      </c>
      <c r="E12738" s="2"/>
      <c r="F12738" s="2"/>
      <c r="G12738" s="2"/>
      <c r="H12738" s="2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2"/>
      <c r="T12738" s="2"/>
      <c r="U12738" s="2"/>
      <c r="V12738" s="2"/>
      <c r="W12738" s="2"/>
      <c r="X12738" s="2"/>
      <c r="Y12738" s="2"/>
      <c r="Z12738" s="2"/>
    </row>
    <row r="12739" spans="1:26" ht="16.5" x14ac:dyDescent="0.35">
      <c r="A12739" s="2" t="str">
        <f ca="1">IFERROR(__xludf.DUMMYFUNCTION("""COMPUTED_VALUE"""),"Dubai")</f>
        <v>Dubai</v>
      </c>
      <c r="B12739" s="2" t="str">
        <f ca="1">IFERROR(__xludf.DUMMYFUNCTION("""COMPUTED_VALUE"""),"Coral International Hotel Apartment")</f>
        <v>Coral International Hotel Apartment</v>
      </c>
      <c r="C12739" s="2" t="str">
        <f ca="1">IFERROR(__xludf.DUMMYFUNCTION("""COMPUTED_VALUE"""),"Building")</f>
        <v>Building</v>
      </c>
      <c r="D12739" s="2" t="str">
        <f ca="1">IFERROR(__xludf.DUMMYFUNCTION("""COMPUTED_VALUE"""),"Dubai&gt;Dubai Sports City&gt;Coral International Hotel Apartment")</f>
        <v>Dubai&gt;Dubai Sports City&gt;Coral International Hotel Apartment</v>
      </c>
      <c r="E12739" s="2"/>
      <c r="F12739" s="2"/>
      <c r="G12739" s="2"/>
      <c r="H12739" s="2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2"/>
      <c r="T12739" s="2"/>
      <c r="U12739" s="2"/>
      <c r="V12739" s="2"/>
      <c r="W12739" s="2"/>
      <c r="X12739" s="2"/>
      <c r="Y12739" s="2"/>
      <c r="Z12739" s="2"/>
    </row>
    <row r="12740" spans="1:26" ht="16.5" x14ac:dyDescent="0.35">
      <c r="A12740" s="2" t="str">
        <f ca="1">IFERROR(__xludf.DUMMYFUNCTION("""COMPUTED_VALUE"""),"Dubai")</f>
        <v>Dubai</v>
      </c>
      <c r="B12740" s="2" t="str">
        <f ca="1">IFERROR(__xludf.DUMMYFUNCTION("""COMPUTED_VALUE"""),"Manchester Sports Tower")</f>
        <v>Manchester Sports Tower</v>
      </c>
      <c r="C12740" s="2"/>
      <c r="D12740" s="2" t="str">
        <f ca="1">IFERROR(__xludf.DUMMYFUNCTION("""COMPUTED_VALUE"""),"Dubai&gt;Dubai Sports City&gt;Manchester Sports Tower")</f>
        <v>Dubai&gt;Dubai Sports City&gt;Manchester Sports Tower</v>
      </c>
      <c r="E12740" s="2"/>
      <c r="F12740" s="2"/>
      <c r="G12740" s="2"/>
      <c r="H12740" s="2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2"/>
      <c r="T12740" s="2"/>
      <c r="U12740" s="2"/>
      <c r="V12740" s="2"/>
      <c r="W12740" s="2"/>
      <c r="X12740" s="2"/>
      <c r="Y12740" s="2"/>
      <c r="Z12740" s="2"/>
    </row>
    <row r="12741" spans="1:26" ht="16.5" x14ac:dyDescent="0.35">
      <c r="A12741" s="2" t="str">
        <f ca="1">IFERROR(__xludf.DUMMYFUNCTION("""COMPUTED_VALUE"""),"Dubai")</f>
        <v>Dubai</v>
      </c>
      <c r="B12741" s="2" t="str">
        <f ca="1">IFERROR(__xludf.DUMMYFUNCTION("""COMPUTED_VALUE"""),"Aurelia Residence")</f>
        <v>Aurelia Residence</v>
      </c>
      <c r="C12741" s="2" t="str">
        <f ca="1">IFERROR(__xludf.DUMMYFUNCTION("""COMPUTED_VALUE"""),"Building")</f>
        <v>Building</v>
      </c>
      <c r="D12741" s="2" t="str">
        <f ca="1">IFERROR(__xludf.DUMMYFUNCTION("""COMPUTED_VALUE"""),"Dubai&gt;Dubai Sports City&gt;Aurelia Residence")</f>
        <v>Dubai&gt;Dubai Sports City&gt;Aurelia Residence</v>
      </c>
      <c r="E12741" s="2"/>
      <c r="F12741" s="2"/>
      <c r="G12741" s="2"/>
      <c r="H12741" s="2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2"/>
      <c r="T12741" s="2"/>
      <c r="U12741" s="2"/>
      <c r="V12741" s="2"/>
      <c r="W12741" s="2"/>
      <c r="X12741" s="2"/>
      <c r="Y12741" s="2"/>
      <c r="Z12741" s="2"/>
    </row>
    <row r="12742" spans="1:26" ht="16.5" x14ac:dyDescent="0.35">
      <c r="A12742" s="2" t="str">
        <f ca="1">IFERROR(__xludf.DUMMYFUNCTION("""COMPUTED_VALUE"""),"Dubai")</f>
        <v>Dubai</v>
      </c>
      <c r="B12742" s="2" t="str">
        <f ca="1">IFERROR(__xludf.DUMMYFUNCTION("""COMPUTED_VALUE"""),"Al Noor Building 1")</f>
        <v>Al Noor Building 1</v>
      </c>
      <c r="C12742" s="2" t="str">
        <f ca="1">IFERROR(__xludf.DUMMYFUNCTION("""COMPUTED_VALUE"""),"Building")</f>
        <v>Building</v>
      </c>
      <c r="D12742" s="2" t="str">
        <f ca="1">IFERROR(__xludf.DUMMYFUNCTION("""COMPUTED_VALUE"""),"Dubai&gt;Al Nahda (Dubai)&gt;Al Nahda 1&gt;Al Noor Building 1")</f>
        <v>Dubai&gt;Al Nahda (Dubai)&gt;Al Nahda 1&gt;Al Noor Building 1</v>
      </c>
      <c r="E12742" s="2"/>
      <c r="F12742" s="2"/>
      <c r="G12742" s="2"/>
      <c r="H12742" s="2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2"/>
      <c r="T12742" s="2"/>
      <c r="U12742" s="2"/>
      <c r="V12742" s="2"/>
      <c r="W12742" s="2"/>
      <c r="X12742" s="2"/>
      <c r="Y12742" s="2"/>
      <c r="Z12742" s="2"/>
    </row>
    <row r="12743" spans="1:26" ht="16.5" x14ac:dyDescent="0.35">
      <c r="A12743" s="2" t="str">
        <f ca="1">IFERROR(__xludf.DUMMYFUNCTION("""COMPUTED_VALUE"""),"Dubai")</f>
        <v>Dubai</v>
      </c>
      <c r="B12743" s="2" t="str">
        <f ca="1">IFERROR(__xludf.DUMMYFUNCTION("""COMPUTED_VALUE"""),"Al Mamzar Gate")</f>
        <v>Al Mamzar Gate</v>
      </c>
      <c r="C12743" s="2" t="str">
        <f ca="1">IFERROR(__xludf.DUMMYFUNCTION("""COMPUTED_VALUE"""),"Building")</f>
        <v>Building</v>
      </c>
      <c r="D12743" s="2" t="str">
        <f ca="1">IFERROR(__xludf.DUMMYFUNCTION("""COMPUTED_VALUE"""),"Dubai&gt;Al Nahda (Dubai)&gt;Al Nahda 1&gt;Al Mamzar Gate")</f>
        <v>Dubai&gt;Al Nahda (Dubai)&gt;Al Nahda 1&gt;Al Mamzar Gate</v>
      </c>
      <c r="E12743" s="2"/>
      <c r="F12743" s="2"/>
      <c r="G12743" s="2"/>
      <c r="H12743" s="2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2"/>
      <c r="T12743" s="2"/>
      <c r="U12743" s="2"/>
      <c r="V12743" s="2"/>
      <c r="W12743" s="2"/>
      <c r="X12743" s="2"/>
      <c r="Y12743" s="2"/>
      <c r="Z12743" s="2"/>
    </row>
    <row r="12744" spans="1:26" ht="16.5" x14ac:dyDescent="0.35">
      <c r="A12744" s="2" t="str">
        <f ca="1">IFERROR(__xludf.DUMMYFUNCTION("""COMPUTED_VALUE"""),"Dubai")</f>
        <v>Dubai</v>
      </c>
      <c r="B12744" s="2" t="str">
        <f ca="1">IFERROR(__xludf.DUMMYFUNCTION("""COMPUTED_VALUE"""),"Dar Al Ber Building")</f>
        <v>Dar Al Ber Building</v>
      </c>
      <c r="C12744" s="2" t="str">
        <f ca="1">IFERROR(__xludf.DUMMYFUNCTION("""COMPUTED_VALUE"""),"Building")</f>
        <v>Building</v>
      </c>
      <c r="D12744" s="2" t="str">
        <f ca="1">IFERROR(__xludf.DUMMYFUNCTION("""COMPUTED_VALUE"""),"Dubai&gt;Al Nahda (Dubai)&gt;Al Nahda 2&gt;Dar Al Ber Building")</f>
        <v>Dubai&gt;Al Nahda (Dubai)&gt;Al Nahda 2&gt;Dar Al Ber Building</v>
      </c>
      <c r="E12744" s="2"/>
      <c r="F12744" s="2"/>
      <c r="G12744" s="2"/>
      <c r="H12744" s="2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2"/>
      <c r="T12744" s="2"/>
      <c r="U12744" s="2"/>
      <c r="V12744" s="2"/>
      <c r="W12744" s="2"/>
      <c r="X12744" s="2"/>
      <c r="Y12744" s="2"/>
      <c r="Z12744" s="2"/>
    </row>
    <row r="12745" spans="1:26" ht="16.5" x14ac:dyDescent="0.35">
      <c r="A12745" s="2" t="str">
        <f ca="1">IFERROR(__xludf.DUMMYFUNCTION("""COMPUTED_VALUE"""),"Dubai")</f>
        <v>Dubai</v>
      </c>
      <c r="B12745" s="2" t="str">
        <f ca="1">IFERROR(__xludf.DUMMYFUNCTION("""COMPUTED_VALUE"""),"Al Gurg Twin Towers")</f>
        <v>Al Gurg Twin Towers</v>
      </c>
      <c r="C12745" s="2" t="str">
        <f ca="1">IFERROR(__xludf.DUMMYFUNCTION("""COMPUTED_VALUE"""),"Building")</f>
        <v>Building</v>
      </c>
      <c r="D12745" s="2" t="str">
        <f ca="1">IFERROR(__xludf.DUMMYFUNCTION("""COMPUTED_VALUE"""),"Dubai&gt;Al Nahda (Dubai)&gt;Al Nahda 2&gt;Al Gurg Twin Towers")</f>
        <v>Dubai&gt;Al Nahda (Dubai)&gt;Al Nahda 2&gt;Al Gurg Twin Towers</v>
      </c>
      <c r="E12745" s="2"/>
      <c r="F12745" s="2"/>
      <c r="G12745" s="2"/>
      <c r="H12745" s="2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2"/>
      <c r="T12745" s="2"/>
      <c r="U12745" s="2"/>
      <c r="V12745" s="2"/>
      <c r="W12745" s="2"/>
      <c r="X12745" s="2"/>
      <c r="Y12745" s="2"/>
      <c r="Z12745" s="2"/>
    </row>
    <row r="12746" spans="1:26" ht="16.5" x14ac:dyDescent="0.35">
      <c r="A12746" s="2" t="str">
        <f ca="1">IFERROR(__xludf.DUMMYFUNCTION("""COMPUTED_VALUE"""),"Dubai")</f>
        <v>Dubai</v>
      </c>
      <c r="B12746" s="2" t="str">
        <f ca="1">IFERROR(__xludf.DUMMYFUNCTION("""COMPUTED_VALUE"""),"Andalusiah Building")</f>
        <v>Andalusiah Building</v>
      </c>
      <c r="C12746" s="2" t="str">
        <f ca="1">IFERROR(__xludf.DUMMYFUNCTION("""COMPUTED_VALUE"""),"Building")</f>
        <v>Building</v>
      </c>
      <c r="D12746" s="2" t="str">
        <f ca="1">IFERROR(__xludf.DUMMYFUNCTION("""COMPUTED_VALUE"""),"Dubai&gt;Al Nahda (Dubai)&gt;Al Nahda 2&gt;Andalusiah Building")</f>
        <v>Dubai&gt;Al Nahda (Dubai)&gt;Al Nahda 2&gt;Andalusiah Building</v>
      </c>
      <c r="E12746" s="2"/>
      <c r="F12746" s="2"/>
      <c r="G12746" s="2"/>
      <c r="H12746" s="2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2"/>
      <c r="T12746" s="2"/>
      <c r="U12746" s="2"/>
      <c r="V12746" s="2"/>
      <c r="W12746" s="2"/>
      <c r="X12746" s="2"/>
      <c r="Y12746" s="2"/>
      <c r="Z12746" s="2"/>
    </row>
    <row r="12747" spans="1:26" ht="16.5" x14ac:dyDescent="0.35">
      <c r="A12747" s="2" t="str">
        <f ca="1">IFERROR(__xludf.DUMMYFUNCTION("""COMPUTED_VALUE"""),"Dubai")</f>
        <v>Dubai</v>
      </c>
      <c r="B12747" s="2" t="str">
        <f ca="1">IFERROR(__xludf.DUMMYFUNCTION("""COMPUTED_VALUE"""),"Dar Al Barakah")</f>
        <v>Dar Al Barakah</v>
      </c>
      <c r="C12747" s="2" t="str">
        <f ca="1">IFERROR(__xludf.DUMMYFUNCTION("""COMPUTED_VALUE"""),"Building")</f>
        <v>Building</v>
      </c>
      <c r="D12747" s="2" t="str">
        <f ca="1">IFERROR(__xludf.DUMMYFUNCTION("""COMPUTED_VALUE"""),"Dubai&gt;Al Nahda (Dubai)&gt;Al Nahda 2&gt;Dar Al Barakah")</f>
        <v>Dubai&gt;Al Nahda (Dubai)&gt;Al Nahda 2&gt;Dar Al Barakah</v>
      </c>
      <c r="E12747" s="2"/>
      <c r="F12747" s="2"/>
      <c r="G12747" s="2"/>
      <c r="H12747" s="2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2"/>
      <c r="T12747" s="2"/>
      <c r="U12747" s="2"/>
      <c r="V12747" s="2"/>
      <c r="W12747" s="2"/>
      <c r="X12747" s="2"/>
      <c r="Y12747" s="2"/>
      <c r="Z12747" s="2"/>
    </row>
    <row r="12748" spans="1:26" ht="16.5" x14ac:dyDescent="0.35">
      <c r="A12748" s="2" t="str">
        <f ca="1">IFERROR(__xludf.DUMMYFUNCTION("""COMPUTED_VALUE"""),"Dubai")</f>
        <v>Dubai</v>
      </c>
      <c r="B12748" s="2" t="str">
        <f ca="1">IFERROR(__xludf.DUMMYFUNCTION("""COMPUTED_VALUE"""),"Regional")</f>
        <v>Regional</v>
      </c>
      <c r="C12748" s="2" t="str">
        <f ca="1">IFERROR(__xludf.DUMMYFUNCTION("""COMPUTED_VALUE"""),"Neighbourhood")</f>
        <v>Neighbourhood</v>
      </c>
      <c r="D12748" s="2" t="str">
        <f ca="1">IFERROR(__xludf.DUMMYFUNCTION("""COMPUTED_VALUE"""),"Dubai&gt;Jumeirah Park&gt;Regional")</f>
        <v>Dubai&gt;Jumeirah Park&gt;Regional</v>
      </c>
      <c r="E12748" s="2"/>
      <c r="F12748" s="2"/>
      <c r="G12748" s="2"/>
      <c r="H12748" s="2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2"/>
      <c r="T12748" s="2"/>
      <c r="U12748" s="2"/>
      <c r="V12748" s="2"/>
      <c r="W12748" s="2"/>
      <c r="X12748" s="2"/>
      <c r="Y12748" s="2"/>
      <c r="Z12748" s="2"/>
    </row>
    <row r="12749" spans="1:26" ht="16.5" x14ac:dyDescent="0.35">
      <c r="A12749" s="2" t="str">
        <f ca="1">IFERROR(__xludf.DUMMYFUNCTION("""COMPUTED_VALUE"""),"Dubai")</f>
        <v>Dubai</v>
      </c>
      <c r="B12749" s="2" t="str">
        <f ca="1">IFERROR(__xludf.DUMMYFUNCTION("""COMPUTED_VALUE"""),"Lagoon Views 8")</f>
        <v>Lagoon Views 8</v>
      </c>
      <c r="C12749" s="2" t="str">
        <f ca="1">IFERROR(__xludf.DUMMYFUNCTION("""COMPUTED_VALUE"""),"Building")</f>
        <v>Building</v>
      </c>
      <c r="D12749" s="2" t="str">
        <f ca="1">IFERROR(__xludf.DUMMYFUNCTION("""COMPUTED_VALUE"""),"Dubai&gt;DAMAC Lagoons&gt;Lagoon Views&gt;Lagoon Views 8")</f>
        <v>Dubai&gt;DAMAC Lagoons&gt;Lagoon Views&gt;Lagoon Views 8</v>
      </c>
      <c r="E12749" s="2"/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  <c r="V12749" s="2"/>
      <c r="W12749" s="2"/>
      <c r="X12749" s="2"/>
      <c r="Y12749" s="2"/>
      <c r="Z12749" s="2"/>
    </row>
    <row r="12750" spans="1:26" ht="16.5" x14ac:dyDescent="0.35">
      <c r="A12750" s="2" t="str">
        <f ca="1">IFERROR(__xludf.DUMMYFUNCTION("""COMPUTED_VALUE"""),"Dubai")</f>
        <v>Dubai</v>
      </c>
      <c r="B12750" s="2" t="str">
        <f ca="1">IFERROR(__xludf.DUMMYFUNCTION("""COMPUTED_VALUE"""),"Hamad Residence")</f>
        <v>Hamad Residence</v>
      </c>
      <c r="C12750" s="2" t="str">
        <f ca="1">IFERROR(__xludf.DUMMYFUNCTION("""COMPUTED_VALUE"""),"Building")</f>
        <v>Building</v>
      </c>
      <c r="D12750" s="2" t="str">
        <f ca="1">IFERROR(__xludf.DUMMYFUNCTION("""COMPUTED_VALUE"""),"Dubai&gt;Liwan 2&gt;Hamad Residence")</f>
        <v>Dubai&gt;Liwan 2&gt;Hamad Residence</v>
      </c>
      <c r="E12750" s="2"/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  <c r="V12750" s="2"/>
      <c r="W12750" s="2"/>
      <c r="X12750" s="2"/>
      <c r="Y12750" s="2"/>
      <c r="Z12750" s="2"/>
    </row>
    <row r="12751" spans="1:26" ht="16.5" x14ac:dyDescent="0.35">
      <c r="A12751" s="2" t="str">
        <f ca="1">IFERROR(__xludf.DUMMYFUNCTION("""COMPUTED_VALUE"""),"Dubai")</f>
        <v>Dubai</v>
      </c>
      <c r="B12751" s="2" t="str">
        <f ca="1">IFERROR(__xludf.DUMMYFUNCTION("""COMPUTED_VALUE"""),"Marwan Building")</f>
        <v>Marwan Building</v>
      </c>
      <c r="C12751" s="2" t="str">
        <f ca="1">IFERROR(__xludf.DUMMYFUNCTION("""COMPUTED_VALUE"""),"Building")</f>
        <v>Building</v>
      </c>
      <c r="D12751" s="2" t="str">
        <f ca="1">IFERROR(__xludf.DUMMYFUNCTION("""COMPUTED_VALUE"""),"Dubai&gt;Liwan 2&gt;Marwan Building")</f>
        <v>Dubai&gt;Liwan 2&gt;Marwan Building</v>
      </c>
      <c r="E12751" s="2"/>
      <c r="F12751" s="2"/>
      <c r="G12751" s="2"/>
      <c r="H12751" s="2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2"/>
      <c r="T12751" s="2"/>
      <c r="U12751" s="2"/>
      <c r="V12751" s="2"/>
      <c r="W12751" s="2"/>
      <c r="X12751" s="2"/>
      <c r="Y12751" s="2"/>
      <c r="Z12751" s="2"/>
    </row>
    <row r="12752" spans="1:26" ht="16.5" x14ac:dyDescent="0.35">
      <c r="A12752" s="2" t="str">
        <f ca="1">IFERROR(__xludf.DUMMYFUNCTION("""COMPUTED_VALUE"""),"Dubai")</f>
        <v>Dubai</v>
      </c>
      <c r="B12752" s="2" t="str">
        <f ca="1">IFERROR(__xludf.DUMMYFUNCTION("""COMPUTED_VALUE"""),"Lotus Residence 6")</f>
        <v>Lotus Residence 6</v>
      </c>
      <c r="C12752" s="2" t="str">
        <f ca="1">IFERROR(__xludf.DUMMYFUNCTION("""COMPUTED_VALUE"""),"Building")</f>
        <v>Building</v>
      </c>
      <c r="D12752" s="2" t="str">
        <f ca="1">IFERROR(__xludf.DUMMYFUNCTION("""COMPUTED_VALUE"""),"Dubai&gt;Dubai Investment Park (DIP)&gt;Dubai Investment Park 1&gt;Lotus Residence&gt;Lotus Residence 6")</f>
        <v>Dubai&gt;Dubai Investment Park (DIP)&gt;Dubai Investment Park 1&gt;Lotus Residence&gt;Lotus Residence 6</v>
      </c>
      <c r="E12752" s="2"/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  <c r="V12752" s="2"/>
      <c r="W12752" s="2"/>
      <c r="X12752" s="2"/>
      <c r="Y12752" s="2"/>
      <c r="Z12752" s="2"/>
    </row>
    <row r="12753" spans="1:26" ht="16.5" x14ac:dyDescent="0.35">
      <c r="A12753" s="2" t="str">
        <f ca="1">IFERROR(__xludf.DUMMYFUNCTION("""COMPUTED_VALUE"""),"Dubai")</f>
        <v>Dubai</v>
      </c>
      <c r="B12753" s="2" t="str">
        <f ca="1">IFERROR(__xludf.DUMMYFUNCTION("""COMPUTED_VALUE"""),"Capriole Construction Labours Accommodation")</f>
        <v>Capriole Construction Labours Accommodation</v>
      </c>
      <c r="C12753" s="2" t="str">
        <f ca="1">IFERROR(__xludf.DUMMYFUNCTION("""COMPUTED_VALUE"""),"Building")</f>
        <v>Building</v>
      </c>
      <c r="D12753" s="2" t="str">
        <f ca="1">IFERROR(__xludf.DUMMYFUNCTION("""COMPUTED_VALUE"""),"Dubai&gt;Dubai Investment Park (DIP)&gt;Dubai Investment Park 1&gt;Capriole Construction Labours Accommodation")</f>
        <v>Dubai&gt;Dubai Investment Park (DIP)&gt;Dubai Investment Park 1&gt;Capriole Construction Labours Accommodation</v>
      </c>
      <c r="E12753" s="2"/>
      <c r="F12753" s="2"/>
      <c r="G12753" s="2"/>
      <c r="H12753" s="2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2"/>
      <c r="T12753" s="2"/>
      <c r="U12753" s="2"/>
      <c r="V12753" s="2"/>
      <c r="W12753" s="2"/>
      <c r="X12753" s="2"/>
      <c r="Y12753" s="2"/>
      <c r="Z12753" s="2"/>
    </row>
    <row r="12754" spans="1:26" ht="16.5" x14ac:dyDescent="0.35">
      <c r="A12754" s="2" t="str">
        <f ca="1">IFERROR(__xludf.DUMMYFUNCTION("""COMPUTED_VALUE"""),"Dubai")</f>
        <v>Dubai</v>
      </c>
      <c r="B12754" s="2" t="str">
        <f ca="1">IFERROR(__xludf.DUMMYFUNCTION("""COMPUTED_VALUE"""),"Verdana 3")</f>
        <v>Verdana 3</v>
      </c>
      <c r="C12754" s="2" t="str">
        <f ca="1">IFERROR(__xludf.DUMMYFUNCTION("""COMPUTED_VALUE"""),"Neighbourhood")</f>
        <v>Neighbourhood</v>
      </c>
      <c r="D12754" s="2" t="str">
        <f ca="1">IFERROR(__xludf.DUMMYFUNCTION("""COMPUTED_VALUE"""),"Dubai&gt;Dubai Investment Park (DIP)&gt;Dubai Investment Park 1&gt;Verdana 3")</f>
        <v>Dubai&gt;Dubai Investment Park (DIP)&gt;Dubai Investment Park 1&gt;Verdana 3</v>
      </c>
      <c r="E12754" s="2"/>
      <c r="F12754" s="2"/>
      <c r="G12754" s="2"/>
      <c r="H12754" s="2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2"/>
      <c r="T12754" s="2"/>
      <c r="U12754" s="2"/>
      <c r="V12754" s="2"/>
      <c r="W12754" s="2"/>
      <c r="X12754" s="2"/>
      <c r="Y12754" s="2"/>
      <c r="Z12754" s="2"/>
    </row>
    <row r="12755" spans="1:26" ht="16.5" x14ac:dyDescent="0.35">
      <c r="A12755" s="2" t="str">
        <f ca="1">IFERROR(__xludf.DUMMYFUNCTION("""COMPUTED_VALUE"""),"Dubai")</f>
        <v>Dubai</v>
      </c>
      <c r="B12755" s="2" t="str">
        <f ca="1">IFERROR(__xludf.DUMMYFUNCTION("""COMPUTED_VALUE"""),"Ritaj Block F")</f>
        <v>Ritaj Block F</v>
      </c>
      <c r="C12755" s="2" t="str">
        <f ca="1">IFERROR(__xludf.DUMMYFUNCTION("""COMPUTED_VALUE"""),"Building")</f>
        <v>Building</v>
      </c>
      <c r="D12755" s="2" t="str">
        <f ca="1">IFERROR(__xludf.DUMMYFUNCTION("""COMPUTED_VALUE"""),"Dubai&gt;Dubai Investment Park (DIP)&gt;Dubai Investment Park 2&gt;Ritaj (Residential Complex)&gt;Ritaj Block F")</f>
        <v>Dubai&gt;Dubai Investment Park (DIP)&gt;Dubai Investment Park 2&gt;Ritaj (Residential Complex)&gt;Ritaj Block F</v>
      </c>
      <c r="E12755" s="2"/>
      <c r="F12755" s="2"/>
      <c r="G12755" s="2"/>
      <c r="H12755" s="2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2"/>
      <c r="T12755" s="2"/>
      <c r="U12755" s="2"/>
      <c r="V12755" s="2"/>
      <c r="W12755" s="2"/>
      <c r="X12755" s="2"/>
      <c r="Y12755" s="2"/>
      <c r="Z12755" s="2"/>
    </row>
    <row r="12756" spans="1:26" ht="16.5" x14ac:dyDescent="0.35">
      <c r="A12756" s="2" t="str">
        <f ca="1">IFERROR(__xludf.DUMMYFUNCTION("""COMPUTED_VALUE"""),"Dubai")</f>
        <v>Dubai</v>
      </c>
      <c r="B12756" s="2" t="str">
        <f ca="1">IFERROR(__xludf.DUMMYFUNCTION("""COMPUTED_VALUE"""),"Falak Holding Labour Camp")</f>
        <v>Falak Holding Labour Camp</v>
      </c>
      <c r="C12756" s="2" t="str">
        <f ca="1">IFERROR(__xludf.DUMMYFUNCTION("""COMPUTED_VALUE"""),"Building")</f>
        <v>Building</v>
      </c>
      <c r="D12756" s="2" t="str">
        <f ca="1">IFERROR(__xludf.DUMMYFUNCTION("""COMPUTED_VALUE"""),"Dubai&gt;Dubai Investment Park (DIP)&gt;Dubai Investment Park 2&gt;Falak Holding Labour Camp")</f>
        <v>Dubai&gt;Dubai Investment Park (DIP)&gt;Dubai Investment Park 2&gt;Falak Holding Labour Camp</v>
      </c>
      <c r="E12756" s="2"/>
      <c r="F12756" s="2"/>
      <c r="G12756" s="2"/>
      <c r="H12756" s="2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2"/>
      <c r="T12756" s="2"/>
      <c r="U12756" s="2"/>
      <c r="V12756" s="2"/>
      <c r="W12756" s="2"/>
      <c r="X12756" s="2"/>
      <c r="Y12756" s="2"/>
      <c r="Z12756" s="2"/>
    </row>
    <row r="12757" spans="1:26" ht="16.5" x14ac:dyDescent="0.35">
      <c r="A12757" s="2" t="str">
        <f ca="1">IFERROR(__xludf.DUMMYFUNCTION("""COMPUTED_VALUE"""),"Dubai")</f>
        <v>Dubai</v>
      </c>
      <c r="B12757" s="2" t="str">
        <f ca="1">IFERROR(__xludf.DUMMYFUNCTION("""COMPUTED_VALUE"""),"Marine 1")</f>
        <v>Marine 1</v>
      </c>
      <c r="C12757" s="2" t="str">
        <f ca="1">IFERROR(__xludf.DUMMYFUNCTION("""COMPUTED_VALUE"""),"Building")</f>
        <v>Building</v>
      </c>
      <c r="D12757" s="2" t="str">
        <f ca="1">IFERROR(__xludf.DUMMYFUNCTION("""COMPUTED_VALUE"""),"Dubai&gt;Dubai Investment Park (DIP)&gt;DAMAC Riverside&gt;Riverside Views&gt;Marine 1")</f>
        <v>Dubai&gt;Dubai Investment Park (DIP)&gt;DAMAC Riverside&gt;Riverside Views&gt;Marine 1</v>
      </c>
      <c r="E12757" s="2"/>
      <c r="F12757" s="2"/>
      <c r="G12757" s="2"/>
      <c r="H12757" s="2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2"/>
      <c r="T12757" s="2"/>
      <c r="U12757" s="2"/>
      <c r="V12757" s="2"/>
      <c r="W12757" s="2"/>
      <c r="X12757" s="2"/>
      <c r="Y12757" s="2"/>
      <c r="Z12757" s="2"/>
    </row>
    <row r="12758" spans="1:26" ht="16.5" x14ac:dyDescent="0.35">
      <c r="A12758" s="2" t="str">
        <f ca="1">IFERROR(__xludf.DUMMYFUNCTION("""COMPUTED_VALUE"""),"Dubai")</f>
        <v>Dubai</v>
      </c>
      <c r="B12758" s="2" t="str">
        <f ca="1">IFERROR(__xludf.DUMMYFUNCTION("""COMPUTED_VALUE"""),"Ewan Residence 2")</f>
        <v>Ewan Residence 2</v>
      </c>
      <c r="C12758" s="2" t="str">
        <f ca="1">IFERROR(__xludf.DUMMYFUNCTION("""COMPUTED_VALUE"""),"Building")</f>
        <v>Building</v>
      </c>
      <c r="D12758" s="2" t="str">
        <f ca="1">IFERROR(__xludf.DUMMYFUNCTION("""COMPUTED_VALUE"""),"Dubai&gt;Dubai Investment Park (DIP)&gt;Ewan Residence&gt;Ewan Residence 2")</f>
        <v>Dubai&gt;Dubai Investment Park (DIP)&gt;Ewan Residence&gt;Ewan Residence 2</v>
      </c>
      <c r="E12758" s="2"/>
      <c r="F12758" s="2"/>
      <c r="G12758" s="2"/>
      <c r="H12758" s="2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2"/>
      <c r="T12758" s="2"/>
      <c r="U12758" s="2"/>
      <c r="V12758" s="2"/>
      <c r="W12758" s="2"/>
      <c r="X12758" s="2"/>
      <c r="Y12758" s="2"/>
      <c r="Z12758" s="2"/>
    </row>
    <row r="12759" spans="1:26" ht="16.5" x14ac:dyDescent="0.35">
      <c r="A12759" s="2" t="str">
        <f ca="1">IFERROR(__xludf.DUMMYFUNCTION("""COMPUTED_VALUE"""),"Dubai")</f>
        <v>Dubai</v>
      </c>
      <c r="B12759" s="2" t="str">
        <f ca="1">IFERROR(__xludf.DUMMYFUNCTION("""COMPUTED_VALUE"""),"The Haven")</f>
        <v>The Haven</v>
      </c>
      <c r="C12759" s="2" t="str">
        <f ca="1">IFERROR(__xludf.DUMMYFUNCTION("""COMPUTED_VALUE"""),"Building")</f>
        <v>Building</v>
      </c>
      <c r="D12759" s="2" t="str">
        <f ca="1">IFERROR(__xludf.DUMMYFUNCTION("""COMPUTED_VALUE"""),"Dubai&gt;Majan&gt;The Haven")</f>
        <v>Dubai&gt;Majan&gt;The Haven</v>
      </c>
      <c r="E12759" s="2"/>
      <c r="F12759" s="2"/>
      <c r="G12759" s="2"/>
      <c r="H12759" s="2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2"/>
      <c r="T12759" s="2"/>
      <c r="U12759" s="2"/>
      <c r="V12759" s="2"/>
      <c r="W12759" s="2"/>
      <c r="X12759" s="2"/>
      <c r="Y12759" s="2"/>
      <c r="Z12759" s="2"/>
    </row>
    <row r="12760" spans="1:26" ht="16.5" x14ac:dyDescent="0.35">
      <c r="A12760" s="2" t="str">
        <f ca="1">IFERROR(__xludf.DUMMYFUNCTION("""COMPUTED_VALUE"""),"Dubai")</f>
        <v>Dubai</v>
      </c>
      <c r="B12760" s="2" t="str">
        <f ca="1">IFERROR(__xludf.DUMMYFUNCTION("""COMPUTED_VALUE"""),"Estrella by Nexus")</f>
        <v>Estrella by Nexus</v>
      </c>
      <c r="C12760" s="2" t="str">
        <f ca="1">IFERROR(__xludf.DUMMYFUNCTION("""COMPUTED_VALUE"""),"Building")</f>
        <v>Building</v>
      </c>
      <c r="D12760" s="2" t="str">
        <f ca="1">IFERROR(__xludf.DUMMYFUNCTION("""COMPUTED_VALUE"""),"Dubai&gt;Majan&gt;Estrella by Nexus")</f>
        <v>Dubai&gt;Majan&gt;Estrella by Nexus</v>
      </c>
      <c r="E12760" s="2"/>
      <c r="F12760" s="2"/>
      <c r="G12760" s="2"/>
      <c r="H12760" s="2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2"/>
      <c r="T12760" s="2"/>
      <c r="U12760" s="2"/>
      <c r="V12760" s="2"/>
      <c r="W12760" s="2"/>
      <c r="X12760" s="2"/>
      <c r="Y12760" s="2"/>
      <c r="Z12760" s="2"/>
    </row>
    <row r="12761" spans="1:26" ht="16.5" x14ac:dyDescent="0.35">
      <c r="A12761" s="2" t="str">
        <f ca="1">IFERROR(__xludf.DUMMYFUNCTION("""COMPUTED_VALUE"""),"Dubai")</f>
        <v>Dubai</v>
      </c>
      <c r="B12761" s="2" t="str">
        <f ca="1">IFERROR(__xludf.DUMMYFUNCTION("""COMPUTED_VALUE"""),"Tierra Address Villas")</f>
        <v>Tierra Address Villas</v>
      </c>
      <c r="C12761" s="2" t="str">
        <f ca="1">IFERROR(__xludf.DUMMYFUNCTION("""COMPUTED_VALUE"""),"Neighbourhood")</f>
        <v>Neighbourhood</v>
      </c>
      <c r="D12761" s="2" t="str">
        <f ca="1">IFERROR(__xludf.DUMMYFUNCTION("""COMPUTED_VALUE"""),"Dubai&gt;The Oasis by Emaar&gt;Tierra Address Villas")</f>
        <v>Dubai&gt;The Oasis by Emaar&gt;Tierra Address Villas</v>
      </c>
      <c r="E12761" s="2"/>
      <c r="F12761" s="2"/>
      <c r="G12761" s="2"/>
      <c r="H12761" s="2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2"/>
      <c r="T12761" s="2"/>
      <c r="U12761" s="2"/>
      <c r="V12761" s="2"/>
      <c r="W12761" s="2"/>
      <c r="X12761" s="2"/>
      <c r="Y12761" s="2"/>
      <c r="Z12761" s="2"/>
    </row>
    <row r="12762" spans="1:26" ht="16.5" x14ac:dyDescent="0.35">
      <c r="A12762" s="2" t="str">
        <f ca="1">IFERROR(__xludf.DUMMYFUNCTION("""COMPUTED_VALUE"""),"Dubai")</f>
        <v>Dubai</v>
      </c>
      <c r="B12762" s="2" t="str">
        <f ca="1">IFERROR(__xludf.DUMMYFUNCTION("""COMPUTED_VALUE"""),"Studio 101")</f>
        <v>Studio 101</v>
      </c>
      <c r="C12762" s="2" t="str">
        <f ca="1">IFERROR(__xludf.DUMMYFUNCTION("""COMPUTED_VALUE"""),"Building")</f>
        <v>Building</v>
      </c>
      <c r="D12762" s="2" t="str">
        <f ca="1">IFERROR(__xludf.DUMMYFUNCTION("""COMPUTED_VALUE"""),"Dubai&gt;Dubai Studio City&gt;Studio 101")</f>
        <v>Dubai&gt;Dubai Studio City&gt;Studio 101</v>
      </c>
      <c r="E12762" s="2"/>
      <c r="F12762" s="2"/>
      <c r="G12762" s="2"/>
      <c r="H12762" s="2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2"/>
      <c r="T12762" s="2"/>
      <c r="U12762" s="2"/>
      <c r="V12762" s="2"/>
      <c r="W12762" s="2"/>
      <c r="X12762" s="2"/>
      <c r="Y12762" s="2"/>
      <c r="Z12762" s="2"/>
    </row>
    <row r="12763" spans="1:26" ht="16.5" x14ac:dyDescent="0.35">
      <c r="A12763" s="2" t="str">
        <f ca="1">IFERROR(__xludf.DUMMYFUNCTION("""COMPUTED_VALUE"""),"Dubai")</f>
        <v>Dubai</v>
      </c>
      <c r="B12763" s="2" t="str">
        <f ca="1">IFERROR(__xludf.DUMMYFUNCTION("""COMPUTED_VALUE"""),"BS-08")</f>
        <v>BS-08</v>
      </c>
      <c r="C12763" s="2" t="str">
        <f ca="1">IFERROR(__xludf.DUMMYFUNCTION("""COMPUTED_VALUE"""),"Building")</f>
        <v>Building</v>
      </c>
      <c r="D12763" s="2" t="str">
        <f ca="1">IFERROR(__xludf.DUMMYFUNCTION("""COMPUTED_VALUE"""),"Dubai&gt;Dubai Studio City&gt;Boutique Studios&gt;BS-08")</f>
        <v>Dubai&gt;Dubai Studio City&gt;Boutique Studios&gt;BS-08</v>
      </c>
      <c r="E12763" s="2"/>
      <c r="F12763" s="2"/>
      <c r="G12763" s="2"/>
      <c r="H12763" s="2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2"/>
      <c r="T12763" s="2"/>
      <c r="U12763" s="2"/>
      <c r="V12763" s="2"/>
      <c r="W12763" s="2"/>
      <c r="X12763" s="2"/>
      <c r="Y12763" s="2"/>
      <c r="Z12763" s="2"/>
    </row>
    <row r="12764" spans="1:26" ht="16.5" x14ac:dyDescent="0.35">
      <c r="A12764" s="2" t="str">
        <f ca="1">IFERROR(__xludf.DUMMYFUNCTION("""COMPUTED_VALUE"""),"Dubai")</f>
        <v>Dubai</v>
      </c>
      <c r="B12764" s="2" t="str">
        <f ca="1">IFERROR(__xludf.DUMMYFUNCTION("""COMPUTED_VALUE"""),"Hartland Greens Building 1")</f>
        <v>Hartland Greens Building 1</v>
      </c>
      <c r="C12764" s="2" t="str">
        <f ca="1">IFERROR(__xludf.DUMMYFUNCTION("""COMPUTED_VALUE"""),"Building")</f>
        <v>Building</v>
      </c>
      <c r="D12764" s="2" t="str">
        <f ca="1">IFERROR(__xludf.DUMMYFUNCTION("""COMPUTED_VALUE"""),"Dubai&gt;Sobha Hartland&gt;Hartland Greens&gt;Hartland Greens Building 1")</f>
        <v>Dubai&gt;Sobha Hartland&gt;Hartland Greens&gt;Hartland Greens Building 1</v>
      </c>
      <c r="E12764" s="2"/>
      <c r="F12764" s="2"/>
      <c r="G12764" s="2"/>
      <c r="H12764" s="2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2"/>
      <c r="T12764" s="2"/>
      <c r="U12764" s="2"/>
      <c r="V12764" s="2"/>
      <c r="W12764" s="2"/>
      <c r="X12764" s="2"/>
      <c r="Y12764" s="2"/>
      <c r="Z12764" s="2"/>
    </row>
    <row r="12765" spans="1:26" ht="16.5" x14ac:dyDescent="0.35">
      <c r="A12765" s="2" t="str">
        <f ca="1">IFERROR(__xludf.DUMMYFUNCTION("""COMPUTED_VALUE"""),"Dubai")</f>
        <v>Dubai</v>
      </c>
      <c r="B12765" s="2" t="str">
        <f ca="1">IFERROR(__xludf.DUMMYFUNCTION("""COMPUTED_VALUE"""),"The Crest Tower A")</f>
        <v>The Crest Tower A</v>
      </c>
      <c r="C12765" s="2" t="str">
        <f ca="1">IFERROR(__xludf.DUMMYFUNCTION("""COMPUTED_VALUE"""),"Building")</f>
        <v>Building</v>
      </c>
      <c r="D12765" s="2" t="str">
        <f ca="1">IFERROR(__xludf.DUMMYFUNCTION("""COMPUTED_VALUE"""),"Dubai&gt;Sobha Hartland&gt;The Crest&gt;The Crest Tower A")</f>
        <v>Dubai&gt;Sobha Hartland&gt;The Crest&gt;The Crest Tower A</v>
      </c>
      <c r="E12765" s="2"/>
      <c r="F12765" s="2"/>
      <c r="G12765" s="2"/>
      <c r="H12765" s="2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2"/>
      <c r="T12765" s="2"/>
      <c r="U12765" s="2"/>
      <c r="V12765" s="2"/>
      <c r="W12765" s="2"/>
      <c r="X12765" s="2"/>
      <c r="Y12765" s="2"/>
      <c r="Z12765" s="2"/>
    </row>
    <row r="12766" spans="1:26" ht="16.5" x14ac:dyDescent="0.35">
      <c r="A12766" s="2" t="str">
        <f ca="1">IFERROR(__xludf.DUMMYFUNCTION("""COMPUTED_VALUE"""),"Dubai")</f>
        <v>Dubai</v>
      </c>
      <c r="B12766" s="2" t="str">
        <f ca="1">IFERROR(__xludf.DUMMYFUNCTION("""COMPUTED_VALUE"""),"Jumeirah Heights B")</f>
        <v>Jumeirah Heights B</v>
      </c>
      <c r="C12766" s="2" t="str">
        <f ca="1">IFERROR(__xludf.DUMMYFUNCTION("""COMPUTED_VALUE"""),"Building")</f>
        <v>Building</v>
      </c>
      <c r="D12766" s="2" t="str">
        <f ca="1">IFERROR(__xludf.DUMMYFUNCTION("""COMPUTED_VALUE"""),"Dubai&gt;Jumeirah Heights&gt;Jumeirah Heights B")</f>
        <v>Dubai&gt;Jumeirah Heights&gt;Jumeirah Heights B</v>
      </c>
      <c r="E12766" s="2"/>
      <c r="F12766" s="2"/>
      <c r="G12766" s="2"/>
      <c r="H12766" s="2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2"/>
      <c r="T12766" s="2"/>
      <c r="U12766" s="2"/>
      <c r="V12766" s="2"/>
      <c r="W12766" s="2"/>
      <c r="X12766" s="2"/>
      <c r="Y12766" s="2"/>
      <c r="Z12766" s="2"/>
    </row>
    <row r="12767" spans="1:26" ht="16.5" x14ac:dyDescent="0.35">
      <c r="A12767" s="2" t="str">
        <f ca="1">IFERROR(__xludf.DUMMYFUNCTION("""COMPUTED_VALUE"""),"Dubai")</f>
        <v>Dubai</v>
      </c>
      <c r="B12767" s="2" t="str">
        <f ca="1">IFERROR(__xludf.DUMMYFUNCTION("""COMPUTED_VALUE"""),"Dana")</f>
        <v>Dana</v>
      </c>
      <c r="C12767" s="2" t="str">
        <f ca="1">IFERROR(__xludf.DUMMYFUNCTION("""COMPUTED_VALUE"""),"Building")</f>
        <v>Building</v>
      </c>
      <c r="D12767" s="2" t="str">
        <f ca="1">IFERROR(__xludf.DUMMYFUNCTION("""COMPUTED_VALUE"""),"Dubai&gt;Expo City&gt;Expo Valley&gt;Expo Valley Views&gt;Dana")</f>
        <v>Dubai&gt;Expo City&gt;Expo Valley&gt;Expo Valley Views&gt;Dana</v>
      </c>
      <c r="E12767" s="2"/>
      <c r="F12767" s="2"/>
      <c r="G12767" s="2"/>
      <c r="H12767" s="2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2"/>
      <c r="T12767" s="2"/>
      <c r="U12767" s="2"/>
      <c r="V12767" s="2"/>
      <c r="W12767" s="2"/>
      <c r="X12767" s="2"/>
      <c r="Y12767" s="2"/>
      <c r="Z12767" s="2"/>
    </row>
    <row r="12768" spans="1:26" ht="16.5" x14ac:dyDescent="0.35">
      <c r="A12768" s="2" t="str">
        <f ca="1">IFERROR(__xludf.DUMMYFUNCTION("""COMPUTED_VALUE"""),"Dubai")</f>
        <v>Dubai</v>
      </c>
      <c r="B12768" s="2" t="str">
        <f ca="1">IFERROR(__xludf.DUMMYFUNCTION("""COMPUTED_VALUE"""),"St. Tropez")</f>
        <v>St. Tropez</v>
      </c>
      <c r="C12768" s="2" t="str">
        <f ca="1">IFERROR(__xludf.DUMMYFUNCTION("""COMPUTED_VALUE"""),"Building")</f>
        <v>Building</v>
      </c>
      <c r="D12768" s="2" t="str">
        <f ca="1">IFERROR(__xludf.DUMMYFUNCTION("""COMPUTED_VALUE"""),"Dubai&gt;The World Islands&gt;The Heart of Europe&gt;Cote D' Azur Resort&gt;St. Tropez")</f>
        <v>Dubai&gt;The World Islands&gt;The Heart of Europe&gt;Cote D' Azur Resort&gt;St. Tropez</v>
      </c>
      <c r="E12768" s="2"/>
      <c r="F12768" s="2"/>
      <c r="G12768" s="2"/>
      <c r="H12768" s="2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2"/>
      <c r="T12768" s="2"/>
      <c r="U12768" s="2"/>
      <c r="V12768" s="2"/>
      <c r="W12768" s="2"/>
      <c r="X12768" s="2"/>
      <c r="Y12768" s="2"/>
      <c r="Z12768" s="2"/>
    </row>
    <row r="12769" spans="1:26" ht="16.5" x14ac:dyDescent="0.35">
      <c r="A12769" s="2" t="str">
        <f ca="1">IFERROR(__xludf.DUMMYFUNCTION("""COMPUTED_VALUE"""),"Dubai")</f>
        <v>Dubai</v>
      </c>
      <c r="B12769" s="2" t="str">
        <f ca="1">IFERROR(__xludf.DUMMYFUNCTION("""COMPUTED_VALUE"""),"Al Hathmah")</f>
        <v>Al Hathmah</v>
      </c>
      <c r="C12769" s="2" t="str">
        <f ca="1">IFERROR(__xludf.DUMMYFUNCTION("""COMPUTED_VALUE"""),"Neighbourhood")</f>
        <v>Neighbourhood</v>
      </c>
      <c r="D12769" s="2" t="str">
        <f ca="1">IFERROR(__xludf.DUMMYFUNCTION("""COMPUTED_VALUE"""),"Dubai&gt;Al Hathmah")</f>
        <v>Dubai&gt;Al Hathmah</v>
      </c>
      <c r="E12769" s="2"/>
      <c r="F12769" s="2"/>
      <c r="G12769" s="2"/>
      <c r="H12769" s="2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2"/>
      <c r="T12769" s="2"/>
      <c r="U12769" s="2"/>
      <c r="V12769" s="2"/>
      <c r="W12769" s="2"/>
      <c r="X12769" s="2"/>
      <c r="Y12769" s="2"/>
      <c r="Z12769" s="2"/>
    </row>
    <row r="12770" spans="1:26" ht="16.5" x14ac:dyDescent="0.35">
      <c r="A12770" s="2" t="str">
        <f ca="1">IFERROR(__xludf.DUMMYFUNCTION("""COMPUTED_VALUE"""),"Dubai")</f>
        <v>Dubai</v>
      </c>
      <c r="B12770" s="2" t="str">
        <f ca="1">IFERROR(__xludf.DUMMYFUNCTION("""COMPUTED_VALUE"""),"Azul")</f>
        <v>Azul</v>
      </c>
      <c r="C12770" s="2" t="str">
        <f ca="1">IFERROR(__xludf.DUMMYFUNCTION("""COMPUTED_VALUE"""),"Building")</f>
        <v>Building</v>
      </c>
      <c r="D12770" s="2" t="str">
        <f ca="1">IFERROR(__xludf.DUMMYFUNCTION("""COMPUTED_VALUE"""),"Dubai&gt;Athlon by Aldar&gt;Rise by Athlon&gt;Azul")</f>
        <v>Dubai&gt;Athlon by Aldar&gt;Rise by Athlon&gt;Azul</v>
      </c>
      <c r="E12770" s="2"/>
      <c r="F12770" s="2"/>
      <c r="G12770" s="2"/>
      <c r="H12770" s="2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2"/>
      <c r="T12770" s="2"/>
      <c r="U12770" s="2"/>
      <c r="V12770" s="2"/>
      <c r="W12770" s="2"/>
      <c r="X12770" s="2"/>
      <c r="Y12770" s="2"/>
      <c r="Z12770" s="2"/>
    </row>
    <row r="12771" spans="1:26" ht="16.5" x14ac:dyDescent="0.35">
      <c r="A12771" s="2" t="str">
        <f ca="1">IFERROR(__xludf.DUMMYFUNCTION("""COMPUTED_VALUE"""),"Dubai")</f>
        <v>Dubai</v>
      </c>
      <c r="B12771" s="2" t="str">
        <f ca="1">IFERROR(__xludf.DUMMYFUNCTION("""COMPUTED_VALUE"""),"Capria West")</f>
        <v>Capria West</v>
      </c>
      <c r="C12771" s="2" t="str">
        <f ca="1">IFERROR(__xludf.DUMMYFUNCTION("""COMPUTED_VALUE"""),"Neighbourhood")</f>
        <v>Neighbourhood</v>
      </c>
      <c r="D12771" s="2" t="str">
        <f ca="1">IFERROR(__xludf.DUMMYFUNCTION("""COMPUTED_VALUE"""),"Dubai&gt;Ghaf Woods&gt;Capria West")</f>
        <v>Dubai&gt;Ghaf Woods&gt;Capria West</v>
      </c>
      <c r="E12771" s="2"/>
      <c r="F12771" s="2"/>
      <c r="G12771" s="2"/>
      <c r="H12771" s="2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2"/>
      <c r="T12771" s="2"/>
      <c r="U12771" s="2"/>
      <c r="V12771" s="2"/>
      <c r="W12771" s="2"/>
      <c r="X12771" s="2"/>
      <c r="Y12771" s="2"/>
      <c r="Z12771" s="2"/>
    </row>
    <row r="12772" spans="1:26" ht="16.5" x14ac:dyDescent="0.35">
      <c r="A12772" s="2" t="str">
        <f ca="1">IFERROR(__xludf.DUMMYFUNCTION("""COMPUTED_VALUE"""),"Dubai")</f>
        <v>Dubai</v>
      </c>
      <c r="B12772" s="2" t="str">
        <f ca="1">IFERROR(__xludf.DUMMYFUNCTION("""COMPUTED_VALUE"""),"Maple Bear Nursery JBR")</f>
        <v>Maple Bear Nursery JBR</v>
      </c>
      <c r="C12772" s="2" t="str">
        <f ca="1">IFERROR(__xludf.DUMMYFUNCTION("""COMPUTED_VALUE"""),"Nursery")</f>
        <v>Nursery</v>
      </c>
      <c r="D12772" s="2" t="str">
        <f ca="1">IFERROR(__xludf.DUMMYFUNCTION("""COMPUTED_VALUE"""),"Dubai&gt;Jumeirah Beach Residence (JBR)&gt;Maple Bear Nursery JBR")</f>
        <v>Dubai&gt;Jumeirah Beach Residence (JBR)&gt;Maple Bear Nursery JBR</v>
      </c>
      <c r="E12772" s="2"/>
      <c r="F12772" s="2"/>
      <c r="G12772" s="2"/>
      <c r="H12772" s="2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2"/>
      <c r="T12772" s="2"/>
      <c r="U12772" s="2"/>
      <c r="V12772" s="2"/>
      <c r="W12772" s="2"/>
      <c r="X12772" s="2"/>
      <c r="Y12772" s="2"/>
      <c r="Z12772" s="2"/>
    </row>
    <row r="12773" spans="1:26" ht="16.5" x14ac:dyDescent="0.35">
      <c r="A12773" s="2" t="str">
        <f ca="1">IFERROR(__xludf.DUMMYFUNCTION("""COMPUTED_VALUE"""),"Dubai")</f>
        <v>Dubai</v>
      </c>
      <c r="B12773" s="2" t="str">
        <f ca="1">IFERROR(__xludf.DUMMYFUNCTION("""COMPUTED_VALUE"""),"Murjan 6")</f>
        <v>Murjan 6</v>
      </c>
      <c r="C12773" s="2" t="str">
        <f ca="1">IFERROR(__xludf.DUMMYFUNCTION("""COMPUTED_VALUE"""),"Building")</f>
        <v>Building</v>
      </c>
      <c r="D12773" s="2" t="str">
        <f ca="1">IFERROR(__xludf.DUMMYFUNCTION("""COMPUTED_VALUE"""),"Dubai&gt;Jumeirah Beach Residence (JBR)&gt;Murjan&gt;Murjan 6")</f>
        <v>Dubai&gt;Jumeirah Beach Residence (JBR)&gt;Murjan&gt;Murjan 6</v>
      </c>
      <c r="E12773" s="2"/>
      <c r="F12773" s="2"/>
      <c r="G12773" s="2"/>
      <c r="H12773" s="2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  <c r="V12773" s="2"/>
      <c r="W12773" s="2"/>
      <c r="X12773" s="2"/>
      <c r="Y12773" s="2"/>
      <c r="Z12773" s="2"/>
    </row>
    <row r="12774" spans="1:26" ht="16.5" x14ac:dyDescent="0.35">
      <c r="A12774" s="2" t="str">
        <f ca="1">IFERROR(__xludf.DUMMYFUNCTION("""COMPUTED_VALUE"""),"Dubai")</f>
        <v>Dubai</v>
      </c>
      <c r="B12774" s="2" t="str">
        <f ca="1">IFERROR(__xludf.DUMMYFUNCTION("""COMPUTED_VALUE"""),"Amwaj 5")</f>
        <v>Amwaj 5</v>
      </c>
      <c r="C12774" s="2" t="str">
        <f ca="1">IFERROR(__xludf.DUMMYFUNCTION("""COMPUTED_VALUE"""),"Building")</f>
        <v>Building</v>
      </c>
      <c r="D12774" s="2" t="str">
        <f ca="1">IFERROR(__xludf.DUMMYFUNCTION("""COMPUTED_VALUE"""),"Dubai&gt;Jumeirah Beach Residence (JBR)&gt;Amwaj&gt;Amwaj 5")</f>
        <v>Dubai&gt;Jumeirah Beach Residence (JBR)&gt;Amwaj&gt;Amwaj 5</v>
      </c>
      <c r="E12774" s="2"/>
      <c r="F12774" s="2"/>
      <c r="G12774" s="2"/>
      <c r="H12774" s="2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2"/>
      <c r="T12774" s="2"/>
      <c r="U12774" s="2"/>
      <c r="V12774" s="2"/>
      <c r="W12774" s="2"/>
      <c r="X12774" s="2"/>
      <c r="Y12774" s="2"/>
      <c r="Z12774" s="2"/>
    </row>
    <row r="12775" spans="1:26" ht="16.5" x14ac:dyDescent="0.35">
      <c r="A12775" s="2" t="str">
        <f ca="1">IFERROR(__xludf.DUMMYFUNCTION("""COMPUTED_VALUE"""),"Dubai")</f>
        <v>Dubai</v>
      </c>
      <c r="B12775" s="2" t="str">
        <f ca="1">IFERROR(__xludf.DUMMYFUNCTION("""COMPUTED_VALUE"""),"Bahamas")</f>
        <v>Bahamas</v>
      </c>
      <c r="C12775" s="2" t="str">
        <f ca="1">IFERROR(__xludf.DUMMYFUNCTION("""COMPUTED_VALUE"""),"Neighbourhood")</f>
        <v>Neighbourhood</v>
      </c>
      <c r="D12775" s="2" t="str">
        <f ca="1">IFERROR(__xludf.DUMMYFUNCTION("""COMPUTED_VALUE"""),"Dubai&gt;DAMAC Islands 2&gt;Bahamas")</f>
        <v>Dubai&gt;DAMAC Islands 2&gt;Bahamas</v>
      </c>
      <c r="E12775" s="2"/>
      <c r="F12775" s="2"/>
      <c r="G12775" s="2"/>
      <c r="H12775" s="2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2"/>
      <c r="T12775" s="2"/>
      <c r="U12775" s="2"/>
      <c r="V12775" s="2"/>
      <c r="W12775" s="2"/>
      <c r="X12775" s="2"/>
      <c r="Y12775" s="2"/>
      <c r="Z12775" s="2"/>
    </row>
    <row r="12776" spans="1:26" ht="16.5" x14ac:dyDescent="0.35">
      <c r="A12776" s="2" t="str">
        <f ca="1">IFERROR(__xludf.DUMMYFUNCTION("""COMPUTED_VALUE"""),"Dubai")</f>
        <v>Dubai</v>
      </c>
      <c r="B12776" s="2" t="str">
        <f ca="1">IFERROR(__xludf.DUMMYFUNCTION("""COMPUTED_VALUE"""),"Building 16")</f>
        <v>Building 16</v>
      </c>
      <c r="C12776" s="2" t="str">
        <f ca="1">IFERROR(__xludf.DUMMYFUNCTION("""COMPUTED_VALUE"""),"Building")</f>
        <v>Building</v>
      </c>
      <c r="D12776" s="2" t="str">
        <f ca="1">IFERROR(__xludf.DUMMYFUNCTION("""COMPUTED_VALUE"""),"Dubai&gt;Al Wasl&gt;City Walk&gt;Building 16")</f>
        <v>Dubai&gt;Al Wasl&gt;City Walk&gt;Building 16</v>
      </c>
      <c r="E12776" s="2"/>
      <c r="F12776" s="2"/>
      <c r="G12776" s="2"/>
      <c r="H12776" s="2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2"/>
      <c r="T12776" s="2"/>
      <c r="U12776" s="2"/>
      <c r="V12776" s="2"/>
      <c r="W12776" s="2"/>
      <c r="X12776" s="2"/>
      <c r="Y12776" s="2"/>
      <c r="Z12776" s="2"/>
    </row>
    <row r="12777" spans="1:26" ht="16.5" x14ac:dyDescent="0.35">
      <c r="A12777" s="2" t="str">
        <f ca="1">IFERROR(__xludf.DUMMYFUNCTION("""COMPUTED_VALUE"""),"Dubai")</f>
        <v>Dubai</v>
      </c>
      <c r="B12777" s="2" t="str">
        <f ca="1">IFERROR(__xludf.DUMMYFUNCTION("""COMPUTED_VALUE"""),"Central Park Plaza Tower A")</f>
        <v>Central Park Plaza Tower A</v>
      </c>
      <c r="C12777" s="2" t="str">
        <f ca="1">IFERROR(__xludf.DUMMYFUNCTION("""COMPUTED_VALUE"""),"Building")</f>
        <v>Building</v>
      </c>
      <c r="D12777" s="2" t="str">
        <f ca="1">IFERROR(__xludf.DUMMYFUNCTION("""COMPUTED_VALUE"""),"Dubai&gt;Al Wasl&gt;City Walk&gt;Central Park&gt;Central Park Plaza&gt;Central Park Plaza Tower A")</f>
        <v>Dubai&gt;Al Wasl&gt;City Walk&gt;Central Park&gt;Central Park Plaza&gt;Central Park Plaza Tower A</v>
      </c>
      <c r="E12777" s="2"/>
      <c r="F12777" s="2"/>
      <c r="G12777" s="2"/>
      <c r="H12777" s="2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2"/>
      <c r="T12777" s="2"/>
      <c r="U12777" s="2"/>
      <c r="V12777" s="2"/>
      <c r="W12777" s="2"/>
      <c r="X12777" s="2"/>
      <c r="Y12777" s="2"/>
      <c r="Z12777" s="2"/>
    </row>
    <row r="12778" spans="1:26" ht="16.5" x14ac:dyDescent="0.35">
      <c r="A12778" s="2" t="str">
        <f ca="1">IFERROR(__xludf.DUMMYFUNCTION("""COMPUTED_VALUE"""),"Dubai")</f>
        <v>Dubai</v>
      </c>
      <c r="B12778" s="2" t="str">
        <f ca="1">IFERROR(__xludf.DUMMYFUNCTION("""COMPUTED_VALUE"""),"City Walk Crestlane 3 Building B")</f>
        <v>City Walk Crestlane 3 Building B</v>
      </c>
      <c r="C12778" s="2" t="str">
        <f ca="1">IFERROR(__xludf.DUMMYFUNCTION("""COMPUTED_VALUE"""),"Building")</f>
        <v>Building</v>
      </c>
      <c r="D12778" s="2" t="str">
        <f ca="1">IFERROR(__xludf.DUMMYFUNCTION("""COMPUTED_VALUE"""),"Dubai&gt;Al Wasl&gt;City Walk&gt;City Walk Crestlane 3&gt;City Walk Crestlane 3 Building B")</f>
        <v>Dubai&gt;Al Wasl&gt;City Walk&gt;City Walk Crestlane 3&gt;City Walk Crestlane 3 Building B</v>
      </c>
      <c r="E12778" s="2"/>
      <c r="F12778" s="2"/>
      <c r="G12778" s="2"/>
      <c r="H12778" s="2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2"/>
      <c r="T12778" s="2"/>
      <c r="U12778" s="2"/>
      <c r="V12778" s="2"/>
      <c r="W12778" s="2"/>
      <c r="X12778" s="2"/>
      <c r="Y12778" s="2"/>
      <c r="Z12778" s="2"/>
    </row>
    <row r="12779" spans="1:26" ht="16.5" x14ac:dyDescent="0.35">
      <c r="A12779" s="2" t="str">
        <f ca="1">IFERROR(__xludf.DUMMYFUNCTION("""COMPUTED_VALUE"""),"Dubai")</f>
        <v>Dubai</v>
      </c>
      <c r="B12779" s="2" t="str">
        <f ca="1">IFERROR(__xludf.DUMMYFUNCTION("""COMPUTED_VALUE"""),"Wasl Tower")</f>
        <v>Wasl Tower</v>
      </c>
      <c r="C12779" s="2" t="str">
        <f ca="1">IFERROR(__xludf.DUMMYFUNCTION("""COMPUTED_VALUE"""),"Building")</f>
        <v>Building</v>
      </c>
      <c r="D12779" s="2" t="str">
        <f ca="1">IFERROR(__xludf.DUMMYFUNCTION("""COMPUTED_VALUE"""),"Dubai&gt;Al Wasl&gt;Wasl Tower")</f>
        <v>Dubai&gt;Al Wasl&gt;Wasl Tower</v>
      </c>
      <c r="E12779" s="2"/>
      <c r="F12779" s="2"/>
      <c r="G12779" s="2"/>
      <c r="H12779" s="2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2"/>
      <c r="T12779" s="2"/>
      <c r="U12779" s="2"/>
      <c r="V12779" s="2"/>
      <c r="W12779" s="2"/>
      <c r="X12779" s="2"/>
      <c r="Y12779" s="2"/>
      <c r="Z12779" s="2"/>
    </row>
    <row r="12780" spans="1:26" ht="16.5" x14ac:dyDescent="0.35">
      <c r="A12780" s="2" t="str">
        <f ca="1">IFERROR(__xludf.DUMMYFUNCTION("""COMPUTED_VALUE"""),"Dubai")</f>
        <v>Dubai</v>
      </c>
      <c r="B12780" s="2" t="str">
        <f ca="1">IFERROR(__xludf.DUMMYFUNCTION("""COMPUTED_VALUE"""),"Elz Residence by Danube")</f>
        <v>Elz Residence by Danube</v>
      </c>
      <c r="C12780" s="2" t="str">
        <f ca="1">IFERROR(__xludf.DUMMYFUNCTION("""COMPUTED_VALUE"""),"Building")</f>
        <v>Building</v>
      </c>
      <c r="D12780" s="2" t="str">
        <f ca="1">IFERROR(__xludf.DUMMYFUNCTION("""COMPUTED_VALUE"""),"Dubai&gt;Arjan&gt;Elz Residence by Danube")</f>
        <v>Dubai&gt;Arjan&gt;Elz Residence by Danube</v>
      </c>
      <c r="E12780" s="2"/>
      <c r="F12780" s="2"/>
      <c r="G12780" s="2"/>
      <c r="H12780" s="2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2"/>
      <c r="T12780" s="2"/>
      <c r="U12780" s="2"/>
      <c r="V12780" s="2"/>
      <c r="W12780" s="2"/>
      <c r="X12780" s="2"/>
      <c r="Y12780" s="2"/>
      <c r="Z12780" s="2"/>
    </row>
    <row r="12781" spans="1:26" ht="16.5" x14ac:dyDescent="0.35">
      <c r="A12781" s="2" t="str">
        <f ca="1">IFERROR(__xludf.DUMMYFUNCTION("""COMPUTED_VALUE"""),"Dubai")</f>
        <v>Dubai</v>
      </c>
      <c r="B12781" s="2" t="str">
        <f ca="1">IFERROR(__xludf.DUMMYFUNCTION("""COMPUTED_VALUE"""),"Dania Block B")</f>
        <v>Dania Block B</v>
      </c>
      <c r="C12781" s="2" t="str">
        <f ca="1">IFERROR(__xludf.DUMMYFUNCTION("""COMPUTED_VALUE"""),"Building")</f>
        <v>Building</v>
      </c>
      <c r="D12781" s="2" t="str">
        <f ca="1">IFERROR(__xludf.DUMMYFUNCTION("""COMPUTED_VALUE"""),"Dubai&gt;Arjan&gt;Dania&gt;Dania Block B")</f>
        <v>Dubai&gt;Arjan&gt;Dania&gt;Dania Block B</v>
      </c>
      <c r="E12781" s="2"/>
      <c r="F12781" s="2"/>
      <c r="G12781" s="2"/>
      <c r="H12781" s="2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2"/>
      <c r="T12781" s="2"/>
      <c r="U12781" s="2"/>
      <c r="V12781" s="2"/>
      <c r="W12781" s="2"/>
      <c r="X12781" s="2"/>
      <c r="Y12781" s="2"/>
      <c r="Z12781" s="2"/>
    </row>
    <row r="12782" spans="1:26" ht="16.5" x14ac:dyDescent="0.35">
      <c r="A12782" s="2" t="str">
        <f ca="1">IFERROR(__xludf.DUMMYFUNCTION("""COMPUTED_VALUE"""),"Dubai")</f>
        <v>Dubai</v>
      </c>
      <c r="B12782" s="2" t="str">
        <f ca="1">IFERROR(__xludf.DUMMYFUNCTION("""COMPUTED_VALUE"""),"Miracle Residence")</f>
        <v>Miracle Residence</v>
      </c>
      <c r="C12782" s="2" t="str">
        <f ca="1">IFERROR(__xludf.DUMMYFUNCTION("""COMPUTED_VALUE"""),"Building")</f>
        <v>Building</v>
      </c>
      <c r="D12782" s="2" t="str">
        <f ca="1">IFERROR(__xludf.DUMMYFUNCTION("""COMPUTED_VALUE"""),"Dubai&gt;Arjan&gt;Miracle Residence")</f>
        <v>Dubai&gt;Arjan&gt;Miracle Residence</v>
      </c>
      <c r="E12782" s="2"/>
      <c r="F12782" s="2"/>
      <c r="G12782" s="2"/>
      <c r="H12782" s="2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2"/>
      <c r="T12782" s="2"/>
      <c r="U12782" s="2"/>
      <c r="V12782" s="2"/>
      <c r="W12782" s="2"/>
      <c r="X12782" s="2"/>
      <c r="Y12782" s="2"/>
      <c r="Z12782" s="2"/>
    </row>
    <row r="12783" spans="1:26" ht="16.5" x14ac:dyDescent="0.35">
      <c r="A12783" s="2" t="str">
        <f ca="1">IFERROR(__xludf.DUMMYFUNCTION("""COMPUTED_VALUE"""),"Dubai")</f>
        <v>Dubai</v>
      </c>
      <c r="B12783" s="2" t="str">
        <f ca="1">IFERROR(__xludf.DUMMYFUNCTION("""COMPUTED_VALUE"""),"Prime Gardens by Prescott")</f>
        <v>Prime Gardens by Prescott</v>
      </c>
      <c r="C12783" s="2" t="str">
        <f ca="1">IFERROR(__xludf.DUMMYFUNCTION("""COMPUTED_VALUE"""),"Building")</f>
        <v>Building</v>
      </c>
      <c r="D12783" s="2" t="str">
        <f ca="1">IFERROR(__xludf.DUMMYFUNCTION("""COMPUTED_VALUE"""),"Dubai&gt;Arjan&gt;Prime Gardens by Prescott")</f>
        <v>Dubai&gt;Arjan&gt;Prime Gardens by Prescott</v>
      </c>
      <c r="E12783" s="2"/>
      <c r="F12783" s="2"/>
      <c r="G12783" s="2"/>
      <c r="H12783" s="2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2"/>
      <c r="T12783" s="2"/>
      <c r="U12783" s="2"/>
      <c r="V12783" s="2"/>
      <c r="W12783" s="2"/>
      <c r="X12783" s="2"/>
      <c r="Y12783" s="2"/>
      <c r="Z12783" s="2"/>
    </row>
    <row r="12784" spans="1:26" ht="16.5" x14ac:dyDescent="0.35">
      <c r="A12784" s="2" t="str">
        <f ca="1">IFERROR(__xludf.DUMMYFUNCTION("""COMPUTED_VALUE"""),"Dubai")</f>
        <v>Dubai</v>
      </c>
      <c r="B12784" s="2" t="str">
        <f ca="1">IFERROR(__xludf.DUMMYFUNCTION("""COMPUTED_VALUE"""),"Fay 1")</f>
        <v>Fay 1</v>
      </c>
      <c r="C12784" s="2" t="str">
        <f ca="1">IFERROR(__xludf.DUMMYFUNCTION("""COMPUTED_VALUE"""),"Building")</f>
        <v>Building</v>
      </c>
      <c r="D12784" s="2" t="str">
        <f ca="1">IFERROR(__xludf.DUMMYFUNCTION("""COMPUTED_VALUE"""),"Dubai&gt;Arjan&gt;Fay 1")</f>
        <v>Dubai&gt;Arjan&gt;Fay 1</v>
      </c>
      <c r="E12784" s="2"/>
      <c r="F12784" s="2"/>
      <c r="G12784" s="2"/>
      <c r="H12784" s="2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2"/>
      <c r="T12784" s="2"/>
      <c r="U12784" s="2"/>
      <c r="V12784" s="2"/>
      <c r="W12784" s="2"/>
      <c r="X12784" s="2"/>
      <c r="Y12784" s="2"/>
      <c r="Z12784" s="2"/>
    </row>
    <row r="12785" spans="1:26" ht="16.5" x14ac:dyDescent="0.35">
      <c r="A12785" s="2" t="str">
        <f ca="1">IFERROR(__xludf.DUMMYFUNCTION("""COMPUTED_VALUE"""),"Dubai")</f>
        <v>Dubai</v>
      </c>
      <c r="B12785" s="2" t="str">
        <f ca="1">IFERROR(__xludf.DUMMYFUNCTION("""COMPUTED_VALUE"""),"Arjan Seven B5")</f>
        <v>Arjan Seven B5</v>
      </c>
      <c r="C12785" s="2" t="str">
        <f ca="1">IFERROR(__xludf.DUMMYFUNCTION("""COMPUTED_VALUE"""),"Building")</f>
        <v>Building</v>
      </c>
      <c r="D12785" s="2" t="str">
        <f ca="1">IFERROR(__xludf.DUMMYFUNCTION("""COMPUTED_VALUE"""),"Dubai&gt;Arjan&gt;Arjan Seven&gt;Arjan Seven B5")</f>
        <v>Dubai&gt;Arjan&gt;Arjan Seven&gt;Arjan Seven B5</v>
      </c>
      <c r="E12785" s="2"/>
      <c r="F12785" s="2"/>
      <c r="G12785" s="2"/>
      <c r="H12785" s="2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2"/>
      <c r="T12785" s="2"/>
      <c r="U12785" s="2"/>
      <c r="V12785" s="2"/>
      <c r="W12785" s="2"/>
      <c r="X12785" s="2"/>
      <c r="Y12785" s="2"/>
      <c r="Z12785" s="2"/>
    </row>
    <row r="12786" spans="1:26" ht="16.5" x14ac:dyDescent="0.35">
      <c r="A12786" s="2" t="str">
        <f ca="1">IFERROR(__xludf.DUMMYFUNCTION("""COMPUTED_VALUE"""),"Dubai")</f>
        <v>Dubai</v>
      </c>
      <c r="B12786" s="2" t="str">
        <f ca="1">IFERROR(__xludf.DUMMYFUNCTION("""COMPUTED_VALUE"""),"Indigo Central 5")</f>
        <v>Indigo Central 5</v>
      </c>
      <c r="C12786" s="2" t="str">
        <f ca="1">IFERROR(__xludf.DUMMYFUNCTION("""COMPUTED_VALUE"""),"Building")</f>
        <v>Building</v>
      </c>
      <c r="D12786" s="2" t="str">
        <f ca="1">IFERROR(__xludf.DUMMYFUNCTION("""COMPUTED_VALUE"""),"Dubai&gt;Al Safa&gt;Al Safa 2&gt;Indigo Central 5")</f>
        <v>Dubai&gt;Al Safa&gt;Al Safa 2&gt;Indigo Central 5</v>
      </c>
      <c r="E12786" s="2"/>
      <c r="F12786" s="2"/>
      <c r="G12786" s="2"/>
      <c r="H12786" s="2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2"/>
      <c r="T12786" s="2"/>
      <c r="U12786" s="2"/>
      <c r="V12786" s="2"/>
      <c r="W12786" s="2"/>
      <c r="X12786" s="2"/>
      <c r="Y12786" s="2"/>
      <c r="Z12786" s="2"/>
    </row>
    <row r="12787" spans="1:26" ht="16.5" x14ac:dyDescent="0.35">
      <c r="A12787" s="2" t="str">
        <f ca="1">IFERROR(__xludf.DUMMYFUNCTION("""COMPUTED_VALUE"""),"Dubai")</f>
        <v>Dubai</v>
      </c>
      <c r="B12787" s="2" t="str">
        <f ca="1">IFERROR(__xludf.DUMMYFUNCTION("""COMPUTED_VALUE"""),"Arjaan Hotel and Arjaan Office Tower")</f>
        <v>Arjaan Hotel and Arjaan Office Tower</v>
      </c>
      <c r="C12787" s="2" t="str">
        <f ca="1">IFERROR(__xludf.DUMMYFUNCTION("""COMPUTED_VALUE"""),"Building")</f>
        <v>Building</v>
      </c>
      <c r="D12787" s="2" t="str">
        <f ca="1">IFERROR(__xludf.DUMMYFUNCTION("""COMPUTED_VALUE"""),"Dubai&gt;Dubai Media City&gt;Arjaan Hotel and Arjaan Office Tower")</f>
        <v>Dubai&gt;Dubai Media City&gt;Arjaan Hotel and Arjaan Office Tower</v>
      </c>
      <c r="E12787" s="2"/>
      <c r="F12787" s="2"/>
      <c r="G12787" s="2"/>
      <c r="H12787" s="2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2"/>
      <c r="T12787" s="2"/>
      <c r="U12787" s="2"/>
      <c r="V12787" s="2"/>
      <c r="W12787" s="2"/>
      <c r="X12787" s="2"/>
      <c r="Y12787" s="2"/>
      <c r="Z12787" s="2"/>
    </row>
    <row r="12788" spans="1:26" ht="16.5" x14ac:dyDescent="0.35">
      <c r="A12788" s="2" t="str">
        <f ca="1">IFERROR(__xludf.DUMMYFUNCTION("""COMPUTED_VALUE"""),"Abu Dhabi")</f>
        <v>Abu Dhabi</v>
      </c>
      <c r="B12788" s="2" t="str">
        <f ca="1">IFERROR(__xludf.DUMMYFUNCTION("""COMPUTED_VALUE"""),"Water Villas")</f>
        <v>Water Villas</v>
      </c>
      <c r="C12788" s="2" t="str">
        <f ca="1">IFERROR(__xludf.DUMMYFUNCTION("""COMPUTED_VALUE"""),"Neighbourhood")</f>
        <v>Neighbourhood</v>
      </c>
      <c r="D12788" s="2" t="str">
        <f ca="1">IFERROR(__xludf.DUMMYFUNCTION("""COMPUTED_VALUE"""),"Abu Dhabi&gt;Nurai Island&gt;Water Villas")</f>
        <v>Abu Dhabi&gt;Nurai Island&gt;Water Villas</v>
      </c>
      <c r="E12788" s="2"/>
      <c r="F12788" s="2"/>
      <c r="G12788" s="2"/>
      <c r="H12788" s="2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2"/>
      <c r="T12788" s="2"/>
      <c r="U12788" s="2"/>
      <c r="V12788" s="2"/>
      <c r="W12788" s="2"/>
      <c r="X12788" s="2"/>
      <c r="Y12788" s="2"/>
      <c r="Z12788" s="2"/>
    </row>
    <row r="12789" spans="1:26" ht="16.5" x14ac:dyDescent="0.35">
      <c r="A12789" s="2" t="str">
        <f ca="1">IFERROR(__xludf.DUMMYFUNCTION("""COMPUTED_VALUE"""),"Abu Dhabi")</f>
        <v>Abu Dhabi</v>
      </c>
      <c r="B12789" s="2" t="str">
        <f ca="1">IFERROR(__xludf.DUMMYFUNCTION("""COMPUTED_VALUE"""),"Al Bateen Park")</f>
        <v>Al Bateen Park</v>
      </c>
      <c r="C12789" s="2"/>
      <c r="D12789" s="2" t="str">
        <f ca="1">IFERROR(__xludf.DUMMYFUNCTION("""COMPUTED_VALUE"""),"Abu Dhabi&gt;Al Bateen&gt;Al Khaleej Al Arabi Street&gt;Al Bateen Park")</f>
        <v>Abu Dhabi&gt;Al Bateen&gt;Al Khaleej Al Arabi Street&gt;Al Bateen Park</v>
      </c>
      <c r="E12789" s="2"/>
      <c r="F12789" s="2"/>
      <c r="G12789" s="2"/>
      <c r="H12789" s="2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2"/>
      <c r="T12789" s="2"/>
      <c r="U12789" s="2"/>
      <c r="V12789" s="2"/>
      <c r="W12789" s="2"/>
      <c r="X12789" s="2"/>
      <c r="Y12789" s="2"/>
      <c r="Z12789" s="2"/>
    </row>
    <row r="12790" spans="1:26" ht="16.5" x14ac:dyDescent="0.35">
      <c r="A12790" s="2" t="str">
        <f ca="1">IFERROR(__xludf.DUMMYFUNCTION("""COMPUTED_VALUE"""),"Abu Dhabi")</f>
        <v>Abu Dhabi</v>
      </c>
      <c r="B12790" s="2" t="str">
        <f ca="1">IFERROR(__xludf.DUMMYFUNCTION("""COMPUTED_VALUE"""),"Al Yousuf Building")</f>
        <v>Al Yousuf Building</v>
      </c>
      <c r="C12790" s="2" t="str">
        <f ca="1">IFERROR(__xludf.DUMMYFUNCTION("""COMPUTED_VALUE"""),"Building")</f>
        <v>Building</v>
      </c>
      <c r="D12790" s="2" t="str">
        <f ca="1">IFERROR(__xludf.DUMMYFUNCTION("""COMPUTED_VALUE"""),"Abu Dhabi&gt;Airport Street&gt;Al Yousuf Building")</f>
        <v>Abu Dhabi&gt;Airport Street&gt;Al Yousuf Building</v>
      </c>
      <c r="E12790" s="2"/>
      <c r="F12790" s="2"/>
      <c r="G12790" s="2"/>
      <c r="H12790" s="2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2"/>
      <c r="T12790" s="2"/>
      <c r="U12790" s="2"/>
      <c r="V12790" s="2"/>
      <c r="W12790" s="2"/>
      <c r="X12790" s="2"/>
      <c r="Y12790" s="2"/>
      <c r="Z12790" s="2"/>
    </row>
    <row r="12791" spans="1:26" ht="16.5" x14ac:dyDescent="0.35">
      <c r="A12791" s="2" t="str">
        <f ca="1">IFERROR(__xludf.DUMMYFUNCTION("""COMPUTED_VALUE"""),"Abu Dhabi")</f>
        <v>Abu Dhabi</v>
      </c>
      <c r="B12791" s="2" t="str">
        <f ca="1">IFERROR(__xludf.DUMMYFUNCTION("""COMPUTED_VALUE"""),"Khalifa Residential Complex B")</f>
        <v>Khalifa Residential Complex B</v>
      </c>
      <c r="C12791" s="2" t="str">
        <f ca="1">IFERROR(__xludf.DUMMYFUNCTION("""COMPUTED_VALUE"""),"Cluster")</f>
        <v>Cluster</v>
      </c>
      <c r="D12791" s="2" t="str">
        <f ca="1">IFERROR(__xludf.DUMMYFUNCTION("""COMPUTED_VALUE"""),"Abu Dhabi&gt;Tourist Club Area (TCA)&gt;Khalifa Residential Complex B")</f>
        <v>Abu Dhabi&gt;Tourist Club Area (TCA)&gt;Khalifa Residential Complex B</v>
      </c>
      <c r="E12791" s="2"/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  <c r="V12791" s="2"/>
      <c r="W12791" s="2"/>
      <c r="X12791" s="2"/>
      <c r="Y12791" s="2"/>
      <c r="Z12791" s="2"/>
    </row>
    <row r="12792" spans="1:26" ht="16.5" x14ac:dyDescent="0.35">
      <c r="A12792" s="2" t="str">
        <f ca="1">IFERROR(__xludf.DUMMYFUNCTION("""COMPUTED_VALUE"""),"Abu Dhabi")</f>
        <v>Abu Dhabi</v>
      </c>
      <c r="B12792" s="2" t="str">
        <f ca="1">IFERROR(__xludf.DUMMYFUNCTION("""COMPUTED_VALUE"""),"St. Joseph's School, Abu Dhabi")</f>
        <v>St. Joseph's School, Abu Dhabi</v>
      </c>
      <c r="C12792" s="2" t="str">
        <f ca="1">IFERROR(__xludf.DUMMYFUNCTION("""COMPUTED_VALUE"""),"School")</f>
        <v>School</v>
      </c>
      <c r="D12792" s="2" t="str">
        <f ca="1">IFERROR(__xludf.DUMMYFUNCTION("""COMPUTED_VALUE"""),"Abu Dhabi&gt;Al Mushrif&gt;St. Joseph's School, Abu Dhabi")</f>
        <v>Abu Dhabi&gt;Al Mushrif&gt;St. Joseph's School, Abu Dhabi</v>
      </c>
      <c r="E12792" s="2"/>
      <c r="F12792" s="2"/>
      <c r="G12792" s="2"/>
      <c r="H12792" s="2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2"/>
      <c r="T12792" s="2"/>
      <c r="U12792" s="2"/>
      <c r="V12792" s="2"/>
      <c r="W12792" s="2"/>
      <c r="X12792" s="2"/>
      <c r="Y12792" s="2"/>
      <c r="Z12792" s="2"/>
    </row>
    <row r="12793" spans="1:26" ht="16.5" x14ac:dyDescent="0.35">
      <c r="A12793" s="2" t="str">
        <f ca="1">IFERROR(__xludf.DUMMYFUNCTION("""COMPUTED_VALUE"""),"Abu Dhabi")</f>
        <v>Abu Dhabi</v>
      </c>
      <c r="B12793" s="2" t="str">
        <f ca="1">IFERROR(__xludf.DUMMYFUNCTION("""COMPUTED_VALUE"""),"Al Muntazah")</f>
        <v>Al Muntazah</v>
      </c>
      <c r="C12793" s="2" t="str">
        <f ca="1">IFERROR(__xludf.DUMMYFUNCTION("""COMPUTED_VALUE"""),"Neighbourhood")</f>
        <v>Neighbourhood</v>
      </c>
      <c r="D12793" s="2" t="str">
        <f ca="1">IFERROR(__xludf.DUMMYFUNCTION("""COMPUTED_VALUE"""),"Abu Dhabi&gt;Al Muntazah")</f>
        <v>Abu Dhabi&gt;Al Muntazah</v>
      </c>
      <c r="E12793" s="2"/>
      <c r="F12793" s="2"/>
      <c r="G12793" s="2"/>
      <c r="H12793" s="2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2"/>
      <c r="T12793" s="2"/>
      <c r="U12793" s="2"/>
      <c r="V12793" s="2"/>
      <c r="W12793" s="2"/>
      <c r="X12793" s="2"/>
      <c r="Y12793" s="2"/>
      <c r="Z12793" s="2"/>
    </row>
    <row r="12794" spans="1:26" ht="16.5" x14ac:dyDescent="0.35">
      <c r="A12794" s="2" t="str">
        <f ca="1">IFERROR(__xludf.DUMMYFUNCTION("""COMPUTED_VALUE"""),"Abu Dhabi")</f>
        <v>Abu Dhabi</v>
      </c>
      <c r="B12794" s="2" t="str">
        <f ca="1">IFERROR(__xludf.DUMMYFUNCTION("""COMPUTED_VALUE"""),"Mangrove Village")</f>
        <v>Mangrove Village</v>
      </c>
      <c r="C12794" s="2" t="str">
        <f ca="1">IFERROR(__xludf.DUMMYFUNCTION("""COMPUTED_VALUE"""),"Neighbourhood")</f>
        <v>Neighbourhood</v>
      </c>
      <c r="D12794" s="2" t="str">
        <f ca="1">IFERROR(__xludf.DUMMYFUNCTION("""COMPUTED_VALUE"""),"Abu Dhabi&gt;Rabdan&gt;Mangrove Village")</f>
        <v>Abu Dhabi&gt;Rabdan&gt;Mangrove Village</v>
      </c>
      <c r="E12794" s="2"/>
      <c r="F12794" s="2"/>
      <c r="G12794" s="2"/>
      <c r="H12794" s="2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2"/>
      <c r="T12794" s="2"/>
      <c r="U12794" s="2"/>
      <c r="V12794" s="2"/>
      <c r="W12794" s="2"/>
      <c r="X12794" s="2"/>
      <c r="Y12794" s="2"/>
      <c r="Z12794" s="2"/>
    </row>
    <row r="12795" spans="1:26" ht="16.5" x14ac:dyDescent="0.35">
      <c r="A12795" s="2" t="str">
        <f ca="1">IFERROR(__xludf.DUMMYFUNCTION("""COMPUTED_VALUE"""),"Abu Dhabi")</f>
        <v>Abu Dhabi</v>
      </c>
      <c r="B12795" s="2" t="str">
        <f ca="1">IFERROR(__xludf.DUMMYFUNCTION("""COMPUTED_VALUE"""),"Plaza by Reportage")</f>
        <v>Plaza by Reportage</v>
      </c>
      <c r="C12795" s="2" t="str">
        <f ca="1">IFERROR(__xludf.DUMMYFUNCTION("""COMPUTED_VALUE"""),"Building")</f>
        <v>Building</v>
      </c>
      <c r="D12795" s="2" t="str">
        <f ca="1">IFERROR(__xludf.DUMMYFUNCTION("""COMPUTED_VALUE"""),"Abu Dhabi&gt;Masdar City&gt;Plaza by Reportage")</f>
        <v>Abu Dhabi&gt;Masdar City&gt;Plaza by Reportage</v>
      </c>
      <c r="E12795" s="2"/>
      <c r="F12795" s="2"/>
      <c r="G12795" s="2"/>
      <c r="H12795" s="2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2"/>
      <c r="T12795" s="2"/>
      <c r="U12795" s="2"/>
      <c r="V12795" s="2"/>
      <c r="W12795" s="2"/>
      <c r="X12795" s="2"/>
      <c r="Y12795" s="2"/>
      <c r="Z12795" s="2"/>
    </row>
    <row r="12796" spans="1:26" ht="16.5" x14ac:dyDescent="0.35">
      <c r="A12796" s="2" t="str">
        <f ca="1">IFERROR(__xludf.DUMMYFUNCTION("""COMPUTED_VALUE"""),"Abu Dhabi")</f>
        <v>Abu Dhabi</v>
      </c>
      <c r="B12796" s="2" t="str">
        <f ca="1">IFERROR(__xludf.DUMMYFUNCTION("""COMPUTED_VALUE"""),"Hameem Villas")</f>
        <v>Hameem Villas</v>
      </c>
      <c r="C12796" s="2" t="str">
        <f ca="1">IFERROR(__xludf.DUMMYFUNCTION("""COMPUTED_VALUE"""),"Neighbourhood")</f>
        <v>Neighbourhood</v>
      </c>
      <c r="D12796" s="2" t="str">
        <f ca="1">IFERROR(__xludf.DUMMYFUNCTION("""COMPUTED_VALUE"""),"Abu Dhabi&gt;Al Rawdah&gt;Hameem Villas")</f>
        <v>Abu Dhabi&gt;Al Rawdah&gt;Hameem Villas</v>
      </c>
      <c r="E12796" s="2"/>
      <c r="F12796" s="2"/>
      <c r="G12796" s="2"/>
      <c r="H12796" s="2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2"/>
      <c r="T12796" s="2"/>
      <c r="U12796" s="2"/>
      <c r="V12796" s="2"/>
      <c r="W12796" s="2"/>
      <c r="X12796" s="2"/>
      <c r="Y12796" s="2"/>
      <c r="Z12796" s="2"/>
    </row>
    <row r="12797" spans="1:26" ht="16.5" x14ac:dyDescent="0.35">
      <c r="A12797" s="2" t="str">
        <f ca="1">IFERROR(__xludf.DUMMYFUNCTION("""COMPUTED_VALUE"""),"Abu Dhabi")</f>
        <v>Abu Dhabi</v>
      </c>
      <c r="B12797" s="2" t="str">
        <f ca="1">IFERROR(__xludf.DUMMYFUNCTION("""COMPUTED_VALUE"""),"Abu Dhabi Global Market (ADGM)")</f>
        <v>Abu Dhabi Global Market (ADGM)</v>
      </c>
      <c r="C12797" s="2" t="str">
        <f ca="1">IFERROR(__xludf.DUMMYFUNCTION("""COMPUTED_VALUE"""),"Building")</f>
        <v>Building</v>
      </c>
      <c r="D12797" s="2" t="str">
        <f ca="1">IFERROR(__xludf.DUMMYFUNCTION("""COMPUTED_VALUE"""),"Abu Dhabi&gt;Al Maryah Island&gt;Sowwah Square&gt;Abu Dhabi Global Market (ADGM)")</f>
        <v>Abu Dhabi&gt;Al Maryah Island&gt;Sowwah Square&gt;Abu Dhabi Global Market (ADGM)</v>
      </c>
      <c r="E12797" s="2"/>
      <c r="F12797" s="2"/>
      <c r="G12797" s="2"/>
      <c r="H12797" s="2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2"/>
      <c r="T12797" s="2"/>
      <c r="U12797" s="2"/>
      <c r="V12797" s="2"/>
      <c r="W12797" s="2"/>
      <c r="X12797" s="2"/>
      <c r="Y12797" s="2"/>
      <c r="Z12797" s="2"/>
    </row>
    <row r="12798" spans="1:26" ht="16.5" x14ac:dyDescent="0.35">
      <c r="A12798" s="2" t="str">
        <f ca="1">IFERROR(__xludf.DUMMYFUNCTION("""COMPUTED_VALUE"""),"Abu Dhabi")</f>
        <v>Abu Dhabi</v>
      </c>
      <c r="B12798" s="2" t="str">
        <f ca="1">IFERROR(__xludf.DUMMYFUNCTION("""COMPUTED_VALUE"""),"Al Bateen Airport")</f>
        <v>Al Bateen Airport</v>
      </c>
      <c r="C12798" s="2"/>
      <c r="D12798" s="2" t="str">
        <f ca="1">IFERROR(__xludf.DUMMYFUNCTION("""COMPUTED_VALUE"""),"Abu Dhabi&gt;Al Matar&gt;Al Bateen Airport")</f>
        <v>Abu Dhabi&gt;Al Matar&gt;Al Bateen Airport</v>
      </c>
      <c r="E12798" s="2"/>
      <c r="F12798" s="2"/>
      <c r="G12798" s="2"/>
      <c r="H12798" s="2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2"/>
      <c r="T12798" s="2"/>
      <c r="U12798" s="2"/>
      <c r="V12798" s="2"/>
      <c r="W12798" s="2"/>
      <c r="X12798" s="2"/>
      <c r="Y12798" s="2"/>
      <c r="Z12798" s="2"/>
    </row>
    <row r="12799" spans="1:26" ht="16.5" x14ac:dyDescent="0.35">
      <c r="A12799" s="2" t="str">
        <f ca="1">IFERROR(__xludf.DUMMYFUNCTION("""COMPUTED_VALUE"""),"Abu Dhabi")</f>
        <v>Abu Dhabi</v>
      </c>
      <c r="B12799" s="2" t="str">
        <f ca="1">IFERROR(__xludf.DUMMYFUNCTION("""COMPUTED_VALUE"""),"MSH18")</f>
        <v>MSH18</v>
      </c>
      <c r="C12799" s="2" t="str">
        <f ca="1">IFERROR(__xludf.DUMMYFUNCTION("""COMPUTED_VALUE"""),"Neighbourhood")</f>
        <v>Neighbourhood</v>
      </c>
      <c r="D12799" s="2" t="str">
        <f ca="1">IFERROR(__xludf.DUMMYFUNCTION("""COMPUTED_VALUE"""),"Abu Dhabi&gt;Shakhbout City&gt;MSH18")</f>
        <v>Abu Dhabi&gt;Shakhbout City&gt;MSH18</v>
      </c>
      <c r="E12799" s="2"/>
      <c r="F12799" s="2"/>
      <c r="G12799" s="2"/>
      <c r="H12799" s="2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2"/>
      <c r="T12799" s="2"/>
      <c r="U12799" s="2"/>
      <c r="V12799" s="2"/>
      <c r="W12799" s="2"/>
      <c r="X12799" s="2"/>
      <c r="Y12799" s="2"/>
      <c r="Z12799" s="2"/>
    </row>
    <row r="12800" spans="1:26" ht="16.5" x14ac:dyDescent="0.35">
      <c r="A12800" s="2" t="str">
        <f ca="1">IFERROR(__xludf.DUMMYFUNCTION("""COMPUTED_VALUE"""),"Abu Dhabi")</f>
        <v>Abu Dhabi</v>
      </c>
      <c r="B12800" s="2" t="str">
        <f ca="1">IFERROR(__xludf.DUMMYFUNCTION("""COMPUTED_VALUE"""),"Jubail Terraces")</f>
        <v>Jubail Terraces</v>
      </c>
      <c r="C12800" s="2" t="str">
        <f ca="1">IFERROR(__xludf.DUMMYFUNCTION("""COMPUTED_VALUE"""),"Building")</f>
        <v>Building</v>
      </c>
      <c r="D12800" s="2" t="str">
        <f ca="1">IFERROR(__xludf.DUMMYFUNCTION("""COMPUTED_VALUE"""),"Abu Dhabi&gt;Al Jubail Island&gt;Jubail Terraces")</f>
        <v>Abu Dhabi&gt;Al Jubail Island&gt;Jubail Terraces</v>
      </c>
      <c r="E12800" s="2"/>
      <c r="F12800" s="2"/>
      <c r="G12800" s="2"/>
      <c r="H12800" s="2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2"/>
      <c r="T12800" s="2"/>
      <c r="U12800" s="2"/>
      <c r="V12800" s="2"/>
      <c r="W12800" s="2"/>
      <c r="X12800" s="2"/>
      <c r="Y12800" s="2"/>
      <c r="Z12800" s="2"/>
    </row>
    <row r="12801" spans="1:26" ht="16.5" x14ac:dyDescent="0.35">
      <c r="A12801" s="2" t="str">
        <f ca="1">IFERROR(__xludf.DUMMYFUNCTION("""COMPUTED_VALUE"""),"Abu Dhabi")</f>
        <v>Abu Dhabi</v>
      </c>
      <c r="B12801" s="2" t="str">
        <f ca="1">IFERROR(__xludf.DUMMYFUNCTION("""COMPUTED_VALUE"""),"The Lagoon Club Hotel and Residences")</f>
        <v>The Lagoon Club Hotel and Residences</v>
      </c>
      <c r="C12801" s="2" t="str">
        <f ca="1">IFERROR(__xludf.DUMMYFUNCTION("""COMPUTED_VALUE"""),"Building")</f>
        <v>Building</v>
      </c>
      <c r="D12801" s="2" t="str">
        <f ca="1">IFERROR(__xludf.DUMMYFUNCTION("""COMPUTED_VALUE"""),"Abu Dhabi&gt;Al Khubeirah&gt;The Lagoon Club Hotel and Residences")</f>
        <v>Abu Dhabi&gt;Al Khubeirah&gt;The Lagoon Club Hotel and Residences</v>
      </c>
      <c r="E12801" s="2"/>
      <c r="F12801" s="2"/>
      <c r="G12801" s="2"/>
      <c r="H12801" s="2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2"/>
      <c r="T12801" s="2"/>
      <c r="U12801" s="2"/>
      <c r="V12801" s="2"/>
      <c r="W12801" s="2"/>
      <c r="X12801" s="2"/>
      <c r="Y12801" s="2"/>
      <c r="Z12801" s="2"/>
    </row>
    <row r="12802" spans="1:26" ht="16.5" x14ac:dyDescent="0.35">
      <c r="A12802" s="2" t="str">
        <f ca="1">IFERROR(__xludf.DUMMYFUNCTION("""COMPUTED_VALUE"""),"Abu Dhabi")</f>
        <v>Abu Dhabi</v>
      </c>
      <c r="B12802" s="2" t="str">
        <f ca="1">IFERROR(__xludf.DUMMYFUNCTION("""COMPUTED_VALUE"""),"Falcon Tower")</f>
        <v>Falcon Tower</v>
      </c>
      <c r="C12802" s="2" t="str">
        <f ca="1">IFERROR(__xludf.DUMMYFUNCTION("""COMPUTED_VALUE"""),"Building")</f>
        <v>Building</v>
      </c>
      <c r="D12802" s="2" t="str">
        <f ca="1">IFERROR(__xludf.DUMMYFUNCTION("""COMPUTED_VALUE"""),"Abu Dhabi&gt;Al Hisn&gt;Falcon Tower")</f>
        <v>Abu Dhabi&gt;Al Hisn&gt;Falcon Tower</v>
      </c>
      <c r="E12802" s="2"/>
      <c r="F12802" s="2"/>
      <c r="G12802" s="2"/>
      <c r="H12802" s="2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2"/>
      <c r="T12802" s="2"/>
      <c r="U12802" s="2"/>
      <c r="V12802" s="2"/>
      <c r="W12802" s="2"/>
      <c r="X12802" s="2"/>
      <c r="Y12802" s="2"/>
      <c r="Z12802" s="2"/>
    </row>
    <row r="12803" spans="1:26" ht="16.5" x14ac:dyDescent="0.35">
      <c r="A12803" s="2" t="str">
        <f ca="1">IFERROR(__xludf.DUMMYFUNCTION("""COMPUTED_VALUE"""),"Abu Dhabi")</f>
        <v>Abu Dhabi</v>
      </c>
      <c r="B12803" s="2" t="str">
        <f ca="1">IFERROR(__xludf.DUMMYFUNCTION("""COMPUTED_VALUE"""),"Al Eman Private School, Abu Dhabi")</f>
        <v>Al Eman Private School, Abu Dhabi</v>
      </c>
      <c r="C12803" s="2" t="str">
        <f ca="1">IFERROR(__xludf.DUMMYFUNCTION("""COMPUTED_VALUE"""),"School")</f>
        <v>School</v>
      </c>
      <c r="D12803" s="2" t="str">
        <f ca="1">IFERROR(__xludf.DUMMYFUNCTION("""COMPUTED_VALUE"""),"Abu Dhabi&gt;Al Manhal&gt;Al Eman Private School, Abu Dhabi")</f>
        <v>Abu Dhabi&gt;Al Manhal&gt;Al Eman Private School, Abu Dhabi</v>
      </c>
      <c r="E12803" s="2"/>
      <c r="F12803" s="2"/>
      <c r="G12803" s="2"/>
      <c r="H12803" s="2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2"/>
      <c r="T12803" s="2"/>
      <c r="U12803" s="2"/>
      <c r="V12803" s="2"/>
      <c r="W12803" s="2"/>
      <c r="X12803" s="2"/>
      <c r="Y12803" s="2"/>
      <c r="Z12803" s="2"/>
    </row>
    <row r="12804" spans="1:26" ht="16.5" x14ac:dyDescent="0.35">
      <c r="A12804" s="2" t="str">
        <f ca="1">IFERROR(__xludf.DUMMYFUNCTION("""COMPUTED_VALUE"""),"Abu Dhabi")</f>
        <v>Abu Dhabi</v>
      </c>
      <c r="B12804" s="2" t="str">
        <f ca="1">IFERROR(__xludf.DUMMYFUNCTION("""COMPUTED_VALUE"""),"The Beach House Tower 2")</f>
        <v>The Beach House Tower 2</v>
      </c>
      <c r="C12804" s="2" t="str">
        <f ca="1">IFERROR(__xludf.DUMMYFUNCTION("""COMPUTED_VALUE"""),"Building")</f>
        <v>Building</v>
      </c>
      <c r="D12804" s="2" t="str">
        <f ca="1">IFERROR(__xludf.DUMMYFUNCTION("""COMPUTED_VALUE"""),"Abu Dhabi&gt;Fahid Island&gt;The Beach House&gt;The Beach House Tower 2")</f>
        <v>Abu Dhabi&gt;Fahid Island&gt;The Beach House&gt;The Beach House Tower 2</v>
      </c>
      <c r="E12804" s="2"/>
      <c r="F12804" s="2"/>
      <c r="G12804" s="2"/>
      <c r="H12804" s="2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2"/>
      <c r="T12804" s="2"/>
      <c r="U12804" s="2"/>
      <c r="V12804" s="2"/>
      <c r="W12804" s="2"/>
      <c r="X12804" s="2"/>
      <c r="Y12804" s="2"/>
      <c r="Z12804" s="2"/>
    </row>
    <row r="12805" spans="1:26" ht="16.5" x14ac:dyDescent="0.35">
      <c r="A12805" s="2" t="str">
        <f ca="1">IFERROR(__xludf.DUMMYFUNCTION("""COMPUTED_VALUE"""),"Abu Dhabi")</f>
        <v>Abu Dhabi</v>
      </c>
      <c r="B12805" s="2" t="str">
        <f ca="1">IFERROR(__xludf.DUMMYFUNCTION("""COMPUTED_VALUE"""),"RDK Towers")</f>
        <v>RDK Towers</v>
      </c>
      <c r="C12805" s="2" t="str">
        <f ca="1">IFERROR(__xludf.DUMMYFUNCTION("""COMPUTED_VALUE"""),"Building")</f>
        <v>Building</v>
      </c>
      <c r="D12805" s="2" t="str">
        <f ca="1">IFERROR(__xludf.DUMMYFUNCTION("""COMPUTED_VALUE"""),"Abu Dhabi&gt;Al Reem Island&gt;Najmat Abu Dhabi&gt;RDK Towers")</f>
        <v>Abu Dhabi&gt;Al Reem Island&gt;Najmat Abu Dhabi&gt;RDK Towers</v>
      </c>
      <c r="E12805" s="2"/>
      <c r="F12805" s="2"/>
      <c r="G12805" s="2"/>
      <c r="H12805" s="2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2"/>
      <c r="T12805" s="2"/>
      <c r="U12805" s="2"/>
      <c r="V12805" s="2"/>
      <c r="W12805" s="2"/>
      <c r="X12805" s="2"/>
      <c r="Y12805" s="2"/>
      <c r="Z12805" s="2"/>
    </row>
    <row r="12806" spans="1:26" ht="16.5" x14ac:dyDescent="0.35">
      <c r="A12806" s="2" t="str">
        <f ca="1">IFERROR(__xludf.DUMMYFUNCTION("""COMPUTED_VALUE"""),"Abu Dhabi")</f>
        <v>Abu Dhabi</v>
      </c>
      <c r="B12806" s="2" t="str">
        <f ca="1">IFERROR(__xludf.DUMMYFUNCTION("""COMPUTED_VALUE"""),"Tala Tower")</f>
        <v>Tala Tower</v>
      </c>
      <c r="C12806" s="2" t="str">
        <f ca="1">IFERROR(__xludf.DUMMYFUNCTION("""COMPUTED_VALUE"""),"Building")</f>
        <v>Building</v>
      </c>
      <c r="D12806" s="2" t="str">
        <f ca="1">IFERROR(__xludf.DUMMYFUNCTION("""COMPUTED_VALUE"""),"Abu Dhabi&gt;Al Reem Island&gt;Marina Square&gt;Tala Tower")</f>
        <v>Abu Dhabi&gt;Al Reem Island&gt;Marina Square&gt;Tala Tower</v>
      </c>
      <c r="E12806" s="2"/>
      <c r="F12806" s="2"/>
      <c r="G12806" s="2"/>
      <c r="H12806" s="2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2"/>
      <c r="T12806" s="2"/>
      <c r="U12806" s="2"/>
      <c r="V12806" s="2"/>
      <c r="W12806" s="2"/>
      <c r="X12806" s="2"/>
      <c r="Y12806" s="2"/>
      <c r="Z12806" s="2"/>
    </row>
    <row r="12807" spans="1:26" ht="16.5" x14ac:dyDescent="0.35">
      <c r="A12807" s="2" t="str">
        <f ca="1">IFERROR(__xludf.DUMMYFUNCTION("""COMPUTED_VALUE"""),"Abu Dhabi")</f>
        <v>Abu Dhabi</v>
      </c>
      <c r="B12807" s="2" t="str">
        <f ca="1">IFERROR(__xludf.DUMMYFUNCTION("""COMPUTED_VALUE"""),"Reem Diamond")</f>
        <v>Reem Diamond</v>
      </c>
      <c r="C12807" s="2" t="str">
        <f ca="1">IFERROR(__xludf.DUMMYFUNCTION("""COMPUTED_VALUE"""),"Building")</f>
        <v>Building</v>
      </c>
      <c r="D12807" s="2" t="str">
        <f ca="1">IFERROR(__xludf.DUMMYFUNCTION("""COMPUTED_VALUE"""),"Abu Dhabi&gt;Al Reem Island&gt;Shams Abu Dhabi&gt;Reem Diamond")</f>
        <v>Abu Dhabi&gt;Al Reem Island&gt;Shams Abu Dhabi&gt;Reem Diamond</v>
      </c>
      <c r="E12807" s="2"/>
      <c r="F12807" s="2"/>
      <c r="G12807" s="2"/>
      <c r="H12807" s="2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2"/>
      <c r="T12807" s="2"/>
      <c r="U12807" s="2"/>
      <c r="V12807" s="2"/>
      <c r="W12807" s="2"/>
      <c r="X12807" s="2"/>
      <c r="Y12807" s="2"/>
      <c r="Z12807" s="2"/>
    </row>
    <row r="12808" spans="1:26" ht="16.5" x14ac:dyDescent="0.35">
      <c r="A12808" s="2" t="str">
        <f ca="1">IFERROR(__xludf.DUMMYFUNCTION("""COMPUTED_VALUE"""),"Abu Dhabi")</f>
        <v>Abu Dhabi</v>
      </c>
      <c r="B12808" s="2" t="str">
        <f ca="1">IFERROR(__xludf.DUMMYFUNCTION("""COMPUTED_VALUE"""),"Lilac Tower")</f>
        <v>Lilac Tower</v>
      </c>
      <c r="C12808" s="2" t="str">
        <f ca="1">IFERROR(__xludf.DUMMYFUNCTION("""COMPUTED_VALUE"""),"Building")</f>
        <v>Building</v>
      </c>
      <c r="D12808" s="2" t="str">
        <f ca="1">IFERROR(__xludf.DUMMYFUNCTION("""COMPUTED_VALUE"""),"Abu Dhabi&gt;Al Reem Island&gt;Shams Abu Dhabi&gt;Lilac Tower")</f>
        <v>Abu Dhabi&gt;Al Reem Island&gt;Shams Abu Dhabi&gt;Lilac Tower</v>
      </c>
      <c r="E12808" s="2"/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  <c r="V12808" s="2"/>
      <c r="W12808" s="2"/>
      <c r="X12808" s="2"/>
      <c r="Y12808" s="2"/>
      <c r="Z12808" s="2"/>
    </row>
    <row r="12809" spans="1:26" ht="16.5" x14ac:dyDescent="0.35">
      <c r="A12809" s="2" t="str">
        <f ca="1">IFERROR(__xludf.DUMMYFUNCTION("""COMPUTED_VALUE"""),"Abu Dhabi")</f>
        <v>Abu Dhabi</v>
      </c>
      <c r="B12809" s="2" t="str">
        <f ca="1">IFERROR(__xludf.DUMMYFUNCTION("""COMPUTED_VALUE"""),"Sigma Tower 2")</f>
        <v>Sigma Tower 2</v>
      </c>
      <c r="C12809" s="2" t="str">
        <f ca="1">IFERROR(__xludf.DUMMYFUNCTION("""COMPUTED_VALUE"""),"Building")</f>
        <v>Building</v>
      </c>
      <c r="D12809" s="2" t="str">
        <f ca="1">IFERROR(__xludf.DUMMYFUNCTION("""COMPUTED_VALUE"""),"Abu Dhabi&gt;Al Reem Island&gt;City of Lights&gt;Sigma Towers&gt;Sigma Tower 2")</f>
        <v>Abu Dhabi&gt;Al Reem Island&gt;City of Lights&gt;Sigma Towers&gt;Sigma Tower 2</v>
      </c>
      <c r="E12809" s="2"/>
      <c r="F12809" s="2"/>
      <c r="G12809" s="2"/>
      <c r="H12809" s="2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2"/>
      <c r="T12809" s="2"/>
      <c r="U12809" s="2"/>
      <c r="V12809" s="2"/>
      <c r="W12809" s="2"/>
      <c r="X12809" s="2"/>
      <c r="Y12809" s="2"/>
      <c r="Z12809" s="2"/>
    </row>
    <row r="12810" spans="1:26" ht="16.5" x14ac:dyDescent="0.35">
      <c r="A12810" s="2" t="str">
        <f ca="1">IFERROR(__xludf.DUMMYFUNCTION("""COMPUTED_VALUE"""),"Abu Dhabi")</f>
        <v>Abu Dhabi</v>
      </c>
      <c r="B12810" s="2" t="str">
        <f ca="1">IFERROR(__xludf.DUMMYFUNCTION("""COMPUTED_VALUE"""),"Island Living")</f>
        <v>Island Living</v>
      </c>
      <c r="C12810" s="2" t="str">
        <f ca="1">IFERROR(__xludf.DUMMYFUNCTION("""COMPUTED_VALUE"""),"Neighbourhood")</f>
        <v>Neighbourhood</v>
      </c>
      <c r="D12810" s="2" t="str">
        <f ca="1">IFERROR(__xludf.DUMMYFUNCTION("""COMPUTED_VALUE"""),"Abu Dhabi&gt;Al Reem Island&gt;Reem Hills&gt;Island Living")</f>
        <v>Abu Dhabi&gt;Al Reem Island&gt;Reem Hills&gt;Island Living</v>
      </c>
      <c r="E12810" s="2"/>
      <c r="F12810" s="2"/>
      <c r="G12810" s="2"/>
      <c r="H12810" s="2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2"/>
      <c r="T12810" s="2"/>
      <c r="U12810" s="2"/>
      <c r="V12810" s="2"/>
      <c r="W12810" s="2"/>
      <c r="X12810" s="2"/>
      <c r="Y12810" s="2"/>
      <c r="Z12810" s="2"/>
    </row>
    <row r="12811" spans="1:26" ht="16.5" x14ac:dyDescent="0.35">
      <c r="A12811" s="2" t="str">
        <f ca="1">IFERROR(__xludf.DUMMYFUNCTION("""COMPUTED_VALUE"""),"Abu Dhabi")</f>
        <v>Abu Dhabi</v>
      </c>
      <c r="B12811" s="2" t="str">
        <f ca="1">IFERROR(__xludf.DUMMYFUNCTION("""COMPUTED_VALUE"""),"Clock Tower")</f>
        <v>Clock Tower</v>
      </c>
      <c r="C12811" s="2" t="str">
        <f ca="1">IFERROR(__xludf.DUMMYFUNCTION("""COMPUTED_VALUE"""),"Building")</f>
        <v>Building</v>
      </c>
      <c r="D12811" s="2" t="str">
        <f ca="1">IFERROR(__xludf.DUMMYFUNCTION("""COMPUTED_VALUE"""),"Abu Dhabi&gt;Corniche Road&gt;Clock Tower")</f>
        <v>Abu Dhabi&gt;Corniche Road&gt;Clock Tower</v>
      </c>
      <c r="E12811" s="2"/>
      <c r="F12811" s="2"/>
      <c r="G12811" s="2"/>
      <c r="H12811" s="2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2"/>
      <c r="T12811" s="2"/>
      <c r="U12811" s="2"/>
      <c r="V12811" s="2"/>
      <c r="W12811" s="2"/>
      <c r="X12811" s="2"/>
      <c r="Y12811" s="2"/>
      <c r="Z12811" s="2"/>
    </row>
    <row r="12812" spans="1:26" ht="16.5" x14ac:dyDescent="0.35">
      <c r="A12812" s="2" t="str">
        <f ca="1">IFERROR(__xludf.DUMMYFUNCTION("""COMPUTED_VALUE"""),"Abu Dhabi")</f>
        <v>Abu Dhabi</v>
      </c>
      <c r="B12812" s="2" t="str">
        <f ca="1">IFERROR(__xludf.DUMMYFUNCTION("""COMPUTED_VALUE"""),"Das Tower")</f>
        <v>Das Tower</v>
      </c>
      <c r="C12812" s="2"/>
      <c r="D12812" s="2" t="str">
        <f ca="1">IFERROR(__xludf.DUMMYFUNCTION("""COMPUTED_VALUE"""),"Abu Dhabi&gt;Al Khalidiyah&gt;Das Tower")</f>
        <v>Abu Dhabi&gt;Al Khalidiyah&gt;Das Tower</v>
      </c>
      <c r="E12812" s="2"/>
      <c r="F12812" s="2"/>
      <c r="G12812" s="2"/>
      <c r="H12812" s="2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2"/>
      <c r="T12812" s="2"/>
      <c r="U12812" s="2"/>
      <c r="V12812" s="2"/>
      <c r="W12812" s="2"/>
      <c r="X12812" s="2"/>
      <c r="Y12812" s="2"/>
      <c r="Z12812" s="2"/>
    </row>
    <row r="12813" spans="1:26" ht="16.5" x14ac:dyDescent="0.35">
      <c r="A12813" s="2" t="str">
        <f ca="1">IFERROR(__xludf.DUMMYFUNCTION("""COMPUTED_VALUE"""),"Abu Dhabi")</f>
        <v>Abu Dhabi</v>
      </c>
      <c r="B12813" s="2" t="str">
        <f ca="1">IFERROR(__xludf.DUMMYFUNCTION("""COMPUTED_VALUE"""),"Al Safa Tower")</f>
        <v>Al Safa Tower</v>
      </c>
      <c r="C12813" s="2" t="str">
        <f ca="1">IFERROR(__xludf.DUMMYFUNCTION("""COMPUTED_VALUE"""),"Building")</f>
        <v>Building</v>
      </c>
      <c r="D12813" s="2" t="str">
        <f ca="1">IFERROR(__xludf.DUMMYFUNCTION("""COMPUTED_VALUE"""),"Abu Dhabi&gt;Al Khalidiyah&gt;Al Safa Tower")</f>
        <v>Abu Dhabi&gt;Al Khalidiyah&gt;Al Safa Tower</v>
      </c>
      <c r="E12813" s="2"/>
      <c r="F12813" s="2"/>
      <c r="G12813" s="2"/>
      <c r="H12813" s="2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2"/>
      <c r="T12813" s="2"/>
      <c r="U12813" s="2"/>
      <c r="V12813" s="2"/>
      <c r="W12813" s="2"/>
      <c r="X12813" s="2"/>
      <c r="Y12813" s="2"/>
      <c r="Z12813" s="2"/>
    </row>
    <row r="12814" spans="1:26" ht="16.5" x14ac:dyDescent="0.35">
      <c r="A12814" s="2" t="str">
        <f ca="1">IFERROR(__xludf.DUMMYFUNCTION("""COMPUTED_VALUE"""),"Abu Dhabi")</f>
        <v>Abu Dhabi</v>
      </c>
      <c r="B12814" s="2" t="str">
        <f ca="1">IFERROR(__xludf.DUMMYFUNCTION("""COMPUTED_VALUE"""),"Liwa Oasis Compound")</f>
        <v>Liwa Oasis Compound</v>
      </c>
      <c r="C12814" s="2" t="str">
        <f ca="1">IFERROR(__xludf.DUMMYFUNCTION("""COMPUTED_VALUE"""),"Neighbourhood")</f>
        <v>Neighbourhood</v>
      </c>
      <c r="D12814" s="2" t="str">
        <f ca="1">IFERROR(__xludf.DUMMYFUNCTION("""COMPUTED_VALUE"""),"Abu Dhabi&gt;Khalifa City&gt;Liwa Oasis Compound")</f>
        <v>Abu Dhabi&gt;Khalifa City&gt;Liwa Oasis Compound</v>
      </c>
      <c r="E12814" s="2"/>
      <c r="F12814" s="2"/>
      <c r="G12814" s="2"/>
      <c r="H12814" s="2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2"/>
      <c r="T12814" s="2"/>
      <c r="U12814" s="2"/>
      <c r="V12814" s="2"/>
      <c r="W12814" s="2"/>
      <c r="X12814" s="2"/>
      <c r="Y12814" s="2"/>
      <c r="Z12814" s="2"/>
    </row>
    <row r="12815" spans="1:26" ht="16.5" x14ac:dyDescent="0.35">
      <c r="A12815" s="2" t="str">
        <f ca="1">IFERROR(__xludf.DUMMYFUNCTION("""COMPUTED_VALUE"""),"Abu Dhabi")</f>
        <v>Abu Dhabi</v>
      </c>
      <c r="B12815" s="2" t="str">
        <f ca="1">IFERROR(__xludf.DUMMYFUNCTION("""COMPUTED_VALUE"""),"SE15")</f>
        <v>SE15</v>
      </c>
      <c r="C12815" s="2" t="str">
        <f ca="1">IFERROR(__xludf.DUMMYFUNCTION("""COMPUTED_VALUE"""),"Neighbourhood")</f>
        <v>Neighbourhood</v>
      </c>
      <c r="D12815" s="2" t="str">
        <f ca="1">IFERROR(__xludf.DUMMYFUNCTION("""COMPUTED_VALUE"""),"Abu Dhabi&gt;Khalifa City&gt;SE15")</f>
        <v>Abu Dhabi&gt;Khalifa City&gt;SE15</v>
      </c>
      <c r="E12815" s="2"/>
      <c r="F12815" s="2"/>
      <c r="G12815" s="2"/>
      <c r="H12815" s="2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2"/>
      <c r="T12815" s="2"/>
      <c r="U12815" s="2"/>
      <c r="V12815" s="2"/>
      <c r="W12815" s="2"/>
      <c r="X12815" s="2"/>
      <c r="Y12815" s="2"/>
      <c r="Z12815" s="2"/>
    </row>
    <row r="12816" spans="1:26" ht="16.5" x14ac:dyDescent="0.35">
      <c r="A12816" s="2" t="str">
        <f ca="1">IFERROR(__xludf.DUMMYFUNCTION("""COMPUTED_VALUE"""),"Abu Dhabi")</f>
        <v>Abu Dhabi</v>
      </c>
      <c r="B12816" s="2" t="str">
        <f ca="1">IFERROR(__xludf.DUMMYFUNCTION("""COMPUTED_VALUE"""),"Al Nasr Tower 3")</f>
        <v>Al Nasr Tower 3</v>
      </c>
      <c r="C12816" s="2" t="str">
        <f ca="1">IFERROR(__xludf.DUMMYFUNCTION("""COMPUTED_VALUE"""),"Building")</f>
        <v>Building</v>
      </c>
      <c r="D12816" s="2" t="str">
        <f ca="1">IFERROR(__xludf.DUMMYFUNCTION("""COMPUTED_VALUE"""),"Abu Dhabi&gt;Al Markaziya&gt;Al Nasr Tower 3")</f>
        <v>Abu Dhabi&gt;Al Markaziya&gt;Al Nasr Tower 3</v>
      </c>
      <c r="E12816" s="2"/>
      <c r="F12816" s="2"/>
      <c r="G12816" s="2"/>
      <c r="H12816" s="2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2"/>
      <c r="T12816" s="2"/>
      <c r="U12816" s="2"/>
      <c r="V12816" s="2"/>
      <c r="W12816" s="2"/>
      <c r="X12816" s="2"/>
      <c r="Y12816" s="2"/>
      <c r="Z12816" s="2"/>
    </row>
    <row r="12817" spans="1:26" ht="16.5" x14ac:dyDescent="0.35">
      <c r="A12817" s="2" t="str">
        <f ca="1">IFERROR(__xludf.DUMMYFUNCTION("""COMPUTED_VALUE"""),"Abu Dhabi")</f>
        <v>Abu Dhabi</v>
      </c>
      <c r="B12817" s="2" t="str">
        <f ca="1">IFERROR(__xludf.DUMMYFUNCTION("""COMPUTED_VALUE"""),"Al Ward")</f>
        <v>Al Ward</v>
      </c>
      <c r="C12817" s="2" t="str">
        <f ca="1">IFERROR(__xludf.DUMMYFUNCTION("""COMPUTED_VALUE"""),"Neighbourhood")</f>
        <v>Neighbourhood</v>
      </c>
      <c r="D12817" s="2" t="str">
        <f ca="1">IFERROR(__xludf.DUMMYFUNCTION("""COMPUTED_VALUE"""),"Abu Dhabi&gt;Al Raha Gardens&gt;Al Ward")</f>
        <v>Abu Dhabi&gt;Al Raha Gardens&gt;Al Ward</v>
      </c>
      <c r="E12817" s="2"/>
      <c r="F12817" s="2"/>
      <c r="G12817" s="2"/>
      <c r="H12817" s="2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2"/>
      <c r="T12817" s="2"/>
      <c r="U12817" s="2"/>
      <c r="V12817" s="2"/>
      <c r="W12817" s="2"/>
      <c r="X12817" s="2"/>
      <c r="Y12817" s="2"/>
      <c r="Z12817" s="2"/>
    </row>
    <row r="12818" spans="1:26" ht="16.5" x14ac:dyDescent="0.35">
      <c r="A12818" s="2" t="str">
        <f ca="1">IFERROR(__xludf.DUMMYFUNCTION("""COMPUTED_VALUE"""),"Abu Dhabi")</f>
        <v>Abu Dhabi</v>
      </c>
      <c r="B12818" s="2" t="str">
        <f ca="1">IFERROR(__xludf.DUMMYFUNCTION("""COMPUTED_VALUE"""),"The Source II")</f>
        <v>The Source II</v>
      </c>
      <c r="C12818" s="2" t="str">
        <f ca="1">IFERROR(__xludf.DUMMYFUNCTION("""COMPUTED_VALUE"""),"Building")</f>
        <v>Building</v>
      </c>
      <c r="D12818" s="2" t="str">
        <f ca="1">IFERROR(__xludf.DUMMYFUNCTION("""COMPUTED_VALUE"""),"Abu Dhabi&gt;Saadiyat Island&gt;Saadiyat Cultural District&gt;The Source II")</f>
        <v>Abu Dhabi&gt;Saadiyat Island&gt;Saadiyat Cultural District&gt;The Source II</v>
      </c>
      <c r="E12818" s="2"/>
      <c r="F12818" s="2"/>
      <c r="G12818" s="2"/>
      <c r="H12818" s="2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2"/>
      <c r="T12818" s="2"/>
      <c r="U12818" s="2"/>
      <c r="V12818" s="2"/>
      <c r="W12818" s="2"/>
      <c r="X12818" s="2"/>
      <c r="Y12818" s="2"/>
      <c r="Z12818" s="2"/>
    </row>
    <row r="12819" spans="1:26" ht="16.5" x14ac:dyDescent="0.35">
      <c r="A12819" s="2" t="str">
        <f ca="1">IFERROR(__xludf.DUMMYFUNCTION("""COMPUTED_VALUE"""),"Abu Dhabi")</f>
        <v>Abu Dhabi</v>
      </c>
      <c r="B12819" s="2" t="str">
        <f ca="1">IFERROR(__xludf.DUMMYFUNCTION("""COMPUTED_VALUE"""),"Saadiyat Beach Residences Block 6")</f>
        <v>Saadiyat Beach Residences Block 6</v>
      </c>
      <c r="C12819" s="2" t="str">
        <f ca="1">IFERROR(__xludf.DUMMYFUNCTION("""COMPUTED_VALUE"""),"Building")</f>
        <v>Building</v>
      </c>
      <c r="D12819" s="2" t="str">
        <f ca="1">IFERROR(__xludf.DUMMYFUNCTION("""COMPUTED_VALUE"""),"Abu Dhabi&gt;Saadiyat Island&gt;Saadiyat Beach&gt;Saadiyat Beach Residences&gt;Saadiyat Beach Residences Block 6")</f>
        <v>Abu Dhabi&gt;Saadiyat Island&gt;Saadiyat Beach&gt;Saadiyat Beach Residences&gt;Saadiyat Beach Residences Block 6</v>
      </c>
      <c r="E12819" s="2"/>
      <c r="F12819" s="2"/>
      <c r="G12819" s="2"/>
      <c r="H12819" s="2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2"/>
      <c r="T12819" s="2"/>
      <c r="U12819" s="2"/>
      <c r="V12819" s="2"/>
      <c r="W12819" s="2"/>
      <c r="X12819" s="2"/>
      <c r="Y12819" s="2"/>
      <c r="Z12819" s="2"/>
    </row>
    <row r="12820" spans="1:26" ht="16.5" x14ac:dyDescent="0.35">
      <c r="A12820" s="2" t="str">
        <f ca="1">IFERROR(__xludf.DUMMYFUNCTION("""COMPUTED_VALUE"""),"Abu Dhabi")</f>
        <v>Abu Dhabi</v>
      </c>
      <c r="B12820" s="2" t="str">
        <f ca="1">IFERROR(__xludf.DUMMYFUNCTION("""COMPUTED_VALUE"""),"Nouran Living")</f>
        <v>Nouran Living</v>
      </c>
      <c r="C12820" s="2" t="str">
        <f ca="1">IFERROR(__xludf.DUMMYFUNCTION("""COMPUTED_VALUE"""),"Building")</f>
        <v>Building</v>
      </c>
      <c r="D12820" s="2" t="str">
        <f ca="1">IFERROR(__xludf.DUMMYFUNCTION("""COMPUTED_VALUE"""),"Abu Dhabi&gt;Saadiyat Island&gt;Nouran Living")</f>
        <v>Abu Dhabi&gt;Saadiyat Island&gt;Nouran Living</v>
      </c>
      <c r="E12820" s="2"/>
      <c r="F12820" s="2"/>
      <c r="G12820" s="2"/>
      <c r="H12820" s="2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2"/>
      <c r="T12820" s="2"/>
      <c r="U12820" s="2"/>
      <c r="V12820" s="2"/>
      <c r="W12820" s="2"/>
      <c r="X12820" s="2"/>
      <c r="Y12820" s="2"/>
      <c r="Z12820" s="2"/>
    </row>
    <row r="12821" spans="1:26" ht="16.5" x14ac:dyDescent="0.35">
      <c r="A12821" s="2" t="str">
        <f ca="1">IFERROR(__xludf.DUMMYFUNCTION("""COMPUTED_VALUE"""),"Abu Dhabi")</f>
        <v>Abu Dhabi</v>
      </c>
      <c r="B12821" s="2" t="str">
        <f ca="1">IFERROR(__xludf.DUMMYFUNCTION("""COMPUTED_VALUE"""),"Brabus Island")</f>
        <v>Brabus Island</v>
      </c>
      <c r="C12821" s="2" t="str">
        <f ca="1">IFERROR(__xludf.DUMMYFUNCTION("""COMPUTED_VALUE"""),"Neighbourhood")</f>
        <v>Neighbourhood</v>
      </c>
      <c r="D12821" s="2" t="str">
        <f ca="1">IFERROR(__xludf.DUMMYFUNCTION("""COMPUTED_VALUE"""),"Abu Dhabi&gt;Al Raha Beach&gt;Al Seef&gt;Brabus Island")</f>
        <v>Abu Dhabi&gt;Al Raha Beach&gt;Al Seef&gt;Brabus Island</v>
      </c>
      <c r="E12821" s="2"/>
      <c r="F12821" s="2"/>
      <c r="G12821" s="2"/>
      <c r="H12821" s="2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2"/>
      <c r="T12821" s="2"/>
      <c r="U12821" s="2"/>
      <c r="V12821" s="2"/>
      <c r="W12821" s="2"/>
      <c r="X12821" s="2"/>
      <c r="Y12821" s="2"/>
      <c r="Z12821" s="2"/>
    </row>
    <row r="12822" spans="1:26" ht="16.5" x14ac:dyDescent="0.35">
      <c r="A12822" s="2" t="str">
        <f ca="1">IFERROR(__xludf.DUMMYFUNCTION("""COMPUTED_VALUE"""),"Abu Dhabi")</f>
        <v>Abu Dhabi</v>
      </c>
      <c r="B12822" s="2" t="str">
        <f ca="1">IFERROR(__xludf.DUMMYFUNCTION("""COMPUTED_VALUE"""),"Linear Tower")</f>
        <v>Linear Tower</v>
      </c>
      <c r="C12822" s="2"/>
      <c r="D12822" s="2" t="str">
        <f ca="1">IFERROR(__xludf.DUMMYFUNCTION("""COMPUTED_VALUE"""),"Abu Dhabi&gt;Al Raha Beach&gt;Al Muneera&gt;Linear Tower")</f>
        <v>Abu Dhabi&gt;Al Raha Beach&gt;Al Muneera&gt;Linear Tower</v>
      </c>
      <c r="E12822" s="2"/>
      <c r="F12822" s="2"/>
      <c r="G12822" s="2"/>
      <c r="H12822" s="2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2"/>
      <c r="T12822" s="2"/>
      <c r="U12822" s="2"/>
      <c r="V12822" s="2"/>
      <c r="W12822" s="2"/>
      <c r="X12822" s="2"/>
      <c r="Y12822" s="2"/>
      <c r="Z12822" s="2"/>
    </row>
    <row r="12823" spans="1:26" ht="16.5" x14ac:dyDescent="0.35">
      <c r="A12823" s="2" t="str">
        <f ca="1">IFERROR(__xludf.DUMMYFUNCTION("""COMPUTED_VALUE"""),"Abu Dhabi")</f>
        <v>Abu Dhabi</v>
      </c>
      <c r="B12823" s="2" t="str">
        <f ca="1">IFERROR(__xludf.DUMMYFUNCTION("""COMPUTED_VALUE"""),"The View")</f>
        <v>The View</v>
      </c>
      <c r="C12823" s="2" t="str">
        <f ca="1">IFERROR(__xludf.DUMMYFUNCTION("""COMPUTED_VALUE"""),"Building")</f>
        <v>Building</v>
      </c>
      <c r="D12823" s="2" t="str">
        <f ca="1">IFERROR(__xludf.DUMMYFUNCTION("""COMPUTED_VALUE"""),"Abu Dhabi&gt;Al Raha Beach&gt;The View")</f>
        <v>Abu Dhabi&gt;Al Raha Beach&gt;The View</v>
      </c>
      <c r="E12823" s="2"/>
      <c r="F12823" s="2"/>
      <c r="G12823" s="2"/>
      <c r="H12823" s="2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2"/>
      <c r="T12823" s="2"/>
      <c r="U12823" s="2"/>
      <c r="V12823" s="2"/>
      <c r="W12823" s="2"/>
      <c r="X12823" s="2"/>
      <c r="Y12823" s="2"/>
      <c r="Z12823" s="2"/>
    </row>
    <row r="12824" spans="1:26" ht="16.5" x14ac:dyDescent="0.35">
      <c r="A12824" s="2" t="str">
        <f ca="1">IFERROR(__xludf.DUMMYFUNCTION("""COMPUTED_VALUE"""),"Abu Dhabi")</f>
        <v>Abu Dhabi</v>
      </c>
      <c r="B12824" s="2" t="str">
        <f ca="1">IFERROR(__xludf.DUMMYFUNCTION("""COMPUTED_VALUE"""),"Danet Abu Dhabi")</f>
        <v>Danet Abu Dhabi</v>
      </c>
      <c r="C12824" s="2" t="str">
        <f ca="1">IFERROR(__xludf.DUMMYFUNCTION("""COMPUTED_VALUE"""),"Neighbourhood")</f>
        <v>Neighbourhood</v>
      </c>
      <c r="D12824" s="2" t="str">
        <f ca="1">IFERROR(__xludf.DUMMYFUNCTION("""COMPUTED_VALUE"""),"Abu Dhabi&gt;Danet Abu Dhabi")</f>
        <v>Abu Dhabi&gt;Danet Abu Dhabi</v>
      </c>
      <c r="E12824" s="2"/>
      <c r="F12824" s="2"/>
      <c r="G12824" s="2"/>
      <c r="H12824" s="2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2"/>
      <c r="T12824" s="2"/>
      <c r="U12824" s="2"/>
      <c r="V12824" s="2"/>
      <c r="W12824" s="2"/>
      <c r="X12824" s="2"/>
      <c r="Y12824" s="2"/>
      <c r="Z12824" s="2"/>
    </row>
    <row r="12825" spans="1:26" ht="16.5" x14ac:dyDescent="0.35">
      <c r="A12825" s="2" t="str">
        <f ca="1">IFERROR(__xludf.DUMMYFUNCTION("""COMPUTED_VALUE"""),"Abu Dhabi")</f>
        <v>Abu Dhabi</v>
      </c>
      <c r="B12825" s="2" t="str">
        <f ca="1">IFERROR(__xludf.DUMMYFUNCTION("""COMPUTED_VALUE"""),"Andalus Al Seef Resort and Spa")</f>
        <v>Andalus Al Seef Resort and Spa</v>
      </c>
      <c r="C12825" s="2"/>
      <c r="D12825" s="2" t="str">
        <f ca="1">IFERROR(__xludf.DUMMYFUNCTION("""COMPUTED_VALUE"""),"Abu Dhabi&gt;Al Salam Street&gt;Andalus Al Seef Resort and Spa")</f>
        <v>Abu Dhabi&gt;Al Salam Street&gt;Andalus Al Seef Resort and Spa</v>
      </c>
      <c r="E12825" s="2"/>
      <c r="F12825" s="2"/>
      <c r="G12825" s="2"/>
      <c r="H12825" s="2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2"/>
      <c r="T12825" s="2"/>
      <c r="U12825" s="2"/>
      <c r="V12825" s="2"/>
      <c r="W12825" s="2"/>
      <c r="X12825" s="2"/>
      <c r="Y12825" s="2"/>
      <c r="Z12825" s="2"/>
    </row>
    <row r="12826" spans="1:26" ht="16.5" x14ac:dyDescent="0.35">
      <c r="A12826" s="2" t="str">
        <f ca="1">IFERROR(__xludf.DUMMYFUNCTION("""COMPUTED_VALUE"""),"Abu Dhabi")</f>
        <v>Abu Dhabi</v>
      </c>
      <c r="B12826" s="2" t="str">
        <f ca="1">IFERROR(__xludf.DUMMYFUNCTION("""COMPUTED_VALUE"""),"C120 Building")</f>
        <v>C120 Building</v>
      </c>
      <c r="C12826" s="2" t="str">
        <f ca="1">IFERROR(__xludf.DUMMYFUNCTION("""COMPUTED_VALUE"""),"Building")</f>
        <v>Building</v>
      </c>
      <c r="D12826" s="2" t="str">
        <f ca="1">IFERROR(__xludf.DUMMYFUNCTION("""COMPUTED_VALUE"""),"Abu Dhabi&gt;Mohamed Bin Zayed City&gt;C120 Building")</f>
        <v>Abu Dhabi&gt;Mohamed Bin Zayed City&gt;C120 Building</v>
      </c>
      <c r="E12826" s="2"/>
      <c r="F12826" s="2"/>
      <c r="G12826" s="2"/>
      <c r="H12826" s="2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2"/>
      <c r="T12826" s="2"/>
      <c r="U12826" s="2"/>
      <c r="V12826" s="2"/>
      <c r="W12826" s="2"/>
      <c r="X12826" s="2"/>
      <c r="Y12826" s="2"/>
      <c r="Z12826" s="2"/>
    </row>
    <row r="12827" spans="1:26" ht="16.5" x14ac:dyDescent="0.35">
      <c r="A12827" s="2" t="str">
        <f ca="1">IFERROR(__xludf.DUMMYFUNCTION("""COMPUTED_VALUE"""),"Abu Dhabi")</f>
        <v>Abu Dhabi</v>
      </c>
      <c r="B12827" s="2" t="str">
        <f ca="1">IFERROR(__xludf.DUMMYFUNCTION("""COMPUTED_VALUE"""),"Zone 16")</f>
        <v>Zone 16</v>
      </c>
      <c r="C12827" s="2" t="str">
        <f ca="1">IFERROR(__xludf.DUMMYFUNCTION("""COMPUTED_VALUE"""),"Neighbourhood")</f>
        <v>Neighbourhood</v>
      </c>
      <c r="D12827" s="2" t="str">
        <f ca="1">IFERROR(__xludf.DUMMYFUNCTION("""COMPUTED_VALUE"""),"Abu Dhabi&gt;Mohamed Bin Zayed City&gt;Zone 16")</f>
        <v>Abu Dhabi&gt;Mohamed Bin Zayed City&gt;Zone 16</v>
      </c>
      <c r="E12827" s="2"/>
      <c r="F12827" s="2"/>
      <c r="G12827" s="2"/>
      <c r="H12827" s="2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2"/>
      <c r="T12827" s="2"/>
      <c r="U12827" s="2"/>
      <c r="V12827" s="2"/>
      <c r="W12827" s="2"/>
      <c r="X12827" s="2"/>
      <c r="Y12827" s="2"/>
      <c r="Z12827" s="2"/>
    </row>
    <row r="12828" spans="1:26" ht="16.5" x14ac:dyDescent="0.35">
      <c r="A12828" s="2" t="str">
        <f ca="1">IFERROR(__xludf.DUMMYFUNCTION("""COMPUTED_VALUE"""),"Abu Dhabi")</f>
        <v>Abu Dhabi</v>
      </c>
      <c r="B12828" s="2" t="str">
        <f ca="1">IFERROR(__xludf.DUMMYFUNCTION("""COMPUTED_VALUE"""),"Building 46")</f>
        <v>Building 46</v>
      </c>
      <c r="C12828" s="2" t="str">
        <f ca="1">IFERROR(__xludf.DUMMYFUNCTION("""COMPUTED_VALUE"""),"Building")</f>
        <v>Building</v>
      </c>
      <c r="D12828" s="2" t="str">
        <f ca="1">IFERROR(__xludf.DUMMYFUNCTION("""COMPUTED_VALUE"""),"Abu Dhabi&gt;Al Reef&gt;Al Reef Downtown&gt;Building 46")</f>
        <v>Abu Dhabi&gt;Al Reef&gt;Al Reef Downtown&gt;Building 46</v>
      </c>
      <c r="E12828" s="2"/>
      <c r="F12828" s="2"/>
      <c r="G12828" s="2"/>
      <c r="H12828" s="2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2"/>
      <c r="T12828" s="2"/>
      <c r="U12828" s="2"/>
      <c r="V12828" s="2"/>
      <c r="W12828" s="2"/>
      <c r="X12828" s="2"/>
      <c r="Y12828" s="2"/>
      <c r="Z12828" s="2"/>
    </row>
    <row r="12829" spans="1:26" ht="16.5" x14ac:dyDescent="0.35">
      <c r="A12829" s="2" t="str">
        <f ca="1">IFERROR(__xludf.DUMMYFUNCTION("""COMPUTED_VALUE"""),"Abu Dhabi")</f>
        <v>Abu Dhabi</v>
      </c>
      <c r="B12829" s="2" t="str">
        <f ca="1">IFERROR(__xludf.DUMMYFUNCTION("""COMPUTED_VALUE"""),"Building 29")</f>
        <v>Building 29</v>
      </c>
      <c r="C12829" s="2" t="str">
        <f ca="1">IFERROR(__xludf.DUMMYFUNCTION("""COMPUTED_VALUE"""),"Building")</f>
        <v>Building</v>
      </c>
      <c r="D12829" s="2" t="str">
        <f ca="1">IFERROR(__xludf.DUMMYFUNCTION("""COMPUTED_VALUE"""),"Abu Dhabi&gt;Al Reef&gt;Al Reef Downtown&gt;Building 29")</f>
        <v>Abu Dhabi&gt;Al Reef&gt;Al Reef Downtown&gt;Building 29</v>
      </c>
      <c r="E12829" s="2"/>
      <c r="F12829" s="2"/>
      <c r="G12829" s="2"/>
      <c r="H12829" s="2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2"/>
      <c r="T12829" s="2"/>
      <c r="U12829" s="2"/>
      <c r="V12829" s="2"/>
      <c r="W12829" s="2"/>
      <c r="X12829" s="2"/>
      <c r="Y12829" s="2"/>
      <c r="Z12829" s="2"/>
    </row>
    <row r="12830" spans="1:26" ht="16.5" x14ac:dyDescent="0.35">
      <c r="A12830" s="2" t="str">
        <f ca="1">IFERROR(__xludf.DUMMYFUNCTION("""COMPUTED_VALUE"""),"Abu Dhabi")</f>
        <v>Abu Dhabi</v>
      </c>
      <c r="B12830" s="2" t="str">
        <f ca="1">IFERROR(__xludf.DUMMYFUNCTION("""COMPUTED_VALUE"""),"Al Hosn Tower")</f>
        <v>Al Hosn Tower</v>
      </c>
      <c r="C12830" s="2" t="str">
        <f ca="1">IFERROR(__xludf.DUMMYFUNCTION("""COMPUTED_VALUE"""),"Building")</f>
        <v>Building</v>
      </c>
      <c r="D12830" s="2" t="str">
        <f ca="1">IFERROR(__xludf.DUMMYFUNCTION("""COMPUTED_VALUE"""),"Abu Dhabi&gt;Sheikh Rashid Bin Saeed Street&gt;Al Hosn Tower")</f>
        <v>Abu Dhabi&gt;Sheikh Rashid Bin Saeed Street&gt;Al Hosn Tower</v>
      </c>
      <c r="E12830" s="2"/>
      <c r="F12830" s="2"/>
      <c r="G12830" s="2"/>
      <c r="H12830" s="2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2"/>
      <c r="T12830" s="2"/>
      <c r="U12830" s="2"/>
      <c r="V12830" s="2"/>
      <c r="W12830" s="2"/>
      <c r="X12830" s="2"/>
      <c r="Y12830" s="2"/>
      <c r="Z12830" s="2"/>
    </row>
    <row r="12831" spans="1:26" ht="16.5" x14ac:dyDescent="0.35">
      <c r="A12831" s="2" t="str">
        <f ca="1">IFERROR(__xludf.DUMMYFUNCTION("""COMPUTED_VALUE"""),"Abu Dhabi")</f>
        <v>Abu Dhabi</v>
      </c>
      <c r="B12831" s="2" t="str">
        <f ca="1">IFERROR(__xludf.DUMMYFUNCTION("""COMPUTED_VALUE"""),"Capital Centre Arjaan By Rotana")</f>
        <v>Capital Centre Arjaan By Rotana</v>
      </c>
      <c r="C12831" s="2" t="str">
        <f ca="1">IFERROR(__xludf.DUMMYFUNCTION("""COMPUTED_VALUE"""),"Building")</f>
        <v>Building</v>
      </c>
      <c r="D12831" s="2" t="str">
        <f ca="1">IFERROR(__xludf.DUMMYFUNCTION("""COMPUTED_VALUE"""),"Abu Dhabi&gt;Capital Centre&gt;Capital Centre Arjaan By Rotana")</f>
        <v>Abu Dhabi&gt;Capital Centre&gt;Capital Centre Arjaan By Rotana</v>
      </c>
      <c r="E12831" s="2"/>
      <c r="F12831" s="2"/>
      <c r="G12831" s="2"/>
      <c r="H12831" s="2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2"/>
      <c r="T12831" s="2"/>
      <c r="U12831" s="2"/>
      <c r="V12831" s="2"/>
      <c r="W12831" s="2"/>
      <c r="X12831" s="2"/>
      <c r="Y12831" s="2"/>
      <c r="Z12831" s="2"/>
    </row>
    <row r="12832" spans="1:26" ht="16.5" x14ac:dyDescent="0.35">
      <c r="A12832" s="2" t="str">
        <f ca="1">IFERROR(__xludf.DUMMYFUNCTION("""COMPUTED_VALUE"""),"Abu Dhabi")</f>
        <v>Abu Dhabi</v>
      </c>
      <c r="B12832" s="2" t="str">
        <f ca="1">IFERROR(__xludf.DUMMYFUNCTION("""COMPUTED_VALUE"""),"Perla 3")</f>
        <v>Perla 3</v>
      </c>
      <c r="C12832" s="2" t="str">
        <f ca="1">IFERROR(__xludf.DUMMYFUNCTION("""COMPUTED_VALUE"""),"Building")</f>
        <v>Building</v>
      </c>
      <c r="D12832" s="2" t="str">
        <f ca="1">IFERROR(__xludf.DUMMYFUNCTION("""COMPUTED_VALUE"""),"Abu Dhabi&gt;Yas Island&gt;Yas Bay&gt;Perla 3")</f>
        <v>Abu Dhabi&gt;Yas Island&gt;Yas Bay&gt;Perla 3</v>
      </c>
      <c r="E12832" s="2"/>
      <c r="F12832" s="2"/>
      <c r="G12832" s="2"/>
      <c r="H12832" s="2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2"/>
      <c r="T12832" s="2"/>
      <c r="U12832" s="2"/>
      <c r="V12832" s="2"/>
      <c r="W12832" s="2"/>
      <c r="X12832" s="2"/>
      <c r="Y12832" s="2"/>
      <c r="Z12832" s="2"/>
    </row>
    <row r="12833" spans="1:26" ht="16.5" x14ac:dyDescent="0.35">
      <c r="A12833" s="2" t="str">
        <f ca="1">IFERROR(__xludf.DUMMYFUNCTION("""COMPUTED_VALUE"""),"Abu Dhabi")</f>
        <v>Abu Dhabi</v>
      </c>
      <c r="B12833" s="2" t="str">
        <f ca="1">IFERROR(__xludf.DUMMYFUNCTION("""COMPUTED_VALUE"""),"Blossom Nursery Yas Island")</f>
        <v>Blossom Nursery Yas Island</v>
      </c>
      <c r="C12833" s="2" t="str">
        <f ca="1">IFERROR(__xludf.DUMMYFUNCTION("""COMPUTED_VALUE"""),"Nursery")</f>
        <v>Nursery</v>
      </c>
      <c r="D12833" s="2" t="str">
        <f ca="1">IFERROR(__xludf.DUMMYFUNCTION("""COMPUTED_VALUE"""),"Abu Dhabi&gt;Yas Island&gt;Yas Marina&gt;Blossom Nursery Yas Island")</f>
        <v>Abu Dhabi&gt;Yas Island&gt;Yas Marina&gt;Blossom Nursery Yas Island</v>
      </c>
      <c r="E12833" s="2"/>
      <c r="F12833" s="2"/>
      <c r="G12833" s="2"/>
      <c r="H12833" s="2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2"/>
      <c r="T12833" s="2"/>
      <c r="U12833" s="2"/>
      <c r="V12833" s="2"/>
      <c r="W12833" s="2"/>
      <c r="X12833" s="2"/>
      <c r="Y12833" s="2"/>
      <c r="Z12833" s="2"/>
    </row>
    <row r="12834" spans="1:26" ht="16.5" x14ac:dyDescent="0.35">
      <c r="A12834" s="2" t="str">
        <f ca="1">IFERROR(__xludf.DUMMYFUNCTION("""COMPUTED_VALUE"""),"Abu Dhabi")</f>
        <v>Abu Dhabi</v>
      </c>
      <c r="B12834" s="2" t="str">
        <f ca="1">IFERROR(__xludf.DUMMYFUNCTION("""COMPUTED_VALUE"""),"Waldorf Astoria Yas Residences")</f>
        <v>Waldorf Astoria Yas Residences</v>
      </c>
      <c r="C12834" s="2" t="str">
        <f ca="1">IFERROR(__xludf.DUMMYFUNCTION("""COMPUTED_VALUE"""),"Building")</f>
        <v>Building</v>
      </c>
      <c r="D12834" s="2" t="str">
        <f ca="1">IFERROR(__xludf.DUMMYFUNCTION("""COMPUTED_VALUE"""),"Abu Dhabi&gt;Yas Island&gt;Waldorf Astoria Yas Residences")</f>
        <v>Abu Dhabi&gt;Yas Island&gt;Waldorf Astoria Yas Residences</v>
      </c>
      <c r="E12834" s="2"/>
      <c r="F12834" s="2"/>
      <c r="G12834" s="2"/>
      <c r="H12834" s="2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2"/>
      <c r="T12834" s="2"/>
      <c r="U12834" s="2"/>
      <c r="V12834" s="2"/>
      <c r="W12834" s="2"/>
      <c r="X12834" s="2"/>
      <c r="Y12834" s="2"/>
      <c r="Z12834" s="2"/>
    </row>
    <row r="12835" spans="1:26" ht="16.5" x14ac:dyDescent="0.35">
      <c r="A12835" s="2" t="str">
        <f ca="1">IFERROR(__xludf.DUMMYFUNCTION("""COMPUTED_VALUE"""),"Abu Dhabi")</f>
        <v>Abu Dhabi</v>
      </c>
      <c r="B12835" s="2" t="str">
        <f ca="1">IFERROR(__xludf.DUMMYFUNCTION("""COMPUTED_VALUE"""),"Al Reeman 2")</f>
        <v>Al Reeman 2</v>
      </c>
      <c r="C12835" s="2" t="str">
        <f ca="1">IFERROR(__xludf.DUMMYFUNCTION("""COMPUTED_VALUE"""),"Neighbourhood")</f>
        <v>Neighbourhood</v>
      </c>
      <c r="D12835" s="2" t="str">
        <f ca="1">IFERROR(__xludf.DUMMYFUNCTION("""COMPUTED_VALUE"""),"Abu Dhabi&gt;Al Shamkha&gt;Al Reeman 2")</f>
        <v>Abu Dhabi&gt;Al Shamkha&gt;Al Reeman 2</v>
      </c>
      <c r="E12835" s="2"/>
      <c r="F12835" s="2"/>
      <c r="G12835" s="2"/>
      <c r="H12835" s="2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2"/>
      <c r="T12835" s="2"/>
      <c r="U12835" s="2"/>
      <c r="V12835" s="2"/>
      <c r="W12835" s="2"/>
      <c r="X12835" s="2"/>
      <c r="Y12835" s="2"/>
      <c r="Z12835" s="2"/>
    </row>
    <row r="12836" spans="1:26" ht="16.5" x14ac:dyDescent="0.35">
      <c r="A12836" s="2" t="str">
        <f ca="1">IFERROR(__xludf.DUMMYFUNCTION("""COMPUTED_VALUE"""),"Ajman")</f>
        <v>Ajman</v>
      </c>
      <c r="B12836" s="2" t="str">
        <f ca="1">IFERROR(__xludf.DUMMYFUNCTION("""COMPUTED_VALUE"""),"Ajman Industrial 2")</f>
        <v>Ajman Industrial 2</v>
      </c>
      <c r="C12836" s="2" t="str">
        <f ca="1">IFERROR(__xludf.DUMMYFUNCTION("""COMPUTED_VALUE"""),"Neighbourhood")</f>
        <v>Neighbourhood</v>
      </c>
      <c r="D12836" s="2" t="str">
        <f ca="1">IFERROR(__xludf.DUMMYFUNCTION("""COMPUTED_VALUE"""),"Ajman&gt;Ajman Industrial&gt;Ajman Industrial 2")</f>
        <v>Ajman&gt;Ajman Industrial&gt;Ajman Industrial 2</v>
      </c>
      <c r="E12836" s="2"/>
      <c r="F12836" s="2"/>
      <c r="G12836" s="2"/>
      <c r="H12836" s="2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2"/>
      <c r="T12836" s="2"/>
      <c r="U12836" s="2"/>
      <c r="V12836" s="2"/>
      <c r="W12836" s="2"/>
      <c r="X12836" s="2"/>
      <c r="Y12836" s="2"/>
      <c r="Z12836" s="2"/>
    </row>
    <row r="12837" spans="1:26" ht="16.5" x14ac:dyDescent="0.35">
      <c r="A12837" s="2" t="str">
        <f ca="1">IFERROR(__xludf.DUMMYFUNCTION("""COMPUTED_VALUE"""),"Ajman")</f>
        <v>Ajman</v>
      </c>
      <c r="B12837" s="2" t="str">
        <f ca="1">IFERROR(__xludf.DUMMYFUNCTION("""COMPUTED_VALUE"""),"Lilies Tower")</f>
        <v>Lilies Tower</v>
      </c>
      <c r="C12837" s="2" t="str">
        <f ca="1">IFERROR(__xludf.DUMMYFUNCTION("""COMPUTED_VALUE"""),"Building")</f>
        <v>Building</v>
      </c>
      <c r="D12837" s="2" t="str">
        <f ca="1">IFERROR(__xludf.DUMMYFUNCTION("""COMPUTED_VALUE"""),"Ajman&gt;Emirates City&gt;Lilies Tower")</f>
        <v>Ajman&gt;Emirates City&gt;Lilies Tower</v>
      </c>
      <c r="E12837" s="2"/>
      <c r="F12837" s="2"/>
      <c r="G12837" s="2"/>
      <c r="H12837" s="2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2"/>
      <c r="T12837" s="2"/>
      <c r="U12837" s="2"/>
      <c r="V12837" s="2"/>
      <c r="W12837" s="2"/>
      <c r="X12837" s="2"/>
      <c r="Y12837" s="2"/>
      <c r="Z12837" s="2"/>
    </row>
    <row r="12838" spans="1:26" ht="16.5" x14ac:dyDescent="0.35">
      <c r="A12838" s="2" t="str">
        <f ca="1">IFERROR(__xludf.DUMMYFUNCTION("""COMPUTED_VALUE"""),"Ajman")</f>
        <v>Ajman</v>
      </c>
      <c r="B12838" s="2" t="str">
        <f ca="1">IFERROR(__xludf.DUMMYFUNCTION("""COMPUTED_VALUE"""),"Al Ajyaal Residency")</f>
        <v>Al Ajyaal Residency</v>
      </c>
      <c r="C12838" s="2" t="str">
        <f ca="1">IFERROR(__xludf.DUMMYFUNCTION("""COMPUTED_VALUE"""),"Building")</f>
        <v>Building</v>
      </c>
      <c r="D12838" s="2" t="str">
        <f ca="1">IFERROR(__xludf.DUMMYFUNCTION("""COMPUTED_VALUE"""),"Ajman&gt;Emirates City&gt;Al Ajyaal Residency")</f>
        <v>Ajman&gt;Emirates City&gt;Al Ajyaal Residency</v>
      </c>
      <c r="E12838" s="2"/>
      <c r="F12838" s="2"/>
      <c r="G12838" s="2"/>
      <c r="H12838" s="2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2"/>
      <c r="T12838" s="2"/>
      <c r="U12838" s="2"/>
      <c r="V12838" s="2"/>
      <c r="W12838" s="2"/>
      <c r="X12838" s="2"/>
      <c r="Y12838" s="2"/>
      <c r="Z12838" s="2"/>
    </row>
    <row r="12839" spans="1:26" ht="16.5" x14ac:dyDescent="0.35">
      <c r="A12839" s="2" t="str">
        <f ca="1">IFERROR(__xludf.DUMMYFUNCTION("""COMPUTED_VALUE"""),"Ajman")</f>
        <v>Ajman</v>
      </c>
      <c r="B12839" s="2" t="str">
        <f ca="1">IFERROR(__xludf.DUMMYFUNCTION("""COMPUTED_VALUE"""),"Prestige 10 Tower")</f>
        <v>Prestige 10 Tower</v>
      </c>
      <c r="C12839" s="2" t="str">
        <f ca="1">IFERROR(__xludf.DUMMYFUNCTION("""COMPUTED_VALUE"""),"Building")</f>
        <v>Building</v>
      </c>
      <c r="D12839" s="2" t="str">
        <f ca="1">IFERROR(__xludf.DUMMYFUNCTION("""COMPUTED_VALUE"""),"Ajman&gt;Al Jurf&gt;Al Jurf 2&gt;Prestige 10 Tower")</f>
        <v>Ajman&gt;Al Jurf&gt;Al Jurf 2&gt;Prestige 10 Tower</v>
      </c>
      <c r="E12839" s="2"/>
      <c r="F12839" s="2"/>
      <c r="G12839" s="2"/>
      <c r="H12839" s="2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2"/>
      <c r="T12839" s="2"/>
      <c r="U12839" s="2"/>
      <c r="V12839" s="2"/>
      <c r="W12839" s="2"/>
      <c r="X12839" s="2"/>
      <c r="Y12839" s="2"/>
      <c r="Z12839" s="2"/>
    </row>
    <row r="12840" spans="1:26" ht="16.5" x14ac:dyDescent="0.35">
      <c r="A12840" s="2" t="str">
        <f ca="1">IFERROR(__xludf.DUMMYFUNCTION("""COMPUTED_VALUE"""),"Ajman")</f>
        <v>Ajman</v>
      </c>
      <c r="B12840" s="2" t="str">
        <f ca="1">IFERROR(__xludf.DUMMYFUNCTION("""COMPUTED_VALUE"""),"Acacia")</f>
        <v>Acacia</v>
      </c>
      <c r="C12840" s="2" t="str">
        <f ca="1">IFERROR(__xludf.DUMMYFUNCTION("""COMPUTED_VALUE"""),"Neighbourhood")</f>
        <v>Neighbourhood</v>
      </c>
      <c r="D12840" s="2" t="str">
        <f ca="1">IFERROR(__xludf.DUMMYFUNCTION("""COMPUTED_VALUE"""),"Ajman&gt;Ajman Uptown&gt;Acacia")</f>
        <v>Ajman&gt;Ajman Uptown&gt;Acacia</v>
      </c>
      <c r="E12840" s="2"/>
      <c r="F12840" s="2"/>
      <c r="G12840" s="2"/>
      <c r="H12840" s="2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2"/>
      <c r="T12840" s="2"/>
      <c r="U12840" s="2"/>
      <c r="V12840" s="2"/>
      <c r="W12840" s="2"/>
      <c r="X12840" s="2"/>
      <c r="Y12840" s="2"/>
      <c r="Z12840" s="2"/>
    </row>
    <row r="12841" spans="1:26" ht="16.5" x14ac:dyDescent="0.35">
      <c r="A12841" s="2" t="str">
        <f ca="1">IFERROR(__xludf.DUMMYFUNCTION("""COMPUTED_VALUE"""),"Ajman")</f>
        <v>Ajman</v>
      </c>
      <c r="B12841" s="2" t="str">
        <f ca="1">IFERROR(__xludf.DUMMYFUNCTION("""COMPUTED_VALUE"""),"Falcon Towers")</f>
        <v>Falcon Towers</v>
      </c>
      <c r="C12841" s="2" t="str">
        <f ca="1">IFERROR(__xludf.DUMMYFUNCTION("""COMPUTED_VALUE"""),"Cluster")</f>
        <v>Cluster</v>
      </c>
      <c r="D12841" s="2" t="str">
        <f ca="1">IFERROR(__xludf.DUMMYFUNCTION("""COMPUTED_VALUE"""),"Ajman&gt;Al Rashidiya&gt;Al Rashidiya 2&gt;Falcon Towers")</f>
        <v>Ajman&gt;Al Rashidiya&gt;Al Rashidiya 2&gt;Falcon Towers</v>
      </c>
      <c r="E12841" s="2"/>
      <c r="F12841" s="2"/>
      <c r="G12841" s="2"/>
      <c r="H12841" s="2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2"/>
      <c r="T12841" s="2"/>
      <c r="U12841" s="2"/>
      <c r="V12841" s="2"/>
      <c r="W12841" s="2"/>
      <c r="X12841" s="2"/>
      <c r="Y12841" s="2"/>
      <c r="Z12841" s="2"/>
    </row>
    <row r="12842" spans="1:26" ht="16.5" x14ac:dyDescent="0.35">
      <c r="A12842" s="2" t="str">
        <f ca="1">IFERROR(__xludf.DUMMYFUNCTION("""COMPUTED_VALUE"""),"Ajman")</f>
        <v>Ajman</v>
      </c>
      <c r="B12842" s="2" t="str">
        <f ca="1">IFERROR(__xludf.DUMMYFUNCTION("""COMPUTED_VALUE"""),"Andalus 1 Building")</f>
        <v>Andalus 1 Building</v>
      </c>
      <c r="C12842" s="2" t="str">
        <f ca="1">IFERROR(__xludf.DUMMYFUNCTION("""COMPUTED_VALUE"""),"Building")</f>
        <v>Building</v>
      </c>
      <c r="D12842" s="2" t="str">
        <f ca="1">IFERROR(__xludf.DUMMYFUNCTION("""COMPUTED_VALUE"""),"Ajman&gt;Al Rashidiya&gt;Al Rashidiya 3&gt;Andalus 1 Building")</f>
        <v>Ajman&gt;Al Rashidiya&gt;Al Rashidiya 3&gt;Andalus 1 Building</v>
      </c>
      <c r="E12842" s="2"/>
      <c r="F12842" s="2"/>
      <c r="G12842" s="2"/>
      <c r="H12842" s="2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2"/>
      <c r="T12842" s="2"/>
      <c r="U12842" s="2"/>
      <c r="V12842" s="2"/>
      <c r="W12842" s="2"/>
      <c r="X12842" s="2"/>
      <c r="Y12842" s="2"/>
      <c r="Z12842" s="2"/>
    </row>
    <row r="12843" spans="1:26" ht="16.5" x14ac:dyDescent="0.35">
      <c r="A12843" s="2" t="str">
        <f ca="1">IFERROR(__xludf.DUMMYFUNCTION("""COMPUTED_VALUE"""),"Ajman")</f>
        <v>Ajman</v>
      </c>
      <c r="B12843" s="2" t="str">
        <f ca="1">IFERROR(__xludf.DUMMYFUNCTION("""COMPUTED_VALUE"""),"Al Helio 2")</f>
        <v>Al Helio 2</v>
      </c>
      <c r="C12843" s="2" t="str">
        <f ca="1">IFERROR(__xludf.DUMMYFUNCTION("""COMPUTED_VALUE"""),"Neighbourhood")</f>
        <v>Neighbourhood</v>
      </c>
      <c r="D12843" s="2" t="str">
        <f ca="1">IFERROR(__xludf.DUMMYFUNCTION("""COMPUTED_VALUE"""),"Ajman&gt;Al Helio&gt;Al Helio 2")</f>
        <v>Ajman&gt;Al Helio&gt;Al Helio 2</v>
      </c>
      <c r="E12843" s="2"/>
      <c r="F12843" s="2"/>
      <c r="G12843" s="2"/>
      <c r="H12843" s="2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2"/>
      <c r="T12843" s="2"/>
      <c r="U12843" s="2"/>
      <c r="V12843" s="2"/>
      <c r="W12843" s="2"/>
      <c r="X12843" s="2"/>
      <c r="Y12843" s="2"/>
      <c r="Z12843" s="2"/>
    </row>
    <row r="12844" spans="1:26" ht="16.5" x14ac:dyDescent="0.35">
      <c r="A12844" s="2" t="str">
        <f ca="1">IFERROR(__xludf.DUMMYFUNCTION("""COMPUTED_VALUE"""),"Ajman")</f>
        <v>Ajman</v>
      </c>
      <c r="B12844" s="2" t="str">
        <f ca="1">IFERROR(__xludf.DUMMYFUNCTION("""COMPUTED_VALUE"""),"Alia Tower")</f>
        <v>Alia Tower</v>
      </c>
      <c r="C12844" s="2" t="str">
        <f ca="1">IFERROR(__xludf.DUMMYFUNCTION("""COMPUTED_VALUE"""),"Building")</f>
        <v>Building</v>
      </c>
      <c r="D12844" s="2" t="str">
        <f ca="1">IFERROR(__xludf.DUMMYFUNCTION("""COMPUTED_VALUE"""),"Ajman&gt;Emirates Lake Towers&gt;Alia Tower")</f>
        <v>Ajman&gt;Emirates Lake Towers&gt;Alia Tower</v>
      </c>
      <c r="E12844" s="2"/>
      <c r="F12844" s="2"/>
      <c r="G12844" s="2"/>
      <c r="H12844" s="2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2"/>
      <c r="T12844" s="2"/>
      <c r="U12844" s="2"/>
      <c r="V12844" s="2"/>
      <c r="W12844" s="2"/>
      <c r="X12844" s="2"/>
      <c r="Y12844" s="2"/>
      <c r="Z12844" s="2"/>
    </row>
    <row r="12845" spans="1:26" ht="16.5" x14ac:dyDescent="0.35">
      <c r="A12845" s="2" t="str">
        <f ca="1">IFERROR(__xludf.DUMMYFUNCTION("""COMPUTED_VALUE"""),"Ajman")</f>
        <v>Ajman</v>
      </c>
      <c r="B12845" s="2" t="str">
        <f ca="1">IFERROR(__xludf.DUMMYFUNCTION("""COMPUTED_VALUE"""),"The Fairways")</f>
        <v>The Fairways</v>
      </c>
      <c r="C12845" s="2" t="str">
        <f ca="1">IFERROR(__xludf.DUMMYFUNCTION("""COMPUTED_VALUE"""),"Cluster")</f>
        <v>Cluster</v>
      </c>
      <c r="D12845" s="2" t="str">
        <f ca="1">IFERROR(__xludf.DUMMYFUNCTION("""COMPUTED_VALUE"""),"Ajman&gt;Al Zorah&gt;The Fairways")</f>
        <v>Ajman&gt;Al Zorah&gt;The Fairways</v>
      </c>
      <c r="E12845" s="2"/>
      <c r="F12845" s="2"/>
      <c r="G12845" s="2"/>
      <c r="H12845" s="2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2"/>
      <c r="T12845" s="2"/>
      <c r="U12845" s="2"/>
      <c r="V12845" s="2"/>
      <c r="W12845" s="2"/>
      <c r="X12845" s="2"/>
      <c r="Y12845" s="2"/>
      <c r="Z12845" s="2"/>
    </row>
    <row r="12846" spans="1:26" ht="16.5" x14ac:dyDescent="0.35">
      <c r="A12846" s="2" t="str">
        <f ca="1">IFERROR(__xludf.DUMMYFUNCTION("""COMPUTED_VALUE"""),"Ajman")</f>
        <v>Ajman</v>
      </c>
      <c r="B12846" s="2" t="str">
        <f ca="1">IFERROR(__xludf.DUMMYFUNCTION("""COMPUTED_VALUE"""),"Tricon Lake Front")</f>
        <v>Tricon Lake Front</v>
      </c>
      <c r="C12846" s="2" t="str">
        <f ca="1">IFERROR(__xludf.DUMMYFUNCTION("""COMPUTED_VALUE"""),"Building")</f>
        <v>Building</v>
      </c>
      <c r="D12846" s="2" t="str">
        <f ca="1">IFERROR(__xludf.DUMMYFUNCTION("""COMPUTED_VALUE"""),"Ajman&gt;Al Humaid City&gt;Tricon Lake Front")</f>
        <v>Ajman&gt;Al Humaid City&gt;Tricon Lake Front</v>
      </c>
      <c r="E12846" s="2"/>
      <c r="F12846" s="2"/>
      <c r="G12846" s="2"/>
      <c r="H12846" s="2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2"/>
      <c r="T12846" s="2"/>
      <c r="U12846" s="2"/>
      <c r="V12846" s="2"/>
      <c r="W12846" s="2"/>
      <c r="X12846" s="2"/>
      <c r="Y12846" s="2"/>
      <c r="Z12846" s="2"/>
    </row>
    <row r="12847" spans="1:26" ht="16.5" x14ac:dyDescent="0.35">
      <c r="A12847" s="2" t="str">
        <f ca="1">IFERROR(__xludf.DUMMYFUNCTION("""COMPUTED_VALUE"""),"Ajman")</f>
        <v>Ajman</v>
      </c>
      <c r="B12847" s="2" t="str">
        <f ca="1">IFERROR(__xludf.DUMMYFUNCTION("""COMPUTED_VALUE"""),"Sheikh Maktoum Bin Rashid Street")</f>
        <v>Sheikh Maktoum Bin Rashid Street</v>
      </c>
      <c r="C12847" s="2" t="str">
        <f ca="1">IFERROR(__xludf.DUMMYFUNCTION("""COMPUTED_VALUE"""),"Neighbourhood")</f>
        <v>Neighbourhood</v>
      </c>
      <c r="D12847" s="2" t="str">
        <f ca="1">IFERROR(__xludf.DUMMYFUNCTION("""COMPUTED_VALUE"""),"Ajman&gt;Sheikh Maktoum Bin Rashid Street")</f>
        <v>Ajman&gt;Sheikh Maktoum Bin Rashid Street</v>
      </c>
      <c r="E12847" s="2"/>
      <c r="F12847" s="2"/>
      <c r="G12847" s="2"/>
      <c r="H12847" s="2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2"/>
      <c r="T12847" s="2"/>
      <c r="U12847" s="2"/>
      <c r="V12847" s="2"/>
      <c r="W12847" s="2"/>
      <c r="X12847" s="2"/>
      <c r="Y12847" s="2"/>
      <c r="Z12847" s="2"/>
    </row>
    <row r="12848" spans="1:26" ht="16.5" x14ac:dyDescent="0.35">
      <c r="A12848" s="2" t="str">
        <f ca="1">IFERROR(__xludf.DUMMYFUNCTION("""COMPUTED_VALUE"""),"Ajman")</f>
        <v>Ajman</v>
      </c>
      <c r="B12848" s="2" t="str">
        <f ca="1">IFERROR(__xludf.DUMMYFUNCTION("""COMPUTED_VALUE"""),"KBH 1 Building")</f>
        <v>KBH 1 Building</v>
      </c>
      <c r="C12848" s="2"/>
      <c r="D12848" s="2" t="str">
        <f ca="1">IFERROR(__xludf.DUMMYFUNCTION("""COMPUTED_VALUE"""),"Ajman&gt;Al Nuaimiya&gt;Al Nuaimiya 3&gt;KBH 1 Building")</f>
        <v>Ajman&gt;Al Nuaimiya&gt;Al Nuaimiya 3&gt;KBH 1 Building</v>
      </c>
      <c r="E12848" s="2"/>
      <c r="F12848" s="2"/>
      <c r="G12848" s="2"/>
      <c r="H12848" s="2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2"/>
      <c r="T12848" s="2"/>
      <c r="U12848" s="2"/>
      <c r="V12848" s="2"/>
      <c r="W12848" s="2"/>
      <c r="X12848" s="2"/>
      <c r="Y12848" s="2"/>
      <c r="Z12848" s="2"/>
    </row>
    <row r="12849" spans="1:26" ht="16.5" x14ac:dyDescent="0.35">
      <c r="A12849" s="2" t="str">
        <f ca="1">IFERROR(__xludf.DUMMYFUNCTION("""COMPUTED_VALUE"""),"Ajman")</f>
        <v>Ajman</v>
      </c>
      <c r="B12849" s="2" t="str">
        <f ca="1">IFERROR(__xludf.DUMMYFUNCTION("""COMPUTED_VALUE"""),"Almurabaha Tower")</f>
        <v>Almurabaha Tower</v>
      </c>
      <c r="C12849" s="2"/>
      <c r="D12849" s="2" t="str">
        <f ca="1">IFERROR(__xludf.DUMMYFUNCTION("""COMPUTED_VALUE"""),"Ajman&gt;Park View City&gt;Almurabaha Tower")</f>
        <v>Ajman&gt;Park View City&gt;Almurabaha Tower</v>
      </c>
      <c r="E12849" s="2"/>
      <c r="F12849" s="2"/>
      <c r="G12849" s="2"/>
      <c r="H12849" s="2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2"/>
      <c r="T12849" s="2"/>
      <c r="U12849" s="2"/>
      <c r="V12849" s="2"/>
      <c r="W12849" s="2"/>
      <c r="X12849" s="2"/>
      <c r="Y12849" s="2"/>
      <c r="Z12849" s="2"/>
    </row>
    <row r="12850" spans="1:26" ht="16.5" x14ac:dyDescent="0.35">
      <c r="A12850" s="2" t="str">
        <f ca="1">IFERROR(__xludf.DUMMYFUNCTION("""COMPUTED_VALUE"""),"Sharjah")</f>
        <v>Sharjah</v>
      </c>
      <c r="B12850" s="2" t="str">
        <f ca="1">IFERROR(__xludf.DUMMYFUNCTION("""COMPUTED_VALUE"""),"Al Nahda 2 Building")</f>
        <v>Al Nahda 2 Building</v>
      </c>
      <c r="C12850" s="2"/>
      <c r="D12850" s="2" t="str">
        <f ca="1">IFERROR(__xludf.DUMMYFUNCTION("""COMPUTED_VALUE"""),"Sharjah&gt;Al Nahda (Sharjah)&gt;Al Nahda 2 Building")</f>
        <v>Sharjah&gt;Al Nahda (Sharjah)&gt;Al Nahda 2 Building</v>
      </c>
      <c r="E12850" s="2"/>
      <c r="F12850" s="2"/>
      <c r="G12850" s="2"/>
      <c r="H12850" s="2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2"/>
      <c r="T12850" s="2"/>
      <c r="U12850" s="2"/>
      <c r="V12850" s="2"/>
      <c r="W12850" s="2"/>
      <c r="X12850" s="2"/>
      <c r="Y12850" s="2"/>
      <c r="Z12850" s="2"/>
    </row>
    <row r="12851" spans="1:26" ht="16.5" x14ac:dyDescent="0.35">
      <c r="A12851" s="2" t="str">
        <f ca="1">IFERROR(__xludf.DUMMYFUNCTION("""COMPUTED_VALUE"""),"Sharjah")</f>
        <v>Sharjah</v>
      </c>
      <c r="B12851" s="2" t="str">
        <f ca="1">IFERROR(__xludf.DUMMYFUNCTION("""COMPUTED_VALUE"""),"Al Jabari Building")</f>
        <v>Al Jabari Building</v>
      </c>
      <c r="C12851" s="2"/>
      <c r="D12851" s="2" t="str">
        <f ca="1">IFERROR(__xludf.DUMMYFUNCTION("""COMPUTED_VALUE"""),"Sharjah&gt;Al Nahda (Sharjah)&gt;Al Jabari Building")</f>
        <v>Sharjah&gt;Al Nahda (Sharjah)&gt;Al Jabari Building</v>
      </c>
      <c r="E12851" s="2"/>
      <c r="F12851" s="2"/>
      <c r="G12851" s="2"/>
      <c r="H12851" s="2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2"/>
      <c r="T12851" s="2"/>
      <c r="U12851" s="2"/>
      <c r="V12851" s="2"/>
      <c r="W12851" s="2"/>
      <c r="X12851" s="2"/>
      <c r="Y12851" s="2"/>
      <c r="Z12851" s="2"/>
    </row>
    <row r="12852" spans="1:26" ht="16.5" x14ac:dyDescent="0.35">
      <c r="A12852" s="2" t="str">
        <f ca="1">IFERROR(__xludf.DUMMYFUNCTION("""COMPUTED_VALUE"""),"Sharjah")</f>
        <v>Sharjah</v>
      </c>
      <c r="B12852" s="2" t="str">
        <f ca="1">IFERROR(__xludf.DUMMYFUNCTION("""COMPUTED_VALUE"""),"Attaya Tower")</f>
        <v>Attaya Tower</v>
      </c>
      <c r="C12852" s="2"/>
      <c r="D12852" s="2" t="str">
        <f ca="1">IFERROR(__xludf.DUMMYFUNCTION("""COMPUTED_VALUE"""),"Sharjah&gt;Al Nahda (Sharjah)&gt;Attaya Tower")</f>
        <v>Sharjah&gt;Al Nahda (Sharjah)&gt;Attaya Tower</v>
      </c>
      <c r="E12852" s="2"/>
      <c r="F12852" s="2"/>
      <c r="G12852" s="2"/>
      <c r="H12852" s="2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2"/>
      <c r="T12852" s="2"/>
      <c r="U12852" s="2"/>
      <c r="V12852" s="2"/>
      <c r="W12852" s="2"/>
      <c r="X12852" s="2"/>
      <c r="Y12852" s="2"/>
      <c r="Z12852" s="2"/>
    </row>
    <row r="12853" spans="1:26" ht="16.5" x14ac:dyDescent="0.35">
      <c r="A12853" s="2" t="str">
        <f ca="1">IFERROR(__xludf.DUMMYFUNCTION("""COMPUTED_VALUE"""),"Sharjah")</f>
        <v>Sharjah</v>
      </c>
      <c r="B12853" s="2" t="str">
        <f ca="1">IFERROR(__xludf.DUMMYFUNCTION("""COMPUTED_VALUE"""),"Zubaidi Building")</f>
        <v>Zubaidi Building</v>
      </c>
      <c r="C12853" s="2" t="str">
        <f ca="1">IFERROR(__xludf.DUMMYFUNCTION("""COMPUTED_VALUE"""),"Building")</f>
        <v>Building</v>
      </c>
      <c r="D12853" s="2" t="str">
        <f ca="1">IFERROR(__xludf.DUMMYFUNCTION("""COMPUTED_VALUE"""),"Sharjah&gt;Al Nahda (Sharjah)&gt;Zubaidi Building")</f>
        <v>Sharjah&gt;Al Nahda (Sharjah)&gt;Zubaidi Building</v>
      </c>
      <c r="E12853" s="2"/>
      <c r="F12853" s="2"/>
      <c r="G12853" s="2"/>
      <c r="H12853" s="2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2"/>
      <c r="T12853" s="2"/>
      <c r="U12853" s="2"/>
      <c r="V12853" s="2"/>
      <c r="W12853" s="2"/>
      <c r="X12853" s="2"/>
      <c r="Y12853" s="2"/>
      <c r="Z12853" s="2"/>
    </row>
    <row r="12854" spans="1:26" ht="16.5" x14ac:dyDescent="0.35">
      <c r="A12854" s="2" t="str">
        <f ca="1">IFERROR(__xludf.DUMMYFUNCTION("""COMPUTED_VALUE"""),"Sharjah")</f>
        <v>Sharjah</v>
      </c>
      <c r="B12854" s="2" t="str">
        <f ca="1">IFERROR(__xludf.DUMMYFUNCTION("""COMPUTED_VALUE"""),"Maleha Industrial Area")</f>
        <v>Maleha Industrial Area</v>
      </c>
      <c r="C12854" s="2" t="str">
        <f ca="1">IFERROR(__xludf.DUMMYFUNCTION("""COMPUTED_VALUE"""),"Neighbourhood")</f>
        <v>Neighbourhood</v>
      </c>
      <c r="D12854" s="2" t="str">
        <f ca="1">IFERROR(__xludf.DUMMYFUNCTION("""COMPUTED_VALUE"""),"Sharjah&gt;Maleha&gt;Maleha Industrial Area")</f>
        <v>Sharjah&gt;Maleha&gt;Maleha Industrial Area</v>
      </c>
      <c r="E12854" s="2"/>
      <c r="F12854" s="2"/>
      <c r="G12854" s="2"/>
      <c r="H12854" s="2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2"/>
      <c r="T12854" s="2"/>
      <c r="U12854" s="2"/>
      <c r="V12854" s="2"/>
      <c r="W12854" s="2"/>
      <c r="X12854" s="2"/>
      <c r="Y12854" s="2"/>
      <c r="Z12854" s="2"/>
    </row>
    <row r="12855" spans="1:26" ht="16.5" x14ac:dyDescent="0.35">
      <c r="A12855" s="2" t="str">
        <f ca="1">IFERROR(__xludf.DUMMYFUNCTION("""COMPUTED_VALUE"""),"Sharjah")</f>
        <v>Sharjah</v>
      </c>
      <c r="B12855" s="2" t="str">
        <f ca="1">IFERROR(__xludf.DUMMYFUNCTION("""COMPUTED_VALUE"""),"The Link 1")</f>
        <v>The Link 1</v>
      </c>
      <c r="C12855" s="2" t="str">
        <f ca="1">IFERROR(__xludf.DUMMYFUNCTION("""COMPUTED_VALUE"""),"Building")</f>
        <v>Building</v>
      </c>
      <c r="D12855" s="2" t="str">
        <f ca="1">IFERROR(__xludf.DUMMYFUNCTION("""COMPUTED_VALUE"""),"Sharjah&gt;Aljada&gt;East Village&gt;The Link 1")</f>
        <v>Sharjah&gt;Aljada&gt;East Village&gt;The Link 1</v>
      </c>
      <c r="E12855" s="2"/>
      <c r="F12855" s="2"/>
      <c r="G12855" s="2"/>
      <c r="H12855" s="2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2"/>
      <c r="T12855" s="2"/>
      <c r="U12855" s="2"/>
      <c r="V12855" s="2"/>
      <c r="W12855" s="2"/>
      <c r="X12855" s="2"/>
      <c r="Y12855" s="2"/>
      <c r="Z12855" s="2"/>
    </row>
    <row r="12856" spans="1:26" ht="16.5" x14ac:dyDescent="0.35">
      <c r="A12856" s="2" t="str">
        <f ca="1">IFERROR(__xludf.DUMMYFUNCTION("""COMPUTED_VALUE"""),"Sharjah")</f>
        <v>Sharjah</v>
      </c>
      <c r="B12856" s="2" t="str">
        <f ca="1">IFERROR(__xludf.DUMMYFUNCTION("""COMPUTED_VALUE"""),"Tiraz 4")</f>
        <v>Tiraz 4</v>
      </c>
      <c r="C12856" s="2" t="str">
        <f ca="1">IFERROR(__xludf.DUMMYFUNCTION("""COMPUTED_VALUE"""),"Building")</f>
        <v>Building</v>
      </c>
      <c r="D12856" s="2" t="str">
        <f ca="1">IFERROR(__xludf.DUMMYFUNCTION("""COMPUTED_VALUE"""),"Sharjah&gt;Aljada&gt;Naseej District&gt;Tiraz&gt;Tiraz 4")</f>
        <v>Sharjah&gt;Aljada&gt;Naseej District&gt;Tiraz&gt;Tiraz 4</v>
      </c>
      <c r="E12856" s="2"/>
      <c r="F12856" s="2"/>
      <c r="G12856" s="2"/>
      <c r="H12856" s="2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2"/>
      <c r="T12856" s="2"/>
      <c r="U12856" s="2"/>
      <c r="V12856" s="2"/>
      <c r="W12856" s="2"/>
      <c r="X12856" s="2"/>
      <c r="Y12856" s="2"/>
      <c r="Z12856" s="2"/>
    </row>
    <row r="12857" spans="1:26" ht="16.5" x14ac:dyDescent="0.35">
      <c r="A12857" s="2" t="str">
        <f ca="1">IFERROR(__xludf.DUMMYFUNCTION("""COMPUTED_VALUE"""),"Sharjah")</f>
        <v>Sharjah</v>
      </c>
      <c r="B12857" s="2" t="str">
        <f ca="1">IFERROR(__xludf.DUMMYFUNCTION("""COMPUTED_VALUE"""),"Quest")</f>
        <v>Quest</v>
      </c>
      <c r="C12857" s="2" t="str">
        <f ca="1">IFERROR(__xludf.DUMMYFUNCTION("""COMPUTED_VALUE"""),"Building")</f>
        <v>Building</v>
      </c>
      <c r="D12857" s="2" t="str">
        <f ca="1">IFERROR(__xludf.DUMMYFUNCTION("""COMPUTED_VALUE"""),"Sharjah&gt;Aljada&gt;Arada Central Business District&gt;Quest")</f>
        <v>Sharjah&gt;Aljada&gt;Arada Central Business District&gt;Quest</v>
      </c>
      <c r="E12857" s="2"/>
      <c r="F12857" s="2"/>
      <c r="G12857" s="2"/>
      <c r="H12857" s="2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2"/>
      <c r="T12857" s="2"/>
      <c r="U12857" s="2"/>
      <c r="V12857" s="2"/>
      <c r="W12857" s="2"/>
      <c r="X12857" s="2"/>
      <c r="Y12857" s="2"/>
      <c r="Z12857" s="2"/>
    </row>
    <row r="12858" spans="1:26" ht="16.5" x14ac:dyDescent="0.35">
      <c r="A12858" s="2" t="str">
        <f ca="1">IFERROR(__xludf.DUMMYFUNCTION("""COMPUTED_VALUE"""),"Sharjah")</f>
        <v>Sharjah</v>
      </c>
      <c r="B12858" s="2" t="str">
        <f ca="1">IFERROR(__xludf.DUMMYFUNCTION("""COMPUTED_VALUE"""),"Abu Shagara")</f>
        <v>Abu Shagara</v>
      </c>
      <c r="C12858" s="2" t="str">
        <f ca="1">IFERROR(__xludf.DUMMYFUNCTION("""COMPUTED_VALUE"""),"Neighbourhood")</f>
        <v>Neighbourhood</v>
      </c>
      <c r="D12858" s="2" t="str">
        <f ca="1">IFERROR(__xludf.DUMMYFUNCTION("""COMPUTED_VALUE"""),"Sharjah&gt;Abu Shagara")</f>
        <v>Sharjah&gt;Abu Shagara</v>
      </c>
      <c r="E12858" s="2"/>
      <c r="F12858" s="2"/>
      <c r="G12858" s="2"/>
      <c r="H12858" s="2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2"/>
      <c r="T12858" s="2"/>
      <c r="U12858" s="2"/>
      <c r="V12858" s="2"/>
      <c r="W12858" s="2"/>
      <c r="X12858" s="2"/>
      <c r="Y12858" s="2"/>
      <c r="Z12858" s="2"/>
    </row>
    <row r="12859" spans="1:26" ht="16.5" x14ac:dyDescent="0.35">
      <c r="A12859" s="2" t="str">
        <f ca="1">IFERROR(__xludf.DUMMYFUNCTION("""COMPUTED_VALUE"""),"Sharjah")</f>
        <v>Sharjah</v>
      </c>
      <c r="B12859" s="2" t="str">
        <f ca="1">IFERROR(__xludf.DUMMYFUNCTION("""COMPUTED_VALUE"""),"Sadeek Fateh Ali Abd Alkhaja Building")</f>
        <v>Sadeek Fateh Ali Abd Alkhaja Building</v>
      </c>
      <c r="C12859" s="2"/>
      <c r="D12859" s="2" t="str">
        <f ca="1">IFERROR(__xludf.DUMMYFUNCTION("""COMPUTED_VALUE"""),"Sharjah&gt;Abu Shagara&gt;Sadeek Fateh Ali Abd Alkhaja Building")</f>
        <v>Sharjah&gt;Abu Shagara&gt;Sadeek Fateh Ali Abd Alkhaja Building</v>
      </c>
      <c r="E12859" s="2"/>
      <c r="F12859" s="2"/>
      <c r="G12859" s="2"/>
      <c r="H12859" s="2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2"/>
      <c r="T12859" s="2"/>
      <c r="U12859" s="2"/>
      <c r="V12859" s="2"/>
      <c r="W12859" s="2"/>
      <c r="X12859" s="2"/>
      <c r="Y12859" s="2"/>
      <c r="Z12859" s="2"/>
    </row>
    <row r="12860" spans="1:26" ht="16.5" x14ac:dyDescent="0.35">
      <c r="A12860" s="2" t="str">
        <f ca="1">IFERROR(__xludf.DUMMYFUNCTION("""COMPUTED_VALUE"""),"Sharjah")</f>
        <v>Sharjah</v>
      </c>
      <c r="B12860" s="2" t="str">
        <f ca="1">IFERROR(__xludf.DUMMYFUNCTION("""COMPUTED_VALUE"""),"Ewan 2")</f>
        <v>Ewan 2</v>
      </c>
      <c r="C12860" s="2"/>
      <c r="D12860" s="2" t="str">
        <f ca="1">IFERROR(__xludf.DUMMYFUNCTION("""COMPUTED_VALUE"""),"Sharjah&gt;Al Mamzar&gt;Ewan 2")</f>
        <v>Sharjah&gt;Al Mamzar&gt;Ewan 2</v>
      </c>
      <c r="E12860" s="2"/>
      <c r="F12860" s="2"/>
      <c r="G12860" s="2"/>
      <c r="H12860" s="2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2"/>
      <c r="T12860" s="2"/>
      <c r="U12860" s="2"/>
      <c r="V12860" s="2"/>
      <c r="W12860" s="2"/>
      <c r="X12860" s="2"/>
      <c r="Y12860" s="2"/>
      <c r="Z12860" s="2"/>
    </row>
    <row r="12861" spans="1:26" ht="16.5" x14ac:dyDescent="0.35">
      <c r="A12861" s="2" t="str">
        <f ca="1">IFERROR(__xludf.DUMMYFUNCTION("""COMPUTED_VALUE"""),"Sharjah")</f>
        <v>Sharjah</v>
      </c>
      <c r="B12861" s="2" t="str">
        <f ca="1">IFERROR(__xludf.DUMMYFUNCTION("""COMPUTED_VALUE"""),"Rolla Tower Building")</f>
        <v>Rolla Tower Building</v>
      </c>
      <c r="C12861" s="2"/>
      <c r="D12861" s="2" t="str">
        <f ca="1">IFERROR(__xludf.DUMMYFUNCTION("""COMPUTED_VALUE"""),"Sharjah&gt;Al Ghuwair&gt;Rolla Tower Building")</f>
        <v>Sharjah&gt;Al Ghuwair&gt;Rolla Tower Building</v>
      </c>
      <c r="E12861" s="2"/>
      <c r="F12861" s="2"/>
      <c r="G12861" s="2"/>
      <c r="H12861" s="2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2"/>
      <c r="T12861" s="2"/>
      <c r="U12861" s="2"/>
      <c r="V12861" s="2"/>
      <c r="W12861" s="2"/>
      <c r="X12861" s="2"/>
      <c r="Y12861" s="2"/>
      <c r="Z12861" s="2"/>
    </row>
    <row r="12862" spans="1:26" ht="16.5" x14ac:dyDescent="0.35">
      <c r="A12862" s="2" t="str">
        <f ca="1">IFERROR(__xludf.DUMMYFUNCTION("""COMPUTED_VALUE"""),"Sharjah")</f>
        <v>Sharjah</v>
      </c>
      <c r="B12862" s="2" t="str">
        <f ca="1">IFERROR(__xludf.DUMMYFUNCTION("""COMPUTED_VALUE"""),"Al Murooj English School, Sharjah")</f>
        <v>Al Murooj English School, Sharjah</v>
      </c>
      <c r="C12862" s="2" t="str">
        <f ca="1">IFERROR(__xludf.DUMMYFUNCTION("""COMPUTED_VALUE"""),"School")</f>
        <v>School</v>
      </c>
      <c r="D12862" s="2" t="str">
        <f ca="1">IFERROR(__xludf.DUMMYFUNCTION("""COMPUTED_VALUE"""),"Sharjah&gt;Al Azra&gt;Al Murooj English School, Sharjah")</f>
        <v>Sharjah&gt;Al Azra&gt;Al Murooj English School, Sharjah</v>
      </c>
      <c r="E12862" s="2"/>
      <c r="F12862" s="2"/>
      <c r="G12862" s="2"/>
      <c r="H12862" s="2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2"/>
      <c r="T12862" s="2"/>
      <c r="U12862" s="2"/>
      <c r="V12862" s="2"/>
      <c r="W12862" s="2"/>
      <c r="X12862" s="2"/>
      <c r="Y12862" s="2"/>
      <c r="Z12862" s="2"/>
    </row>
    <row r="12863" spans="1:26" ht="16.5" x14ac:dyDescent="0.35">
      <c r="A12863" s="2" t="str">
        <f ca="1">IFERROR(__xludf.DUMMYFUNCTION("""COMPUTED_VALUE"""),"Sharjah")</f>
        <v>Sharjah</v>
      </c>
      <c r="B12863" s="2" t="str">
        <f ca="1">IFERROR(__xludf.DUMMYFUNCTION("""COMPUTED_VALUE"""),"Beach Apartments")</f>
        <v>Beach Apartments</v>
      </c>
      <c r="C12863" s="2"/>
      <c r="D12863" s="2" t="str">
        <f ca="1">IFERROR(__xludf.DUMMYFUNCTION("""COMPUTED_VALUE"""),"Sharjah&gt;Al Qulayaah&gt;Beach Apartments")</f>
        <v>Sharjah&gt;Al Qulayaah&gt;Beach Apartments</v>
      </c>
      <c r="E12863" s="2"/>
      <c r="F12863" s="2"/>
      <c r="G12863" s="2"/>
      <c r="H12863" s="2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2"/>
      <c r="T12863" s="2"/>
      <c r="U12863" s="2"/>
      <c r="V12863" s="2"/>
      <c r="W12863" s="2"/>
      <c r="X12863" s="2"/>
      <c r="Y12863" s="2"/>
      <c r="Z12863" s="2"/>
    </row>
    <row r="12864" spans="1:26" ht="16.5" x14ac:dyDescent="0.35">
      <c r="A12864" s="2" t="str">
        <f ca="1">IFERROR(__xludf.DUMMYFUNCTION("""COMPUTED_VALUE"""),"Sharjah")</f>
        <v>Sharjah</v>
      </c>
      <c r="B12864" s="2" t="str">
        <f ca="1">IFERROR(__xludf.DUMMYFUNCTION("""COMPUTED_VALUE"""),"Jassim 1 Building")</f>
        <v>Jassim 1 Building</v>
      </c>
      <c r="C12864" s="2"/>
      <c r="D12864" s="2" t="str">
        <f ca="1">IFERROR(__xludf.DUMMYFUNCTION("""COMPUTED_VALUE"""),"Sharjah&gt;Al Shuwaihean&gt;Jassim 1 Building")</f>
        <v>Sharjah&gt;Al Shuwaihean&gt;Jassim 1 Building</v>
      </c>
      <c r="E12864" s="2"/>
      <c r="F12864" s="2"/>
      <c r="G12864" s="2"/>
      <c r="H12864" s="2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2"/>
      <c r="T12864" s="2"/>
      <c r="U12864" s="2"/>
      <c r="V12864" s="2"/>
      <c r="W12864" s="2"/>
      <c r="X12864" s="2"/>
      <c r="Y12864" s="2"/>
      <c r="Z12864" s="2"/>
    </row>
    <row r="12865" spans="1:26" ht="16.5" x14ac:dyDescent="0.35">
      <c r="A12865" s="2" t="str">
        <f ca="1">IFERROR(__xludf.DUMMYFUNCTION("""COMPUTED_VALUE"""),"Sharjah")</f>
        <v>Sharjah</v>
      </c>
      <c r="B12865" s="2" t="str">
        <f ca="1">IFERROR(__xludf.DUMMYFUNCTION("""COMPUTED_VALUE"""),"Samnan")</f>
        <v>Samnan</v>
      </c>
      <c r="C12865" s="2" t="str">
        <f ca="1">IFERROR(__xludf.DUMMYFUNCTION("""COMPUTED_VALUE"""),"Neighbourhood")</f>
        <v>Neighbourhood</v>
      </c>
      <c r="D12865" s="2" t="str">
        <f ca="1">IFERROR(__xludf.DUMMYFUNCTION("""COMPUTED_VALUE"""),"Sharjah&gt;Samnan")</f>
        <v>Sharjah&gt;Samnan</v>
      </c>
      <c r="E12865" s="2"/>
      <c r="F12865" s="2"/>
      <c r="G12865" s="2"/>
      <c r="H12865" s="2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2"/>
      <c r="T12865" s="2"/>
      <c r="U12865" s="2"/>
      <c r="V12865" s="2"/>
      <c r="W12865" s="2"/>
      <c r="X12865" s="2"/>
      <c r="Y12865" s="2"/>
      <c r="Z12865" s="2"/>
    </row>
    <row r="12866" spans="1:26" ht="16.5" x14ac:dyDescent="0.35">
      <c r="A12866" s="2" t="str">
        <f ca="1">IFERROR(__xludf.DUMMYFUNCTION("""COMPUTED_VALUE"""),"Sharjah")</f>
        <v>Sharjah</v>
      </c>
      <c r="B12866" s="2" t="str">
        <f ca="1">IFERROR(__xludf.DUMMYFUNCTION("""COMPUTED_VALUE"""),"Al Mawahib British Private School, Sharjah")</f>
        <v>Al Mawahib British Private School, Sharjah</v>
      </c>
      <c r="C12866" s="2" t="str">
        <f ca="1">IFERROR(__xludf.DUMMYFUNCTION("""COMPUTED_VALUE"""),"School")</f>
        <v>School</v>
      </c>
      <c r="D12866" s="2" t="str">
        <f ca="1">IFERROR(__xludf.DUMMYFUNCTION("""COMPUTED_VALUE"""),"Sharjah&gt;Al Abar&gt;Al Mawahib British Private School, Sharjah")</f>
        <v>Sharjah&gt;Al Abar&gt;Al Mawahib British Private School, Sharjah</v>
      </c>
      <c r="E12866" s="2"/>
      <c r="F12866" s="2"/>
      <c r="G12866" s="2"/>
      <c r="H12866" s="2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2"/>
      <c r="T12866" s="2"/>
      <c r="U12866" s="2"/>
      <c r="V12866" s="2"/>
      <c r="W12866" s="2"/>
      <c r="X12866" s="2"/>
      <c r="Y12866" s="2"/>
      <c r="Z12866" s="2"/>
    </row>
    <row r="12867" spans="1:26" ht="16.5" x14ac:dyDescent="0.35">
      <c r="A12867" s="2" t="str">
        <f ca="1">IFERROR(__xludf.DUMMYFUNCTION("""COMPUTED_VALUE"""),"Sharjah")</f>
        <v>Sharjah</v>
      </c>
      <c r="B12867" s="2" t="str">
        <f ca="1">IFERROR(__xludf.DUMMYFUNCTION("""COMPUTED_VALUE"""),"Al Heerah Suburb")</f>
        <v>Al Heerah Suburb</v>
      </c>
      <c r="C12867" s="2" t="str">
        <f ca="1">IFERROR(__xludf.DUMMYFUNCTION("""COMPUTED_VALUE"""),"Neighbourhood")</f>
        <v>Neighbourhood</v>
      </c>
      <c r="D12867" s="2" t="str">
        <f ca="1">IFERROR(__xludf.DUMMYFUNCTION("""COMPUTED_VALUE"""),"Sharjah&gt;Al Heerah Suburb")</f>
        <v>Sharjah&gt;Al Heerah Suburb</v>
      </c>
      <c r="E12867" s="2"/>
      <c r="F12867" s="2"/>
      <c r="G12867" s="2"/>
      <c r="H12867" s="2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2"/>
      <c r="T12867" s="2"/>
      <c r="U12867" s="2"/>
      <c r="V12867" s="2"/>
      <c r="W12867" s="2"/>
      <c r="X12867" s="2"/>
      <c r="Y12867" s="2"/>
      <c r="Z12867" s="2"/>
    </row>
    <row r="12868" spans="1:26" ht="16.5" x14ac:dyDescent="0.35">
      <c r="A12868" s="2" t="str">
        <f ca="1">IFERROR(__xludf.DUMMYFUNCTION("""COMPUTED_VALUE"""),"Sharjah")</f>
        <v>Sharjah</v>
      </c>
      <c r="B12868" s="2" t="str">
        <f ca="1">IFERROR(__xludf.DUMMYFUNCTION("""COMPUTED_VALUE"""),"Al Gargawi Building")</f>
        <v>Al Gargawi Building</v>
      </c>
      <c r="C12868" s="2" t="str">
        <f ca="1">IFERROR(__xludf.DUMMYFUNCTION("""COMPUTED_VALUE"""),"Building")</f>
        <v>Building</v>
      </c>
      <c r="D12868" s="2" t="str">
        <f ca="1">IFERROR(__xludf.DUMMYFUNCTION("""COMPUTED_VALUE"""),"Sharjah&gt;Bu Tina&gt;Al Gargawi Building")</f>
        <v>Sharjah&gt;Bu Tina&gt;Al Gargawi Building</v>
      </c>
      <c r="E12868" s="2"/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2"/>
      <c r="T12868" s="2"/>
      <c r="U12868" s="2"/>
      <c r="V12868" s="2"/>
      <c r="W12868" s="2"/>
      <c r="X12868" s="2"/>
      <c r="Y12868" s="2"/>
      <c r="Z12868" s="2"/>
    </row>
    <row r="12869" spans="1:26" ht="16.5" x14ac:dyDescent="0.35">
      <c r="A12869" s="2" t="str">
        <f ca="1">IFERROR(__xludf.DUMMYFUNCTION("""COMPUTED_VALUE"""),"Sharjah")</f>
        <v>Sharjah</v>
      </c>
      <c r="B12869" s="2" t="str">
        <f ca="1">IFERROR(__xludf.DUMMYFUNCTION("""COMPUTED_VALUE"""),"Al Anwar Tower")</f>
        <v>Al Anwar Tower</v>
      </c>
      <c r="C12869" s="2" t="str">
        <f ca="1">IFERROR(__xludf.DUMMYFUNCTION("""COMPUTED_VALUE"""),"Building")</f>
        <v>Building</v>
      </c>
      <c r="D12869" s="2" t="str">
        <f ca="1">IFERROR(__xludf.DUMMYFUNCTION("""COMPUTED_VALUE"""),"Sharjah&gt;Al Khan&gt;Al Anwar Tower")</f>
        <v>Sharjah&gt;Al Khan&gt;Al Anwar Tower</v>
      </c>
      <c r="E12869" s="2"/>
      <c r="F12869" s="2"/>
      <c r="G12869" s="2"/>
      <c r="H12869" s="2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2"/>
      <c r="T12869" s="2"/>
      <c r="U12869" s="2"/>
      <c r="V12869" s="2"/>
      <c r="W12869" s="2"/>
      <c r="X12869" s="2"/>
      <c r="Y12869" s="2"/>
      <c r="Z12869" s="2"/>
    </row>
    <row r="12870" spans="1:26" ht="16.5" x14ac:dyDescent="0.35">
      <c r="A12870" s="2" t="str">
        <f ca="1">IFERROR(__xludf.DUMMYFUNCTION("""COMPUTED_VALUE"""),"Sharjah")</f>
        <v>Sharjah</v>
      </c>
      <c r="B12870" s="2" t="str">
        <f ca="1">IFERROR(__xludf.DUMMYFUNCTION("""COMPUTED_VALUE"""),"Al Morjan Building")</f>
        <v>Al Morjan Building</v>
      </c>
      <c r="C12870" s="2"/>
      <c r="D12870" s="2" t="str">
        <f ca="1">IFERROR(__xludf.DUMMYFUNCTION("""COMPUTED_VALUE"""),"Sharjah&gt;Al Khan&gt;Al Morjan Building")</f>
        <v>Sharjah&gt;Al Khan&gt;Al Morjan Building</v>
      </c>
      <c r="E12870" s="2"/>
      <c r="F12870" s="2"/>
      <c r="G12870" s="2"/>
      <c r="H12870" s="2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2"/>
      <c r="T12870" s="2"/>
      <c r="U12870" s="2"/>
      <c r="V12870" s="2"/>
      <c r="W12870" s="2"/>
      <c r="X12870" s="2"/>
      <c r="Y12870" s="2"/>
      <c r="Z12870" s="2"/>
    </row>
    <row r="12871" spans="1:26" ht="16.5" x14ac:dyDescent="0.35">
      <c r="A12871" s="2" t="str">
        <f ca="1">IFERROR(__xludf.DUMMYFUNCTION("""COMPUTED_VALUE"""),"Sharjah")</f>
        <v>Sharjah</v>
      </c>
      <c r="B12871" s="2" t="str">
        <f ca="1">IFERROR(__xludf.DUMMYFUNCTION("""COMPUTED_VALUE"""),"Citrine Residences")</f>
        <v>Citrine Residences</v>
      </c>
      <c r="C12871" s="2" t="str">
        <f ca="1">IFERROR(__xludf.DUMMYFUNCTION("""COMPUTED_VALUE"""),"Building")</f>
        <v>Building</v>
      </c>
      <c r="D12871" s="2" t="str">
        <f ca="1">IFERROR(__xludf.DUMMYFUNCTION("""COMPUTED_VALUE"""),"Sharjah&gt;Al Khan&gt;Maryam Island&gt;Citrine Residences")</f>
        <v>Sharjah&gt;Al Khan&gt;Maryam Island&gt;Citrine Residences</v>
      </c>
      <c r="E12871" s="2"/>
      <c r="F12871" s="2"/>
      <c r="G12871" s="2"/>
      <c r="H12871" s="2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2"/>
      <c r="T12871" s="2"/>
      <c r="U12871" s="2"/>
      <c r="V12871" s="2"/>
      <c r="W12871" s="2"/>
      <c r="X12871" s="2"/>
      <c r="Y12871" s="2"/>
      <c r="Z12871" s="2"/>
    </row>
    <row r="12872" spans="1:26" ht="16.5" x14ac:dyDescent="0.35">
      <c r="A12872" s="2" t="str">
        <f ca="1">IFERROR(__xludf.DUMMYFUNCTION("""COMPUTED_VALUE"""),"Sharjah")</f>
        <v>Sharjah</v>
      </c>
      <c r="B12872" s="2" t="str">
        <f ca="1">IFERROR(__xludf.DUMMYFUNCTION("""COMPUTED_VALUE"""),"Time Ruby Hotel Apartments")</f>
        <v>Time Ruby Hotel Apartments</v>
      </c>
      <c r="C12872" s="2"/>
      <c r="D12872" s="2" t="str">
        <f ca="1">IFERROR(__xludf.DUMMYFUNCTION("""COMPUTED_VALUE"""),"Sharjah&gt;Al Khan&gt;Time Ruby Hotel Apartments")</f>
        <v>Sharjah&gt;Al Khan&gt;Time Ruby Hotel Apartments</v>
      </c>
      <c r="E12872" s="2"/>
      <c r="F12872" s="2"/>
      <c r="G12872" s="2"/>
      <c r="H12872" s="2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2"/>
      <c r="T12872" s="2"/>
      <c r="U12872" s="2"/>
      <c r="V12872" s="2"/>
      <c r="W12872" s="2"/>
      <c r="X12872" s="2"/>
      <c r="Y12872" s="2"/>
      <c r="Z12872" s="2"/>
    </row>
    <row r="12873" spans="1:26" ht="16.5" x14ac:dyDescent="0.35">
      <c r="A12873" s="2" t="str">
        <f ca="1">IFERROR(__xludf.DUMMYFUNCTION("""COMPUTED_VALUE"""),"Sharjah")</f>
        <v>Sharjah</v>
      </c>
      <c r="B12873" s="2" t="str">
        <f ca="1">IFERROR(__xludf.DUMMYFUNCTION("""COMPUTED_VALUE"""),"Queen Tower")</f>
        <v>Queen Tower</v>
      </c>
      <c r="C12873" s="2"/>
      <c r="D12873" s="2" t="str">
        <f ca="1">IFERROR(__xludf.DUMMYFUNCTION("""COMPUTED_VALUE"""),"Sharjah&gt;Al Majaz&gt;Al Majaz 2&gt;Queen Tower")</f>
        <v>Sharjah&gt;Al Majaz&gt;Al Majaz 2&gt;Queen Tower</v>
      </c>
      <c r="E12873" s="2"/>
      <c r="F12873" s="2"/>
      <c r="G12873" s="2"/>
      <c r="H12873" s="2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2"/>
      <c r="T12873" s="2"/>
      <c r="U12873" s="2"/>
      <c r="V12873" s="2"/>
      <c r="W12873" s="2"/>
      <c r="X12873" s="2"/>
      <c r="Y12873" s="2"/>
      <c r="Z12873" s="2"/>
    </row>
    <row r="12874" spans="1:26" ht="16.5" x14ac:dyDescent="0.35">
      <c r="A12874" s="2" t="str">
        <f ca="1">IFERROR(__xludf.DUMMYFUNCTION("""COMPUTED_VALUE"""),"Sharjah")</f>
        <v>Sharjah</v>
      </c>
      <c r="B12874" s="2" t="str">
        <f ca="1">IFERROR(__xludf.DUMMYFUNCTION("""COMPUTED_VALUE"""),"Capital's Tower")</f>
        <v>Capital's Tower</v>
      </c>
      <c r="C12874" s="2"/>
      <c r="D12874" s="2" t="str">
        <f ca="1">IFERROR(__xludf.DUMMYFUNCTION("""COMPUTED_VALUE"""),"Sharjah&gt;Al Majaz&gt;Al Majaz 2&gt;Capital's Tower")</f>
        <v>Sharjah&gt;Al Majaz&gt;Al Majaz 2&gt;Capital's Tower</v>
      </c>
      <c r="E12874" s="2"/>
      <c r="F12874" s="2"/>
      <c r="G12874" s="2"/>
      <c r="H12874" s="2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2"/>
      <c r="T12874" s="2"/>
      <c r="U12874" s="2"/>
      <c r="V12874" s="2"/>
      <c r="W12874" s="2"/>
      <c r="X12874" s="2"/>
      <c r="Y12874" s="2"/>
      <c r="Z12874" s="2"/>
    </row>
    <row r="12875" spans="1:26" ht="16.5" x14ac:dyDescent="0.35">
      <c r="A12875" s="2" t="str">
        <f ca="1">IFERROR(__xludf.DUMMYFUNCTION("""COMPUTED_VALUE"""),"Sharjah")</f>
        <v>Sharjah</v>
      </c>
      <c r="B12875" s="2" t="str">
        <f ca="1">IFERROR(__xludf.DUMMYFUNCTION("""COMPUTED_VALUE"""),"Tower 2020")</f>
        <v>Tower 2020</v>
      </c>
      <c r="C12875" s="2" t="str">
        <f ca="1">IFERROR(__xludf.DUMMYFUNCTION("""COMPUTED_VALUE"""),"Building")</f>
        <v>Building</v>
      </c>
      <c r="D12875" s="2" t="str">
        <f ca="1">IFERROR(__xludf.DUMMYFUNCTION("""COMPUTED_VALUE"""),"Sharjah&gt;Al Majaz&gt;Al Majaz 2&gt;Tower 2020")</f>
        <v>Sharjah&gt;Al Majaz&gt;Al Majaz 2&gt;Tower 2020</v>
      </c>
      <c r="E12875" s="2"/>
      <c r="F12875" s="2"/>
      <c r="G12875" s="2"/>
      <c r="H12875" s="2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2"/>
      <c r="T12875" s="2"/>
      <c r="U12875" s="2"/>
      <c r="V12875" s="2"/>
      <c r="W12875" s="2"/>
      <c r="X12875" s="2"/>
      <c r="Y12875" s="2"/>
      <c r="Z12875" s="2"/>
    </row>
    <row r="12876" spans="1:26" ht="16.5" x14ac:dyDescent="0.35">
      <c r="A12876" s="2" t="str">
        <f ca="1">IFERROR(__xludf.DUMMYFUNCTION("""COMPUTED_VALUE"""),"Sharjah")</f>
        <v>Sharjah</v>
      </c>
      <c r="B12876" s="2" t="str">
        <f ca="1">IFERROR(__xludf.DUMMYFUNCTION("""COMPUTED_VALUE"""),"Al Hijaj Building")</f>
        <v>Al Hijaj Building</v>
      </c>
      <c r="C12876" s="2"/>
      <c r="D12876" s="2" t="str">
        <f ca="1">IFERROR(__xludf.DUMMYFUNCTION("""COMPUTED_VALUE"""),"Sharjah&gt;Al Majaz&gt;Al Majaz 3&gt;Al Hijaj Building")</f>
        <v>Sharjah&gt;Al Majaz&gt;Al Majaz 3&gt;Al Hijaj Building</v>
      </c>
      <c r="E12876" s="2"/>
      <c r="F12876" s="2"/>
      <c r="G12876" s="2"/>
      <c r="H12876" s="2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2"/>
      <c r="T12876" s="2"/>
      <c r="U12876" s="2"/>
      <c r="V12876" s="2"/>
      <c r="W12876" s="2"/>
      <c r="X12876" s="2"/>
      <c r="Y12876" s="2"/>
      <c r="Z12876" s="2"/>
    </row>
    <row r="12877" spans="1:26" ht="16.5" x14ac:dyDescent="0.35">
      <c r="A12877" s="2" t="str">
        <f ca="1">IFERROR(__xludf.DUMMYFUNCTION("""COMPUTED_VALUE"""),"Sharjah")</f>
        <v>Sharjah</v>
      </c>
      <c r="B12877" s="2" t="str">
        <f ca="1">IFERROR(__xludf.DUMMYFUNCTION("""COMPUTED_VALUE"""),"Mithaa Building")</f>
        <v>Mithaa Building</v>
      </c>
      <c r="C12877" s="2"/>
      <c r="D12877" s="2" t="str">
        <f ca="1">IFERROR(__xludf.DUMMYFUNCTION("""COMPUTED_VALUE"""),"Sharjah&gt;Al Majaz&gt;Al Majaz 3&gt;Mithaa Building")</f>
        <v>Sharjah&gt;Al Majaz&gt;Al Majaz 3&gt;Mithaa Building</v>
      </c>
      <c r="E12877" s="2"/>
      <c r="F12877" s="2"/>
      <c r="G12877" s="2"/>
      <c r="H12877" s="2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2"/>
      <c r="T12877" s="2"/>
      <c r="U12877" s="2"/>
      <c r="V12877" s="2"/>
      <c r="W12877" s="2"/>
      <c r="X12877" s="2"/>
      <c r="Y12877" s="2"/>
      <c r="Z12877" s="2"/>
    </row>
    <row r="12878" spans="1:26" ht="16.5" x14ac:dyDescent="0.35">
      <c r="A12878" s="2" t="str">
        <f ca="1">IFERROR(__xludf.DUMMYFUNCTION("""COMPUTED_VALUE"""),"Sharjah")</f>
        <v>Sharjah</v>
      </c>
      <c r="B12878" s="2" t="str">
        <f ca="1">IFERROR(__xludf.DUMMYFUNCTION("""COMPUTED_VALUE"""),"Al Batha Tower")</f>
        <v>Al Batha Tower</v>
      </c>
      <c r="C12878" s="2" t="str">
        <f ca="1">IFERROR(__xludf.DUMMYFUNCTION("""COMPUTED_VALUE"""),"Building")</f>
        <v>Building</v>
      </c>
      <c r="D12878" s="2" t="str">
        <f ca="1">IFERROR(__xludf.DUMMYFUNCTION("""COMPUTED_VALUE"""),"Sharjah&gt;Al Majaz&gt;Al Majaz 1&gt;Al Batha Tower")</f>
        <v>Sharjah&gt;Al Majaz&gt;Al Majaz 1&gt;Al Batha Tower</v>
      </c>
      <c r="E12878" s="2"/>
      <c r="F12878" s="2"/>
      <c r="G12878" s="2"/>
      <c r="H12878" s="2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2"/>
      <c r="T12878" s="2"/>
      <c r="U12878" s="2"/>
      <c r="V12878" s="2"/>
      <c r="W12878" s="2"/>
      <c r="X12878" s="2"/>
      <c r="Y12878" s="2"/>
      <c r="Z12878" s="2"/>
    </row>
    <row r="12879" spans="1:26" ht="16.5" x14ac:dyDescent="0.35">
      <c r="A12879" s="2" t="str">
        <f ca="1">IFERROR(__xludf.DUMMYFUNCTION("""COMPUTED_VALUE"""),"Sharjah")</f>
        <v>Sharjah</v>
      </c>
      <c r="B12879" s="2" t="str">
        <f ca="1">IFERROR(__xludf.DUMMYFUNCTION("""COMPUTED_VALUE"""),"Muzairah")</f>
        <v>Muzairah</v>
      </c>
      <c r="C12879" s="2" t="str">
        <f ca="1">IFERROR(__xludf.DUMMYFUNCTION("""COMPUTED_VALUE"""),"Neighbourhood")</f>
        <v>Neighbourhood</v>
      </c>
      <c r="D12879" s="2" t="str">
        <f ca="1">IFERROR(__xludf.DUMMYFUNCTION("""COMPUTED_VALUE"""),"Sharjah&gt;Muzairah")</f>
        <v>Sharjah&gt;Muzairah</v>
      </c>
      <c r="E12879" s="2"/>
      <c r="F12879" s="2"/>
      <c r="G12879" s="2"/>
      <c r="H12879" s="2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2"/>
      <c r="T12879" s="2"/>
      <c r="U12879" s="2"/>
      <c r="V12879" s="2"/>
      <c r="W12879" s="2"/>
      <c r="X12879" s="2"/>
      <c r="Y12879" s="2"/>
      <c r="Z12879" s="2"/>
    </row>
    <row r="12880" spans="1:26" ht="16.5" x14ac:dyDescent="0.35">
      <c r="A12880" s="2" t="str">
        <f ca="1">IFERROR(__xludf.DUMMYFUNCTION("""COMPUTED_VALUE"""),"Sharjah")</f>
        <v>Sharjah</v>
      </c>
      <c r="B12880" s="2" t="str">
        <f ca="1">IFERROR(__xludf.DUMMYFUNCTION("""COMPUTED_VALUE"""),"Al Mamzar 2 Tower")</f>
        <v>Al Mamzar 2 Tower</v>
      </c>
      <c r="C12880" s="2"/>
      <c r="D12880" s="2" t="str">
        <f ca="1">IFERROR(__xludf.DUMMYFUNCTION("""COMPUTED_VALUE"""),"Sharjah&gt;Al Taawun&gt;Al Mamzar 2 Tower")</f>
        <v>Sharjah&gt;Al Taawun&gt;Al Mamzar 2 Tower</v>
      </c>
      <c r="E12880" s="2"/>
      <c r="F12880" s="2"/>
      <c r="G12880" s="2"/>
      <c r="H12880" s="2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2"/>
      <c r="T12880" s="2"/>
      <c r="U12880" s="2"/>
      <c r="V12880" s="2"/>
      <c r="W12880" s="2"/>
      <c r="X12880" s="2"/>
      <c r="Y12880" s="2"/>
      <c r="Z12880" s="2"/>
    </row>
    <row r="12881" spans="1:26" ht="16.5" x14ac:dyDescent="0.35">
      <c r="A12881" s="2" t="str">
        <f ca="1">IFERROR(__xludf.DUMMYFUNCTION("""COMPUTED_VALUE"""),"Sharjah")</f>
        <v>Sharjah</v>
      </c>
      <c r="B12881" s="2" t="str">
        <f ca="1">IFERROR(__xludf.DUMMYFUNCTION("""COMPUTED_VALUE"""),"Al Maha Tower B")</f>
        <v>Al Maha Tower B</v>
      </c>
      <c r="C12881" s="2" t="str">
        <f ca="1">IFERROR(__xludf.DUMMYFUNCTION("""COMPUTED_VALUE"""),"Building")</f>
        <v>Building</v>
      </c>
      <c r="D12881" s="2" t="str">
        <f ca="1">IFERROR(__xludf.DUMMYFUNCTION("""COMPUTED_VALUE"""),"Sharjah&gt;Al Taawun&gt;Al Maha Tower&gt;Al Maha Tower B")</f>
        <v>Sharjah&gt;Al Taawun&gt;Al Maha Tower&gt;Al Maha Tower B</v>
      </c>
      <c r="E12881" s="2"/>
      <c r="F12881" s="2"/>
      <c r="G12881" s="2"/>
      <c r="H12881" s="2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2"/>
      <c r="T12881" s="2"/>
      <c r="U12881" s="2"/>
      <c r="V12881" s="2"/>
      <c r="W12881" s="2"/>
      <c r="X12881" s="2"/>
      <c r="Y12881" s="2"/>
      <c r="Z12881" s="2"/>
    </row>
    <row r="12882" spans="1:26" ht="16.5" x14ac:dyDescent="0.35">
      <c r="A12882" s="2" t="str">
        <f ca="1">IFERROR(__xludf.DUMMYFUNCTION("""COMPUTED_VALUE"""),"Sharjah")</f>
        <v>Sharjah</v>
      </c>
      <c r="B12882" s="2" t="str">
        <f ca="1">IFERROR(__xludf.DUMMYFUNCTION("""COMPUTED_VALUE"""),"Al Habtoor Towers")</f>
        <v>Al Habtoor Towers</v>
      </c>
      <c r="C12882" s="2"/>
      <c r="D12882" s="2" t="str">
        <f ca="1">IFERROR(__xludf.DUMMYFUNCTION("""COMPUTED_VALUE"""),"Sharjah&gt;Al Qasimia&gt;Al Nad&gt;Al Habtoor Towers")</f>
        <v>Sharjah&gt;Al Qasimia&gt;Al Nad&gt;Al Habtoor Towers</v>
      </c>
      <c r="E12882" s="2"/>
      <c r="F12882" s="2"/>
      <c r="G12882" s="2"/>
      <c r="H12882" s="2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2"/>
      <c r="T12882" s="2"/>
      <c r="U12882" s="2"/>
      <c r="V12882" s="2"/>
      <c r="W12882" s="2"/>
      <c r="X12882" s="2"/>
      <c r="Y12882" s="2"/>
      <c r="Z12882" s="2"/>
    </row>
    <row r="12883" spans="1:26" ht="16.5" x14ac:dyDescent="0.35">
      <c r="A12883" s="2" t="str">
        <f ca="1">IFERROR(__xludf.DUMMYFUNCTION("""COMPUTED_VALUE"""),"Sharjah")</f>
        <v>Sharjah</v>
      </c>
      <c r="B12883" s="2" t="str">
        <f ca="1">IFERROR(__xludf.DUMMYFUNCTION("""COMPUTED_VALUE"""),"Binhindi Building")</f>
        <v>Binhindi Building</v>
      </c>
      <c r="C12883" s="2"/>
      <c r="D12883" s="2" t="str">
        <f ca="1">IFERROR(__xludf.DUMMYFUNCTION("""COMPUTED_VALUE"""),"Sharjah&gt;Al Qasimia&gt;Al Nad&gt;Binhindi Building")</f>
        <v>Sharjah&gt;Al Qasimia&gt;Al Nad&gt;Binhindi Building</v>
      </c>
      <c r="E12883" s="2"/>
      <c r="F12883" s="2"/>
      <c r="G12883" s="2"/>
      <c r="H12883" s="2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2"/>
      <c r="T12883" s="2"/>
      <c r="U12883" s="2"/>
      <c r="V12883" s="2"/>
      <c r="W12883" s="2"/>
      <c r="X12883" s="2"/>
      <c r="Y12883" s="2"/>
      <c r="Z12883" s="2"/>
    </row>
    <row r="12884" spans="1:26" ht="16.5" x14ac:dyDescent="0.35">
      <c r="A12884" s="2" t="str">
        <f ca="1">IFERROR(__xludf.DUMMYFUNCTION("""COMPUTED_VALUE"""),"Sharjah")</f>
        <v>Sharjah</v>
      </c>
      <c r="B12884" s="2" t="str">
        <f ca="1">IFERROR(__xludf.DUMMYFUNCTION("""COMPUTED_VALUE"""),"Sohail M1 Buhamra")</f>
        <v>Sohail M1 Buhamra</v>
      </c>
      <c r="C12884" s="2"/>
      <c r="D12884" s="2" t="str">
        <f ca="1">IFERROR(__xludf.DUMMYFUNCTION("""COMPUTED_VALUE"""),"Sharjah&gt;Al Qasimia&gt;Al Nad&gt;Sohail M1 Buhamra")</f>
        <v>Sharjah&gt;Al Qasimia&gt;Al Nad&gt;Sohail M1 Buhamra</v>
      </c>
      <c r="E12884" s="2"/>
      <c r="F12884" s="2"/>
      <c r="G12884" s="2"/>
      <c r="H12884" s="2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2"/>
      <c r="T12884" s="2"/>
      <c r="U12884" s="2"/>
      <c r="V12884" s="2"/>
      <c r="W12884" s="2"/>
      <c r="X12884" s="2"/>
      <c r="Y12884" s="2"/>
      <c r="Z12884" s="2"/>
    </row>
    <row r="12885" spans="1:26" ht="16.5" x14ac:dyDescent="0.35">
      <c r="A12885" s="2" t="str">
        <f ca="1">IFERROR(__xludf.DUMMYFUNCTION("""COMPUTED_VALUE"""),"Sharjah")</f>
        <v>Sharjah</v>
      </c>
      <c r="B12885" s="2" t="str">
        <f ca="1">IFERROR(__xludf.DUMMYFUNCTION("""COMPUTED_VALUE"""),"Family Building")</f>
        <v>Family Building</v>
      </c>
      <c r="C12885" s="2"/>
      <c r="D12885" s="2" t="str">
        <f ca="1">IFERROR(__xludf.DUMMYFUNCTION("""COMPUTED_VALUE"""),"Sharjah&gt;Al Nabba&gt;Family Building")</f>
        <v>Sharjah&gt;Al Nabba&gt;Family Building</v>
      </c>
      <c r="E12885" s="2"/>
      <c r="F12885" s="2"/>
      <c r="G12885" s="2"/>
      <c r="H12885" s="2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2"/>
      <c r="T12885" s="2"/>
      <c r="U12885" s="2"/>
      <c r="V12885" s="2"/>
      <c r="W12885" s="2"/>
      <c r="X12885" s="2"/>
      <c r="Y12885" s="2"/>
      <c r="Z12885" s="2"/>
    </row>
    <row r="12886" spans="1:26" ht="16.5" x14ac:dyDescent="0.35">
      <c r="A12886" s="2" t="str">
        <f ca="1">IFERROR(__xludf.DUMMYFUNCTION("""COMPUTED_VALUE"""),"Sharjah")</f>
        <v>Sharjah</v>
      </c>
      <c r="B12886" s="2" t="str">
        <f ca="1">IFERROR(__xludf.DUMMYFUNCTION("""COMPUTED_VALUE"""),"Senyar Building")</f>
        <v>Senyar Building</v>
      </c>
      <c r="C12886" s="2"/>
      <c r="D12886" s="2" t="str">
        <f ca="1">IFERROR(__xludf.DUMMYFUNCTION("""COMPUTED_VALUE"""),"Sharjah&gt;Al Nabba&gt;Senyar Building")</f>
        <v>Sharjah&gt;Al Nabba&gt;Senyar Building</v>
      </c>
      <c r="E12886" s="2"/>
      <c r="F12886" s="2"/>
      <c r="G12886" s="2"/>
      <c r="H12886" s="2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2"/>
      <c r="T12886" s="2"/>
      <c r="U12886" s="2"/>
      <c r="V12886" s="2"/>
      <c r="W12886" s="2"/>
      <c r="X12886" s="2"/>
      <c r="Y12886" s="2"/>
      <c r="Z12886" s="2"/>
    </row>
    <row r="12887" spans="1:26" ht="16.5" x14ac:dyDescent="0.35">
      <c r="A12887" s="2" t="str">
        <f ca="1">IFERROR(__xludf.DUMMYFUNCTION("""COMPUTED_VALUE"""),"Sharjah")</f>
        <v>Sharjah</v>
      </c>
      <c r="B12887" s="2" t="str">
        <f ca="1">IFERROR(__xludf.DUMMYFUNCTION("""COMPUTED_VALUE"""),"Al Jazairi Baradat Building")</f>
        <v>Al Jazairi Baradat Building</v>
      </c>
      <c r="C12887" s="2" t="str">
        <f ca="1">IFERROR(__xludf.DUMMYFUNCTION("""COMPUTED_VALUE"""),"Building")</f>
        <v>Building</v>
      </c>
      <c r="D12887" s="2" t="str">
        <f ca="1">IFERROR(__xludf.DUMMYFUNCTION("""COMPUTED_VALUE"""),"Sharjah&gt;Industrial Area&gt;Industrial Area 1&gt;Al Jazairi Baradat Building")</f>
        <v>Sharjah&gt;Industrial Area&gt;Industrial Area 1&gt;Al Jazairi Baradat Building</v>
      </c>
      <c r="E12887" s="2"/>
      <c r="F12887" s="2"/>
      <c r="G12887" s="2"/>
      <c r="H12887" s="2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2"/>
      <c r="T12887" s="2"/>
      <c r="U12887" s="2"/>
      <c r="V12887" s="2"/>
      <c r="W12887" s="2"/>
      <c r="X12887" s="2"/>
      <c r="Y12887" s="2"/>
      <c r="Z12887" s="2"/>
    </row>
    <row r="12888" spans="1:26" ht="16.5" x14ac:dyDescent="0.35">
      <c r="A12888" s="2" t="str">
        <f ca="1">IFERROR(__xludf.DUMMYFUNCTION("""COMPUTED_VALUE"""),"Sharjah")</f>
        <v>Sharjah</v>
      </c>
      <c r="B12888" s="2" t="str">
        <f ca="1">IFERROR(__xludf.DUMMYFUNCTION("""COMPUTED_VALUE"""),"SW 3")</f>
        <v>SW 3</v>
      </c>
      <c r="C12888" s="2" t="str">
        <f ca="1">IFERROR(__xludf.DUMMYFUNCTION("""COMPUTED_VALUE"""),"Building")</f>
        <v>Building</v>
      </c>
      <c r="D12888" s="2" t="str">
        <f ca="1">IFERROR(__xludf.DUMMYFUNCTION("""COMPUTED_VALUE"""),"Sharjah&gt;Muwaileh&gt;Al Mamsha&gt;Souks Residential&gt;SW 3")</f>
        <v>Sharjah&gt;Muwaileh&gt;Al Mamsha&gt;Souks Residential&gt;SW 3</v>
      </c>
      <c r="E12888" s="2"/>
      <c r="F12888" s="2"/>
      <c r="G12888" s="2"/>
      <c r="H12888" s="2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2"/>
      <c r="T12888" s="2"/>
      <c r="U12888" s="2"/>
      <c r="V12888" s="2"/>
      <c r="W12888" s="2"/>
      <c r="X12888" s="2"/>
      <c r="Y12888" s="2"/>
      <c r="Z12888" s="2"/>
    </row>
    <row r="12889" spans="1:26" ht="16.5" x14ac:dyDescent="0.35">
      <c r="A12889" s="2" t="str">
        <f ca="1">IFERROR(__xludf.DUMMYFUNCTION("""COMPUTED_VALUE"""),"Sharjah")</f>
        <v>Sharjah</v>
      </c>
      <c r="B12889" s="2" t="str">
        <f ca="1">IFERROR(__xludf.DUMMYFUNCTION("""COMPUTED_VALUE"""),"Suroor 3")</f>
        <v>Suroor 3</v>
      </c>
      <c r="C12889" s="2" t="str">
        <f ca="1">IFERROR(__xludf.DUMMYFUNCTION("""COMPUTED_VALUE"""),"Building")</f>
        <v>Building</v>
      </c>
      <c r="D12889" s="2" t="str">
        <f ca="1">IFERROR(__xludf.DUMMYFUNCTION("""COMPUTED_VALUE"""),"Sharjah&gt;Muwaileh&gt;Al Mamsha&gt;Suroor&gt;Suroor 3")</f>
        <v>Sharjah&gt;Muwaileh&gt;Al Mamsha&gt;Suroor&gt;Suroor 3</v>
      </c>
      <c r="E12889" s="2"/>
      <c r="F12889" s="2"/>
      <c r="G12889" s="2"/>
      <c r="H12889" s="2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2"/>
      <c r="T12889" s="2"/>
      <c r="U12889" s="2"/>
      <c r="V12889" s="2"/>
      <c r="W12889" s="2"/>
      <c r="X12889" s="2"/>
      <c r="Y12889" s="2"/>
      <c r="Z12889" s="2"/>
    </row>
    <row r="12890" spans="1:26" ht="16.5" x14ac:dyDescent="0.35">
      <c r="A12890" s="2" t="str">
        <f ca="1">IFERROR(__xludf.DUMMYFUNCTION("""COMPUTED_VALUE"""),"Sharjah")</f>
        <v>Sharjah</v>
      </c>
      <c r="B12890" s="2" t="str">
        <f ca="1">IFERROR(__xludf.DUMMYFUNCTION("""COMPUTED_VALUE"""),"Wesgreen International School")</f>
        <v>Wesgreen International School</v>
      </c>
      <c r="C12890" s="2" t="str">
        <f ca="1">IFERROR(__xludf.DUMMYFUNCTION("""COMPUTED_VALUE"""),"School")</f>
        <v>School</v>
      </c>
      <c r="D12890" s="2" t="str">
        <f ca="1">IFERROR(__xludf.DUMMYFUNCTION("""COMPUTED_VALUE"""),"Sharjah&gt;Muwaileh Commercial&gt;Wesgreen International School")</f>
        <v>Sharjah&gt;Muwaileh Commercial&gt;Wesgreen International School</v>
      </c>
      <c r="E12890" s="2"/>
      <c r="F12890" s="2"/>
      <c r="G12890" s="2"/>
      <c r="H12890" s="2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2"/>
      <c r="T12890" s="2"/>
      <c r="U12890" s="2"/>
      <c r="V12890" s="2"/>
      <c r="W12890" s="2"/>
      <c r="X12890" s="2"/>
      <c r="Y12890" s="2"/>
      <c r="Z12890" s="2"/>
    </row>
    <row r="12891" spans="1:26" ht="16.5" x14ac:dyDescent="0.35">
      <c r="A12891" s="2" t="str">
        <f ca="1">IFERROR(__xludf.DUMMYFUNCTION("""COMPUTED_VALUE"""),"Sharjah")</f>
        <v>Sharjah</v>
      </c>
      <c r="B12891" s="2" t="str">
        <f ca="1">IFERROR(__xludf.DUMMYFUNCTION("""COMPUTED_VALUE"""),"Muweileh Community")</f>
        <v>Muweileh Community</v>
      </c>
      <c r="C12891" s="2" t="str">
        <f ca="1">IFERROR(__xludf.DUMMYFUNCTION("""COMPUTED_VALUE"""),"Cluster")</f>
        <v>Cluster</v>
      </c>
      <c r="D12891" s="2" t="str">
        <f ca="1">IFERROR(__xludf.DUMMYFUNCTION("""COMPUTED_VALUE"""),"Sharjah&gt;Muwaileh Commercial&gt;Muweileh Community")</f>
        <v>Sharjah&gt;Muwaileh Commercial&gt;Muweileh Community</v>
      </c>
      <c r="E12891" s="2"/>
      <c r="F12891" s="2"/>
      <c r="G12891" s="2"/>
      <c r="H12891" s="2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2"/>
      <c r="T12891" s="2"/>
      <c r="U12891" s="2"/>
      <c r="V12891" s="2"/>
      <c r="W12891" s="2"/>
      <c r="X12891" s="2"/>
      <c r="Y12891" s="2"/>
      <c r="Z12891" s="2"/>
    </row>
    <row r="12892" spans="1:26" ht="16.5" x14ac:dyDescent="0.35">
      <c r="A12892" s="2" t="str">
        <f ca="1">IFERROR(__xludf.DUMMYFUNCTION("""COMPUTED_VALUE"""),"Sharjah")</f>
        <v>Sharjah</v>
      </c>
      <c r="B12892" s="2" t="str">
        <f ca="1">IFERROR(__xludf.DUMMYFUNCTION("""COMPUTED_VALUE"""),"Olfah 4")</f>
        <v>Olfah 4</v>
      </c>
      <c r="C12892" s="2" t="str">
        <f ca="1">IFERROR(__xludf.DUMMYFUNCTION("""COMPUTED_VALUE"""),"Building")</f>
        <v>Building</v>
      </c>
      <c r="D12892" s="2" t="str">
        <f ca="1">IFERROR(__xludf.DUMMYFUNCTION("""COMPUTED_VALUE"""),"Sharjah&gt;Muwaileh Commercial&gt;Olfah&gt;Olfah 4")</f>
        <v>Sharjah&gt;Muwaileh Commercial&gt;Olfah&gt;Olfah 4</v>
      </c>
      <c r="E12892" s="2"/>
      <c r="F12892" s="2"/>
      <c r="G12892" s="2"/>
      <c r="H12892" s="2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2"/>
      <c r="T12892" s="2"/>
      <c r="U12892" s="2"/>
      <c r="V12892" s="2"/>
      <c r="W12892" s="2"/>
      <c r="X12892" s="2"/>
      <c r="Y12892" s="2"/>
      <c r="Z12892" s="2"/>
    </row>
    <row r="12893" spans="1:26" ht="16.5" x14ac:dyDescent="0.35">
      <c r="A12893" s="2" t="str">
        <f ca="1">IFERROR(__xludf.DUMMYFUNCTION("""COMPUTED_VALUE"""),"Sharjah")</f>
        <v>Sharjah</v>
      </c>
      <c r="B12893" s="2" t="str">
        <f ca="1">IFERROR(__xludf.DUMMYFUNCTION("""COMPUTED_VALUE"""),"Building 2246")</f>
        <v>Building 2246</v>
      </c>
      <c r="C12893" s="2" t="str">
        <f ca="1">IFERROR(__xludf.DUMMYFUNCTION("""COMPUTED_VALUE"""),"Building")</f>
        <v>Building</v>
      </c>
      <c r="D12893" s="2" t="str">
        <f ca="1">IFERROR(__xludf.DUMMYFUNCTION("""COMPUTED_VALUE"""),"Sharjah&gt;Muwaileh Commercial&gt;Building 2246")</f>
        <v>Sharjah&gt;Muwaileh Commercial&gt;Building 2246</v>
      </c>
      <c r="E12893" s="2"/>
      <c r="F12893" s="2"/>
      <c r="G12893" s="2"/>
      <c r="H12893" s="2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2"/>
      <c r="T12893" s="2"/>
      <c r="U12893" s="2"/>
      <c r="V12893" s="2"/>
      <c r="W12893" s="2"/>
      <c r="X12893" s="2"/>
      <c r="Y12893" s="2"/>
      <c r="Z12893" s="2"/>
    </row>
    <row r="12894" spans="1:26" ht="16.5" x14ac:dyDescent="0.35">
      <c r="A12894" s="2" t="str">
        <f ca="1">IFERROR(__xludf.DUMMYFUNCTION("""COMPUTED_VALUE"""),"Al Ain")</f>
        <v>Al Ain</v>
      </c>
      <c r="B12894" s="2" t="str">
        <f ca="1">IFERROR(__xludf.DUMMYFUNCTION("""COMPUTED_VALUE"""),"Central District")</f>
        <v>Central District</v>
      </c>
      <c r="C12894" s="2" t="str">
        <f ca="1">IFERROR(__xludf.DUMMYFUNCTION("""COMPUTED_VALUE"""),"Neighbourhood")</f>
        <v>Neighbourhood</v>
      </c>
      <c r="D12894" s="2" t="str">
        <f ca="1">IFERROR(__xludf.DUMMYFUNCTION("""COMPUTED_VALUE"""),"Al Ain&gt;Central District")</f>
        <v>Al Ain&gt;Central District</v>
      </c>
      <c r="E12894" s="2"/>
      <c r="F12894" s="2"/>
      <c r="G12894" s="2"/>
      <c r="H12894" s="2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2"/>
      <c r="T12894" s="2"/>
      <c r="U12894" s="2"/>
      <c r="V12894" s="2"/>
      <c r="W12894" s="2"/>
      <c r="X12894" s="2"/>
      <c r="Y12894" s="2"/>
      <c r="Z12894" s="2"/>
    </row>
    <row r="12895" spans="1:26" ht="16.5" x14ac:dyDescent="0.35">
      <c r="A12895" s="2" t="str">
        <f ca="1">IFERROR(__xludf.DUMMYFUNCTION("""COMPUTED_VALUE"""),"Al Ain")</f>
        <v>Al Ain</v>
      </c>
      <c r="B12895" s="2" t="str">
        <f ca="1">IFERROR(__xludf.DUMMYFUNCTION("""COMPUTED_VALUE"""),"Slemi")</f>
        <v>Slemi</v>
      </c>
      <c r="C12895" s="2" t="str">
        <f ca="1">IFERROR(__xludf.DUMMYFUNCTION("""COMPUTED_VALUE"""),"Neighbourhood")</f>
        <v>Neighbourhood</v>
      </c>
      <c r="D12895" s="2" t="str">
        <f ca="1">IFERROR(__xludf.DUMMYFUNCTION("""COMPUTED_VALUE"""),"Al Ain&gt;Al Jimi&gt;Slemi")</f>
        <v>Al Ain&gt;Al Jimi&gt;Slemi</v>
      </c>
      <c r="E12895" s="2"/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  <c r="V12895" s="2"/>
      <c r="W12895" s="2"/>
      <c r="X12895" s="2"/>
      <c r="Y12895" s="2"/>
      <c r="Z12895" s="2"/>
    </row>
    <row r="12896" spans="1:26" ht="16.5" x14ac:dyDescent="0.35">
      <c r="A12896" s="2" t="str">
        <f ca="1">IFERROR(__xludf.DUMMYFUNCTION("""COMPUTED_VALUE"""),"Al Ain")</f>
        <v>Al Ain</v>
      </c>
      <c r="B12896" s="2" t="str">
        <f ca="1">IFERROR(__xludf.DUMMYFUNCTION("""COMPUTED_VALUE"""),"Hili")</f>
        <v>Hili</v>
      </c>
      <c r="C12896" s="2" t="str">
        <f ca="1">IFERROR(__xludf.DUMMYFUNCTION("""COMPUTED_VALUE"""),"Neighbourhood")</f>
        <v>Neighbourhood</v>
      </c>
      <c r="D12896" s="2" t="str">
        <f ca="1">IFERROR(__xludf.DUMMYFUNCTION("""COMPUTED_VALUE"""),"Al Ain&gt;Hili")</f>
        <v>Al Ain&gt;Hili</v>
      </c>
      <c r="E12896" s="2"/>
      <c r="F12896" s="2"/>
      <c r="G12896" s="2"/>
      <c r="H12896" s="2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2"/>
      <c r="T12896" s="2"/>
      <c r="U12896" s="2"/>
      <c r="V12896" s="2"/>
      <c r="W12896" s="2"/>
      <c r="X12896" s="2"/>
      <c r="Y12896" s="2"/>
      <c r="Z12896" s="2"/>
    </row>
    <row r="12897" spans="1:26" ht="16.5" x14ac:dyDescent="0.35">
      <c r="A12897" s="2" t="str">
        <f ca="1">IFERROR(__xludf.DUMMYFUNCTION("""COMPUTED_VALUE"""),"Al Ain")</f>
        <v>Al Ain</v>
      </c>
      <c r="B12897" s="2" t="str">
        <f ca="1">IFERROR(__xludf.DUMMYFUNCTION("""COMPUTED_VALUE"""),"Jafeer Obaid")</f>
        <v>Jafeer Obaid</v>
      </c>
      <c r="C12897" s="2" t="str">
        <f ca="1">IFERROR(__xludf.DUMMYFUNCTION("""COMPUTED_VALUE"""),"Neighbourhood")</f>
        <v>Neighbourhood</v>
      </c>
      <c r="D12897" s="2" t="str">
        <f ca="1">IFERROR(__xludf.DUMMYFUNCTION("""COMPUTED_VALUE"""),"Al Ain&gt;Al Tiwayya&gt;Jafeer Obaid")</f>
        <v>Al Ain&gt;Al Tiwayya&gt;Jafeer Obaid</v>
      </c>
      <c r="E12897" s="2"/>
      <c r="F12897" s="2"/>
      <c r="G12897" s="2"/>
      <c r="H12897" s="2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2"/>
      <c r="T12897" s="2"/>
      <c r="U12897" s="2"/>
      <c r="V12897" s="2"/>
      <c r="W12897" s="2"/>
      <c r="X12897" s="2"/>
      <c r="Y12897" s="2"/>
      <c r="Z12897" s="2"/>
    </row>
    <row r="12898" spans="1:26" ht="16.5" x14ac:dyDescent="0.35">
      <c r="A12898" s="2" t="str">
        <f ca="1">IFERROR(__xludf.DUMMYFUNCTION("""COMPUTED_VALUE"""),"Al Ain")</f>
        <v>Al Ain</v>
      </c>
      <c r="B12898" s="2" t="str">
        <f ca="1">IFERROR(__xludf.DUMMYFUNCTION("""COMPUTED_VALUE"""),"Al Masagi")</f>
        <v>Al Masagi</v>
      </c>
      <c r="C12898" s="2" t="str">
        <f ca="1">IFERROR(__xludf.DUMMYFUNCTION("""COMPUTED_VALUE"""),"Neighbourhood")</f>
        <v>Neighbourhood</v>
      </c>
      <c r="D12898" s="2" t="str">
        <f ca="1">IFERROR(__xludf.DUMMYFUNCTION("""COMPUTED_VALUE"""),"Al Ain&gt;Al Jahili&gt;Al Masagi")</f>
        <v>Al Ain&gt;Al Jahili&gt;Al Masagi</v>
      </c>
      <c r="E12898" s="2"/>
      <c r="F12898" s="2"/>
      <c r="G12898" s="2"/>
      <c r="H12898" s="2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2"/>
      <c r="T12898" s="2"/>
      <c r="U12898" s="2"/>
      <c r="V12898" s="2"/>
      <c r="W12898" s="2"/>
      <c r="X12898" s="2"/>
      <c r="Y12898" s="2"/>
      <c r="Z12898" s="2"/>
    </row>
    <row r="12899" spans="1:26" ht="16.5" x14ac:dyDescent="0.35">
      <c r="A12899" s="2" t="str">
        <f ca="1">IFERROR(__xludf.DUMMYFUNCTION("""COMPUTED_VALUE"""),"Al Ain")</f>
        <v>Al Ain</v>
      </c>
      <c r="B12899" s="2" t="str">
        <f ca="1">IFERROR(__xludf.DUMMYFUNCTION("""COMPUTED_VALUE"""),"Al Shiwayb")</f>
        <v>Al Shiwayb</v>
      </c>
      <c r="C12899" s="2" t="str">
        <f ca="1">IFERROR(__xludf.DUMMYFUNCTION("""COMPUTED_VALUE"""),"Neighbourhood")</f>
        <v>Neighbourhood</v>
      </c>
      <c r="D12899" s="2" t="str">
        <f ca="1">IFERROR(__xludf.DUMMYFUNCTION("""COMPUTED_VALUE"""),"Al Ain&gt;Al Shiwayb")</f>
        <v>Al Ain&gt;Al Shiwayb</v>
      </c>
      <c r="E12899" s="2"/>
      <c r="F12899" s="2"/>
      <c r="G12899" s="2"/>
      <c r="H12899" s="2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2"/>
      <c r="T12899" s="2"/>
      <c r="U12899" s="2"/>
      <c r="V12899" s="2"/>
      <c r="W12899" s="2"/>
      <c r="X12899" s="2"/>
      <c r="Y12899" s="2"/>
      <c r="Z12899" s="2"/>
    </row>
    <row r="12900" spans="1:26" ht="16.5" x14ac:dyDescent="0.35">
      <c r="A12900" s="2" t="str">
        <f ca="1">IFERROR(__xludf.DUMMYFUNCTION("""COMPUTED_VALUE"""),"Ras Al Khaimah")</f>
        <v>Ras Al Khaimah</v>
      </c>
      <c r="B12900" s="2" t="str">
        <f ca="1">IFERROR(__xludf.DUMMYFUNCTION("""COMPUTED_VALUE"""),"Northbay Residences")</f>
        <v>Northbay Residences</v>
      </c>
      <c r="C12900" s="2"/>
      <c r="D12900" s="2" t="str">
        <f ca="1">IFERROR(__xludf.DUMMYFUNCTION("""COMPUTED_VALUE"""),"Ras Al Khaimah&gt;Mina Al Arab&gt;Northbay Residences")</f>
        <v>Ras Al Khaimah&gt;Mina Al Arab&gt;Northbay Residences</v>
      </c>
      <c r="E12900" s="2"/>
      <c r="F12900" s="2"/>
      <c r="G12900" s="2"/>
      <c r="H12900" s="2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2"/>
      <c r="T12900" s="2"/>
      <c r="U12900" s="2"/>
      <c r="V12900" s="2"/>
      <c r="W12900" s="2"/>
      <c r="X12900" s="2"/>
      <c r="Y12900" s="2"/>
      <c r="Z12900" s="2"/>
    </row>
    <row r="12901" spans="1:26" ht="16.5" x14ac:dyDescent="0.35">
      <c r="A12901" s="2" t="str">
        <f ca="1">IFERROR(__xludf.DUMMYFUNCTION("""COMPUTED_VALUE"""),"Ras Al Khaimah")</f>
        <v>Ras Al Khaimah</v>
      </c>
      <c r="B12901" s="2" t="str">
        <f ca="1">IFERROR(__xludf.DUMMYFUNCTION("""COMPUTED_VALUE"""),"Marjan Island Resort &amp; Spa")</f>
        <v>Marjan Island Resort &amp; Spa</v>
      </c>
      <c r="C12901" s="2" t="str">
        <f ca="1">IFERROR(__xludf.DUMMYFUNCTION("""COMPUTED_VALUE"""),"Building")</f>
        <v>Building</v>
      </c>
      <c r="D12901" s="2" t="str">
        <f ca="1">IFERROR(__xludf.DUMMYFUNCTION("""COMPUTED_VALUE"""),"Ras Al Khaimah&gt;Al Marjan Island&gt;Marjan Island Resort &amp; Spa")</f>
        <v>Ras Al Khaimah&gt;Al Marjan Island&gt;Marjan Island Resort &amp; Spa</v>
      </c>
      <c r="E12901" s="2"/>
      <c r="F12901" s="2"/>
      <c r="G12901" s="2"/>
      <c r="H12901" s="2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2"/>
      <c r="T12901" s="2"/>
      <c r="U12901" s="2"/>
      <c r="V12901" s="2"/>
      <c r="W12901" s="2"/>
      <c r="X12901" s="2"/>
      <c r="Y12901" s="2"/>
      <c r="Z12901" s="2"/>
    </row>
    <row r="12902" spans="1:26" ht="16.5" x14ac:dyDescent="0.35">
      <c r="A12902" s="2" t="str">
        <f ca="1">IFERROR(__xludf.DUMMYFUNCTION("""COMPUTED_VALUE"""),"Ras Al Khaimah")</f>
        <v>Ras Al Khaimah</v>
      </c>
      <c r="B12902" s="2" t="str">
        <f ca="1">IFERROR(__xludf.DUMMYFUNCTION("""COMPUTED_VALUE"""),"The Astera")</f>
        <v>The Astera</v>
      </c>
      <c r="C12902" s="2" t="str">
        <f ca="1">IFERROR(__xludf.DUMMYFUNCTION("""COMPUTED_VALUE"""),"Building")</f>
        <v>Building</v>
      </c>
      <c r="D12902" s="2" t="str">
        <f ca="1">IFERROR(__xludf.DUMMYFUNCTION("""COMPUTED_VALUE"""),"Ras Al Khaimah&gt;Al Marjan Island&gt;The Astera")</f>
        <v>Ras Al Khaimah&gt;Al Marjan Island&gt;The Astera</v>
      </c>
      <c r="E12902" s="2"/>
      <c r="F12902" s="2"/>
      <c r="G12902" s="2"/>
      <c r="H12902" s="2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2"/>
      <c r="T12902" s="2"/>
      <c r="U12902" s="2"/>
      <c r="V12902" s="2"/>
      <c r="W12902" s="2"/>
      <c r="X12902" s="2"/>
      <c r="Y12902" s="2"/>
      <c r="Z12902" s="2"/>
    </row>
    <row r="12903" spans="1:26" ht="16.5" x14ac:dyDescent="0.35">
      <c r="A12903" s="2" t="str">
        <f ca="1">IFERROR(__xludf.DUMMYFUNCTION("""COMPUTED_VALUE"""),"Ras Al Khaimah")</f>
        <v>Ras Al Khaimah</v>
      </c>
      <c r="B12903" s="2" t="str">
        <f ca="1">IFERROR(__xludf.DUMMYFUNCTION("""COMPUTED_VALUE"""),"Acacia by BNW Developments")</f>
        <v>Acacia by BNW Developments</v>
      </c>
      <c r="C12903" s="2" t="str">
        <f ca="1">IFERROR(__xludf.DUMMYFUNCTION("""COMPUTED_VALUE"""),"Building")</f>
        <v>Building</v>
      </c>
      <c r="D12903" s="2" t="str">
        <f ca="1">IFERROR(__xludf.DUMMYFUNCTION("""COMPUTED_VALUE"""),"Ras Al Khaimah&gt;Al Marjan Island&gt;Acacia by BNW Developments")</f>
        <v>Ras Al Khaimah&gt;Al Marjan Island&gt;Acacia by BNW Developments</v>
      </c>
      <c r="E12903" s="2"/>
      <c r="F12903" s="2"/>
      <c r="G12903" s="2"/>
      <c r="H12903" s="2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2"/>
      <c r="T12903" s="2"/>
      <c r="U12903" s="2"/>
      <c r="V12903" s="2"/>
      <c r="W12903" s="2"/>
      <c r="X12903" s="2"/>
      <c r="Y12903" s="2"/>
      <c r="Z12903" s="2"/>
    </row>
    <row r="12904" spans="1:26" ht="16.5" x14ac:dyDescent="0.35">
      <c r="A12904" s="2" t="str">
        <f ca="1">IFERROR(__xludf.DUMMYFUNCTION("""COMPUTED_VALUE"""),"Ras Al Khaimah")</f>
        <v>Ras Al Khaimah</v>
      </c>
      <c r="B12904" s="2" t="str">
        <f ca="1">IFERROR(__xludf.DUMMYFUNCTION("""COMPUTED_VALUE"""),"Al Hamra Village Semi Detached Duplexes")</f>
        <v>Al Hamra Village Semi Detached Duplexes</v>
      </c>
      <c r="C12904" s="2" t="str">
        <f ca="1">IFERROR(__xludf.DUMMYFUNCTION("""COMPUTED_VALUE"""),"Building")</f>
        <v>Building</v>
      </c>
      <c r="D12904" s="2" t="str">
        <f ca="1">IFERROR(__xludf.DUMMYFUNCTION("""COMPUTED_VALUE"""),"Ras Al Khaimah&gt;Al Hamra Village&gt;Al Hamra Village Semi Detached Duplexes")</f>
        <v>Ras Al Khaimah&gt;Al Hamra Village&gt;Al Hamra Village Semi Detached Duplexes</v>
      </c>
      <c r="E12904" s="2"/>
      <c r="F12904" s="2"/>
      <c r="G12904" s="2"/>
      <c r="H12904" s="2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2"/>
      <c r="T12904" s="2"/>
      <c r="U12904" s="2"/>
      <c r="V12904" s="2"/>
      <c r="W12904" s="2"/>
      <c r="X12904" s="2"/>
      <c r="Y12904" s="2"/>
      <c r="Z12904" s="2"/>
    </row>
    <row r="12905" spans="1:26" ht="16.5" x14ac:dyDescent="0.35">
      <c r="A12905" s="2" t="str">
        <f ca="1">IFERROR(__xludf.DUMMYFUNCTION("""COMPUTED_VALUE"""),"Ras Al Khaimah")</f>
        <v>Ras Al Khaimah</v>
      </c>
      <c r="B12905" s="2" t="str">
        <f ca="1">IFERROR(__xludf.DUMMYFUNCTION("""COMPUTED_VALUE"""),"Yasmin Village Building 10")</f>
        <v>Yasmin Village Building 10</v>
      </c>
      <c r="C12905" s="2" t="str">
        <f ca="1">IFERROR(__xludf.DUMMYFUNCTION("""COMPUTED_VALUE"""),"Building")</f>
        <v>Building</v>
      </c>
      <c r="D12905" s="2" t="str">
        <f ca="1">IFERROR(__xludf.DUMMYFUNCTION("""COMPUTED_VALUE"""),"Ras Al Khaimah&gt;Yasmin Village&gt;Yasmin Village Building 10")</f>
        <v>Ras Al Khaimah&gt;Yasmin Village&gt;Yasmin Village Building 10</v>
      </c>
      <c r="E12905" s="2"/>
      <c r="F12905" s="2"/>
      <c r="G12905" s="2"/>
      <c r="H12905" s="2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2"/>
      <c r="T12905" s="2"/>
      <c r="U12905" s="2"/>
      <c r="V12905" s="2"/>
      <c r="W12905" s="2"/>
      <c r="X12905" s="2"/>
      <c r="Y12905" s="2"/>
      <c r="Z12905" s="2"/>
    </row>
    <row r="12906" spans="1:26" ht="16.5" x14ac:dyDescent="0.35">
      <c r="A12906" s="2" t="str">
        <f ca="1">IFERROR(__xludf.DUMMYFUNCTION("""COMPUTED_VALUE"""),"Ras Al Khaimah")</f>
        <v>Ras Al Khaimah</v>
      </c>
      <c r="B12906" s="2" t="str">
        <f ca="1">IFERROR(__xludf.DUMMYFUNCTION("""COMPUTED_VALUE"""),"Shamal Julphar")</f>
        <v>Shamal Julphar</v>
      </c>
      <c r="C12906" s="2" t="str">
        <f ca="1">IFERROR(__xludf.DUMMYFUNCTION("""COMPUTED_VALUE"""),"Neighbourhood")</f>
        <v>Neighbourhood</v>
      </c>
      <c r="D12906" s="2" t="str">
        <f ca="1">IFERROR(__xludf.DUMMYFUNCTION("""COMPUTED_VALUE"""),"Ras Al Khaimah&gt;Shamal Julphar")</f>
        <v>Ras Al Khaimah&gt;Shamal Julphar</v>
      </c>
      <c r="E12906" s="2"/>
      <c r="F12906" s="2"/>
      <c r="G12906" s="2"/>
      <c r="H12906" s="2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2"/>
      <c r="T12906" s="2"/>
      <c r="U12906" s="2"/>
      <c r="V12906" s="2"/>
      <c r="W12906" s="2"/>
      <c r="X12906" s="2"/>
      <c r="Y12906" s="2"/>
      <c r="Z12906" s="2"/>
    </row>
    <row r="12907" spans="1:26" ht="16.5" x14ac:dyDescent="0.35">
      <c r="A12907" s="2" t="str">
        <f ca="1">IFERROR(__xludf.DUMMYFUNCTION("""COMPUTED_VALUE"""),"Ras Al Khaimah")</f>
        <v>Ras Al Khaimah</v>
      </c>
      <c r="B12907" s="2" t="str">
        <f ca="1">IFERROR(__xludf.DUMMYFUNCTION("""COMPUTED_VALUE"""),"Al Hail")</f>
        <v>Al Hail</v>
      </c>
      <c r="C12907" s="2" t="str">
        <f ca="1">IFERROR(__xludf.DUMMYFUNCTION("""COMPUTED_VALUE"""),"Neighbourhood")</f>
        <v>Neighbourhood</v>
      </c>
      <c r="D12907" s="2" t="str">
        <f ca="1">IFERROR(__xludf.DUMMYFUNCTION("""COMPUTED_VALUE"""),"Ras Al Khaimah&gt;Al Hail")</f>
        <v>Ras Al Khaimah&gt;Al Hail</v>
      </c>
      <c r="E12907" s="2"/>
      <c r="F12907" s="2"/>
      <c r="G12907" s="2"/>
      <c r="H12907" s="2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2"/>
      <c r="T12907" s="2"/>
      <c r="U12907" s="2"/>
      <c r="V12907" s="2"/>
      <c r="W12907" s="2"/>
      <c r="X12907" s="2"/>
      <c r="Y12907" s="2"/>
      <c r="Z12907" s="2"/>
    </row>
    <row r="12908" spans="1:26" ht="16.5" x14ac:dyDescent="0.35">
      <c r="A12908" s="2" t="str">
        <f ca="1">IFERROR(__xludf.DUMMYFUNCTION("""COMPUTED_VALUE"""),"Ras Al Khaimah")</f>
        <v>Ras Al Khaimah</v>
      </c>
      <c r="B12908" s="2" t="str">
        <f ca="1">IFERROR(__xludf.DUMMYFUNCTION("""COMPUTED_VALUE"""),"Al Dhalla Building")</f>
        <v>Al Dhalla Building</v>
      </c>
      <c r="C12908" s="2" t="str">
        <f ca="1">IFERROR(__xludf.DUMMYFUNCTION("""COMPUTED_VALUE"""),"Building")</f>
        <v>Building</v>
      </c>
      <c r="D12908" s="2" t="str">
        <f ca="1">IFERROR(__xludf.DUMMYFUNCTION("""COMPUTED_VALUE"""),"Ras Al Khaimah&gt;Sidroh&gt;Al Dhalla Building")</f>
        <v>Ras Al Khaimah&gt;Sidroh&gt;Al Dhalla Building</v>
      </c>
      <c r="E12908" s="2"/>
      <c r="F12908" s="2"/>
      <c r="G12908" s="2"/>
      <c r="H12908" s="2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2"/>
      <c r="T12908" s="2"/>
      <c r="U12908" s="2"/>
      <c r="V12908" s="2"/>
      <c r="W12908" s="2"/>
      <c r="X12908" s="2"/>
      <c r="Y12908" s="2"/>
      <c r="Z12908" s="2"/>
    </row>
    <row r="12909" spans="1:26" ht="16.5" x14ac:dyDescent="0.35">
      <c r="A12909" s="2" t="str">
        <f ca="1">IFERROR(__xludf.DUMMYFUNCTION("""COMPUTED_VALUE"""),"Umm Al Quwain")</f>
        <v>Umm Al Quwain</v>
      </c>
      <c r="B12909" s="2" t="str">
        <f ca="1">IFERROR(__xludf.DUMMYFUNCTION("""COMPUTED_VALUE"""),"Umm Al Quwain Marina")</f>
        <v>Umm Al Quwain Marina</v>
      </c>
      <c r="C12909" s="2" t="str">
        <f ca="1">IFERROR(__xludf.DUMMYFUNCTION("""COMPUTED_VALUE"""),"Neighbourhood")</f>
        <v>Neighbourhood</v>
      </c>
      <c r="D12909" s="2" t="str">
        <f ca="1">IFERROR(__xludf.DUMMYFUNCTION("""COMPUTED_VALUE"""),"Umm Al Quwain&gt;Umm Al Quwain Marina")</f>
        <v>Umm Al Quwain&gt;Umm Al Quwain Marina</v>
      </c>
      <c r="E12909" s="2"/>
      <c r="F12909" s="2"/>
      <c r="G12909" s="2"/>
      <c r="H12909" s="2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2"/>
      <c r="T12909" s="2"/>
      <c r="U12909" s="2"/>
      <c r="V12909" s="2"/>
      <c r="W12909" s="2"/>
      <c r="X12909" s="2"/>
      <c r="Y12909" s="2"/>
      <c r="Z12909" s="2"/>
    </row>
    <row r="12910" spans="1:26" ht="16.5" x14ac:dyDescent="0.35">
      <c r="A12910" s="2" t="str">
        <f ca="1">IFERROR(__xludf.DUMMYFUNCTION("""COMPUTED_VALUE"""),"Umm Al Quwain")</f>
        <v>Umm Al Quwain</v>
      </c>
      <c r="B12910" s="2" t="str">
        <f ca="1">IFERROR(__xludf.DUMMYFUNCTION("""COMPUTED_VALUE"""),"Al Serra")</f>
        <v>Al Serra</v>
      </c>
      <c r="C12910" s="2" t="str">
        <f ca="1">IFERROR(__xludf.DUMMYFUNCTION("""COMPUTED_VALUE"""),"Neighbourhood")</f>
        <v>Neighbourhood</v>
      </c>
      <c r="D12910" s="2" t="str">
        <f ca="1">IFERROR(__xludf.DUMMYFUNCTION("""COMPUTED_VALUE"""),"Umm Al Quwain&gt;Al Salam City&gt;Al Serra")</f>
        <v>Umm Al Quwain&gt;Al Salam City&gt;Al Serra</v>
      </c>
      <c r="E12910" s="2"/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  <c r="V12910" s="2"/>
      <c r="W12910" s="2"/>
      <c r="X12910" s="2"/>
      <c r="Y12910" s="2"/>
      <c r="Z12910" s="2"/>
    </row>
    <row r="12911" spans="1:26" ht="16.5" x14ac:dyDescent="0.35">
      <c r="A12911" s="2" t="str">
        <f ca="1">IFERROR(__xludf.DUMMYFUNCTION("""COMPUTED_VALUE"""),"Umm Al Quwain")</f>
        <v>Umm Al Quwain</v>
      </c>
      <c r="B12911" s="2" t="str">
        <f ca="1">IFERROR(__xludf.DUMMYFUNCTION("""COMPUTED_VALUE"""),"Aquamarine Beach Residences")</f>
        <v>Aquamarine Beach Residences</v>
      </c>
      <c r="C12911" s="2" t="str">
        <f ca="1">IFERROR(__xludf.DUMMYFUNCTION("""COMPUTED_VALUE"""),"Cluster")</f>
        <v>Cluster</v>
      </c>
      <c r="D12911" s="2" t="str">
        <f ca="1">IFERROR(__xludf.DUMMYFUNCTION("""COMPUTED_VALUE"""),"Umm Al Quwain&gt;Al Seanneeah&gt;Sobha Siniya Island&gt;Aquamarine Beach Residences")</f>
        <v>Umm Al Quwain&gt;Al Seanneeah&gt;Sobha Siniya Island&gt;Aquamarine Beach Residences</v>
      </c>
      <c r="E12911" s="2"/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2"/>
      <c r="T12911" s="2"/>
      <c r="U12911" s="2"/>
      <c r="V12911" s="2"/>
      <c r="W12911" s="2"/>
      <c r="X12911" s="2"/>
      <c r="Y12911" s="2"/>
      <c r="Z12911" s="2"/>
    </row>
    <row r="12912" spans="1:26" ht="16.5" x14ac:dyDescent="0.35">
      <c r="A12912" s="2" t="str">
        <f ca="1">IFERROR(__xludf.DUMMYFUNCTION("""COMPUTED_VALUE"""),"Umm Al Quwain")</f>
        <v>Umm Al Quwain</v>
      </c>
      <c r="B12912" s="2" t="str">
        <f ca="1">IFERROR(__xludf.DUMMYFUNCTION("""COMPUTED_VALUE"""),"Pristine Beach Residences")</f>
        <v>Pristine Beach Residences</v>
      </c>
      <c r="C12912" s="2" t="str">
        <f ca="1">IFERROR(__xludf.DUMMYFUNCTION("""COMPUTED_VALUE"""),"Cluster")</f>
        <v>Cluster</v>
      </c>
      <c r="D12912" s="2" t="str">
        <f ca="1">IFERROR(__xludf.DUMMYFUNCTION("""COMPUTED_VALUE"""),"Umm Al Quwain&gt;Al Seanneeah&gt;Sobha Siniya Island&gt;Pristine Beach Residences")</f>
        <v>Umm Al Quwain&gt;Al Seanneeah&gt;Sobha Siniya Island&gt;Pristine Beach Residences</v>
      </c>
      <c r="E12912" s="2"/>
      <c r="F12912" s="2"/>
      <c r="G12912" s="2"/>
      <c r="H12912" s="2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2"/>
      <c r="T12912" s="2"/>
      <c r="U12912" s="2"/>
      <c r="V12912" s="2"/>
      <c r="W12912" s="2"/>
      <c r="X12912" s="2"/>
      <c r="Y12912" s="2"/>
      <c r="Z12912" s="2"/>
    </row>
    <row r="12913" spans="1:26" ht="16.5" x14ac:dyDescent="0.35">
      <c r="A12913" s="2" t="str">
        <f ca="1">IFERROR(__xludf.DUMMYFUNCTION("""COMPUTED_VALUE"""),"Fujairah")</f>
        <v>Fujairah</v>
      </c>
      <c r="B12913" s="2" t="str">
        <f ca="1">IFERROR(__xludf.DUMMYFUNCTION("""COMPUTED_VALUE"""),"Anajaimat Road")</f>
        <v>Anajaimat Road</v>
      </c>
      <c r="C12913" s="2"/>
      <c r="D12913" s="2" t="str">
        <f ca="1">IFERROR(__xludf.DUMMYFUNCTION("""COMPUTED_VALUE"""),"Fujairah&gt;Anajaimat Road")</f>
        <v>Fujairah&gt;Anajaimat Road</v>
      </c>
      <c r="E12913" s="2"/>
      <c r="F12913" s="2"/>
      <c r="G12913" s="2"/>
      <c r="H12913" s="2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2"/>
      <c r="T12913" s="2"/>
      <c r="U12913" s="2"/>
      <c r="V12913" s="2"/>
      <c r="W12913" s="2"/>
      <c r="X12913" s="2"/>
      <c r="Y12913" s="2"/>
      <c r="Z12913" s="2"/>
    </row>
    <row r="12914" spans="1:26" ht="16.5" x14ac:dyDescent="0.35">
      <c r="A12914" s="2" t="str">
        <f ca="1">IFERROR(__xludf.DUMMYFUNCTION("""COMPUTED_VALUE"""),"Fujairah")</f>
        <v>Fujairah</v>
      </c>
      <c r="B12914" s="2" t="str">
        <f ca="1">IFERROR(__xludf.DUMMYFUNCTION("""COMPUTED_VALUE"""),"Saeed Khalfan Mohammed Bershood Building")</f>
        <v>Saeed Khalfan Mohammed Bershood Building</v>
      </c>
      <c r="C12914" s="2" t="str">
        <f ca="1">IFERROR(__xludf.DUMMYFUNCTION("""COMPUTED_VALUE"""),"Building")</f>
        <v>Building</v>
      </c>
      <c r="D12914" s="2" t="str">
        <f ca="1">IFERROR(__xludf.DUMMYFUNCTION("""COMPUTED_VALUE"""),"Fujairah&gt;Merashid Area&gt;Saeed Khalfan Mohammed Bershood Building")</f>
        <v>Fujairah&gt;Merashid Area&gt;Saeed Khalfan Mohammed Bershood Building</v>
      </c>
      <c r="E12914" s="2"/>
      <c r="F12914" s="2"/>
      <c r="G12914" s="2"/>
      <c r="H12914" s="2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2"/>
      <c r="T12914" s="2"/>
      <c r="U12914" s="2"/>
      <c r="V12914" s="2"/>
      <c r="W12914" s="2"/>
      <c r="X12914" s="2"/>
      <c r="Y12914" s="2"/>
      <c r="Z12914" s="2"/>
    </row>
    <row r="12915" spans="1:26" ht="16.5" x14ac:dyDescent="0.35">
      <c r="A12915" s="2" t="str">
        <f ca="1">IFERROR(__xludf.DUMMYFUNCTION("""COMPUTED_VALUE"""),"Unknown")</f>
        <v>Unknown</v>
      </c>
      <c r="B12915" s="2" t="str">
        <f ca="1">IFERROR(__xludf.DUMMYFUNCTION("""COMPUTED_VALUE"""),"Unknown")</f>
        <v>Unknown</v>
      </c>
      <c r="C12915" s="2" t="str">
        <f ca="1">IFERROR(__xludf.DUMMYFUNCTION("""COMPUTED_VALUE"""),"Unknown")</f>
        <v>Unknown</v>
      </c>
      <c r="D12915" s="2" t="str">
        <f ca="1">IFERROR(__xludf.DUMMYFUNCTION("""COMPUTED_VALUE"""),"Unknown")</f>
        <v>Unknown</v>
      </c>
      <c r="E12915" s="2"/>
      <c r="F12915" s="2"/>
      <c r="G12915" s="2"/>
      <c r="H12915" s="2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2"/>
      <c r="T12915" s="2"/>
      <c r="U12915" s="2"/>
      <c r="V12915" s="2"/>
      <c r="W12915" s="2"/>
      <c r="X12915" s="2"/>
      <c r="Y12915" s="2"/>
      <c r="Z12915" s="2"/>
    </row>
    <row r="12916" spans="1:26" ht="16.5" x14ac:dyDescent="0.35">
      <c r="A12916" s="2" t="str">
        <f ca="1">IFERROR(__xludf.DUMMYFUNCTION("""COMPUTED_VALUE"""),"Dubai")</f>
        <v>Dubai</v>
      </c>
      <c r="B12916" s="2" t="str">
        <f ca="1">IFERROR(__xludf.DUMMYFUNCTION("""COMPUTED_VALUE"""),"Mohammed Abdul Rahman Al Ashram Building Block B")</f>
        <v>Mohammed Abdul Rahman Al Ashram Building Block B</v>
      </c>
      <c r="C12916" s="2" t="str">
        <f ca="1">IFERROR(__xludf.DUMMYFUNCTION("""COMPUTED_VALUE"""),"Building")</f>
        <v>Building</v>
      </c>
      <c r="D12916" s="2" t="str">
        <f ca="1">IFERROR(__xludf.DUMMYFUNCTION("""COMPUTED_VALUE"""),"Dubai&gt;Al Garhoud&gt;Mohammed Abdul Rahman Al Ashram Building&gt;Mohammed Abdul Rahman Al Ashram Building Block B")</f>
        <v>Dubai&gt;Al Garhoud&gt;Mohammed Abdul Rahman Al Ashram Building&gt;Mohammed Abdul Rahman Al Ashram Building Block B</v>
      </c>
      <c r="E12916" s="2"/>
      <c r="F12916" s="2"/>
      <c r="G12916" s="2"/>
      <c r="H12916" s="2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2"/>
      <c r="T12916" s="2"/>
      <c r="U12916" s="2"/>
      <c r="V12916" s="2"/>
      <c r="W12916" s="2"/>
      <c r="X12916" s="2"/>
      <c r="Y12916" s="2"/>
      <c r="Z12916" s="2"/>
    </row>
    <row r="12917" spans="1:26" ht="16.5" x14ac:dyDescent="0.35">
      <c r="A12917" s="2" t="str">
        <f ca="1">IFERROR(__xludf.DUMMYFUNCTION("""COMPUTED_VALUE"""),"Dubai")</f>
        <v>Dubai</v>
      </c>
      <c r="B12917" s="2" t="str">
        <f ca="1">IFERROR(__xludf.DUMMYFUNCTION("""COMPUTED_VALUE"""),"Cluster 22")</f>
        <v>Cluster 22</v>
      </c>
      <c r="C12917" s="2" t="str">
        <f ca="1">IFERROR(__xludf.DUMMYFUNCTION("""COMPUTED_VALUE"""),"Neighbourhood")</f>
        <v>Neighbourhood</v>
      </c>
      <c r="D12917" s="2" t="str">
        <f ca="1">IFERROR(__xludf.DUMMYFUNCTION("""COMPUTED_VALUE"""),"Dubai&gt;Jumeirah Islands&gt;Cluster 22")</f>
        <v>Dubai&gt;Jumeirah Islands&gt;Cluster 22</v>
      </c>
      <c r="E12917" s="2"/>
      <c r="F12917" s="2"/>
      <c r="G12917" s="2"/>
      <c r="H12917" s="2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2"/>
      <c r="T12917" s="2"/>
      <c r="U12917" s="2"/>
      <c r="V12917" s="2"/>
      <c r="W12917" s="2"/>
      <c r="X12917" s="2"/>
      <c r="Y12917" s="2"/>
      <c r="Z12917" s="2"/>
    </row>
    <row r="12918" spans="1:26" ht="16.5" x14ac:dyDescent="0.35">
      <c r="A12918" s="2" t="str">
        <f ca="1">IFERROR(__xludf.DUMMYFUNCTION("""COMPUTED_VALUE"""),"Dubai")</f>
        <v>Dubai</v>
      </c>
      <c r="B12918" s="2" t="str">
        <f ca="1">IFERROR(__xludf.DUMMYFUNCTION("""COMPUTED_VALUE"""),"Oasis Cluster")</f>
        <v>Oasis Cluster</v>
      </c>
      <c r="C12918" s="2" t="str">
        <f ca="1">IFERROR(__xludf.DUMMYFUNCTION("""COMPUTED_VALUE"""),"Cluster")</f>
        <v>Cluster</v>
      </c>
      <c r="D12918" s="2" t="str">
        <f ca="1">IFERROR(__xludf.DUMMYFUNCTION("""COMPUTED_VALUE"""),"Dubai&gt;Jumeirah Islands&gt;Oasis Cluster")</f>
        <v>Dubai&gt;Jumeirah Islands&gt;Oasis Cluster</v>
      </c>
      <c r="E12918" s="2"/>
      <c r="F12918" s="2"/>
      <c r="G12918" s="2"/>
      <c r="H12918" s="2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2"/>
      <c r="T12918" s="2"/>
      <c r="U12918" s="2"/>
      <c r="V12918" s="2"/>
      <c r="W12918" s="2"/>
      <c r="X12918" s="2"/>
      <c r="Y12918" s="2"/>
      <c r="Z12918" s="2"/>
    </row>
    <row r="12919" spans="1:26" ht="16.5" x14ac:dyDescent="0.35">
      <c r="A12919" s="2" t="str">
        <f ca="1">IFERROR(__xludf.DUMMYFUNCTION("""COMPUTED_VALUE"""),"Dubai")</f>
        <v>Dubai</v>
      </c>
      <c r="B12919" s="2" t="str">
        <f ca="1">IFERROR(__xludf.DUMMYFUNCTION("""COMPUTED_VALUE"""),"Union Residence 1 Building A")</f>
        <v>Union Residence 1 Building A</v>
      </c>
      <c r="C12919" s="2" t="str">
        <f ca="1">IFERROR(__xludf.DUMMYFUNCTION("""COMPUTED_VALUE"""),"Building")</f>
        <v>Building</v>
      </c>
      <c r="D12919" s="2" t="str">
        <f ca="1">IFERROR(__xludf.DUMMYFUNCTION("""COMPUTED_VALUE"""),"Dubai&gt;Green Community&gt;Union Residence 1&gt;Union Residence 1 Building A")</f>
        <v>Dubai&gt;Green Community&gt;Union Residence 1&gt;Union Residence 1 Building A</v>
      </c>
      <c r="E12919" s="2"/>
      <c r="F12919" s="2"/>
      <c r="G12919" s="2"/>
      <c r="H12919" s="2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2"/>
      <c r="T12919" s="2"/>
      <c r="U12919" s="2"/>
      <c r="V12919" s="2"/>
      <c r="W12919" s="2"/>
      <c r="X12919" s="2"/>
      <c r="Y12919" s="2"/>
      <c r="Z12919" s="2"/>
    </row>
    <row r="12920" spans="1:26" ht="16.5" x14ac:dyDescent="0.35">
      <c r="A12920" s="2" t="str">
        <f ca="1">IFERROR(__xludf.DUMMYFUNCTION("""COMPUTED_VALUE"""),"Dubai")</f>
        <v>Dubai</v>
      </c>
      <c r="B12920" s="2" t="str">
        <f ca="1">IFERROR(__xludf.DUMMYFUNCTION("""COMPUTED_VALUE"""),"Northwest Apartments 3")</f>
        <v>Northwest Apartments 3</v>
      </c>
      <c r="C12920" s="2" t="str">
        <f ca="1">IFERROR(__xludf.DUMMYFUNCTION("""COMPUTED_VALUE"""),"Building")</f>
        <v>Building</v>
      </c>
      <c r="D12920" s="2" t="str">
        <f ca="1">IFERROR(__xludf.DUMMYFUNCTION("""COMPUTED_VALUE"""),"Dubai&gt;Green Community&gt;Green Community West&gt;Northwest Garden Apartments&gt;Northwest Apartments 3")</f>
        <v>Dubai&gt;Green Community&gt;Green Community West&gt;Northwest Garden Apartments&gt;Northwest Apartments 3</v>
      </c>
      <c r="E12920" s="2"/>
      <c r="F12920" s="2"/>
      <c r="G12920" s="2"/>
      <c r="H12920" s="2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2"/>
      <c r="T12920" s="2"/>
      <c r="U12920" s="2"/>
      <c r="V12920" s="2"/>
      <c r="W12920" s="2"/>
      <c r="X12920" s="2"/>
      <c r="Y12920" s="2"/>
      <c r="Z12920" s="2"/>
    </row>
    <row r="12921" spans="1:26" ht="16.5" x14ac:dyDescent="0.35">
      <c r="A12921" s="2" t="str">
        <f ca="1">IFERROR(__xludf.DUMMYFUNCTION("""COMPUTED_VALUE"""),"Dubai")</f>
        <v>Dubai</v>
      </c>
      <c r="B12921" s="2" t="str">
        <f ca="1">IFERROR(__xludf.DUMMYFUNCTION("""COMPUTED_VALUE"""),"Grand Horizon 1")</f>
        <v>Grand Horizon 1</v>
      </c>
      <c r="C12921" s="2" t="str">
        <f ca="1">IFERROR(__xludf.DUMMYFUNCTION("""COMPUTED_VALUE"""),"Building")</f>
        <v>Building</v>
      </c>
      <c r="D12921" s="2" t="str">
        <f ca="1">IFERROR(__xludf.DUMMYFUNCTION("""COMPUTED_VALUE"""),"Dubai&gt;Dubai Sports City&gt;Grand Horizon&gt;Grand Horizon 1")</f>
        <v>Dubai&gt;Dubai Sports City&gt;Grand Horizon&gt;Grand Horizon 1</v>
      </c>
      <c r="E12921" s="2"/>
      <c r="F12921" s="2"/>
      <c r="G12921" s="2"/>
      <c r="H12921" s="2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2"/>
      <c r="T12921" s="2"/>
      <c r="U12921" s="2"/>
      <c r="V12921" s="2"/>
      <c r="W12921" s="2"/>
      <c r="X12921" s="2"/>
      <c r="Y12921" s="2"/>
      <c r="Z12921" s="2"/>
    </row>
    <row r="12922" spans="1:26" ht="16.5" x14ac:dyDescent="0.35">
      <c r="A12922" s="2" t="str">
        <f ca="1">IFERROR(__xludf.DUMMYFUNCTION("""COMPUTED_VALUE"""),"Dubai")</f>
        <v>Dubai</v>
      </c>
      <c r="B12922" s="2" t="str">
        <f ca="1">IFERROR(__xludf.DUMMYFUNCTION("""COMPUTED_VALUE"""),"Hamza Tower")</f>
        <v>Hamza Tower</v>
      </c>
      <c r="C12922" s="2" t="str">
        <f ca="1">IFERROR(__xludf.DUMMYFUNCTION("""COMPUTED_VALUE"""),"Building")</f>
        <v>Building</v>
      </c>
      <c r="D12922" s="2" t="str">
        <f ca="1">IFERROR(__xludf.DUMMYFUNCTION("""COMPUTED_VALUE"""),"Dubai&gt;Dubai Sports City&gt;Hamza Tower")</f>
        <v>Dubai&gt;Dubai Sports City&gt;Hamza Tower</v>
      </c>
      <c r="E12922" s="2"/>
      <c r="F12922" s="2"/>
      <c r="G12922" s="2"/>
      <c r="H12922" s="2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2"/>
      <c r="T12922" s="2"/>
      <c r="U12922" s="2"/>
      <c r="V12922" s="2"/>
      <c r="W12922" s="2"/>
      <c r="X12922" s="2"/>
      <c r="Y12922" s="2"/>
      <c r="Z12922" s="2"/>
    </row>
    <row r="12923" spans="1:26" ht="16.5" x14ac:dyDescent="0.35">
      <c r="A12923" s="2" t="str">
        <f ca="1">IFERROR(__xludf.DUMMYFUNCTION("""COMPUTED_VALUE"""),"Dubai")</f>
        <v>Dubai</v>
      </c>
      <c r="B12923" s="2" t="str">
        <f ca="1">IFERROR(__xludf.DUMMYFUNCTION("""COMPUTED_VALUE"""),"The Community Sports Arena")</f>
        <v>The Community Sports Arena</v>
      </c>
      <c r="C12923" s="2" t="str">
        <f ca="1">IFERROR(__xludf.DUMMYFUNCTION("""COMPUTED_VALUE"""),"Building")</f>
        <v>Building</v>
      </c>
      <c r="D12923" s="2" t="str">
        <f ca="1">IFERROR(__xludf.DUMMYFUNCTION("""COMPUTED_VALUE"""),"Dubai&gt;Dubai Sports City&gt;The Community Sports Arena")</f>
        <v>Dubai&gt;Dubai Sports City&gt;The Community Sports Arena</v>
      </c>
      <c r="E12923" s="2"/>
      <c r="F12923" s="2"/>
      <c r="G12923" s="2"/>
      <c r="H12923" s="2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2"/>
      <c r="T12923" s="2"/>
      <c r="U12923" s="2"/>
      <c r="V12923" s="2"/>
      <c r="W12923" s="2"/>
      <c r="X12923" s="2"/>
      <c r="Y12923" s="2"/>
      <c r="Z12923" s="2"/>
    </row>
    <row r="12924" spans="1:26" ht="16.5" x14ac:dyDescent="0.35">
      <c r="A12924" s="2" t="str">
        <f ca="1">IFERROR(__xludf.DUMMYFUNCTION("""COMPUTED_VALUE"""),"Dubai")</f>
        <v>Dubai</v>
      </c>
      <c r="B12924" s="2" t="str">
        <f ca="1">IFERROR(__xludf.DUMMYFUNCTION("""COMPUTED_VALUE"""),"Victory Residences")</f>
        <v>Victory Residences</v>
      </c>
      <c r="C12924" s="2" t="str">
        <f ca="1">IFERROR(__xludf.DUMMYFUNCTION("""COMPUTED_VALUE"""),"Building")</f>
        <v>Building</v>
      </c>
      <c r="D12924" s="2" t="str">
        <f ca="1">IFERROR(__xludf.DUMMYFUNCTION("""COMPUTED_VALUE"""),"Dubai&gt;Dubai Sports City&gt;Victory Residences")</f>
        <v>Dubai&gt;Dubai Sports City&gt;Victory Residences</v>
      </c>
      <c r="E12924" s="2"/>
      <c r="F12924" s="2"/>
      <c r="G12924" s="2"/>
      <c r="H12924" s="2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2"/>
      <c r="T12924" s="2"/>
      <c r="U12924" s="2"/>
      <c r="V12924" s="2"/>
      <c r="W12924" s="2"/>
      <c r="X12924" s="2"/>
      <c r="Y12924" s="2"/>
      <c r="Z12924" s="2"/>
    </row>
    <row r="12925" spans="1:26" ht="16.5" x14ac:dyDescent="0.35">
      <c r="A12925" s="2" t="str">
        <f ca="1">IFERROR(__xludf.DUMMYFUNCTION("""COMPUTED_VALUE"""),"Dubai")</f>
        <v>Dubai</v>
      </c>
      <c r="B12925" s="2" t="str">
        <f ca="1">IFERROR(__xludf.DUMMYFUNCTION("""COMPUTED_VALUE"""),"Al Mattar Tower")</f>
        <v>Al Mattar Tower</v>
      </c>
      <c r="C12925" s="2" t="str">
        <f ca="1">IFERROR(__xludf.DUMMYFUNCTION("""COMPUTED_VALUE"""),"Building")</f>
        <v>Building</v>
      </c>
      <c r="D12925" s="2" t="str">
        <f ca="1">IFERROR(__xludf.DUMMYFUNCTION("""COMPUTED_VALUE"""),"Dubai&gt;Al Nahda (Dubai)&gt;Al Nahda 1&gt;Al Mattar Tower")</f>
        <v>Dubai&gt;Al Nahda (Dubai)&gt;Al Nahda 1&gt;Al Mattar Tower</v>
      </c>
      <c r="E12925" s="2"/>
      <c r="F12925" s="2"/>
      <c r="G12925" s="2"/>
      <c r="H12925" s="2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2"/>
      <c r="T12925" s="2"/>
      <c r="U12925" s="2"/>
      <c r="V12925" s="2"/>
      <c r="W12925" s="2"/>
      <c r="X12925" s="2"/>
      <c r="Y12925" s="2"/>
      <c r="Z12925" s="2"/>
    </row>
    <row r="12926" spans="1:26" ht="16.5" x14ac:dyDescent="0.35">
      <c r="A12926" s="2" t="str">
        <f ca="1">IFERROR(__xludf.DUMMYFUNCTION("""COMPUTED_VALUE"""),"Dubai")</f>
        <v>Dubai</v>
      </c>
      <c r="B12926" s="2" t="str">
        <f ca="1">IFERROR(__xludf.DUMMYFUNCTION("""COMPUTED_VALUE"""),"Al Ahli Building")</f>
        <v>Al Ahli Building</v>
      </c>
      <c r="C12926" s="2" t="str">
        <f ca="1">IFERROR(__xludf.DUMMYFUNCTION("""COMPUTED_VALUE"""),"Building")</f>
        <v>Building</v>
      </c>
      <c r="D12926" s="2" t="str">
        <f ca="1">IFERROR(__xludf.DUMMYFUNCTION("""COMPUTED_VALUE"""),"Dubai&gt;Al Nahda (Dubai)&gt;Al Nahda 1&gt;Al Ahli Building")</f>
        <v>Dubai&gt;Al Nahda (Dubai)&gt;Al Nahda 1&gt;Al Ahli Building</v>
      </c>
      <c r="E12926" s="2"/>
      <c r="F12926" s="2"/>
      <c r="G12926" s="2"/>
      <c r="H12926" s="2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2"/>
      <c r="T12926" s="2"/>
      <c r="U12926" s="2"/>
      <c r="V12926" s="2"/>
      <c r="W12926" s="2"/>
      <c r="X12926" s="2"/>
      <c r="Y12926" s="2"/>
      <c r="Z12926" s="2"/>
    </row>
    <row r="12927" spans="1:26" ht="16.5" x14ac:dyDescent="0.35">
      <c r="A12927" s="2" t="str">
        <f ca="1">IFERROR(__xludf.DUMMYFUNCTION("""COMPUTED_VALUE"""),"Dubai")</f>
        <v>Dubai</v>
      </c>
      <c r="B12927" s="2" t="str">
        <f ca="1">IFERROR(__xludf.DUMMYFUNCTION("""COMPUTED_VALUE"""),"Nahda Park Building")</f>
        <v>Nahda Park Building</v>
      </c>
      <c r="C12927" s="2" t="str">
        <f ca="1">IFERROR(__xludf.DUMMYFUNCTION("""COMPUTED_VALUE"""),"Building")</f>
        <v>Building</v>
      </c>
      <c r="D12927" s="2" t="str">
        <f ca="1">IFERROR(__xludf.DUMMYFUNCTION("""COMPUTED_VALUE"""),"Dubai&gt;Al Nahda (Dubai)&gt;Al Nahda 2&gt;Nahda Park Building")</f>
        <v>Dubai&gt;Al Nahda (Dubai)&gt;Al Nahda 2&gt;Nahda Park Building</v>
      </c>
      <c r="E12927" s="2"/>
      <c r="F12927" s="2"/>
      <c r="G12927" s="2"/>
      <c r="H12927" s="2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2"/>
      <c r="T12927" s="2"/>
      <c r="U12927" s="2"/>
      <c r="V12927" s="2"/>
      <c r="W12927" s="2"/>
      <c r="X12927" s="2"/>
      <c r="Y12927" s="2"/>
      <c r="Z12927" s="2"/>
    </row>
    <row r="12928" spans="1:26" ht="16.5" x14ac:dyDescent="0.35">
      <c r="A12928" s="2" t="str">
        <f ca="1">IFERROR(__xludf.DUMMYFUNCTION("""COMPUTED_VALUE"""),"Dubai")</f>
        <v>Dubai</v>
      </c>
      <c r="B12928" s="2" t="str">
        <f ca="1">IFERROR(__xludf.DUMMYFUNCTION("""COMPUTED_VALUE"""),"Al Jaber Tower")</f>
        <v>Al Jaber Tower</v>
      </c>
      <c r="C12928" s="2" t="str">
        <f ca="1">IFERROR(__xludf.DUMMYFUNCTION("""COMPUTED_VALUE"""),"Building")</f>
        <v>Building</v>
      </c>
      <c r="D12928" s="2" t="str">
        <f ca="1">IFERROR(__xludf.DUMMYFUNCTION("""COMPUTED_VALUE"""),"Dubai&gt;Al Nahda (Dubai)&gt;Al Nahda 2&gt;Al Jaber Tower")</f>
        <v>Dubai&gt;Al Nahda (Dubai)&gt;Al Nahda 2&gt;Al Jaber Tower</v>
      </c>
      <c r="E12928" s="2"/>
      <c r="F12928" s="2"/>
      <c r="G12928" s="2"/>
      <c r="H12928" s="2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2"/>
      <c r="T12928" s="2"/>
      <c r="U12928" s="2"/>
      <c r="V12928" s="2"/>
      <c r="W12928" s="2"/>
      <c r="X12928" s="2"/>
      <c r="Y12928" s="2"/>
      <c r="Z12928" s="2"/>
    </row>
    <row r="12929" spans="1:26" ht="16.5" x14ac:dyDescent="0.35">
      <c r="A12929" s="2" t="str">
        <f ca="1">IFERROR(__xludf.DUMMYFUNCTION("""COMPUTED_VALUE"""),"Dubai")</f>
        <v>Dubai</v>
      </c>
      <c r="B12929" s="2" t="str">
        <f ca="1">IFERROR(__xludf.DUMMYFUNCTION("""COMPUTED_VALUE"""),"Al Faraj 3")</f>
        <v>Al Faraj 3</v>
      </c>
      <c r="C12929" s="2" t="str">
        <f ca="1">IFERROR(__xludf.DUMMYFUNCTION("""COMPUTED_VALUE"""),"Building")</f>
        <v>Building</v>
      </c>
      <c r="D12929" s="2" t="str">
        <f ca="1">IFERROR(__xludf.DUMMYFUNCTION("""COMPUTED_VALUE"""),"Dubai&gt;Al Nahda (Dubai)&gt;Al Nahda 2&gt;Al Faraj 3")</f>
        <v>Dubai&gt;Al Nahda (Dubai)&gt;Al Nahda 2&gt;Al Faraj 3</v>
      </c>
      <c r="E12929" s="2"/>
      <c r="F12929" s="2"/>
      <c r="G12929" s="2"/>
      <c r="H12929" s="2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2"/>
      <c r="T12929" s="2"/>
      <c r="U12929" s="2"/>
      <c r="V12929" s="2"/>
      <c r="W12929" s="2"/>
      <c r="X12929" s="2"/>
      <c r="Y12929" s="2"/>
      <c r="Z12929" s="2"/>
    </row>
    <row r="12930" spans="1:26" ht="16.5" x14ac:dyDescent="0.35">
      <c r="A12930" s="2" t="str">
        <f ca="1">IFERROR(__xludf.DUMMYFUNCTION("""COMPUTED_VALUE"""),"Dubai")</f>
        <v>Dubai</v>
      </c>
      <c r="B12930" s="2" t="str">
        <f ca="1">IFERROR(__xludf.DUMMYFUNCTION("""COMPUTED_VALUE"""),"Boulevard City Suites")</f>
        <v>Boulevard City Suites</v>
      </c>
      <c r="C12930" s="2" t="str">
        <f ca="1">IFERROR(__xludf.DUMMYFUNCTION("""COMPUTED_VALUE"""),"Building")</f>
        <v>Building</v>
      </c>
      <c r="D12930" s="2" t="str">
        <f ca="1">IFERROR(__xludf.DUMMYFUNCTION("""COMPUTED_VALUE"""),"Dubai&gt;Al Nahda (Dubai)&gt;Al Nahda 2&gt;Boulevard City Suites")</f>
        <v>Dubai&gt;Al Nahda (Dubai)&gt;Al Nahda 2&gt;Boulevard City Suites</v>
      </c>
      <c r="E12930" s="2"/>
      <c r="F12930" s="2"/>
      <c r="G12930" s="2"/>
      <c r="H12930" s="2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2"/>
      <c r="T12930" s="2"/>
      <c r="U12930" s="2"/>
      <c r="V12930" s="2"/>
      <c r="W12930" s="2"/>
      <c r="X12930" s="2"/>
      <c r="Y12930" s="2"/>
      <c r="Z12930" s="2"/>
    </row>
    <row r="12931" spans="1:26" ht="16.5" x14ac:dyDescent="0.35">
      <c r="A12931" s="2" t="str">
        <f ca="1">IFERROR(__xludf.DUMMYFUNCTION("""COMPUTED_VALUE"""),"Dubai")</f>
        <v>Dubai</v>
      </c>
      <c r="B12931" s="2" t="str">
        <f ca="1">IFERROR(__xludf.DUMMYFUNCTION("""COMPUTED_VALUE"""),"Regional Large")</f>
        <v>Regional Large</v>
      </c>
      <c r="C12931" s="2" t="str">
        <f ca="1">IFERROR(__xludf.DUMMYFUNCTION("""COMPUTED_VALUE"""),"Neighbourhood")</f>
        <v>Neighbourhood</v>
      </c>
      <c r="D12931" s="2" t="str">
        <f ca="1">IFERROR(__xludf.DUMMYFUNCTION("""COMPUTED_VALUE"""),"Dubai&gt;Jumeirah Park&gt;Regional&gt;Regional Large")</f>
        <v>Dubai&gt;Jumeirah Park&gt;Regional&gt;Regional Large</v>
      </c>
      <c r="E12931" s="2"/>
      <c r="F12931" s="2"/>
      <c r="G12931" s="2"/>
      <c r="H12931" s="2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2"/>
      <c r="T12931" s="2"/>
      <c r="U12931" s="2"/>
      <c r="V12931" s="2"/>
      <c r="W12931" s="2"/>
      <c r="X12931" s="2"/>
      <c r="Y12931" s="2"/>
      <c r="Z12931" s="2"/>
    </row>
    <row r="12932" spans="1:26" ht="16.5" x14ac:dyDescent="0.35">
      <c r="A12932" s="2" t="str">
        <f ca="1">IFERROR(__xludf.DUMMYFUNCTION("""COMPUTED_VALUE"""),"Dubai")</f>
        <v>Dubai</v>
      </c>
      <c r="B12932" s="2" t="str">
        <f ca="1">IFERROR(__xludf.DUMMYFUNCTION("""COMPUTED_VALUE"""),"Lagoon Views 9")</f>
        <v>Lagoon Views 9</v>
      </c>
      <c r="C12932" s="2" t="str">
        <f ca="1">IFERROR(__xludf.DUMMYFUNCTION("""COMPUTED_VALUE"""),"Building")</f>
        <v>Building</v>
      </c>
      <c r="D12932" s="2" t="str">
        <f ca="1">IFERROR(__xludf.DUMMYFUNCTION("""COMPUTED_VALUE"""),"Dubai&gt;DAMAC Lagoons&gt;Lagoon Views&gt;Lagoon Views 9")</f>
        <v>Dubai&gt;DAMAC Lagoons&gt;Lagoon Views&gt;Lagoon Views 9</v>
      </c>
      <c r="E12932" s="2"/>
      <c r="F12932" s="2"/>
      <c r="G12932" s="2"/>
      <c r="H12932" s="2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2"/>
      <c r="T12932" s="2"/>
      <c r="U12932" s="2"/>
      <c r="V12932" s="2"/>
      <c r="W12932" s="2"/>
      <c r="X12932" s="2"/>
      <c r="Y12932" s="2"/>
      <c r="Z12932" s="2"/>
    </row>
    <row r="12933" spans="1:26" ht="16.5" x14ac:dyDescent="0.35">
      <c r="A12933" s="2" t="str">
        <f ca="1">IFERROR(__xludf.DUMMYFUNCTION("""COMPUTED_VALUE"""),"Dubai")</f>
        <v>Dubai</v>
      </c>
      <c r="B12933" s="2" t="str">
        <f ca="1">IFERROR(__xludf.DUMMYFUNCTION("""COMPUTED_VALUE"""),"A3 Residences")</f>
        <v>A3 Residences</v>
      </c>
      <c r="C12933" s="2" t="str">
        <f ca="1">IFERROR(__xludf.DUMMYFUNCTION("""COMPUTED_VALUE"""),"Building")</f>
        <v>Building</v>
      </c>
      <c r="D12933" s="2" t="str">
        <f ca="1">IFERROR(__xludf.DUMMYFUNCTION("""COMPUTED_VALUE"""),"Dubai&gt;Liwan 2&gt;A3 Residences")</f>
        <v>Dubai&gt;Liwan 2&gt;A3 Residences</v>
      </c>
      <c r="E12933" s="2"/>
      <c r="F12933" s="2"/>
      <c r="G12933" s="2"/>
      <c r="H12933" s="2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2"/>
      <c r="T12933" s="2"/>
      <c r="U12933" s="2"/>
      <c r="V12933" s="2"/>
      <c r="W12933" s="2"/>
      <c r="X12933" s="2"/>
      <c r="Y12933" s="2"/>
      <c r="Z12933" s="2"/>
    </row>
    <row r="12934" spans="1:26" ht="16.5" x14ac:dyDescent="0.35">
      <c r="A12934" s="2" t="str">
        <f ca="1">IFERROR(__xludf.DUMMYFUNCTION("""COMPUTED_VALUE"""),"Dubai")</f>
        <v>Dubai</v>
      </c>
      <c r="B12934" s="2" t="str">
        <f ca="1">IFERROR(__xludf.DUMMYFUNCTION("""COMPUTED_VALUE"""),"MAK Building")</f>
        <v>MAK Building</v>
      </c>
      <c r="C12934" s="2" t="str">
        <f ca="1">IFERROR(__xludf.DUMMYFUNCTION("""COMPUTED_VALUE"""),"Building")</f>
        <v>Building</v>
      </c>
      <c r="D12934" s="2" t="str">
        <f ca="1">IFERROR(__xludf.DUMMYFUNCTION("""COMPUTED_VALUE"""),"Dubai&gt;Liwan 2&gt;MAK Building")</f>
        <v>Dubai&gt;Liwan 2&gt;MAK Building</v>
      </c>
      <c r="E12934" s="2"/>
      <c r="F12934" s="2"/>
      <c r="G12934" s="2"/>
      <c r="H12934" s="2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2"/>
      <c r="T12934" s="2"/>
      <c r="U12934" s="2"/>
      <c r="V12934" s="2"/>
      <c r="W12934" s="2"/>
      <c r="X12934" s="2"/>
      <c r="Y12934" s="2"/>
      <c r="Z12934" s="2"/>
    </row>
    <row r="12935" spans="1:26" ht="16.5" x14ac:dyDescent="0.35">
      <c r="A12935" s="2" t="str">
        <f ca="1">IFERROR(__xludf.DUMMYFUNCTION("""COMPUTED_VALUE"""),"Dubai")</f>
        <v>Dubai</v>
      </c>
      <c r="B12935" s="2" t="str">
        <f ca="1">IFERROR(__xludf.DUMMYFUNCTION("""COMPUTED_VALUE"""),"Lotus Residence 7")</f>
        <v>Lotus Residence 7</v>
      </c>
      <c r="C12935" s="2" t="str">
        <f ca="1">IFERROR(__xludf.DUMMYFUNCTION("""COMPUTED_VALUE"""),"Building")</f>
        <v>Building</v>
      </c>
      <c r="D12935" s="2" t="str">
        <f ca="1">IFERROR(__xludf.DUMMYFUNCTION("""COMPUTED_VALUE"""),"Dubai&gt;Dubai Investment Park (DIP)&gt;Dubai Investment Park 1&gt;Lotus Residence&gt;Lotus Residence 7")</f>
        <v>Dubai&gt;Dubai Investment Park (DIP)&gt;Dubai Investment Park 1&gt;Lotus Residence&gt;Lotus Residence 7</v>
      </c>
      <c r="E12935" s="2"/>
      <c r="F12935" s="2"/>
      <c r="G12935" s="2"/>
      <c r="H12935" s="2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2"/>
      <c r="T12935" s="2"/>
      <c r="U12935" s="2"/>
      <c r="V12935" s="2"/>
      <c r="W12935" s="2"/>
      <c r="X12935" s="2"/>
      <c r="Y12935" s="2"/>
      <c r="Z12935" s="2"/>
    </row>
    <row r="12936" spans="1:26" ht="16.5" x14ac:dyDescent="0.35">
      <c r="A12936" s="2" t="str">
        <f ca="1">IFERROR(__xludf.DUMMYFUNCTION("""COMPUTED_VALUE"""),"Dubai")</f>
        <v>Dubai</v>
      </c>
      <c r="B12936" s="2" t="str">
        <f ca="1">IFERROR(__xludf.DUMMYFUNCTION("""COMPUTED_VALUE"""),"Saif Al Serkal Staff Accommodation")</f>
        <v>Saif Al Serkal Staff Accommodation</v>
      </c>
      <c r="C12936" s="2" t="str">
        <f ca="1">IFERROR(__xludf.DUMMYFUNCTION("""COMPUTED_VALUE"""),"Building")</f>
        <v>Building</v>
      </c>
      <c r="D12936" s="2" t="str">
        <f ca="1">IFERROR(__xludf.DUMMYFUNCTION("""COMPUTED_VALUE"""),"Dubai&gt;Dubai Investment Park (DIP)&gt;Dubai Investment Park 1&gt;Saif Al Serkal Staff Accommodation")</f>
        <v>Dubai&gt;Dubai Investment Park (DIP)&gt;Dubai Investment Park 1&gt;Saif Al Serkal Staff Accommodation</v>
      </c>
      <c r="E12936" s="2"/>
      <c r="F12936" s="2"/>
      <c r="G12936" s="2"/>
      <c r="H12936" s="2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2"/>
      <c r="T12936" s="2"/>
      <c r="U12936" s="2"/>
      <c r="V12936" s="2"/>
      <c r="W12936" s="2"/>
      <c r="X12936" s="2"/>
      <c r="Y12936" s="2"/>
      <c r="Z12936" s="2"/>
    </row>
    <row r="12937" spans="1:26" ht="16.5" x14ac:dyDescent="0.35">
      <c r="A12937" s="2" t="str">
        <f ca="1">IFERROR(__xludf.DUMMYFUNCTION("""COMPUTED_VALUE"""),"Dubai")</f>
        <v>Dubai</v>
      </c>
      <c r="B12937" s="2" t="str">
        <f ca="1">IFERROR(__xludf.DUMMYFUNCTION("""COMPUTED_VALUE"""),"Verdana Residence 3")</f>
        <v>Verdana Residence 3</v>
      </c>
      <c r="C12937" s="2" t="str">
        <f ca="1">IFERROR(__xludf.DUMMYFUNCTION("""COMPUTED_VALUE"""),"Building")</f>
        <v>Building</v>
      </c>
      <c r="D12937" s="2" t="str">
        <f ca="1">IFERROR(__xludf.DUMMYFUNCTION("""COMPUTED_VALUE"""),"Dubai&gt;Dubai Investment Park (DIP)&gt;Dubai Investment Park 1&gt;Verdana 3&gt;Verdana Residence 3")</f>
        <v>Dubai&gt;Dubai Investment Park (DIP)&gt;Dubai Investment Park 1&gt;Verdana 3&gt;Verdana Residence 3</v>
      </c>
      <c r="E12937" s="2"/>
      <c r="F12937" s="2"/>
      <c r="G12937" s="2"/>
      <c r="H12937" s="2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2"/>
      <c r="T12937" s="2"/>
      <c r="U12937" s="2"/>
      <c r="V12937" s="2"/>
      <c r="W12937" s="2"/>
      <c r="X12937" s="2"/>
      <c r="Y12937" s="2"/>
      <c r="Z12937" s="2"/>
    </row>
    <row r="12938" spans="1:26" ht="16.5" x14ac:dyDescent="0.35">
      <c r="A12938" s="2" t="str">
        <f ca="1">IFERROR(__xludf.DUMMYFUNCTION("""COMPUTED_VALUE"""),"Dubai")</f>
        <v>Dubai</v>
      </c>
      <c r="B12938" s="2" t="str">
        <f ca="1">IFERROR(__xludf.DUMMYFUNCTION("""COMPUTED_VALUE"""),"Ritaj Block G")</f>
        <v>Ritaj Block G</v>
      </c>
      <c r="C12938" s="2" t="str">
        <f ca="1">IFERROR(__xludf.DUMMYFUNCTION("""COMPUTED_VALUE"""),"Building")</f>
        <v>Building</v>
      </c>
      <c r="D12938" s="2" t="str">
        <f ca="1">IFERROR(__xludf.DUMMYFUNCTION("""COMPUTED_VALUE"""),"Dubai&gt;Dubai Investment Park (DIP)&gt;Dubai Investment Park 2&gt;Ritaj (Residential Complex)&gt;Ritaj Block G")</f>
        <v>Dubai&gt;Dubai Investment Park (DIP)&gt;Dubai Investment Park 2&gt;Ritaj (Residential Complex)&gt;Ritaj Block G</v>
      </c>
      <c r="E12938" s="2"/>
      <c r="F12938" s="2"/>
      <c r="G12938" s="2"/>
      <c r="H12938" s="2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2"/>
      <c r="T12938" s="2"/>
      <c r="U12938" s="2"/>
      <c r="V12938" s="2"/>
      <c r="W12938" s="2"/>
      <c r="X12938" s="2"/>
      <c r="Y12938" s="2"/>
      <c r="Z12938" s="2"/>
    </row>
    <row r="12939" spans="1:26" ht="16.5" x14ac:dyDescent="0.35">
      <c r="A12939" s="2" t="str">
        <f ca="1">IFERROR(__xludf.DUMMYFUNCTION("""COMPUTED_VALUE"""),"Dubai")</f>
        <v>Dubai</v>
      </c>
      <c r="B12939" s="2" t="str">
        <f ca="1">IFERROR(__xludf.DUMMYFUNCTION("""COMPUTED_VALUE"""),"Al Rakha Labour Camp")</f>
        <v>Al Rakha Labour Camp</v>
      </c>
      <c r="C12939" s="2" t="str">
        <f ca="1">IFERROR(__xludf.DUMMYFUNCTION("""COMPUTED_VALUE"""),"Building")</f>
        <v>Building</v>
      </c>
      <c r="D12939" s="2" t="str">
        <f ca="1">IFERROR(__xludf.DUMMYFUNCTION("""COMPUTED_VALUE"""),"Dubai&gt;Dubai Investment Park (DIP)&gt;Dubai Investment Park 2&gt;Al Rakha Labour Camp")</f>
        <v>Dubai&gt;Dubai Investment Park (DIP)&gt;Dubai Investment Park 2&gt;Al Rakha Labour Camp</v>
      </c>
      <c r="E12939" s="2"/>
      <c r="F12939" s="2"/>
      <c r="G12939" s="2"/>
      <c r="H12939" s="2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2"/>
      <c r="T12939" s="2"/>
      <c r="U12939" s="2"/>
      <c r="V12939" s="2"/>
      <c r="W12939" s="2"/>
      <c r="X12939" s="2"/>
      <c r="Y12939" s="2"/>
      <c r="Z12939" s="2"/>
    </row>
    <row r="12940" spans="1:26" ht="16.5" x14ac:dyDescent="0.35">
      <c r="A12940" s="2" t="str">
        <f ca="1">IFERROR(__xludf.DUMMYFUNCTION("""COMPUTED_VALUE"""),"Dubai")</f>
        <v>Dubai</v>
      </c>
      <c r="B12940" s="2" t="str">
        <f ca="1">IFERROR(__xludf.DUMMYFUNCTION("""COMPUTED_VALUE"""),"Marine 2")</f>
        <v>Marine 2</v>
      </c>
      <c r="C12940" s="2" t="str">
        <f ca="1">IFERROR(__xludf.DUMMYFUNCTION("""COMPUTED_VALUE"""),"Building")</f>
        <v>Building</v>
      </c>
      <c r="D12940" s="2" t="str">
        <f ca="1">IFERROR(__xludf.DUMMYFUNCTION("""COMPUTED_VALUE"""),"Dubai&gt;Dubai Investment Park (DIP)&gt;DAMAC Riverside&gt;Riverside Views&gt;Marine 2")</f>
        <v>Dubai&gt;Dubai Investment Park (DIP)&gt;DAMAC Riverside&gt;Riverside Views&gt;Marine 2</v>
      </c>
      <c r="E12940" s="2"/>
      <c r="F12940" s="2"/>
      <c r="G12940" s="2"/>
      <c r="H12940" s="2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2"/>
      <c r="T12940" s="2"/>
      <c r="U12940" s="2"/>
      <c r="V12940" s="2"/>
      <c r="W12940" s="2"/>
      <c r="X12940" s="2"/>
      <c r="Y12940" s="2"/>
      <c r="Z12940" s="2"/>
    </row>
    <row r="12941" spans="1:26" ht="16.5" x14ac:dyDescent="0.35">
      <c r="A12941" s="2" t="str">
        <f ca="1">IFERROR(__xludf.DUMMYFUNCTION("""COMPUTED_VALUE"""),"Dubai")</f>
        <v>Dubai</v>
      </c>
      <c r="B12941" s="2" t="str">
        <f ca="1">IFERROR(__xludf.DUMMYFUNCTION("""COMPUTED_VALUE"""),"Majan")</f>
        <v>Majan</v>
      </c>
      <c r="C12941" s="2" t="str">
        <f ca="1">IFERROR(__xludf.DUMMYFUNCTION("""COMPUTED_VALUE"""),"Neighbourhood")</f>
        <v>Neighbourhood</v>
      </c>
      <c r="D12941" s="2" t="str">
        <f ca="1">IFERROR(__xludf.DUMMYFUNCTION("""COMPUTED_VALUE"""),"Dubai&gt;Majan")</f>
        <v>Dubai&gt;Majan</v>
      </c>
      <c r="E12941" s="2"/>
      <c r="F12941" s="2"/>
      <c r="G12941" s="2"/>
      <c r="H12941" s="2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2"/>
      <c r="T12941" s="2"/>
      <c r="U12941" s="2"/>
      <c r="V12941" s="2"/>
      <c r="W12941" s="2"/>
      <c r="X12941" s="2"/>
      <c r="Y12941" s="2"/>
      <c r="Z12941" s="2"/>
    </row>
    <row r="12942" spans="1:26" ht="16.5" x14ac:dyDescent="0.35">
      <c r="A12942" s="2" t="str">
        <f ca="1">IFERROR(__xludf.DUMMYFUNCTION("""COMPUTED_VALUE"""),"Dubai")</f>
        <v>Dubai</v>
      </c>
      <c r="B12942" s="2" t="str">
        <f ca="1">IFERROR(__xludf.DUMMYFUNCTION("""COMPUTED_VALUE"""),"Z1")</f>
        <v>Z1</v>
      </c>
      <c r="C12942" s="2" t="str">
        <f ca="1">IFERROR(__xludf.DUMMYFUNCTION("""COMPUTED_VALUE"""),"Building")</f>
        <v>Building</v>
      </c>
      <c r="D12942" s="2" t="str">
        <f ca="1">IFERROR(__xludf.DUMMYFUNCTION("""COMPUTED_VALUE"""),"Dubai&gt;Majan&gt;Z1")</f>
        <v>Dubai&gt;Majan&gt;Z1</v>
      </c>
      <c r="E12942" s="2"/>
      <c r="F12942" s="2"/>
      <c r="G12942" s="2"/>
      <c r="H12942" s="2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2"/>
      <c r="T12942" s="2"/>
      <c r="U12942" s="2"/>
      <c r="V12942" s="2"/>
      <c r="W12942" s="2"/>
      <c r="X12942" s="2"/>
      <c r="Y12942" s="2"/>
      <c r="Z12942" s="2"/>
    </row>
    <row r="12943" spans="1:26" ht="16.5" x14ac:dyDescent="0.35">
      <c r="A12943" s="2" t="str">
        <f ca="1">IFERROR(__xludf.DUMMYFUNCTION("""COMPUTED_VALUE"""),"Dubai")</f>
        <v>Dubai</v>
      </c>
      <c r="B12943" s="2" t="str">
        <f ca="1">IFERROR(__xludf.DUMMYFUNCTION("""COMPUTED_VALUE"""),"Dusit Rijas")</f>
        <v>Dusit Rijas</v>
      </c>
      <c r="C12943" s="2" t="str">
        <f ca="1">IFERROR(__xludf.DUMMYFUNCTION("""COMPUTED_VALUE"""),"Building")</f>
        <v>Building</v>
      </c>
      <c r="D12943" s="2" t="str">
        <f ca="1">IFERROR(__xludf.DUMMYFUNCTION("""COMPUTED_VALUE"""),"Dubai&gt;Majan&gt;Dusit Rijas")</f>
        <v>Dubai&gt;Majan&gt;Dusit Rijas</v>
      </c>
      <c r="E12943" s="2"/>
      <c r="F12943" s="2"/>
      <c r="G12943" s="2"/>
      <c r="H12943" s="2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2"/>
      <c r="T12943" s="2"/>
      <c r="U12943" s="2"/>
      <c r="V12943" s="2"/>
      <c r="W12943" s="2"/>
      <c r="X12943" s="2"/>
      <c r="Y12943" s="2"/>
      <c r="Z12943" s="2"/>
    </row>
    <row r="12944" spans="1:26" ht="16.5" x14ac:dyDescent="0.35">
      <c r="A12944" s="2" t="str">
        <f ca="1">IFERROR(__xludf.DUMMYFUNCTION("""COMPUTED_VALUE"""),"Dubai")</f>
        <v>Dubai</v>
      </c>
      <c r="B12944" s="2" t="str">
        <f ca="1">IFERROR(__xludf.DUMMYFUNCTION("""COMPUTED_VALUE"""),"Mareva The Oasis")</f>
        <v>Mareva The Oasis</v>
      </c>
      <c r="C12944" s="2" t="str">
        <f ca="1">IFERROR(__xludf.DUMMYFUNCTION("""COMPUTED_VALUE"""),"Neighbourhood")</f>
        <v>Neighbourhood</v>
      </c>
      <c r="D12944" s="2" t="str">
        <f ca="1">IFERROR(__xludf.DUMMYFUNCTION("""COMPUTED_VALUE"""),"Dubai&gt;The Oasis by Emaar&gt;Mareva The Oasis")</f>
        <v>Dubai&gt;The Oasis by Emaar&gt;Mareva The Oasis</v>
      </c>
      <c r="E12944" s="2"/>
      <c r="F12944" s="2"/>
      <c r="G12944" s="2"/>
      <c r="H12944" s="2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2"/>
      <c r="T12944" s="2"/>
      <c r="U12944" s="2"/>
      <c r="V12944" s="2"/>
      <c r="W12944" s="2"/>
      <c r="X12944" s="2"/>
      <c r="Y12944" s="2"/>
      <c r="Z12944" s="2"/>
    </row>
    <row r="12945" spans="1:26" ht="16.5" x14ac:dyDescent="0.35">
      <c r="A12945" s="2" t="str">
        <f ca="1">IFERROR(__xludf.DUMMYFUNCTION("""COMPUTED_VALUE"""),"Dubai")</f>
        <v>Dubai</v>
      </c>
      <c r="B12945" s="2" t="str">
        <f ca="1">IFERROR(__xludf.DUMMYFUNCTION("""COMPUTED_VALUE"""),"The Hive")</f>
        <v>The Hive</v>
      </c>
      <c r="C12945" s="2" t="str">
        <f ca="1">IFERROR(__xludf.DUMMYFUNCTION("""COMPUTED_VALUE"""),"Cluster")</f>
        <v>Cluster</v>
      </c>
      <c r="D12945" s="2" t="str">
        <f ca="1">IFERROR(__xludf.DUMMYFUNCTION("""COMPUTED_VALUE"""),"Dubai&gt;Dubai Studio City&gt;The Hive")</f>
        <v>Dubai&gt;Dubai Studio City&gt;The Hive</v>
      </c>
      <c r="E12945" s="2"/>
      <c r="F12945" s="2"/>
      <c r="G12945" s="2"/>
      <c r="H12945" s="2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2"/>
      <c r="T12945" s="2"/>
      <c r="U12945" s="2"/>
      <c r="V12945" s="2"/>
      <c r="W12945" s="2"/>
      <c r="X12945" s="2"/>
      <c r="Y12945" s="2"/>
      <c r="Z12945" s="2"/>
    </row>
    <row r="12946" spans="1:26" ht="16.5" x14ac:dyDescent="0.35">
      <c r="A12946" s="2" t="str">
        <f ca="1">IFERROR(__xludf.DUMMYFUNCTION("""COMPUTED_VALUE"""),"Dubai")</f>
        <v>Dubai</v>
      </c>
      <c r="B12946" s="2" t="str">
        <f ca="1">IFERROR(__xludf.DUMMYFUNCTION("""COMPUTED_VALUE"""),"BS-09")</f>
        <v>BS-09</v>
      </c>
      <c r="C12946" s="2" t="str">
        <f ca="1">IFERROR(__xludf.DUMMYFUNCTION("""COMPUTED_VALUE"""),"Building")</f>
        <v>Building</v>
      </c>
      <c r="D12946" s="2" t="str">
        <f ca="1">IFERROR(__xludf.DUMMYFUNCTION("""COMPUTED_VALUE"""),"Dubai&gt;Dubai Studio City&gt;Boutique Studios&gt;BS-09")</f>
        <v>Dubai&gt;Dubai Studio City&gt;Boutique Studios&gt;BS-09</v>
      </c>
      <c r="E12946" s="2"/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  <c r="V12946" s="2"/>
      <c r="W12946" s="2"/>
      <c r="X12946" s="2"/>
      <c r="Y12946" s="2"/>
      <c r="Z12946" s="2"/>
    </row>
    <row r="12947" spans="1:26" ht="16.5" x14ac:dyDescent="0.35">
      <c r="A12947" s="2" t="str">
        <f ca="1">IFERROR(__xludf.DUMMYFUNCTION("""COMPUTED_VALUE"""),"Dubai")</f>
        <v>Dubai</v>
      </c>
      <c r="B12947" s="2" t="str">
        <f ca="1">IFERROR(__xludf.DUMMYFUNCTION("""COMPUTED_VALUE"""),"Hartland Greens Building 2")</f>
        <v>Hartland Greens Building 2</v>
      </c>
      <c r="C12947" s="2" t="str">
        <f ca="1">IFERROR(__xludf.DUMMYFUNCTION("""COMPUTED_VALUE"""),"Building")</f>
        <v>Building</v>
      </c>
      <c r="D12947" s="2" t="str">
        <f ca="1">IFERROR(__xludf.DUMMYFUNCTION("""COMPUTED_VALUE"""),"Dubai&gt;Sobha Hartland&gt;Hartland Greens&gt;Hartland Greens Building 2")</f>
        <v>Dubai&gt;Sobha Hartland&gt;Hartland Greens&gt;Hartland Greens Building 2</v>
      </c>
      <c r="E12947" s="2"/>
      <c r="F12947" s="2"/>
      <c r="G12947" s="2"/>
      <c r="H12947" s="2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2"/>
      <c r="T12947" s="2"/>
      <c r="U12947" s="2"/>
      <c r="V12947" s="2"/>
      <c r="W12947" s="2"/>
      <c r="X12947" s="2"/>
      <c r="Y12947" s="2"/>
      <c r="Z12947" s="2"/>
    </row>
    <row r="12948" spans="1:26" ht="16.5" x14ac:dyDescent="0.35">
      <c r="A12948" s="2" t="str">
        <f ca="1">IFERROR(__xludf.DUMMYFUNCTION("""COMPUTED_VALUE"""),"Dubai")</f>
        <v>Dubai</v>
      </c>
      <c r="B12948" s="2" t="str">
        <f ca="1">IFERROR(__xludf.DUMMYFUNCTION("""COMPUTED_VALUE"""),"The Crest Tower B")</f>
        <v>The Crest Tower B</v>
      </c>
      <c r="C12948" s="2" t="str">
        <f ca="1">IFERROR(__xludf.DUMMYFUNCTION("""COMPUTED_VALUE"""),"Building")</f>
        <v>Building</v>
      </c>
      <c r="D12948" s="2" t="str">
        <f ca="1">IFERROR(__xludf.DUMMYFUNCTION("""COMPUTED_VALUE"""),"Dubai&gt;Sobha Hartland&gt;The Crest&gt;The Crest Tower B")</f>
        <v>Dubai&gt;Sobha Hartland&gt;The Crest&gt;The Crest Tower B</v>
      </c>
      <c r="E12948" s="2"/>
      <c r="F12948" s="2"/>
      <c r="G12948" s="2"/>
      <c r="H12948" s="2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2"/>
      <c r="T12948" s="2"/>
      <c r="U12948" s="2"/>
      <c r="V12948" s="2"/>
      <c r="W12948" s="2"/>
      <c r="X12948" s="2"/>
      <c r="Y12948" s="2"/>
      <c r="Z12948" s="2"/>
    </row>
    <row r="12949" spans="1:26" ht="16.5" x14ac:dyDescent="0.35">
      <c r="A12949" s="2" t="str">
        <f ca="1">IFERROR(__xludf.DUMMYFUNCTION("""COMPUTED_VALUE"""),"Dubai")</f>
        <v>Dubai</v>
      </c>
      <c r="B12949" s="2" t="str">
        <f ca="1">IFERROR(__xludf.DUMMYFUNCTION("""COMPUTED_VALUE"""),"Jumeirah Heights E")</f>
        <v>Jumeirah Heights E</v>
      </c>
      <c r="C12949" s="2" t="str">
        <f ca="1">IFERROR(__xludf.DUMMYFUNCTION("""COMPUTED_VALUE"""),"Building")</f>
        <v>Building</v>
      </c>
      <c r="D12949" s="2" t="str">
        <f ca="1">IFERROR(__xludf.DUMMYFUNCTION("""COMPUTED_VALUE"""),"Dubai&gt;Jumeirah Heights&gt;Jumeirah Heights E")</f>
        <v>Dubai&gt;Jumeirah Heights&gt;Jumeirah Heights E</v>
      </c>
      <c r="E12949" s="2"/>
      <c r="F12949" s="2"/>
      <c r="G12949" s="2"/>
      <c r="H12949" s="2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2"/>
      <c r="T12949" s="2"/>
      <c r="U12949" s="2"/>
      <c r="V12949" s="2"/>
      <c r="W12949" s="2"/>
      <c r="X12949" s="2"/>
      <c r="Y12949" s="2"/>
      <c r="Z12949" s="2"/>
    </row>
    <row r="12950" spans="1:26" ht="16.5" x14ac:dyDescent="0.35">
      <c r="A12950" s="2" t="str">
        <f ca="1">IFERROR(__xludf.DUMMYFUNCTION("""COMPUTED_VALUE"""),"Dubai")</f>
        <v>Dubai</v>
      </c>
      <c r="B12950" s="2" t="str">
        <f ca="1">IFERROR(__xludf.DUMMYFUNCTION("""COMPUTED_VALUE"""),"Expo Valley Views Building 2")</f>
        <v>Expo Valley Views Building 2</v>
      </c>
      <c r="C12950" s="2" t="str">
        <f ca="1">IFERROR(__xludf.DUMMYFUNCTION("""COMPUTED_VALUE"""),"Building")</f>
        <v>Building</v>
      </c>
      <c r="D12950" s="2" t="str">
        <f ca="1">IFERROR(__xludf.DUMMYFUNCTION("""COMPUTED_VALUE"""),"Dubai&gt;Expo City&gt;Expo Valley&gt;Expo Valley Views&gt;Expo Valley Views Building 2")</f>
        <v>Dubai&gt;Expo City&gt;Expo Valley&gt;Expo Valley Views&gt;Expo Valley Views Building 2</v>
      </c>
      <c r="E12950" s="2"/>
      <c r="F12950" s="2"/>
      <c r="G12950" s="2"/>
      <c r="H12950" s="2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2"/>
      <c r="T12950" s="2"/>
      <c r="U12950" s="2"/>
      <c r="V12950" s="2"/>
      <c r="W12950" s="2"/>
      <c r="X12950" s="2"/>
      <c r="Y12950" s="2"/>
      <c r="Z12950" s="2"/>
    </row>
    <row r="12951" spans="1:26" ht="16.5" x14ac:dyDescent="0.35">
      <c r="A12951" s="2" t="str">
        <f ca="1">IFERROR(__xludf.DUMMYFUNCTION("""COMPUTED_VALUE"""),"Dubai")</f>
        <v>Dubai</v>
      </c>
      <c r="B12951" s="2" t="str">
        <f ca="1">IFERROR(__xludf.DUMMYFUNCTION("""COMPUTED_VALUE"""),"Cannes")</f>
        <v>Cannes</v>
      </c>
      <c r="C12951" s="2" t="str">
        <f ca="1">IFERROR(__xludf.DUMMYFUNCTION("""COMPUTED_VALUE"""),"Building")</f>
        <v>Building</v>
      </c>
      <c r="D12951" s="2" t="str">
        <f ca="1">IFERROR(__xludf.DUMMYFUNCTION("""COMPUTED_VALUE"""),"Dubai&gt;The World Islands&gt;The Heart of Europe&gt;Cote D' Azur Resort&gt;Cannes")</f>
        <v>Dubai&gt;The World Islands&gt;The Heart of Europe&gt;Cote D' Azur Resort&gt;Cannes</v>
      </c>
      <c r="E12951" s="2"/>
      <c r="F12951" s="2"/>
      <c r="G12951" s="2"/>
      <c r="H12951" s="2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2"/>
      <c r="T12951" s="2"/>
      <c r="U12951" s="2"/>
      <c r="V12951" s="2"/>
      <c r="W12951" s="2"/>
      <c r="X12951" s="2"/>
      <c r="Y12951" s="2"/>
      <c r="Z12951" s="2"/>
    </row>
    <row r="12952" spans="1:26" ht="16.5" x14ac:dyDescent="0.35">
      <c r="A12952" s="2" t="str">
        <f ca="1">IFERROR(__xludf.DUMMYFUNCTION("""COMPUTED_VALUE"""),"Dubai")</f>
        <v>Dubai</v>
      </c>
      <c r="B12952" s="2" t="str">
        <f ca="1">IFERROR(__xludf.DUMMYFUNCTION("""COMPUTED_VALUE"""),"Saih Al Danal")</f>
        <v>Saih Al Danal</v>
      </c>
      <c r="C12952" s="2" t="str">
        <f ca="1">IFERROR(__xludf.DUMMYFUNCTION("""COMPUTED_VALUE"""),"Neighbourhood")</f>
        <v>Neighbourhood</v>
      </c>
      <c r="D12952" s="2" t="str">
        <f ca="1">IFERROR(__xludf.DUMMYFUNCTION("""COMPUTED_VALUE"""),"Dubai&gt;Saih Al Danal")</f>
        <v>Dubai&gt;Saih Al Danal</v>
      </c>
      <c r="E12952" s="2"/>
      <c r="F12952" s="2"/>
      <c r="G12952" s="2"/>
      <c r="H12952" s="2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2"/>
      <c r="T12952" s="2"/>
      <c r="U12952" s="2"/>
      <c r="V12952" s="2"/>
      <c r="W12952" s="2"/>
      <c r="X12952" s="2"/>
      <c r="Y12952" s="2"/>
      <c r="Z12952" s="2"/>
    </row>
    <row r="12953" spans="1:26" ht="16.5" x14ac:dyDescent="0.35">
      <c r="A12953" s="2" t="str">
        <f ca="1">IFERROR(__xludf.DUMMYFUNCTION("""COMPUTED_VALUE"""),"Dubai")</f>
        <v>Dubai</v>
      </c>
      <c r="B12953" s="2" t="str">
        <f ca="1">IFERROR(__xludf.DUMMYFUNCTION("""COMPUTED_VALUE"""),"Cyan")</f>
        <v>Cyan</v>
      </c>
      <c r="C12953" s="2" t="str">
        <f ca="1">IFERROR(__xludf.DUMMYFUNCTION("""COMPUTED_VALUE"""),"Building")</f>
        <v>Building</v>
      </c>
      <c r="D12953" s="2" t="str">
        <f ca="1">IFERROR(__xludf.DUMMYFUNCTION("""COMPUTED_VALUE"""),"Dubai&gt;Athlon by Aldar&gt;Rise by Athlon&gt;Cyan")</f>
        <v>Dubai&gt;Athlon by Aldar&gt;Rise by Athlon&gt;Cyan</v>
      </c>
      <c r="E12953" s="2"/>
      <c r="F12953" s="2"/>
      <c r="G12953" s="2"/>
      <c r="H12953" s="2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2"/>
      <c r="T12953" s="2"/>
      <c r="U12953" s="2"/>
      <c r="V12953" s="2"/>
      <c r="W12953" s="2"/>
      <c r="X12953" s="2"/>
      <c r="Y12953" s="2"/>
      <c r="Z12953" s="2"/>
    </row>
    <row r="12954" spans="1:26" ht="16.5" x14ac:dyDescent="0.35">
      <c r="A12954" s="2" t="str">
        <f ca="1">IFERROR(__xludf.DUMMYFUNCTION("""COMPUTED_VALUE"""),"Dubai")</f>
        <v>Dubai</v>
      </c>
      <c r="B12954" s="2" t="str">
        <f ca="1">IFERROR(__xludf.DUMMYFUNCTION("""COMPUTED_VALUE"""),"Capria East")</f>
        <v>Capria East</v>
      </c>
      <c r="C12954" s="2" t="str">
        <f ca="1">IFERROR(__xludf.DUMMYFUNCTION("""COMPUTED_VALUE"""),"Neighbourhood")</f>
        <v>Neighbourhood</v>
      </c>
      <c r="D12954" s="2" t="str">
        <f ca="1">IFERROR(__xludf.DUMMYFUNCTION("""COMPUTED_VALUE"""),"Dubai&gt;Ghaf Woods&gt;Capria East")</f>
        <v>Dubai&gt;Ghaf Woods&gt;Capria East</v>
      </c>
      <c r="E12954" s="2"/>
      <c r="F12954" s="2"/>
      <c r="G12954" s="2"/>
      <c r="H12954" s="2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2"/>
      <c r="T12954" s="2"/>
      <c r="U12954" s="2"/>
      <c r="V12954" s="2"/>
      <c r="W12954" s="2"/>
      <c r="X12954" s="2"/>
      <c r="Y12954" s="2"/>
      <c r="Z12954" s="2"/>
    </row>
    <row r="12955" spans="1:26" ht="16.5" x14ac:dyDescent="0.35">
      <c r="A12955" s="2" t="str">
        <f ca="1">IFERROR(__xludf.DUMMYFUNCTION("""COMPUTED_VALUE"""),"Dubai")</f>
        <v>Dubai</v>
      </c>
      <c r="B12955" s="2" t="str">
        <f ca="1">IFERROR(__xludf.DUMMYFUNCTION("""COMPUTED_VALUE"""),"British Orchard Nursery JBR")</f>
        <v>British Orchard Nursery JBR</v>
      </c>
      <c r="C12955" s="2" t="str">
        <f ca="1">IFERROR(__xludf.DUMMYFUNCTION("""COMPUTED_VALUE"""),"Nursery")</f>
        <v>Nursery</v>
      </c>
      <c r="D12955" s="2" t="str">
        <f ca="1">IFERROR(__xludf.DUMMYFUNCTION("""COMPUTED_VALUE"""),"Dubai&gt;Jumeirah Beach Residence (JBR)&gt;British Orchard Nursery JBR")</f>
        <v>Dubai&gt;Jumeirah Beach Residence (JBR)&gt;British Orchard Nursery JBR</v>
      </c>
      <c r="E12955" s="2"/>
      <c r="F12955" s="2"/>
      <c r="G12955" s="2"/>
      <c r="H12955" s="2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2"/>
      <c r="T12955" s="2"/>
      <c r="U12955" s="2"/>
      <c r="V12955" s="2"/>
      <c r="W12955" s="2"/>
      <c r="X12955" s="2"/>
      <c r="Y12955" s="2"/>
      <c r="Z12955" s="2"/>
    </row>
    <row r="12956" spans="1:26" ht="16.5" x14ac:dyDescent="0.35">
      <c r="A12956" s="2" t="str">
        <f ca="1">IFERROR(__xludf.DUMMYFUNCTION("""COMPUTED_VALUE"""),"Dubai")</f>
        <v>Dubai</v>
      </c>
      <c r="B12956" s="2" t="str">
        <f ca="1">IFERROR(__xludf.DUMMYFUNCTION("""COMPUTED_VALUE"""),"Murjan 5")</f>
        <v>Murjan 5</v>
      </c>
      <c r="C12956" s="2" t="str">
        <f ca="1">IFERROR(__xludf.DUMMYFUNCTION("""COMPUTED_VALUE"""),"Building")</f>
        <v>Building</v>
      </c>
      <c r="D12956" s="2" t="str">
        <f ca="1">IFERROR(__xludf.DUMMYFUNCTION("""COMPUTED_VALUE"""),"Dubai&gt;Jumeirah Beach Residence (JBR)&gt;Murjan&gt;Murjan 5")</f>
        <v>Dubai&gt;Jumeirah Beach Residence (JBR)&gt;Murjan&gt;Murjan 5</v>
      </c>
      <c r="E12956" s="2"/>
      <c r="F12956" s="2"/>
      <c r="G12956" s="2"/>
      <c r="H12956" s="2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2"/>
      <c r="T12956" s="2"/>
      <c r="U12956" s="2"/>
      <c r="V12956" s="2"/>
      <c r="W12956" s="2"/>
      <c r="X12956" s="2"/>
      <c r="Y12956" s="2"/>
      <c r="Z12956" s="2"/>
    </row>
    <row r="12957" spans="1:26" ht="16.5" x14ac:dyDescent="0.35">
      <c r="A12957" s="2" t="str">
        <f ca="1">IFERROR(__xludf.DUMMYFUNCTION("""COMPUTED_VALUE"""),"Dubai")</f>
        <v>Dubai</v>
      </c>
      <c r="B12957" s="2" t="str">
        <f ca="1">IFERROR(__xludf.DUMMYFUNCTION("""COMPUTED_VALUE"""),"Amwaj 3")</f>
        <v>Amwaj 3</v>
      </c>
      <c r="C12957" s="2" t="str">
        <f ca="1">IFERROR(__xludf.DUMMYFUNCTION("""COMPUTED_VALUE"""),"Building")</f>
        <v>Building</v>
      </c>
      <c r="D12957" s="2" t="str">
        <f ca="1">IFERROR(__xludf.DUMMYFUNCTION("""COMPUTED_VALUE"""),"Dubai&gt;Jumeirah Beach Residence (JBR)&gt;Amwaj&gt;Amwaj 3")</f>
        <v>Dubai&gt;Jumeirah Beach Residence (JBR)&gt;Amwaj&gt;Amwaj 3</v>
      </c>
      <c r="E12957" s="2"/>
      <c r="F12957" s="2"/>
      <c r="G12957" s="2"/>
      <c r="H12957" s="2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2"/>
      <c r="T12957" s="2"/>
      <c r="U12957" s="2"/>
      <c r="V12957" s="2"/>
      <c r="W12957" s="2"/>
      <c r="X12957" s="2"/>
      <c r="Y12957" s="2"/>
      <c r="Z12957" s="2"/>
    </row>
    <row r="12958" spans="1:26" ht="16.5" x14ac:dyDescent="0.35">
      <c r="A12958" s="2" t="str">
        <f ca="1">IFERROR(__xludf.DUMMYFUNCTION("""COMPUTED_VALUE"""),"Dubai")</f>
        <v>Dubai</v>
      </c>
      <c r="B12958" s="2" t="str">
        <f ca="1">IFERROR(__xludf.DUMMYFUNCTION("""COMPUTED_VALUE"""),"Tahiti")</f>
        <v>Tahiti</v>
      </c>
      <c r="C12958" s="2" t="str">
        <f ca="1">IFERROR(__xludf.DUMMYFUNCTION("""COMPUTED_VALUE"""),"Neighbourhood")</f>
        <v>Neighbourhood</v>
      </c>
      <c r="D12958" s="2" t="str">
        <f ca="1">IFERROR(__xludf.DUMMYFUNCTION("""COMPUTED_VALUE"""),"Dubai&gt;DAMAC Islands 2&gt;Tahiti")</f>
        <v>Dubai&gt;DAMAC Islands 2&gt;Tahiti</v>
      </c>
      <c r="E12958" s="2"/>
      <c r="F12958" s="2"/>
      <c r="G12958" s="2"/>
      <c r="H12958" s="2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2"/>
      <c r="T12958" s="2"/>
      <c r="U12958" s="2"/>
      <c r="V12958" s="2"/>
      <c r="W12958" s="2"/>
      <c r="X12958" s="2"/>
      <c r="Y12958" s="2"/>
      <c r="Z12958" s="2"/>
    </row>
    <row r="12959" spans="1:26" ht="16.5" x14ac:dyDescent="0.35">
      <c r="A12959" s="2" t="str">
        <f ca="1">IFERROR(__xludf.DUMMYFUNCTION("""COMPUTED_VALUE"""),"Dubai")</f>
        <v>Dubai</v>
      </c>
      <c r="B12959" s="2" t="str">
        <f ca="1">IFERROR(__xludf.DUMMYFUNCTION("""COMPUTED_VALUE"""),"Building 13B")</f>
        <v>Building 13B</v>
      </c>
      <c r="C12959" s="2" t="str">
        <f ca="1">IFERROR(__xludf.DUMMYFUNCTION("""COMPUTED_VALUE"""),"Building")</f>
        <v>Building</v>
      </c>
      <c r="D12959" s="2" t="str">
        <f ca="1">IFERROR(__xludf.DUMMYFUNCTION("""COMPUTED_VALUE"""),"Dubai&gt;Al Wasl&gt;City Walk&gt;Building 13B")</f>
        <v>Dubai&gt;Al Wasl&gt;City Walk&gt;Building 13B</v>
      </c>
      <c r="E12959" s="2"/>
      <c r="F12959" s="2"/>
      <c r="G12959" s="2"/>
      <c r="H12959" s="2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2"/>
      <c r="T12959" s="2"/>
      <c r="U12959" s="2"/>
      <c r="V12959" s="2"/>
      <c r="W12959" s="2"/>
      <c r="X12959" s="2"/>
      <c r="Y12959" s="2"/>
      <c r="Z12959" s="2"/>
    </row>
    <row r="12960" spans="1:26" ht="16.5" x14ac:dyDescent="0.35">
      <c r="A12960" s="2" t="str">
        <f ca="1">IFERROR(__xludf.DUMMYFUNCTION("""COMPUTED_VALUE"""),"Dubai")</f>
        <v>Dubai</v>
      </c>
      <c r="B12960" s="2" t="str">
        <f ca="1">IFERROR(__xludf.DUMMYFUNCTION("""COMPUTED_VALUE"""),"Central Park Plaza Tower B")</f>
        <v>Central Park Plaza Tower B</v>
      </c>
      <c r="C12960" s="2" t="str">
        <f ca="1">IFERROR(__xludf.DUMMYFUNCTION("""COMPUTED_VALUE"""),"Building")</f>
        <v>Building</v>
      </c>
      <c r="D12960" s="2" t="str">
        <f ca="1">IFERROR(__xludf.DUMMYFUNCTION("""COMPUTED_VALUE"""),"Dubai&gt;Al Wasl&gt;City Walk&gt;Central Park&gt;Central Park Plaza&gt;Central Park Plaza Tower B")</f>
        <v>Dubai&gt;Al Wasl&gt;City Walk&gt;Central Park&gt;Central Park Plaza&gt;Central Park Plaza Tower B</v>
      </c>
      <c r="E12960" s="2"/>
      <c r="F12960" s="2"/>
      <c r="G12960" s="2"/>
      <c r="H12960" s="2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2"/>
      <c r="T12960" s="2"/>
      <c r="U12960" s="2"/>
      <c r="V12960" s="2"/>
      <c r="W12960" s="2"/>
      <c r="X12960" s="2"/>
      <c r="Y12960" s="2"/>
      <c r="Z12960" s="2"/>
    </row>
    <row r="12961" spans="1:26" ht="16.5" x14ac:dyDescent="0.35">
      <c r="A12961" s="2" t="str">
        <f ca="1">IFERROR(__xludf.DUMMYFUNCTION("""COMPUTED_VALUE"""),"Dubai")</f>
        <v>Dubai</v>
      </c>
      <c r="B12961" s="2" t="str">
        <f ca="1">IFERROR(__xludf.DUMMYFUNCTION("""COMPUTED_VALUE"""),"City Walk Crestlane 5")</f>
        <v>City Walk Crestlane 5</v>
      </c>
      <c r="C12961" s="2" t="str">
        <f ca="1">IFERROR(__xludf.DUMMYFUNCTION("""COMPUTED_VALUE"""),"Cluster")</f>
        <v>Cluster</v>
      </c>
      <c r="D12961" s="2" t="str">
        <f ca="1">IFERROR(__xludf.DUMMYFUNCTION("""COMPUTED_VALUE"""),"Dubai&gt;Al Wasl&gt;City Walk&gt;City Walk Crestlane 5")</f>
        <v>Dubai&gt;Al Wasl&gt;City Walk&gt;City Walk Crestlane 5</v>
      </c>
      <c r="E12961" s="2"/>
      <c r="F12961" s="2"/>
      <c r="G12961" s="2"/>
      <c r="H12961" s="2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2"/>
      <c r="T12961" s="2"/>
      <c r="U12961" s="2"/>
      <c r="V12961" s="2"/>
      <c r="W12961" s="2"/>
      <c r="X12961" s="2"/>
      <c r="Y12961" s="2"/>
      <c r="Z12961" s="2"/>
    </row>
    <row r="12962" spans="1:26" ht="16.5" x14ac:dyDescent="0.35">
      <c r="A12962" s="2" t="str">
        <f ca="1">IFERROR(__xludf.DUMMYFUNCTION("""COMPUTED_VALUE"""),"Dubai")</f>
        <v>Dubai</v>
      </c>
      <c r="B12962" s="2" t="str">
        <f ca="1">IFERROR(__xludf.DUMMYFUNCTION("""COMPUTED_VALUE"""),"Muraba Veil")</f>
        <v>Muraba Veil</v>
      </c>
      <c r="C12962" s="2" t="str">
        <f ca="1">IFERROR(__xludf.DUMMYFUNCTION("""COMPUTED_VALUE"""),"Building")</f>
        <v>Building</v>
      </c>
      <c r="D12962" s="2" t="str">
        <f ca="1">IFERROR(__xludf.DUMMYFUNCTION("""COMPUTED_VALUE"""),"Dubai&gt;Al Wasl&gt;Muraba Veil")</f>
        <v>Dubai&gt;Al Wasl&gt;Muraba Veil</v>
      </c>
      <c r="E12962" s="2"/>
      <c r="F12962" s="2"/>
      <c r="G12962" s="2"/>
      <c r="H12962" s="2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2"/>
      <c r="T12962" s="2"/>
      <c r="U12962" s="2"/>
      <c r="V12962" s="2"/>
      <c r="W12962" s="2"/>
      <c r="X12962" s="2"/>
      <c r="Y12962" s="2"/>
      <c r="Z12962" s="2"/>
    </row>
    <row r="12963" spans="1:26" ht="16.5" x14ac:dyDescent="0.35">
      <c r="A12963" s="2" t="str">
        <f ca="1">IFERROR(__xludf.DUMMYFUNCTION("""COMPUTED_VALUE"""),"Dubai")</f>
        <v>Dubai</v>
      </c>
      <c r="B12963" s="2" t="str">
        <f ca="1">IFERROR(__xludf.DUMMYFUNCTION("""COMPUTED_VALUE"""),"Al Dhabi Tower")</f>
        <v>Al Dhabi Tower</v>
      </c>
      <c r="C12963" s="2" t="str">
        <f ca="1">IFERROR(__xludf.DUMMYFUNCTION("""COMPUTED_VALUE"""),"Building")</f>
        <v>Building</v>
      </c>
      <c r="D12963" s="2" t="str">
        <f ca="1">IFERROR(__xludf.DUMMYFUNCTION("""COMPUTED_VALUE"""),"Dubai&gt;Arjan&gt;Al Dhabi Tower")</f>
        <v>Dubai&gt;Arjan&gt;Al Dhabi Tower</v>
      </c>
      <c r="E12963" s="2"/>
      <c r="F12963" s="2"/>
      <c r="G12963" s="2"/>
      <c r="H12963" s="2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2"/>
      <c r="T12963" s="2"/>
      <c r="U12963" s="2"/>
      <c r="V12963" s="2"/>
      <c r="W12963" s="2"/>
      <c r="X12963" s="2"/>
      <c r="Y12963" s="2"/>
      <c r="Z12963" s="2"/>
    </row>
    <row r="12964" spans="1:26" ht="16.5" x14ac:dyDescent="0.35">
      <c r="A12964" s="2" t="str">
        <f ca="1">IFERROR(__xludf.DUMMYFUNCTION("""COMPUTED_VALUE"""),"Dubai")</f>
        <v>Dubai</v>
      </c>
      <c r="B12964" s="2" t="str">
        <f ca="1">IFERROR(__xludf.DUMMYFUNCTION("""COMPUTED_VALUE"""),"Dania Block C")</f>
        <v>Dania Block C</v>
      </c>
      <c r="C12964" s="2" t="str">
        <f ca="1">IFERROR(__xludf.DUMMYFUNCTION("""COMPUTED_VALUE"""),"Building")</f>
        <v>Building</v>
      </c>
      <c r="D12964" s="2" t="str">
        <f ca="1">IFERROR(__xludf.DUMMYFUNCTION("""COMPUTED_VALUE"""),"Dubai&gt;Arjan&gt;Dania&gt;Dania Block C")</f>
        <v>Dubai&gt;Arjan&gt;Dania&gt;Dania Block C</v>
      </c>
      <c r="E12964" s="2"/>
      <c r="F12964" s="2"/>
      <c r="G12964" s="2"/>
      <c r="H12964" s="2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2"/>
      <c r="T12964" s="2"/>
      <c r="U12964" s="2"/>
      <c r="V12964" s="2"/>
      <c r="W12964" s="2"/>
      <c r="X12964" s="2"/>
      <c r="Y12964" s="2"/>
      <c r="Z12964" s="2"/>
    </row>
    <row r="12965" spans="1:26" ht="16.5" x14ac:dyDescent="0.35">
      <c r="A12965" s="2" t="str">
        <f ca="1">IFERROR(__xludf.DUMMYFUNCTION("""COMPUTED_VALUE"""),"Dubai")</f>
        <v>Dubai</v>
      </c>
      <c r="B12965" s="2" t="str">
        <f ca="1">IFERROR(__xludf.DUMMYFUNCTION("""COMPUTED_VALUE"""),"Platinum One")</f>
        <v>Platinum One</v>
      </c>
      <c r="C12965" s="2" t="str">
        <f ca="1">IFERROR(__xludf.DUMMYFUNCTION("""COMPUTED_VALUE"""),"Building")</f>
        <v>Building</v>
      </c>
      <c r="D12965" s="2" t="str">
        <f ca="1">IFERROR(__xludf.DUMMYFUNCTION("""COMPUTED_VALUE"""),"Dubai&gt;Arjan&gt;Platinum One")</f>
        <v>Dubai&gt;Arjan&gt;Platinum One</v>
      </c>
      <c r="E12965" s="2"/>
      <c r="F12965" s="2"/>
      <c r="G12965" s="2"/>
      <c r="H12965" s="2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2"/>
      <c r="T12965" s="2"/>
      <c r="U12965" s="2"/>
      <c r="V12965" s="2"/>
      <c r="W12965" s="2"/>
      <c r="X12965" s="2"/>
      <c r="Y12965" s="2"/>
      <c r="Z12965" s="2"/>
    </row>
    <row r="12966" spans="1:26" ht="16.5" x14ac:dyDescent="0.35">
      <c r="A12966" s="2" t="str">
        <f ca="1">IFERROR(__xludf.DUMMYFUNCTION("""COMPUTED_VALUE"""),"Dubai")</f>
        <v>Dubai</v>
      </c>
      <c r="B12966" s="2" t="str">
        <f ca="1">IFERROR(__xludf.DUMMYFUNCTION("""COMPUTED_VALUE"""),"Burj Residence 3")</f>
        <v>Burj Residence 3</v>
      </c>
      <c r="C12966" s="2" t="str">
        <f ca="1">IFERROR(__xludf.DUMMYFUNCTION("""COMPUTED_VALUE"""),"Building")</f>
        <v>Building</v>
      </c>
      <c r="D12966" s="2" t="str">
        <f ca="1">IFERROR(__xludf.DUMMYFUNCTION("""COMPUTED_VALUE"""),"Dubai&gt;Arjan&gt;Burj Residence 3")</f>
        <v>Dubai&gt;Arjan&gt;Burj Residence 3</v>
      </c>
      <c r="E12966" s="2"/>
      <c r="F12966" s="2"/>
      <c r="G12966" s="2"/>
      <c r="H12966" s="2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2"/>
      <c r="T12966" s="2"/>
      <c r="U12966" s="2"/>
      <c r="V12966" s="2"/>
      <c r="W12966" s="2"/>
      <c r="X12966" s="2"/>
      <c r="Y12966" s="2"/>
      <c r="Z12966" s="2"/>
    </row>
    <row r="12967" spans="1:26" ht="16.5" x14ac:dyDescent="0.35">
      <c r="A12967" s="2" t="str">
        <f ca="1">IFERROR(__xludf.DUMMYFUNCTION("""COMPUTED_VALUE"""),"Dubai")</f>
        <v>Dubai</v>
      </c>
      <c r="B12967" s="2" t="str">
        <f ca="1">IFERROR(__xludf.DUMMYFUNCTION("""COMPUTED_VALUE"""),"Skylines of Arjan")</f>
        <v>Skylines of Arjan</v>
      </c>
      <c r="C12967" s="2" t="str">
        <f ca="1">IFERROR(__xludf.DUMMYFUNCTION("""COMPUTED_VALUE"""),"Cluster")</f>
        <v>Cluster</v>
      </c>
      <c r="D12967" s="2" t="str">
        <f ca="1">IFERROR(__xludf.DUMMYFUNCTION("""COMPUTED_VALUE"""),"Dubai&gt;Arjan&gt;Skylines of Arjan")</f>
        <v>Dubai&gt;Arjan&gt;Skylines of Arjan</v>
      </c>
      <c r="E12967" s="2"/>
      <c r="F12967" s="2"/>
      <c r="G12967" s="2"/>
      <c r="H12967" s="2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2"/>
      <c r="T12967" s="2"/>
      <c r="U12967" s="2"/>
      <c r="V12967" s="2"/>
      <c r="W12967" s="2"/>
      <c r="X12967" s="2"/>
      <c r="Y12967" s="2"/>
      <c r="Z12967" s="2"/>
    </row>
    <row r="12968" spans="1:26" ht="16.5" x14ac:dyDescent="0.35">
      <c r="A12968" s="2" t="str">
        <f ca="1">IFERROR(__xludf.DUMMYFUNCTION("""COMPUTED_VALUE"""),"Dubai")</f>
        <v>Dubai</v>
      </c>
      <c r="B12968" s="2" t="str">
        <f ca="1">IFERROR(__xludf.DUMMYFUNCTION("""COMPUTED_VALUE"""),"Al Fahed Contracting Co. Hotel Building")</f>
        <v>Al Fahed Contracting Co. Hotel Building</v>
      </c>
      <c r="C12968" s="2" t="str">
        <f ca="1">IFERROR(__xludf.DUMMYFUNCTION("""COMPUTED_VALUE"""),"Building")</f>
        <v>Building</v>
      </c>
      <c r="D12968" s="2" t="str">
        <f ca="1">IFERROR(__xludf.DUMMYFUNCTION("""COMPUTED_VALUE"""),"Dubai&gt;Arjan&gt;Al Fahed Contracting Co. Hotel Building")</f>
        <v>Dubai&gt;Arjan&gt;Al Fahed Contracting Co. Hotel Building</v>
      </c>
      <c r="E12968" s="2"/>
      <c r="F12968" s="2"/>
      <c r="G12968" s="2"/>
      <c r="H12968" s="2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2"/>
      <c r="T12968" s="2"/>
      <c r="U12968" s="2"/>
      <c r="V12968" s="2"/>
      <c r="W12968" s="2"/>
      <c r="X12968" s="2"/>
      <c r="Y12968" s="2"/>
      <c r="Z12968" s="2"/>
    </row>
    <row r="12969" spans="1:26" ht="16.5" x14ac:dyDescent="0.35">
      <c r="A12969" s="2" t="str">
        <f ca="1">IFERROR(__xludf.DUMMYFUNCTION("""COMPUTED_VALUE"""),"Dubai")</f>
        <v>Dubai</v>
      </c>
      <c r="B12969" s="2" t="str">
        <f ca="1">IFERROR(__xludf.DUMMYFUNCTION("""COMPUTED_VALUE"""),"Bin Ham Villa Complex")</f>
        <v>Bin Ham Villa Complex</v>
      </c>
      <c r="C12969" s="2" t="str">
        <f ca="1">IFERROR(__xludf.DUMMYFUNCTION("""COMPUTED_VALUE"""),"Neighbourhood")</f>
        <v>Neighbourhood</v>
      </c>
      <c r="D12969" s="2" t="str">
        <f ca="1">IFERROR(__xludf.DUMMYFUNCTION("""COMPUTED_VALUE"""),"Dubai&gt;Al Safa&gt;Al Safa 2&gt;Bin Ham Villa Complex")</f>
        <v>Dubai&gt;Al Safa&gt;Al Safa 2&gt;Bin Ham Villa Complex</v>
      </c>
      <c r="E12969" s="2"/>
      <c r="F12969" s="2"/>
      <c r="G12969" s="2"/>
      <c r="H12969" s="2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2"/>
      <c r="T12969" s="2"/>
      <c r="U12969" s="2"/>
      <c r="V12969" s="2"/>
      <c r="W12969" s="2"/>
      <c r="X12969" s="2"/>
      <c r="Y12969" s="2"/>
      <c r="Z12969" s="2"/>
    </row>
    <row r="12970" spans="1:26" ht="16.5" x14ac:dyDescent="0.35">
      <c r="A12970" s="2" t="str">
        <f ca="1">IFERROR(__xludf.DUMMYFUNCTION("""COMPUTED_VALUE"""),"Dubai")</f>
        <v>Dubai</v>
      </c>
      <c r="B12970" s="2" t="str">
        <f ca="1">IFERROR(__xludf.DUMMYFUNCTION("""COMPUTED_VALUE"""),"MBC Building")</f>
        <v>MBC Building</v>
      </c>
      <c r="C12970" s="2" t="str">
        <f ca="1">IFERROR(__xludf.DUMMYFUNCTION("""COMPUTED_VALUE"""),"Building")</f>
        <v>Building</v>
      </c>
      <c r="D12970" s="2" t="str">
        <f ca="1">IFERROR(__xludf.DUMMYFUNCTION("""COMPUTED_VALUE"""),"Dubai&gt;Dubai Media City&gt;MBC Building")</f>
        <v>Dubai&gt;Dubai Media City&gt;MBC Building</v>
      </c>
      <c r="E12970" s="2"/>
      <c r="F12970" s="2"/>
      <c r="G12970" s="2"/>
      <c r="H12970" s="2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2"/>
      <c r="T12970" s="2"/>
      <c r="U12970" s="2"/>
      <c r="V12970" s="2"/>
      <c r="W12970" s="2"/>
      <c r="X12970" s="2"/>
      <c r="Y12970" s="2"/>
      <c r="Z12970" s="2"/>
    </row>
    <row r="12971" spans="1:26" ht="16.5" x14ac:dyDescent="0.35">
      <c r="A12971" s="2" t="str">
        <f ca="1">IFERROR(__xludf.DUMMYFUNCTION("""COMPUTED_VALUE"""),"Abu Dhabi")</f>
        <v>Abu Dhabi</v>
      </c>
      <c r="B12971" s="2" t="str">
        <f ca="1">IFERROR(__xludf.DUMMYFUNCTION("""COMPUTED_VALUE"""),"Beachfront Residences")</f>
        <v>Beachfront Residences</v>
      </c>
      <c r="C12971" s="2"/>
      <c r="D12971" s="2" t="str">
        <f ca="1">IFERROR(__xludf.DUMMYFUNCTION("""COMPUTED_VALUE"""),"Abu Dhabi&gt;Nurai Island&gt;Beachfront Residences")</f>
        <v>Abu Dhabi&gt;Nurai Island&gt;Beachfront Residences</v>
      </c>
      <c r="E12971" s="2"/>
      <c r="F12971" s="2"/>
      <c r="G12971" s="2"/>
      <c r="H12971" s="2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2"/>
      <c r="T12971" s="2"/>
      <c r="U12971" s="2"/>
      <c r="V12971" s="2"/>
      <c r="W12971" s="2"/>
      <c r="X12971" s="2"/>
      <c r="Y12971" s="2"/>
      <c r="Z12971" s="2"/>
    </row>
    <row r="12972" spans="1:26" ht="16.5" x14ac:dyDescent="0.35">
      <c r="A12972" s="2" t="str">
        <f ca="1">IFERROR(__xludf.DUMMYFUNCTION("""COMPUTED_VALUE"""),"Abu Dhabi")</f>
        <v>Abu Dhabi</v>
      </c>
      <c r="B12972" s="2" t="str">
        <f ca="1">IFERROR(__xludf.DUMMYFUNCTION("""COMPUTED_VALUE"""),"White Tower")</f>
        <v>White Tower</v>
      </c>
      <c r="C12972" s="2" t="str">
        <f ca="1">IFERROR(__xludf.DUMMYFUNCTION("""COMPUTED_VALUE"""),"Building")</f>
        <v>Building</v>
      </c>
      <c r="D12972" s="2" t="str">
        <f ca="1">IFERROR(__xludf.DUMMYFUNCTION("""COMPUTED_VALUE"""),"Abu Dhabi&gt;Al Bateen&gt;White Tower")</f>
        <v>Abu Dhabi&gt;Al Bateen&gt;White Tower</v>
      </c>
      <c r="E12972" s="2"/>
      <c r="F12972" s="2"/>
      <c r="G12972" s="2"/>
      <c r="H12972" s="2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2"/>
      <c r="T12972" s="2"/>
      <c r="U12972" s="2"/>
      <c r="V12972" s="2"/>
      <c r="W12972" s="2"/>
      <c r="X12972" s="2"/>
      <c r="Y12972" s="2"/>
      <c r="Z12972" s="2"/>
    </row>
    <row r="12973" spans="1:26" ht="16.5" x14ac:dyDescent="0.35">
      <c r="A12973" s="2" t="str">
        <f ca="1">IFERROR(__xludf.DUMMYFUNCTION("""COMPUTED_VALUE"""),"Abu Dhabi")</f>
        <v>Abu Dhabi</v>
      </c>
      <c r="B12973" s="2" t="str">
        <f ca="1">IFERROR(__xludf.DUMMYFUNCTION("""COMPUTED_VALUE"""),"C13 Building")</f>
        <v>C13 Building</v>
      </c>
      <c r="C12973" s="2" t="str">
        <f ca="1">IFERROR(__xludf.DUMMYFUNCTION("""COMPUTED_VALUE"""),"Building")</f>
        <v>Building</v>
      </c>
      <c r="D12973" s="2" t="str">
        <f ca="1">IFERROR(__xludf.DUMMYFUNCTION("""COMPUTED_VALUE"""),"Abu Dhabi&gt;Airport Street&gt;C13 Building")</f>
        <v>Abu Dhabi&gt;Airport Street&gt;C13 Building</v>
      </c>
      <c r="E12973" s="2"/>
      <c r="F12973" s="2"/>
      <c r="G12973" s="2"/>
      <c r="H12973" s="2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2"/>
      <c r="T12973" s="2"/>
      <c r="U12973" s="2"/>
      <c r="V12973" s="2"/>
      <c r="W12973" s="2"/>
      <c r="X12973" s="2"/>
      <c r="Y12973" s="2"/>
      <c r="Z12973" s="2"/>
    </row>
    <row r="12974" spans="1:26" ht="16.5" x14ac:dyDescent="0.35">
      <c r="A12974" s="2" t="str">
        <f ca="1">IFERROR(__xludf.DUMMYFUNCTION("""COMPUTED_VALUE"""),"Abu Dhabi")</f>
        <v>Abu Dhabi</v>
      </c>
      <c r="B12974" s="2" t="str">
        <f ca="1">IFERROR(__xludf.DUMMYFUNCTION("""COMPUTED_VALUE"""),"Khalifa Residential Complex B Building 1")</f>
        <v>Khalifa Residential Complex B Building 1</v>
      </c>
      <c r="C12974" s="2" t="str">
        <f ca="1">IFERROR(__xludf.DUMMYFUNCTION("""COMPUTED_VALUE"""),"Building")</f>
        <v>Building</v>
      </c>
      <c r="D12974" s="2" t="str">
        <f ca="1">IFERROR(__xludf.DUMMYFUNCTION("""COMPUTED_VALUE"""),"Abu Dhabi&gt;Tourist Club Area (TCA)&gt;Khalifa Residential Complex B&gt;Khalifa Residential Complex B Building 1")</f>
        <v>Abu Dhabi&gt;Tourist Club Area (TCA)&gt;Khalifa Residential Complex B&gt;Khalifa Residential Complex B Building 1</v>
      </c>
      <c r="E12974" s="2"/>
      <c r="F12974" s="2"/>
      <c r="G12974" s="2"/>
      <c r="H12974" s="2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2"/>
      <c r="T12974" s="2"/>
      <c r="U12974" s="2"/>
      <c r="V12974" s="2"/>
      <c r="W12974" s="2"/>
      <c r="X12974" s="2"/>
      <c r="Y12974" s="2"/>
      <c r="Z12974" s="2"/>
    </row>
    <row r="12975" spans="1:26" ht="16.5" x14ac:dyDescent="0.35">
      <c r="A12975" s="2" t="str">
        <f ca="1">IFERROR(__xludf.DUMMYFUNCTION("""COMPUTED_VALUE"""),"Abu Dhabi")</f>
        <v>Abu Dhabi</v>
      </c>
      <c r="B12975" s="2" t="str">
        <f ca="1">IFERROR(__xludf.DUMMYFUNCTION("""COMPUTED_VALUE"""),"Vision Private School")</f>
        <v>Vision Private School</v>
      </c>
      <c r="C12975" s="2" t="str">
        <f ca="1">IFERROR(__xludf.DUMMYFUNCTION("""COMPUTED_VALUE"""),"School")</f>
        <v>School</v>
      </c>
      <c r="D12975" s="2" t="str">
        <f ca="1">IFERROR(__xludf.DUMMYFUNCTION("""COMPUTED_VALUE"""),"Abu Dhabi&gt;Al Mushrif&gt;Vision Private School")</f>
        <v>Abu Dhabi&gt;Al Mushrif&gt;Vision Private School</v>
      </c>
      <c r="E12975" s="2"/>
      <c r="F12975" s="2"/>
      <c r="G12975" s="2"/>
      <c r="H12975" s="2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2"/>
      <c r="T12975" s="2"/>
      <c r="U12975" s="2"/>
      <c r="V12975" s="2"/>
      <c r="W12975" s="2"/>
      <c r="X12975" s="2"/>
      <c r="Y12975" s="2"/>
      <c r="Z12975" s="2"/>
    </row>
    <row r="12976" spans="1:26" ht="16.5" x14ac:dyDescent="0.35">
      <c r="A12976" s="2" t="str">
        <f ca="1">IFERROR(__xludf.DUMMYFUNCTION("""COMPUTED_VALUE"""),"Abu Dhabi")</f>
        <v>Abu Dhabi</v>
      </c>
      <c r="B12976" s="2" t="str">
        <f ca="1">IFERROR(__xludf.DUMMYFUNCTION("""COMPUTED_VALUE"""),"Brighton College Abu Dhabi")</f>
        <v>Brighton College Abu Dhabi</v>
      </c>
      <c r="C12976" s="2" t="str">
        <f ca="1">IFERROR(__xludf.DUMMYFUNCTION("""COMPUTED_VALUE"""),"School")</f>
        <v>School</v>
      </c>
      <c r="D12976" s="2" t="str">
        <f ca="1">IFERROR(__xludf.DUMMYFUNCTION("""COMPUTED_VALUE"""),"Abu Dhabi&gt;Al Muntazah&gt;Brighton College Abu Dhabi")</f>
        <v>Abu Dhabi&gt;Al Muntazah&gt;Brighton College Abu Dhabi</v>
      </c>
      <c r="E12976" s="2"/>
      <c r="F12976" s="2"/>
      <c r="G12976" s="2"/>
      <c r="H12976" s="2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2"/>
      <c r="T12976" s="2"/>
      <c r="U12976" s="2"/>
      <c r="V12976" s="2"/>
      <c r="W12976" s="2"/>
      <c r="X12976" s="2"/>
      <c r="Y12976" s="2"/>
      <c r="Z12976" s="2"/>
    </row>
    <row r="12977" spans="1:26" ht="16.5" x14ac:dyDescent="0.35">
      <c r="A12977" s="2" t="str">
        <f ca="1">IFERROR(__xludf.DUMMYFUNCTION("""COMPUTED_VALUE"""),"Abu Dhabi")</f>
        <v>Abu Dhabi</v>
      </c>
      <c r="B12977" s="2" t="str">
        <f ca="1">IFERROR(__xludf.DUMMYFUNCTION("""COMPUTED_VALUE"""),"Qaryat Al Beri")</f>
        <v>Qaryat Al Beri</v>
      </c>
      <c r="C12977" s="2" t="str">
        <f ca="1">IFERROR(__xludf.DUMMYFUNCTION("""COMPUTED_VALUE"""),"Neighbourhood")</f>
        <v>Neighbourhood</v>
      </c>
      <c r="D12977" s="2" t="str">
        <f ca="1">IFERROR(__xludf.DUMMYFUNCTION("""COMPUTED_VALUE"""),"Abu Dhabi&gt;Rabdan&gt;Qaryat Al Beri")</f>
        <v>Abu Dhabi&gt;Rabdan&gt;Qaryat Al Beri</v>
      </c>
      <c r="E12977" s="2"/>
      <c r="F12977" s="2"/>
      <c r="G12977" s="2"/>
      <c r="H12977" s="2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2"/>
      <c r="T12977" s="2"/>
      <c r="U12977" s="2"/>
      <c r="V12977" s="2"/>
      <c r="W12977" s="2"/>
      <c r="X12977" s="2"/>
      <c r="Y12977" s="2"/>
      <c r="Z12977" s="2"/>
    </row>
    <row r="12978" spans="1:26" ht="16.5" x14ac:dyDescent="0.35">
      <c r="A12978" s="2" t="str">
        <f ca="1">IFERROR(__xludf.DUMMYFUNCTION("""COMPUTED_VALUE"""),"Abu Dhabi")</f>
        <v>Abu Dhabi</v>
      </c>
      <c r="B12978" s="2" t="str">
        <f ca="1">IFERROR(__xludf.DUMMYFUNCTION("""COMPUTED_VALUE"""),"Siemens Building")</f>
        <v>Siemens Building</v>
      </c>
      <c r="C12978" s="2" t="str">
        <f ca="1">IFERROR(__xludf.DUMMYFUNCTION("""COMPUTED_VALUE"""),"Building")</f>
        <v>Building</v>
      </c>
      <c r="D12978" s="2" t="str">
        <f ca="1">IFERROR(__xludf.DUMMYFUNCTION("""COMPUTED_VALUE"""),"Abu Dhabi&gt;Masdar City&gt;Siemens Building")</f>
        <v>Abu Dhabi&gt;Masdar City&gt;Siemens Building</v>
      </c>
      <c r="E12978" s="2"/>
      <c r="F12978" s="2"/>
      <c r="G12978" s="2"/>
      <c r="H12978" s="2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2"/>
      <c r="T12978" s="2"/>
      <c r="U12978" s="2"/>
      <c r="V12978" s="2"/>
      <c r="W12978" s="2"/>
      <c r="X12978" s="2"/>
      <c r="Y12978" s="2"/>
      <c r="Z12978" s="2"/>
    </row>
    <row r="12979" spans="1:26" ht="16.5" x14ac:dyDescent="0.35">
      <c r="A12979" s="2" t="str">
        <f ca="1">IFERROR(__xludf.DUMMYFUNCTION("""COMPUTED_VALUE"""),"Abu Dhabi")</f>
        <v>Abu Dhabi</v>
      </c>
      <c r="B12979" s="2" t="str">
        <f ca="1">IFERROR(__xludf.DUMMYFUNCTION("""COMPUTED_VALUE"""),"Al Danah")</f>
        <v>Al Danah</v>
      </c>
      <c r="C12979" s="2" t="str">
        <f ca="1">IFERROR(__xludf.DUMMYFUNCTION("""COMPUTED_VALUE"""),"Neighbourhood")</f>
        <v>Neighbourhood</v>
      </c>
      <c r="D12979" s="2" t="str">
        <f ca="1">IFERROR(__xludf.DUMMYFUNCTION("""COMPUTED_VALUE"""),"Abu Dhabi&gt;Al Danah")</f>
        <v>Abu Dhabi&gt;Al Danah</v>
      </c>
      <c r="E12979" s="2"/>
      <c r="F12979" s="2"/>
      <c r="G12979" s="2"/>
      <c r="H12979" s="2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2"/>
      <c r="T12979" s="2"/>
      <c r="U12979" s="2"/>
      <c r="V12979" s="2"/>
      <c r="W12979" s="2"/>
      <c r="X12979" s="2"/>
      <c r="Y12979" s="2"/>
      <c r="Z12979" s="2"/>
    </row>
    <row r="12980" spans="1:26" ht="16.5" x14ac:dyDescent="0.35">
      <c r="A12980" s="2" t="str">
        <f ca="1">IFERROR(__xludf.DUMMYFUNCTION("""COMPUTED_VALUE"""),"Abu Dhabi")</f>
        <v>Abu Dhabi</v>
      </c>
      <c r="B12980" s="2" t="str">
        <f ca="1">IFERROR(__xludf.DUMMYFUNCTION("""COMPUTED_VALUE"""),"Sowwah Square Tower 2")</f>
        <v>Sowwah Square Tower 2</v>
      </c>
      <c r="C12980" s="2" t="str">
        <f ca="1">IFERROR(__xludf.DUMMYFUNCTION("""COMPUTED_VALUE"""),"Building")</f>
        <v>Building</v>
      </c>
      <c r="D12980" s="2" t="str">
        <f ca="1">IFERROR(__xludf.DUMMYFUNCTION("""COMPUTED_VALUE"""),"Abu Dhabi&gt;Al Maryah Island&gt;Sowwah Square&gt;Sowwah Square Tower 2")</f>
        <v>Abu Dhabi&gt;Al Maryah Island&gt;Sowwah Square&gt;Sowwah Square Tower 2</v>
      </c>
      <c r="E12980" s="2"/>
      <c r="F12980" s="2"/>
      <c r="G12980" s="2"/>
      <c r="H12980" s="2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2"/>
      <c r="T12980" s="2"/>
      <c r="U12980" s="2"/>
      <c r="V12980" s="2"/>
      <c r="W12980" s="2"/>
      <c r="X12980" s="2"/>
      <c r="Y12980" s="2"/>
      <c r="Z12980" s="2"/>
    </row>
    <row r="12981" spans="1:26" ht="16.5" x14ac:dyDescent="0.35">
      <c r="A12981" s="2" t="str">
        <f ca="1">IFERROR(__xludf.DUMMYFUNCTION("""COMPUTED_VALUE"""),"Abu Dhabi")</f>
        <v>Abu Dhabi</v>
      </c>
      <c r="B12981" s="2" t="str">
        <f ca="1">IFERROR(__xludf.DUMMYFUNCTION("""COMPUTED_VALUE"""),"ADAFZ Logistics Park")</f>
        <v>ADAFZ Logistics Park</v>
      </c>
      <c r="C12981" s="2" t="str">
        <f ca="1">IFERROR(__xludf.DUMMYFUNCTION("""COMPUTED_VALUE"""),"Neighbourhood")</f>
        <v>Neighbourhood</v>
      </c>
      <c r="D12981" s="2" t="str">
        <f ca="1">IFERROR(__xludf.DUMMYFUNCTION("""COMPUTED_VALUE"""),"Abu Dhabi&gt;Al Matar&gt;ADAFZ Logistics Park")</f>
        <v>Abu Dhabi&gt;Al Matar&gt;ADAFZ Logistics Park</v>
      </c>
      <c r="E12981" s="2"/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  <c r="V12981" s="2"/>
      <c r="W12981" s="2"/>
      <c r="X12981" s="2"/>
      <c r="Y12981" s="2"/>
      <c r="Z12981" s="2"/>
    </row>
    <row r="12982" spans="1:26" ht="16.5" x14ac:dyDescent="0.35">
      <c r="A12982" s="2" t="str">
        <f ca="1">IFERROR(__xludf.DUMMYFUNCTION("""COMPUTED_VALUE"""),"Abu Dhabi")</f>
        <v>Abu Dhabi</v>
      </c>
      <c r="B12982" s="2" t="str">
        <f ca="1">IFERROR(__xludf.DUMMYFUNCTION("""COMPUTED_VALUE"""),"MSH19")</f>
        <v>MSH19</v>
      </c>
      <c r="C12982" s="2" t="str">
        <f ca="1">IFERROR(__xludf.DUMMYFUNCTION("""COMPUTED_VALUE"""),"Neighbourhood")</f>
        <v>Neighbourhood</v>
      </c>
      <c r="D12982" s="2" t="str">
        <f ca="1">IFERROR(__xludf.DUMMYFUNCTION("""COMPUTED_VALUE"""),"Abu Dhabi&gt;Shakhbout City&gt;MSH19")</f>
        <v>Abu Dhabi&gt;Shakhbout City&gt;MSH19</v>
      </c>
      <c r="E12982" s="2"/>
      <c r="F12982" s="2"/>
      <c r="G12982" s="2"/>
      <c r="H12982" s="2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2"/>
      <c r="T12982" s="2"/>
      <c r="U12982" s="2"/>
      <c r="V12982" s="2"/>
      <c r="W12982" s="2"/>
      <c r="X12982" s="2"/>
      <c r="Y12982" s="2"/>
      <c r="Z12982" s="2"/>
    </row>
    <row r="12983" spans="1:26" ht="16.5" x14ac:dyDescent="0.35">
      <c r="A12983" s="2" t="str">
        <f ca="1">IFERROR(__xludf.DUMMYFUNCTION("""COMPUTED_VALUE"""),"Abu Dhabi")</f>
        <v>Abu Dhabi</v>
      </c>
      <c r="B12983" s="2" t="str">
        <f ca="1">IFERROR(__xludf.DUMMYFUNCTION("""COMPUTED_VALUE"""),"Bada Al Jubail")</f>
        <v>Bada Al Jubail</v>
      </c>
      <c r="C12983" s="2" t="str">
        <f ca="1">IFERROR(__xludf.DUMMYFUNCTION("""COMPUTED_VALUE"""),"Neighbourhood")</f>
        <v>Neighbourhood</v>
      </c>
      <c r="D12983" s="2" t="str">
        <f ca="1">IFERROR(__xludf.DUMMYFUNCTION("""COMPUTED_VALUE"""),"Abu Dhabi&gt;Al Jubail Island&gt;Bada Al Jubail")</f>
        <v>Abu Dhabi&gt;Al Jubail Island&gt;Bada Al Jubail</v>
      </c>
      <c r="E12983" s="2"/>
      <c r="F12983" s="2"/>
      <c r="G12983" s="2"/>
      <c r="H12983" s="2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2"/>
      <c r="T12983" s="2"/>
      <c r="U12983" s="2"/>
      <c r="V12983" s="2"/>
      <c r="W12983" s="2"/>
      <c r="X12983" s="2"/>
      <c r="Y12983" s="2"/>
      <c r="Z12983" s="2"/>
    </row>
    <row r="12984" spans="1:26" ht="16.5" x14ac:dyDescent="0.35">
      <c r="A12984" s="2" t="str">
        <f ca="1">IFERROR(__xludf.DUMMYFUNCTION("""COMPUTED_VALUE"""),"Abu Dhabi")</f>
        <v>Abu Dhabi</v>
      </c>
      <c r="B12984" s="2" t="str">
        <f ca="1">IFERROR(__xludf.DUMMYFUNCTION("""COMPUTED_VALUE"""),"Al Dana Tower")</f>
        <v>Al Dana Tower</v>
      </c>
      <c r="C12984" s="2" t="str">
        <f ca="1">IFERROR(__xludf.DUMMYFUNCTION("""COMPUTED_VALUE"""),"Building")</f>
        <v>Building</v>
      </c>
      <c r="D12984" s="2" t="str">
        <f ca="1">IFERROR(__xludf.DUMMYFUNCTION("""COMPUTED_VALUE"""),"Abu Dhabi&gt;Al Khubeirah&gt;Al Dana Tower")</f>
        <v>Abu Dhabi&gt;Al Khubeirah&gt;Al Dana Tower</v>
      </c>
      <c r="E12984" s="2"/>
      <c r="F12984" s="2"/>
      <c r="G12984" s="2"/>
      <c r="H12984" s="2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2"/>
      <c r="T12984" s="2"/>
      <c r="U12984" s="2"/>
      <c r="V12984" s="2"/>
      <c r="W12984" s="2"/>
      <c r="X12984" s="2"/>
      <c r="Y12984" s="2"/>
      <c r="Z12984" s="2"/>
    </row>
    <row r="12985" spans="1:26" ht="16.5" x14ac:dyDescent="0.35">
      <c r="A12985" s="2" t="str">
        <f ca="1">IFERROR(__xludf.DUMMYFUNCTION("""COMPUTED_VALUE"""),"Abu Dhabi")</f>
        <v>Abu Dhabi</v>
      </c>
      <c r="B12985" s="2" t="str">
        <f ca="1">IFERROR(__xludf.DUMMYFUNCTION("""COMPUTED_VALUE"""),"Al Jaber Building")</f>
        <v>Al Jaber Building</v>
      </c>
      <c r="C12985" s="2" t="str">
        <f ca="1">IFERROR(__xludf.DUMMYFUNCTION("""COMPUTED_VALUE"""),"Building")</f>
        <v>Building</v>
      </c>
      <c r="D12985" s="2" t="str">
        <f ca="1">IFERROR(__xludf.DUMMYFUNCTION("""COMPUTED_VALUE"""),"Abu Dhabi&gt;Al Hisn&gt;Al Jaber Building")</f>
        <v>Abu Dhabi&gt;Al Hisn&gt;Al Jaber Building</v>
      </c>
      <c r="E12985" s="2"/>
      <c r="F12985" s="2"/>
      <c r="G12985" s="2"/>
      <c r="H12985" s="2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2"/>
      <c r="T12985" s="2"/>
      <c r="U12985" s="2"/>
      <c r="V12985" s="2"/>
      <c r="W12985" s="2"/>
      <c r="X12985" s="2"/>
      <c r="Y12985" s="2"/>
      <c r="Z12985" s="2"/>
    </row>
    <row r="12986" spans="1:26" ht="16.5" x14ac:dyDescent="0.35">
      <c r="A12986" s="2" t="str">
        <f ca="1">IFERROR(__xludf.DUMMYFUNCTION("""COMPUTED_VALUE"""),"Abu Dhabi")</f>
        <v>Abu Dhabi</v>
      </c>
      <c r="B12986" s="2" t="str">
        <f ca="1">IFERROR(__xludf.DUMMYFUNCTION("""COMPUTED_VALUE"""),"Liwa Village")</f>
        <v>Liwa Village</v>
      </c>
      <c r="C12986" s="2" t="str">
        <f ca="1">IFERROR(__xludf.DUMMYFUNCTION("""COMPUTED_VALUE"""),"Neighbourhood")</f>
        <v>Neighbourhood</v>
      </c>
      <c r="D12986" s="2" t="str">
        <f ca="1">IFERROR(__xludf.DUMMYFUNCTION("""COMPUTED_VALUE"""),"Abu Dhabi&gt;Al Manhal&gt;Liwa Village")</f>
        <v>Abu Dhabi&gt;Al Manhal&gt;Liwa Village</v>
      </c>
      <c r="E12986" s="2"/>
      <c r="F12986" s="2"/>
      <c r="G12986" s="2"/>
      <c r="H12986" s="2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2"/>
      <c r="T12986" s="2"/>
      <c r="U12986" s="2"/>
      <c r="V12986" s="2"/>
      <c r="W12986" s="2"/>
      <c r="X12986" s="2"/>
      <c r="Y12986" s="2"/>
      <c r="Z12986" s="2"/>
    </row>
    <row r="12987" spans="1:26" ht="16.5" x14ac:dyDescent="0.35">
      <c r="A12987" s="2" t="str">
        <f ca="1">IFERROR(__xludf.DUMMYFUNCTION("""COMPUTED_VALUE"""),"Abu Dhabi")</f>
        <v>Abu Dhabi</v>
      </c>
      <c r="B12987" s="2" t="str">
        <f ca="1">IFERROR(__xludf.DUMMYFUNCTION("""COMPUTED_VALUE"""),"The Beach House Tower 3")</f>
        <v>The Beach House Tower 3</v>
      </c>
      <c r="C12987" s="2" t="str">
        <f ca="1">IFERROR(__xludf.DUMMYFUNCTION("""COMPUTED_VALUE"""),"Building")</f>
        <v>Building</v>
      </c>
      <c r="D12987" s="2" t="str">
        <f ca="1">IFERROR(__xludf.DUMMYFUNCTION("""COMPUTED_VALUE"""),"Abu Dhabi&gt;Fahid Island&gt;The Beach House&gt;The Beach House Tower 3")</f>
        <v>Abu Dhabi&gt;Fahid Island&gt;The Beach House&gt;The Beach House Tower 3</v>
      </c>
      <c r="E12987" s="2"/>
      <c r="F12987" s="2"/>
      <c r="G12987" s="2"/>
      <c r="H12987" s="2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2"/>
      <c r="T12987" s="2"/>
      <c r="U12987" s="2"/>
      <c r="V12987" s="2"/>
      <c r="W12987" s="2"/>
      <c r="X12987" s="2"/>
      <c r="Y12987" s="2"/>
      <c r="Z12987" s="2"/>
    </row>
    <row r="12988" spans="1:26" ht="16.5" x14ac:dyDescent="0.35">
      <c r="A12988" s="2" t="str">
        <f ca="1">IFERROR(__xludf.DUMMYFUNCTION("""COMPUTED_VALUE"""),"Abu Dhabi")</f>
        <v>Abu Dhabi</v>
      </c>
      <c r="B12988" s="2" t="str">
        <f ca="1">IFERROR(__xludf.DUMMYFUNCTION("""COMPUTED_VALUE"""),"RDK Tower 1")</f>
        <v>RDK Tower 1</v>
      </c>
      <c r="C12988" s="2" t="str">
        <f ca="1">IFERROR(__xludf.DUMMYFUNCTION("""COMPUTED_VALUE"""),"Building")</f>
        <v>Building</v>
      </c>
      <c r="D12988" s="2" t="str">
        <f ca="1">IFERROR(__xludf.DUMMYFUNCTION("""COMPUTED_VALUE"""),"Abu Dhabi&gt;Al Reem Island&gt;Najmat Abu Dhabi&gt;RDK Towers&gt;RDK Tower 1")</f>
        <v>Abu Dhabi&gt;Al Reem Island&gt;Najmat Abu Dhabi&gt;RDK Towers&gt;RDK Tower 1</v>
      </c>
      <c r="E12988" s="2"/>
      <c r="F12988" s="2"/>
      <c r="G12988" s="2"/>
      <c r="H12988" s="2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2"/>
      <c r="T12988" s="2"/>
      <c r="U12988" s="2"/>
      <c r="V12988" s="2"/>
      <c r="W12988" s="2"/>
      <c r="X12988" s="2"/>
      <c r="Y12988" s="2"/>
      <c r="Z12988" s="2"/>
    </row>
    <row r="12989" spans="1:26" ht="16.5" x14ac:dyDescent="0.35">
      <c r="A12989" s="2" t="str">
        <f ca="1">IFERROR(__xludf.DUMMYFUNCTION("""COMPUTED_VALUE"""),"Abu Dhabi")</f>
        <v>Abu Dhabi</v>
      </c>
      <c r="B12989" s="2" t="str">
        <f ca="1">IFERROR(__xludf.DUMMYFUNCTION("""COMPUTED_VALUE"""),"Al Maha Tower")</f>
        <v>Al Maha Tower</v>
      </c>
      <c r="C12989" s="2" t="str">
        <f ca="1">IFERROR(__xludf.DUMMYFUNCTION("""COMPUTED_VALUE"""),"Building")</f>
        <v>Building</v>
      </c>
      <c r="D12989" s="2" t="str">
        <f ca="1">IFERROR(__xludf.DUMMYFUNCTION("""COMPUTED_VALUE"""),"Abu Dhabi&gt;Al Reem Island&gt;Marina Square&gt;Al Maha Tower")</f>
        <v>Abu Dhabi&gt;Al Reem Island&gt;Marina Square&gt;Al Maha Tower</v>
      </c>
      <c r="E12989" s="2"/>
      <c r="F12989" s="2"/>
      <c r="G12989" s="2"/>
      <c r="H12989" s="2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2"/>
      <c r="T12989" s="2"/>
      <c r="U12989" s="2"/>
      <c r="V12989" s="2"/>
      <c r="W12989" s="2"/>
      <c r="X12989" s="2"/>
      <c r="Y12989" s="2"/>
      <c r="Z12989" s="2"/>
    </row>
    <row r="12990" spans="1:26" ht="16.5" x14ac:dyDescent="0.35">
      <c r="A12990" s="2" t="str">
        <f ca="1">IFERROR(__xludf.DUMMYFUNCTION("""COMPUTED_VALUE"""),"Abu Dhabi")</f>
        <v>Abu Dhabi</v>
      </c>
      <c r="B12990" s="2" t="str">
        <f ca="1">IFERROR(__xludf.DUMMYFUNCTION("""COMPUTED_VALUE"""),"Meera Shams Tower 2")</f>
        <v>Meera Shams Tower 2</v>
      </c>
      <c r="C12990" s="2" t="str">
        <f ca="1">IFERROR(__xludf.DUMMYFUNCTION("""COMPUTED_VALUE"""),"Building")</f>
        <v>Building</v>
      </c>
      <c r="D12990" s="2" t="str">
        <f ca="1">IFERROR(__xludf.DUMMYFUNCTION("""COMPUTED_VALUE"""),"Abu Dhabi&gt;Al Reem Island&gt;Shams Abu Dhabi&gt;Meera Shams Tower 2")</f>
        <v>Abu Dhabi&gt;Al Reem Island&gt;Shams Abu Dhabi&gt;Meera Shams Tower 2</v>
      </c>
      <c r="E12990" s="2"/>
      <c r="F12990" s="2"/>
      <c r="G12990" s="2"/>
      <c r="H12990" s="2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2"/>
      <c r="T12990" s="2"/>
      <c r="U12990" s="2"/>
      <c r="V12990" s="2"/>
      <c r="W12990" s="2"/>
      <c r="X12990" s="2"/>
      <c r="Y12990" s="2"/>
      <c r="Z12990" s="2"/>
    </row>
    <row r="12991" spans="1:26" ht="16.5" x14ac:dyDescent="0.35">
      <c r="A12991" s="2" t="str">
        <f ca="1">IFERROR(__xludf.DUMMYFUNCTION("""COMPUTED_VALUE"""),"Abu Dhabi")</f>
        <v>Abu Dhabi</v>
      </c>
      <c r="B12991" s="2" t="str">
        <f ca="1">IFERROR(__xludf.DUMMYFUNCTION("""COMPUTED_VALUE"""),"Lime Tower")</f>
        <v>Lime Tower</v>
      </c>
      <c r="C12991" s="2" t="str">
        <f ca="1">IFERROR(__xludf.DUMMYFUNCTION("""COMPUTED_VALUE"""),"Building")</f>
        <v>Building</v>
      </c>
      <c r="D12991" s="2" t="str">
        <f ca="1">IFERROR(__xludf.DUMMYFUNCTION("""COMPUTED_VALUE"""),"Abu Dhabi&gt;Al Reem Island&gt;Shams Abu Dhabi&gt;Lime Tower")</f>
        <v>Abu Dhabi&gt;Al Reem Island&gt;Shams Abu Dhabi&gt;Lime Tower</v>
      </c>
      <c r="E12991" s="2"/>
      <c r="F12991" s="2"/>
      <c r="G12991" s="2"/>
      <c r="H12991" s="2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2"/>
      <c r="T12991" s="2"/>
      <c r="U12991" s="2"/>
      <c r="V12991" s="2"/>
      <c r="W12991" s="2"/>
      <c r="X12991" s="2"/>
      <c r="Y12991" s="2"/>
      <c r="Z12991" s="2"/>
    </row>
    <row r="12992" spans="1:26" ht="16.5" x14ac:dyDescent="0.35">
      <c r="A12992" s="2" t="str">
        <f ca="1">IFERROR(__xludf.DUMMYFUNCTION("""COMPUTED_VALUE"""),"Dubai")</f>
        <v>Dubai</v>
      </c>
      <c r="B12992" s="2" t="str">
        <f ca="1">IFERROR(__xludf.DUMMYFUNCTION("""COMPUTED_VALUE"""),"City Avenue Apartment")</f>
        <v>City Avenue Apartment</v>
      </c>
      <c r="C12992" s="2" t="str">
        <f ca="1">IFERROR(__xludf.DUMMYFUNCTION("""COMPUTED_VALUE"""),"Building")</f>
        <v>Building</v>
      </c>
      <c r="D12992" s="2" t="str">
        <f ca="1">IFERROR(__xludf.DUMMYFUNCTION("""COMPUTED_VALUE"""),"Dubai&gt;Al Qusais&gt;Al Qusais Residential Area&gt;Al Qusais 2&gt;City Avenue Apartment")</f>
        <v>Dubai&gt;Al Qusais&gt;Al Qusais Residential Area&gt;Al Qusais 2&gt;City Avenue Apartment</v>
      </c>
      <c r="E12992" s="2"/>
      <c r="F12992" s="2"/>
      <c r="G12992" s="2"/>
      <c r="H12992" s="2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2"/>
      <c r="T12992" s="2"/>
      <c r="U12992" s="2"/>
      <c r="V12992" s="2"/>
      <c r="W12992" s="2"/>
      <c r="X12992" s="2"/>
      <c r="Y12992" s="2"/>
      <c r="Z12992" s="2"/>
    </row>
    <row r="12993" spans="1:26" ht="16.5" x14ac:dyDescent="0.35">
      <c r="A12993" s="2" t="str">
        <f ca="1">IFERROR(__xludf.DUMMYFUNCTION("""COMPUTED_VALUE"""),"Dubai")</f>
        <v>Dubai</v>
      </c>
      <c r="B12993" s="2" t="str">
        <f ca="1">IFERROR(__xludf.DUMMYFUNCTION("""COMPUTED_VALUE"""),"Seagull Apartment")</f>
        <v>Seagull Apartment</v>
      </c>
      <c r="C12993" s="2" t="str">
        <f ca="1">IFERROR(__xludf.DUMMYFUNCTION("""COMPUTED_VALUE"""),"Building")</f>
        <v>Building</v>
      </c>
      <c r="D12993" s="2" t="str">
        <f ca="1">IFERROR(__xludf.DUMMYFUNCTION("""COMPUTED_VALUE"""),"Dubai&gt;Al Qusais&gt;Al Qusais Residential Area&gt;Al Qusais 1&gt;Seagull Apartment")</f>
        <v>Dubai&gt;Al Qusais&gt;Al Qusais Residential Area&gt;Al Qusais 1&gt;Seagull Apartment</v>
      </c>
      <c r="E12993" s="2"/>
      <c r="F12993" s="2"/>
      <c r="G12993" s="2"/>
      <c r="H12993" s="2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2"/>
      <c r="T12993" s="2"/>
      <c r="U12993" s="2"/>
      <c r="V12993" s="2"/>
      <c r="W12993" s="2"/>
      <c r="X12993" s="2"/>
      <c r="Y12993" s="2"/>
      <c r="Z12993" s="2"/>
    </row>
    <row r="12994" spans="1:26" ht="16.5" x14ac:dyDescent="0.35">
      <c r="A12994" s="2" t="str">
        <f ca="1">IFERROR(__xludf.DUMMYFUNCTION("""COMPUTED_VALUE"""),"Dubai")</f>
        <v>Dubai</v>
      </c>
      <c r="B12994" s="2" t="str">
        <f ca="1">IFERROR(__xludf.DUMMYFUNCTION("""COMPUTED_VALUE"""),"Al Qusais Building")</f>
        <v>Al Qusais Building</v>
      </c>
      <c r="C12994" s="2" t="str">
        <f ca="1">IFERROR(__xludf.DUMMYFUNCTION("""COMPUTED_VALUE"""),"Building")</f>
        <v>Building</v>
      </c>
      <c r="D12994" s="2" t="str">
        <f ca="1">IFERROR(__xludf.DUMMYFUNCTION("""COMPUTED_VALUE"""),"Dubai&gt;Al Qusais&gt;Al Qusais Residential Area&gt;Al Qusais 1&gt;Al Qusais Building")</f>
        <v>Dubai&gt;Al Qusais&gt;Al Qusais Residential Area&gt;Al Qusais 1&gt;Al Qusais Building</v>
      </c>
      <c r="E12994" s="2"/>
      <c r="F12994" s="2"/>
      <c r="G12994" s="2"/>
      <c r="H12994" s="2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2"/>
      <c r="T12994" s="2"/>
      <c r="U12994" s="2"/>
      <c r="V12994" s="2"/>
      <c r="W12994" s="2"/>
      <c r="X12994" s="2"/>
      <c r="Y12994" s="2"/>
      <c r="Z12994" s="2"/>
    </row>
    <row r="12995" spans="1:26" ht="16.5" x14ac:dyDescent="0.35">
      <c r="A12995" s="2" t="str">
        <f ca="1">IFERROR(__xludf.DUMMYFUNCTION("""COMPUTED_VALUE"""),"Dubai")</f>
        <v>Dubai</v>
      </c>
      <c r="B12995" s="2" t="str">
        <f ca="1">IFERROR(__xludf.DUMMYFUNCTION("""COMPUTED_VALUE"""),"Kasco Tower")</f>
        <v>Kasco Tower</v>
      </c>
      <c r="C12995" s="2" t="str">
        <f ca="1">IFERROR(__xludf.DUMMYFUNCTION("""COMPUTED_VALUE"""),"Building")</f>
        <v>Building</v>
      </c>
      <c r="D12995" s="2" t="str">
        <f ca="1">IFERROR(__xludf.DUMMYFUNCTION("""COMPUTED_VALUE"""),"Dubai&gt;Al Qusais&gt;Al Qusais Industrial Area&gt;Al Qusais Industrial 3&gt;Kasco Tower")</f>
        <v>Dubai&gt;Al Qusais&gt;Al Qusais Industrial Area&gt;Al Qusais Industrial 3&gt;Kasco Tower</v>
      </c>
      <c r="E12995" s="2"/>
      <c r="F12995" s="2"/>
      <c r="G12995" s="2"/>
      <c r="H12995" s="2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2"/>
      <c r="T12995" s="2"/>
      <c r="U12995" s="2"/>
      <c r="V12995" s="2"/>
      <c r="W12995" s="2"/>
      <c r="X12995" s="2"/>
      <c r="Y12995" s="2"/>
      <c r="Z12995" s="2"/>
    </row>
    <row r="12996" spans="1:26" ht="16.5" x14ac:dyDescent="0.35">
      <c r="A12996" s="2" t="str">
        <f ca="1">IFERROR(__xludf.DUMMYFUNCTION("""COMPUTED_VALUE"""),"Dubai")</f>
        <v>Dubai</v>
      </c>
      <c r="B12996" s="2" t="str">
        <f ca="1">IFERROR(__xludf.DUMMYFUNCTION("""COMPUTED_VALUE"""),"Mulberry 2 Building A1")</f>
        <v>Mulberry 2 Building A1</v>
      </c>
      <c r="C12996" s="2" t="str">
        <f ca="1">IFERROR(__xludf.DUMMYFUNCTION("""COMPUTED_VALUE"""),"Building")</f>
        <v>Building</v>
      </c>
      <c r="D12996" s="2" t="str">
        <f ca="1">IFERROR(__xludf.DUMMYFUNCTION("""COMPUTED_VALUE"""),"Dubai&gt;Dubai Hills Estate&gt;Park Heights&gt;Mulberry 2&gt;Mulberry 2 Building A1")</f>
        <v>Dubai&gt;Dubai Hills Estate&gt;Park Heights&gt;Mulberry 2&gt;Mulberry 2 Building A1</v>
      </c>
      <c r="E12996" s="2"/>
      <c r="F12996" s="2"/>
      <c r="G12996" s="2"/>
      <c r="H12996" s="2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2"/>
      <c r="T12996" s="2"/>
      <c r="U12996" s="2"/>
      <c r="V12996" s="2"/>
      <c r="W12996" s="2"/>
      <c r="X12996" s="2"/>
      <c r="Y12996" s="2"/>
      <c r="Z12996" s="2"/>
    </row>
    <row r="12997" spans="1:26" ht="16.5" x14ac:dyDescent="0.35">
      <c r="A12997" s="2" t="str">
        <f ca="1">IFERROR(__xludf.DUMMYFUNCTION("""COMPUTED_VALUE"""),"Dubai")</f>
        <v>Dubai</v>
      </c>
      <c r="B12997" s="2" t="str">
        <f ca="1">IFERROR(__xludf.DUMMYFUNCTION("""COMPUTED_VALUE"""),"Golfville")</f>
        <v>Golfville</v>
      </c>
      <c r="C12997" s="2" t="str">
        <f ca="1">IFERROR(__xludf.DUMMYFUNCTION("""COMPUTED_VALUE"""),"Building")</f>
        <v>Building</v>
      </c>
      <c r="D12997" s="2" t="str">
        <f ca="1">IFERROR(__xludf.DUMMYFUNCTION("""COMPUTED_VALUE"""),"Dubai&gt;Dubai Hills Estate&gt;Golfville")</f>
        <v>Dubai&gt;Dubai Hills Estate&gt;Golfville</v>
      </c>
      <c r="E12997" s="2"/>
      <c r="F12997" s="2"/>
      <c r="G12997" s="2"/>
      <c r="H12997" s="2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2"/>
      <c r="T12997" s="2"/>
      <c r="U12997" s="2"/>
      <c r="V12997" s="2"/>
      <c r="W12997" s="2"/>
      <c r="X12997" s="2"/>
      <c r="Y12997" s="2"/>
      <c r="Z12997" s="2"/>
    </row>
    <row r="12998" spans="1:26" ht="16.5" x14ac:dyDescent="0.35">
      <c r="A12998" s="2" t="str">
        <f ca="1">IFERROR(__xludf.DUMMYFUNCTION("""COMPUTED_VALUE"""),"Dubai")</f>
        <v>Dubai</v>
      </c>
      <c r="B12998" s="2" t="str">
        <f ca="1">IFERROR(__xludf.DUMMYFUNCTION("""COMPUTED_VALUE"""),"Hills Park")</f>
        <v>Hills Park</v>
      </c>
      <c r="C12998" s="2" t="str">
        <f ca="1">IFERROR(__xludf.DUMMYFUNCTION("""COMPUTED_VALUE"""),"Building")</f>
        <v>Building</v>
      </c>
      <c r="D12998" s="2" t="str">
        <f ca="1">IFERROR(__xludf.DUMMYFUNCTION("""COMPUTED_VALUE"""),"Dubai&gt;Dubai Hills Estate&gt;Hills Park")</f>
        <v>Dubai&gt;Dubai Hills Estate&gt;Hills Park</v>
      </c>
      <c r="E12998" s="2"/>
      <c r="F12998" s="2"/>
      <c r="G12998" s="2"/>
      <c r="H12998" s="2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2"/>
      <c r="T12998" s="2"/>
      <c r="U12998" s="2"/>
      <c r="V12998" s="2"/>
      <c r="W12998" s="2"/>
      <c r="X12998" s="2"/>
      <c r="Y12998" s="2"/>
      <c r="Z12998" s="2"/>
    </row>
    <row r="12999" spans="1:26" ht="16.5" x14ac:dyDescent="0.35">
      <c r="A12999" s="2" t="str">
        <f ca="1">IFERROR(__xludf.DUMMYFUNCTION("""COMPUTED_VALUE"""),"Dubai")</f>
        <v>Dubai</v>
      </c>
      <c r="B12999" s="2" t="str">
        <f ca="1">IFERROR(__xludf.DUMMYFUNCTION("""COMPUTED_VALUE"""),"Park Gate")</f>
        <v>Park Gate</v>
      </c>
      <c r="C12999" s="2" t="str">
        <f ca="1">IFERROR(__xludf.DUMMYFUNCTION("""COMPUTED_VALUE"""),"Neighbourhood")</f>
        <v>Neighbourhood</v>
      </c>
      <c r="D12999" s="2" t="str">
        <f ca="1">IFERROR(__xludf.DUMMYFUNCTION("""COMPUTED_VALUE"""),"Dubai&gt;Dubai Hills Estate&gt;Park Gate")</f>
        <v>Dubai&gt;Dubai Hills Estate&gt;Park Gate</v>
      </c>
      <c r="E12999" s="2"/>
      <c r="F12999" s="2"/>
      <c r="G12999" s="2"/>
      <c r="H12999" s="2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2"/>
      <c r="T12999" s="2"/>
      <c r="U12999" s="2"/>
      <c r="V12999" s="2"/>
      <c r="W12999" s="2"/>
      <c r="X12999" s="2"/>
      <c r="Y12999" s="2"/>
      <c r="Z12999" s="2"/>
    </row>
    <row r="13000" spans="1:26" ht="16.5" x14ac:dyDescent="0.35">
      <c r="A13000" s="2" t="str">
        <f ca="1">IFERROR(__xludf.DUMMYFUNCTION("""COMPUTED_VALUE"""),"Dubai")</f>
        <v>Dubai</v>
      </c>
      <c r="B13000" s="2" t="str">
        <f ca="1">IFERROR(__xludf.DUMMYFUNCTION("""COMPUTED_VALUE"""),"Palace Residences Hillside A")</f>
        <v>Palace Residences Hillside A</v>
      </c>
      <c r="C13000" s="2" t="str">
        <f ca="1">IFERROR(__xludf.DUMMYFUNCTION("""COMPUTED_VALUE"""),"Building")</f>
        <v>Building</v>
      </c>
      <c r="D13000" s="2" t="str">
        <f ca="1">IFERROR(__xludf.DUMMYFUNCTION("""COMPUTED_VALUE"""),"Dubai&gt;Dubai Hills Estate&gt;Palace Residences Hillside&gt;Palace Residences Hillside A")</f>
        <v>Dubai&gt;Dubai Hills Estate&gt;Palace Residences Hillside&gt;Palace Residences Hillside A</v>
      </c>
      <c r="E13000" s="2"/>
      <c r="F13000" s="2"/>
      <c r="G13000" s="2"/>
      <c r="H13000" s="2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2"/>
      <c r="T13000" s="2"/>
      <c r="U13000" s="2"/>
      <c r="V13000" s="2"/>
      <c r="W13000" s="2"/>
      <c r="X13000" s="2"/>
      <c r="Y13000" s="2"/>
      <c r="Z13000" s="2"/>
    </row>
    <row r="13001" spans="1:26" ht="16.5" x14ac:dyDescent="0.35">
      <c r="A13001" s="2" t="str">
        <f ca="1">IFERROR(__xludf.DUMMYFUNCTION("""COMPUTED_VALUE"""),"Dubai")</f>
        <v>Dubai</v>
      </c>
      <c r="B13001" s="2" t="str">
        <f ca="1">IFERROR(__xludf.DUMMYFUNCTION("""COMPUTED_VALUE"""),"Madam Afra Building")</f>
        <v>Madam Afra Building</v>
      </c>
      <c r="C13001" s="2" t="str">
        <f ca="1">IFERROR(__xludf.DUMMYFUNCTION("""COMPUTED_VALUE"""),"Building")</f>
        <v>Building</v>
      </c>
      <c r="D13001" s="2" t="str">
        <f ca="1">IFERROR(__xludf.DUMMYFUNCTION("""COMPUTED_VALUE"""),"Dubai&gt;Deira&gt;Al Muraqqabat&gt;Madam Afra Building")</f>
        <v>Dubai&gt;Deira&gt;Al Muraqqabat&gt;Madam Afra Building</v>
      </c>
      <c r="E13001" s="2"/>
      <c r="F13001" s="2"/>
      <c r="G13001" s="2"/>
      <c r="H13001" s="2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2"/>
      <c r="T13001" s="2"/>
      <c r="U13001" s="2"/>
      <c r="V13001" s="2"/>
      <c r="W13001" s="2"/>
      <c r="X13001" s="2"/>
      <c r="Y13001" s="2"/>
      <c r="Z13001" s="2"/>
    </row>
    <row r="13002" spans="1:26" ht="16.5" x14ac:dyDescent="0.35">
      <c r="A13002" s="2" t="str">
        <f ca="1">IFERROR(__xludf.DUMMYFUNCTION("""COMPUTED_VALUE"""),"Dubai")</f>
        <v>Dubai</v>
      </c>
      <c r="B13002" s="2" t="str">
        <f ca="1">IFERROR(__xludf.DUMMYFUNCTION("""COMPUTED_VALUE"""),"Al Khaja Hotel Apartments")</f>
        <v>Al Khaja Hotel Apartments</v>
      </c>
      <c r="C13002" s="2" t="str">
        <f ca="1">IFERROR(__xludf.DUMMYFUNCTION("""COMPUTED_VALUE"""),"Building")</f>
        <v>Building</v>
      </c>
      <c r="D13002" s="2" t="str">
        <f ca="1">IFERROR(__xludf.DUMMYFUNCTION("""COMPUTED_VALUE"""),"Dubai&gt;Deira&gt;Al Muraqqabat&gt;Al Khaja Hotel Apartments")</f>
        <v>Dubai&gt;Deira&gt;Al Muraqqabat&gt;Al Khaja Hotel Apartments</v>
      </c>
      <c r="E13002" s="2"/>
      <c r="F13002" s="2"/>
      <c r="G13002" s="2"/>
      <c r="H13002" s="2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2"/>
      <c r="T13002" s="2"/>
      <c r="U13002" s="2"/>
      <c r="V13002" s="2"/>
      <c r="W13002" s="2"/>
      <c r="X13002" s="2"/>
      <c r="Y13002" s="2"/>
      <c r="Z13002" s="2"/>
    </row>
    <row r="13003" spans="1:26" ht="16.5" x14ac:dyDescent="0.35">
      <c r="A13003" s="2" t="str">
        <f ca="1">IFERROR(__xludf.DUMMYFUNCTION("""COMPUTED_VALUE"""),"Dubai")</f>
        <v>Dubai</v>
      </c>
      <c r="B13003" s="2" t="str">
        <f ca="1">IFERROR(__xludf.DUMMYFUNCTION("""COMPUTED_VALUE"""),"AB Naif Building")</f>
        <v>AB Naif Building</v>
      </c>
      <c r="C13003" s="2" t="str">
        <f ca="1">IFERROR(__xludf.DUMMYFUNCTION("""COMPUTED_VALUE"""),"Building")</f>
        <v>Building</v>
      </c>
      <c r="D13003" s="2" t="str">
        <f ca="1">IFERROR(__xludf.DUMMYFUNCTION("""COMPUTED_VALUE"""),"Dubai&gt;Deira&gt;Ayal Nasir&gt;AB Naif Building")</f>
        <v>Dubai&gt;Deira&gt;Ayal Nasir&gt;AB Naif Building</v>
      </c>
      <c r="E13003" s="2"/>
      <c r="F13003" s="2"/>
      <c r="G13003" s="2"/>
      <c r="H13003" s="2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2"/>
      <c r="T13003" s="2"/>
      <c r="U13003" s="2"/>
      <c r="V13003" s="2"/>
      <c r="W13003" s="2"/>
      <c r="X13003" s="2"/>
      <c r="Y13003" s="2"/>
      <c r="Z13003" s="2"/>
    </row>
    <row r="13004" spans="1:26" ht="16.5" x14ac:dyDescent="0.35">
      <c r="A13004" s="2" t="str">
        <f ca="1">IFERROR(__xludf.DUMMYFUNCTION("""COMPUTED_VALUE"""),"Dubai")</f>
        <v>Dubai</v>
      </c>
      <c r="B13004" s="2" t="str">
        <f ca="1">IFERROR(__xludf.DUMMYFUNCTION("""COMPUTED_VALUE"""),"Al Mamzar Centre")</f>
        <v>Al Mamzar Centre</v>
      </c>
      <c r="C13004" s="2" t="str">
        <f ca="1">IFERROR(__xludf.DUMMYFUNCTION("""COMPUTED_VALUE"""),"Building")</f>
        <v>Building</v>
      </c>
      <c r="D13004" s="2" t="str">
        <f ca="1">IFERROR(__xludf.DUMMYFUNCTION("""COMPUTED_VALUE"""),"Dubai&gt;Deira&gt;Hor Al Anz&gt;Hor Al Anz East&gt;Al Mamzar Centre")</f>
        <v>Dubai&gt;Deira&gt;Hor Al Anz&gt;Hor Al Anz East&gt;Al Mamzar Centre</v>
      </c>
      <c r="E13004" s="2"/>
      <c r="F13004" s="2"/>
      <c r="G13004" s="2"/>
      <c r="H13004" s="2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2"/>
      <c r="T13004" s="2"/>
      <c r="U13004" s="2"/>
      <c r="V13004" s="2"/>
      <c r="W13004" s="2"/>
      <c r="X13004" s="2"/>
      <c r="Y13004" s="2"/>
      <c r="Z13004" s="2"/>
    </row>
    <row r="13005" spans="1:26" ht="16.5" x14ac:dyDescent="0.35">
      <c r="A13005" s="2" t="str">
        <f ca="1">IFERROR(__xludf.DUMMYFUNCTION("""COMPUTED_VALUE"""),"Dubai")</f>
        <v>Dubai</v>
      </c>
      <c r="B13005" s="2" t="str">
        <f ca="1">IFERROR(__xludf.DUMMYFUNCTION("""COMPUTED_VALUE"""),"Khairia A Rahman Building")</f>
        <v>Khairia A Rahman Building</v>
      </c>
      <c r="C13005" s="2" t="str">
        <f ca="1">IFERROR(__xludf.DUMMYFUNCTION("""COMPUTED_VALUE"""),"Building")</f>
        <v>Building</v>
      </c>
      <c r="D13005" s="2" t="str">
        <f ca="1">IFERROR(__xludf.DUMMYFUNCTION("""COMPUTED_VALUE"""),"Dubai&gt;Deira&gt;Al Muteena&gt;Khairia A Rahman Building")</f>
        <v>Dubai&gt;Deira&gt;Al Muteena&gt;Khairia A Rahman Building</v>
      </c>
      <c r="E13005" s="2"/>
      <c r="F13005" s="2"/>
      <c r="G13005" s="2"/>
      <c r="H13005" s="2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2"/>
      <c r="T13005" s="2"/>
      <c r="U13005" s="2"/>
      <c r="V13005" s="2"/>
      <c r="W13005" s="2"/>
      <c r="X13005" s="2"/>
      <c r="Y13005" s="2"/>
      <c r="Z13005" s="2"/>
    </row>
    <row r="13006" spans="1:26" ht="16.5" x14ac:dyDescent="0.35">
      <c r="A13006" s="2" t="str">
        <f ca="1">IFERROR(__xludf.DUMMYFUNCTION("""COMPUTED_VALUE"""),"Dubai")</f>
        <v>Dubai</v>
      </c>
      <c r="B13006" s="2" t="str">
        <f ca="1">IFERROR(__xludf.DUMMYFUNCTION("""COMPUTED_VALUE"""),"Deira Business Centre")</f>
        <v>Deira Business Centre</v>
      </c>
      <c r="C13006" s="2" t="str">
        <f ca="1">IFERROR(__xludf.DUMMYFUNCTION("""COMPUTED_VALUE"""),"Building")</f>
        <v>Building</v>
      </c>
      <c r="D13006" s="2" t="str">
        <f ca="1">IFERROR(__xludf.DUMMYFUNCTION("""COMPUTED_VALUE"""),"Dubai&gt;Deira&gt;Al Khabaisi&gt;Deira Business Centre")</f>
        <v>Dubai&gt;Deira&gt;Al Khabaisi&gt;Deira Business Centre</v>
      </c>
      <c r="E13006" s="2"/>
      <c r="F13006" s="2"/>
      <c r="G13006" s="2"/>
      <c r="H13006" s="2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2"/>
      <c r="T13006" s="2"/>
      <c r="U13006" s="2"/>
      <c r="V13006" s="2"/>
      <c r="W13006" s="2"/>
      <c r="X13006" s="2"/>
      <c r="Y13006" s="2"/>
      <c r="Z13006" s="2"/>
    </row>
    <row r="13007" spans="1:26" ht="16.5" x14ac:dyDescent="0.35">
      <c r="A13007" s="2" t="str">
        <f ca="1">IFERROR(__xludf.DUMMYFUNCTION("""COMPUTED_VALUE"""),"Dubai")</f>
        <v>Dubai</v>
      </c>
      <c r="B13007" s="2" t="str">
        <f ca="1">IFERROR(__xludf.DUMMYFUNCTION("""COMPUTED_VALUE"""),"Osha Plaza")</f>
        <v>Osha Plaza</v>
      </c>
      <c r="C13007" s="2" t="str">
        <f ca="1">IFERROR(__xludf.DUMMYFUNCTION("""COMPUTED_VALUE"""),"Cluster")</f>
        <v>Cluster</v>
      </c>
      <c r="D13007" s="2" t="str">
        <f ca="1">IFERROR(__xludf.DUMMYFUNCTION("""COMPUTED_VALUE"""),"Dubai&gt;Deira&gt;Deira Enrichment Project&gt;Osha Plaza")</f>
        <v>Dubai&gt;Deira&gt;Deira Enrichment Project&gt;Osha Plaza</v>
      </c>
      <c r="E13007" s="2"/>
      <c r="F13007" s="2"/>
      <c r="G13007" s="2"/>
      <c r="H13007" s="2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2"/>
      <c r="T13007" s="2"/>
      <c r="U13007" s="2"/>
      <c r="V13007" s="2"/>
      <c r="W13007" s="2"/>
      <c r="X13007" s="2"/>
      <c r="Y13007" s="2"/>
      <c r="Z13007" s="2"/>
    </row>
    <row r="13008" spans="1:26" ht="16.5" x14ac:dyDescent="0.35">
      <c r="A13008" s="2" t="str">
        <f ca="1">IFERROR(__xludf.DUMMYFUNCTION("""COMPUTED_VALUE"""),"Dubai")</f>
        <v>Dubai</v>
      </c>
      <c r="B13008" s="2" t="str">
        <f ca="1">IFERROR(__xludf.DUMMYFUNCTION("""COMPUTED_VALUE"""),"Al Yazia Plaza")</f>
        <v>Al Yazia Plaza</v>
      </c>
      <c r="C13008" s="2" t="str">
        <f ca="1">IFERROR(__xludf.DUMMYFUNCTION("""COMPUTED_VALUE"""),"Cluster")</f>
        <v>Cluster</v>
      </c>
      <c r="D13008" s="2" t="str">
        <f ca="1">IFERROR(__xludf.DUMMYFUNCTION("""COMPUTED_VALUE"""),"Dubai&gt;Deira&gt;Deira Enrichment Project&gt;Al Yazia Plaza")</f>
        <v>Dubai&gt;Deira&gt;Deira Enrichment Project&gt;Al Yazia Plaza</v>
      </c>
      <c r="E13008" s="2"/>
      <c r="F13008" s="2"/>
      <c r="G13008" s="2"/>
      <c r="H13008" s="2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2"/>
      <c r="T13008" s="2"/>
      <c r="U13008" s="2"/>
      <c r="V13008" s="2"/>
      <c r="W13008" s="2"/>
      <c r="X13008" s="2"/>
      <c r="Y13008" s="2"/>
      <c r="Z13008" s="2"/>
    </row>
    <row r="13009" spans="1:26" ht="16.5" x14ac:dyDescent="0.35">
      <c r="A13009" s="2" t="str">
        <f ca="1">IFERROR(__xludf.DUMMYFUNCTION("""COMPUTED_VALUE"""),"Dubai")</f>
        <v>Dubai</v>
      </c>
      <c r="B13009" s="2" t="str">
        <f ca="1">IFERROR(__xludf.DUMMYFUNCTION("""COMPUTED_VALUE"""),"Naif Building 1")</f>
        <v>Naif Building 1</v>
      </c>
      <c r="C13009" s="2" t="str">
        <f ca="1">IFERROR(__xludf.DUMMYFUNCTION("""COMPUTED_VALUE"""),"Building")</f>
        <v>Building</v>
      </c>
      <c r="D13009" s="2" t="str">
        <f ca="1">IFERROR(__xludf.DUMMYFUNCTION("""COMPUTED_VALUE"""),"Dubai&gt;Deira&gt;Naif&gt;Naif Building 1")</f>
        <v>Dubai&gt;Deira&gt;Naif&gt;Naif Building 1</v>
      </c>
      <c r="E13009" s="2"/>
      <c r="F13009" s="2"/>
      <c r="G13009" s="2"/>
      <c r="H13009" s="2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2"/>
      <c r="T13009" s="2"/>
      <c r="U13009" s="2"/>
      <c r="V13009" s="2"/>
      <c r="W13009" s="2"/>
      <c r="X13009" s="2"/>
      <c r="Y13009" s="2"/>
      <c r="Z13009" s="2"/>
    </row>
    <row r="13010" spans="1:26" ht="16.5" x14ac:dyDescent="0.35">
      <c r="A13010" s="2" t="str">
        <f ca="1">IFERROR(__xludf.DUMMYFUNCTION("""COMPUTED_VALUE"""),"Dubai")</f>
        <v>Dubai</v>
      </c>
      <c r="B13010" s="2" t="str">
        <f ca="1">IFERROR(__xludf.DUMMYFUNCTION("""COMPUTED_VALUE"""),"Bin Dhaen Holding Building Al Murar")</f>
        <v>Bin Dhaen Holding Building Al Murar</v>
      </c>
      <c r="C13010" s="2" t="str">
        <f ca="1">IFERROR(__xludf.DUMMYFUNCTION("""COMPUTED_VALUE"""),"Building")</f>
        <v>Building</v>
      </c>
      <c r="D13010" s="2" t="str">
        <f ca="1">IFERROR(__xludf.DUMMYFUNCTION("""COMPUTED_VALUE"""),"Dubai&gt;Deira&gt;Al Murar&gt;Bin Dhaen Holding Building Al Murar")</f>
        <v>Dubai&gt;Deira&gt;Al Murar&gt;Bin Dhaen Holding Building Al Murar</v>
      </c>
      <c r="E13010" s="2"/>
      <c r="F13010" s="2"/>
      <c r="G13010" s="2"/>
      <c r="H13010" s="2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2"/>
      <c r="T13010" s="2"/>
      <c r="U13010" s="2"/>
      <c r="V13010" s="2"/>
      <c r="W13010" s="2"/>
      <c r="X13010" s="2"/>
      <c r="Y13010" s="2"/>
      <c r="Z13010" s="2"/>
    </row>
    <row r="13011" spans="1:26" ht="16.5" x14ac:dyDescent="0.35">
      <c r="A13011" s="2" t="str">
        <f ca="1">IFERROR(__xludf.DUMMYFUNCTION("""COMPUTED_VALUE"""),"Dubai")</f>
        <v>Dubai</v>
      </c>
      <c r="B13011" s="2" t="str">
        <f ca="1">IFERROR(__xludf.DUMMYFUNCTION("""COMPUTED_VALUE"""),"Abdulla Building 7")</f>
        <v>Abdulla Building 7</v>
      </c>
      <c r="C13011" s="2" t="str">
        <f ca="1">IFERROR(__xludf.DUMMYFUNCTION("""COMPUTED_VALUE"""),"Building")</f>
        <v>Building</v>
      </c>
      <c r="D13011" s="2" t="str">
        <f ca="1">IFERROR(__xludf.DUMMYFUNCTION("""COMPUTED_VALUE"""),"Dubai&gt;Deira&gt;Al Murar&gt;Abdulla Building 7")</f>
        <v>Dubai&gt;Deira&gt;Al Murar&gt;Abdulla Building 7</v>
      </c>
      <c r="E13011" s="2"/>
      <c r="F13011" s="2"/>
      <c r="G13011" s="2"/>
      <c r="H13011" s="2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2"/>
      <c r="T13011" s="2"/>
      <c r="U13011" s="2"/>
      <c r="V13011" s="2"/>
      <c r="W13011" s="2"/>
      <c r="X13011" s="2"/>
      <c r="Y13011" s="2"/>
      <c r="Z13011" s="2"/>
    </row>
    <row r="13012" spans="1:26" ht="16.5" x14ac:dyDescent="0.35">
      <c r="A13012" s="2" t="str">
        <f ca="1">IFERROR(__xludf.DUMMYFUNCTION("""COMPUTED_VALUE"""),"Dubai")</f>
        <v>Dubai</v>
      </c>
      <c r="B13012" s="2" t="str">
        <f ca="1">IFERROR(__xludf.DUMMYFUNCTION("""COMPUTED_VALUE"""),"Al Hamriya Port")</f>
        <v>Al Hamriya Port</v>
      </c>
      <c r="C13012" s="2" t="str">
        <f ca="1">IFERROR(__xludf.DUMMYFUNCTION("""COMPUTED_VALUE"""),"Neighbourhood")</f>
        <v>Neighbourhood</v>
      </c>
      <c r="D13012" s="2" t="str">
        <f ca="1">IFERROR(__xludf.DUMMYFUNCTION("""COMPUTED_VALUE"""),"Dubai&gt;Deira&gt;Al Hamriya Port")</f>
        <v>Dubai&gt;Deira&gt;Al Hamriya Port</v>
      </c>
      <c r="E13012" s="2"/>
      <c r="F13012" s="2"/>
      <c r="G13012" s="2"/>
      <c r="H13012" s="2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2"/>
      <c r="T13012" s="2"/>
      <c r="U13012" s="2"/>
      <c r="V13012" s="2"/>
      <c r="W13012" s="2"/>
      <c r="X13012" s="2"/>
      <c r="Y13012" s="2"/>
      <c r="Z13012" s="2"/>
    </row>
    <row r="13013" spans="1:26" ht="16.5" x14ac:dyDescent="0.35">
      <c r="A13013" s="2" t="str">
        <f ca="1">IFERROR(__xludf.DUMMYFUNCTION("""COMPUTED_VALUE"""),"Dubai")</f>
        <v>Dubai</v>
      </c>
      <c r="B13013" s="2" t="str">
        <f ca="1">IFERROR(__xludf.DUMMYFUNCTION("""COMPUTED_VALUE"""),"Zeenah Building")</f>
        <v>Zeenah Building</v>
      </c>
      <c r="C13013" s="2" t="str">
        <f ca="1">IFERROR(__xludf.DUMMYFUNCTION("""COMPUTED_VALUE"""),"Building")</f>
        <v>Building</v>
      </c>
      <c r="D13013" s="2" t="str">
        <f ca="1">IFERROR(__xludf.DUMMYFUNCTION("""COMPUTED_VALUE"""),"Dubai&gt;Deira&gt;Port Saeed&gt;Zeenah Building")</f>
        <v>Dubai&gt;Deira&gt;Port Saeed&gt;Zeenah Building</v>
      </c>
      <c r="E13013" s="2"/>
      <c r="F13013" s="2"/>
      <c r="G13013" s="2"/>
      <c r="H13013" s="2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2"/>
      <c r="T13013" s="2"/>
      <c r="U13013" s="2"/>
      <c r="V13013" s="2"/>
      <c r="W13013" s="2"/>
      <c r="X13013" s="2"/>
      <c r="Y13013" s="2"/>
      <c r="Z13013" s="2"/>
    </row>
    <row r="13014" spans="1:26" ht="16.5" x14ac:dyDescent="0.35">
      <c r="A13014" s="2" t="str">
        <f ca="1">IFERROR(__xludf.DUMMYFUNCTION("""COMPUTED_VALUE"""),"Dubai")</f>
        <v>Dubai</v>
      </c>
      <c r="B13014" s="2" t="str">
        <f ca="1">IFERROR(__xludf.DUMMYFUNCTION("""COMPUTED_VALUE"""),"AG Tower")</f>
        <v>AG Tower</v>
      </c>
      <c r="C13014" s="2" t="str">
        <f ca="1">IFERROR(__xludf.DUMMYFUNCTION("""COMPUTED_VALUE"""),"Building")</f>
        <v>Building</v>
      </c>
      <c r="D13014" s="2" t="str">
        <f ca="1">IFERROR(__xludf.DUMMYFUNCTION("""COMPUTED_VALUE"""),"Dubai&gt;Business Bay&gt;AG Tower")</f>
        <v>Dubai&gt;Business Bay&gt;AG Tower</v>
      </c>
      <c r="E13014" s="2"/>
      <c r="F13014" s="2"/>
      <c r="G13014" s="2"/>
      <c r="H13014" s="2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2"/>
      <c r="T13014" s="2"/>
      <c r="U13014" s="2"/>
      <c r="V13014" s="2"/>
      <c r="W13014" s="2"/>
      <c r="X13014" s="2"/>
      <c r="Y13014" s="2"/>
      <c r="Z13014" s="2"/>
    </row>
    <row r="13015" spans="1:26" ht="16.5" x14ac:dyDescent="0.35">
      <c r="A13015" s="2" t="str">
        <f ca="1">IFERROR(__xludf.DUMMYFUNCTION("""COMPUTED_VALUE"""),"Dubai")</f>
        <v>Dubai</v>
      </c>
      <c r="B13015" s="2" t="str">
        <f ca="1">IFERROR(__xludf.DUMMYFUNCTION("""COMPUTED_VALUE"""),"Tamani Arts Offices")</f>
        <v>Tamani Arts Offices</v>
      </c>
      <c r="C13015" s="2" t="str">
        <f ca="1">IFERROR(__xludf.DUMMYFUNCTION("""COMPUTED_VALUE"""),"Building")</f>
        <v>Building</v>
      </c>
      <c r="D13015" s="2" t="str">
        <f ca="1">IFERROR(__xludf.DUMMYFUNCTION("""COMPUTED_VALUE"""),"Dubai&gt;Business Bay&gt;Tamani Arts Offices")</f>
        <v>Dubai&gt;Business Bay&gt;Tamani Arts Offices</v>
      </c>
      <c r="E13015" s="2"/>
      <c r="F13015" s="2"/>
      <c r="G13015" s="2"/>
      <c r="H13015" s="2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2"/>
      <c r="T13015" s="2"/>
      <c r="U13015" s="2"/>
      <c r="V13015" s="2"/>
      <c r="W13015" s="2"/>
      <c r="X13015" s="2"/>
      <c r="Y13015" s="2"/>
      <c r="Z13015" s="2"/>
    </row>
    <row r="13016" spans="1:26" ht="16.5" x14ac:dyDescent="0.35">
      <c r="A13016" s="2" t="str">
        <f ca="1">IFERROR(__xludf.DUMMYFUNCTION("""COMPUTED_VALUE"""),"Dubai")</f>
        <v>Dubai</v>
      </c>
      <c r="B13016" s="2" t="str">
        <f ca="1">IFERROR(__xludf.DUMMYFUNCTION("""COMPUTED_VALUE"""),"Bay Square 6")</f>
        <v>Bay Square 6</v>
      </c>
      <c r="C13016" s="2" t="str">
        <f ca="1">IFERROR(__xludf.DUMMYFUNCTION("""COMPUTED_VALUE"""),"Building")</f>
        <v>Building</v>
      </c>
      <c r="D13016" s="2" t="str">
        <f ca="1">IFERROR(__xludf.DUMMYFUNCTION("""COMPUTED_VALUE"""),"Dubai&gt;Business Bay&gt;Bay Square&gt;Bay Square 6")</f>
        <v>Dubai&gt;Business Bay&gt;Bay Square&gt;Bay Square 6</v>
      </c>
      <c r="E13016" s="2"/>
      <c r="F13016" s="2"/>
      <c r="G13016" s="2"/>
      <c r="H13016" s="2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2"/>
      <c r="T13016" s="2"/>
      <c r="U13016" s="2"/>
      <c r="V13016" s="2"/>
      <c r="W13016" s="2"/>
      <c r="X13016" s="2"/>
      <c r="Y13016" s="2"/>
      <c r="Z13016" s="2"/>
    </row>
    <row r="13017" spans="1:26" ht="16.5" x14ac:dyDescent="0.35">
      <c r="A13017" s="2" t="str">
        <f ca="1">IFERROR(__xludf.DUMMYFUNCTION("""COMPUTED_VALUE"""),"Dubai")</f>
        <v>Dubai</v>
      </c>
      <c r="B13017" s="2" t="str">
        <f ca="1">IFERROR(__xludf.DUMMYFUNCTION("""COMPUTED_VALUE"""),"SOL Bay")</f>
        <v>SOL Bay</v>
      </c>
      <c r="C13017" s="2" t="str">
        <f ca="1">IFERROR(__xludf.DUMMYFUNCTION("""COMPUTED_VALUE"""),"Building")</f>
        <v>Building</v>
      </c>
      <c r="D13017" s="2" t="str">
        <f ca="1">IFERROR(__xludf.DUMMYFUNCTION("""COMPUTED_VALUE"""),"Dubai&gt;Business Bay&gt;SOL Bay")</f>
        <v>Dubai&gt;Business Bay&gt;SOL Bay</v>
      </c>
      <c r="E13017" s="2"/>
      <c r="F13017" s="2"/>
      <c r="G13017" s="2"/>
      <c r="H13017" s="2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2"/>
      <c r="T13017" s="2"/>
      <c r="U13017" s="2"/>
      <c r="V13017" s="2"/>
      <c r="W13017" s="2"/>
      <c r="X13017" s="2"/>
      <c r="Y13017" s="2"/>
      <c r="Z13017" s="2"/>
    </row>
    <row r="13018" spans="1:26" ht="16.5" x14ac:dyDescent="0.35">
      <c r="A13018" s="2" t="str">
        <f ca="1">IFERROR(__xludf.DUMMYFUNCTION("""COMPUTED_VALUE"""),"Dubai")</f>
        <v>Dubai</v>
      </c>
      <c r="B13018" s="2" t="str">
        <f ca="1">IFERROR(__xludf.DUMMYFUNCTION("""COMPUTED_VALUE"""),"Residence 22")</f>
        <v>Residence 22</v>
      </c>
      <c r="C13018" s="2" t="str">
        <f ca="1">IFERROR(__xludf.DUMMYFUNCTION("""COMPUTED_VALUE"""),"Building")</f>
        <v>Building</v>
      </c>
      <c r="D13018" s="2" t="str">
        <f ca="1">IFERROR(__xludf.DUMMYFUNCTION("""COMPUTED_VALUE"""),"Dubai&gt;Business Bay&gt;Residence 22")</f>
        <v>Dubai&gt;Business Bay&gt;Residence 22</v>
      </c>
      <c r="E13018" s="2"/>
      <c r="F13018" s="2"/>
      <c r="G13018" s="2"/>
      <c r="H13018" s="2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2"/>
      <c r="T13018" s="2"/>
      <c r="U13018" s="2"/>
      <c r="V13018" s="2"/>
      <c r="W13018" s="2"/>
      <c r="X13018" s="2"/>
      <c r="Y13018" s="2"/>
      <c r="Z13018" s="2"/>
    </row>
    <row r="13019" spans="1:26" ht="16.5" x14ac:dyDescent="0.35">
      <c r="A13019" s="2" t="str">
        <f ca="1">IFERROR(__xludf.DUMMYFUNCTION("""COMPUTED_VALUE"""),"Dubai")</f>
        <v>Dubai</v>
      </c>
      <c r="B13019" s="2" t="str">
        <f ca="1">IFERROR(__xludf.DUMMYFUNCTION("""COMPUTED_VALUE"""),"Sobha Ivory")</f>
        <v>Sobha Ivory</v>
      </c>
      <c r="C13019" s="2" t="str">
        <f ca="1">IFERROR(__xludf.DUMMYFUNCTION("""COMPUTED_VALUE"""),"Cluster")</f>
        <v>Cluster</v>
      </c>
      <c r="D13019" s="2" t="str">
        <f ca="1">IFERROR(__xludf.DUMMYFUNCTION("""COMPUTED_VALUE"""),"Dubai&gt;Business Bay&gt;Sobha Ivory")</f>
        <v>Dubai&gt;Business Bay&gt;Sobha Ivory</v>
      </c>
      <c r="E13019" s="2"/>
      <c r="F13019" s="2"/>
      <c r="G13019" s="2"/>
      <c r="H13019" s="2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2"/>
      <c r="T13019" s="2"/>
      <c r="U13019" s="2"/>
      <c r="V13019" s="2"/>
      <c r="W13019" s="2"/>
      <c r="X13019" s="2"/>
      <c r="Y13019" s="2"/>
      <c r="Z13019" s="2"/>
    </row>
    <row r="13020" spans="1:26" ht="16.5" x14ac:dyDescent="0.35">
      <c r="A13020" s="2" t="str">
        <f ca="1">IFERROR(__xludf.DUMMYFUNCTION("""COMPUTED_VALUE"""),"Dubai")</f>
        <v>Dubai</v>
      </c>
      <c r="B13020" s="2" t="str">
        <f ca="1">IFERROR(__xludf.DUMMYFUNCTION("""COMPUTED_VALUE"""),"The One Hotel")</f>
        <v>The One Hotel</v>
      </c>
      <c r="C13020" s="2" t="str">
        <f ca="1">IFERROR(__xludf.DUMMYFUNCTION("""COMPUTED_VALUE"""),"Building")</f>
        <v>Building</v>
      </c>
      <c r="D13020" s="2" t="str">
        <f ca="1">IFERROR(__xludf.DUMMYFUNCTION("""COMPUTED_VALUE"""),"Dubai&gt;Business Bay&gt;The One Hotel")</f>
        <v>Dubai&gt;Business Bay&gt;The One Hotel</v>
      </c>
      <c r="E13020" s="2"/>
      <c r="F13020" s="2"/>
      <c r="G13020" s="2"/>
      <c r="H13020" s="2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2"/>
      <c r="T13020" s="2"/>
      <c r="U13020" s="2"/>
      <c r="V13020" s="2"/>
      <c r="W13020" s="2"/>
      <c r="X13020" s="2"/>
      <c r="Y13020" s="2"/>
      <c r="Z13020" s="2"/>
    </row>
    <row r="13021" spans="1:26" ht="16.5" x14ac:dyDescent="0.35">
      <c r="A13021" s="2" t="str">
        <f ca="1">IFERROR(__xludf.DUMMYFUNCTION("""COMPUTED_VALUE"""),"Dubai")</f>
        <v>Dubai</v>
      </c>
      <c r="B13021" s="2" t="str">
        <f ca="1">IFERROR(__xludf.DUMMYFUNCTION("""COMPUTED_VALUE"""),"Ramee Dream Hotel")</f>
        <v>Ramee Dream Hotel</v>
      </c>
      <c r="C13021" s="2" t="str">
        <f ca="1">IFERROR(__xludf.DUMMYFUNCTION("""COMPUTED_VALUE"""),"Building")</f>
        <v>Building</v>
      </c>
      <c r="D13021" s="2" t="str">
        <f ca="1">IFERROR(__xludf.DUMMYFUNCTION("""COMPUTED_VALUE"""),"Dubai&gt;Business Bay&gt;Ramee Dream Hotel")</f>
        <v>Dubai&gt;Business Bay&gt;Ramee Dream Hotel</v>
      </c>
      <c r="E13021" s="2"/>
      <c r="F13021" s="2"/>
      <c r="G13021" s="2"/>
      <c r="H13021" s="2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2"/>
      <c r="T13021" s="2"/>
      <c r="U13021" s="2"/>
      <c r="V13021" s="2"/>
      <c r="W13021" s="2"/>
      <c r="X13021" s="2"/>
      <c r="Y13021" s="2"/>
      <c r="Z13021" s="2"/>
    </row>
    <row r="13022" spans="1:26" ht="16.5" x14ac:dyDescent="0.35">
      <c r="A13022" s="2" t="str">
        <f ca="1">IFERROR(__xludf.DUMMYFUNCTION("""COMPUTED_VALUE"""),"Dubai")</f>
        <v>Dubai</v>
      </c>
      <c r="B13022" s="2" t="str">
        <f ca="1">IFERROR(__xludf.DUMMYFUNCTION("""COMPUTED_VALUE"""),"Bayz 101")</f>
        <v>Bayz 101</v>
      </c>
      <c r="C13022" s="2" t="str">
        <f ca="1">IFERROR(__xludf.DUMMYFUNCTION("""COMPUTED_VALUE"""),"Building")</f>
        <v>Building</v>
      </c>
      <c r="D13022" s="2" t="str">
        <f ca="1">IFERROR(__xludf.DUMMYFUNCTION("""COMPUTED_VALUE"""),"Dubai&gt;Business Bay&gt;Bayz 101")</f>
        <v>Dubai&gt;Business Bay&gt;Bayz 101</v>
      </c>
      <c r="E13022" s="2"/>
      <c r="F13022" s="2"/>
      <c r="G13022" s="2"/>
      <c r="H13022" s="2"/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  <c r="S13022" s="2"/>
      <c r="T13022" s="2"/>
      <c r="U13022" s="2"/>
      <c r="V13022" s="2"/>
      <c r="W13022" s="2"/>
      <c r="X13022" s="2"/>
      <c r="Y13022" s="2"/>
      <c r="Z13022" s="2"/>
    </row>
    <row r="13023" spans="1:26" ht="16.5" x14ac:dyDescent="0.35">
      <c r="A13023" s="2" t="str">
        <f ca="1">IFERROR(__xludf.DUMMYFUNCTION("""COMPUTED_VALUE"""),"Dubai")</f>
        <v>Dubai</v>
      </c>
      <c r="B13023" s="2" t="str">
        <f ca="1">IFERROR(__xludf.DUMMYFUNCTION("""COMPUTED_VALUE"""),"Future Tower")</f>
        <v>Future Tower</v>
      </c>
      <c r="C13023" s="2" t="str">
        <f ca="1">IFERROR(__xludf.DUMMYFUNCTION("""COMPUTED_VALUE"""),"Building")</f>
        <v>Building</v>
      </c>
      <c r="D13023" s="2" t="str">
        <f ca="1">IFERROR(__xludf.DUMMYFUNCTION("""COMPUTED_VALUE"""),"Dubai&gt;Business Bay&gt;Future Tower")</f>
        <v>Dubai&gt;Business Bay&gt;Future Tower</v>
      </c>
      <c r="E13023" s="2"/>
      <c r="F13023" s="2"/>
      <c r="G13023" s="2"/>
      <c r="H13023" s="2"/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  <c r="S13023" s="2"/>
      <c r="T13023" s="2"/>
      <c r="U13023" s="2"/>
      <c r="V13023" s="2"/>
      <c r="W13023" s="2"/>
      <c r="X13023" s="2"/>
      <c r="Y13023" s="2"/>
      <c r="Z13023" s="2"/>
    </row>
    <row r="13024" spans="1:26" ht="16.5" x14ac:dyDescent="0.35">
      <c r="A13024" s="2" t="str">
        <f ca="1">IFERROR(__xludf.DUMMYFUNCTION("""COMPUTED_VALUE"""),"Dubai")</f>
        <v>Dubai</v>
      </c>
      <c r="B13024" s="2" t="str">
        <f ca="1">IFERROR(__xludf.DUMMYFUNCTION("""COMPUTED_VALUE"""),"The Ivy")</f>
        <v>The Ivy</v>
      </c>
      <c r="C13024" s="2" t="str">
        <f ca="1">IFERROR(__xludf.DUMMYFUNCTION("""COMPUTED_VALUE"""),"Building")</f>
        <v>Building</v>
      </c>
      <c r="D13024" s="2" t="str">
        <f ca="1">IFERROR(__xludf.DUMMYFUNCTION("""COMPUTED_VALUE"""),"Dubai&gt;Jumeirah Village Triangle (JVT)&gt;JVT District 5&gt;The Ivy")</f>
        <v>Dubai&gt;Jumeirah Village Triangle (JVT)&gt;JVT District 5&gt;The Ivy</v>
      </c>
      <c r="E13024" s="2"/>
      <c r="F13024" s="2"/>
      <c r="G13024" s="2"/>
      <c r="H13024" s="2"/>
      <c r="I13024" s="2"/>
      <c r="J13024" s="2"/>
      <c r="K13024" s="2"/>
      <c r="L13024" s="2"/>
      <c r="M13024" s="2"/>
      <c r="N13024" s="2"/>
      <c r="O13024" s="2"/>
      <c r="P13024" s="2"/>
      <c r="Q13024" s="2"/>
      <c r="R13024" s="2"/>
      <c r="S13024" s="2"/>
      <c r="T13024" s="2"/>
      <c r="U13024" s="2"/>
      <c r="V13024" s="2"/>
      <c r="W13024" s="2"/>
      <c r="X13024" s="2"/>
      <c r="Y13024" s="2"/>
      <c r="Z13024" s="2"/>
    </row>
    <row r="13025" spans="1:26" ht="16.5" x14ac:dyDescent="0.35">
      <c r="A13025" s="2" t="str">
        <f ca="1">IFERROR(__xludf.DUMMYFUNCTION("""COMPUTED_VALUE"""),"Dubai")</f>
        <v>Dubai</v>
      </c>
      <c r="B13025" s="2" t="str">
        <f ca="1">IFERROR(__xludf.DUMMYFUNCTION("""COMPUTED_VALUE"""),"District 9F")</f>
        <v>District 9F</v>
      </c>
      <c r="C13025" s="2" t="str">
        <f ca="1">IFERROR(__xludf.DUMMYFUNCTION("""COMPUTED_VALUE"""),"Neighbourhood")</f>
        <v>Neighbourhood</v>
      </c>
      <c r="D13025" s="2" t="str">
        <f ca="1">IFERROR(__xludf.DUMMYFUNCTION("""COMPUTED_VALUE"""),"Dubai&gt;Jumeirah Village Triangle (JVT)&gt;JVT District 9&gt;District 9F")</f>
        <v>Dubai&gt;Jumeirah Village Triangle (JVT)&gt;JVT District 9&gt;District 9F</v>
      </c>
      <c r="E13025" s="2"/>
      <c r="F13025" s="2"/>
      <c r="G13025" s="2"/>
      <c r="H13025" s="2"/>
      <c r="I13025" s="2"/>
      <c r="J13025" s="2"/>
      <c r="K13025" s="2"/>
      <c r="L13025" s="2"/>
      <c r="M13025" s="2"/>
      <c r="N13025" s="2"/>
      <c r="O13025" s="2"/>
      <c r="P13025" s="2"/>
      <c r="Q13025" s="2"/>
      <c r="R13025" s="2"/>
      <c r="S13025" s="2"/>
      <c r="T13025" s="2"/>
      <c r="U13025" s="2"/>
      <c r="V13025" s="2"/>
      <c r="W13025" s="2"/>
      <c r="X13025" s="2"/>
      <c r="Y13025" s="2"/>
      <c r="Z13025" s="2"/>
    </row>
    <row r="13026" spans="1:26" ht="16.5" x14ac:dyDescent="0.35">
      <c r="A13026" s="2" t="str">
        <f ca="1">IFERROR(__xludf.DUMMYFUNCTION("""COMPUTED_VALUE"""),"Dubai")</f>
        <v>Dubai</v>
      </c>
      <c r="B13026" s="2" t="str">
        <f ca="1">IFERROR(__xludf.DUMMYFUNCTION("""COMPUTED_VALUE"""),"Interstellar Tower")</f>
        <v>Interstellar Tower</v>
      </c>
      <c r="C13026" s="2" t="str">
        <f ca="1">IFERROR(__xludf.DUMMYFUNCTION("""COMPUTED_VALUE"""),"Building")</f>
        <v>Building</v>
      </c>
      <c r="D13026" s="2" t="str">
        <f ca="1">IFERROR(__xludf.DUMMYFUNCTION("""COMPUTED_VALUE"""),"Dubai&gt;Jumeirah Village Triangle (JVT)&gt;JVT District 2&gt;Interstellar Tower")</f>
        <v>Dubai&gt;Jumeirah Village Triangle (JVT)&gt;JVT District 2&gt;Interstellar Tower</v>
      </c>
      <c r="E13026" s="2"/>
      <c r="F13026" s="2"/>
      <c r="G13026" s="2"/>
      <c r="H13026" s="2"/>
      <c r="I13026" s="2"/>
      <c r="J13026" s="2"/>
      <c r="K13026" s="2"/>
      <c r="L13026" s="2"/>
      <c r="M13026" s="2"/>
      <c r="N13026" s="2"/>
      <c r="O13026" s="2"/>
      <c r="P13026" s="2"/>
      <c r="Q13026" s="2"/>
      <c r="R13026" s="2"/>
      <c r="S13026" s="2"/>
      <c r="T13026" s="2"/>
      <c r="U13026" s="2"/>
      <c r="V13026" s="2"/>
      <c r="W13026" s="2"/>
      <c r="X13026" s="2"/>
      <c r="Y13026" s="2"/>
      <c r="Z13026" s="2"/>
    </row>
    <row r="13027" spans="1:26" ht="16.5" x14ac:dyDescent="0.35">
      <c r="A13027" s="2" t="str">
        <f ca="1">IFERROR(__xludf.DUMMYFUNCTION("""COMPUTED_VALUE"""),"Dubai")</f>
        <v>Dubai</v>
      </c>
      <c r="B13027" s="2" t="str">
        <f ca="1">IFERROR(__xludf.DUMMYFUNCTION("""COMPUTED_VALUE"""),"District 1D")</f>
        <v>District 1D</v>
      </c>
      <c r="C13027" s="2" t="str">
        <f ca="1">IFERROR(__xludf.DUMMYFUNCTION("""COMPUTED_VALUE"""),"Neighbourhood")</f>
        <v>Neighbourhood</v>
      </c>
      <c r="D13027" s="2" t="str">
        <f ca="1">IFERROR(__xludf.DUMMYFUNCTION("""COMPUTED_VALUE"""),"Dubai&gt;Jumeirah Village Triangle (JVT)&gt;JVT District 1&gt;District 1D")</f>
        <v>Dubai&gt;Jumeirah Village Triangle (JVT)&gt;JVT District 1&gt;District 1D</v>
      </c>
      <c r="E13027" s="2"/>
      <c r="F13027" s="2"/>
      <c r="G13027" s="2"/>
      <c r="H13027" s="2"/>
      <c r="I13027" s="2"/>
      <c r="J13027" s="2"/>
      <c r="K13027" s="2"/>
      <c r="L13027" s="2"/>
      <c r="M13027" s="2"/>
      <c r="N13027" s="2"/>
      <c r="O13027" s="2"/>
      <c r="P13027" s="2"/>
      <c r="Q13027" s="2"/>
      <c r="R13027" s="2"/>
      <c r="S13027" s="2"/>
      <c r="T13027" s="2"/>
      <c r="U13027" s="2"/>
      <c r="V13027" s="2"/>
      <c r="W13027" s="2"/>
      <c r="X13027" s="2"/>
      <c r="Y13027" s="2"/>
      <c r="Z13027" s="2"/>
    </row>
    <row r="13028" spans="1:26" ht="16.5" x14ac:dyDescent="0.35">
      <c r="A13028" s="2" t="str">
        <f ca="1">IFERROR(__xludf.DUMMYFUNCTION("""COMPUTED_VALUE"""),"Dubai")</f>
        <v>Dubai</v>
      </c>
      <c r="B13028" s="2" t="str">
        <f ca="1">IFERROR(__xludf.DUMMYFUNCTION("""COMPUTED_VALUE"""),"Belmont Residences")</f>
        <v>Belmont Residences</v>
      </c>
      <c r="C13028" s="2" t="str">
        <f ca="1">IFERROR(__xludf.DUMMYFUNCTION("""COMPUTED_VALUE"""),"Building")</f>
        <v>Building</v>
      </c>
      <c r="D13028" s="2" t="str">
        <f ca="1">IFERROR(__xludf.DUMMYFUNCTION("""COMPUTED_VALUE"""),"Dubai&gt;Jumeirah Village Triangle (JVT)&gt;JVT District 4&gt;Belmont Residences")</f>
        <v>Dubai&gt;Jumeirah Village Triangle (JVT)&gt;JVT District 4&gt;Belmont Residences</v>
      </c>
      <c r="E13028" s="2"/>
      <c r="F13028" s="2"/>
      <c r="G13028" s="2"/>
      <c r="H13028" s="2"/>
      <c r="I13028" s="2"/>
      <c r="J13028" s="2"/>
      <c r="K13028" s="2"/>
      <c r="L13028" s="2"/>
      <c r="M13028" s="2"/>
      <c r="N13028" s="2"/>
      <c r="O13028" s="2"/>
      <c r="P13028" s="2"/>
      <c r="Q13028" s="2"/>
      <c r="R13028" s="2"/>
      <c r="S13028" s="2"/>
      <c r="T13028" s="2"/>
      <c r="U13028" s="2"/>
      <c r="V13028" s="2"/>
      <c r="W13028" s="2"/>
      <c r="X13028" s="2"/>
      <c r="Y13028" s="2"/>
      <c r="Z13028" s="2"/>
    </row>
    <row r="13029" spans="1:26" ht="16.5" x14ac:dyDescent="0.35">
      <c r="A13029" s="2" t="str">
        <f ca="1">IFERROR(__xludf.DUMMYFUNCTION("""COMPUTED_VALUE"""),"Dubai")</f>
        <v>Dubai</v>
      </c>
      <c r="B13029" s="2" t="str">
        <f ca="1">IFERROR(__xludf.DUMMYFUNCTION("""COMPUTED_VALUE"""),"Enaya Residences")</f>
        <v>Enaya Residences</v>
      </c>
      <c r="C13029" s="2" t="str">
        <f ca="1">IFERROR(__xludf.DUMMYFUNCTION("""COMPUTED_VALUE"""),"Building")</f>
        <v>Building</v>
      </c>
      <c r="D13029" s="2" t="str">
        <f ca="1">IFERROR(__xludf.DUMMYFUNCTION("""COMPUTED_VALUE"""),"Dubai&gt;Jumeirah Village Triangle (JVT)&gt;JVT District 3&gt;Enaya Residences")</f>
        <v>Dubai&gt;Jumeirah Village Triangle (JVT)&gt;JVT District 3&gt;Enaya Residences</v>
      </c>
      <c r="E13029" s="2"/>
      <c r="F13029" s="2"/>
      <c r="G13029" s="2"/>
      <c r="H13029" s="2"/>
      <c r="I13029" s="2"/>
      <c r="J13029" s="2"/>
      <c r="K13029" s="2"/>
      <c r="L13029" s="2"/>
      <c r="M13029" s="2"/>
      <c r="N13029" s="2"/>
      <c r="O13029" s="2"/>
      <c r="P13029" s="2"/>
      <c r="Q13029" s="2"/>
      <c r="R13029" s="2"/>
      <c r="S13029" s="2"/>
      <c r="T13029" s="2"/>
      <c r="U13029" s="2"/>
      <c r="V13029" s="2"/>
      <c r="W13029" s="2"/>
      <c r="X13029" s="2"/>
      <c r="Y13029" s="2"/>
      <c r="Z13029" s="2"/>
    </row>
    <row r="13030" spans="1:26" ht="16.5" x14ac:dyDescent="0.35">
      <c r="A13030" s="2" t="str">
        <f ca="1">IFERROR(__xludf.DUMMYFUNCTION("""COMPUTED_VALUE"""),"Dubai")</f>
        <v>Dubai</v>
      </c>
      <c r="B13030" s="2" t="str">
        <f ca="1">IFERROR(__xludf.DUMMYFUNCTION("""COMPUTED_VALUE"""),"Al Ramth 26")</f>
        <v>Al Ramth 26</v>
      </c>
      <c r="C13030" s="2" t="str">
        <f ca="1">IFERROR(__xludf.DUMMYFUNCTION("""COMPUTED_VALUE"""),"Building")</f>
        <v>Building</v>
      </c>
      <c r="D13030" s="2" t="str">
        <f ca="1">IFERROR(__xludf.DUMMYFUNCTION("""COMPUTED_VALUE"""),"Dubai&gt;Remraam&gt;Al Ramth&gt;Al Ramth 26")</f>
        <v>Dubai&gt;Remraam&gt;Al Ramth&gt;Al Ramth 26</v>
      </c>
      <c r="E13030" s="2"/>
      <c r="F13030" s="2"/>
      <c r="G13030" s="2"/>
      <c r="H13030" s="2"/>
      <c r="I13030" s="2"/>
      <c r="J13030" s="2"/>
      <c r="K13030" s="2"/>
      <c r="L13030" s="2"/>
      <c r="M13030" s="2"/>
      <c r="N13030" s="2"/>
      <c r="O13030" s="2"/>
      <c r="P13030" s="2"/>
      <c r="Q13030" s="2"/>
      <c r="R13030" s="2"/>
      <c r="S13030" s="2"/>
      <c r="T13030" s="2"/>
      <c r="U13030" s="2"/>
      <c r="V13030" s="2"/>
      <c r="W13030" s="2"/>
      <c r="X13030" s="2"/>
      <c r="Y13030" s="2"/>
      <c r="Z13030" s="2"/>
    </row>
    <row r="13031" spans="1:26" ht="16.5" x14ac:dyDescent="0.35">
      <c r="A13031" s="2" t="str">
        <f ca="1">IFERROR(__xludf.DUMMYFUNCTION("""COMPUTED_VALUE"""),"Dubai")</f>
        <v>Dubai</v>
      </c>
      <c r="B13031" s="2" t="str">
        <f ca="1">IFERROR(__xludf.DUMMYFUNCTION("""COMPUTED_VALUE"""),"Al Thamam 30")</f>
        <v>Al Thamam 30</v>
      </c>
      <c r="C13031" s="2" t="str">
        <f ca="1">IFERROR(__xludf.DUMMYFUNCTION("""COMPUTED_VALUE"""),"Building")</f>
        <v>Building</v>
      </c>
      <c r="D13031" s="2" t="str">
        <f ca="1">IFERROR(__xludf.DUMMYFUNCTION("""COMPUTED_VALUE"""),"Dubai&gt;Remraam&gt;Al Thamam&gt;Al Thamam 30")</f>
        <v>Dubai&gt;Remraam&gt;Al Thamam&gt;Al Thamam 30</v>
      </c>
      <c r="E13031" s="2"/>
      <c r="F13031" s="2"/>
      <c r="G13031" s="2"/>
      <c r="H13031" s="2"/>
      <c r="I13031" s="2"/>
      <c r="J13031" s="2"/>
      <c r="K13031" s="2"/>
      <c r="L13031" s="2"/>
      <c r="M13031" s="2"/>
      <c r="N13031" s="2"/>
      <c r="O13031" s="2"/>
      <c r="P13031" s="2"/>
      <c r="Q13031" s="2"/>
      <c r="R13031" s="2"/>
      <c r="S13031" s="2"/>
      <c r="T13031" s="2"/>
      <c r="U13031" s="2"/>
      <c r="V13031" s="2"/>
      <c r="W13031" s="2"/>
      <c r="X13031" s="2"/>
      <c r="Y13031" s="2"/>
      <c r="Z13031" s="2"/>
    </row>
    <row r="13032" spans="1:26" ht="16.5" x14ac:dyDescent="0.35">
      <c r="A13032" s="2" t="str">
        <f ca="1">IFERROR(__xludf.DUMMYFUNCTION("""COMPUTED_VALUE"""),"Dubai")</f>
        <v>Dubai</v>
      </c>
      <c r="B13032" s="2" t="str">
        <f ca="1">IFERROR(__xludf.DUMMYFUNCTION("""COMPUTED_VALUE"""),"Al Thamam 39")</f>
        <v>Al Thamam 39</v>
      </c>
      <c r="C13032" s="2" t="str">
        <f ca="1">IFERROR(__xludf.DUMMYFUNCTION("""COMPUTED_VALUE"""),"Building")</f>
        <v>Building</v>
      </c>
      <c r="D13032" s="2" t="str">
        <f ca="1">IFERROR(__xludf.DUMMYFUNCTION("""COMPUTED_VALUE"""),"Dubai&gt;Remraam&gt;Al Thamam&gt;Al Thamam 39")</f>
        <v>Dubai&gt;Remraam&gt;Al Thamam&gt;Al Thamam 39</v>
      </c>
      <c r="E13032" s="2"/>
      <c r="F13032" s="2"/>
      <c r="G13032" s="2"/>
      <c r="H13032" s="2"/>
      <c r="I13032" s="2"/>
      <c r="J13032" s="2"/>
      <c r="K13032" s="2"/>
      <c r="L13032" s="2"/>
      <c r="M13032" s="2"/>
      <c r="N13032" s="2"/>
      <c r="O13032" s="2"/>
      <c r="P13032" s="2"/>
      <c r="Q13032" s="2"/>
      <c r="R13032" s="2"/>
      <c r="S13032" s="2"/>
      <c r="T13032" s="2"/>
      <c r="U13032" s="2"/>
      <c r="V13032" s="2"/>
      <c r="W13032" s="2"/>
      <c r="X13032" s="2"/>
      <c r="Y13032" s="2"/>
      <c r="Z13032" s="2"/>
    </row>
    <row r="13033" spans="1:26" ht="16.5" x14ac:dyDescent="0.35">
      <c r="A13033" s="2" t="str">
        <f ca="1">IFERROR(__xludf.DUMMYFUNCTION("""COMPUTED_VALUE"""),"Dubai")</f>
        <v>Dubai</v>
      </c>
      <c r="B13033" s="2" t="str">
        <f ca="1">IFERROR(__xludf.DUMMYFUNCTION("""COMPUTED_VALUE"""),"Marwa Homes")</f>
        <v>Marwa Homes</v>
      </c>
      <c r="C13033" s="2" t="str">
        <f ca="1">IFERROR(__xludf.DUMMYFUNCTION("""COMPUTED_VALUE"""),"Neighbourhood")</f>
        <v>Neighbourhood</v>
      </c>
      <c r="D13033" s="2" t="str">
        <f ca="1">IFERROR(__xludf.DUMMYFUNCTION("""COMPUTED_VALUE"""),"Dubai&gt;Jumeirah Village Circle (JVC)&gt;JVC District 12&gt;Marwa Homes")</f>
        <v>Dubai&gt;Jumeirah Village Circle (JVC)&gt;JVC District 12&gt;Marwa Homes</v>
      </c>
      <c r="E13033" s="2"/>
      <c r="F13033" s="2"/>
      <c r="G13033" s="2"/>
      <c r="H13033" s="2"/>
      <c r="I13033" s="2"/>
      <c r="J13033" s="2"/>
      <c r="K13033" s="2"/>
      <c r="L13033" s="2"/>
      <c r="M13033" s="2"/>
      <c r="N13033" s="2"/>
      <c r="O13033" s="2"/>
      <c r="P13033" s="2"/>
      <c r="Q13033" s="2"/>
      <c r="R13033" s="2"/>
      <c r="S13033" s="2"/>
      <c r="T13033" s="2"/>
      <c r="U13033" s="2"/>
      <c r="V13033" s="2"/>
      <c r="W13033" s="2"/>
      <c r="X13033" s="2"/>
      <c r="Y13033" s="2"/>
      <c r="Z13033" s="2"/>
    </row>
    <row r="13034" spans="1:26" ht="16.5" x14ac:dyDescent="0.35">
      <c r="A13034" s="2" t="str">
        <f ca="1">IFERROR(__xludf.DUMMYFUNCTION("""COMPUTED_VALUE"""),"Dubai")</f>
        <v>Dubai</v>
      </c>
      <c r="B13034" s="2" t="str">
        <f ca="1">IFERROR(__xludf.DUMMYFUNCTION("""COMPUTED_VALUE"""),"Al Yousuf Towers")</f>
        <v>Al Yousuf Towers</v>
      </c>
      <c r="C13034" s="2" t="str">
        <f ca="1">IFERROR(__xludf.DUMMYFUNCTION("""COMPUTED_VALUE"""),"Cluster")</f>
        <v>Cluster</v>
      </c>
      <c r="D13034" s="2" t="str">
        <f ca="1">IFERROR(__xludf.DUMMYFUNCTION("""COMPUTED_VALUE"""),"Dubai&gt;Jumeirah Village Circle (JVC)&gt;JVC District 12&gt;Al Yousuf Towers")</f>
        <v>Dubai&gt;Jumeirah Village Circle (JVC)&gt;JVC District 12&gt;Al Yousuf Towers</v>
      </c>
      <c r="E13034" s="2"/>
      <c r="F13034" s="2"/>
      <c r="G13034" s="2"/>
      <c r="H13034" s="2"/>
      <c r="I13034" s="2"/>
      <c r="J13034" s="2"/>
      <c r="K13034" s="2"/>
      <c r="L13034" s="2"/>
      <c r="M13034" s="2"/>
      <c r="N13034" s="2"/>
      <c r="O13034" s="2"/>
      <c r="P13034" s="2"/>
      <c r="Q13034" s="2"/>
      <c r="R13034" s="2"/>
      <c r="S13034" s="2"/>
      <c r="T13034" s="2"/>
      <c r="U13034" s="2"/>
      <c r="V13034" s="2"/>
      <c r="W13034" s="2"/>
      <c r="X13034" s="2"/>
      <c r="Y13034" s="2"/>
      <c r="Z13034" s="2"/>
    </row>
    <row r="13035" spans="1:26" ht="16.5" x14ac:dyDescent="0.35">
      <c r="A13035" s="2" t="str">
        <f ca="1">IFERROR(__xludf.DUMMYFUNCTION("""COMPUTED_VALUE"""),"Dubai")</f>
        <v>Dubai</v>
      </c>
      <c r="B13035" s="2" t="str">
        <f ca="1">IFERROR(__xludf.DUMMYFUNCTION("""COMPUTED_VALUE"""),"Elysee Heights")</f>
        <v>Elysee Heights</v>
      </c>
      <c r="C13035" s="2" t="str">
        <f ca="1">IFERROR(__xludf.DUMMYFUNCTION("""COMPUTED_VALUE"""),"Building")</f>
        <v>Building</v>
      </c>
      <c r="D13035" s="2" t="str">
        <f ca="1">IFERROR(__xludf.DUMMYFUNCTION("""COMPUTED_VALUE"""),"Dubai&gt;Jumeirah Village Circle (JVC)&gt;JVC District 12&gt;Elysee Heights")</f>
        <v>Dubai&gt;Jumeirah Village Circle (JVC)&gt;JVC District 12&gt;Elysee Heights</v>
      </c>
      <c r="E13035" s="2"/>
      <c r="F13035" s="2"/>
      <c r="G13035" s="2"/>
      <c r="H13035" s="2"/>
      <c r="I13035" s="2"/>
      <c r="J13035" s="2"/>
      <c r="K13035" s="2"/>
      <c r="L13035" s="2"/>
      <c r="M13035" s="2"/>
      <c r="N13035" s="2"/>
      <c r="O13035" s="2"/>
      <c r="P13035" s="2"/>
      <c r="Q13035" s="2"/>
      <c r="R13035" s="2"/>
      <c r="S13035" s="2"/>
      <c r="T13035" s="2"/>
      <c r="U13035" s="2"/>
      <c r="V13035" s="2"/>
      <c r="W13035" s="2"/>
      <c r="X13035" s="2"/>
      <c r="Y13035" s="2"/>
      <c r="Z13035" s="2"/>
    </row>
    <row r="13036" spans="1:26" ht="16.5" x14ac:dyDescent="0.35">
      <c r="A13036" s="2" t="str">
        <f ca="1">IFERROR(__xludf.DUMMYFUNCTION("""COMPUTED_VALUE"""),"Dubai")</f>
        <v>Dubai</v>
      </c>
      <c r="B13036" s="2" t="str">
        <f ca="1">IFERROR(__xludf.DUMMYFUNCTION("""COMPUTED_VALUE"""),"La Rose")</f>
        <v>La Rose</v>
      </c>
      <c r="C13036" s="2" t="str">
        <f ca="1">IFERROR(__xludf.DUMMYFUNCTION("""COMPUTED_VALUE"""),"Building")</f>
        <v>Building</v>
      </c>
      <c r="D13036" s="2" t="str">
        <f ca="1">IFERROR(__xludf.DUMMYFUNCTION("""COMPUTED_VALUE"""),"Dubai&gt;Jumeirah Village Circle (JVC)&gt;JVC District 12&gt;La Rose")</f>
        <v>Dubai&gt;Jumeirah Village Circle (JVC)&gt;JVC District 12&gt;La Rose</v>
      </c>
      <c r="E13036" s="2"/>
      <c r="F13036" s="2"/>
      <c r="G13036" s="2"/>
      <c r="H13036" s="2"/>
      <c r="I13036" s="2"/>
      <c r="J13036" s="2"/>
      <c r="K13036" s="2"/>
      <c r="L13036" s="2"/>
      <c r="M13036" s="2"/>
      <c r="N13036" s="2"/>
      <c r="O13036" s="2"/>
      <c r="P13036" s="2"/>
      <c r="Q13036" s="2"/>
      <c r="R13036" s="2"/>
      <c r="S13036" s="2"/>
      <c r="T13036" s="2"/>
      <c r="U13036" s="2"/>
      <c r="V13036" s="2"/>
      <c r="W13036" s="2"/>
      <c r="X13036" s="2"/>
      <c r="Y13036" s="2"/>
      <c r="Z13036" s="2"/>
    </row>
    <row r="13037" spans="1:26" ht="16.5" x14ac:dyDescent="0.35">
      <c r="A13037" s="2" t="str">
        <f ca="1">IFERROR(__xludf.DUMMYFUNCTION("""COMPUTED_VALUE"""),"Dubai")</f>
        <v>Dubai</v>
      </c>
      <c r="B13037" s="2" t="str">
        <f ca="1">IFERROR(__xludf.DUMMYFUNCTION("""COMPUTED_VALUE"""),"Alfa Residence")</f>
        <v>Alfa Residence</v>
      </c>
      <c r="C13037" s="2" t="str">
        <f ca="1">IFERROR(__xludf.DUMMYFUNCTION("""COMPUTED_VALUE"""),"Building")</f>
        <v>Building</v>
      </c>
      <c r="D13037" s="2" t="str">
        <f ca="1">IFERROR(__xludf.DUMMYFUNCTION("""COMPUTED_VALUE"""),"Dubai&gt;Jumeirah Village Circle (JVC)&gt;JVC District 13&gt;Alfa Residence")</f>
        <v>Dubai&gt;Jumeirah Village Circle (JVC)&gt;JVC District 13&gt;Alfa Residence</v>
      </c>
      <c r="E13037" s="2"/>
      <c r="F13037" s="2"/>
      <c r="G13037" s="2"/>
      <c r="H13037" s="2"/>
      <c r="I13037" s="2"/>
      <c r="J13037" s="2"/>
      <c r="K13037" s="2"/>
      <c r="L13037" s="2"/>
      <c r="M13037" s="2"/>
      <c r="N13037" s="2"/>
      <c r="O13037" s="2"/>
      <c r="P13037" s="2"/>
      <c r="Q13037" s="2"/>
      <c r="R13037" s="2"/>
      <c r="S13037" s="2"/>
      <c r="T13037" s="2"/>
      <c r="U13037" s="2"/>
      <c r="V13037" s="2"/>
      <c r="W13037" s="2"/>
      <c r="X13037" s="2"/>
      <c r="Y13037" s="2"/>
      <c r="Z13037" s="2"/>
    </row>
    <row r="13038" spans="1:26" ht="16.5" x14ac:dyDescent="0.35">
      <c r="A13038" s="2" t="str">
        <f ca="1">IFERROR(__xludf.DUMMYFUNCTION("""COMPUTED_VALUE"""),"Dubai")</f>
        <v>Dubai</v>
      </c>
      <c r="B13038" s="2" t="str">
        <f ca="1">IFERROR(__xludf.DUMMYFUNCTION("""COMPUTED_VALUE"""),"Elitz 3 Tower 1")</f>
        <v>Elitz 3 Tower 1</v>
      </c>
      <c r="C13038" s="2" t="str">
        <f ca="1">IFERROR(__xludf.DUMMYFUNCTION("""COMPUTED_VALUE"""),"Building")</f>
        <v>Building</v>
      </c>
      <c r="D13038" s="2" t="str">
        <f ca="1">IFERROR(__xludf.DUMMYFUNCTION("""COMPUTED_VALUE"""),"Dubai&gt;Jumeirah Village Circle (JVC)&gt;JVC District 13&gt;Elitz 3 by Danube&gt;Elitz 3 Tower 1")</f>
        <v>Dubai&gt;Jumeirah Village Circle (JVC)&gt;JVC District 13&gt;Elitz 3 by Danube&gt;Elitz 3 Tower 1</v>
      </c>
      <c r="E13038" s="2"/>
      <c r="F13038" s="2"/>
      <c r="G13038" s="2"/>
      <c r="H13038" s="2"/>
      <c r="I13038" s="2"/>
      <c r="J13038" s="2"/>
      <c r="K13038" s="2"/>
      <c r="L13038" s="2"/>
      <c r="M13038" s="2"/>
      <c r="N13038" s="2"/>
      <c r="O13038" s="2"/>
      <c r="P13038" s="2"/>
      <c r="Q13038" s="2"/>
      <c r="R13038" s="2"/>
      <c r="S13038" s="2"/>
      <c r="T13038" s="2"/>
      <c r="U13038" s="2"/>
      <c r="V13038" s="2"/>
      <c r="W13038" s="2"/>
      <c r="X13038" s="2"/>
      <c r="Y13038" s="2"/>
      <c r="Z13038" s="2"/>
    </row>
    <row r="13039" spans="1:26" ht="16.5" x14ac:dyDescent="0.35">
      <c r="A13039" s="2" t="str">
        <f ca="1">IFERROR(__xludf.DUMMYFUNCTION("""COMPUTED_VALUE"""),"Dubai")</f>
        <v>Dubai</v>
      </c>
      <c r="B13039" s="2" t="str">
        <f ca="1">IFERROR(__xludf.DUMMYFUNCTION("""COMPUTED_VALUE"""),"10C Building")</f>
        <v>10C Building</v>
      </c>
      <c r="C13039" s="2" t="str">
        <f ca="1">IFERROR(__xludf.DUMMYFUNCTION("""COMPUTED_VALUE"""),"Building")</f>
        <v>Building</v>
      </c>
      <c r="D13039" s="2" t="str">
        <f ca="1">IFERROR(__xludf.DUMMYFUNCTION("""COMPUTED_VALUE"""),"Dubai&gt;Jumeirah Village Circle (JVC)&gt;JVC District 18&gt;10C Building")</f>
        <v>Dubai&gt;Jumeirah Village Circle (JVC)&gt;JVC District 18&gt;10C Building</v>
      </c>
      <c r="E13039" s="2"/>
      <c r="F13039" s="2"/>
      <c r="G13039" s="2"/>
      <c r="H13039" s="2"/>
      <c r="I13039" s="2"/>
      <c r="J13039" s="2"/>
      <c r="K13039" s="2"/>
      <c r="L13039" s="2"/>
      <c r="M13039" s="2"/>
      <c r="N13039" s="2"/>
      <c r="O13039" s="2"/>
      <c r="P13039" s="2"/>
      <c r="Q13039" s="2"/>
      <c r="R13039" s="2"/>
      <c r="S13039" s="2"/>
      <c r="T13039" s="2"/>
      <c r="U13039" s="2"/>
      <c r="V13039" s="2"/>
      <c r="W13039" s="2"/>
      <c r="X13039" s="2"/>
      <c r="Y13039" s="2"/>
      <c r="Z13039" s="2"/>
    </row>
    <row r="13040" spans="1:26" ht="16.5" x14ac:dyDescent="0.35">
      <c r="A13040" s="2" t="str">
        <f ca="1">IFERROR(__xludf.DUMMYFUNCTION("""COMPUTED_VALUE"""),"Dubai")</f>
        <v>Dubai</v>
      </c>
      <c r="B13040" s="2" t="str">
        <f ca="1">IFERROR(__xludf.DUMMYFUNCTION("""COMPUTED_VALUE"""),"Condor Castle")</f>
        <v>Condor Castle</v>
      </c>
      <c r="C13040" s="2" t="str">
        <f ca="1">IFERROR(__xludf.DUMMYFUNCTION("""COMPUTED_VALUE"""),"Building")</f>
        <v>Building</v>
      </c>
      <c r="D13040" s="2" t="str">
        <f ca="1">IFERROR(__xludf.DUMMYFUNCTION("""COMPUTED_VALUE"""),"Dubai&gt;Jumeirah Village Circle (JVC)&gt;JVC District 10&gt;Condor Castle")</f>
        <v>Dubai&gt;Jumeirah Village Circle (JVC)&gt;JVC District 10&gt;Condor Castle</v>
      </c>
      <c r="E13040" s="2"/>
      <c r="F13040" s="2"/>
      <c r="G13040" s="2"/>
      <c r="H13040" s="2"/>
      <c r="I13040" s="2"/>
      <c r="J13040" s="2"/>
      <c r="K13040" s="2"/>
      <c r="L13040" s="2"/>
      <c r="M13040" s="2"/>
      <c r="N13040" s="2"/>
      <c r="O13040" s="2"/>
      <c r="P13040" s="2"/>
      <c r="Q13040" s="2"/>
      <c r="R13040" s="2"/>
      <c r="S13040" s="2"/>
      <c r="T13040" s="2"/>
      <c r="U13040" s="2"/>
      <c r="V13040" s="2"/>
      <c r="W13040" s="2"/>
      <c r="X13040" s="2"/>
      <c r="Y13040" s="2"/>
      <c r="Z13040" s="2"/>
    </row>
    <row r="13041" spans="1:26" ht="16.5" x14ac:dyDescent="0.35">
      <c r="A13041" s="2" t="str">
        <f ca="1">IFERROR(__xludf.DUMMYFUNCTION("""COMPUTED_VALUE"""),"Dubai")</f>
        <v>Dubai</v>
      </c>
      <c r="B13041" s="2" t="str">
        <f ca="1">IFERROR(__xludf.DUMMYFUNCTION("""COMPUTED_VALUE"""),"Casa Royale II")</f>
        <v>Casa Royale II</v>
      </c>
      <c r="C13041" s="2" t="str">
        <f ca="1">IFERROR(__xludf.DUMMYFUNCTION("""COMPUTED_VALUE"""),"Building")</f>
        <v>Building</v>
      </c>
      <c r="D13041" s="2" t="str">
        <f ca="1">IFERROR(__xludf.DUMMYFUNCTION("""COMPUTED_VALUE"""),"Dubai&gt;Jumeirah Village Circle (JVC)&gt;JVC District 10&gt;Casa Royale II")</f>
        <v>Dubai&gt;Jumeirah Village Circle (JVC)&gt;JVC District 10&gt;Casa Royale II</v>
      </c>
      <c r="E13041" s="2"/>
      <c r="F13041" s="2"/>
      <c r="G13041" s="2"/>
      <c r="H13041" s="2"/>
      <c r="I13041" s="2"/>
      <c r="J13041" s="2"/>
      <c r="K13041" s="2"/>
      <c r="L13041" s="2"/>
      <c r="M13041" s="2"/>
      <c r="N13041" s="2"/>
      <c r="O13041" s="2"/>
      <c r="P13041" s="2"/>
      <c r="Q13041" s="2"/>
      <c r="R13041" s="2"/>
      <c r="S13041" s="2"/>
      <c r="T13041" s="2"/>
      <c r="U13041" s="2"/>
      <c r="V13041" s="2"/>
      <c r="W13041" s="2"/>
      <c r="X13041" s="2"/>
      <c r="Y13041" s="2"/>
      <c r="Z13041" s="2"/>
    </row>
    <row r="13042" spans="1:26" ht="16.5" x14ac:dyDescent="0.35">
      <c r="A13042" s="2" t="str">
        <f ca="1">IFERROR(__xludf.DUMMYFUNCTION("""COMPUTED_VALUE"""),"Dubai")</f>
        <v>Dubai</v>
      </c>
      <c r="B13042" s="2" t="str">
        <f ca="1">IFERROR(__xludf.DUMMYFUNCTION("""COMPUTED_VALUE"""),"East Tower")</f>
        <v>East Tower</v>
      </c>
      <c r="C13042" s="2" t="str">
        <f ca="1">IFERROR(__xludf.DUMMYFUNCTION("""COMPUTED_VALUE"""),"Building")</f>
        <v>Building</v>
      </c>
      <c r="D13042" s="2" t="str">
        <f ca="1">IFERROR(__xludf.DUMMYFUNCTION("""COMPUTED_VALUE"""),"Dubai&gt;Jumeirah Village Circle (JVC)&gt;JVC District 10&gt;Luma 22&gt;East Tower")</f>
        <v>Dubai&gt;Jumeirah Village Circle (JVC)&gt;JVC District 10&gt;Luma 22&gt;East Tower</v>
      </c>
      <c r="E13042" s="2"/>
      <c r="F13042" s="2"/>
      <c r="G13042" s="2"/>
      <c r="H13042" s="2"/>
      <c r="I13042" s="2"/>
      <c r="J13042" s="2"/>
      <c r="K13042" s="2"/>
      <c r="L13042" s="2"/>
      <c r="M13042" s="2"/>
      <c r="N13042" s="2"/>
      <c r="O13042" s="2"/>
      <c r="P13042" s="2"/>
      <c r="Q13042" s="2"/>
      <c r="R13042" s="2"/>
      <c r="S13042" s="2"/>
      <c r="T13042" s="2"/>
      <c r="U13042" s="2"/>
      <c r="V13042" s="2"/>
      <c r="W13042" s="2"/>
      <c r="X13042" s="2"/>
      <c r="Y13042" s="2"/>
      <c r="Z13042" s="2"/>
    </row>
    <row r="13043" spans="1:26" ht="16.5" x14ac:dyDescent="0.35">
      <c r="A13043" s="2" t="str">
        <f ca="1">IFERROR(__xludf.DUMMYFUNCTION("""COMPUTED_VALUE"""),"Dubai")</f>
        <v>Dubai</v>
      </c>
      <c r="B13043" s="2" t="str">
        <f ca="1">IFERROR(__xludf.DUMMYFUNCTION("""COMPUTED_VALUE"""),"V Residence 2")</f>
        <v>V Residence 2</v>
      </c>
      <c r="C13043" s="2" t="str">
        <f ca="1">IFERROR(__xludf.DUMMYFUNCTION("""COMPUTED_VALUE"""),"Neighbourhood")</f>
        <v>Neighbourhood</v>
      </c>
      <c r="D13043" s="2" t="str">
        <f ca="1">IFERROR(__xludf.DUMMYFUNCTION("""COMPUTED_VALUE"""),"Dubai&gt;Jumeirah Village Circle (JVC)&gt;JVC District 10&gt;V Residence 2")</f>
        <v>Dubai&gt;Jumeirah Village Circle (JVC)&gt;JVC District 10&gt;V Residence 2</v>
      </c>
      <c r="E13043" s="2"/>
      <c r="F13043" s="2"/>
      <c r="G13043" s="2"/>
      <c r="H13043" s="2"/>
      <c r="I13043" s="2"/>
      <c r="J13043" s="2"/>
      <c r="K13043" s="2"/>
      <c r="L13043" s="2"/>
      <c r="M13043" s="2"/>
      <c r="N13043" s="2"/>
      <c r="O13043" s="2"/>
      <c r="P13043" s="2"/>
      <c r="Q13043" s="2"/>
      <c r="R13043" s="2"/>
      <c r="S13043" s="2"/>
      <c r="T13043" s="2"/>
      <c r="U13043" s="2"/>
      <c r="V13043" s="2"/>
      <c r="W13043" s="2"/>
      <c r="X13043" s="2"/>
      <c r="Y13043" s="2"/>
      <c r="Z13043" s="2"/>
    </row>
    <row r="13044" spans="1:26" ht="16.5" x14ac:dyDescent="0.35">
      <c r="A13044" s="2" t="str">
        <f ca="1">IFERROR(__xludf.DUMMYFUNCTION("""COMPUTED_VALUE"""),"Dubai")</f>
        <v>Dubai</v>
      </c>
      <c r="B13044" s="2" t="str">
        <f ca="1">IFERROR(__xludf.DUMMYFUNCTION("""COMPUTED_VALUE"""),"Dawn by Binghatti")</f>
        <v>Dawn by Binghatti</v>
      </c>
      <c r="C13044" s="2" t="str">
        <f ca="1">IFERROR(__xludf.DUMMYFUNCTION("""COMPUTED_VALUE"""),"Building")</f>
        <v>Building</v>
      </c>
      <c r="D13044" s="2" t="str">
        <f ca="1">IFERROR(__xludf.DUMMYFUNCTION("""COMPUTED_VALUE"""),"Dubai&gt;Jumeirah Village Circle (JVC)&gt;JVC District 16&gt;Dawn by Binghatti")</f>
        <v>Dubai&gt;Jumeirah Village Circle (JVC)&gt;JVC District 16&gt;Dawn by Binghatti</v>
      </c>
      <c r="E13044" s="2"/>
      <c r="F13044" s="2"/>
      <c r="G13044" s="2"/>
      <c r="H13044" s="2"/>
      <c r="I13044" s="2"/>
      <c r="J13044" s="2"/>
      <c r="K13044" s="2"/>
      <c r="L13044" s="2"/>
      <c r="M13044" s="2"/>
      <c r="N13044" s="2"/>
      <c r="O13044" s="2"/>
      <c r="P13044" s="2"/>
      <c r="Q13044" s="2"/>
      <c r="R13044" s="2"/>
      <c r="S13044" s="2"/>
      <c r="T13044" s="2"/>
      <c r="U13044" s="2"/>
      <c r="V13044" s="2"/>
      <c r="W13044" s="2"/>
      <c r="X13044" s="2"/>
      <c r="Y13044" s="2"/>
      <c r="Z13044" s="2"/>
    </row>
    <row r="13045" spans="1:26" ht="16.5" x14ac:dyDescent="0.35">
      <c r="A13045" s="2" t="str">
        <f ca="1">IFERROR(__xludf.DUMMYFUNCTION("""COMPUTED_VALUE"""),"Dubai")</f>
        <v>Dubai</v>
      </c>
      <c r="B13045" s="2" t="str">
        <f ca="1">IFERROR(__xludf.DUMMYFUNCTION("""COMPUTED_VALUE"""),"Zaya Hameni")</f>
        <v>Zaya Hameni</v>
      </c>
      <c r="C13045" s="2" t="str">
        <f ca="1">IFERROR(__xludf.DUMMYFUNCTION("""COMPUTED_VALUE"""),"Building")</f>
        <v>Building</v>
      </c>
      <c r="D13045" s="2" t="str">
        <f ca="1">IFERROR(__xludf.DUMMYFUNCTION("""COMPUTED_VALUE"""),"Dubai&gt;Jumeirah Village Circle (JVC)&gt;JVC District 15&gt;Zaya Hameni")</f>
        <v>Dubai&gt;Jumeirah Village Circle (JVC)&gt;JVC District 15&gt;Zaya Hameni</v>
      </c>
      <c r="E13045" s="2"/>
      <c r="F13045" s="2"/>
      <c r="G13045" s="2"/>
      <c r="H13045" s="2"/>
      <c r="I13045" s="2"/>
      <c r="J13045" s="2"/>
      <c r="K13045" s="2"/>
      <c r="L13045" s="2"/>
      <c r="M13045" s="2"/>
      <c r="N13045" s="2"/>
      <c r="O13045" s="2"/>
      <c r="P13045" s="2"/>
      <c r="Q13045" s="2"/>
      <c r="R13045" s="2"/>
      <c r="S13045" s="2"/>
      <c r="T13045" s="2"/>
      <c r="U13045" s="2"/>
      <c r="V13045" s="2"/>
      <c r="W13045" s="2"/>
      <c r="X13045" s="2"/>
      <c r="Y13045" s="2"/>
      <c r="Z13045" s="2"/>
    </row>
    <row r="13046" spans="1:26" ht="16.5" x14ac:dyDescent="0.35">
      <c r="A13046" s="2" t="str">
        <f ca="1">IFERROR(__xludf.DUMMYFUNCTION("""COMPUTED_VALUE"""),"Dubai")</f>
        <v>Dubai</v>
      </c>
      <c r="B13046" s="2" t="str">
        <f ca="1">IFERROR(__xludf.DUMMYFUNCTION("""COMPUTED_VALUE"""),"Binghatti Jasmine")</f>
        <v>Binghatti Jasmine</v>
      </c>
      <c r="C13046" s="2" t="str">
        <f ca="1">IFERROR(__xludf.DUMMYFUNCTION("""COMPUTED_VALUE"""),"Building")</f>
        <v>Building</v>
      </c>
      <c r="D13046" s="2" t="str">
        <f ca="1">IFERROR(__xludf.DUMMYFUNCTION("""COMPUTED_VALUE"""),"Dubai&gt;Jumeirah Village Circle (JVC)&gt;JVC District 15&gt;Binghatti Jasmine")</f>
        <v>Dubai&gt;Jumeirah Village Circle (JVC)&gt;JVC District 15&gt;Binghatti Jasmine</v>
      </c>
      <c r="E13046" s="2"/>
      <c r="F13046" s="2"/>
      <c r="G13046" s="2"/>
      <c r="H13046" s="2"/>
      <c r="I13046" s="2"/>
      <c r="J13046" s="2"/>
      <c r="K13046" s="2"/>
      <c r="L13046" s="2"/>
      <c r="M13046" s="2"/>
      <c r="N13046" s="2"/>
      <c r="O13046" s="2"/>
      <c r="P13046" s="2"/>
      <c r="Q13046" s="2"/>
      <c r="R13046" s="2"/>
      <c r="S13046" s="2"/>
      <c r="T13046" s="2"/>
      <c r="U13046" s="2"/>
      <c r="V13046" s="2"/>
      <c r="W13046" s="2"/>
      <c r="X13046" s="2"/>
      <c r="Y13046" s="2"/>
      <c r="Z13046" s="2"/>
    </row>
    <row r="13047" spans="1:26" ht="16.5" x14ac:dyDescent="0.35">
      <c r="A13047" s="2" t="str">
        <f ca="1">IFERROR(__xludf.DUMMYFUNCTION("""COMPUTED_VALUE"""),"Dubai")</f>
        <v>Dubai</v>
      </c>
      <c r="B13047" s="2" t="str">
        <f ca="1">IFERROR(__xludf.DUMMYFUNCTION("""COMPUTED_VALUE"""),"Al Sima Tower")</f>
        <v>Al Sima Tower</v>
      </c>
      <c r="C13047" s="2" t="str">
        <f ca="1">IFERROR(__xludf.DUMMYFUNCTION("""COMPUTED_VALUE"""),"Building")</f>
        <v>Building</v>
      </c>
      <c r="D13047" s="2" t="str">
        <f ca="1">IFERROR(__xludf.DUMMYFUNCTION("""COMPUTED_VALUE"""),"Dubai&gt;Jumeirah Village Circle (JVC)&gt;JVC District 11&gt;Al Sima Tower")</f>
        <v>Dubai&gt;Jumeirah Village Circle (JVC)&gt;JVC District 11&gt;Al Sima Tower</v>
      </c>
      <c r="E13047" s="2"/>
      <c r="F13047" s="2"/>
      <c r="G13047" s="2"/>
      <c r="H13047" s="2"/>
      <c r="I13047" s="2"/>
      <c r="J13047" s="2"/>
      <c r="K13047" s="2"/>
      <c r="L13047" s="2"/>
      <c r="M13047" s="2"/>
      <c r="N13047" s="2"/>
      <c r="O13047" s="2"/>
      <c r="P13047" s="2"/>
      <c r="Q13047" s="2"/>
      <c r="R13047" s="2"/>
      <c r="S13047" s="2"/>
      <c r="T13047" s="2"/>
      <c r="U13047" s="2"/>
      <c r="V13047" s="2"/>
      <c r="W13047" s="2"/>
      <c r="X13047" s="2"/>
      <c r="Y13047" s="2"/>
      <c r="Z13047" s="2"/>
    </row>
    <row r="13048" spans="1:26" ht="16.5" x14ac:dyDescent="0.35">
      <c r="A13048" s="2" t="str">
        <f ca="1">IFERROR(__xludf.DUMMYFUNCTION("""COMPUTED_VALUE"""),"Dubai")</f>
        <v>Dubai</v>
      </c>
      <c r="B13048" s="2" t="str">
        <f ca="1">IFERROR(__xludf.DUMMYFUNCTION("""COMPUTED_VALUE"""),"Mirabella 4")</f>
        <v>Mirabella 4</v>
      </c>
      <c r="C13048" s="2" t="str">
        <f ca="1">IFERROR(__xludf.DUMMYFUNCTION("""COMPUTED_VALUE"""),"Neighbourhood")</f>
        <v>Neighbourhood</v>
      </c>
      <c r="D13048" s="2" t="str">
        <f ca="1">IFERROR(__xludf.DUMMYFUNCTION("""COMPUTED_VALUE"""),"Dubai&gt;Jumeirah Village Circle (JVC)&gt;JVC District 11&gt;Mirabella 4")</f>
        <v>Dubai&gt;Jumeirah Village Circle (JVC)&gt;JVC District 11&gt;Mirabella 4</v>
      </c>
      <c r="E13048" s="2"/>
      <c r="F13048" s="2"/>
      <c r="G13048" s="2"/>
      <c r="H13048" s="2"/>
      <c r="I13048" s="2"/>
      <c r="J13048" s="2"/>
      <c r="K13048" s="2"/>
      <c r="L13048" s="2"/>
      <c r="M13048" s="2"/>
      <c r="N13048" s="2"/>
      <c r="O13048" s="2"/>
      <c r="P13048" s="2"/>
      <c r="Q13048" s="2"/>
      <c r="R13048" s="2"/>
      <c r="S13048" s="2"/>
      <c r="T13048" s="2"/>
      <c r="U13048" s="2"/>
      <c r="V13048" s="2"/>
      <c r="W13048" s="2"/>
      <c r="X13048" s="2"/>
      <c r="Y13048" s="2"/>
      <c r="Z13048" s="2"/>
    </row>
    <row r="13049" spans="1:26" ht="16.5" x14ac:dyDescent="0.35">
      <c r="A13049" s="2" t="str">
        <f ca="1">IFERROR(__xludf.DUMMYFUNCTION("""COMPUTED_VALUE"""),"Dubai")</f>
        <v>Dubai</v>
      </c>
      <c r="B13049" s="2" t="str">
        <f ca="1">IFERROR(__xludf.DUMMYFUNCTION("""COMPUTED_VALUE"""),"Al Waseem Residences")</f>
        <v>Al Waseem Residences</v>
      </c>
      <c r="C13049" s="2" t="str">
        <f ca="1">IFERROR(__xludf.DUMMYFUNCTION("""COMPUTED_VALUE"""),"Building")</f>
        <v>Building</v>
      </c>
      <c r="D13049" s="2" t="str">
        <f ca="1">IFERROR(__xludf.DUMMYFUNCTION("""COMPUTED_VALUE"""),"Dubai&gt;Jumeirah Village Circle (JVC)&gt;JVC District 11&gt;Al Waseem Residences")</f>
        <v>Dubai&gt;Jumeirah Village Circle (JVC)&gt;JVC District 11&gt;Al Waseem Residences</v>
      </c>
      <c r="E13049" s="2"/>
      <c r="F13049" s="2"/>
      <c r="G13049" s="2"/>
      <c r="H13049" s="2"/>
      <c r="I13049" s="2"/>
      <c r="J13049" s="2"/>
      <c r="K13049" s="2"/>
      <c r="L13049" s="2"/>
      <c r="M13049" s="2"/>
      <c r="N13049" s="2"/>
      <c r="O13049" s="2"/>
      <c r="P13049" s="2"/>
      <c r="Q13049" s="2"/>
      <c r="R13049" s="2"/>
      <c r="S13049" s="2"/>
      <c r="T13049" s="2"/>
      <c r="U13049" s="2"/>
      <c r="V13049" s="2"/>
      <c r="W13049" s="2"/>
      <c r="X13049" s="2"/>
      <c r="Y13049" s="2"/>
      <c r="Z13049" s="2"/>
    </row>
    <row r="13050" spans="1:26" ht="16.5" x14ac:dyDescent="0.35">
      <c r="A13050" s="2" t="str">
        <f ca="1">IFERROR(__xludf.DUMMYFUNCTION("""COMPUTED_VALUE"""),"Dubai")</f>
        <v>Dubai</v>
      </c>
      <c r="B13050" s="2" t="str">
        <f ca="1">IFERROR(__xludf.DUMMYFUNCTION("""COMPUTED_VALUE"""),"Westview Tower")</f>
        <v>Westview Tower</v>
      </c>
      <c r="C13050" s="2" t="str">
        <f ca="1">IFERROR(__xludf.DUMMYFUNCTION("""COMPUTED_VALUE"""),"Building")</f>
        <v>Building</v>
      </c>
      <c r="D13050" s="2" t="str">
        <f ca="1">IFERROR(__xludf.DUMMYFUNCTION("""COMPUTED_VALUE"""),"Dubai&gt;Jumeirah Village Circle (JVC)&gt;JVC District 11&gt;Westview Tower")</f>
        <v>Dubai&gt;Jumeirah Village Circle (JVC)&gt;JVC District 11&gt;Westview Tower</v>
      </c>
      <c r="E13050" s="2"/>
      <c r="F13050" s="2"/>
      <c r="G13050" s="2"/>
      <c r="H13050" s="2"/>
      <c r="I13050" s="2"/>
      <c r="J13050" s="2"/>
      <c r="K13050" s="2"/>
      <c r="L13050" s="2"/>
      <c r="M13050" s="2"/>
      <c r="N13050" s="2"/>
      <c r="O13050" s="2"/>
      <c r="P13050" s="2"/>
      <c r="Q13050" s="2"/>
      <c r="R13050" s="2"/>
      <c r="S13050" s="2"/>
      <c r="T13050" s="2"/>
      <c r="U13050" s="2"/>
      <c r="V13050" s="2"/>
      <c r="W13050" s="2"/>
      <c r="X13050" s="2"/>
      <c r="Y13050" s="2"/>
      <c r="Z13050" s="2"/>
    </row>
    <row r="13051" spans="1:26" ht="16.5" x14ac:dyDescent="0.35">
      <c r="A13051" s="2" t="str">
        <f ca="1">IFERROR(__xludf.DUMMYFUNCTION("""COMPUTED_VALUE"""),"Dubai")</f>
        <v>Dubai</v>
      </c>
      <c r="B13051" s="2" t="str">
        <f ca="1">IFERROR(__xludf.DUMMYFUNCTION("""COMPUTED_VALUE"""),"DMS Building")</f>
        <v>DMS Building</v>
      </c>
      <c r="C13051" s="2" t="str">
        <f ca="1">IFERROR(__xludf.DUMMYFUNCTION("""COMPUTED_VALUE"""),"Building")</f>
        <v>Building</v>
      </c>
      <c r="D13051" s="2" t="str">
        <f ca="1">IFERROR(__xludf.DUMMYFUNCTION("""COMPUTED_VALUE"""),"Dubai&gt;Jumeirah Village Circle (JVC)&gt;JVC District 14&gt;DMS Building")</f>
        <v>Dubai&gt;Jumeirah Village Circle (JVC)&gt;JVC District 14&gt;DMS Building</v>
      </c>
      <c r="E13051" s="2"/>
      <c r="F13051" s="2"/>
      <c r="G13051" s="2"/>
      <c r="H13051" s="2"/>
      <c r="I13051" s="2"/>
      <c r="J13051" s="2"/>
      <c r="K13051" s="2"/>
      <c r="L13051" s="2"/>
      <c r="M13051" s="2"/>
      <c r="N13051" s="2"/>
      <c r="O13051" s="2"/>
      <c r="P13051" s="2"/>
      <c r="Q13051" s="2"/>
      <c r="R13051" s="2"/>
      <c r="S13051" s="2"/>
      <c r="T13051" s="2"/>
      <c r="U13051" s="2"/>
      <c r="V13051" s="2"/>
      <c r="W13051" s="2"/>
      <c r="X13051" s="2"/>
      <c r="Y13051" s="2"/>
      <c r="Z13051" s="2"/>
    </row>
    <row r="13052" spans="1:26" ht="16.5" x14ac:dyDescent="0.35">
      <c r="A13052" s="2" t="str">
        <f ca="1">IFERROR(__xludf.DUMMYFUNCTION("""COMPUTED_VALUE"""),"Dubai")</f>
        <v>Dubai</v>
      </c>
      <c r="B13052" s="2" t="str">
        <f ca="1">IFERROR(__xludf.DUMMYFUNCTION("""COMPUTED_VALUE"""),"Golden Residence")</f>
        <v>Golden Residence</v>
      </c>
      <c r="C13052" s="2" t="str">
        <f ca="1">IFERROR(__xludf.DUMMYFUNCTION("""COMPUTED_VALUE"""),"Building")</f>
        <v>Building</v>
      </c>
      <c r="D13052" s="2" t="str">
        <f ca="1">IFERROR(__xludf.DUMMYFUNCTION("""COMPUTED_VALUE"""),"Dubai&gt;Jumeirah Village Circle (JVC)&gt;JVC District 14&gt;Golden Residence")</f>
        <v>Dubai&gt;Jumeirah Village Circle (JVC)&gt;JVC District 14&gt;Golden Residence</v>
      </c>
      <c r="E13052" s="2"/>
      <c r="F13052" s="2"/>
      <c r="G13052" s="2"/>
      <c r="H13052" s="2"/>
      <c r="I13052" s="2"/>
      <c r="J13052" s="2"/>
      <c r="K13052" s="2"/>
      <c r="L13052" s="2"/>
      <c r="M13052" s="2"/>
      <c r="N13052" s="2"/>
      <c r="O13052" s="2"/>
      <c r="P13052" s="2"/>
      <c r="Q13052" s="2"/>
      <c r="R13052" s="2"/>
      <c r="S13052" s="2"/>
      <c r="T13052" s="2"/>
      <c r="U13052" s="2"/>
      <c r="V13052" s="2"/>
      <c r="W13052" s="2"/>
      <c r="X13052" s="2"/>
      <c r="Y13052" s="2"/>
      <c r="Z13052" s="2"/>
    </row>
    <row r="13053" spans="1:26" ht="16.5" x14ac:dyDescent="0.35">
      <c r="A13053" s="2" t="str">
        <f ca="1">IFERROR(__xludf.DUMMYFUNCTION("""COMPUTED_VALUE"""),"Dubai")</f>
        <v>Dubai</v>
      </c>
      <c r="B13053" s="2" t="str">
        <f ca="1">IFERROR(__xludf.DUMMYFUNCTION("""COMPUTED_VALUE"""),"Norah Residence")</f>
        <v>Norah Residence</v>
      </c>
      <c r="C13053" s="2" t="str">
        <f ca="1">IFERROR(__xludf.DUMMYFUNCTION("""COMPUTED_VALUE"""),"Building")</f>
        <v>Building</v>
      </c>
      <c r="D13053" s="2" t="str">
        <f ca="1">IFERROR(__xludf.DUMMYFUNCTION("""COMPUTED_VALUE"""),"Dubai&gt;Jumeirah Village Circle (JVC)&gt;JVC District 14&gt;Norah Residence")</f>
        <v>Dubai&gt;Jumeirah Village Circle (JVC)&gt;JVC District 14&gt;Norah Residence</v>
      </c>
      <c r="E13053" s="2"/>
      <c r="F13053" s="2"/>
      <c r="G13053" s="2"/>
      <c r="H13053" s="2"/>
      <c r="I13053" s="2"/>
      <c r="J13053" s="2"/>
      <c r="K13053" s="2"/>
      <c r="L13053" s="2"/>
      <c r="M13053" s="2"/>
      <c r="N13053" s="2"/>
      <c r="O13053" s="2"/>
      <c r="P13053" s="2"/>
      <c r="Q13053" s="2"/>
      <c r="R13053" s="2"/>
      <c r="S13053" s="2"/>
      <c r="T13053" s="2"/>
      <c r="U13053" s="2"/>
      <c r="V13053" s="2"/>
      <c r="W13053" s="2"/>
      <c r="X13053" s="2"/>
      <c r="Y13053" s="2"/>
      <c r="Z13053" s="2"/>
    </row>
    <row r="13054" spans="1:26" ht="16.5" x14ac:dyDescent="0.35">
      <c r="A13054" s="2" t="str">
        <f ca="1">IFERROR(__xludf.DUMMYFUNCTION("""COMPUTED_VALUE"""),"Dubai")</f>
        <v>Dubai</v>
      </c>
      <c r="B13054" s="2" t="str">
        <f ca="1">IFERROR(__xludf.DUMMYFUNCTION("""COMPUTED_VALUE"""),"Binghatti East")</f>
        <v>Binghatti East</v>
      </c>
      <c r="C13054" s="2" t="str">
        <f ca="1">IFERROR(__xludf.DUMMYFUNCTION("""COMPUTED_VALUE"""),"Building")</f>
        <v>Building</v>
      </c>
      <c r="D13054" s="2" t="str">
        <f ca="1">IFERROR(__xludf.DUMMYFUNCTION("""COMPUTED_VALUE"""),"Dubai&gt;Dubai Land Residence Complex&gt;Binghatti East")</f>
        <v>Dubai&gt;Dubai Land Residence Complex&gt;Binghatti East</v>
      </c>
      <c r="E13054" s="2"/>
      <c r="F13054" s="2"/>
      <c r="G13054" s="2"/>
      <c r="H13054" s="2"/>
      <c r="I13054" s="2"/>
      <c r="J13054" s="2"/>
      <c r="K13054" s="2"/>
      <c r="L13054" s="2"/>
      <c r="M13054" s="2"/>
      <c r="N13054" s="2"/>
      <c r="O13054" s="2"/>
      <c r="P13054" s="2"/>
      <c r="Q13054" s="2"/>
      <c r="R13054" s="2"/>
      <c r="S13054" s="2"/>
      <c r="T13054" s="2"/>
      <c r="U13054" s="2"/>
      <c r="V13054" s="2"/>
      <c r="W13054" s="2"/>
      <c r="X13054" s="2"/>
      <c r="Y13054" s="2"/>
      <c r="Z13054" s="2"/>
    </row>
    <row r="13055" spans="1:26" ht="16.5" x14ac:dyDescent="0.35">
      <c r="A13055" s="2" t="str">
        <f ca="1">IFERROR(__xludf.DUMMYFUNCTION("""COMPUTED_VALUE"""),"Dubai")</f>
        <v>Dubai</v>
      </c>
      <c r="B13055" s="2" t="str">
        <f ca="1">IFERROR(__xludf.DUMMYFUNCTION("""COMPUTED_VALUE"""),"Badri Building B")</f>
        <v>Badri Building B</v>
      </c>
      <c r="C13055" s="2" t="str">
        <f ca="1">IFERROR(__xludf.DUMMYFUNCTION("""COMPUTED_VALUE"""),"Building")</f>
        <v>Building</v>
      </c>
      <c r="D13055" s="2" t="str">
        <f ca="1">IFERROR(__xludf.DUMMYFUNCTION("""COMPUTED_VALUE"""),"Dubai&gt;Dubai Land Residence Complex&gt;Badri Building&gt;Badri Building B")</f>
        <v>Dubai&gt;Dubai Land Residence Complex&gt;Badri Building&gt;Badri Building B</v>
      </c>
      <c r="E13055" s="2"/>
      <c r="F13055" s="2"/>
      <c r="G13055" s="2"/>
      <c r="H13055" s="2"/>
      <c r="I13055" s="2"/>
      <c r="J13055" s="2"/>
      <c r="K13055" s="2"/>
      <c r="L13055" s="2"/>
      <c r="M13055" s="2"/>
      <c r="N13055" s="2"/>
      <c r="O13055" s="2"/>
      <c r="P13055" s="2"/>
      <c r="Q13055" s="2"/>
      <c r="R13055" s="2"/>
      <c r="S13055" s="2"/>
      <c r="T13055" s="2"/>
      <c r="U13055" s="2"/>
      <c r="V13055" s="2"/>
      <c r="W13055" s="2"/>
      <c r="X13055" s="2"/>
      <c r="Y13055" s="2"/>
      <c r="Z13055" s="2"/>
    </row>
    <row r="13056" spans="1:26" ht="16.5" x14ac:dyDescent="0.35">
      <c r="A13056" s="2" t="str">
        <f ca="1">IFERROR(__xludf.DUMMYFUNCTION("""COMPUTED_VALUE"""),"Dubai")</f>
        <v>Dubai</v>
      </c>
      <c r="B13056" s="2" t="str">
        <f ca="1">IFERROR(__xludf.DUMMYFUNCTION("""COMPUTED_VALUE"""),"Reef 1000")</f>
        <v>Reef 1000</v>
      </c>
      <c r="C13056" s="2" t="str">
        <f ca="1">IFERROR(__xludf.DUMMYFUNCTION("""COMPUTED_VALUE"""),"Building")</f>
        <v>Building</v>
      </c>
      <c r="D13056" s="2" t="str">
        <f ca="1">IFERROR(__xludf.DUMMYFUNCTION("""COMPUTED_VALUE"""),"Dubai&gt;Dubai Land Residence Complex&gt;Reef 1000")</f>
        <v>Dubai&gt;Dubai Land Residence Complex&gt;Reef 1000</v>
      </c>
      <c r="E13056" s="2"/>
      <c r="F13056" s="2"/>
      <c r="G13056" s="2"/>
      <c r="H13056" s="2"/>
      <c r="I13056" s="2"/>
      <c r="J13056" s="2"/>
      <c r="K13056" s="2"/>
      <c r="L13056" s="2"/>
      <c r="M13056" s="2"/>
      <c r="N13056" s="2"/>
      <c r="O13056" s="2"/>
      <c r="P13056" s="2"/>
      <c r="Q13056" s="2"/>
      <c r="R13056" s="2"/>
      <c r="S13056" s="2"/>
      <c r="T13056" s="2"/>
      <c r="U13056" s="2"/>
      <c r="V13056" s="2"/>
      <c r="W13056" s="2"/>
      <c r="X13056" s="2"/>
      <c r="Y13056" s="2"/>
      <c r="Z13056" s="2"/>
    </row>
    <row r="13057" spans="1:26" ht="16.5" x14ac:dyDescent="0.35">
      <c r="A13057" s="2" t="str">
        <f ca="1">IFERROR(__xludf.DUMMYFUNCTION("""COMPUTED_VALUE"""),"Dubai")</f>
        <v>Dubai</v>
      </c>
      <c r="B13057" s="2" t="str">
        <f ca="1">IFERROR(__xludf.DUMMYFUNCTION("""COMPUTED_VALUE"""),"Bliss Tower")</f>
        <v>Bliss Tower</v>
      </c>
      <c r="C13057" s="2" t="str">
        <f ca="1">IFERROR(__xludf.DUMMYFUNCTION("""COMPUTED_VALUE"""),"Building")</f>
        <v>Building</v>
      </c>
      <c r="D13057" s="2" t="str">
        <f ca="1">IFERROR(__xludf.DUMMYFUNCTION("""COMPUTED_VALUE"""),"Dubai&gt;Dubai Land Residence Complex&gt;Bliss Tower")</f>
        <v>Dubai&gt;Dubai Land Residence Complex&gt;Bliss Tower</v>
      </c>
      <c r="E13057" s="2"/>
      <c r="F13057" s="2"/>
      <c r="G13057" s="2"/>
      <c r="H13057" s="2"/>
      <c r="I13057" s="2"/>
      <c r="J13057" s="2"/>
      <c r="K13057" s="2"/>
      <c r="L13057" s="2"/>
      <c r="M13057" s="2"/>
      <c r="N13057" s="2"/>
      <c r="O13057" s="2"/>
      <c r="P13057" s="2"/>
      <c r="Q13057" s="2"/>
      <c r="R13057" s="2"/>
      <c r="S13057" s="2"/>
      <c r="T13057" s="2"/>
      <c r="U13057" s="2"/>
      <c r="V13057" s="2"/>
      <c r="W13057" s="2"/>
      <c r="X13057" s="2"/>
      <c r="Y13057" s="2"/>
      <c r="Z13057" s="2"/>
    </row>
    <row r="13058" spans="1:26" ht="16.5" x14ac:dyDescent="0.35">
      <c r="A13058" s="2" t="str">
        <f ca="1">IFERROR(__xludf.DUMMYFUNCTION("""COMPUTED_VALUE"""),"Dubai")</f>
        <v>Dubai</v>
      </c>
      <c r="B13058" s="2" t="str">
        <f ca="1">IFERROR(__xludf.DUMMYFUNCTION("""COMPUTED_VALUE"""),"Uptown Mirdif")</f>
        <v>Uptown Mirdif</v>
      </c>
      <c r="C13058" s="2" t="str">
        <f ca="1">IFERROR(__xludf.DUMMYFUNCTION("""COMPUTED_VALUE"""),"Neighbourhood")</f>
        <v>Neighbourhood</v>
      </c>
      <c r="D13058" s="2" t="str">
        <f ca="1">IFERROR(__xludf.DUMMYFUNCTION("""COMPUTED_VALUE"""),"Dubai&gt;Mirdif&gt;Uptown Mirdif")</f>
        <v>Dubai&gt;Mirdif&gt;Uptown Mirdif</v>
      </c>
      <c r="E13058" s="2"/>
      <c r="F13058" s="2"/>
      <c r="G13058" s="2"/>
      <c r="H13058" s="2"/>
      <c r="I13058" s="2"/>
      <c r="J13058" s="2"/>
      <c r="K13058" s="2"/>
      <c r="L13058" s="2"/>
      <c r="M13058" s="2"/>
      <c r="N13058" s="2"/>
      <c r="O13058" s="2"/>
      <c r="P13058" s="2"/>
      <c r="Q13058" s="2"/>
      <c r="R13058" s="2"/>
      <c r="S13058" s="2"/>
      <c r="T13058" s="2"/>
      <c r="U13058" s="2"/>
      <c r="V13058" s="2"/>
      <c r="W13058" s="2"/>
      <c r="X13058" s="2"/>
      <c r="Y13058" s="2"/>
      <c r="Z13058" s="2"/>
    </row>
    <row r="13059" spans="1:26" ht="16.5" x14ac:dyDescent="0.35">
      <c r="A13059" s="2" t="str">
        <f ca="1">IFERROR(__xludf.DUMMYFUNCTION("""COMPUTED_VALUE"""),"Dubai")</f>
        <v>Dubai</v>
      </c>
      <c r="B13059" s="2" t="str">
        <f ca="1">IFERROR(__xludf.DUMMYFUNCTION("""COMPUTED_VALUE"""),"Nasayem Avenue Block F")</f>
        <v>Nasayem Avenue Block F</v>
      </c>
      <c r="C13059" s="2" t="str">
        <f ca="1">IFERROR(__xludf.DUMMYFUNCTION("""COMPUTED_VALUE"""),"Building")</f>
        <v>Building</v>
      </c>
      <c r="D13059" s="2" t="str">
        <f ca="1">IFERROR(__xludf.DUMMYFUNCTION("""COMPUTED_VALUE"""),"Dubai&gt;Mirdif&gt;Mirdif Hills&gt;Nasayem Avenue&gt;Nasayem Avenue Block F")</f>
        <v>Dubai&gt;Mirdif&gt;Mirdif Hills&gt;Nasayem Avenue&gt;Nasayem Avenue Block F</v>
      </c>
      <c r="E13059" s="2"/>
      <c r="F13059" s="2"/>
      <c r="G13059" s="2"/>
      <c r="H13059" s="2"/>
      <c r="I13059" s="2"/>
      <c r="J13059" s="2"/>
      <c r="K13059" s="2"/>
      <c r="L13059" s="2"/>
      <c r="M13059" s="2"/>
      <c r="N13059" s="2"/>
      <c r="O13059" s="2"/>
      <c r="P13059" s="2"/>
      <c r="Q13059" s="2"/>
      <c r="R13059" s="2"/>
      <c r="S13059" s="2"/>
      <c r="T13059" s="2"/>
      <c r="U13059" s="2"/>
      <c r="V13059" s="2"/>
      <c r="W13059" s="2"/>
      <c r="X13059" s="2"/>
      <c r="Y13059" s="2"/>
      <c r="Z13059" s="2"/>
    </row>
    <row r="13060" spans="1:26" ht="16.5" x14ac:dyDescent="0.35">
      <c r="A13060" s="2" t="str">
        <f ca="1">IFERROR(__xludf.DUMMYFUNCTION("""COMPUTED_VALUE"""),"Dubai")</f>
        <v>Dubai</v>
      </c>
      <c r="B13060" s="2" t="str">
        <f ca="1">IFERROR(__xludf.DUMMYFUNCTION("""COMPUTED_VALUE"""),"Zulal 1")</f>
        <v>Zulal 1</v>
      </c>
      <c r="C13060" s="2" t="str">
        <f ca="1">IFERROR(__xludf.DUMMYFUNCTION("""COMPUTED_VALUE"""),"Neighbourhood")</f>
        <v>Neighbourhood</v>
      </c>
      <c r="D13060" s="2" t="str">
        <f ca="1">IFERROR(__xludf.DUMMYFUNCTION("""COMPUTED_VALUE"""),"Dubai&gt;The Lakes&gt;Zulal&gt;Zulal 1")</f>
        <v>Dubai&gt;The Lakes&gt;Zulal&gt;Zulal 1</v>
      </c>
      <c r="E13060" s="2"/>
      <c r="F13060" s="2"/>
      <c r="G13060" s="2"/>
      <c r="H13060" s="2"/>
      <c r="I13060" s="2"/>
      <c r="J13060" s="2"/>
      <c r="K13060" s="2"/>
      <c r="L13060" s="2"/>
      <c r="M13060" s="2"/>
      <c r="N13060" s="2"/>
      <c r="O13060" s="2"/>
      <c r="P13060" s="2"/>
      <c r="Q13060" s="2"/>
      <c r="R13060" s="2"/>
      <c r="S13060" s="2"/>
      <c r="T13060" s="2"/>
      <c r="U13060" s="2"/>
      <c r="V13060" s="2"/>
      <c r="W13060" s="2"/>
      <c r="X13060" s="2"/>
      <c r="Y13060" s="2"/>
      <c r="Z13060" s="2"/>
    </row>
    <row r="13061" spans="1:26" ht="16.5" x14ac:dyDescent="0.35">
      <c r="A13061" s="2" t="str">
        <f ca="1">IFERROR(__xludf.DUMMYFUNCTION("""COMPUTED_VALUE"""),"Dubai")</f>
        <v>Dubai</v>
      </c>
      <c r="B13061" s="2" t="str">
        <f ca="1">IFERROR(__xludf.DUMMYFUNCTION("""COMPUTED_VALUE"""),"GEMS Legacy School")</f>
        <v>GEMS Legacy School</v>
      </c>
      <c r="C13061" s="2" t="str">
        <f ca="1">IFERROR(__xludf.DUMMYFUNCTION("""COMPUTED_VALUE"""),"School")</f>
        <v>School</v>
      </c>
      <c r="D13061" s="2" t="str">
        <f ca="1">IFERROR(__xludf.DUMMYFUNCTION("""COMPUTED_VALUE"""),"Dubai&gt;Al Garhoud&gt;GEMS Legacy School")</f>
        <v>Dubai&gt;Al Garhoud&gt;GEMS Legacy School</v>
      </c>
      <c r="E13061" s="2"/>
      <c r="F13061" s="2"/>
      <c r="G13061" s="2"/>
      <c r="H13061" s="2"/>
      <c r="I13061" s="2"/>
      <c r="J13061" s="2"/>
      <c r="K13061" s="2"/>
      <c r="L13061" s="2"/>
      <c r="M13061" s="2"/>
      <c r="N13061" s="2"/>
      <c r="O13061" s="2"/>
      <c r="P13061" s="2"/>
      <c r="Q13061" s="2"/>
      <c r="R13061" s="2"/>
      <c r="S13061" s="2"/>
      <c r="T13061" s="2"/>
      <c r="U13061" s="2"/>
      <c r="V13061" s="2"/>
      <c r="W13061" s="2"/>
      <c r="X13061" s="2"/>
      <c r="Y13061" s="2"/>
      <c r="Z13061" s="2"/>
    </row>
    <row r="13062" spans="1:26" ht="16.5" x14ac:dyDescent="0.35">
      <c r="A13062" s="2" t="str">
        <f ca="1">IFERROR(__xludf.DUMMYFUNCTION("""COMPUTED_VALUE"""),"Dubai")</f>
        <v>Dubai</v>
      </c>
      <c r="B13062" s="2" t="str">
        <f ca="1">IFERROR(__xludf.DUMMYFUNCTION("""COMPUTED_VALUE"""),"Faraidooni Al Garhoud Building")</f>
        <v>Faraidooni Al Garhoud Building</v>
      </c>
      <c r="C13062" s="2" t="str">
        <f ca="1">IFERROR(__xludf.DUMMYFUNCTION("""COMPUTED_VALUE"""),"Building")</f>
        <v>Building</v>
      </c>
      <c r="D13062" s="2" t="str">
        <f ca="1">IFERROR(__xludf.DUMMYFUNCTION("""COMPUTED_VALUE"""),"Dubai&gt;Al Garhoud&gt;Faraidooni Al Garhoud Building")</f>
        <v>Dubai&gt;Al Garhoud&gt;Faraidooni Al Garhoud Building</v>
      </c>
      <c r="E13062" s="2"/>
      <c r="F13062" s="2"/>
      <c r="G13062" s="2"/>
      <c r="H13062" s="2"/>
      <c r="I13062" s="2"/>
      <c r="J13062" s="2"/>
      <c r="K13062" s="2"/>
      <c r="L13062" s="2"/>
      <c r="M13062" s="2"/>
      <c r="N13062" s="2"/>
      <c r="O13062" s="2"/>
      <c r="P13062" s="2"/>
      <c r="Q13062" s="2"/>
      <c r="R13062" s="2"/>
      <c r="S13062" s="2"/>
      <c r="T13062" s="2"/>
      <c r="U13062" s="2"/>
      <c r="V13062" s="2"/>
      <c r="W13062" s="2"/>
      <c r="X13062" s="2"/>
      <c r="Y13062" s="2"/>
      <c r="Z13062" s="2"/>
    </row>
    <row r="13063" spans="1:26" ht="16.5" x14ac:dyDescent="0.35">
      <c r="A13063" s="2" t="str">
        <f ca="1">IFERROR(__xludf.DUMMYFUNCTION("""COMPUTED_VALUE"""),"Dubai")</f>
        <v>Dubai</v>
      </c>
      <c r="B13063" s="2" t="str">
        <f ca="1">IFERROR(__xludf.DUMMYFUNCTION("""COMPUTED_VALUE"""),"Bin Khedia Building")</f>
        <v>Bin Khedia Building</v>
      </c>
      <c r="C13063" s="2" t="str">
        <f ca="1">IFERROR(__xludf.DUMMYFUNCTION("""COMPUTED_VALUE"""),"Building")</f>
        <v>Building</v>
      </c>
      <c r="D13063" s="2" t="str">
        <f ca="1">IFERROR(__xludf.DUMMYFUNCTION("""COMPUTED_VALUE"""),"Dubai&gt;Al Garhoud&gt;Bin Khedia Building")</f>
        <v>Dubai&gt;Al Garhoud&gt;Bin Khedia Building</v>
      </c>
      <c r="E13063" s="2"/>
      <c r="F13063" s="2"/>
      <c r="G13063" s="2"/>
      <c r="H13063" s="2"/>
      <c r="I13063" s="2"/>
      <c r="J13063" s="2"/>
      <c r="K13063" s="2"/>
      <c r="L13063" s="2"/>
      <c r="M13063" s="2"/>
      <c r="N13063" s="2"/>
      <c r="O13063" s="2"/>
      <c r="P13063" s="2"/>
      <c r="Q13063" s="2"/>
      <c r="R13063" s="2"/>
      <c r="S13063" s="2"/>
      <c r="T13063" s="2"/>
      <c r="U13063" s="2"/>
      <c r="V13063" s="2"/>
      <c r="W13063" s="2"/>
      <c r="X13063" s="2"/>
      <c r="Y13063" s="2"/>
      <c r="Z13063" s="2"/>
    </row>
    <row r="13064" spans="1:26" ht="16.5" x14ac:dyDescent="0.35">
      <c r="A13064" s="2" t="str">
        <f ca="1">IFERROR(__xludf.DUMMYFUNCTION("""COMPUTED_VALUE"""),"Dubai")</f>
        <v>Dubai</v>
      </c>
      <c r="B13064" s="2" t="str">
        <f ca="1">IFERROR(__xludf.DUMMYFUNCTION("""COMPUTED_VALUE"""),"Cluster 19")</f>
        <v>Cluster 19</v>
      </c>
      <c r="C13064" s="2" t="str">
        <f ca="1">IFERROR(__xludf.DUMMYFUNCTION("""COMPUTED_VALUE"""),"Neighbourhood")</f>
        <v>Neighbourhood</v>
      </c>
      <c r="D13064" s="2" t="str">
        <f ca="1">IFERROR(__xludf.DUMMYFUNCTION("""COMPUTED_VALUE"""),"Dubai&gt;Jumeirah Islands&gt;Cluster 19")</f>
        <v>Dubai&gt;Jumeirah Islands&gt;Cluster 19</v>
      </c>
      <c r="E13064" s="2"/>
      <c r="F13064" s="2"/>
      <c r="G13064" s="2"/>
      <c r="H13064" s="2"/>
      <c r="I13064" s="2"/>
      <c r="J13064" s="2"/>
      <c r="K13064" s="2"/>
      <c r="L13064" s="2"/>
      <c r="M13064" s="2"/>
      <c r="N13064" s="2"/>
      <c r="O13064" s="2"/>
      <c r="P13064" s="2"/>
      <c r="Q13064" s="2"/>
      <c r="R13064" s="2"/>
      <c r="S13064" s="2"/>
      <c r="T13064" s="2"/>
      <c r="U13064" s="2"/>
      <c r="V13064" s="2"/>
      <c r="W13064" s="2"/>
      <c r="X13064" s="2"/>
      <c r="Y13064" s="2"/>
      <c r="Z13064" s="2"/>
    </row>
    <row r="13065" spans="1:26" ht="16.5" x14ac:dyDescent="0.35">
      <c r="A13065" s="2" t="str">
        <f ca="1">IFERROR(__xludf.DUMMYFUNCTION("""COMPUTED_VALUE"""),"Dubai")</f>
        <v>Dubai</v>
      </c>
      <c r="B13065" s="2" t="str">
        <f ca="1">IFERROR(__xludf.DUMMYFUNCTION("""COMPUTED_VALUE"""),"European Cluster")</f>
        <v>European Cluster</v>
      </c>
      <c r="C13065" s="2" t="str">
        <f ca="1">IFERROR(__xludf.DUMMYFUNCTION("""COMPUTED_VALUE"""),"Cluster")</f>
        <v>Cluster</v>
      </c>
      <c r="D13065" s="2" t="str">
        <f ca="1">IFERROR(__xludf.DUMMYFUNCTION("""COMPUTED_VALUE"""),"Dubai&gt;Jumeirah Islands&gt;European Cluster")</f>
        <v>Dubai&gt;Jumeirah Islands&gt;European Cluster</v>
      </c>
      <c r="E13065" s="2"/>
      <c r="F13065" s="2"/>
      <c r="G13065" s="2"/>
      <c r="H13065" s="2"/>
      <c r="I13065" s="2"/>
      <c r="J13065" s="2"/>
      <c r="K13065" s="2"/>
      <c r="L13065" s="2"/>
      <c r="M13065" s="2"/>
      <c r="N13065" s="2"/>
      <c r="O13065" s="2"/>
      <c r="P13065" s="2"/>
      <c r="Q13065" s="2"/>
      <c r="R13065" s="2"/>
      <c r="S13065" s="2"/>
      <c r="T13065" s="2"/>
      <c r="U13065" s="2"/>
      <c r="V13065" s="2"/>
      <c r="W13065" s="2"/>
      <c r="X13065" s="2"/>
      <c r="Y13065" s="2"/>
      <c r="Z13065" s="2"/>
    </row>
    <row r="13066" spans="1:26" ht="16.5" x14ac:dyDescent="0.35">
      <c r="A13066" s="2" t="str">
        <f ca="1">IFERROR(__xludf.DUMMYFUNCTION("""COMPUTED_VALUE"""),"Dubai")</f>
        <v>Dubai</v>
      </c>
      <c r="B13066" s="2" t="str">
        <f ca="1">IFERROR(__xludf.DUMMYFUNCTION("""COMPUTED_VALUE"""),"Al Narah Apartments Block A")</f>
        <v>Al Narah Apartments Block A</v>
      </c>
      <c r="C13066" s="2" t="str">
        <f ca="1">IFERROR(__xludf.DUMMYFUNCTION("""COMPUTED_VALUE"""),"Building")</f>
        <v>Building</v>
      </c>
      <c r="D13066" s="2" t="str">
        <f ca="1">IFERROR(__xludf.DUMMYFUNCTION("""COMPUTED_VALUE"""),"Dubai&gt;Green Community&gt;Al Narah Apartments&gt;Al Narah Apartments Block A")</f>
        <v>Dubai&gt;Green Community&gt;Al Narah Apartments&gt;Al Narah Apartments Block A</v>
      </c>
      <c r="E13066" s="2"/>
      <c r="F13066" s="2"/>
      <c r="G13066" s="2"/>
      <c r="H13066" s="2"/>
      <c r="I13066" s="2"/>
      <c r="J13066" s="2"/>
      <c r="K13066" s="2"/>
      <c r="L13066" s="2"/>
      <c r="M13066" s="2"/>
      <c r="N13066" s="2"/>
      <c r="O13066" s="2"/>
      <c r="P13066" s="2"/>
      <c r="Q13066" s="2"/>
      <c r="R13066" s="2"/>
      <c r="S13066" s="2"/>
      <c r="T13066" s="2"/>
      <c r="U13066" s="2"/>
      <c r="V13066" s="2"/>
      <c r="W13066" s="2"/>
      <c r="X13066" s="2"/>
      <c r="Y13066" s="2"/>
      <c r="Z13066" s="2"/>
    </row>
    <row r="13067" spans="1:26" ht="16.5" x14ac:dyDescent="0.35">
      <c r="A13067" s="2" t="str">
        <f ca="1">IFERROR(__xludf.DUMMYFUNCTION("""COMPUTED_VALUE"""),"Abu Dhabi")</f>
        <v>Abu Dhabi</v>
      </c>
      <c r="B13067" s="2" t="str">
        <f ca="1">IFERROR(__xludf.DUMMYFUNCTION("""COMPUTED_VALUE"""),"Hydra Avenue Towers")</f>
        <v>Hydra Avenue Towers</v>
      </c>
      <c r="C13067" s="2" t="str">
        <f ca="1">IFERROR(__xludf.DUMMYFUNCTION("""COMPUTED_VALUE"""),"Building")</f>
        <v>Building</v>
      </c>
      <c r="D13067" s="2" t="str">
        <f ca="1">IFERROR(__xludf.DUMMYFUNCTION("""COMPUTED_VALUE"""),"Abu Dhabi&gt;Al Reem Island&gt;City of Lights&gt;Hydra Avenue Towers")</f>
        <v>Abu Dhabi&gt;Al Reem Island&gt;City of Lights&gt;Hydra Avenue Towers</v>
      </c>
      <c r="E13067" s="2"/>
      <c r="F13067" s="2"/>
      <c r="G13067" s="2"/>
      <c r="H13067" s="2"/>
      <c r="I13067" s="2"/>
      <c r="J13067" s="2"/>
      <c r="K13067" s="2"/>
      <c r="L13067" s="2"/>
      <c r="M13067" s="2"/>
      <c r="N13067" s="2"/>
      <c r="O13067" s="2"/>
      <c r="P13067" s="2"/>
      <c r="Q13067" s="2"/>
      <c r="R13067" s="2"/>
      <c r="S13067" s="2"/>
      <c r="T13067" s="2"/>
      <c r="U13067" s="2"/>
      <c r="V13067" s="2"/>
      <c r="W13067" s="2"/>
      <c r="X13067" s="2"/>
      <c r="Y13067" s="2"/>
      <c r="Z13067" s="2"/>
    </row>
    <row r="13068" spans="1:26" ht="16.5" x14ac:dyDescent="0.35">
      <c r="A13068" s="2" t="str">
        <f ca="1">IFERROR(__xludf.DUMMYFUNCTION("""COMPUTED_VALUE"""),"Abu Dhabi")</f>
        <v>Abu Dhabi</v>
      </c>
      <c r="B13068" s="2" t="str">
        <f ca="1">IFERROR(__xludf.DUMMYFUNCTION("""COMPUTED_VALUE"""),"Sunset Valley")</f>
        <v>Sunset Valley</v>
      </c>
      <c r="C13068" s="2" t="str">
        <f ca="1">IFERROR(__xludf.DUMMYFUNCTION("""COMPUTED_VALUE"""),"Neighbourhood")</f>
        <v>Neighbourhood</v>
      </c>
      <c r="D13068" s="2" t="str">
        <f ca="1">IFERROR(__xludf.DUMMYFUNCTION("""COMPUTED_VALUE"""),"Abu Dhabi&gt;Al Reem Island&gt;Reem Hills&gt;Sunset Valley")</f>
        <v>Abu Dhabi&gt;Al Reem Island&gt;Reem Hills&gt;Sunset Valley</v>
      </c>
      <c r="E13068" s="2"/>
      <c r="F13068" s="2"/>
      <c r="G13068" s="2"/>
      <c r="H13068" s="2"/>
      <c r="I13068" s="2"/>
      <c r="J13068" s="2"/>
      <c r="K13068" s="2"/>
      <c r="L13068" s="2"/>
      <c r="M13068" s="2"/>
      <c r="N13068" s="2"/>
      <c r="O13068" s="2"/>
      <c r="P13068" s="2"/>
      <c r="Q13068" s="2"/>
      <c r="R13068" s="2"/>
      <c r="S13068" s="2"/>
      <c r="T13068" s="2"/>
      <c r="U13068" s="2"/>
      <c r="V13068" s="2"/>
      <c r="W13068" s="2"/>
      <c r="X13068" s="2"/>
      <c r="Y13068" s="2"/>
      <c r="Z13068" s="2"/>
    </row>
    <row r="13069" spans="1:26" ht="16.5" x14ac:dyDescent="0.35">
      <c r="A13069" s="2" t="str">
        <f ca="1">IFERROR(__xludf.DUMMYFUNCTION("""COMPUTED_VALUE"""),"Abu Dhabi")</f>
        <v>Abu Dhabi</v>
      </c>
      <c r="B13069" s="2" t="str">
        <f ca="1">IFERROR(__xludf.DUMMYFUNCTION("""COMPUTED_VALUE"""),"Etihad Towers")</f>
        <v>Etihad Towers</v>
      </c>
      <c r="C13069" s="2" t="str">
        <f ca="1">IFERROR(__xludf.DUMMYFUNCTION("""COMPUTED_VALUE"""),"Building")</f>
        <v>Building</v>
      </c>
      <c r="D13069" s="2" t="str">
        <f ca="1">IFERROR(__xludf.DUMMYFUNCTION("""COMPUTED_VALUE"""),"Abu Dhabi&gt;Corniche Road&gt;Etihad Towers")</f>
        <v>Abu Dhabi&gt;Corniche Road&gt;Etihad Towers</v>
      </c>
      <c r="E13069" s="2"/>
      <c r="F13069" s="2"/>
      <c r="G13069" s="2"/>
      <c r="H13069" s="2"/>
      <c r="I13069" s="2"/>
      <c r="J13069" s="2"/>
      <c r="K13069" s="2"/>
      <c r="L13069" s="2"/>
      <c r="M13069" s="2"/>
      <c r="N13069" s="2"/>
      <c r="O13069" s="2"/>
      <c r="P13069" s="2"/>
      <c r="Q13069" s="2"/>
      <c r="R13069" s="2"/>
      <c r="S13069" s="2"/>
      <c r="T13069" s="2"/>
      <c r="U13069" s="2"/>
      <c r="V13069" s="2"/>
      <c r="W13069" s="2"/>
      <c r="X13069" s="2"/>
      <c r="Y13069" s="2"/>
      <c r="Z13069" s="2"/>
    </row>
    <row r="13070" spans="1:26" ht="16.5" x14ac:dyDescent="0.35">
      <c r="A13070" s="2" t="str">
        <f ca="1">IFERROR(__xludf.DUMMYFUNCTION("""COMPUTED_VALUE"""),"Abu Dhabi")</f>
        <v>Abu Dhabi</v>
      </c>
      <c r="B13070" s="2" t="str">
        <f ca="1">IFERROR(__xludf.DUMMYFUNCTION("""COMPUTED_VALUE"""),"United Square")</f>
        <v>United Square</v>
      </c>
      <c r="C13070" s="2" t="str">
        <f ca="1">IFERROR(__xludf.DUMMYFUNCTION("""COMPUTED_VALUE"""),"Building")</f>
        <v>Building</v>
      </c>
      <c r="D13070" s="2" t="str">
        <f ca="1">IFERROR(__xludf.DUMMYFUNCTION("""COMPUTED_VALUE"""),"Abu Dhabi&gt;Al Khalidiyah&gt;United Square")</f>
        <v>Abu Dhabi&gt;Al Khalidiyah&gt;United Square</v>
      </c>
      <c r="E13070" s="2"/>
      <c r="F13070" s="2"/>
      <c r="G13070" s="2"/>
      <c r="H13070" s="2"/>
      <c r="I13070" s="2"/>
      <c r="J13070" s="2"/>
      <c r="K13070" s="2"/>
      <c r="L13070" s="2"/>
      <c r="M13070" s="2"/>
      <c r="N13070" s="2"/>
      <c r="O13070" s="2"/>
      <c r="P13070" s="2"/>
      <c r="Q13070" s="2"/>
      <c r="R13070" s="2"/>
      <c r="S13070" s="2"/>
      <c r="T13070" s="2"/>
      <c r="U13070" s="2"/>
      <c r="V13070" s="2"/>
      <c r="W13070" s="2"/>
      <c r="X13070" s="2"/>
      <c r="Y13070" s="2"/>
      <c r="Z13070" s="2"/>
    </row>
    <row r="13071" spans="1:26" ht="16.5" x14ac:dyDescent="0.35">
      <c r="A13071" s="2" t="str">
        <f ca="1">IFERROR(__xludf.DUMMYFUNCTION("""COMPUTED_VALUE"""),"Abu Dhabi")</f>
        <v>Abu Dhabi</v>
      </c>
      <c r="B13071" s="2" t="str">
        <f ca="1">IFERROR(__xludf.DUMMYFUNCTION("""COMPUTED_VALUE"""),"Khalidiyah Street")</f>
        <v>Khalidiyah Street</v>
      </c>
      <c r="C13071" s="2" t="str">
        <f ca="1">IFERROR(__xludf.DUMMYFUNCTION("""COMPUTED_VALUE"""),"Neighbourhood")</f>
        <v>Neighbourhood</v>
      </c>
      <c r="D13071" s="2" t="str">
        <f ca="1">IFERROR(__xludf.DUMMYFUNCTION("""COMPUTED_VALUE"""),"Abu Dhabi&gt;Al Khalidiyah&gt;Khalidiyah Street")</f>
        <v>Abu Dhabi&gt;Al Khalidiyah&gt;Khalidiyah Street</v>
      </c>
      <c r="E13071" s="2"/>
      <c r="F13071" s="2"/>
      <c r="G13071" s="2"/>
      <c r="H13071" s="2"/>
      <c r="I13071" s="2"/>
      <c r="J13071" s="2"/>
      <c r="K13071" s="2"/>
      <c r="L13071" s="2"/>
      <c r="M13071" s="2"/>
      <c r="N13071" s="2"/>
      <c r="O13071" s="2"/>
      <c r="P13071" s="2"/>
      <c r="Q13071" s="2"/>
      <c r="R13071" s="2"/>
      <c r="S13071" s="2"/>
      <c r="T13071" s="2"/>
      <c r="U13071" s="2"/>
      <c r="V13071" s="2"/>
      <c r="W13071" s="2"/>
      <c r="X13071" s="2"/>
      <c r="Y13071" s="2"/>
      <c r="Z13071" s="2"/>
    </row>
    <row r="13072" spans="1:26" ht="16.5" x14ac:dyDescent="0.35">
      <c r="A13072" s="2" t="str">
        <f ca="1">IFERROR(__xludf.DUMMYFUNCTION("""COMPUTED_VALUE"""),"Abu Dhabi")</f>
        <v>Abu Dhabi</v>
      </c>
      <c r="B13072" s="2" t="str">
        <f ca="1">IFERROR(__xludf.DUMMYFUNCTION("""COMPUTED_VALUE"""),"Complex 17")</f>
        <v>Complex 17</v>
      </c>
      <c r="C13072" s="2" t="str">
        <f ca="1">IFERROR(__xludf.DUMMYFUNCTION("""COMPUTED_VALUE"""),"Neighbourhood")</f>
        <v>Neighbourhood</v>
      </c>
      <c r="D13072" s="2" t="str">
        <f ca="1">IFERROR(__xludf.DUMMYFUNCTION("""COMPUTED_VALUE"""),"Abu Dhabi&gt;Khalifa City&gt;Complex 17")</f>
        <v>Abu Dhabi&gt;Khalifa City&gt;Complex 17</v>
      </c>
      <c r="E13072" s="2"/>
      <c r="F13072" s="2"/>
      <c r="G13072" s="2"/>
      <c r="H13072" s="2"/>
      <c r="I13072" s="2"/>
      <c r="J13072" s="2"/>
      <c r="K13072" s="2"/>
      <c r="L13072" s="2"/>
      <c r="M13072" s="2"/>
      <c r="N13072" s="2"/>
      <c r="O13072" s="2"/>
      <c r="P13072" s="2"/>
      <c r="Q13072" s="2"/>
      <c r="R13072" s="2"/>
      <c r="S13072" s="2"/>
      <c r="T13072" s="2"/>
      <c r="U13072" s="2"/>
      <c r="V13072" s="2"/>
      <c r="W13072" s="2"/>
      <c r="X13072" s="2"/>
      <c r="Y13072" s="2"/>
      <c r="Z13072" s="2"/>
    </row>
    <row r="13073" spans="1:26" ht="16.5" x14ac:dyDescent="0.35">
      <c r="A13073" s="2" t="str">
        <f ca="1">IFERROR(__xludf.DUMMYFUNCTION("""COMPUTED_VALUE"""),"Abu Dhabi")</f>
        <v>Abu Dhabi</v>
      </c>
      <c r="B13073" s="2" t="str">
        <f ca="1">IFERROR(__xludf.DUMMYFUNCTION("""COMPUTED_VALUE"""),"SE22")</f>
        <v>SE22</v>
      </c>
      <c r="C13073" s="2" t="str">
        <f ca="1">IFERROR(__xludf.DUMMYFUNCTION("""COMPUTED_VALUE"""),"Neighbourhood")</f>
        <v>Neighbourhood</v>
      </c>
      <c r="D13073" s="2" t="str">
        <f ca="1">IFERROR(__xludf.DUMMYFUNCTION("""COMPUTED_VALUE"""),"Abu Dhabi&gt;Khalifa City&gt;SE22")</f>
        <v>Abu Dhabi&gt;Khalifa City&gt;SE22</v>
      </c>
      <c r="E13073" s="2"/>
      <c r="F13073" s="2"/>
      <c r="G13073" s="2"/>
      <c r="H13073" s="2"/>
      <c r="I13073" s="2"/>
      <c r="J13073" s="2"/>
      <c r="K13073" s="2"/>
      <c r="L13073" s="2"/>
      <c r="M13073" s="2"/>
      <c r="N13073" s="2"/>
      <c r="O13073" s="2"/>
      <c r="P13073" s="2"/>
      <c r="Q13073" s="2"/>
      <c r="R13073" s="2"/>
      <c r="S13073" s="2"/>
      <c r="T13073" s="2"/>
      <c r="U13073" s="2"/>
      <c r="V13073" s="2"/>
      <c r="W13073" s="2"/>
      <c r="X13073" s="2"/>
      <c r="Y13073" s="2"/>
      <c r="Z13073" s="2"/>
    </row>
    <row r="13074" spans="1:26" ht="16.5" x14ac:dyDescent="0.35">
      <c r="A13074" s="2" t="str">
        <f ca="1">IFERROR(__xludf.DUMMYFUNCTION("""COMPUTED_VALUE"""),"Abu Dhabi")</f>
        <v>Abu Dhabi</v>
      </c>
      <c r="B13074" s="2" t="str">
        <f ca="1">IFERROR(__xludf.DUMMYFUNCTION("""COMPUTED_VALUE"""),"Bin Brook Building")</f>
        <v>Bin Brook Building</v>
      </c>
      <c r="C13074" s="2" t="str">
        <f ca="1">IFERROR(__xludf.DUMMYFUNCTION("""COMPUTED_VALUE"""),"Building")</f>
        <v>Building</v>
      </c>
      <c r="D13074" s="2" t="str">
        <f ca="1">IFERROR(__xludf.DUMMYFUNCTION("""COMPUTED_VALUE"""),"Abu Dhabi&gt;Al Markaziya&gt;Bin Brook Building")</f>
        <v>Abu Dhabi&gt;Al Markaziya&gt;Bin Brook Building</v>
      </c>
      <c r="E13074" s="2"/>
      <c r="F13074" s="2"/>
      <c r="G13074" s="2"/>
      <c r="H13074" s="2"/>
      <c r="I13074" s="2"/>
      <c r="J13074" s="2"/>
      <c r="K13074" s="2"/>
      <c r="L13074" s="2"/>
      <c r="M13074" s="2"/>
      <c r="N13074" s="2"/>
      <c r="O13074" s="2"/>
      <c r="P13074" s="2"/>
      <c r="Q13074" s="2"/>
      <c r="R13074" s="2"/>
      <c r="S13074" s="2"/>
      <c r="T13074" s="2"/>
      <c r="U13074" s="2"/>
      <c r="V13074" s="2"/>
      <c r="W13074" s="2"/>
      <c r="X13074" s="2"/>
      <c r="Y13074" s="2"/>
      <c r="Z13074" s="2"/>
    </row>
    <row r="13075" spans="1:26" ht="16.5" x14ac:dyDescent="0.35">
      <c r="A13075" s="2" t="str">
        <f ca="1">IFERROR(__xludf.DUMMYFUNCTION("""COMPUTED_VALUE"""),"Abu Dhabi")</f>
        <v>Abu Dhabi</v>
      </c>
      <c r="B13075" s="2" t="str">
        <f ca="1">IFERROR(__xludf.DUMMYFUNCTION("""COMPUTED_VALUE"""),"Lehweih Community")</f>
        <v>Lehweih Community</v>
      </c>
      <c r="C13075" s="2" t="str">
        <f ca="1">IFERROR(__xludf.DUMMYFUNCTION("""COMPUTED_VALUE"""),"Neighbourhood")</f>
        <v>Neighbourhood</v>
      </c>
      <c r="D13075" s="2" t="str">
        <f ca="1">IFERROR(__xludf.DUMMYFUNCTION("""COMPUTED_VALUE"""),"Abu Dhabi&gt;Al Raha Gardens&gt;Lehweih Community")</f>
        <v>Abu Dhabi&gt;Al Raha Gardens&gt;Lehweih Community</v>
      </c>
      <c r="E13075" s="2"/>
      <c r="F13075" s="2"/>
      <c r="G13075" s="2"/>
      <c r="H13075" s="2"/>
      <c r="I13075" s="2"/>
      <c r="J13075" s="2"/>
      <c r="K13075" s="2"/>
      <c r="L13075" s="2"/>
      <c r="M13075" s="2"/>
      <c r="N13075" s="2"/>
      <c r="O13075" s="2"/>
      <c r="P13075" s="2"/>
      <c r="Q13075" s="2"/>
      <c r="R13075" s="2"/>
      <c r="S13075" s="2"/>
      <c r="T13075" s="2"/>
      <c r="U13075" s="2"/>
      <c r="V13075" s="2"/>
      <c r="W13075" s="2"/>
      <c r="X13075" s="2"/>
      <c r="Y13075" s="2"/>
      <c r="Z13075" s="2"/>
    </row>
    <row r="13076" spans="1:26" ht="16.5" x14ac:dyDescent="0.35">
      <c r="A13076" s="2" t="str">
        <f ca="1">IFERROR(__xludf.DUMMYFUNCTION("""COMPUTED_VALUE"""),"Abu Dhabi")</f>
        <v>Abu Dhabi</v>
      </c>
      <c r="B13076" s="2" t="str">
        <f ca="1">IFERROR(__xludf.DUMMYFUNCTION("""COMPUTED_VALUE"""),"The Source Terraces")</f>
        <v>The Source Terraces</v>
      </c>
      <c r="C13076" s="2" t="str">
        <f ca="1">IFERROR(__xludf.DUMMYFUNCTION("""COMPUTED_VALUE"""),"Building")</f>
        <v>Building</v>
      </c>
      <c r="D13076" s="2" t="str">
        <f ca="1">IFERROR(__xludf.DUMMYFUNCTION("""COMPUTED_VALUE"""),"Abu Dhabi&gt;Saadiyat Island&gt;Saadiyat Cultural District&gt;The Source Terraces")</f>
        <v>Abu Dhabi&gt;Saadiyat Island&gt;Saadiyat Cultural District&gt;The Source Terraces</v>
      </c>
      <c r="E13076" s="2"/>
      <c r="F13076" s="2"/>
      <c r="G13076" s="2"/>
      <c r="H13076" s="2"/>
      <c r="I13076" s="2"/>
      <c r="J13076" s="2"/>
      <c r="K13076" s="2"/>
      <c r="L13076" s="2"/>
      <c r="M13076" s="2"/>
      <c r="N13076" s="2"/>
      <c r="O13076" s="2"/>
      <c r="P13076" s="2"/>
      <c r="Q13076" s="2"/>
      <c r="R13076" s="2"/>
      <c r="S13076" s="2"/>
      <c r="T13076" s="2"/>
      <c r="U13076" s="2"/>
      <c r="V13076" s="2"/>
      <c r="W13076" s="2"/>
      <c r="X13076" s="2"/>
      <c r="Y13076" s="2"/>
      <c r="Z13076" s="2"/>
    </row>
    <row r="13077" spans="1:26" ht="16.5" x14ac:dyDescent="0.35">
      <c r="A13077" s="2" t="str">
        <f ca="1">IFERROR(__xludf.DUMMYFUNCTION("""COMPUTED_VALUE"""),"Abu Dhabi")</f>
        <v>Abu Dhabi</v>
      </c>
      <c r="B13077" s="2" t="str">
        <f ca="1">IFERROR(__xludf.DUMMYFUNCTION("""COMPUTED_VALUE"""),"Saadiyat Beach Residences Block 5")</f>
        <v>Saadiyat Beach Residences Block 5</v>
      </c>
      <c r="C13077" s="2" t="str">
        <f ca="1">IFERROR(__xludf.DUMMYFUNCTION("""COMPUTED_VALUE"""),"Building")</f>
        <v>Building</v>
      </c>
      <c r="D13077" s="2" t="str">
        <f ca="1">IFERROR(__xludf.DUMMYFUNCTION("""COMPUTED_VALUE"""),"Abu Dhabi&gt;Saadiyat Island&gt;Saadiyat Beach&gt;Saadiyat Beach Residences&gt;Saadiyat Beach Residences Block 5")</f>
        <v>Abu Dhabi&gt;Saadiyat Island&gt;Saadiyat Beach&gt;Saadiyat Beach Residences&gt;Saadiyat Beach Residences Block 5</v>
      </c>
      <c r="E13077" s="2"/>
      <c r="F13077" s="2"/>
      <c r="G13077" s="2"/>
      <c r="H13077" s="2"/>
      <c r="I13077" s="2"/>
      <c r="J13077" s="2"/>
      <c r="K13077" s="2"/>
      <c r="L13077" s="2"/>
      <c r="M13077" s="2"/>
      <c r="N13077" s="2"/>
      <c r="O13077" s="2"/>
      <c r="P13077" s="2"/>
      <c r="Q13077" s="2"/>
      <c r="R13077" s="2"/>
      <c r="S13077" s="2"/>
      <c r="T13077" s="2"/>
      <c r="U13077" s="2"/>
      <c r="V13077" s="2"/>
      <c r="W13077" s="2"/>
      <c r="X13077" s="2"/>
      <c r="Y13077" s="2"/>
      <c r="Z13077" s="2"/>
    </row>
    <row r="13078" spans="1:26" ht="16.5" x14ac:dyDescent="0.35">
      <c r="A13078" s="2" t="str">
        <f ca="1">IFERROR(__xludf.DUMMYFUNCTION("""COMPUTED_VALUE"""),"Abu Dhabi")</f>
        <v>Abu Dhabi</v>
      </c>
      <c r="B13078" s="2" t="str">
        <f ca="1">IFERROR(__xludf.DUMMYFUNCTION("""COMPUTED_VALUE"""),"Manarat Living III")</f>
        <v>Manarat Living III</v>
      </c>
      <c r="C13078" s="2" t="str">
        <f ca="1">IFERROR(__xludf.DUMMYFUNCTION("""COMPUTED_VALUE"""),"Building")</f>
        <v>Building</v>
      </c>
      <c r="D13078" s="2" t="str">
        <f ca="1">IFERROR(__xludf.DUMMYFUNCTION("""COMPUTED_VALUE"""),"Abu Dhabi&gt;Saadiyat Island&gt;Manarat Living III")</f>
        <v>Abu Dhabi&gt;Saadiyat Island&gt;Manarat Living III</v>
      </c>
      <c r="E13078" s="2"/>
      <c r="F13078" s="2"/>
      <c r="G13078" s="2"/>
      <c r="H13078" s="2"/>
      <c r="I13078" s="2"/>
      <c r="J13078" s="2"/>
      <c r="K13078" s="2"/>
      <c r="L13078" s="2"/>
      <c r="M13078" s="2"/>
      <c r="N13078" s="2"/>
      <c r="O13078" s="2"/>
      <c r="P13078" s="2"/>
      <c r="Q13078" s="2"/>
      <c r="R13078" s="2"/>
      <c r="S13078" s="2"/>
      <c r="T13078" s="2"/>
      <c r="U13078" s="2"/>
      <c r="V13078" s="2"/>
      <c r="W13078" s="2"/>
      <c r="X13078" s="2"/>
      <c r="Y13078" s="2"/>
      <c r="Z13078" s="2"/>
    </row>
    <row r="13079" spans="1:26" ht="16.5" x14ac:dyDescent="0.35">
      <c r="A13079" s="2" t="str">
        <f ca="1">IFERROR(__xludf.DUMMYFUNCTION("""COMPUTED_VALUE"""),"Abu Dhabi")</f>
        <v>Abu Dhabi</v>
      </c>
      <c r="B13079" s="2" t="str">
        <f ca="1">IFERROR(__xludf.DUMMYFUNCTION("""COMPUTED_VALUE"""),"Al Zahiya")</f>
        <v>Al Zahiya</v>
      </c>
      <c r="C13079" s="2" t="str">
        <f ca="1">IFERROR(__xludf.DUMMYFUNCTION("""COMPUTED_VALUE"""),"Neighbourhood")</f>
        <v>Neighbourhood</v>
      </c>
      <c r="D13079" s="2" t="str">
        <f ca="1">IFERROR(__xludf.DUMMYFUNCTION("""COMPUTED_VALUE"""),"Abu Dhabi&gt;Al Raha Beach&gt;Al Zahiya")</f>
        <v>Abu Dhabi&gt;Al Raha Beach&gt;Al Zahiya</v>
      </c>
      <c r="E13079" s="2"/>
      <c r="F13079" s="2"/>
      <c r="G13079" s="2"/>
      <c r="H13079" s="2"/>
      <c r="I13079" s="2"/>
      <c r="J13079" s="2"/>
      <c r="K13079" s="2"/>
      <c r="L13079" s="2"/>
      <c r="M13079" s="2"/>
      <c r="N13079" s="2"/>
      <c r="O13079" s="2"/>
      <c r="P13079" s="2"/>
      <c r="Q13079" s="2"/>
      <c r="R13079" s="2"/>
      <c r="S13079" s="2"/>
      <c r="T13079" s="2"/>
      <c r="U13079" s="2"/>
      <c r="V13079" s="2"/>
      <c r="W13079" s="2"/>
      <c r="X13079" s="2"/>
      <c r="Y13079" s="2"/>
      <c r="Z13079" s="2"/>
    </row>
    <row r="13080" spans="1:26" ht="16.5" x14ac:dyDescent="0.35">
      <c r="A13080" s="2" t="str">
        <f ca="1">IFERROR(__xludf.DUMMYFUNCTION("""COMPUTED_VALUE"""),"Abu Dhabi")</f>
        <v>Abu Dhabi</v>
      </c>
      <c r="B13080" s="2" t="str">
        <f ca="1">IFERROR(__xludf.DUMMYFUNCTION("""COMPUTED_VALUE"""),"Al Maha")</f>
        <v>Al Maha</v>
      </c>
      <c r="C13080" s="2" t="str">
        <f ca="1">IFERROR(__xludf.DUMMYFUNCTION("""COMPUTED_VALUE"""),"Cluster")</f>
        <v>Cluster</v>
      </c>
      <c r="D13080" s="2" t="str">
        <f ca="1">IFERROR(__xludf.DUMMYFUNCTION("""COMPUTED_VALUE"""),"Abu Dhabi&gt;Al Raha Beach&gt;Al Muneera&gt;Al Maha")</f>
        <v>Abu Dhabi&gt;Al Raha Beach&gt;Al Muneera&gt;Al Maha</v>
      </c>
      <c r="E13080" s="2"/>
      <c r="F13080" s="2"/>
      <c r="G13080" s="2"/>
      <c r="H13080" s="2"/>
      <c r="I13080" s="2"/>
      <c r="J13080" s="2"/>
      <c r="K13080" s="2"/>
      <c r="L13080" s="2"/>
      <c r="M13080" s="2"/>
      <c r="N13080" s="2"/>
      <c r="O13080" s="2"/>
      <c r="P13080" s="2"/>
      <c r="Q13080" s="2"/>
      <c r="R13080" s="2"/>
      <c r="S13080" s="2"/>
      <c r="T13080" s="2"/>
      <c r="U13080" s="2"/>
      <c r="V13080" s="2"/>
      <c r="W13080" s="2"/>
      <c r="X13080" s="2"/>
      <c r="Y13080" s="2"/>
      <c r="Z13080" s="2"/>
    </row>
    <row r="13081" spans="1:26" ht="16.5" x14ac:dyDescent="0.35">
      <c r="A13081" s="2" t="str">
        <f ca="1">IFERROR(__xludf.DUMMYFUNCTION("""COMPUTED_VALUE"""),"Abu Dhabi")</f>
        <v>Abu Dhabi</v>
      </c>
      <c r="B13081" s="2" t="str">
        <f ca="1">IFERROR(__xludf.DUMMYFUNCTION("""COMPUTED_VALUE"""),"C12 Building")</f>
        <v>C12 Building</v>
      </c>
      <c r="C13081" s="2" t="str">
        <f ca="1">IFERROR(__xludf.DUMMYFUNCTION("""COMPUTED_VALUE"""),"Building")</f>
        <v>Building</v>
      </c>
      <c r="D13081" s="2" t="str">
        <f ca="1">IFERROR(__xludf.DUMMYFUNCTION("""COMPUTED_VALUE"""),"Abu Dhabi&gt;Al Raha Beach&gt;C12 Building")</f>
        <v>Abu Dhabi&gt;Al Raha Beach&gt;C12 Building</v>
      </c>
      <c r="E13081" s="2"/>
      <c r="F13081" s="2"/>
      <c r="G13081" s="2"/>
      <c r="H13081" s="2"/>
      <c r="I13081" s="2"/>
      <c r="J13081" s="2"/>
      <c r="K13081" s="2"/>
      <c r="L13081" s="2"/>
      <c r="M13081" s="2"/>
      <c r="N13081" s="2"/>
      <c r="O13081" s="2"/>
      <c r="P13081" s="2"/>
      <c r="Q13081" s="2"/>
      <c r="R13081" s="2"/>
      <c r="S13081" s="2"/>
      <c r="T13081" s="2"/>
      <c r="U13081" s="2"/>
      <c r="V13081" s="2"/>
      <c r="W13081" s="2"/>
      <c r="X13081" s="2"/>
      <c r="Y13081" s="2"/>
      <c r="Z13081" s="2"/>
    </row>
    <row r="13082" spans="1:26" ht="16.5" x14ac:dyDescent="0.35">
      <c r="A13082" s="2" t="str">
        <f ca="1">IFERROR(__xludf.DUMMYFUNCTION("""COMPUTED_VALUE"""),"Abu Dhabi")</f>
        <v>Abu Dhabi</v>
      </c>
      <c r="B13082" s="2" t="str">
        <f ca="1">IFERROR(__xludf.DUMMYFUNCTION("""COMPUTED_VALUE"""),"Al Falahi Tower")</f>
        <v>Al Falahi Tower</v>
      </c>
      <c r="C13082" s="2" t="str">
        <f ca="1">IFERROR(__xludf.DUMMYFUNCTION("""COMPUTED_VALUE"""),"Building")</f>
        <v>Building</v>
      </c>
      <c r="D13082" s="2" t="str">
        <f ca="1">IFERROR(__xludf.DUMMYFUNCTION("""COMPUTED_VALUE"""),"Abu Dhabi&gt;Danet Abu Dhabi&gt;Al Falahi Tower")</f>
        <v>Abu Dhabi&gt;Danet Abu Dhabi&gt;Al Falahi Tower</v>
      </c>
      <c r="E13082" s="2"/>
      <c r="F13082" s="2"/>
      <c r="G13082" s="2"/>
      <c r="H13082" s="2"/>
      <c r="I13082" s="2"/>
      <c r="J13082" s="2"/>
      <c r="K13082" s="2"/>
      <c r="L13082" s="2"/>
      <c r="M13082" s="2"/>
      <c r="N13082" s="2"/>
      <c r="O13082" s="2"/>
      <c r="P13082" s="2"/>
      <c r="Q13082" s="2"/>
      <c r="R13082" s="2"/>
      <c r="S13082" s="2"/>
      <c r="T13082" s="2"/>
      <c r="U13082" s="2"/>
      <c r="V13082" s="2"/>
      <c r="W13082" s="2"/>
      <c r="X13082" s="2"/>
      <c r="Y13082" s="2"/>
      <c r="Z13082" s="2"/>
    </row>
    <row r="13083" spans="1:26" ht="16.5" x14ac:dyDescent="0.35">
      <c r="A13083" s="2" t="str">
        <f ca="1">IFERROR(__xludf.DUMMYFUNCTION("""COMPUTED_VALUE"""),"Abu Dhabi")</f>
        <v>Abu Dhabi</v>
      </c>
      <c r="B13083" s="2" t="str">
        <f ca="1">IFERROR(__xludf.DUMMYFUNCTION("""COMPUTED_VALUE"""),"Mansour Tower")</f>
        <v>Mansour Tower</v>
      </c>
      <c r="C13083" s="2"/>
      <c r="D13083" s="2" t="str">
        <f ca="1">IFERROR(__xludf.DUMMYFUNCTION("""COMPUTED_VALUE"""),"Abu Dhabi&gt;Al Salam Street&gt;Mansour Tower")</f>
        <v>Abu Dhabi&gt;Al Salam Street&gt;Mansour Tower</v>
      </c>
      <c r="E13083" s="2"/>
      <c r="F13083" s="2"/>
      <c r="G13083" s="2"/>
      <c r="H13083" s="2"/>
      <c r="I13083" s="2"/>
      <c r="J13083" s="2"/>
      <c r="K13083" s="2"/>
      <c r="L13083" s="2"/>
      <c r="M13083" s="2"/>
      <c r="N13083" s="2"/>
      <c r="O13083" s="2"/>
      <c r="P13083" s="2"/>
      <c r="Q13083" s="2"/>
      <c r="R13083" s="2"/>
      <c r="S13083" s="2"/>
      <c r="T13083" s="2"/>
      <c r="U13083" s="2"/>
      <c r="V13083" s="2"/>
      <c r="W13083" s="2"/>
      <c r="X13083" s="2"/>
      <c r="Y13083" s="2"/>
      <c r="Z13083" s="2"/>
    </row>
    <row r="13084" spans="1:26" ht="16.5" x14ac:dyDescent="0.35">
      <c r="A13084" s="2" t="str">
        <f ca="1">IFERROR(__xludf.DUMMYFUNCTION("""COMPUTED_VALUE"""),"Abu Dhabi")</f>
        <v>Abu Dhabi</v>
      </c>
      <c r="B13084" s="2" t="str">
        <f ca="1">IFERROR(__xludf.DUMMYFUNCTION("""COMPUTED_VALUE"""),"C233 Building")</f>
        <v>C233 Building</v>
      </c>
      <c r="C13084" s="2" t="str">
        <f ca="1">IFERROR(__xludf.DUMMYFUNCTION("""COMPUTED_VALUE"""),"Building")</f>
        <v>Building</v>
      </c>
      <c r="D13084" s="2" t="str">
        <f ca="1">IFERROR(__xludf.DUMMYFUNCTION("""COMPUTED_VALUE"""),"Abu Dhabi&gt;Mohamed Bin Zayed City&gt;C233 Building")</f>
        <v>Abu Dhabi&gt;Mohamed Bin Zayed City&gt;C233 Building</v>
      </c>
      <c r="E13084" s="2"/>
      <c r="F13084" s="2"/>
      <c r="G13084" s="2"/>
      <c r="H13084" s="2"/>
      <c r="I13084" s="2"/>
      <c r="J13084" s="2"/>
      <c r="K13084" s="2"/>
      <c r="L13084" s="2"/>
      <c r="M13084" s="2"/>
      <c r="N13084" s="2"/>
      <c r="O13084" s="2"/>
      <c r="P13084" s="2"/>
      <c r="Q13084" s="2"/>
      <c r="R13084" s="2"/>
      <c r="S13084" s="2"/>
      <c r="T13084" s="2"/>
      <c r="U13084" s="2"/>
      <c r="V13084" s="2"/>
      <c r="W13084" s="2"/>
      <c r="X13084" s="2"/>
      <c r="Y13084" s="2"/>
      <c r="Z13084" s="2"/>
    </row>
    <row r="13085" spans="1:26" ht="16.5" x14ac:dyDescent="0.35">
      <c r="A13085" s="2" t="str">
        <f ca="1">IFERROR(__xludf.DUMMYFUNCTION("""COMPUTED_VALUE"""),"Abu Dhabi")</f>
        <v>Abu Dhabi</v>
      </c>
      <c r="B13085" s="2" t="str">
        <f ca="1">IFERROR(__xludf.DUMMYFUNCTION("""COMPUTED_VALUE"""),"Mazyad Mall")</f>
        <v>Mazyad Mall</v>
      </c>
      <c r="C13085" s="2" t="str">
        <f ca="1">IFERROR(__xludf.DUMMYFUNCTION("""COMPUTED_VALUE"""),"Building")</f>
        <v>Building</v>
      </c>
      <c r="D13085" s="2" t="str">
        <f ca="1">IFERROR(__xludf.DUMMYFUNCTION("""COMPUTED_VALUE"""),"Abu Dhabi&gt;Mohamed Bin Zayed City&gt;Mazyad Mall")</f>
        <v>Abu Dhabi&gt;Mohamed Bin Zayed City&gt;Mazyad Mall</v>
      </c>
      <c r="E13085" s="2"/>
      <c r="F13085" s="2"/>
      <c r="G13085" s="2"/>
      <c r="H13085" s="2"/>
      <c r="I13085" s="2"/>
      <c r="J13085" s="2"/>
      <c r="K13085" s="2"/>
      <c r="L13085" s="2"/>
      <c r="M13085" s="2"/>
      <c r="N13085" s="2"/>
      <c r="O13085" s="2"/>
      <c r="P13085" s="2"/>
      <c r="Q13085" s="2"/>
      <c r="R13085" s="2"/>
      <c r="S13085" s="2"/>
      <c r="T13085" s="2"/>
      <c r="U13085" s="2"/>
      <c r="V13085" s="2"/>
      <c r="W13085" s="2"/>
      <c r="X13085" s="2"/>
      <c r="Y13085" s="2"/>
      <c r="Z13085" s="2"/>
    </row>
    <row r="13086" spans="1:26" ht="16.5" x14ac:dyDescent="0.35">
      <c r="A13086" s="2" t="str">
        <f ca="1">IFERROR(__xludf.DUMMYFUNCTION("""COMPUTED_VALUE"""),"Abu Dhabi")</f>
        <v>Abu Dhabi</v>
      </c>
      <c r="B13086" s="2" t="str">
        <f ca="1">IFERROR(__xludf.DUMMYFUNCTION("""COMPUTED_VALUE"""),"Building 30")</f>
        <v>Building 30</v>
      </c>
      <c r="C13086" s="2" t="str">
        <f ca="1">IFERROR(__xludf.DUMMYFUNCTION("""COMPUTED_VALUE"""),"Building")</f>
        <v>Building</v>
      </c>
      <c r="D13086" s="2" t="str">
        <f ca="1">IFERROR(__xludf.DUMMYFUNCTION("""COMPUTED_VALUE"""),"Abu Dhabi&gt;Al Reef&gt;Al Reef Downtown&gt;Building 30")</f>
        <v>Abu Dhabi&gt;Al Reef&gt;Al Reef Downtown&gt;Building 30</v>
      </c>
      <c r="E13086" s="2"/>
      <c r="F13086" s="2"/>
      <c r="G13086" s="2"/>
      <c r="H13086" s="2"/>
      <c r="I13086" s="2"/>
      <c r="J13086" s="2"/>
      <c r="K13086" s="2"/>
      <c r="L13086" s="2"/>
      <c r="M13086" s="2"/>
      <c r="N13086" s="2"/>
      <c r="O13086" s="2"/>
      <c r="P13086" s="2"/>
      <c r="Q13086" s="2"/>
      <c r="R13086" s="2"/>
      <c r="S13086" s="2"/>
      <c r="T13086" s="2"/>
      <c r="U13086" s="2"/>
      <c r="V13086" s="2"/>
      <c r="W13086" s="2"/>
      <c r="X13086" s="2"/>
      <c r="Y13086" s="2"/>
      <c r="Z13086" s="2"/>
    </row>
    <row r="13087" spans="1:26" ht="16.5" x14ac:dyDescent="0.35">
      <c r="A13087" s="2" t="str">
        <f ca="1">IFERROR(__xludf.DUMMYFUNCTION("""COMPUTED_VALUE"""),"Abu Dhabi")</f>
        <v>Abu Dhabi</v>
      </c>
      <c r="B13087" s="2" t="str">
        <f ca="1">IFERROR(__xludf.DUMMYFUNCTION("""COMPUTED_VALUE"""),"Building 27")</f>
        <v>Building 27</v>
      </c>
      <c r="C13087" s="2" t="str">
        <f ca="1">IFERROR(__xludf.DUMMYFUNCTION("""COMPUTED_VALUE"""),"Building")</f>
        <v>Building</v>
      </c>
      <c r="D13087" s="2" t="str">
        <f ca="1">IFERROR(__xludf.DUMMYFUNCTION("""COMPUTED_VALUE"""),"Abu Dhabi&gt;Al Reef&gt;Al Reef Downtown&gt;Building 27")</f>
        <v>Abu Dhabi&gt;Al Reef&gt;Al Reef Downtown&gt;Building 27</v>
      </c>
      <c r="E13087" s="2"/>
      <c r="F13087" s="2"/>
      <c r="G13087" s="2"/>
      <c r="H13087" s="2"/>
      <c r="I13087" s="2"/>
      <c r="J13087" s="2"/>
      <c r="K13087" s="2"/>
      <c r="L13087" s="2"/>
      <c r="M13087" s="2"/>
      <c r="N13087" s="2"/>
      <c r="O13087" s="2"/>
      <c r="P13087" s="2"/>
      <c r="Q13087" s="2"/>
      <c r="R13087" s="2"/>
      <c r="S13087" s="2"/>
      <c r="T13087" s="2"/>
      <c r="U13087" s="2"/>
      <c r="V13087" s="2"/>
      <c r="W13087" s="2"/>
      <c r="X13087" s="2"/>
      <c r="Y13087" s="2"/>
      <c r="Z13087" s="2"/>
    </row>
    <row r="13088" spans="1:26" ht="16.5" x14ac:dyDescent="0.35">
      <c r="A13088" s="2" t="str">
        <f ca="1">IFERROR(__xludf.DUMMYFUNCTION("""COMPUTED_VALUE"""),"Abu Dhabi")</f>
        <v>Abu Dhabi</v>
      </c>
      <c r="B13088" s="2" t="str">
        <f ca="1">IFERROR(__xludf.DUMMYFUNCTION("""COMPUTED_VALUE"""),"Dalma Tower")</f>
        <v>Dalma Tower</v>
      </c>
      <c r="C13088" s="2" t="str">
        <f ca="1">IFERROR(__xludf.DUMMYFUNCTION("""COMPUTED_VALUE"""),"Building")</f>
        <v>Building</v>
      </c>
      <c r="D13088" s="2" t="str">
        <f ca="1">IFERROR(__xludf.DUMMYFUNCTION("""COMPUTED_VALUE"""),"Abu Dhabi&gt;Sheikh Rashid Bin Saeed Street&gt;Dalma Tower")</f>
        <v>Abu Dhabi&gt;Sheikh Rashid Bin Saeed Street&gt;Dalma Tower</v>
      </c>
      <c r="E13088" s="2"/>
      <c r="F13088" s="2"/>
      <c r="G13088" s="2"/>
      <c r="H13088" s="2"/>
      <c r="I13088" s="2"/>
      <c r="J13088" s="2"/>
      <c r="K13088" s="2"/>
      <c r="L13088" s="2"/>
      <c r="M13088" s="2"/>
      <c r="N13088" s="2"/>
      <c r="O13088" s="2"/>
      <c r="P13088" s="2"/>
      <c r="Q13088" s="2"/>
      <c r="R13088" s="2"/>
      <c r="S13088" s="2"/>
      <c r="T13088" s="2"/>
      <c r="U13088" s="2"/>
      <c r="V13088" s="2"/>
      <c r="W13088" s="2"/>
      <c r="X13088" s="2"/>
      <c r="Y13088" s="2"/>
      <c r="Z13088" s="2"/>
    </row>
    <row r="13089" spans="1:26" ht="16.5" x14ac:dyDescent="0.35">
      <c r="A13089" s="2" t="str">
        <f ca="1">IFERROR(__xludf.DUMMYFUNCTION("""COMPUTED_VALUE"""),"Abu Dhabi")</f>
        <v>Abu Dhabi</v>
      </c>
      <c r="B13089" s="2" t="str">
        <f ca="1">IFERROR(__xludf.DUMMYFUNCTION("""COMPUTED_VALUE"""),"Capital Suites Hotel Apartments")</f>
        <v>Capital Suites Hotel Apartments</v>
      </c>
      <c r="C13089" s="2" t="str">
        <f ca="1">IFERROR(__xludf.DUMMYFUNCTION("""COMPUTED_VALUE"""),"Building")</f>
        <v>Building</v>
      </c>
      <c r="D13089" s="2" t="str">
        <f ca="1">IFERROR(__xludf.DUMMYFUNCTION("""COMPUTED_VALUE"""),"Abu Dhabi&gt;Capital Centre&gt;Capital Suites Hotel Apartments")</f>
        <v>Abu Dhabi&gt;Capital Centre&gt;Capital Suites Hotel Apartments</v>
      </c>
      <c r="E13089" s="2"/>
      <c r="F13089" s="2"/>
      <c r="G13089" s="2"/>
      <c r="H13089" s="2"/>
      <c r="I13089" s="2"/>
      <c r="J13089" s="2"/>
      <c r="K13089" s="2"/>
      <c r="L13089" s="2"/>
      <c r="M13089" s="2"/>
      <c r="N13089" s="2"/>
      <c r="O13089" s="2"/>
      <c r="P13089" s="2"/>
      <c r="Q13089" s="2"/>
      <c r="R13089" s="2"/>
      <c r="S13089" s="2"/>
      <c r="T13089" s="2"/>
      <c r="U13089" s="2"/>
      <c r="V13089" s="2"/>
      <c r="W13089" s="2"/>
      <c r="X13089" s="2"/>
      <c r="Y13089" s="2"/>
      <c r="Z13089" s="2"/>
    </row>
    <row r="13090" spans="1:26" ht="16.5" x14ac:dyDescent="0.35">
      <c r="A13090" s="2" t="str">
        <f ca="1">IFERROR(__xludf.DUMMYFUNCTION("""COMPUTED_VALUE"""),"Abu Dhabi")</f>
        <v>Abu Dhabi</v>
      </c>
      <c r="B13090" s="2" t="str">
        <f ca="1">IFERROR(__xludf.DUMMYFUNCTION("""COMPUTED_VALUE"""),"Mayyas at the Bay")</f>
        <v>Mayyas at the Bay</v>
      </c>
      <c r="C13090" s="2" t="str">
        <f ca="1">IFERROR(__xludf.DUMMYFUNCTION("""COMPUTED_VALUE"""),"Building")</f>
        <v>Building</v>
      </c>
      <c r="D13090" s="2" t="str">
        <f ca="1">IFERROR(__xludf.DUMMYFUNCTION("""COMPUTED_VALUE"""),"Abu Dhabi&gt;Yas Island&gt;Yas Bay&gt;Mayyas at the Bay")</f>
        <v>Abu Dhabi&gt;Yas Island&gt;Yas Bay&gt;Mayyas at the Bay</v>
      </c>
      <c r="E13090" s="2"/>
      <c r="F13090" s="2"/>
      <c r="G13090" s="2"/>
      <c r="H13090" s="2"/>
      <c r="I13090" s="2"/>
      <c r="J13090" s="2"/>
      <c r="K13090" s="2"/>
      <c r="L13090" s="2"/>
      <c r="M13090" s="2"/>
      <c r="N13090" s="2"/>
      <c r="O13090" s="2"/>
      <c r="P13090" s="2"/>
      <c r="Q13090" s="2"/>
      <c r="R13090" s="2"/>
      <c r="S13090" s="2"/>
      <c r="T13090" s="2"/>
      <c r="U13090" s="2"/>
      <c r="V13090" s="2"/>
      <c r="W13090" s="2"/>
      <c r="X13090" s="2"/>
      <c r="Y13090" s="2"/>
      <c r="Z13090" s="2"/>
    </row>
    <row r="13091" spans="1:26" ht="16.5" x14ac:dyDescent="0.35">
      <c r="A13091" s="2" t="str">
        <f ca="1">IFERROR(__xludf.DUMMYFUNCTION("""COMPUTED_VALUE"""),"Abu Dhabi")</f>
        <v>Abu Dhabi</v>
      </c>
      <c r="B13091" s="2" t="str">
        <f ca="1">IFERROR(__xludf.DUMMYFUNCTION("""COMPUTED_VALUE"""),"West Yas")</f>
        <v>West Yas</v>
      </c>
      <c r="C13091" s="2" t="str">
        <f ca="1">IFERROR(__xludf.DUMMYFUNCTION("""COMPUTED_VALUE"""),"Neighbourhood")</f>
        <v>Neighbourhood</v>
      </c>
      <c r="D13091" s="2" t="str">
        <f ca="1">IFERROR(__xludf.DUMMYFUNCTION("""COMPUTED_VALUE"""),"Abu Dhabi&gt;Yas Island&gt;West Yas")</f>
        <v>Abu Dhabi&gt;Yas Island&gt;West Yas</v>
      </c>
      <c r="E13091" s="2"/>
      <c r="F13091" s="2"/>
      <c r="G13091" s="2"/>
      <c r="H13091" s="2"/>
      <c r="I13091" s="2"/>
      <c r="J13091" s="2"/>
      <c r="K13091" s="2"/>
      <c r="L13091" s="2"/>
      <c r="M13091" s="2"/>
      <c r="N13091" s="2"/>
      <c r="O13091" s="2"/>
      <c r="P13091" s="2"/>
      <c r="Q13091" s="2"/>
      <c r="R13091" s="2"/>
      <c r="S13091" s="2"/>
      <c r="T13091" s="2"/>
      <c r="U13091" s="2"/>
      <c r="V13091" s="2"/>
      <c r="W13091" s="2"/>
      <c r="X13091" s="2"/>
      <c r="Y13091" s="2"/>
      <c r="Z13091" s="2"/>
    </row>
    <row r="13092" spans="1:26" ht="16.5" x14ac:dyDescent="0.35">
      <c r="A13092" s="2" t="str">
        <f ca="1">IFERROR(__xludf.DUMMYFUNCTION("""COMPUTED_VALUE"""),"Abu Dhabi")</f>
        <v>Abu Dhabi</v>
      </c>
      <c r="B13092" s="2" t="str">
        <f ca="1">IFERROR(__xludf.DUMMYFUNCTION("""COMPUTED_VALUE"""),"Yas Links Luxury Living")</f>
        <v>Yas Links Luxury Living</v>
      </c>
      <c r="C13092" s="2" t="str">
        <f ca="1">IFERROR(__xludf.DUMMYFUNCTION("""COMPUTED_VALUE"""),"Building")</f>
        <v>Building</v>
      </c>
      <c r="D13092" s="2" t="str">
        <f ca="1">IFERROR(__xludf.DUMMYFUNCTION("""COMPUTED_VALUE"""),"Abu Dhabi&gt;Yas Island&gt;Yas Links Luxury Living")</f>
        <v>Abu Dhabi&gt;Yas Island&gt;Yas Links Luxury Living</v>
      </c>
      <c r="E13092" s="2"/>
      <c r="F13092" s="2"/>
      <c r="G13092" s="2"/>
      <c r="H13092" s="2"/>
      <c r="I13092" s="2"/>
      <c r="J13092" s="2"/>
      <c r="K13092" s="2"/>
      <c r="L13092" s="2"/>
      <c r="M13092" s="2"/>
      <c r="N13092" s="2"/>
      <c r="O13092" s="2"/>
      <c r="P13092" s="2"/>
      <c r="Q13092" s="2"/>
      <c r="R13092" s="2"/>
      <c r="S13092" s="2"/>
      <c r="T13092" s="2"/>
      <c r="U13092" s="2"/>
      <c r="V13092" s="2"/>
      <c r="W13092" s="2"/>
      <c r="X13092" s="2"/>
      <c r="Y13092" s="2"/>
      <c r="Z13092" s="2"/>
    </row>
    <row r="13093" spans="1:26" ht="16.5" x14ac:dyDescent="0.35">
      <c r="A13093" s="2" t="str">
        <f ca="1">IFERROR(__xludf.DUMMYFUNCTION("""COMPUTED_VALUE"""),"Abu Dhabi")</f>
        <v>Abu Dhabi</v>
      </c>
      <c r="B13093" s="2" t="str">
        <f ca="1">IFERROR(__xludf.DUMMYFUNCTION("""COMPUTED_VALUE"""),"Fay Al Reeman 2")</f>
        <v>Fay Al Reeman 2</v>
      </c>
      <c r="C13093" s="2" t="str">
        <f ca="1">IFERROR(__xludf.DUMMYFUNCTION("""COMPUTED_VALUE"""),"Neighbourhood")</f>
        <v>Neighbourhood</v>
      </c>
      <c r="D13093" s="2" t="str">
        <f ca="1">IFERROR(__xludf.DUMMYFUNCTION("""COMPUTED_VALUE"""),"Abu Dhabi&gt;Al Shamkha&gt;Al Reeman 2&gt;Fay Al Reeman 2")</f>
        <v>Abu Dhabi&gt;Al Shamkha&gt;Al Reeman 2&gt;Fay Al Reeman 2</v>
      </c>
      <c r="E13093" s="2"/>
      <c r="F13093" s="2"/>
      <c r="G13093" s="2"/>
      <c r="H13093" s="2"/>
      <c r="I13093" s="2"/>
      <c r="J13093" s="2"/>
      <c r="K13093" s="2"/>
      <c r="L13093" s="2"/>
      <c r="M13093" s="2"/>
      <c r="N13093" s="2"/>
      <c r="O13093" s="2"/>
      <c r="P13093" s="2"/>
      <c r="Q13093" s="2"/>
      <c r="R13093" s="2"/>
      <c r="S13093" s="2"/>
      <c r="T13093" s="2"/>
      <c r="U13093" s="2"/>
      <c r="V13093" s="2"/>
      <c r="W13093" s="2"/>
      <c r="X13093" s="2"/>
      <c r="Y13093" s="2"/>
      <c r="Z13093" s="2"/>
    </row>
    <row r="13094" spans="1:26" ht="16.5" x14ac:dyDescent="0.35">
      <c r="A13094" s="2" t="str">
        <f ca="1">IFERROR(__xludf.DUMMYFUNCTION("""COMPUTED_VALUE"""),"Ajman")</f>
        <v>Ajman</v>
      </c>
      <c r="B13094" s="2" t="str">
        <f ca="1">IFERROR(__xludf.DUMMYFUNCTION("""COMPUTED_VALUE"""),"Expo Building")</f>
        <v>Expo Building</v>
      </c>
      <c r="C13094" s="2"/>
      <c r="D13094" s="2" t="str">
        <f ca="1">IFERROR(__xludf.DUMMYFUNCTION("""COMPUTED_VALUE"""),"Ajman&gt;Ajman Industrial&gt;Ajman Industrial 2&gt;Expo Building")</f>
        <v>Ajman&gt;Ajman Industrial&gt;Ajman Industrial 2&gt;Expo Building</v>
      </c>
      <c r="E13094" s="2"/>
      <c r="F13094" s="2"/>
      <c r="G13094" s="2"/>
      <c r="H13094" s="2"/>
      <c r="I13094" s="2"/>
      <c r="J13094" s="2"/>
      <c r="K13094" s="2"/>
      <c r="L13094" s="2"/>
      <c r="M13094" s="2"/>
      <c r="N13094" s="2"/>
      <c r="O13094" s="2"/>
      <c r="P13094" s="2"/>
      <c r="Q13094" s="2"/>
      <c r="R13094" s="2"/>
      <c r="S13094" s="2"/>
      <c r="T13094" s="2"/>
      <c r="U13094" s="2"/>
      <c r="V13094" s="2"/>
      <c r="W13094" s="2"/>
      <c r="X13094" s="2"/>
      <c r="Y13094" s="2"/>
      <c r="Z13094" s="2"/>
    </row>
    <row r="13095" spans="1:26" ht="16.5" x14ac:dyDescent="0.35">
      <c r="A13095" s="2" t="str">
        <f ca="1">IFERROR(__xludf.DUMMYFUNCTION("""COMPUTED_VALUE"""),"Ajman")</f>
        <v>Ajman</v>
      </c>
      <c r="B13095" s="2" t="str">
        <f ca="1">IFERROR(__xludf.DUMMYFUNCTION("""COMPUTED_VALUE"""),"Goldcrest Dream Towers")</f>
        <v>Goldcrest Dream Towers</v>
      </c>
      <c r="C13095" s="2" t="str">
        <f ca="1">IFERROR(__xludf.DUMMYFUNCTION("""COMPUTED_VALUE"""),"Cluster")</f>
        <v>Cluster</v>
      </c>
      <c r="D13095" s="2" t="str">
        <f ca="1">IFERROR(__xludf.DUMMYFUNCTION("""COMPUTED_VALUE"""),"Ajman&gt;Emirates City&gt;Goldcrest Dream Towers")</f>
        <v>Ajman&gt;Emirates City&gt;Goldcrest Dream Towers</v>
      </c>
      <c r="E13095" s="2"/>
      <c r="F13095" s="2"/>
      <c r="G13095" s="2"/>
      <c r="H13095" s="2"/>
      <c r="I13095" s="2"/>
      <c r="J13095" s="2"/>
      <c r="K13095" s="2"/>
      <c r="L13095" s="2"/>
      <c r="M13095" s="2"/>
      <c r="N13095" s="2"/>
      <c r="O13095" s="2"/>
      <c r="P13095" s="2"/>
      <c r="Q13095" s="2"/>
      <c r="R13095" s="2"/>
      <c r="S13095" s="2"/>
      <c r="T13095" s="2"/>
      <c r="U13095" s="2"/>
      <c r="V13095" s="2"/>
      <c r="W13095" s="2"/>
      <c r="X13095" s="2"/>
      <c r="Y13095" s="2"/>
      <c r="Z13095" s="2"/>
    </row>
    <row r="13096" spans="1:26" ht="16.5" x14ac:dyDescent="0.35">
      <c r="A13096" s="2" t="str">
        <f ca="1">IFERROR(__xludf.DUMMYFUNCTION("""COMPUTED_VALUE"""),"Ajman")</f>
        <v>Ajman</v>
      </c>
      <c r="B13096" s="2" t="str">
        <f ca="1">IFERROR(__xludf.DUMMYFUNCTION("""COMPUTED_VALUE"""),"Al Hambra Towers")</f>
        <v>Al Hambra Towers</v>
      </c>
      <c r="C13096" s="2" t="str">
        <f ca="1">IFERROR(__xludf.DUMMYFUNCTION("""COMPUTED_VALUE"""),"Building")</f>
        <v>Building</v>
      </c>
      <c r="D13096" s="2" t="str">
        <f ca="1">IFERROR(__xludf.DUMMYFUNCTION("""COMPUTED_VALUE"""),"Ajman&gt;Emirates City&gt;Al Hambra Towers")</f>
        <v>Ajman&gt;Emirates City&gt;Al Hambra Towers</v>
      </c>
      <c r="E13096" s="2"/>
      <c r="F13096" s="2"/>
      <c r="G13096" s="2"/>
      <c r="H13096" s="2"/>
      <c r="I13096" s="2"/>
      <c r="J13096" s="2"/>
      <c r="K13096" s="2"/>
      <c r="L13096" s="2"/>
      <c r="M13096" s="2"/>
      <c r="N13096" s="2"/>
      <c r="O13096" s="2"/>
      <c r="P13096" s="2"/>
      <c r="Q13096" s="2"/>
      <c r="R13096" s="2"/>
      <c r="S13096" s="2"/>
      <c r="T13096" s="2"/>
      <c r="U13096" s="2"/>
      <c r="V13096" s="2"/>
      <c r="W13096" s="2"/>
      <c r="X13096" s="2"/>
      <c r="Y13096" s="2"/>
      <c r="Z13096" s="2"/>
    </row>
    <row r="13097" spans="1:26" ht="16.5" x14ac:dyDescent="0.35">
      <c r="A13097" s="2" t="str">
        <f ca="1">IFERROR(__xludf.DUMMYFUNCTION("""COMPUTED_VALUE"""),"Ajman")</f>
        <v>Ajman</v>
      </c>
      <c r="B13097" s="2" t="str">
        <f ca="1">IFERROR(__xludf.DUMMYFUNCTION("""COMPUTED_VALUE"""),"Hala Inn Hotel Apartments")</f>
        <v>Hala Inn Hotel Apartments</v>
      </c>
      <c r="C13097" s="2"/>
      <c r="D13097" s="2" t="str">
        <f ca="1">IFERROR(__xludf.DUMMYFUNCTION("""COMPUTED_VALUE"""),"Ajman&gt;Al Jurf&gt;Al Jurf 2&gt;Hala Inn Hotel Apartments")</f>
        <v>Ajman&gt;Al Jurf&gt;Al Jurf 2&gt;Hala Inn Hotel Apartments</v>
      </c>
      <c r="E13097" s="2"/>
      <c r="F13097" s="2"/>
      <c r="G13097" s="2"/>
      <c r="H13097" s="2"/>
      <c r="I13097" s="2"/>
      <c r="J13097" s="2"/>
      <c r="K13097" s="2"/>
      <c r="L13097" s="2"/>
      <c r="M13097" s="2"/>
      <c r="N13097" s="2"/>
      <c r="O13097" s="2"/>
      <c r="P13097" s="2"/>
      <c r="Q13097" s="2"/>
      <c r="R13097" s="2"/>
      <c r="S13097" s="2"/>
      <c r="T13097" s="2"/>
      <c r="U13097" s="2"/>
      <c r="V13097" s="2"/>
      <c r="W13097" s="2"/>
      <c r="X13097" s="2"/>
      <c r="Y13097" s="2"/>
      <c r="Z13097" s="2"/>
    </row>
    <row r="13098" spans="1:26" ht="16.5" x14ac:dyDescent="0.35">
      <c r="A13098" s="2" t="str">
        <f ca="1">IFERROR(__xludf.DUMMYFUNCTION("""COMPUTED_VALUE"""),"Ajman")</f>
        <v>Ajman</v>
      </c>
      <c r="B13098" s="2" t="str">
        <f ca="1">IFERROR(__xludf.DUMMYFUNCTION("""COMPUTED_VALUE"""),"Erica 1")</f>
        <v>Erica 1</v>
      </c>
      <c r="C13098" s="2"/>
      <c r="D13098" s="2" t="str">
        <f ca="1">IFERROR(__xludf.DUMMYFUNCTION("""COMPUTED_VALUE"""),"Ajman&gt;Ajman Uptown&gt;Erica 1")</f>
        <v>Ajman&gt;Ajman Uptown&gt;Erica 1</v>
      </c>
      <c r="E13098" s="2"/>
      <c r="F13098" s="2"/>
      <c r="G13098" s="2"/>
      <c r="H13098" s="2"/>
      <c r="I13098" s="2"/>
      <c r="J13098" s="2"/>
      <c r="K13098" s="2"/>
      <c r="L13098" s="2"/>
      <c r="M13098" s="2"/>
      <c r="N13098" s="2"/>
      <c r="O13098" s="2"/>
      <c r="P13098" s="2"/>
      <c r="Q13098" s="2"/>
      <c r="R13098" s="2"/>
      <c r="S13098" s="2"/>
      <c r="T13098" s="2"/>
      <c r="U13098" s="2"/>
      <c r="V13098" s="2"/>
      <c r="W13098" s="2"/>
      <c r="X13098" s="2"/>
      <c r="Y13098" s="2"/>
      <c r="Z13098" s="2"/>
    </row>
    <row r="13099" spans="1:26" ht="16.5" x14ac:dyDescent="0.35">
      <c r="A13099" s="2" t="str">
        <f ca="1">IFERROR(__xludf.DUMMYFUNCTION("""COMPUTED_VALUE"""),"Ajman")</f>
        <v>Ajman</v>
      </c>
      <c r="B13099" s="2" t="str">
        <f ca="1">IFERROR(__xludf.DUMMYFUNCTION("""COMPUTED_VALUE"""),"Falcon A2")</f>
        <v>Falcon A2</v>
      </c>
      <c r="C13099" s="2" t="str">
        <f ca="1">IFERROR(__xludf.DUMMYFUNCTION("""COMPUTED_VALUE"""),"Building")</f>
        <v>Building</v>
      </c>
      <c r="D13099" s="2" t="str">
        <f ca="1">IFERROR(__xludf.DUMMYFUNCTION("""COMPUTED_VALUE"""),"Ajman&gt;Al Rashidiya&gt;Al Rashidiya 2&gt;Falcon Towers&gt;Falcon A2")</f>
        <v>Ajman&gt;Al Rashidiya&gt;Al Rashidiya 2&gt;Falcon Towers&gt;Falcon A2</v>
      </c>
      <c r="E13099" s="2"/>
      <c r="F13099" s="2"/>
      <c r="G13099" s="2"/>
      <c r="H13099" s="2"/>
      <c r="I13099" s="2"/>
      <c r="J13099" s="2"/>
      <c r="K13099" s="2"/>
      <c r="L13099" s="2"/>
      <c r="M13099" s="2"/>
      <c r="N13099" s="2"/>
      <c r="O13099" s="2"/>
      <c r="P13099" s="2"/>
      <c r="Q13099" s="2"/>
      <c r="R13099" s="2"/>
      <c r="S13099" s="2"/>
      <c r="T13099" s="2"/>
      <c r="U13099" s="2"/>
      <c r="V13099" s="2"/>
      <c r="W13099" s="2"/>
      <c r="X13099" s="2"/>
      <c r="Y13099" s="2"/>
      <c r="Z13099" s="2"/>
    </row>
    <row r="13100" spans="1:26" ht="16.5" x14ac:dyDescent="0.35">
      <c r="A13100" s="2" t="str">
        <f ca="1">IFERROR(__xludf.DUMMYFUNCTION("""COMPUTED_VALUE"""),"Ajman")</f>
        <v>Ajman</v>
      </c>
      <c r="B13100" s="2" t="str">
        <f ca="1">IFERROR(__xludf.DUMMYFUNCTION("""COMPUTED_VALUE"""),"Andalus 2 Building")</f>
        <v>Andalus 2 Building</v>
      </c>
      <c r="C13100" s="2" t="str">
        <f ca="1">IFERROR(__xludf.DUMMYFUNCTION("""COMPUTED_VALUE"""),"Building")</f>
        <v>Building</v>
      </c>
      <c r="D13100" s="2" t="str">
        <f ca="1">IFERROR(__xludf.DUMMYFUNCTION("""COMPUTED_VALUE"""),"Ajman&gt;Al Rashidiya&gt;Al Rashidiya 3&gt;Andalus 2 Building")</f>
        <v>Ajman&gt;Al Rashidiya&gt;Al Rashidiya 3&gt;Andalus 2 Building</v>
      </c>
      <c r="E13100" s="2"/>
      <c r="F13100" s="2"/>
      <c r="G13100" s="2"/>
      <c r="H13100" s="2"/>
      <c r="I13100" s="2"/>
      <c r="J13100" s="2"/>
      <c r="K13100" s="2"/>
      <c r="L13100" s="2"/>
      <c r="M13100" s="2"/>
      <c r="N13100" s="2"/>
      <c r="O13100" s="2"/>
      <c r="P13100" s="2"/>
      <c r="Q13100" s="2"/>
      <c r="R13100" s="2"/>
      <c r="S13100" s="2"/>
      <c r="T13100" s="2"/>
      <c r="U13100" s="2"/>
      <c r="V13100" s="2"/>
      <c r="W13100" s="2"/>
      <c r="X13100" s="2"/>
      <c r="Y13100" s="2"/>
      <c r="Z13100" s="2"/>
    </row>
    <row r="13101" spans="1:26" ht="16.5" x14ac:dyDescent="0.35">
      <c r="A13101" s="2" t="str">
        <f ca="1">IFERROR(__xludf.DUMMYFUNCTION("""COMPUTED_VALUE"""),"Ajman")</f>
        <v>Ajman</v>
      </c>
      <c r="B13101" s="2" t="str">
        <f ca="1">IFERROR(__xludf.DUMMYFUNCTION("""COMPUTED_VALUE"""),"Green Building 2")</f>
        <v>Green Building 2</v>
      </c>
      <c r="C13101" s="2" t="str">
        <f ca="1">IFERROR(__xludf.DUMMYFUNCTION("""COMPUTED_VALUE"""),"Building")</f>
        <v>Building</v>
      </c>
      <c r="D13101" s="2" t="str">
        <f ca="1">IFERROR(__xludf.DUMMYFUNCTION("""COMPUTED_VALUE"""),"Ajman&gt;Al Helio&gt;Al Helio 2&gt;Green Building 2")</f>
        <v>Ajman&gt;Al Helio&gt;Al Helio 2&gt;Green Building 2</v>
      </c>
      <c r="E13101" s="2"/>
      <c r="F13101" s="2"/>
      <c r="G13101" s="2"/>
      <c r="H13101" s="2"/>
      <c r="I13101" s="2"/>
      <c r="J13101" s="2"/>
      <c r="K13101" s="2"/>
      <c r="L13101" s="2"/>
      <c r="M13101" s="2"/>
      <c r="N13101" s="2"/>
      <c r="O13101" s="2"/>
      <c r="P13101" s="2"/>
      <c r="Q13101" s="2"/>
      <c r="R13101" s="2"/>
      <c r="S13101" s="2"/>
      <c r="T13101" s="2"/>
      <c r="U13101" s="2"/>
      <c r="V13101" s="2"/>
      <c r="W13101" s="2"/>
      <c r="X13101" s="2"/>
      <c r="Y13101" s="2"/>
      <c r="Z13101" s="2"/>
    </row>
    <row r="13102" spans="1:26" ht="16.5" x14ac:dyDescent="0.35">
      <c r="A13102" s="2" t="str">
        <f ca="1">IFERROR(__xludf.DUMMYFUNCTION("""COMPUTED_VALUE"""),"Ajman")</f>
        <v>Ajman</v>
      </c>
      <c r="B13102" s="2" t="str">
        <f ca="1">IFERROR(__xludf.DUMMYFUNCTION("""COMPUTED_VALUE"""),"Crown Twin Towers")</f>
        <v>Crown Twin Towers</v>
      </c>
      <c r="C13102" s="2"/>
      <c r="D13102" s="2" t="str">
        <f ca="1">IFERROR(__xludf.DUMMYFUNCTION("""COMPUTED_VALUE"""),"Ajman&gt;Emirates Lake Towers&gt;Crown Twin Towers")</f>
        <v>Ajman&gt;Emirates Lake Towers&gt;Crown Twin Towers</v>
      </c>
      <c r="E13102" s="2"/>
      <c r="F13102" s="2"/>
      <c r="G13102" s="2"/>
      <c r="H13102" s="2"/>
      <c r="I13102" s="2"/>
      <c r="J13102" s="2"/>
      <c r="K13102" s="2"/>
      <c r="L13102" s="2"/>
      <c r="M13102" s="2"/>
      <c r="N13102" s="2"/>
      <c r="O13102" s="2"/>
      <c r="P13102" s="2"/>
      <c r="Q13102" s="2"/>
      <c r="R13102" s="2"/>
      <c r="S13102" s="2"/>
      <c r="T13102" s="2"/>
      <c r="U13102" s="2"/>
      <c r="V13102" s="2"/>
      <c r="W13102" s="2"/>
      <c r="X13102" s="2"/>
      <c r="Y13102" s="2"/>
      <c r="Z13102" s="2"/>
    </row>
    <row r="13103" spans="1:26" ht="16.5" x14ac:dyDescent="0.35">
      <c r="A13103" s="2" t="str">
        <f ca="1">IFERROR(__xludf.DUMMYFUNCTION("""COMPUTED_VALUE"""),"Ajman")</f>
        <v>Ajman</v>
      </c>
      <c r="B13103" s="2" t="str">
        <f ca="1">IFERROR(__xludf.DUMMYFUNCTION("""COMPUTED_VALUE"""),"Golf Villas")</f>
        <v>Golf Villas</v>
      </c>
      <c r="C13103" s="2"/>
      <c r="D13103" s="2" t="str">
        <f ca="1">IFERROR(__xludf.DUMMYFUNCTION("""COMPUTED_VALUE"""),"Ajman&gt;Al Zorah&gt;The Fairways&gt;Golf Villas")</f>
        <v>Ajman&gt;Al Zorah&gt;The Fairways&gt;Golf Villas</v>
      </c>
      <c r="E13103" s="2"/>
      <c r="F13103" s="2"/>
      <c r="G13103" s="2"/>
      <c r="H13103" s="2"/>
      <c r="I13103" s="2"/>
      <c r="J13103" s="2"/>
      <c r="K13103" s="2"/>
      <c r="L13103" s="2"/>
      <c r="M13103" s="2"/>
      <c r="N13103" s="2"/>
      <c r="O13103" s="2"/>
      <c r="P13103" s="2"/>
      <c r="Q13103" s="2"/>
      <c r="R13103" s="2"/>
      <c r="S13103" s="2"/>
      <c r="T13103" s="2"/>
      <c r="U13103" s="2"/>
      <c r="V13103" s="2"/>
      <c r="W13103" s="2"/>
      <c r="X13103" s="2"/>
      <c r="Y13103" s="2"/>
      <c r="Z13103" s="2"/>
    </row>
    <row r="13104" spans="1:26" ht="16.5" x14ac:dyDescent="0.35">
      <c r="A13104" s="2" t="str">
        <f ca="1">IFERROR(__xludf.DUMMYFUNCTION("""COMPUTED_VALUE"""),"Ajman")</f>
        <v>Ajman</v>
      </c>
      <c r="B13104" s="2" t="str">
        <f ca="1">IFERROR(__xludf.DUMMYFUNCTION("""COMPUTED_VALUE"""),"Orion Residency")</f>
        <v>Orion Residency</v>
      </c>
      <c r="C13104" s="2"/>
      <c r="D13104" s="2" t="str">
        <f ca="1">IFERROR(__xludf.DUMMYFUNCTION("""COMPUTED_VALUE"""),"Ajman&gt;Al Humaid City&gt;Orion Residency")</f>
        <v>Ajman&gt;Al Humaid City&gt;Orion Residency</v>
      </c>
      <c r="E13104" s="2"/>
      <c r="F13104" s="2"/>
      <c r="G13104" s="2"/>
      <c r="H13104" s="2"/>
      <c r="I13104" s="2"/>
      <c r="J13104" s="2"/>
      <c r="K13104" s="2"/>
      <c r="L13104" s="2"/>
      <c r="M13104" s="2"/>
      <c r="N13104" s="2"/>
      <c r="O13104" s="2"/>
      <c r="P13104" s="2"/>
      <c r="Q13104" s="2"/>
      <c r="R13104" s="2"/>
      <c r="S13104" s="2"/>
      <c r="T13104" s="2"/>
      <c r="U13104" s="2"/>
      <c r="V13104" s="2"/>
      <c r="W13104" s="2"/>
      <c r="X13104" s="2"/>
      <c r="Y13104" s="2"/>
      <c r="Z13104" s="2"/>
    </row>
    <row r="13105" spans="1:26" ht="16.5" x14ac:dyDescent="0.35">
      <c r="A13105" s="2" t="str">
        <f ca="1">IFERROR(__xludf.DUMMYFUNCTION("""COMPUTED_VALUE"""),"Ajman")</f>
        <v>Ajman</v>
      </c>
      <c r="B13105" s="2" t="str">
        <f ca="1">IFERROR(__xludf.DUMMYFUNCTION("""COMPUTED_VALUE"""),"Expo Building")</f>
        <v>Expo Building</v>
      </c>
      <c r="C13105" s="2"/>
      <c r="D13105" s="2" t="str">
        <f ca="1">IFERROR(__xludf.DUMMYFUNCTION("""COMPUTED_VALUE"""),"Ajman&gt;Sheikh Maktoum Bin Rashid Street&gt;Expo Building")</f>
        <v>Ajman&gt;Sheikh Maktoum Bin Rashid Street&gt;Expo Building</v>
      </c>
      <c r="E13105" s="2"/>
      <c r="F13105" s="2"/>
      <c r="G13105" s="2"/>
      <c r="H13105" s="2"/>
      <c r="I13105" s="2"/>
      <c r="J13105" s="2"/>
      <c r="K13105" s="2"/>
      <c r="L13105" s="2"/>
      <c r="M13105" s="2"/>
      <c r="N13105" s="2"/>
      <c r="O13105" s="2"/>
      <c r="P13105" s="2"/>
      <c r="Q13105" s="2"/>
      <c r="R13105" s="2"/>
      <c r="S13105" s="2"/>
      <c r="T13105" s="2"/>
      <c r="U13105" s="2"/>
      <c r="V13105" s="2"/>
      <c r="W13105" s="2"/>
      <c r="X13105" s="2"/>
      <c r="Y13105" s="2"/>
      <c r="Z13105" s="2"/>
    </row>
    <row r="13106" spans="1:26" ht="16.5" x14ac:dyDescent="0.35">
      <c r="A13106" s="2" t="str">
        <f ca="1">IFERROR(__xludf.DUMMYFUNCTION("""COMPUTED_VALUE"""),"Ajman")</f>
        <v>Ajman</v>
      </c>
      <c r="B13106" s="2" t="str">
        <f ca="1">IFERROR(__xludf.DUMMYFUNCTION("""COMPUTED_VALUE"""),"City Tower")</f>
        <v>City Tower</v>
      </c>
      <c r="C13106" s="2" t="str">
        <f ca="1">IFERROR(__xludf.DUMMYFUNCTION("""COMPUTED_VALUE"""),"Building")</f>
        <v>Building</v>
      </c>
      <c r="D13106" s="2" t="str">
        <f ca="1">IFERROR(__xludf.DUMMYFUNCTION("""COMPUTED_VALUE"""),"Ajman&gt;Al Nuaimiya&gt;Al Nuaimiya 3&gt;City Tower")</f>
        <v>Ajman&gt;Al Nuaimiya&gt;Al Nuaimiya 3&gt;City Tower</v>
      </c>
      <c r="E13106" s="2"/>
      <c r="F13106" s="2"/>
      <c r="G13106" s="2"/>
      <c r="H13106" s="2"/>
      <c r="I13106" s="2"/>
      <c r="J13106" s="2"/>
      <c r="K13106" s="2"/>
      <c r="L13106" s="2"/>
      <c r="M13106" s="2"/>
      <c r="N13106" s="2"/>
      <c r="O13106" s="2"/>
      <c r="P13106" s="2"/>
      <c r="Q13106" s="2"/>
      <c r="R13106" s="2"/>
      <c r="S13106" s="2"/>
      <c r="T13106" s="2"/>
      <c r="U13106" s="2"/>
      <c r="V13106" s="2"/>
      <c r="W13106" s="2"/>
      <c r="X13106" s="2"/>
      <c r="Y13106" s="2"/>
      <c r="Z13106" s="2"/>
    </row>
    <row r="13107" spans="1:26" ht="16.5" x14ac:dyDescent="0.35">
      <c r="A13107" s="2" t="str">
        <f ca="1">IFERROR(__xludf.DUMMYFUNCTION("""COMPUTED_VALUE"""),"Ajman")</f>
        <v>Ajman</v>
      </c>
      <c r="B13107" s="2" t="str">
        <f ca="1">IFERROR(__xludf.DUMMYFUNCTION("""COMPUTED_VALUE"""),"Ajman Free Zone")</f>
        <v>Ajman Free Zone</v>
      </c>
      <c r="C13107" s="2" t="str">
        <f ca="1">IFERROR(__xludf.DUMMYFUNCTION("""COMPUTED_VALUE"""),"Neighbourhood")</f>
        <v>Neighbourhood</v>
      </c>
      <c r="D13107" s="2" t="str">
        <f ca="1">IFERROR(__xludf.DUMMYFUNCTION("""COMPUTED_VALUE"""),"Ajman&gt;Ajman Free Zone")</f>
        <v>Ajman&gt;Ajman Free Zone</v>
      </c>
      <c r="E13107" s="2"/>
      <c r="F13107" s="2"/>
      <c r="G13107" s="2"/>
      <c r="H13107" s="2"/>
      <c r="I13107" s="2"/>
      <c r="J13107" s="2"/>
      <c r="K13107" s="2"/>
      <c r="L13107" s="2"/>
      <c r="M13107" s="2"/>
      <c r="N13107" s="2"/>
      <c r="O13107" s="2"/>
      <c r="P13107" s="2"/>
      <c r="Q13107" s="2"/>
      <c r="R13107" s="2"/>
      <c r="S13107" s="2"/>
      <c r="T13107" s="2"/>
      <c r="U13107" s="2"/>
      <c r="V13107" s="2"/>
      <c r="W13107" s="2"/>
      <c r="X13107" s="2"/>
      <c r="Y13107" s="2"/>
      <c r="Z13107" s="2"/>
    </row>
    <row r="13108" spans="1:26" ht="16.5" x14ac:dyDescent="0.35">
      <c r="A13108" s="2" t="str">
        <f ca="1">IFERROR(__xludf.DUMMYFUNCTION("""COMPUTED_VALUE"""),"Sharjah")</f>
        <v>Sharjah</v>
      </c>
      <c r="B13108" s="2" t="str">
        <f ca="1">IFERROR(__xludf.DUMMYFUNCTION("""COMPUTED_VALUE"""),"Abdul Aziz Mohd Majid")</f>
        <v>Abdul Aziz Mohd Majid</v>
      </c>
      <c r="C13108" s="2"/>
      <c r="D13108" s="2" t="str">
        <f ca="1">IFERROR(__xludf.DUMMYFUNCTION("""COMPUTED_VALUE"""),"Sharjah&gt;Al Nahda (Sharjah)&gt;Abdul Aziz Mohd Majid")</f>
        <v>Sharjah&gt;Al Nahda (Sharjah)&gt;Abdul Aziz Mohd Majid</v>
      </c>
      <c r="E13108" s="2"/>
      <c r="F13108" s="2"/>
      <c r="G13108" s="2"/>
      <c r="H13108" s="2"/>
      <c r="I13108" s="2"/>
      <c r="J13108" s="2"/>
      <c r="K13108" s="2"/>
      <c r="L13108" s="2"/>
      <c r="M13108" s="2"/>
      <c r="N13108" s="2"/>
      <c r="O13108" s="2"/>
      <c r="P13108" s="2"/>
      <c r="Q13108" s="2"/>
      <c r="R13108" s="2"/>
      <c r="S13108" s="2"/>
      <c r="T13108" s="2"/>
      <c r="U13108" s="2"/>
      <c r="V13108" s="2"/>
      <c r="W13108" s="2"/>
      <c r="X13108" s="2"/>
      <c r="Y13108" s="2"/>
      <c r="Z13108" s="2"/>
    </row>
    <row r="13109" spans="1:26" ht="16.5" x14ac:dyDescent="0.35">
      <c r="A13109" s="2" t="str">
        <f ca="1">IFERROR(__xludf.DUMMYFUNCTION("""COMPUTED_VALUE"""),"Sharjah")</f>
        <v>Sharjah</v>
      </c>
      <c r="B13109" s="2" t="str">
        <f ca="1">IFERROR(__xludf.DUMMYFUNCTION("""COMPUTED_VALUE"""),"Yas Tower")</f>
        <v>Yas Tower</v>
      </c>
      <c r="C13109" s="2"/>
      <c r="D13109" s="2" t="str">
        <f ca="1">IFERROR(__xludf.DUMMYFUNCTION("""COMPUTED_VALUE"""),"Sharjah&gt;Al Nahda (Sharjah)&gt;Yas Tower")</f>
        <v>Sharjah&gt;Al Nahda (Sharjah)&gt;Yas Tower</v>
      </c>
      <c r="E13109" s="2"/>
      <c r="F13109" s="2"/>
      <c r="G13109" s="2"/>
      <c r="H13109" s="2"/>
      <c r="I13109" s="2"/>
      <c r="J13109" s="2"/>
      <c r="K13109" s="2"/>
      <c r="L13109" s="2"/>
      <c r="M13109" s="2"/>
      <c r="N13109" s="2"/>
      <c r="O13109" s="2"/>
      <c r="P13109" s="2"/>
      <c r="Q13109" s="2"/>
      <c r="R13109" s="2"/>
      <c r="S13109" s="2"/>
      <c r="T13109" s="2"/>
      <c r="U13109" s="2"/>
      <c r="V13109" s="2"/>
      <c r="W13109" s="2"/>
      <c r="X13109" s="2"/>
      <c r="Y13109" s="2"/>
      <c r="Z13109" s="2"/>
    </row>
    <row r="13110" spans="1:26" ht="16.5" x14ac:dyDescent="0.35">
      <c r="A13110" s="2" t="str">
        <f ca="1">IFERROR(__xludf.DUMMYFUNCTION("""COMPUTED_VALUE"""),"Sharjah")</f>
        <v>Sharjah</v>
      </c>
      <c r="B13110" s="2" t="str">
        <f ca="1">IFERROR(__xludf.DUMMYFUNCTION("""COMPUTED_VALUE"""),"Bawadi Building")</f>
        <v>Bawadi Building</v>
      </c>
      <c r="C13110" s="2"/>
      <c r="D13110" s="2" t="str">
        <f ca="1">IFERROR(__xludf.DUMMYFUNCTION("""COMPUTED_VALUE"""),"Sharjah&gt;Al Nahda (Sharjah)&gt;Bawadi Building")</f>
        <v>Sharjah&gt;Al Nahda (Sharjah)&gt;Bawadi Building</v>
      </c>
      <c r="E13110" s="2"/>
      <c r="F13110" s="2"/>
      <c r="G13110" s="2"/>
      <c r="H13110" s="2"/>
      <c r="I13110" s="2"/>
      <c r="J13110" s="2"/>
      <c r="K13110" s="2"/>
      <c r="L13110" s="2"/>
      <c r="M13110" s="2"/>
      <c r="N13110" s="2"/>
      <c r="O13110" s="2"/>
      <c r="P13110" s="2"/>
      <c r="Q13110" s="2"/>
      <c r="R13110" s="2"/>
      <c r="S13110" s="2"/>
      <c r="T13110" s="2"/>
      <c r="U13110" s="2"/>
      <c r="V13110" s="2"/>
      <c r="W13110" s="2"/>
      <c r="X13110" s="2"/>
      <c r="Y13110" s="2"/>
      <c r="Z13110" s="2"/>
    </row>
    <row r="13111" spans="1:26" ht="16.5" x14ac:dyDescent="0.35">
      <c r="A13111" s="2" t="str">
        <f ca="1">IFERROR(__xludf.DUMMYFUNCTION("""COMPUTED_VALUE"""),"Sharjah")</f>
        <v>Sharjah</v>
      </c>
      <c r="B13111" s="2" t="str">
        <f ca="1">IFERROR(__xludf.DUMMYFUNCTION("""COMPUTED_VALUE"""),"Lootah Al Nahda")</f>
        <v>Lootah Al Nahda</v>
      </c>
      <c r="C13111" s="2" t="str">
        <f ca="1">IFERROR(__xludf.DUMMYFUNCTION("""COMPUTED_VALUE"""),"Building")</f>
        <v>Building</v>
      </c>
      <c r="D13111" s="2" t="str">
        <f ca="1">IFERROR(__xludf.DUMMYFUNCTION("""COMPUTED_VALUE"""),"Sharjah&gt;Al Nahda (Sharjah)&gt;Lootah Al Nahda")</f>
        <v>Sharjah&gt;Al Nahda (Sharjah)&gt;Lootah Al Nahda</v>
      </c>
      <c r="E13111" s="2"/>
      <c r="F13111" s="2"/>
      <c r="G13111" s="2"/>
      <c r="H13111" s="2"/>
      <c r="I13111" s="2"/>
      <c r="J13111" s="2"/>
      <c r="K13111" s="2"/>
      <c r="L13111" s="2"/>
      <c r="M13111" s="2"/>
      <c r="N13111" s="2"/>
      <c r="O13111" s="2"/>
      <c r="P13111" s="2"/>
      <c r="Q13111" s="2"/>
      <c r="R13111" s="2"/>
      <c r="S13111" s="2"/>
      <c r="T13111" s="2"/>
      <c r="U13111" s="2"/>
      <c r="V13111" s="2"/>
      <c r="W13111" s="2"/>
      <c r="X13111" s="2"/>
      <c r="Y13111" s="2"/>
      <c r="Z13111" s="2"/>
    </row>
    <row r="13112" spans="1:26" ht="16.5" x14ac:dyDescent="0.35">
      <c r="A13112" s="2" t="str">
        <f ca="1">IFERROR(__xludf.DUMMYFUNCTION("""COMPUTED_VALUE"""),"Sharjah")</f>
        <v>Sharjah</v>
      </c>
      <c r="B13112" s="2" t="str">
        <f ca="1">IFERROR(__xludf.DUMMYFUNCTION("""COMPUTED_VALUE"""),"Al Atain")</f>
        <v>Al Atain</v>
      </c>
      <c r="C13112" s="2"/>
      <c r="D13112" s="2" t="str">
        <f ca="1">IFERROR(__xludf.DUMMYFUNCTION("""COMPUTED_VALUE"""),"Sharjah&gt;Al Atain")</f>
        <v>Sharjah&gt;Al Atain</v>
      </c>
      <c r="E13112" s="2"/>
      <c r="F13112" s="2"/>
      <c r="G13112" s="2"/>
      <c r="H13112" s="2"/>
      <c r="I13112" s="2"/>
      <c r="J13112" s="2"/>
      <c r="K13112" s="2"/>
      <c r="L13112" s="2"/>
      <c r="M13112" s="2"/>
      <c r="N13112" s="2"/>
      <c r="O13112" s="2"/>
      <c r="P13112" s="2"/>
      <c r="Q13112" s="2"/>
      <c r="R13112" s="2"/>
      <c r="S13112" s="2"/>
      <c r="T13112" s="2"/>
      <c r="U13112" s="2"/>
      <c r="V13112" s="2"/>
      <c r="W13112" s="2"/>
      <c r="X13112" s="2"/>
      <c r="Y13112" s="2"/>
      <c r="Z13112" s="2"/>
    </row>
    <row r="13113" spans="1:26" ht="16.5" x14ac:dyDescent="0.35">
      <c r="A13113" s="2" t="str">
        <f ca="1">IFERROR(__xludf.DUMMYFUNCTION("""COMPUTED_VALUE"""),"Sharjah")</f>
        <v>Sharjah</v>
      </c>
      <c r="B13113" s="2" t="str">
        <f ca="1">IFERROR(__xludf.DUMMYFUNCTION("""COMPUTED_VALUE"""),"The Solo")</f>
        <v>The Solo</v>
      </c>
      <c r="C13113" s="2" t="str">
        <f ca="1">IFERROR(__xludf.DUMMYFUNCTION("""COMPUTED_VALUE"""),"Cluster")</f>
        <v>Cluster</v>
      </c>
      <c r="D13113" s="2" t="str">
        <f ca="1">IFERROR(__xludf.DUMMYFUNCTION("""COMPUTED_VALUE"""),"Sharjah&gt;Aljada&gt;East Village&gt;The Solo")</f>
        <v>Sharjah&gt;Aljada&gt;East Village&gt;The Solo</v>
      </c>
      <c r="E13113" s="2"/>
      <c r="F13113" s="2"/>
      <c r="G13113" s="2"/>
      <c r="H13113" s="2"/>
      <c r="I13113" s="2"/>
      <c r="J13113" s="2"/>
      <c r="K13113" s="2"/>
      <c r="L13113" s="2"/>
      <c r="M13113" s="2"/>
      <c r="N13113" s="2"/>
      <c r="O13113" s="2"/>
      <c r="P13113" s="2"/>
      <c r="Q13113" s="2"/>
      <c r="R13113" s="2"/>
      <c r="S13113" s="2"/>
      <c r="T13113" s="2"/>
      <c r="U13113" s="2"/>
      <c r="V13113" s="2"/>
      <c r="W13113" s="2"/>
      <c r="X13113" s="2"/>
      <c r="Y13113" s="2"/>
      <c r="Z13113" s="2"/>
    </row>
    <row r="13114" spans="1:26" ht="16.5" x14ac:dyDescent="0.35">
      <c r="A13114" s="2" t="str">
        <f ca="1">IFERROR(__xludf.DUMMYFUNCTION("""COMPUTED_VALUE"""),"Sharjah")</f>
        <v>Sharjah</v>
      </c>
      <c r="B13114" s="2" t="str">
        <f ca="1">IFERROR(__xludf.DUMMYFUNCTION("""COMPUTED_VALUE"""),"Tiraz 7")</f>
        <v>Tiraz 7</v>
      </c>
      <c r="C13114" s="2" t="str">
        <f ca="1">IFERROR(__xludf.DUMMYFUNCTION("""COMPUTED_VALUE"""),"Building")</f>
        <v>Building</v>
      </c>
      <c r="D13114" s="2" t="str">
        <f ca="1">IFERROR(__xludf.DUMMYFUNCTION("""COMPUTED_VALUE"""),"Sharjah&gt;Aljada&gt;Naseej District&gt;Tiraz&gt;Tiraz 7")</f>
        <v>Sharjah&gt;Aljada&gt;Naseej District&gt;Tiraz&gt;Tiraz 7</v>
      </c>
      <c r="E13114" s="2"/>
      <c r="F13114" s="2"/>
      <c r="G13114" s="2"/>
      <c r="H13114" s="2"/>
      <c r="I13114" s="2"/>
      <c r="J13114" s="2"/>
      <c r="K13114" s="2"/>
      <c r="L13114" s="2"/>
      <c r="M13114" s="2"/>
      <c r="N13114" s="2"/>
      <c r="O13114" s="2"/>
      <c r="P13114" s="2"/>
      <c r="Q13114" s="2"/>
      <c r="R13114" s="2"/>
      <c r="S13114" s="2"/>
      <c r="T13114" s="2"/>
      <c r="U13114" s="2"/>
      <c r="V13114" s="2"/>
      <c r="W13114" s="2"/>
      <c r="X13114" s="2"/>
      <c r="Y13114" s="2"/>
      <c r="Z13114" s="2"/>
    </row>
    <row r="13115" spans="1:26" ht="16.5" x14ac:dyDescent="0.35">
      <c r="A13115" s="2" t="str">
        <f ca="1">IFERROR(__xludf.DUMMYFUNCTION("""COMPUTED_VALUE"""),"Sharjah")</f>
        <v>Sharjah</v>
      </c>
      <c r="B13115" s="2" t="str">
        <f ca="1">IFERROR(__xludf.DUMMYFUNCTION("""COMPUTED_VALUE"""),"Wing")</f>
        <v>Wing</v>
      </c>
      <c r="C13115" s="2" t="str">
        <f ca="1">IFERROR(__xludf.DUMMYFUNCTION("""COMPUTED_VALUE"""),"Building")</f>
        <v>Building</v>
      </c>
      <c r="D13115" s="2" t="str">
        <f ca="1">IFERROR(__xludf.DUMMYFUNCTION("""COMPUTED_VALUE"""),"Sharjah&gt;Aljada&gt;Arada Central Business District&gt;Wing")</f>
        <v>Sharjah&gt;Aljada&gt;Arada Central Business District&gt;Wing</v>
      </c>
      <c r="E13115" s="2"/>
      <c r="F13115" s="2"/>
      <c r="G13115" s="2"/>
      <c r="H13115" s="2"/>
      <c r="I13115" s="2"/>
      <c r="J13115" s="2"/>
      <c r="K13115" s="2"/>
      <c r="L13115" s="2"/>
      <c r="M13115" s="2"/>
      <c r="N13115" s="2"/>
      <c r="O13115" s="2"/>
      <c r="P13115" s="2"/>
      <c r="Q13115" s="2"/>
      <c r="R13115" s="2"/>
      <c r="S13115" s="2"/>
      <c r="T13115" s="2"/>
      <c r="U13115" s="2"/>
      <c r="V13115" s="2"/>
      <c r="W13115" s="2"/>
      <c r="X13115" s="2"/>
      <c r="Y13115" s="2"/>
      <c r="Z13115" s="2"/>
    </row>
    <row r="13116" spans="1:26" ht="16.5" x14ac:dyDescent="0.35">
      <c r="A13116" s="2" t="str">
        <f ca="1">IFERROR(__xludf.DUMMYFUNCTION("""COMPUTED_VALUE"""),"Sharjah")</f>
        <v>Sharjah</v>
      </c>
      <c r="B13116" s="2" t="str">
        <f ca="1">IFERROR(__xludf.DUMMYFUNCTION("""COMPUTED_VALUE"""),"Family Tower")</f>
        <v>Family Tower</v>
      </c>
      <c r="C13116" s="2"/>
      <c r="D13116" s="2" t="str">
        <f ca="1">IFERROR(__xludf.DUMMYFUNCTION("""COMPUTED_VALUE"""),"Sharjah&gt;Abu Shagara&gt;Family Tower")</f>
        <v>Sharjah&gt;Abu Shagara&gt;Family Tower</v>
      </c>
      <c r="E13116" s="2"/>
      <c r="F13116" s="2"/>
      <c r="G13116" s="2"/>
      <c r="H13116" s="2"/>
      <c r="I13116" s="2"/>
      <c r="J13116" s="2"/>
      <c r="K13116" s="2"/>
      <c r="L13116" s="2"/>
      <c r="M13116" s="2"/>
      <c r="N13116" s="2"/>
      <c r="O13116" s="2"/>
      <c r="P13116" s="2"/>
      <c r="Q13116" s="2"/>
      <c r="R13116" s="2"/>
      <c r="S13116" s="2"/>
      <c r="T13116" s="2"/>
      <c r="U13116" s="2"/>
      <c r="V13116" s="2"/>
      <c r="W13116" s="2"/>
      <c r="X13116" s="2"/>
      <c r="Y13116" s="2"/>
      <c r="Z13116" s="2"/>
    </row>
    <row r="13117" spans="1:26" ht="16.5" x14ac:dyDescent="0.35">
      <c r="A13117" s="2" t="str">
        <f ca="1">IFERROR(__xludf.DUMMYFUNCTION("""COMPUTED_VALUE"""),"Sharjah")</f>
        <v>Sharjah</v>
      </c>
      <c r="B13117" s="2" t="str">
        <f ca="1">IFERROR(__xludf.DUMMYFUNCTION("""COMPUTED_VALUE"""),"Solanki Building")</f>
        <v>Solanki Building</v>
      </c>
      <c r="C13117" s="2"/>
      <c r="D13117" s="2" t="str">
        <f ca="1">IFERROR(__xludf.DUMMYFUNCTION("""COMPUTED_VALUE"""),"Sharjah&gt;Abu Shagara&gt;Solanki Building")</f>
        <v>Sharjah&gt;Abu Shagara&gt;Solanki Building</v>
      </c>
      <c r="E13117" s="2"/>
      <c r="F13117" s="2"/>
      <c r="G13117" s="2"/>
      <c r="H13117" s="2"/>
      <c r="I13117" s="2"/>
      <c r="J13117" s="2"/>
      <c r="K13117" s="2"/>
      <c r="L13117" s="2"/>
      <c r="M13117" s="2"/>
      <c r="N13117" s="2"/>
      <c r="O13117" s="2"/>
      <c r="P13117" s="2"/>
      <c r="Q13117" s="2"/>
      <c r="R13117" s="2"/>
      <c r="S13117" s="2"/>
      <c r="T13117" s="2"/>
      <c r="U13117" s="2"/>
      <c r="V13117" s="2"/>
      <c r="W13117" s="2"/>
      <c r="X13117" s="2"/>
      <c r="Y13117" s="2"/>
      <c r="Z13117" s="2"/>
    </row>
    <row r="13118" spans="1:26" ht="16.5" x14ac:dyDescent="0.35">
      <c r="A13118" s="2" t="str">
        <f ca="1">IFERROR(__xludf.DUMMYFUNCTION("""COMPUTED_VALUE"""),"Sharjah")</f>
        <v>Sharjah</v>
      </c>
      <c r="B13118" s="2" t="str">
        <f ca="1">IFERROR(__xludf.DUMMYFUNCTION("""COMPUTED_VALUE"""),"Umm Al Qura Tower")</f>
        <v>Umm Al Qura Tower</v>
      </c>
      <c r="C13118" s="2" t="str">
        <f ca="1">IFERROR(__xludf.DUMMYFUNCTION("""COMPUTED_VALUE"""),"Building")</f>
        <v>Building</v>
      </c>
      <c r="D13118" s="2" t="str">
        <f ca="1">IFERROR(__xludf.DUMMYFUNCTION("""COMPUTED_VALUE"""),"Sharjah&gt;Al Mamzar&gt;Umm Al Qura Tower")</f>
        <v>Sharjah&gt;Al Mamzar&gt;Umm Al Qura Tower</v>
      </c>
      <c r="E13118" s="2"/>
      <c r="F13118" s="2"/>
      <c r="G13118" s="2"/>
      <c r="H13118" s="2"/>
      <c r="I13118" s="2"/>
      <c r="J13118" s="2"/>
      <c r="K13118" s="2"/>
      <c r="L13118" s="2"/>
      <c r="M13118" s="2"/>
      <c r="N13118" s="2"/>
      <c r="O13118" s="2"/>
      <c r="P13118" s="2"/>
      <c r="Q13118" s="2"/>
      <c r="R13118" s="2"/>
      <c r="S13118" s="2"/>
      <c r="T13118" s="2"/>
      <c r="U13118" s="2"/>
      <c r="V13118" s="2"/>
      <c r="W13118" s="2"/>
      <c r="X13118" s="2"/>
      <c r="Y13118" s="2"/>
      <c r="Z13118" s="2"/>
    </row>
    <row r="13119" spans="1:26" ht="16.5" x14ac:dyDescent="0.35">
      <c r="A13119" s="2" t="str">
        <f ca="1">IFERROR(__xludf.DUMMYFUNCTION("""COMPUTED_VALUE"""),"Sharjah")</f>
        <v>Sharjah</v>
      </c>
      <c r="B13119" s="2" t="str">
        <f ca="1">IFERROR(__xludf.DUMMYFUNCTION("""COMPUTED_VALUE"""),"Souq Al Ghuwair")</f>
        <v>Souq Al Ghuwair</v>
      </c>
      <c r="C13119" s="2"/>
      <c r="D13119" s="2" t="str">
        <f ca="1">IFERROR(__xludf.DUMMYFUNCTION("""COMPUTED_VALUE"""),"Sharjah&gt;Al Ghuwair&gt;Souq Al Ghuwair")</f>
        <v>Sharjah&gt;Al Ghuwair&gt;Souq Al Ghuwair</v>
      </c>
      <c r="E13119" s="2"/>
      <c r="F13119" s="2"/>
      <c r="G13119" s="2"/>
      <c r="H13119" s="2"/>
      <c r="I13119" s="2"/>
      <c r="J13119" s="2"/>
      <c r="K13119" s="2"/>
      <c r="L13119" s="2"/>
      <c r="M13119" s="2"/>
      <c r="N13119" s="2"/>
      <c r="O13119" s="2"/>
      <c r="P13119" s="2"/>
      <c r="Q13119" s="2"/>
      <c r="R13119" s="2"/>
      <c r="S13119" s="2"/>
      <c r="T13119" s="2"/>
      <c r="U13119" s="2"/>
      <c r="V13119" s="2"/>
      <c r="W13119" s="2"/>
      <c r="X13119" s="2"/>
      <c r="Y13119" s="2"/>
      <c r="Z13119" s="2"/>
    </row>
    <row r="13120" spans="1:26" ht="16.5" x14ac:dyDescent="0.35">
      <c r="A13120" s="2" t="str">
        <f ca="1">IFERROR(__xludf.DUMMYFUNCTION("""COMPUTED_VALUE"""),"Sharjah")</f>
        <v>Sharjah</v>
      </c>
      <c r="B13120" s="2" t="str">
        <f ca="1">IFERROR(__xludf.DUMMYFUNCTION("""COMPUTED_VALUE"""),"Al Resalah International School of Science")</f>
        <v>Al Resalah International School of Science</v>
      </c>
      <c r="C13120" s="2" t="str">
        <f ca="1">IFERROR(__xludf.DUMMYFUNCTION("""COMPUTED_VALUE"""),"School")</f>
        <v>School</v>
      </c>
      <c r="D13120" s="2" t="str">
        <f ca="1">IFERROR(__xludf.DUMMYFUNCTION("""COMPUTED_VALUE"""),"Sharjah&gt;Al Azra&gt;Al Resalah International School of Science")</f>
        <v>Sharjah&gt;Al Azra&gt;Al Resalah International School of Science</v>
      </c>
      <c r="E13120" s="2"/>
      <c r="F13120" s="2"/>
      <c r="G13120" s="2"/>
      <c r="H13120" s="2"/>
      <c r="I13120" s="2"/>
      <c r="J13120" s="2"/>
      <c r="K13120" s="2"/>
      <c r="L13120" s="2"/>
      <c r="M13120" s="2"/>
      <c r="N13120" s="2"/>
      <c r="O13120" s="2"/>
      <c r="P13120" s="2"/>
      <c r="Q13120" s="2"/>
      <c r="R13120" s="2"/>
      <c r="S13120" s="2"/>
      <c r="T13120" s="2"/>
      <c r="U13120" s="2"/>
      <c r="V13120" s="2"/>
      <c r="W13120" s="2"/>
      <c r="X13120" s="2"/>
      <c r="Y13120" s="2"/>
      <c r="Z13120" s="2"/>
    </row>
    <row r="13121" spans="1:26" ht="16.5" x14ac:dyDescent="0.35">
      <c r="A13121" s="2" t="str">
        <f ca="1">IFERROR(__xludf.DUMMYFUNCTION("""COMPUTED_VALUE"""),"Sharjah")</f>
        <v>Sharjah</v>
      </c>
      <c r="B13121" s="2" t="str">
        <f ca="1">IFERROR(__xludf.DUMMYFUNCTION("""COMPUTED_VALUE"""),"Building 288")</f>
        <v>Building 288</v>
      </c>
      <c r="C13121" s="2" t="str">
        <f ca="1">IFERROR(__xludf.DUMMYFUNCTION("""COMPUTED_VALUE"""),"Building")</f>
        <v>Building</v>
      </c>
      <c r="D13121" s="2" t="str">
        <f ca="1">IFERROR(__xludf.DUMMYFUNCTION("""COMPUTED_VALUE"""),"Sharjah&gt;Al Qulayaah&gt;Building 288")</f>
        <v>Sharjah&gt;Al Qulayaah&gt;Building 288</v>
      </c>
      <c r="E13121" s="2"/>
      <c r="F13121" s="2"/>
      <c r="G13121" s="2"/>
      <c r="H13121" s="2"/>
      <c r="I13121" s="2"/>
      <c r="J13121" s="2"/>
      <c r="K13121" s="2"/>
      <c r="L13121" s="2"/>
      <c r="M13121" s="2"/>
      <c r="N13121" s="2"/>
      <c r="O13121" s="2"/>
      <c r="P13121" s="2"/>
      <c r="Q13121" s="2"/>
      <c r="R13121" s="2"/>
      <c r="S13121" s="2"/>
      <c r="T13121" s="2"/>
      <c r="U13121" s="2"/>
      <c r="V13121" s="2"/>
      <c r="W13121" s="2"/>
      <c r="X13121" s="2"/>
      <c r="Y13121" s="2"/>
      <c r="Z13121" s="2"/>
    </row>
    <row r="13122" spans="1:26" ht="16.5" x14ac:dyDescent="0.35">
      <c r="A13122" s="2" t="str">
        <f ca="1">IFERROR(__xludf.DUMMYFUNCTION("""COMPUTED_VALUE"""),"Sharjah")</f>
        <v>Sharjah</v>
      </c>
      <c r="B13122" s="2" t="str">
        <f ca="1">IFERROR(__xludf.DUMMYFUNCTION("""COMPUTED_VALUE"""),"Obaid Rashid Building")</f>
        <v>Obaid Rashid Building</v>
      </c>
      <c r="C13122" s="2" t="str">
        <f ca="1">IFERROR(__xludf.DUMMYFUNCTION("""COMPUTED_VALUE"""),"Building")</f>
        <v>Building</v>
      </c>
      <c r="D13122" s="2" t="str">
        <f ca="1">IFERROR(__xludf.DUMMYFUNCTION("""COMPUTED_VALUE"""),"Sharjah&gt;Al Shuwaihean&gt;Obaid Rashid Building")</f>
        <v>Sharjah&gt;Al Shuwaihean&gt;Obaid Rashid Building</v>
      </c>
      <c r="E13122" s="2"/>
      <c r="F13122" s="2"/>
      <c r="G13122" s="2"/>
      <c r="H13122" s="2"/>
      <c r="I13122" s="2"/>
      <c r="J13122" s="2"/>
      <c r="K13122" s="2"/>
      <c r="L13122" s="2"/>
      <c r="M13122" s="2"/>
      <c r="N13122" s="2"/>
      <c r="O13122" s="2"/>
      <c r="P13122" s="2"/>
      <c r="Q13122" s="2"/>
      <c r="R13122" s="2"/>
      <c r="S13122" s="2"/>
      <c r="T13122" s="2"/>
      <c r="U13122" s="2"/>
      <c r="V13122" s="2"/>
      <c r="W13122" s="2"/>
      <c r="X13122" s="2"/>
      <c r="Y13122" s="2"/>
      <c r="Z13122" s="2"/>
    </row>
    <row r="13123" spans="1:26" ht="16.5" x14ac:dyDescent="0.35">
      <c r="A13123" s="2" t="str">
        <f ca="1">IFERROR(__xludf.DUMMYFUNCTION("""COMPUTED_VALUE"""),"Sharjah")</f>
        <v>Sharjah</v>
      </c>
      <c r="B13123" s="2" t="str">
        <f ca="1">IFERROR(__xludf.DUMMYFUNCTION("""COMPUTED_VALUE"""),"Joy of Learning Nursery")</f>
        <v>Joy of Learning Nursery</v>
      </c>
      <c r="C13123" s="2" t="str">
        <f ca="1">IFERROR(__xludf.DUMMYFUNCTION("""COMPUTED_VALUE"""),"Nursery")</f>
        <v>Nursery</v>
      </c>
      <c r="D13123" s="2" t="str">
        <f ca="1">IFERROR(__xludf.DUMMYFUNCTION("""COMPUTED_VALUE"""),"Sharjah&gt;Samnan&gt;Joy of Learning Nursery")</f>
        <v>Sharjah&gt;Samnan&gt;Joy of Learning Nursery</v>
      </c>
      <c r="E13123" s="2"/>
      <c r="F13123" s="2"/>
      <c r="G13123" s="2"/>
      <c r="H13123" s="2"/>
      <c r="I13123" s="2"/>
      <c r="J13123" s="2"/>
      <c r="K13123" s="2"/>
      <c r="L13123" s="2"/>
      <c r="M13123" s="2"/>
      <c r="N13123" s="2"/>
      <c r="O13123" s="2"/>
      <c r="P13123" s="2"/>
      <c r="Q13123" s="2"/>
      <c r="R13123" s="2"/>
      <c r="S13123" s="2"/>
      <c r="T13123" s="2"/>
      <c r="U13123" s="2"/>
      <c r="V13123" s="2"/>
      <c r="W13123" s="2"/>
      <c r="X13123" s="2"/>
      <c r="Y13123" s="2"/>
      <c r="Z13123" s="2"/>
    </row>
    <row r="13124" spans="1:26" ht="16.5" x14ac:dyDescent="0.35">
      <c r="A13124" s="2" t="str">
        <f ca="1">IFERROR(__xludf.DUMMYFUNCTION("""COMPUTED_VALUE"""),"Sharjah")</f>
        <v>Sharjah</v>
      </c>
      <c r="B13124" s="2" t="str">
        <f ca="1">IFERROR(__xludf.DUMMYFUNCTION("""COMPUTED_VALUE"""),"Lycée Français International Georges Pompidou Sharjah")</f>
        <v>Lycée Français International Georges Pompidou Sharjah</v>
      </c>
      <c r="C13124" s="2" t="str">
        <f ca="1">IFERROR(__xludf.DUMMYFUNCTION("""COMPUTED_VALUE"""),"School")</f>
        <v>School</v>
      </c>
      <c r="D13124" s="2" t="str">
        <f ca="1">IFERROR(__xludf.DUMMYFUNCTION("""COMPUTED_VALUE"""),"Sharjah&gt;Al Abar&gt;Lycée Français International Georges Pompidou Sharjah")</f>
        <v>Sharjah&gt;Al Abar&gt;Lycée Français International Georges Pompidou Sharjah</v>
      </c>
      <c r="E13124" s="2"/>
      <c r="F13124" s="2"/>
      <c r="G13124" s="2"/>
      <c r="H13124" s="2"/>
      <c r="I13124" s="2"/>
      <c r="J13124" s="2"/>
      <c r="K13124" s="2"/>
      <c r="L13124" s="2"/>
      <c r="M13124" s="2"/>
      <c r="N13124" s="2"/>
      <c r="O13124" s="2"/>
      <c r="P13124" s="2"/>
      <c r="Q13124" s="2"/>
      <c r="R13124" s="2"/>
      <c r="S13124" s="2"/>
      <c r="T13124" s="2"/>
      <c r="U13124" s="2"/>
      <c r="V13124" s="2"/>
      <c r="W13124" s="2"/>
      <c r="X13124" s="2"/>
      <c r="Y13124" s="2"/>
      <c r="Z13124" s="2"/>
    </row>
    <row r="13125" spans="1:26" ht="16.5" x14ac:dyDescent="0.35">
      <c r="A13125" s="2" t="str">
        <f ca="1">IFERROR(__xludf.DUMMYFUNCTION("""COMPUTED_VALUE"""),"Sharjah")</f>
        <v>Sharjah</v>
      </c>
      <c r="B13125" s="2" t="str">
        <f ca="1">IFERROR(__xludf.DUMMYFUNCTION("""COMPUTED_VALUE"""),"Hoshi")</f>
        <v>Hoshi</v>
      </c>
      <c r="C13125" s="2" t="str">
        <f ca="1">IFERROR(__xludf.DUMMYFUNCTION("""COMPUTED_VALUE"""),"Neighbourhood")</f>
        <v>Neighbourhood</v>
      </c>
      <c r="D13125" s="2" t="str">
        <f ca="1">IFERROR(__xludf.DUMMYFUNCTION("""COMPUTED_VALUE"""),"Sharjah&gt;Hoshi")</f>
        <v>Sharjah&gt;Hoshi</v>
      </c>
      <c r="E13125" s="2"/>
      <c r="F13125" s="2"/>
      <c r="G13125" s="2"/>
      <c r="H13125" s="2"/>
      <c r="I13125" s="2"/>
      <c r="J13125" s="2"/>
      <c r="K13125" s="2"/>
      <c r="L13125" s="2"/>
      <c r="M13125" s="2"/>
      <c r="N13125" s="2"/>
      <c r="O13125" s="2"/>
      <c r="P13125" s="2"/>
      <c r="Q13125" s="2"/>
      <c r="R13125" s="2"/>
      <c r="S13125" s="2"/>
      <c r="T13125" s="2"/>
      <c r="U13125" s="2"/>
      <c r="V13125" s="2"/>
      <c r="W13125" s="2"/>
      <c r="X13125" s="2"/>
      <c r="Y13125" s="2"/>
      <c r="Z13125" s="2"/>
    </row>
    <row r="13126" spans="1:26" ht="16.5" x14ac:dyDescent="0.35">
      <c r="A13126" s="2" t="str">
        <f ca="1">IFERROR(__xludf.DUMMYFUNCTION("""COMPUTED_VALUE"""),"Sharjah")</f>
        <v>Sharjah</v>
      </c>
      <c r="B13126" s="2" t="str">
        <f ca="1">IFERROR(__xludf.DUMMYFUNCTION("""COMPUTED_VALUE"""),"Dar Al Aman 33 A")</f>
        <v>Dar Al Aman 33 A</v>
      </c>
      <c r="C13126" s="2"/>
      <c r="D13126" s="2" t="str">
        <f ca="1">IFERROR(__xludf.DUMMYFUNCTION("""COMPUTED_VALUE"""),"Sharjah&gt;Bu Tina&gt;Dar Al Aman 33 A")</f>
        <v>Sharjah&gt;Bu Tina&gt;Dar Al Aman 33 A</v>
      </c>
      <c r="E13126" s="2"/>
      <c r="F13126" s="2"/>
      <c r="G13126" s="2"/>
      <c r="H13126" s="2"/>
      <c r="I13126" s="2"/>
      <c r="J13126" s="2"/>
      <c r="K13126" s="2"/>
      <c r="L13126" s="2"/>
      <c r="M13126" s="2"/>
      <c r="N13126" s="2"/>
      <c r="O13126" s="2"/>
      <c r="P13126" s="2"/>
      <c r="Q13126" s="2"/>
      <c r="R13126" s="2"/>
      <c r="S13126" s="2"/>
      <c r="T13126" s="2"/>
      <c r="U13126" s="2"/>
      <c r="V13126" s="2"/>
      <c r="W13126" s="2"/>
      <c r="X13126" s="2"/>
      <c r="Y13126" s="2"/>
      <c r="Z13126" s="2"/>
    </row>
    <row r="13127" spans="1:26" ht="16.5" x14ac:dyDescent="0.35">
      <c r="A13127" s="2" t="str">
        <f ca="1">IFERROR(__xludf.DUMMYFUNCTION("""COMPUTED_VALUE"""),"Sharjah")</f>
        <v>Sharjah</v>
      </c>
      <c r="B13127" s="2" t="str">
        <f ca="1">IFERROR(__xludf.DUMMYFUNCTION("""COMPUTED_VALUE"""),"Al Rund Tower")</f>
        <v>Al Rund Tower</v>
      </c>
      <c r="C13127" s="2" t="str">
        <f ca="1">IFERROR(__xludf.DUMMYFUNCTION("""COMPUTED_VALUE"""),"Building")</f>
        <v>Building</v>
      </c>
      <c r="D13127" s="2" t="str">
        <f ca="1">IFERROR(__xludf.DUMMYFUNCTION("""COMPUTED_VALUE"""),"Sharjah&gt;Al Khan&gt;Al Rund Tower")</f>
        <v>Sharjah&gt;Al Khan&gt;Al Rund Tower</v>
      </c>
      <c r="E13127" s="2"/>
      <c r="F13127" s="2"/>
      <c r="G13127" s="2"/>
      <c r="H13127" s="2"/>
      <c r="I13127" s="2"/>
      <c r="J13127" s="2"/>
      <c r="K13127" s="2"/>
      <c r="L13127" s="2"/>
      <c r="M13127" s="2"/>
      <c r="N13127" s="2"/>
      <c r="O13127" s="2"/>
      <c r="P13127" s="2"/>
      <c r="Q13127" s="2"/>
      <c r="R13127" s="2"/>
      <c r="S13127" s="2"/>
      <c r="T13127" s="2"/>
      <c r="U13127" s="2"/>
      <c r="V13127" s="2"/>
      <c r="W13127" s="2"/>
      <c r="X13127" s="2"/>
      <c r="Y13127" s="2"/>
      <c r="Z13127" s="2"/>
    </row>
    <row r="13128" spans="1:26" ht="16.5" x14ac:dyDescent="0.35">
      <c r="A13128" s="2" t="str">
        <f ca="1">IFERROR(__xludf.DUMMYFUNCTION("""COMPUTED_VALUE"""),"Sharjah")</f>
        <v>Sharjah</v>
      </c>
      <c r="B13128" s="2" t="str">
        <f ca="1">IFERROR(__xludf.DUMMYFUNCTION("""COMPUTED_VALUE"""),"Taawun Towers")</f>
        <v>Taawun Towers</v>
      </c>
      <c r="C13128" s="2"/>
      <c r="D13128" s="2" t="str">
        <f ca="1">IFERROR(__xludf.DUMMYFUNCTION("""COMPUTED_VALUE"""),"Sharjah&gt;Al Khan&gt;Taawun Towers")</f>
        <v>Sharjah&gt;Al Khan&gt;Taawun Towers</v>
      </c>
      <c r="E13128" s="2"/>
      <c r="F13128" s="2"/>
      <c r="G13128" s="2"/>
      <c r="H13128" s="2"/>
      <c r="I13128" s="2"/>
      <c r="J13128" s="2"/>
      <c r="K13128" s="2"/>
      <c r="L13128" s="2"/>
      <c r="M13128" s="2"/>
      <c r="N13128" s="2"/>
      <c r="O13128" s="2"/>
      <c r="P13128" s="2"/>
      <c r="Q13128" s="2"/>
      <c r="R13128" s="2"/>
      <c r="S13128" s="2"/>
      <c r="T13128" s="2"/>
      <c r="U13128" s="2"/>
      <c r="V13128" s="2"/>
      <c r="W13128" s="2"/>
      <c r="X13128" s="2"/>
      <c r="Y13128" s="2"/>
      <c r="Z13128" s="2"/>
    </row>
    <row r="13129" spans="1:26" ht="16.5" x14ac:dyDescent="0.35">
      <c r="A13129" s="2" t="str">
        <f ca="1">IFERROR(__xludf.DUMMYFUNCTION("""COMPUTED_VALUE"""),"Sharjah")</f>
        <v>Sharjah</v>
      </c>
      <c r="B13129" s="2" t="str">
        <f ca="1">IFERROR(__xludf.DUMMYFUNCTION("""COMPUTED_VALUE"""),"Al Khazna Building")</f>
        <v>Al Khazna Building</v>
      </c>
      <c r="C13129" s="2"/>
      <c r="D13129" s="2" t="str">
        <f ca="1">IFERROR(__xludf.DUMMYFUNCTION("""COMPUTED_VALUE"""),"Sharjah&gt;Al Khan&gt;Al Khazna Building")</f>
        <v>Sharjah&gt;Al Khan&gt;Al Khazna Building</v>
      </c>
      <c r="E13129" s="2"/>
      <c r="F13129" s="2"/>
      <c r="G13129" s="2"/>
      <c r="H13129" s="2"/>
      <c r="I13129" s="2"/>
      <c r="J13129" s="2"/>
      <c r="K13129" s="2"/>
      <c r="L13129" s="2"/>
      <c r="M13129" s="2"/>
      <c r="N13129" s="2"/>
      <c r="O13129" s="2"/>
      <c r="P13129" s="2"/>
      <c r="Q13129" s="2"/>
      <c r="R13129" s="2"/>
      <c r="S13129" s="2"/>
      <c r="T13129" s="2"/>
      <c r="U13129" s="2"/>
      <c r="V13129" s="2"/>
      <c r="W13129" s="2"/>
      <c r="X13129" s="2"/>
      <c r="Y13129" s="2"/>
      <c r="Z13129" s="2"/>
    </row>
    <row r="13130" spans="1:26" ht="16.5" x14ac:dyDescent="0.35">
      <c r="A13130" s="2" t="str">
        <f ca="1">IFERROR(__xludf.DUMMYFUNCTION("""COMPUTED_VALUE"""),"Sharjah")</f>
        <v>Sharjah</v>
      </c>
      <c r="B13130" s="2" t="str">
        <f ca="1">IFERROR(__xludf.DUMMYFUNCTION("""COMPUTED_VALUE"""),"United Arab Bank Towers")</f>
        <v>United Arab Bank Towers</v>
      </c>
      <c r="C13130" s="2"/>
      <c r="D13130" s="2" t="str">
        <f ca="1">IFERROR(__xludf.DUMMYFUNCTION("""COMPUTED_VALUE"""),"Sharjah&gt;Al Khan&gt;United Arab Bank Towers")</f>
        <v>Sharjah&gt;Al Khan&gt;United Arab Bank Towers</v>
      </c>
      <c r="E13130" s="2"/>
      <c r="F13130" s="2"/>
      <c r="G13130" s="2"/>
      <c r="H13130" s="2"/>
      <c r="I13130" s="2"/>
      <c r="J13130" s="2"/>
      <c r="K13130" s="2"/>
      <c r="L13130" s="2"/>
      <c r="M13130" s="2"/>
      <c r="N13130" s="2"/>
      <c r="O13130" s="2"/>
      <c r="P13130" s="2"/>
      <c r="Q13130" s="2"/>
      <c r="R13130" s="2"/>
      <c r="S13130" s="2"/>
      <c r="T13130" s="2"/>
      <c r="U13130" s="2"/>
      <c r="V13130" s="2"/>
      <c r="W13130" s="2"/>
      <c r="X13130" s="2"/>
      <c r="Y13130" s="2"/>
      <c r="Z13130" s="2"/>
    </row>
    <row r="13131" spans="1:26" ht="16.5" x14ac:dyDescent="0.35">
      <c r="A13131" s="2" t="str">
        <f ca="1">IFERROR(__xludf.DUMMYFUNCTION("""COMPUTED_VALUE"""),"Sharjah")</f>
        <v>Sharjah</v>
      </c>
      <c r="B13131" s="2" t="str">
        <f ca="1">IFERROR(__xludf.DUMMYFUNCTION("""COMPUTED_VALUE"""),"Khalid Plaza")</f>
        <v>Khalid Plaza</v>
      </c>
      <c r="C13131" s="2"/>
      <c r="D13131" s="2" t="str">
        <f ca="1">IFERROR(__xludf.DUMMYFUNCTION("""COMPUTED_VALUE"""),"Sharjah&gt;Al Majaz&gt;Al Majaz 2&gt;Khalid Plaza")</f>
        <v>Sharjah&gt;Al Majaz&gt;Al Majaz 2&gt;Khalid Plaza</v>
      </c>
      <c r="E13131" s="2"/>
      <c r="F13131" s="2"/>
      <c r="G13131" s="2"/>
      <c r="H13131" s="2"/>
      <c r="I13131" s="2"/>
      <c r="J13131" s="2"/>
      <c r="K13131" s="2"/>
      <c r="L13131" s="2"/>
      <c r="M13131" s="2"/>
      <c r="N13131" s="2"/>
      <c r="O13131" s="2"/>
      <c r="P13131" s="2"/>
      <c r="Q13131" s="2"/>
      <c r="R13131" s="2"/>
      <c r="S13131" s="2"/>
      <c r="T13131" s="2"/>
      <c r="U13131" s="2"/>
      <c r="V13131" s="2"/>
      <c r="W13131" s="2"/>
      <c r="X13131" s="2"/>
      <c r="Y13131" s="2"/>
      <c r="Z13131" s="2"/>
    </row>
    <row r="13132" spans="1:26" ht="16.5" x14ac:dyDescent="0.35">
      <c r="A13132" s="2" t="str">
        <f ca="1">IFERROR(__xludf.DUMMYFUNCTION("""COMPUTED_VALUE"""),"Sharjah")</f>
        <v>Sharjah</v>
      </c>
      <c r="B13132" s="2" t="str">
        <f ca="1">IFERROR(__xludf.DUMMYFUNCTION("""COMPUTED_VALUE"""),"Al Wahda Building")</f>
        <v>Al Wahda Building</v>
      </c>
      <c r="C13132" s="2" t="str">
        <f ca="1">IFERROR(__xludf.DUMMYFUNCTION("""COMPUTED_VALUE"""),"Building")</f>
        <v>Building</v>
      </c>
      <c r="D13132" s="2" t="str">
        <f ca="1">IFERROR(__xludf.DUMMYFUNCTION("""COMPUTED_VALUE"""),"Sharjah&gt;Al Majaz&gt;Al Majaz 2&gt;Al Wahda Building")</f>
        <v>Sharjah&gt;Al Majaz&gt;Al Majaz 2&gt;Al Wahda Building</v>
      </c>
      <c r="E13132" s="2"/>
      <c r="F13132" s="2"/>
      <c r="G13132" s="2"/>
      <c r="H13132" s="2"/>
      <c r="I13132" s="2"/>
      <c r="J13132" s="2"/>
      <c r="K13132" s="2"/>
      <c r="L13132" s="2"/>
      <c r="M13132" s="2"/>
      <c r="N13132" s="2"/>
      <c r="O13132" s="2"/>
      <c r="P13132" s="2"/>
      <c r="Q13132" s="2"/>
      <c r="R13132" s="2"/>
      <c r="S13132" s="2"/>
      <c r="T13132" s="2"/>
      <c r="U13132" s="2"/>
      <c r="V13132" s="2"/>
      <c r="W13132" s="2"/>
      <c r="X13132" s="2"/>
      <c r="Y13132" s="2"/>
      <c r="Z13132" s="2"/>
    </row>
    <row r="13133" spans="1:26" ht="16.5" x14ac:dyDescent="0.35">
      <c r="A13133" s="2" t="str">
        <f ca="1">IFERROR(__xludf.DUMMYFUNCTION("""COMPUTED_VALUE"""),"Sharjah")</f>
        <v>Sharjah</v>
      </c>
      <c r="B13133" s="2" t="str">
        <f ca="1">IFERROR(__xludf.DUMMYFUNCTION("""COMPUTED_VALUE"""),"Jamal Building")</f>
        <v>Jamal Building</v>
      </c>
      <c r="C13133" s="2" t="str">
        <f ca="1">IFERROR(__xludf.DUMMYFUNCTION("""COMPUTED_VALUE"""),"Building")</f>
        <v>Building</v>
      </c>
      <c r="D13133" s="2" t="str">
        <f ca="1">IFERROR(__xludf.DUMMYFUNCTION("""COMPUTED_VALUE"""),"Sharjah&gt;Al Majaz&gt;Al Majaz 2&gt;Jamal Building")</f>
        <v>Sharjah&gt;Al Majaz&gt;Al Majaz 2&gt;Jamal Building</v>
      </c>
      <c r="E13133" s="2"/>
      <c r="F13133" s="2"/>
      <c r="G13133" s="2"/>
      <c r="H13133" s="2"/>
      <c r="I13133" s="2"/>
      <c r="J13133" s="2"/>
      <c r="K13133" s="2"/>
      <c r="L13133" s="2"/>
      <c r="M13133" s="2"/>
      <c r="N13133" s="2"/>
      <c r="O13133" s="2"/>
      <c r="P13133" s="2"/>
      <c r="Q13133" s="2"/>
      <c r="R13133" s="2"/>
      <c r="S13133" s="2"/>
      <c r="T13133" s="2"/>
      <c r="U13133" s="2"/>
      <c r="V13133" s="2"/>
      <c r="W13133" s="2"/>
      <c r="X13133" s="2"/>
      <c r="Y13133" s="2"/>
      <c r="Z13133" s="2"/>
    </row>
    <row r="13134" spans="1:26" ht="16.5" x14ac:dyDescent="0.35">
      <c r="A13134" s="2" t="str">
        <f ca="1">IFERROR(__xludf.DUMMYFUNCTION("""COMPUTED_VALUE"""),"Sharjah")</f>
        <v>Sharjah</v>
      </c>
      <c r="B13134" s="2" t="str">
        <f ca="1">IFERROR(__xludf.DUMMYFUNCTION("""COMPUTED_VALUE"""),"Al Majaz Gardens")</f>
        <v>Al Majaz Gardens</v>
      </c>
      <c r="C13134" s="2"/>
      <c r="D13134" s="2" t="str">
        <f ca="1">IFERROR(__xludf.DUMMYFUNCTION("""COMPUTED_VALUE"""),"Sharjah&gt;Al Majaz&gt;Al Majaz 3&gt;Al Majaz Gardens")</f>
        <v>Sharjah&gt;Al Majaz&gt;Al Majaz 3&gt;Al Majaz Gardens</v>
      </c>
      <c r="E13134" s="2"/>
      <c r="F13134" s="2"/>
      <c r="G13134" s="2"/>
      <c r="H13134" s="2"/>
      <c r="I13134" s="2"/>
      <c r="J13134" s="2"/>
      <c r="K13134" s="2"/>
      <c r="L13134" s="2"/>
      <c r="M13134" s="2"/>
      <c r="N13134" s="2"/>
      <c r="O13134" s="2"/>
      <c r="P13134" s="2"/>
      <c r="Q13134" s="2"/>
      <c r="R13134" s="2"/>
      <c r="S13134" s="2"/>
      <c r="T13134" s="2"/>
      <c r="U13134" s="2"/>
      <c r="V13134" s="2"/>
      <c r="W13134" s="2"/>
      <c r="X13134" s="2"/>
      <c r="Y13134" s="2"/>
      <c r="Z13134" s="2"/>
    </row>
    <row r="13135" spans="1:26" ht="16.5" x14ac:dyDescent="0.35">
      <c r="A13135" s="2" t="str">
        <f ca="1">IFERROR(__xludf.DUMMYFUNCTION("""COMPUTED_VALUE"""),"Sharjah")</f>
        <v>Sharjah</v>
      </c>
      <c r="B13135" s="2" t="str">
        <f ca="1">IFERROR(__xludf.DUMMYFUNCTION("""COMPUTED_VALUE"""),"Mu Karram Building")</f>
        <v>Mu Karram Building</v>
      </c>
      <c r="C13135" s="2"/>
      <c r="D13135" s="2" t="str">
        <f ca="1">IFERROR(__xludf.DUMMYFUNCTION("""COMPUTED_VALUE"""),"Sharjah&gt;Al Majaz&gt;Al Majaz 3&gt;Mu Karram Building")</f>
        <v>Sharjah&gt;Al Majaz&gt;Al Majaz 3&gt;Mu Karram Building</v>
      </c>
      <c r="E13135" s="2"/>
      <c r="F13135" s="2"/>
      <c r="G13135" s="2"/>
      <c r="H13135" s="2"/>
      <c r="I13135" s="2"/>
      <c r="J13135" s="2"/>
      <c r="K13135" s="2"/>
      <c r="L13135" s="2"/>
      <c r="M13135" s="2"/>
      <c r="N13135" s="2"/>
      <c r="O13135" s="2"/>
      <c r="P13135" s="2"/>
      <c r="Q13135" s="2"/>
      <c r="R13135" s="2"/>
      <c r="S13135" s="2"/>
      <c r="T13135" s="2"/>
      <c r="U13135" s="2"/>
      <c r="V13135" s="2"/>
      <c r="W13135" s="2"/>
      <c r="X13135" s="2"/>
      <c r="Y13135" s="2"/>
      <c r="Z13135" s="2"/>
    </row>
    <row r="13136" spans="1:26" ht="16.5" x14ac:dyDescent="0.35">
      <c r="A13136" s="2" t="str">
        <f ca="1">IFERROR(__xludf.DUMMYFUNCTION("""COMPUTED_VALUE"""),"Sharjah")</f>
        <v>Sharjah</v>
      </c>
      <c r="B13136" s="2" t="str">
        <f ca="1">IFERROR(__xludf.DUMMYFUNCTION("""COMPUTED_VALUE"""),"Al Buhairah Insurance Building")</f>
        <v>Al Buhairah Insurance Building</v>
      </c>
      <c r="C13136" s="2"/>
      <c r="D13136" s="2" t="str">
        <f ca="1">IFERROR(__xludf.DUMMYFUNCTION("""COMPUTED_VALUE"""),"Sharjah&gt;Al Majaz&gt;Al Majaz 1&gt;Al Buhairah Insurance Building")</f>
        <v>Sharjah&gt;Al Majaz&gt;Al Majaz 1&gt;Al Buhairah Insurance Building</v>
      </c>
      <c r="E13136" s="2"/>
      <c r="F13136" s="2"/>
      <c r="G13136" s="2"/>
      <c r="H13136" s="2"/>
      <c r="I13136" s="2"/>
      <c r="J13136" s="2"/>
      <c r="K13136" s="2"/>
      <c r="L13136" s="2"/>
      <c r="M13136" s="2"/>
      <c r="N13136" s="2"/>
      <c r="O13136" s="2"/>
      <c r="P13136" s="2"/>
      <c r="Q13136" s="2"/>
      <c r="R13136" s="2"/>
      <c r="S13136" s="2"/>
      <c r="T13136" s="2"/>
      <c r="U13136" s="2"/>
      <c r="V13136" s="2"/>
      <c r="W13136" s="2"/>
      <c r="X13136" s="2"/>
      <c r="Y13136" s="2"/>
      <c r="Z13136" s="2"/>
    </row>
    <row r="13137" spans="1:26" ht="16.5" x14ac:dyDescent="0.35">
      <c r="A13137" s="2" t="str">
        <f ca="1">IFERROR(__xludf.DUMMYFUNCTION("""COMPUTED_VALUE"""),"Sharjah")</f>
        <v>Sharjah</v>
      </c>
      <c r="B13137" s="2" t="str">
        <f ca="1">IFERROR(__xludf.DUMMYFUNCTION("""COMPUTED_VALUE"""),"Dibba Al Hesn")</f>
        <v>Dibba Al Hesn</v>
      </c>
      <c r="C13137" s="2" t="str">
        <f ca="1">IFERROR(__xludf.DUMMYFUNCTION("""COMPUTED_VALUE"""),"Neighbourhood")</f>
        <v>Neighbourhood</v>
      </c>
      <c r="D13137" s="2" t="str">
        <f ca="1">IFERROR(__xludf.DUMMYFUNCTION("""COMPUTED_VALUE"""),"Sharjah&gt;Dibba Al Hesn")</f>
        <v>Sharjah&gt;Dibba Al Hesn</v>
      </c>
      <c r="E13137" s="2"/>
      <c r="F13137" s="2"/>
      <c r="G13137" s="2"/>
      <c r="H13137" s="2"/>
      <c r="I13137" s="2"/>
      <c r="J13137" s="2"/>
      <c r="K13137" s="2"/>
      <c r="L13137" s="2"/>
      <c r="M13137" s="2"/>
      <c r="N13137" s="2"/>
      <c r="O13137" s="2"/>
      <c r="P13137" s="2"/>
      <c r="Q13137" s="2"/>
      <c r="R13137" s="2"/>
      <c r="S13137" s="2"/>
      <c r="T13137" s="2"/>
      <c r="U13137" s="2"/>
      <c r="V13137" s="2"/>
      <c r="W13137" s="2"/>
      <c r="X13137" s="2"/>
      <c r="Y13137" s="2"/>
      <c r="Z13137" s="2"/>
    </row>
    <row r="13138" spans="1:26" ht="16.5" x14ac:dyDescent="0.35">
      <c r="A13138" s="2" t="str">
        <f ca="1">IFERROR(__xludf.DUMMYFUNCTION("""COMPUTED_VALUE"""),"Sharjah")</f>
        <v>Sharjah</v>
      </c>
      <c r="B13138" s="2" t="str">
        <f ca="1">IFERROR(__xludf.DUMMYFUNCTION("""COMPUTED_VALUE"""),"Al Dhaheri Building")</f>
        <v>Al Dhaheri Building</v>
      </c>
      <c r="C13138" s="2"/>
      <c r="D13138" s="2" t="str">
        <f ca="1">IFERROR(__xludf.DUMMYFUNCTION("""COMPUTED_VALUE"""),"Sharjah&gt;Al Taawun&gt;Al Dhaheri Building")</f>
        <v>Sharjah&gt;Al Taawun&gt;Al Dhaheri Building</v>
      </c>
      <c r="E13138" s="2"/>
      <c r="F13138" s="2"/>
      <c r="G13138" s="2"/>
      <c r="H13138" s="2"/>
      <c r="I13138" s="2"/>
      <c r="J13138" s="2"/>
      <c r="K13138" s="2"/>
      <c r="L13138" s="2"/>
      <c r="M13138" s="2"/>
      <c r="N13138" s="2"/>
      <c r="O13138" s="2"/>
      <c r="P13138" s="2"/>
      <c r="Q13138" s="2"/>
      <c r="R13138" s="2"/>
      <c r="S13138" s="2"/>
      <c r="T13138" s="2"/>
      <c r="U13138" s="2"/>
      <c r="V13138" s="2"/>
      <c r="W13138" s="2"/>
      <c r="X13138" s="2"/>
      <c r="Y13138" s="2"/>
      <c r="Z13138" s="2"/>
    </row>
    <row r="13139" spans="1:26" ht="16.5" x14ac:dyDescent="0.35">
      <c r="A13139" s="2" t="str">
        <f ca="1">IFERROR(__xludf.DUMMYFUNCTION("""COMPUTED_VALUE"""),"Sharjah")</f>
        <v>Sharjah</v>
      </c>
      <c r="B13139" s="2" t="str">
        <f ca="1">IFERROR(__xludf.DUMMYFUNCTION("""COMPUTED_VALUE"""),"Awad Ahmed Jazairi Building")</f>
        <v>Awad Ahmed Jazairi Building</v>
      </c>
      <c r="C13139" s="2" t="str">
        <f ca="1">IFERROR(__xludf.DUMMYFUNCTION("""COMPUTED_VALUE"""),"Building")</f>
        <v>Building</v>
      </c>
      <c r="D13139" s="2" t="str">
        <f ca="1">IFERROR(__xludf.DUMMYFUNCTION("""COMPUTED_VALUE"""),"Sharjah&gt;Al Taawun&gt;Awad Ahmed Jazairi Building")</f>
        <v>Sharjah&gt;Al Taawun&gt;Awad Ahmed Jazairi Building</v>
      </c>
      <c r="E13139" s="2"/>
      <c r="F13139" s="2"/>
      <c r="G13139" s="2"/>
      <c r="H13139" s="2"/>
      <c r="I13139" s="2"/>
      <c r="J13139" s="2"/>
      <c r="K13139" s="2"/>
      <c r="L13139" s="2"/>
      <c r="M13139" s="2"/>
      <c r="N13139" s="2"/>
      <c r="O13139" s="2"/>
      <c r="P13139" s="2"/>
      <c r="Q13139" s="2"/>
      <c r="R13139" s="2"/>
      <c r="S13139" s="2"/>
      <c r="T13139" s="2"/>
      <c r="U13139" s="2"/>
      <c r="V13139" s="2"/>
      <c r="W13139" s="2"/>
      <c r="X13139" s="2"/>
      <c r="Y13139" s="2"/>
      <c r="Z13139" s="2"/>
    </row>
    <row r="13140" spans="1:26" ht="16.5" x14ac:dyDescent="0.35">
      <c r="A13140" s="2" t="str">
        <f ca="1">IFERROR(__xludf.DUMMYFUNCTION("""COMPUTED_VALUE"""),"Sharjah")</f>
        <v>Sharjah</v>
      </c>
      <c r="B13140" s="2" t="str">
        <f ca="1">IFERROR(__xludf.DUMMYFUNCTION("""COMPUTED_VALUE"""),"Al Wazir")</f>
        <v>Al Wazir</v>
      </c>
      <c r="C13140" s="2"/>
      <c r="D13140" s="2" t="str">
        <f ca="1">IFERROR(__xludf.DUMMYFUNCTION("""COMPUTED_VALUE"""),"Sharjah&gt;Al Qasimia&gt;Al Nad&gt;Al Wazir")</f>
        <v>Sharjah&gt;Al Qasimia&gt;Al Nad&gt;Al Wazir</v>
      </c>
      <c r="E13140" s="2"/>
      <c r="F13140" s="2"/>
      <c r="G13140" s="2"/>
      <c r="H13140" s="2"/>
      <c r="I13140" s="2"/>
      <c r="J13140" s="2"/>
      <c r="K13140" s="2"/>
      <c r="L13140" s="2"/>
      <c r="M13140" s="2"/>
      <c r="N13140" s="2"/>
      <c r="O13140" s="2"/>
      <c r="P13140" s="2"/>
      <c r="Q13140" s="2"/>
      <c r="R13140" s="2"/>
      <c r="S13140" s="2"/>
      <c r="T13140" s="2"/>
      <c r="U13140" s="2"/>
      <c r="V13140" s="2"/>
      <c r="W13140" s="2"/>
      <c r="X13140" s="2"/>
      <c r="Y13140" s="2"/>
      <c r="Z13140" s="2"/>
    </row>
    <row r="13141" spans="1:26" ht="16.5" x14ac:dyDescent="0.35">
      <c r="A13141" s="2" t="str">
        <f ca="1">IFERROR(__xludf.DUMMYFUNCTION("""COMPUTED_VALUE"""),"Sharjah")</f>
        <v>Sharjah</v>
      </c>
      <c r="B13141" s="2" t="str">
        <f ca="1">IFERROR(__xludf.DUMMYFUNCTION("""COMPUTED_VALUE"""),"CG Office Building")</f>
        <v>CG Office Building</v>
      </c>
      <c r="C13141" s="2"/>
      <c r="D13141" s="2" t="str">
        <f ca="1">IFERROR(__xludf.DUMMYFUNCTION("""COMPUTED_VALUE"""),"Sharjah&gt;Al Qasimia&gt;Al Nad&gt;CG Office Building")</f>
        <v>Sharjah&gt;Al Qasimia&gt;Al Nad&gt;CG Office Building</v>
      </c>
      <c r="E13141" s="2"/>
      <c r="F13141" s="2"/>
      <c r="G13141" s="2"/>
      <c r="H13141" s="2"/>
      <c r="I13141" s="2"/>
      <c r="J13141" s="2"/>
      <c r="K13141" s="2"/>
      <c r="L13141" s="2"/>
      <c r="M13141" s="2"/>
      <c r="N13141" s="2"/>
      <c r="O13141" s="2"/>
      <c r="P13141" s="2"/>
      <c r="Q13141" s="2"/>
      <c r="R13141" s="2"/>
      <c r="S13141" s="2"/>
      <c r="T13141" s="2"/>
      <c r="U13141" s="2"/>
      <c r="V13141" s="2"/>
      <c r="W13141" s="2"/>
      <c r="X13141" s="2"/>
      <c r="Y13141" s="2"/>
      <c r="Z13141" s="2"/>
    </row>
    <row r="13142" spans="1:26" ht="16.5" x14ac:dyDescent="0.35">
      <c r="A13142" s="2" t="str">
        <f ca="1">IFERROR(__xludf.DUMMYFUNCTION("""COMPUTED_VALUE"""),"Sharjah")</f>
        <v>Sharjah</v>
      </c>
      <c r="B13142" s="2" t="str">
        <f ca="1">IFERROR(__xludf.DUMMYFUNCTION("""COMPUTED_VALUE"""),"Spark Residence Deluxe Hotel Aprtments")</f>
        <v>Spark Residence Deluxe Hotel Aprtments</v>
      </c>
      <c r="C13142" s="2"/>
      <c r="D13142" s="2" t="str">
        <f ca="1">IFERROR(__xludf.DUMMYFUNCTION("""COMPUTED_VALUE"""),"Sharjah&gt;Al Qasimia&gt;Al Nad&gt;Spark Residence Deluxe Hotel Aprtments")</f>
        <v>Sharjah&gt;Al Qasimia&gt;Al Nad&gt;Spark Residence Deluxe Hotel Aprtments</v>
      </c>
      <c r="E13142" s="2"/>
      <c r="F13142" s="2"/>
      <c r="G13142" s="2"/>
      <c r="H13142" s="2"/>
      <c r="I13142" s="2"/>
      <c r="J13142" s="2"/>
      <c r="K13142" s="2"/>
      <c r="L13142" s="2"/>
      <c r="M13142" s="2"/>
      <c r="N13142" s="2"/>
      <c r="O13142" s="2"/>
      <c r="P13142" s="2"/>
      <c r="Q13142" s="2"/>
      <c r="R13142" s="2"/>
      <c r="S13142" s="2"/>
      <c r="T13142" s="2"/>
      <c r="U13142" s="2"/>
      <c r="V13142" s="2"/>
      <c r="W13142" s="2"/>
      <c r="X13142" s="2"/>
      <c r="Y13142" s="2"/>
      <c r="Z13142" s="2"/>
    </row>
    <row r="13143" spans="1:26" ht="16.5" x14ac:dyDescent="0.35">
      <c r="A13143" s="2" t="str">
        <f ca="1">IFERROR(__xludf.DUMMYFUNCTION("""COMPUTED_VALUE"""),"Sharjah")</f>
        <v>Sharjah</v>
      </c>
      <c r="B13143" s="2" t="str">
        <f ca="1">IFERROR(__xludf.DUMMYFUNCTION("""COMPUTED_VALUE"""),"Arish Building")</f>
        <v>Arish Building</v>
      </c>
      <c r="C13143" s="2"/>
      <c r="D13143" s="2" t="str">
        <f ca="1">IFERROR(__xludf.DUMMYFUNCTION("""COMPUTED_VALUE"""),"Sharjah&gt;Al Nabba&gt;Arish Building")</f>
        <v>Sharjah&gt;Al Nabba&gt;Arish Building</v>
      </c>
      <c r="E13143" s="2"/>
      <c r="F13143" s="2"/>
      <c r="G13143" s="2"/>
      <c r="H13143" s="2"/>
      <c r="I13143" s="2"/>
      <c r="J13143" s="2"/>
      <c r="K13143" s="2"/>
      <c r="L13143" s="2"/>
      <c r="M13143" s="2"/>
      <c r="N13143" s="2"/>
      <c r="O13143" s="2"/>
      <c r="P13143" s="2"/>
      <c r="Q13143" s="2"/>
      <c r="R13143" s="2"/>
      <c r="S13143" s="2"/>
      <c r="T13143" s="2"/>
      <c r="U13143" s="2"/>
      <c r="V13143" s="2"/>
      <c r="W13143" s="2"/>
      <c r="X13143" s="2"/>
      <c r="Y13143" s="2"/>
      <c r="Z13143" s="2"/>
    </row>
    <row r="13144" spans="1:26" ht="16.5" x14ac:dyDescent="0.35">
      <c r="A13144" s="2" t="str">
        <f ca="1">IFERROR(__xludf.DUMMYFUNCTION("""COMPUTED_VALUE"""),"Sharjah")</f>
        <v>Sharjah</v>
      </c>
      <c r="B13144" s="2" t="str">
        <f ca="1">IFERROR(__xludf.DUMMYFUNCTION("""COMPUTED_VALUE"""),"Shaikh Laila Building")</f>
        <v>Shaikh Laila Building</v>
      </c>
      <c r="C13144" s="2"/>
      <c r="D13144" s="2" t="str">
        <f ca="1">IFERROR(__xludf.DUMMYFUNCTION("""COMPUTED_VALUE"""),"Sharjah&gt;Al Nabba&gt;Shaikh Laila Building")</f>
        <v>Sharjah&gt;Al Nabba&gt;Shaikh Laila Building</v>
      </c>
      <c r="E13144" s="2"/>
      <c r="F13144" s="2"/>
      <c r="G13144" s="2"/>
      <c r="H13144" s="2"/>
      <c r="I13144" s="2"/>
      <c r="J13144" s="2"/>
      <c r="K13144" s="2"/>
      <c r="L13144" s="2"/>
      <c r="M13144" s="2"/>
      <c r="N13144" s="2"/>
      <c r="O13144" s="2"/>
      <c r="P13144" s="2"/>
      <c r="Q13144" s="2"/>
      <c r="R13144" s="2"/>
      <c r="S13144" s="2"/>
      <c r="T13144" s="2"/>
      <c r="U13144" s="2"/>
      <c r="V13144" s="2"/>
      <c r="W13144" s="2"/>
      <c r="X13144" s="2"/>
      <c r="Y13144" s="2"/>
      <c r="Z13144" s="2"/>
    </row>
    <row r="13145" spans="1:26" ht="16.5" x14ac:dyDescent="0.35">
      <c r="A13145" s="2" t="str">
        <f ca="1">IFERROR(__xludf.DUMMYFUNCTION("""COMPUTED_VALUE"""),"Sharjah")</f>
        <v>Sharjah</v>
      </c>
      <c r="B13145" s="2" t="str">
        <f ca="1">IFERROR(__xludf.DUMMYFUNCTION("""COMPUTED_VALUE"""),"Awad Ahmad Al Jazairi Building")</f>
        <v>Awad Ahmad Al Jazairi Building</v>
      </c>
      <c r="C13145" s="2" t="str">
        <f ca="1">IFERROR(__xludf.DUMMYFUNCTION("""COMPUTED_VALUE"""),"Building")</f>
        <v>Building</v>
      </c>
      <c r="D13145" s="2" t="str">
        <f ca="1">IFERROR(__xludf.DUMMYFUNCTION("""COMPUTED_VALUE"""),"Sharjah&gt;Industrial Area&gt;Industrial Area 1&gt;Awad Ahmad Al Jazairi Building")</f>
        <v>Sharjah&gt;Industrial Area&gt;Industrial Area 1&gt;Awad Ahmad Al Jazairi Building</v>
      </c>
      <c r="E13145" s="2"/>
      <c r="F13145" s="2"/>
      <c r="G13145" s="2"/>
      <c r="H13145" s="2"/>
      <c r="I13145" s="2"/>
      <c r="J13145" s="2"/>
      <c r="K13145" s="2"/>
      <c r="L13145" s="2"/>
      <c r="M13145" s="2"/>
      <c r="N13145" s="2"/>
      <c r="O13145" s="2"/>
      <c r="P13145" s="2"/>
      <c r="Q13145" s="2"/>
      <c r="R13145" s="2"/>
      <c r="S13145" s="2"/>
      <c r="T13145" s="2"/>
      <c r="U13145" s="2"/>
      <c r="V13145" s="2"/>
      <c r="W13145" s="2"/>
      <c r="X13145" s="2"/>
      <c r="Y13145" s="2"/>
      <c r="Z13145" s="2"/>
    </row>
    <row r="13146" spans="1:26" ht="16.5" x14ac:dyDescent="0.35">
      <c r="A13146" s="2" t="str">
        <f ca="1">IFERROR(__xludf.DUMMYFUNCTION("""COMPUTED_VALUE"""),"Sharjah")</f>
        <v>Sharjah</v>
      </c>
      <c r="B13146" s="2" t="str">
        <f ca="1">IFERROR(__xludf.DUMMYFUNCTION("""COMPUTED_VALUE"""),"SW 4")</f>
        <v>SW 4</v>
      </c>
      <c r="C13146" s="2" t="str">
        <f ca="1">IFERROR(__xludf.DUMMYFUNCTION("""COMPUTED_VALUE"""),"Building")</f>
        <v>Building</v>
      </c>
      <c r="D13146" s="2" t="str">
        <f ca="1">IFERROR(__xludf.DUMMYFUNCTION("""COMPUTED_VALUE"""),"Sharjah&gt;Muwaileh&gt;Al Mamsha&gt;Souks Residential&gt;SW 4")</f>
        <v>Sharjah&gt;Muwaileh&gt;Al Mamsha&gt;Souks Residential&gt;SW 4</v>
      </c>
      <c r="E13146" s="2"/>
      <c r="F13146" s="2"/>
      <c r="G13146" s="2"/>
      <c r="H13146" s="2"/>
      <c r="I13146" s="2"/>
      <c r="J13146" s="2"/>
      <c r="K13146" s="2"/>
      <c r="L13146" s="2"/>
      <c r="M13146" s="2"/>
      <c r="N13146" s="2"/>
      <c r="O13146" s="2"/>
      <c r="P13146" s="2"/>
      <c r="Q13146" s="2"/>
      <c r="R13146" s="2"/>
      <c r="S13146" s="2"/>
      <c r="T13146" s="2"/>
      <c r="U13146" s="2"/>
      <c r="V13146" s="2"/>
      <c r="W13146" s="2"/>
      <c r="X13146" s="2"/>
      <c r="Y13146" s="2"/>
      <c r="Z13146" s="2"/>
    </row>
    <row r="13147" spans="1:26" ht="16.5" x14ac:dyDescent="0.35">
      <c r="A13147" s="2" t="str">
        <f ca="1">IFERROR(__xludf.DUMMYFUNCTION("""COMPUTED_VALUE"""),"Sharjah")</f>
        <v>Sharjah</v>
      </c>
      <c r="B13147" s="2" t="str">
        <f ca="1">IFERROR(__xludf.DUMMYFUNCTION("""COMPUTED_VALUE"""),"Suroor 4")</f>
        <v>Suroor 4</v>
      </c>
      <c r="C13147" s="2" t="str">
        <f ca="1">IFERROR(__xludf.DUMMYFUNCTION("""COMPUTED_VALUE"""),"Building")</f>
        <v>Building</v>
      </c>
      <c r="D13147" s="2" t="str">
        <f ca="1">IFERROR(__xludf.DUMMYFUNCTION("""COMPUTED_VALUE"""),"Sharjah&gt;Muwaileh&gt;Al Mamsha&gt;Suroor&gt;Suroor 4")</f>
        <v>Sharjah&gt;Muwaileh&gt;Al Mamsha&gt;Suroor&gt;Suroor 4</v>
      </c>
      <c r="E13147" s="2"/>
      <c r="F13147" s="2"/>
      <c r="G13147" s="2"/>
      <c r="H13147" s="2"/>
      <c r="I13147" s="2"/>
      <c r="J13147" s="2"/>
      <c r="K13147" s="2"/>
      <c r="L13147" s="2"/>
      <c r="M13147" s="2"/>
      <c r="N13147" s="2"/>
      <c r="O13147" s="2"/>
      <c r="P13147" s="2"/>
      <c r="Q13147" s="2"/>
      <c r="R13147" s="2"/>
      <c r="S13147" s="2"/>
      <c r="T13147" s="2"/>
      <c r="U13147" s="2"/>
      <c r="V13147" s="2"/>
      <c r="W13147" s="2"/>
      <c r="X13147" s="2"/>
      <c r="Y13147" s="2"/>
      <c r="Z13147" s="2"/>
    </row>
    <row r="13148" spans="1:26" ht="16.5" x14ac:dyDescent="0.35">
      <c r="A13148" s="2" t="str">
        <f ca="1">IFERROR(__xludf.DUMMYFUNCTION("""COMPUTED_VALUE"""),"Sharjah")</f>
        <v>Sharjah</v>
      </c>
      <c r="B13148" s="2" t="str">
        <f ca="1">IFERROR(__xludf.DUMMYFUNCTION("""COMPUTED_VALUE"""),"Al Rushed American School, Sharjah")</f>
        <v>Al Rushed American School, Sharjah</v>
      </c>
      <c r="C13148" s="2" t="str">
        <f ca="1">IFERROR(__xludf.DUMMYFUNCTION("""COMPUTED_VALUE"""),"School")</f>
        <v>School</v>
      </c>
      <c r="D13148" s="2" t="str">
        <f ca="1">IFERROR(__xludf.DUMMYFUNCTION("""COMPUTED_VALUE"""),"Sharjah&gt;Muwaileh Commercial&gt;Al Rushed American School, Sharjah")</f>
        <v>Sharjah&gt;Muwaileh Commercial&gt;Al Rushed American School, Sharjah</v>
      </c>
      <c r="E13148" s="2"/>
      <c r="F13148" s="2"/>
      <c r="G13148" s="2"/>
      <c r="H13148" s="2"/>
      <c r="I13148" s="2"/>
      <c r="J13148" s="2"/>
      <c r="K13148" s="2"/>
      <c r="L13148" s="2"/>
      <c r="M13148" s="2"/>
      <c r="N13148" s="2"/>
      <c r="O13148" s="2"/>
      <c r="P13148" s="2"/>
      <c r="Q13148" s="2"/>
      <c r="R13148" s="2"/>
      <c r="S13148" s="2"/>
      <c r="T13148" s="2"/>
      <c r="U13148" s="2"/>
      <c r="V13148" s="2"/>
      <c r="W13148" s="2"/>
      <c r="X13148" s="2"/>
      <c r="Y13148" s="2"/>
      <c r="Z13148" s="2"/>
    </row>
    <row r="13149" spans="1:26" ht="16.5" x14ac:dyDescent="0.35">
      <c r="A13149" s="2" t="str">
        <f ca="1">IFERROR(__xludf.DUMMYFUNCTION("""COMPUTED_VALUE"""),"Sharjah")</f>
        <v>Sharjah</v>
      </c>
      <c r="B13149" s="2" t="str">
        <f ca="1">IFERROR(__xludf.DUMMYFUNCTION("""COMPUTED_VALUE"""),"Building 1")</f>
        <v>Building 1</v>
      </c>
      <c r="C13149" s="2" t="str">
        <f ca="1">IFERROR(__xludf.DUMMYFUNCTION("""COMPUTED_VALUE"""),"Building")</f>
        <v>Building</v>
      </c>
      <c r="D13149" s="2" t="str">
        <f ca="1">IFERROR(__xludf.DUMMYFUNCTION("""COMPUTED_VALUE"""),"Sharjah&gt;Muwaileh Commercial&gt;Muweileh Community&gt;Building 1")</f>
        <v>Sharjah&gt;Muwaileh Commercial&gt;Muweileh Community&gt;Building 1</v>
      </c>
      <c r="E13149" s="2"/>
      <c r="F13149" s="2"/>
      <c r="G13149" s="2"/>
      <c r="H13149" s="2"/>
      <c r="I13149" s="2"/>
      <c r="J13149" s="2"/>
      <c r="K13149" s="2"/>
      <c r="L13149" s="2"/>
      <c r="M13149" s="2"/>
      <c r="N13149" s="2"/>
      <c r="O13149" s="2"/>
      <c r="P13149" s="2"/>
      <c r="Q13149" s="2"/>
      <c r="R13149" s="2"/>
      <c r="S13149" s="2"/>
      <c r="T13149" s="2"/>
      <c r="U13149" s="2"/>
      <c r="V13149" s="2"/>
      <c r="W13149" s="2"/>
      <c r="X13149" s="2"/>
      <c r="Y13149" s="2"/>
      <c r="Z13149" s="2"/>
    </row>
    <row r="13150" spans="1:26" ht="16.5" x14ac:dyDescent="0.35">
      <c r="A13150" s="2" t="str">
        <f ca="1">IFERROR(__xludf.DUMMYFUNCTION("""COMPUTED_VALUE"""),"Sharjah")</f>
        <v>Sharjah</v>
      </c>
      <c r="B13150" s="2" t="str">
        <f ca="1">IFERROR(__xludf.DUMMYFUNCTION("""COMPUTED_VALUE"""),"Olfah 5")</f>
        <v>Olfah 5</v>
      </c>
      <c r="C13150" s="2" t="str">
        <f ca="1">IFERROR(__xludf.DUMMYFUNCTION("""COMPUTED_VALUE"""),"Building")</f>
        <v>Building</v>
      </c>
      <c r="D13150" s="2" t="str">
        <f ca="1">IFERROR(__xludf.DUMMYFUNCTION("""COMPUTED_VALUE"""),"Sharjah&gt;Muwaileh Commercial&gt;Olfah&gt;Olfah 5")</f>
        <v>Sharjah&gt;Muwaileh Commercial&gt;Olfah&gt;Olfah 5</v>
      </c>
      <c r="E13150" s="2"/>
      <c r="F13150" s="2"/>
      <c r="G13150" s="2"/>
      <c r="H13150" s="2"/>
      <c r="I13150" s="2"/>
      <c r="J13150" s="2"/>
      <c r="K13150" s="2"/>
      <c r="L13150" s="2"/>
      <c r="M13150" s="2"/>
      <c r="N13150" s="2"/>
      <c r="O13150" s="2"/>
      <c r="P13150" s="2"/>
      <c r="Q13150" s="2"/>
      <c r="R13150" s="2"/>
      <c r="S13150" s="2"/>
      <c r="T13150" s="2"/>
      <c r="U13150" s="2"/>
      <c r="V13150" s="2"/>
      <c r="W13150" s="2"/>
      <c r="X13150" s="2"/>
      <c r="Y13150" s="2"/>
      <c r="Z13150" s="2"/>
    </row>
    <row r="13151" spans="1:26" ht="16.5" x14ac:dyDescent="0.35">
      <c r="A13151" s="2" t="str">
        <f ca="1">IFERROR(__xludf.DUMMYFUNCTION("""COMPUTED_VALUE"""),"Sharjah")</f>
        <v>Sharjah</v>
      </c>
      <c r="B13151" s="2" t="str">
        <f ca="1">IFERROR(__xludf.DUMMYFUNCTION("""COMPUTED_VALUE"""),"Building 541")</f>
        <v>Building 541</v>
      </c>
      <c r="C13151" s="2" t="str">
        <f ca="1">IFERROR(__xludf.DUMMYFUNCTION("""COMPUTED_VALUE"""),"Building")</f>
        <v>Building</v>
      </c>
      <c r="D13151" s="2" t="str">
        <f ca="1">IFERROR(__xludf.DUMMYFUNCTION("""COMPUTED_VALUE"""),"Sharjah&gt;Muwaileh Commercial&gt;Building 541")</f>
        <v>Sharjah&gt;Muwaileh Commercial&gt;Building 541</v>
      </c>
      <c r="E13151" s="2"/>
      <c r="F13151" s="2"/>
      <c r="G13151" s="2"/>
      <c r="H13151" s="2"/>
      <c r="I13151" s="2"/>
      <c r="J13151" s="2"/>
      <c r="K13151" s="2"/>
      <c r="L13151" s="2"/>
      <c r="M13151" s="2"/>
      <c r="N13151" s="2"/>
      <c r="O13151" s="2"/>
      <c r="P13151" s="2"/>
      <c r="Q13151" s="2"/>
      <c r="R13151" s="2"/>
      <c r="S13151" s="2"/>
      <c r="T13151" s="2"/>
      <c r="U13151" s="2"/>
      <c r="V13151" s="2"/>
      <c r="W13151" s="2"/>
      <c r="X13151" s="2"/>
      <c r="Y13151" s="2"/>
      <c r="Z13151" s="2"/>
    </row>
    <row r="13152" spans="1:26" ht="16.5" x14ac:dyDescent="0.35">
      <c r="A13152" s="2" t="str">
        <f ca="1">IFERROR(__xludf.DUMMYFUNCTION("""COMPUTED_VALUE"""),"Al Ain")</f>
        <v>Al Ain</v>
      </c>
      <c r="B13152" s="2" t="str">
        <f ca="1">IFERROR(__xludf.DUMMYFUNCTION("""COMPUTED_VALUE"""),"Al Ain Academy")</f>
        <v>Al Ain Academy</v>
      </c>
      <c r="C13152" s="2" t="str">
        <f ca="1">IFERROR(__xludf.DUMMYFUNCTION("""COMPUTED_VALUE"""),"School")</f>
        <v>School</v>
      </c>
      <c r="D13152" s="2" t="str">
        <f ca="1">IFERROR(__xludf.DUMMYFUNCTION("""COMPUTED_VALUE"""),"Al Ain&gt;Central District&gt;Al Ain Academy")</f>
        <v>Al Ain&gt;Central District&gt;Al Ain Academy</v>
      </c>
      <c r="E13152" s="2"/>
      <c r="F13152" s="2"/>
      <c r="G13152" s="2"/>
      <c r="H13152" s="2"/>
      <c r="I13152" s="2"/>
      <c r="J13152" s="2"/>
      <c r="K13152" s="2"/>
      <c r="L13152" s="2"/>
      <c r="M13152" s="2"/>
      <c r="N13152" s="2"/>
      <c r="O13152" s="2"/>
      <c r="P13152" s="2"/>
      <c r="Q13152" s="2"/>
      <c r="R13152" s="2"/>
      <c r="S13152" s="2"/>
      <c r="T13152" s="2"/>
      <c r="U13152" s="2"/>
      <c r="V13152" s="2"/>
      <c r="W13152" s="2"/>
      <c r="X13152" s="2"/>
      <c r="Y13152" s="2"/>
      <c r="Z13152" s="2"/>
    </row>
    <row r="13153" spans="1:26" ht="16.5" x14ac:dyDescent="0.35">
      <c r="A13153" s="2" t="str">
        <f ca="1">IFERROR(__xludf.DUMMYFUNCTION("""COMPUTED_VALUE"""),"Al Ain")</f>
        <v>Al Ain</v>
      </c>
      <c r="B13153" s="2" t="str">
        <f ca="1">IFERROR(__xludf.DUMMYFUNCTION("""COMPUTED_VALUE"""),"Al Muwaiji")</f>
        <v>Al Muwaiji</v>
      </c>
      <c r="C13153" s="2" t="str">
        <f ca="1">IFERROR(__xludf.DUMMYFUNCTION("""COMPUTED_VALUE"""),"Neighbourhood")</f>
        <v>Neighbourhood</v>
      </c>
      <c r="D13153" s="2" t="str">
        <f ca="1">IFERROR(__xludf.DUMMYFUNCTION("""COMPUTED_VALUE"""),"Al Ain&gt;Al Muwaiji")</f>
        <v>Al Ain&gt;Al Muwaiji</v>
      </c>
      <c r="E13153" s="2"/>
      <c r="F13153" s="2"/>
      <c r="G13153" s="2"/>
      <c r="H13153" s="2"/>
      <c r="I13153" s="2"/>
      <c r="J13153" s="2"/>
      <c r="K13153" s="2"/>
      <c r="L13153" s="2"/>
      <c r="M13153" s="2"/>
      <c r="N13153" s="2"/>
      <c r="O13153" s="2"/>
      <c r="P13153" s="2"/>
      <c r="Q13153" s="2"/>
      <c r="R13153" s="2"/>
      <c r="S13153" s="2"/>
      <c r="T13153" s="2"/>
      <c r="U13153" s="2"/>
      <c r="V13153" s="2"/>
      <c r="W13153" s="2"/>
      <c r="X13153" s="2"/>
      <c r="Y13153" s="2"/>
      <c r="Z13153" s="2"/>
    </row>
    <row r="13154" spans="1:26" ht="16.5" x14ac:dyDescent="0.35">
      <c r="A13154" s="2" t="str">
        <f ca="1">IFERROR(__xludf.DUMMYFUNCTION("""COMPUTED_VALUE"""),"Al Ain")</f>
        <v>Al Ain</v>
      </c>
      <c r="B13154" s="2" t="str">
        <f ca="1">IFERROR(__xludf.DUMMYFUNCTION("""COMPUTED_VALUE"""),"Al Dar Private School")</f>
        <v>Al Dar Private School</v>
      </c>
      <c r="C13154" s="2" t="str">
        <f ca="1">IFERROR(__xludf.DUMMYFUNCTION("""COMPUTED_VALUE"""),"School")</f>
        <v>School</v>
      </c>
      <c r="D13154" s="2" t="str">
        <f ca="1">IFERROR(__xludf.DUMMYFUNCTION("""COMPUTED_VALUE"""),"Al Ain&gt;Hili&gt;Al Dar Private School")</f>
        <v>Al Ain&gt;Hili&gt;Al Dar Private School</v>
      </c>
      <c r="E13154" s="2"/>
      <c r="F13154" s="2"/>
      <c r="G13154" s="2"/>
      <c r="H13154" s="2"/>
      <c r="I13154" s="2"/>
      <c r="J13154" s="2"/>
      <c r="K13154" s="2"/>
      <c r="L13154" s="2"/>
      <c r="M13154" s="2"/>
      <c r="N13154" s="2"/>
      <c r="O13154" s="2"/>
      <c r="P13154" s="2"/>
      <c r="Q13154" s="2"/>
      <c r="R13154" s="2"/>
      <c r="S13154" s="2"/>
      <c r="T13154" s="2"/>
      <c r="U13154" s="2"/>
      <c r="V13154" s="2"/>
      <c r="W13154" s="2"/>
      <c r="X13154" s="2"/>
      <c r="Y13154" s="2"/>
      <c r="Z13154" s="2"/>
    </row>
    <row r="13155" spans="1:26" ht="16.5" x14ac:dyDescent="0.35">
      <c r="A13155" s="2" t="str">
        <f ca="1">IFERROR(__xludf.DUMMYFUNCTION("""COMPUTED_VALUE"""),"Al Ain")</f>
        <v>Al Ain</v>
      </c>
      <c r="B13155" s="2" t="str">
        <f ca="1">IFERROR(__xludf.DUMMYFUNCTION("""COMPUTED_VALUE"""),"Eidan Al Ridda")</f>
        <v>Eidan Al Ridda</v>
      </c>
      <c r="C13155" s="2" t="str">
        <f ca="1">IFERROR(__xludf.DUMMYFUNCTION("""COMPUTED_VALUE"""),"Neighbourhood")</f>
        <v>Neighbourhood</v>
      </c>
      <c r="D13155" s="2" t="str">
        <f ca="1">IFERROR(__xludf.DUMMYFUNCTION("""COMPUTED_VALUE"""),"Al Ain&gt;Al Tiwayya&gt;Eidan Al Ridda")</f>
        <v>Al Ain&gt;Al Tiwayya&gt;Eidan Al Ridda</v>
      </c>
      <c r="E13155" s="2"/>
      <c r="F13155" s="2"/>
      <c r="G13155" s="2"/>
      <c r="H13155" s="2"/>
      <c r="I13155" s="2"/>
      <c r="J13155" s="2"/>
      <c r="K13155" s="2"/>
      <c r="L13155" s="2"/>
      <c r="M13155" s="2"/>
      <c r="N13155" s="2"/>
      <c r="O13155" s="2"/>
      <c r="P13155" s="2"/>
      <c r="Q13155" s="2"/>
      <c r="R13155" s="2"/>
      <c r="S13155" s="2"/>
      <c r="T13155" s="2"/>
      <c r="U13155" s="2"/>
      <c r="V13155" s="2"/>
      <c r="W13155" s="2"/>
      <c r="X13155" s="2"/>
      <c r="Y13155" s="2"/>
      <c r="Z13155" s="2"/>
    </row>
    <row r="13156" spans="1:26" ht="16.5" x14ac:dyDescent="0.35">
      <c r="A13156" s="2" t="str">
        <f ca="1">IFERROR(__xludf.DUMMYFUNCTION("""COMPUTED_VALUE"""),"Al Ain")</f>
        <v>Al Ain</v>
      </c>
      <c r="B13156" s="2" t="str">
        <f ca="1">IFERROR(__xludf.DUMMYFUNCTION("""COMPUTED_VALUE"""),"Al Marayegh")</f>
        <v>Al Marayegh</v>
      </c>
      <c r="C13156" s="2" t="str">
        <f ca="1">IFERROR(__xludf.DUMMYFUNCTION("""COMPUTED_VALUE"""),"Neighbourhood")</f>
        <v>Neighbourhood</v>
      </c>
      <c r="D13156" s="2" t="str">
        <f ca="1">IFERROR(__xludf.DUMMYFUNCTION("""COMPUTED_VALUE"""),"Al Ain&gt;Al Jahili&gt;Al Marayegh")</f>
        <v>Al Ain&gt;Al Jahili&gt;Al Marayegh</v>
      </c>
      <c r="E13156" s="2"/>
      <c r="F13156" s="2"/>
      <c r="G13156" s="2"/>
      <c r="H13156" s="2"/>
      <c r="I13156" s="2"/>
      <c r="J13156" s="2"/>
      <c r="K13156" s="2"/>
      <c r="L13156" s="2"/>
      <c r="M13156" s="2"/>
      <c r="N13156" s="2"/>
      <c r="O13156" s="2"/>
      <c r="P13156" s="2"/>
      <c r="Q13156" s="2"/>
      <c r="R13156" s="2"/>
      <c r="S13156" s="2"/>
      <c r="T13156" s="2"/>
      <c r="U13156" s="2"/>
      <c r="V13156" s="2"/>
      <c r="W13156" s="2"/>
      <c r="X13156" s="2"/>
      <c r="Y13156" s="2"/>
      <c r="Z13156" s="2"/>
    </row>
    <row r="13157" spans="1:26" ht="16.5" x14ac:dyDescent="0.35">
      <c r="A13157" s="2" t="str">
        <f ca="1">IFERROR(__xludf.DUMMYFUNCTION("""COMPUTED_VALUE"""),"Al Ain")</f>
        <v>Al Ain</v>
      </c>
      <c r="B13157" s="2" t="str">
        <f ca="1">IFERROR(__xludf.DUMMYFUNCTION("""COMPUTED_VALUE"""),"Al Wiqan")</f>
        <v>Al Wiqan</v>
      </c>
      <c r="C13157" s="2" t="str">
        <f ca="1">IFERROR(__xludf.DUMMYFUNCTION("""COMPUTED_VALUE"""),"Neighbourhood")</f>
        <v>Neighbourhood</v>
      </c>
      <c r="D13157" s="2" t="str">
        <f ca="1">IFERROR(__xludf.DUMMYFUNCTION("""COMPUTED_VALUE"""),"Al Ain&gt;Al Wiqan")</f>
        <v>Al Ain&gt;Al Wiqan</v>
      </c>
      <c r="E13157" s="2"/>
      <c r="F13157" s="2"/>
      <c r="G13157" s="2"/>
      <c r="H13157" s="2"/>
      <c r="I13157" s="2"/>
      <c r="J13157" s="2"/>
      <c r="K13157" s="2"/>
      <c r="L13157" s="2"/>
      <c r="M13157" s="2"/>
      <c r="N13157" s="2"/>
      <c r="O13157" s="2"/>
      <c r="P13157" s="2"/>
      <c r="Q13157" s="2"/>
      <c r="R13157" s="2"/>
      <c r="S13157" s="2"/>
      <c r="T13157" s="2"/>
      <c r="U13157" s="2"/>
      <c r="V13157" s="2"/>
      <c r="W13157" s="2"/>
      <c r="X13157" s="2"/>
      <c r="Y13157" s="2"/>
      <c r="Z13157" s="2"/>
    </row>
    <row r="13158" spans="1:26" ht="16.5" x14ac:dyDescent="0.35">
      <c r="A13158" s="2" t="str">
        <f ca="1">IFERROR(__xludf.DUMMYFUNCTION("""COMPUTED_VALUE"""),"Ras Al Khaimah")</f>
        <v>Ras Al Khaimah</v>
      </c>
      <c r="B13158" s="2" t="str">
        <f ca="1">IFERROR(__xludf.DUMMYFUNCTION("""COMPUTED_VALUE"""),"Hayat Island")</f>
        <v>Hayat Island</v>
      </c>
      <c r="C13158" s="2" t="str">
        <f ca="1">IFERROR(__xludf.DUMMYFUNCTION("""COMPUTED_VALUE"""),"Neighbourhood")</f>
        <v>Neighbourhood</v>
      </c>
      <c r="D13158" s="2" t="str">
        <f ca="1">IFERROR(__xludf.DUMMYFUNCTION("""COMPUTED_VALUE"""),"Ras Al Khaimah&gt;Mina Al Arab&gt;Hayat Island")</f>
        <v>Ras Al Khaimah&gt;Mina Al Arab&gt;Hayat Island</v>
      </c>
      <c r="E13158" s="2"/>
      <c r="F13158" s="2"/>
      <c r="G13158" s="2"/>
      <c r="H13158" s="2"/>
      <c r="I13158" s="2"/>
      <c r="J13158" s="2"/>
      <c r="K13158" s="2"/>
      <c r="L13158" s="2"/>
      <c r="M13158" s="2"/>
      <c r="N13158" s="2"/>
      <c r="O13158" s="2"/>
      <c r="P13158" s="2"/>
      <c r="Q13158" s="2"/>
      <c r="R13158" s="2"/>
      <c r="S13158" s="2"/>
      <c r="T13158" s="2"/>
      <c r="U13158" s="2"/>
      <c r="V13158" s="2"/>
      <c r="W13158" s="2"/>
      <c r="X13158" s="2"/>
      <c r="Y13158" s="2"/>
      <c r="Z13158" s="2"/>
    </row>
    <row r="13159" spans="1:26" ht="16.5" x14ac:dyDescent="0.35">
      <c r="A13159" s="2" t="str">
        <f ca="1">IFERROR(__xludf.DUMMYFUNCTION("""COMPUTED_VALUE"""),"Ras Al Khaimah")</f>
        <v>Ras Al Khaimah</v>
      </c>
      <c r="B13159" s="2" t="str">
        <f ca="1">IFERROR(__xludf.DUMMYFUNCTION("""COMPUTED_VALUE"""),"Pacific")</f>
        <v>Pacific</v>
      </c>
      <c r="C13159" s="2" t="str">
        <f ca="1">IFERROR(__xludf.DUMMYFUNCTION("""COMPUTED_VALUE"""),"Cluster")</f>
        <v>Cluster</v>
      </c>
      <c r="D13159" s="2" t="str">
        <f ca="1">IFERROR(__xludf.DUMMYFUNCTION("""COMPUTED_VALUE"""),"Ras Al Khaimah&gt;Al Marjan Island&gt;Pacific")</f>
        <v>Ras Al Khaimah&gt;Al Marjan Island&gt;Pacific</v>
      </c>
      <c r="E13159" s="2"/>
      <c r="F13159" s="2"/>
      <c r="G13159" s="2"/>
      <c r="H13159" s="2"/>
      <c r="I13159" s="2"/>
      <c r="J13159" s="2"/>
      <c r="K13159" s="2"/>
      <c r="L13159" s="2"/>
      <c r="M13159" s="2"/>
      <c r="N13159" s="2"/>
      <c r="O13159" s="2"/>
      <c r="P13159" s="2"/>
      <c r="Q13159" s="2"/>
      <c r="R13159" s="2"/>
      <c r="S13159" s="2"/>
      <c r="T13159" s="2"/>
      <c r="U13159" s="2"/>
      <c r="V13159" s="2"/>
      <c r="W13159" s="2"/>
      <c r="X13159" s="2"/>
      <c r="Y13159" s="2"/>
      <c r="Z13159" s="2"/>
    </row>
    <row r="13160" spans="1:26" ht="16.5" x14ac:dyDescent="0.35">
      <c r="A13160" s="2" t="str">
        <f ca="1">IFERROR(__xludf.DUMMYFUNCTION("""COMPUTED_VALUE"""),"Ras Al Khaimah")</f>
        <v>Ras Al Khaimah</v>
      </c>
      <c r="B13160" s="2" t="str">
        <f ca="1">IFERROR(__xludf.DUMMYFUNCTION("""COMPUTED_VALUE"""),"Park Beach Residences")</f>
        <v>Park Beach Residences</v>
      </c>
      <c r="C13160" s="2" t="str">
        <f ca="1">IFERROR(__xludf.DUMMYFUNCTION("""COMPUTED_VALUE"""),"Cluster")</f>
        <v>Cluster</v>
      </c>
      <c r="D13160" s="2" t="str">
        <f ca="1">IFERROR(__xludf.DUMMYFUNCTION("""COMPUTED_VALUE"""),"Ras Al Khaimah&gt;Al Marjan Island&gt;Park Beach Residences")</f>
        <v>Ras Al Khaimah&gt;Al Marjan Island&gt;Park Beach Residences</v>
      </c>
      <c r="E13160" s="2"/>
      <c r="F13160" s="2"/>
      <c r="G13160" s="2"/>
      <c r="H13160" s="2"/>
      <c r="I13160" s="2"/>
      <c r="J13160" s="2"/>
      <c r="K13160" s="2"/>
      <c r="L13160" s="2"/>
      <c r="M13160" s="2"/>
      <c r="N13160" s="2"/>
      <c r="O13160" s="2"/>
      <c r="P13160" s="2"/>
      <c r="Q13160" s="2"/>
      <c r="R13160" s="2"/>
      <c r="S13160" s="2"/>
      <c r="T13160" s="2"/>
      <c r="U13160" s="2"/>
      <c r="V13160" s="2"/>
      <c r="W13160" s="2"/>
      <c r="X13160" s="2"/>
      <c r="Y13160" s="2"/>
      <c r="Z13160" s="2"/>
    </row>
    <row r="13161" spans="1:26" ht="16.5" x14ac:dyDescent="0.35">
      <c r="A13161" s="2" t="str">
        <f ca="1">IFERROR(__xludf.DUMMYFUNCTION("""COMPUTED_VALUE"""),"Ras Al Khaimah")</f>
        <v>Ras Al Khaimah</v>
      </c>
      <c r="B13161" s="2" t="str">
        <f ca="1">IFERROR(__xludf.DUMMYFUNCTION("""COMPUTED_VALUE"""),"Gianfranco Ferre Residences")</f>
        <v>Gianfranco Ferre Residences</v>
      </c>
      <c r="C13161" s="2" t="str">
        <f ca="1">IFERROR(__xludf.DUMMYFUNCTION("""COMPUTED_VALUE"""),"Building")</f>
        <v>Building</v>
      </c>
      <c r="D13161" s="2" t="str">
        <f ca="1">IFERROR(__xludf.DUMMYFUNCTION("""COMPUTED_VALUE"""),"Ras Al Khaimah&gt;Al Marjan Island&gt;Gianfranco Ferre Residences")</f>
        <v>Ras Al Khaimah&gt;Al Marjan Island&gt;Gianfranco Ferre Residences</v>
      </c>
      <c r="E13161" s="2"/>
      <c r="F13161" s="2"/>
      <c r="G13161" s="2"/>
      <c r="H13161" s="2"/>
      <c r="I13161" s="2"/>
      <c r="J13161" s="2"/>
      <c r="K13161" s="2"/>
      <c r="L13161" s="2"/>
      <c r="M13161" s="2"/>
      <c r="N13161" s="2"/>
      <c r="O13161" s="2"/>
      <c r="P13161" s="2"/>
      <c r="Q13161" s="2"/>
      <c r="R13161" s="2"/>
      <c r="S13161" s="2"/>
      <c r="T13161" s="2"/>
      <c r="U13161" s="2"/>
      <c r="V13161" s="2"/>
      <c r="W13161" s="2"/>
      <c r="X13161" s="2"/>
      <c r="Y13161" s="2"/>
      <c r="Z13161" s="2"/>
    </row>
    <row r="13162" spans="1:26" ht="16.5" x14ac:dyDescent="0.35">
      <c r="A13162" s="2" t="str">
        <f ca="1">IFERROR(__xludf.DUMMYFUNCTION("""COMPUTED_VALUE"""),"Ras Al Khaimah")</f>
        <v>Ras Al Khaimah</v>
      </c>
      <c r="B13162" s="2" t="str">
        <f ca="1">IFERROR(__xludf.DUMMYFUNCTION("""COMPUTED_VALUE"""),"Al Hamra Palace Hotel")</f>
        <v>Al Hamra Palace Hotel</v>
      </c>
      <c r="C13162" s="2"/>
      <c r="D13162" s="2" t="str">
        <f ca="1">IFERROR(__xludf.DUMMYFUNCTION("""COMPUTED_VALUE"""),"Ras Al Khaimah&gt;Al Hamra Village&gt;Al Hamra Palace Hotel")</f>
        <v>Ras Al Khaimah&gt;Al Hamra Village&gt;Al Hamra Palace Hotel</v>
      </c>
      <c r="E13162" s="2"/>
      <c r="F13162" s="2"/>
      <c r="G13162" s="2"/>
      <c r="H13162" s="2"/>
      <c r="I13162" s="2"/>
      <c r="J13162" s="2"/>
      <c r="K13162" s="2"/>
      <c r="L13162" s="2"/>
      <c r="M13162" s="2"/>
      <c r="N13162" s="2"/>
      <c r="O13162" s="2"/>
      <c r="P13162" s="2"/>
      <c r="Q13162" s="2"/>
      <c r="R13162" s="2"/>
      <c r="S13162" s="2"/>
      <c r="T13162" s="2"/>
      <c r="U13162" s="2"/>
      <c r="V13162" s="2"/>
      <c r="W13162" s="2"/>
      <c r="X13162" s="2"/>
      <c r="Y13162" s="2"/>
      <c r="Z13162" s="2"/>
    </row>
    <row r="13163" spans="1:26" ht="16.5" x14ac:dyDescent="0.35">
      <c r="A13163" s="2" t="str">
        <f ca="1">IFERROR(__xludf.DUMMYFUNCTION("""COMPUTED_VALUE"""),"Ras Al Khaimah")</f>
        <v>Ras Al Khaimah</v>
      </c>
      <c r="B13163" s="2" t="str">
        <f ca="1">IFERROR(__xludf.DUMMYFUNCTION("""COMPUTED_VALUE"""),"Yasmin Village Building 11")</f>
        <v>Yasmin Village Building 11</v>
      </c>
      <c r="C13163" s="2" t="str">
        <f ca="1">IFERROR(__xludf.DUMMYFUNCTION("""COMPUTED_VALUE"""),"Building")</f>
        <v>Building</v>
      </c>
      <c r="D13163" s="2" t="str">
        <f ca="1">IFERROR(__xludf.DUMMYFUNCTION("""COMPUTED_VALUE"""),"Ras Al Khaimah&gt;Yasmin Village&gt;Yasmin Village Building 11")</f>
        <v>Ras Al Khaimah&gt;Yasmin Village&gt;Yasmin Village Building 11</v>
      </c>
      <c r="E13163" s="2"/>
      <c r="F13163" s="2"/>
      <c r="G13163" s="2"/>
      <c r="H13163" s="2"/>
      <c r="I13163" s="2"/>
      <c r="J13163" s="2"/>
      <c r="K13163" s="2"/>
      <c r="L13163" s="2"/>
      <c r="M13163" s="2"/>
      <c r="N13163" s="2"/>
      <c r="O13163" s="2"/>
      <c r="P13163" s="2"/>
      <c r="Q13163" s="2"/>
      <c r="R13163" s="2"/>
      <c r="S13163" s="2"/>
      <c r="T13163" s="2"/>
      <c r="U13163" s="2"/>
      <c r="V13163" s="2"/>
      <c r="W13163" s="2"/>
      <c r="X13163" s="2"/>
      <c r="Y13163" s="2"/>
      <c r="Z13163" s="2"/>
    </row>
    <row r="13164" spans="1:26" ht="16.5" x14ac:dyDescent="0.35">
      <c r="A13164" s="2" t="str">
        <f ca="1">IFERROR(__xludf.DUMMYFUNCTION("""COMPUTED_VALUE"""),"Ras Al Khaimah")</f>
        <v>Ras Al Khaimah</v>
      </c>
      <c r="B13164" s="2" t="str">
        <f ca="1">IFERROR(__xludf.DUMMYFUNCTION("""COMPUTED_VALUE"""),"Al Degdaga")</f>
        <v>Al Degdaga</v>
      </c>
      <c r="C13164" s="2"/>
      <c r="D13164" s="2" t="str">
        <f ca="1">IFERROR(__xludf.DUMMYFUNCTION("""COMPUTED_VALUE"""),"Ras Al Khaimah&gt;Al Degdaga")</f>
        <v>Ras Al Khaimah&gt;Al Degdaga</v>
      </c>
      <c r="E13164" s="2"/>
      <c r="F13164" s="2"/>
      <c r="G13164" s="2"/>
      <c r="H13164" s="2"/>
      <c r="I13164" s="2"/>
      <c r="J13164" s="2"/>
      <c r="K13164" s="2"/>
      <c r="L13164" s="2"/>
      <c r="M13164" s="2"/>
      <c r="N13164" s="2"/>
      <c r="O13164" s="2"/>
      <c r="P13164" s="2"/>
      <c r="Q13164" s="2"/>
      <c r="R13164" s="2"/>
      <c r="S13164" s="2"/>
      <c r="T13164" s="2"/>
      <c r="U13164" s="2"/>
      <c r="V13164" s="2"/>
      <c r="W13164" s="2"/>
      <c r="X13164" s="2"/>
      <c r="Y13164" s="2"/>
      <c r="Z13164" s="2"/>
    </row>
    <row r="13165" spans="1:26" ht="16.5" x14ac:dyDescent="0.35">
      <c r="A13165" s="2" t="str">
        <f ca="1">IFERROR(__xludf.DUMMYFUNCTION("""COMPUTED_VALUE"""),"Ras Al Khaimah")</f>
        <v>Ras Al Khaimah</v>
      </c>
      <c r="B13165" s="2" t="str">
        <f ca="1">IFERROR(__xludf.DUMMYFUNCTION("""COMPUTED_VALUE"""),"Al Howaelat")</f>
        <v>Al Howaelat</v>
      </c>
      <c r="C13165" s="2"/>
      <c r="D13165" s="2" t="str">
        <f ca="1">IFERROR(__xludf.DUMMYFUNCTION("""COMPUTED_VALUE"""),"Ras Al Khaimah&gt;Al Howaelat")</f>
        <v>Ras Al Khaimah&gt;Al Howaelat</v>
      </c>
      <c r="E13165" s="2"/>
      <c r="F13165" s="2"/>
      <c r="G13165" s="2"/>
      <c r="H13165" s="2"/>
      <c r="I13165" s="2"/>
      <c r="J13165" s="2"/>
      <c r="K13165" s="2"/>
      <c r="L13165" s="2"/>
      <c r="M13165" s="2"/>
      <c r="N13165" s="2"/>
      <c r="O13165" s="2"/>
      <c r="P13165" s="2"/>
      <c r="Q13165" s="2"/>
      <c r="R13165" s="2"/>
      <c r="S13165" s="2"/>
      <c r="T13165" s="2"/>
      <c r="U13165" s="2"/>
      <c r="V13165" s="2"/>
      <c r="W13165" s="2"/>
      <c r="X13165" s="2"/>
      <c r="Y13165" s="2"/>
      <c r="Z13165" s="2"/>
    </row>
    <row r="13166" spans="1:26" ht="16.5" x14ac:dyDescent="0.35">
      <c r="A13166" s="2" t="str">
        <f ca="1">IFERROR(__xludf.DUMMYFUNCTION("""COMPUTED_VALUE"""),"Ras Al Khaimah")</f>
        <v>Ras Al Khaimah</v>
      </c>
      <c r="B13166" s="2" t="str">
        <f ca="1">IFERROR(__xludf.DUMMYFUNCTION("""COMPUTED_VALUE"""),"Wadi Al Naqab")</f>
        <v>Wadi Al Naqab</v>
      </c>
      <c r="C13166" s="2"/>
      <c r="D13166" s="2" t="str">
        <f ca="1">IFERROR(__xludf.DUMMYFUNCTION("""COMPUTED_VALUE"""),"Ras Al Khaimah&gt;Wadi Al Naqab")</f>
        <v>Ras Al Khaimah&gt;Wadi Al Naqab</v>
      </c>
      <c r="E13166" s="2"/>
      <c r="F13166" s="2"/>
      <c r="G13166" s="2"/>
      <c r="H13166" s="2"/>
      <c r="I13166" s="2"/>
      <c r="J13166" s="2"/>
      <c r="K13166" s="2"/>
      <c r="L13166" s="2"/>
      <c r="M13166" s="2"/>
      <c r="N13166" s="2"/>
      <c r="O13166" s="2"/>
      <c r="P13166" s="2"/>
      <c r="Q13166" s="2"/>
      <c r="R13166" s="2"/>
      <c r="S13166" s="2"/>
      <c r="T13166" s="2"/>
      <c r="U13166" s="2"/>
      <c r="V13166" s="2"/>
      <c r="W13166" s="2"/>
      <c r="X13166" s="2"/>
      <c r="Y13166" s="2"/>
      <c r="Z13166" s="2"/>
    </row>
    <row r="13167" spans="1:26" ht="16.5" x14ac:dyDescent="0.35">
      <c r="A13167" s="2" t="str">
        <f ca="1">IFERROR(__xludf.DUMMYFUNCTION("""COMPUTED_VALUE"""),"Umm Al Quwain")</f>
        <v>Umm Al Quwain</v>
      </c>
      <c r="B13167" s="2" t="str">
        <f ca="1">IFERROR(__xludf.DUMMYFUNCTION("""COMPUTED_VALUE"""),"Mistral Villas")</f>
        <v>Mistral Villas</v>
      </c>
      <c r="C13167" s="2"/>
      <c r="D13167" s="2" t="str">
        <f ca="1">IFERROR(__xludf.DUMMYFUNCTION("""COMPUTED_VALUE"""),"Umm Al Quwain&gt;Umm Al Quwain Marina&gt;Mistral Villas")</f>
        <v>Umm Al Quwain&gt;Umm Al Quwain Marina&gt;Mistral Villas</v>
      </c>
      <c r="E13167" s="2"/>
      <c r="F13167" s="2"/>
      <c r="G13167" s="2"/>
      <c r="H13167" s="2"/>
      <c r="I13167" s="2"/>
      <c r="J13167" s="2"/>
      <c r="K13167" s="2"/>
      <c r="L13167" s="2"/>
      <c r="M13167" s="2"/>
      <c r="N13167" s="2"/>
      <c r="O13167" s="2"/>
      <c r="P13167" s="2"/>
      <c r="Q13167" s="2"/>
      <c r="R13167" s="2"/>
      <c r="S13167" s="2"/>
      <c r="T13167" s="2"/>
      <c r="U13167" s="2"/>
      <c r="V13167" s="2"/>
      <c r="W13167" s="2"/>
      <c r="X13167" s="2"/>
      <c r="Y13167" s="2"/>
      <c r="Z13167" s="2"/>
    </row>
    <row r="13168" spans="1:26" ht="16.5" x14ac:dyDescent="0.35">
      <c r="A13168" s="2" t="str">
        <f ca="1">IFERROR(__xludf.DUMMYFUNCTION("""COMPUTED_VALUE"""),"Umm Al Quwain")</f>
        <v>Umm Al Quwain</v>
      </c>
      <c r="B13168" s="2" t="str">
        <f ca="1">IFERROR(__xludf.DUMMYFUNCTION("""COMPUTED_VALUE"""),"Old Town Area")</f>
        <v>Old Town Area</v>
      </c>
      <c r="C13168" s="2" t="str">
        <f ca="1">IFERROR(__xludf.DUMMYFUNCTION("""COMPUTED_VALUE"""),"Neighbourhood")</f>
        <v>Neighbourhood</v>
      </c>
      <c r="D13168" s="2" t="str">
        <f ca="1">IFERROR(__xludf.DUMMYFUNCTION("""COMPUTED_VALUE"""),"Umm Al Quwain&gt;Old Town Area")</f>
        <v>Umm Al Quwain&gt;Old Town Area</v>
      </c>
      <c r="E13168" s="2"/>
      <c r="F13168" s="2"/>
      <c r="G13168" s="2"/>
      <c r="H13168" s="2"/>
      <c r="I13168" s="2"/>
      <c r="J13168" s="2"/>
      <c r="K13168" s="2"/>
      <c r="L13168" s="2"/>
      <c r="M13168" s="2"/>
      <c r="N13168" s="2"/>
      <c r="O13168" s="2"/>
      <c r="P13168" s="2"/>
      <c r="Q13168" s="2"/>
      <c r="R13168" s="2"/>
      <c r="S13168" s="2"/>
      <c r="T13168" s="2"/>
      <c r="U13168" s="2"/>
      <c r="V13168" s="2"/>
      <c r="W13168" s="2"/>
      <c r="X13168" s="2"/>
      <c r="Y13168" s="2"/>
      <c r="Z13168" s="2"/>
    </row>
    <row r="13169" spans="1:26" ht="16.5" x14ac:dyDescent="0.35">
      <c r="A13169" s="2" t="str">
        <f ca="1">IFERROR(__xludf.DUMMYFUNCTION("""COMPUTED_VALUE"""),"Umm Al Quwain")</f>
        <v>Umm Al Quwain</v>
      </c>
      <c r="B13169" s="2" t="str">
        <f ca="1">IFERROR(__xludf.DUMMYFUNCTION("""COMPUTED_VALUE"""),"Aquamarine Beach Residences Tower A")</f>
        <v>Aquamarine Beach Residences Tower A</v>
      </c>
      <c r="C13169" s="2" t="str">
        <f ca="1">IFERROR(__xludf.DUMMYFUNCTION("""COMPUTED_VALUE"""),"Building")</f>
        <v>Building</v>
      </c>
      <c r="D13169" s="2" t="str">
        <f ca="1">IFERROR(__xludf.DUMMYFUNCTION("""COMPUTED_VALUE"""),"Umm Al Quwain&gt;Al Seanneeah&gt;Sobha Siniya Island&gt;Aquamarine Beach Residences&gt;Aquamarine Beach Residences Tower A")</f>
        <v>Umm Al Quwain&gt;Al Seanneeah&gt;Sobha Siniya Island&gt;Aquamarine Beach Residences&gt;Aquamarine Beach Residences Tower A</v>
      </c>
      <c r="E13169" s="2"/>
      <c r="F13169" s="2"/>
      <c r="G13169" s="2"/>
      <c r="H13169" s="2"/>
      <c r="I13169" s="2"/>
      <c r="J13169" s="2"/>
      <c r="K13169" s="2"/>
      <c r="L13169" s="2"/>
      <c r="M13169" s="2"/>
      <c r="N13169" s="2"/>
      <c r="O13169" s="2"/>
      <c r="P13169" s="2"/>
      <c r="Q13169" s="2"/>
      <c r="R13169" s="2"/>
      <c r="S13169" s="2"/>
      <c r="T13169" s="2"/>
      <c r="U13169" s="2"/>
      <c r="V13169" s="2"/>
      <c r="W13169" s="2"/>
      <c r="X13169" s="2"/>
      <c r="Y13169" s="2"/>
      <c r="Z13169" s="2"/>
    </row>
    <row r="13170" spans="1:26" ht="16.5" x14ac:dyDescent="0.35">
      <c r="A13170" s="2" t="str">
        <f ca="1">IFERROR(__xludf.DUMMYFUNCTION("""COMPUTED_VALUE"""),"Umm Al Quwain")</f>
        <v>Umm Al Quwain</v>
      </c>
      <c r="B13170" s="2" t="str">
        <f ca="1">IFERROR(__xludf.DUMMYFUNCTION("""COMPUTED_VALUE"""),"Pristine Beach Residences Tower A")</f>
        <v>Pristine Beach Residences Tower A</v>
      </c>
      <c r="C13170" s="2" t="str">
        <f ca="1">IFERROR(__xludf.DUMMYFUNCTION("""COMPUTED_VALUE"""),"Building")</f>
        <v>Building</v>
      </c>
      <c r="D13170" s="2" t="str">
        <f ca="1">IFERROR(__xludf.DUMMYFUNCTION("""COMPUTED_VALUE"""),"Umm Al Quwain&gt;Al Seanneeah&gt;Sobha Siniya Island&gt;Pristine Beach Residences&gt;Pristine Beach Residences Tower A")</f>
        <v>Umm Al Quwain&gt;Al Seanneeah&gt;Sobha Siniya Island&gt;Pristine Beach Residences&gt;Pristine Beach Residences Tower A</v>
      </c>
      <c r="E13170" s="2"/>
      <c r="F13170" s="2"/>
      <c r="G13170" s="2"/>
      <c r="H13170" s="2"/>
      <c r="I13170" s="2"/>
      <c r="J13170" s="2"/>
      <c r="K13170" s="2"/>
      <c r="L13170" s="2"/>
      <c r="M13170" s="2"/>
      <c r="N13170" s="2"/>
      <c r="O13170" s="2"/>
      <c r="P13170" s="2"/>
      <c r="Q13170" s="2"/>
      <c r="R13170" s="2"/>
      <c r="S13170" s="2"/>
      <c r="T13170" s="2"/>
      <c r="U13170" s="2"/>
      <c r="V13170" s="2"/>
      <c r="W13170" s="2"/>
      <c r="X13170" s="2"/>
      <c r="Y13170" s="2"/>
      <c r="Z13170" s="2"/>
    </row>
    <row r="13171" spans="1:26" ht="16.5" x14ac:dyDescent="0.35">
      <c r="A13171" s="2" t="str">
        <f ca="1">IFERROR(__xludf.DUMMYFUNCTION("""COMPUTED_VALUE"""),"Fujairah")</f>
        <v>Fujairah</v>
      </c>
      <c r="B13171" s="2" t="str">
        <f ca="1">IFERROR(__xludf.DUMMYFUNCTION("""COMPUTED_VALUE"""),"Al Masaood Showroom Building")</f>
        <v>Al Masaood Showroom Building</v>
      </c>
      <c r="C13171" s="2" t="str">
        <f ca="1">IFERROR(__xludf.DUMMYFUNCTION("""COMPUTED_VALUE"""),"Building")</f>
        <v>Building</v>
      </c>
      <c r="D13171" s="2" t="str">
        <f ca="1">IFERROR(__xludf.DUMMYFUNCTION("""COMPUTED_VALUE"""),"Fujairah&gt;Anajaimat Road&gt;Al Masaood Showroom Building")</f>
        <v>Fujairah&gt;Anajaimat Road&gt;Al Masaood Showroom Building</v>
      </c>
      <c r="E13171" s="2"/>
      <c r="F13171" s="2"/>
      <c r="G13171" s="2"/>
      <c r="H13171" s="2"/>
      <c r="I13171" s="2"/>
      <c r="J13171" s="2"/>
      <c r="K13171" s="2"/>
      <c r="L13171" s="2"/>
      <c r="M13171" s="2"/>
      <c r="N13171" s="2"/>
      <c r="O13171" s="2"/>
      <c r="P13171" s="2"/>
      <c r="Q13171" s="2"/>
      <c r="R13171" s="2"/>
      <c r="S13171" s="2"/>
      <c r="T13171" s="2"/>
      <c r="U13171" s="2"/>
      <c r="V13171" s="2"/>
      <c r="W13171" s="2"/>
      <c r="X13171" s="2"/>
      <c r="Y13171" s="2"/>
      <c r="Z13171" s="2"/>
    </row>
    <row r="13172" spans="1:26" ht="16.5" x14ac:dyDescent="0.35">
      <c r="A13172" s="2" t="str">
        <f ca="1">IFERROR(__xludf.DUMMYFUNCTION("""COMPUTED_VALUE"""),"Fujairah")</f>
        <v>Fujairah</v>
      </c>
      <c r="B13172" s="2" t="str">
        <f ca="1">IFERROR(__xludf.DUMMYFUNCTION("""COMPUTED_VALUE"""),"Al Fanar Towers")</f>
        <v>Al Fanar Towers</v>
      </c>
      <c r="C13172" s="2" t="str">
        <f ca="1">IFERROR(__xludf.DUMMYFUNCTION("""COMPUTED_VALUE"""),"Building")</f>
        <v>Building</v>
      </c>
      <c r="D13172" s="2" t="str">
        <f ca="1">IFERROR(__xludf.DUMMYFUNCTION("""COMPUTED_VALUE"""),"Fujairah&gt;Al Fanar Towers")</f>
        <v>Fujairah&gt;Al Fanar Towers</v>
      </c>
      <c r="E13172" s="2"/>
      <c r="F13172" s="2"/>
      <c r="G13172" s="2"/>
      <c r="H13172" s="2"/>
      <c r="I13172" s="2"/>
      <c r="J13172" s="2"/>
      <c r="K13172" s="2"/>
      <c r="L13172" s="2"/>
      <c r="M13172" s="2"/>
      <c r="N13172" s="2"/>
      <c r="O13172" s="2"/>
      <c r="P13172" s="2"/>
      <c r="Q13172" s="2"/>
      <c r="R13172" s="2"/>
      <c r="S13172" s="2"/>
      <c r="T13172" s="2"/>
      <c r="U13172" s="2"/>
      <c r="V13172" s="2"/>
      <c r="W13172" s="2"/>
      <c r="X13172" s="2"/>
      <c r="Y13172" s="2"/>
      <c r="Z13172" s="2"/>
    </row>
    <row r="13173" spans="1:26" ht="16.5" x14ac:dyDescent="0.35">
      <c r="A13173" s="2" t="str">
        <f ca="1">IFERROR(__xludf.DUMMYFUNCTION("""COMPUTED_VALUE"""),"Dubai")</f>
        <v>Dubai</v>
      </c>
      <c r="B13173" s="2" t="str">
        <f ca="1">IFERROR(__xludf.DUMMYFUNCTION("""COMPUTED_VALUE"""),"Northwest Garden Apartments")</f>
        <v>Northwest Garden Apartments</v>
      </c>
      <c r="C13173" s="2" t="str">
        <f ca="1">IFERROR(__xludf.DUMMYFUNCTION("""COMPUTED_VALUE"""),"Neighbourhood")</f>
        <v>Neighbourhood</v>
      </c>
      <c r="D13173" s="2" t="str">
        <f ca="1">IFERROR(__xludf.DUMMYFUNCTION("""COMPUTED_VALUE"""),"Dubai&gt;Green Community&gt;Green Community West&gt;Northwest Garden Apartments")</f>
        <v>Dubai&gt;Green Community&gt;Green Community West&gt;Northwest Garden Apartments</v>
      </c>
      <c r="E13173" s="2"/>
      <c r="F13173" s="2"/>
      <c r="G13173" s="2"/>
      <c r="H13173" s="2"/>
      <c r="I13173" s="2"/>
      <c r="J13173" s="2"/>
      <c r="K13173" s="2"/>
      <c r="L13173" s="2"/>
      <c r="M13173" s="2"/>
      <c r="N13173" s="2"/>
      <c r="O13173" s="2"/>
      <c r="P13173" s="2"/>
      <c r="Q13173" s="2"/>
      <c r="R13173" s="2"/>
      <c r="S13173" s="2"/>
      <c r="T13173" s="2"/>
      <c r="U13173" s="2"/>
      <c r="V13173" s="2"/>
      <c r="W13173" s="2"/>
      <c r="X13173" s="2"/>
      <c r="Y13173" s="2"/>
      <c r="Z13173" s="2"/>
    </row>
    <row r="13174" spans="1:26" ht="16.5" x14ac:dyDescent="0.35">
      <c r="A13174" s="2" t="str">
        <f ca="1">IFERROR(__xludf.DUMMYFUNCTION("""COMPUTED_VALUE"""),"Dubai")</f>
        <v>Dubai</v>
      </c>
      <c r="B13174" s="2" t="str">
        <f ca="1">IFERROR(__xludf.DUMMYFUNCTION("""COMPUTED_VALUE"""),"Elite Sports Residence 7")</f>
        <v>Elite Sports Residence 7</v>
      </c>
      <c r="C13174" s="2" t="str">
        <f ca="1">IFERROR(__xludf.DUMMYFUNCTION("""COMPUTED_VALUE"""),"Building")</f>
        <v>Building</v>
      </c>
      <c r="D13174" s="2" t="str">
        <f ca="1">IFERROR(__xludf.DUMMYFUNCTION("""COMPUTED_VALUE"""),"Dubai&gt;Dubai Sports City&gt;Elite Sports Residence&gt;Elite Sports Residence 7")</f>
        <v>Dubai&gt;Dubai Sports City&gt;Elite Sports Residence&gt;Elite Sports Residence 7</v>
      </c>
      <c r="E13174" s="2"/>
      <c r="F13174" s="2"/>
      <c r="G13174" s="2"/>
      <c r="H13174" s="2"/>
      <c r="I13174" s="2"/>
      <c r="J13174" s="2"/>
      <c r="K13174" s="2"/>
      <c r="L13174" s="2"/>
      <c r="M13174" s="2"/>
      <c r="N13174" s="2"/>
      <c r="O13174" s="2"/>
      <c r="P13174" s="2"/>
      <c r="Q13174" s="2"/>
      <c r="R13174" s="2"/>
      <c r="S13174" s="2"/>
      <c r="T13174" s="2"/>
      <c r="U13174" s="2"/>
      <c r="V13174" s="2"/>
      <c r="W13174" s="2"/>
      <c r="X13174" s="2"/>
      <c r="Y13174" s="2"/>
      <c r="Z13174" s="2"/>
    </row>
    <row r="13175" spans="1:26" ht="16.5" x14ac:dyDescent="0.35">
      <c r="A13175" s="2" t="str">
        <f ca="1">IFERROR(__xludf.DUMMYFUNCTION("""COMPUTED_VALUE"""),"Dubai")</f>
        <v>Dubai</v>
      </c>
      <c r="B13175" s="2" t="str">
        <f ca="1">IFERROR(__xludf.DUMMYFUNCTION("""COMPUTED_VALUE"""),"Mediterranean Tower")</f>
        <v>Mediterranean Tower</v>
      </c>
      <c r="C13175" s="2" t="str">
        <f ca="1">IFERROR(__xludf.DUMMYFUNCTION("""COMPUTED_VALUE"""),"Building")</f>
        <v>Building</v>
      </c>
      <c r="D13175" s="2" t="str">
        <f ca="1">IFERROR(__xludf.DUMMYFUNCTION("""COMPUTED_VALUE"""),"Dubai&gt;Dubai Sports City&gt;Canal Residence West&gt;Mediterranean Tower")</f>
        <v>Dubai&gt;Dubai Sports City&gt;Canal Residence West&gt;Mediterranean Tower</v>
      </c>
      <c r="E13175" s="2"/>
      <c r="F13175" s="2"/>
      <c r="G13175" s="2"/>
      <c r="H13175" s="2"/>
      <c r="I13175" s="2"/>
      <c r="J13175" s="2"/>
      <c r="K13175" s="2"/>
      <c r="L13175" s="2"/>
      <c r="M13175" s="2"/>
      <c r="N13175" s="2"/>
      <c r="O13175" s="2"/>
      <c r="P13175" s="2"/>
      <c r="Q13175" s="2"/>
      <c r="R13175" s="2"/>
      <c r="S13175" s="2"/>
      <c r="T13175" s="2"/>
      <c r="U13175" s="2"/>
      <c r="V13175" s="2"/>
      <c r="W13175" s="2"/>
      <c r="X13175" s="2"/>
      <c r="Y13175" s="2"/>
      <c r="Z13175" s="2"/>
    </row>
    <row r="13176" spans="1:26" ht="16.5" x14ac:dyDescent="0.35">
      <c r="A13176" s="2" t="str">
        <f ca="1">IFERROR(__xludf.DUMMYFUNCTION("""COMPUTED_VALUE"""),"Dubai")</f>
        <v>Dubai</v>
      </c>
      <c r="B13176" s="2" t="str">
        <f ca="1">IFERROR(__xludf.DUMMYFUNCTION("""COMPUTED_VALUE"""),"Novelia")</f>
        <v>Novelia</v>
      </c>
      <c r="C13176" s="2" t="str">
        <f ca="1">IFERROR(__xludf.DUMMYFUNCTION("""COMPUTED_VALUE"""),"Neighbourhood")</f>
        <v>Neighbourhood</v>
      </c>
      <c r="D13176" s="2" t="str">
        <f ca="1">IFERROR(__xludf.DUMMYFUNCTION("""COMPUTED_VALUE"""),"Dubai&gt;Dubai Sports City&gt;Victory Heights&gt;Novelia")</f>
        <v>Dubai&gt;Dubai Sports City&gt;Victory Heights&gt;Novelia</v>
      </c>
      <c r="E13176" s="2"/>
      <c r="F13176" s="2"/>
      <c r="G13176" s="2"/>
      <c r="H13176" s="2"/>
      <c r="I13176" s="2"/>
      <c r="J13176" s="2"/>
      <c r="K13176" s="2"/>
      <c r="L13176" s="2"/>
      <c r="M13176" s="2"/>
      <c r="N13176" s="2"/>
      <c r="O13176" s="2"/>
      <c r="P13176" s="2"/>
      <c r="Q13176" s="2"/>
      <c r="R13176" s="2"/>
      <c r="S13176" s="2"/>
      <c r="T13176" s="2"/>
      <c r="U13176" s="2"/>
      <c r="V13176" s="2"/>
      <c r="W13176" s="2"/>
      <c r="X13176" s="2"/>
      <c r="Y13176" s="2"/>
      <c r="Z13176" s="2"/>
    </row>
    <row r="13177" spans="1:26" ht="16.5" x14ac:dyDescent="0.35">
      <c r="A13177" s="2" t="str">
        <f ca="1">IFERROR(__xludf.DUMMYFUNCTION("""COMPUTED_VALUE"""),"Dubai")</f>
        <v>Dubai</v>
      </c>
      <c r="B13177" s="2" t="str">
        <f ca="1">IFERROR(__xludf.DUMMYFUNCTION("""COMPUTED_VALUE"""),"Urban Park Residences")</f>
        <v>Urban Park Residences</v>
      </c>
      <c r="C13177" s="2" t="str">
        <f ca="1">IFERROR(__xludf.DUMMYFUNCTION("""COMPUTED_VALUE"""),"Building")</f>
        <v>Building</v>
      </c>
      <c r="D13177" s="2" t="str">
        <f ca="1">IFERROR(__xludf.DUMMYFUNCTION("""COMPUTED_VALUE"""),"Dubai&gt;Dubai Sports City&gt;Urban Park Residences")</f>
        <v>Dubai&gt;Dubai Sports City&gt;Urban Park Residences</v>
      </c>
      <c r="E13177" s="2"/>
      <c r="F13177" s="2"/>
      <c r="G13177" s="2"/>
      <c r="H13177" s="2"/>
      <c r="I13177" s="2"/>
      <c r="J13177" s="2"/>
      <c r="K13177" s="2"/>
      <c r="L13177" s="2"/>
      <c r="M13177" s="2"/>
      <c r="N13177" s="2"/>
      <c r="O13177" s="2"/>
      <c r="P13177" s="2"/>
      <c r="Q13177" s="2"/>
      <c r="R13177" s="2"/>
      <c r="S13177" s="2"/>
      <c r="T13177" s="2"/>
      <c r="U13177" s="2"/>
      <c r="V13177" s="2"/>
      <c r="W13177" s="2"/>
      <c r="X13177" s="2"/>
      <c r="Y13177" s="2"/>
      <c r="Z13177" s="2"/>
    </row>
    <row r="13178" spans="1:26" ht="16.5" x14ac:dyDescent="0.35">
      <c r="A13178" s="2" t="str">
        <f ca="1">IFERROR(__xludf.DUMMYFUNCTION("""COMPUTED_VALUE"""),"Dubai")</f>
        <v>Dubai</v>
      </c>
      <c r="B13178" s="2" t="str">
        <f ca="1">IFERROR(__xludf.DUMMYFUNCTION("""COMPUTED_VALUE"""),"Al Nahda Homes")</f>
        <v>Al Nahda Homes</v>
      </c>
      <c r="C13178" s="2" t="str">
        <f ca="1">IFERROR(__xludf.DUMMYFUNCTION("""COMPUTED_VALUE"""),"Building")</f>
        <v>Building</v>
      </c>
      <c r="D13178" s="2" t="str">
        <f ca="1">IFERROR(__xludf.DUMMYFUNCTION("""COMPUTED_VALUE"""),"Dubai&gt;Al Nahda (Dubai)&gt;Al Nahda 1&gt;Al Nahda Homes")</f>
        <v>Dubai&gt;Al Nahda (Dubai)&gt;Al Nahda 1&gt;Al Nahda Homes</v>
      </c>
      <c r="E13178" s="2"/>
      <c r="F13178" s="2"/>
      <c r="G13178" s="2"/>
      <c r="H13178" s="2"/>
      <c r="I13178" s="2"/>
      <c r="J13178" s="2"/>
      <c r="K13178" s="2"/>
      <c r="L13178" s="2"/>
      <c r="M13178" s="2"/>
      <c r="N13178" s="2"/>
      <c r="O13178" s="2"/>
      <c r="P13178" s="2"/>
      <c r="Q13178" s="2"/>
      <c r="R13178" s="2"/>
      <c r="S13178" s="2"/>
      <c r="T13178" s="2"/>
      <c r="U13178" s="2"/>
      <c r="V13178" s="2"/>
      <c r="W13178" s="2"/>
      <c r="X13178" s="2"/>
      <c r="Y13178" s="2"/>
      <c r="Z13178" s="2"/>
    </row>
    <row r="13179" spans="1:26" ht="16.5" x14ac:dyDescent="0.35">
      <c r="A13179" s="2" t="str">
        <f ca="1">IFERROR(__xludf.DUMMYFUNCTION("""COMPUTED_VALUE"""),"Dubai")</f>
        <v>Dubai</v>
      </c>
      <c r="B13179" s="2" t="str">
        <f ca="1">IFERROR(__xludf.DUMMYFUNCTION("""COMPUTED_VALUE"""),"AB Plaza 9")</f>
        <v>AB Plaza 9</v>
      </c>
      <c r="C13179" s="2" t="str">
        <f ca="1">IFERROR(__xludf.DUMMYFUNCTION("""COMPUTED_VALUE"""),"Building")</f>
        <v>Building</v>
      </c>
      <c r="D13179" s="2" t="str">
        <f ca="1">IFERROR(__xludf.DUMMYFUNCTION("""COMPUTED_VALUE"""),"Dubai&gt;Al Nahda (Dubai)&gt;Al Nahda 1&gt;AB Plaza 9")</f>
        <v>Dubai&gt;Al Nahda (Dubai)&gt;Al Nahda 1&gt;AB Plaza 9</v>
      </c>
      <c r="E13179" s="2"/>
      <c r="F13179" s="2"/>
      <c r="G13179" s="2"/>
      <c r="H13179" s="2"/>
      <c r="I13179" s="2"/>
      <c r="J13179" s="2"/>
      <c r="K13179" s="2"/>
      <c r="L13179" s="2"/>
      <c r="M13179" s="2"/>
      <c r="N13179" s="2"/>
      <c r="O13179" s="2"/>
      <c r="P13179" s="2"/>
      <c r="Q13179" s="2"/>
      <c r="R13179" s="2"/>
      <c r="S13179" s="2"/>
      <c r="T13179" s="2"/>
      <c r="U13179" s="2"/>
      <c r="V13179" s="2"/>
      <c r="W13179" s="2"/>
      <c r="X13179" s="2"/>
      <c r="Y13179" s="2"/>
      <c r="Z13179" s="2"/>
    </row>
    <row r="13180" spans="1:26" ht="16.5" x14ac:dyDescent="0.35">
      <c r="A13180" s="2" t="str">
        <f ca="1">IFERROR(__xludf.DUMMYFUNCTION("""COMPUTED_VALUE"""),"Dubai")</f>
        <v>Dubai</v>
      </c>
      <c r="B13180" s="2" t="str">
        <f ca="1">IFERROR(__xludf.DUMMYFUNCTION("""COMPUTED_VALUE"""),"Nahda Oasis 2")</f>
        <v>Nahda Oasis 2</v>
      </c>
      <c r="C13180" s="2" t="str">
        <f ca="1">IFERROR(__xludf.DUMMYFUNCTION("""COMPUTED_VALUE"""),"Building")</f>
        <v>Building</v>
      </c>
      <c r="D13180" s="2" t="str">
        <f ca="1">IFERROR(__xludf.DUMMYFUNCTION("""COMPUTED_VALUE"""),"Dubai&gt;Al Nahda (Dubai)&gt;Al Nahda 2&gt;Nahda Oasis 2")</f>
        <v>Dubai&gt;Al Nahda (Dubai)&gt;Al Nahda 2&gt;Nahda Oasis 2</v>
      </c>
      <c r="E13180" s="2"/>
      <c r="F13180" s="2"/>
      <c r="G13180" s="2"/>
      <c r="H13180" s="2"/>
      <c r="I13180" s="2"/>
      <c r="J13180" s="2"/>
      <c r="K13180" s="2"/>
      <c r="L13180" s="2"/>
      <c r="M13180" s="2"/>
      <c r="N13180" s="2"/>
      <c r="O13180" s="2"/>
      <c r="P13180" s="2"/>
      <c r="Q13180" s="2"/>
      <c r="R13180" s="2"/>
      <c r="S13180" s="2"/>
      <c r="T13180" s="2"/>
      <c r="U13180" s="2"/>
      <c r="V13180" s="2"/>
      <c r="W13180" s="2"/>
      <c r="X13180" s="2"/>
      <c r="Y13180" s="2"/>
      <c r="Z13180" s="2"/>
    </row>
    <row r="13181" spans="1:26" ht="16.5" x14ac:dyDescent="0.35">
      <c r="A13181" s="2" t="str">
        <f ca="1">IFERROR(__xludf.DUMMYFUNCTION("""COMPUTED_VALUE"""),"Dubai")</f>
        <v>Dubai</v>
      </c>
      <c r="B13181" s="2" t="str">
        <f ca="1">IFERROR(__xludf.DUMMYFUNCTION("""COMPUTED_VALUE"""),"Al Wadi Residence")</f>
        <v>Al Wadi Residence</v>
      </c>
      <c r="C13181" s="2" t="str">
        <f ca="1">IFERROR(__xludf.DUMMYFUNCTION("""COMPUTED_VALUE"""),"Building")</f>
        <v>Building</v>
      </c>
      <c r="D13181" s="2" t="str">
        <f ca="1">IFERROR(__xludf.DUMMYFUNCTION("""COMPUTED_VALUE"""),"Dubai&gt;Al Nahda (Dubai)&gt;Al Nahda 2&gt;Al Wadi Residence")</f>
        <v>Dubai&gt;Al Nahda (Dubai)&gt;Al Nahda 2&gt;Al Wadi Residence</v>
      </c>
      <c r="E13181" s="2"/>
      <c r="F13181" s="2"/>
      <c r="G13181" s="2"/>
      <c r="H13181" s="2"/>
      <c r="I13181" s="2"/>
      <c r="J13181" s="2"/>
      <c r="K13181" s="2"/>
      <c r="L13181" s="2"/>
      <c r="M13181" s="2"/>
      <c r="N13181" s="2"/>
      <c r="O13181" s="2"/>
      <c r="P13181" s="2"/>
      <c r="Q13181" s="2"/>
      <c r="R13181" s="2"/>
      <c r="S13181" s="2"/>
      <c r="T13181" s="2"/>
      <c r="U13181" s="2"/>
      <c r="V13181" s="2"/>
      <c r="W13181" s="2"/>
      <c r="X13181" s="2"/>
      <c r="Y13181" s="2"/>
      <c r="Z13181" s="2"/>
    </row>
    <row r="13182" spans="1:26" ht="16.5" x14ac:dyDescent="0.35">
      <c r="A13182" s="2" t="str">
        <f ca="1">IFERROR(__xludf.DUMMYFUNCTION("""COMPUTED_VALUE"""),"Dubai")</f>
        <v>Dubai</v>
      </c>
      <c r="B13182" s="2" t="str">
        <f ca="1">IFERROR(__xludf.DUMMYFUNCTION("""COMPUTED_VALUE"""),"Al Zarooni Building")</f>
        <v>Al Zarooni Building</v>
      </c>
      <c r="C13182" s="2" t="str">
        <f ca="1">IFERROR(__xludf.DUMMYFUNCTION("""COMPUTED_VALUE"""),"Building")</f>
        <v>Building</v>
      </c>
      <c r="D13182" s="2" t="str">
        <f ca="1">IFERROR(__xludf.DUMMYFUNCTION("""COMPUTED_VALUE"""),"Dubai&gt;Al Nahda (Dubai)&gt;Al Nahda 2&gt;Al Zarooni Building")</f>
        <v>Dubai&gt;Al Nahda (Dubai)&gt;Al Nahda 2&gt;Al Zarooni Building</v>
      </c>
      <c r="E13182" s="2"/>
      <c r="F13182" s="2"/>
      <c r="G13182" s="2"/>
      <c r="H13182" s="2"/>
      <c r="I13182" s="2"/>
      <c r="J13182" s="2"/>
      <c r="K13182" s="2"/>
      <c r="L13182" s="2"/>
      <c r="M13182" s="2"/>
      <c r="N13182" s="2"/>
      <c r="O13182" s="2"/>
      <c r="P13182" s="2"/>
      <c r="Q13182" s="2"/>
      <c r="R13182" s="2"/>
      <c r="S13182" s="2"/>
      <c r="T13182" s="2"/>
      <c r="U13182" s="2"/>
      <c r="V13182" s="2"/>
      <c r="W13182" s="2"/>
      <c r="X13182" s="2"/>
      <c r="Y13182" s="2"/>
      <c r="Z13182" s="2"/>
    </row>
    <row r="13183" spans="1:26" ht="16.5" x14ac:dyDescent="0.35">
      <c r="A13183" s="2" t="str">
        <f ca="1">IFERROR(__xludf.DUMMYFUNCTION("""COMPUTED_VALUE"""),"Dubai")</f>
        <v>Dubai</v>
      </c>
      <c r="B13183" s="2" t="str">
        <f ca="1">IFERROR(__xludf.DUMMYFUNCTION("""COMPUTED_VALUE"""),"Al Serkal Residential")</f>
        <v>Al Serkal Residential</v>
      </c>
      <c r="C13183" s="2" t="str">
        <f ca="1">IFERROR(__xludf.DUMMYFUNCTION("""COMPUTED_VALUE"""),"Building")</f>
        <v>Building</v>
      </c>
      <c r="D13183" s="2" t="str">
        <f ca="1">IFERROR(__xludf.DUMMYFUNCTION("""COMPUTED_VALUE"""),"Dubai&gt;Al Nahda (Dubai)&gt;Al Nahda 2&gt;Al Serkal Residential")</f>
        <v>Dubai&gt;Al Nahda (Dubai)&gt;Al Nahda 2&gt;Al Serkal Residential</v>
      </c>
      <c r="E13183" s="2"/>
      <c r="F13183" s="2"/>
      <c r="G13183" s="2"/>
      <c r="H13183" s="2"/>
      <c r="I13183" s="2"/>
      <c r="J13183" s="2"/>
      <c r="K13183" s="2"/>
      <c r="L13183" s="2"/>
      <c r="M13183" s="2"/>
      <c r="N13183" s="2"/>
      <c r="O13183" s="2"/>
      <c r="P13183" s="2"/>
      <c r="Q13183" s="2"/>
      <c r="R13183" s="2"/>
      <c r="S13183" s="2"/>
      <c r="T13183" s="2"/>
      <c r="U13183" s="2"/>
      <c r="V13183" s="2"/>
      <c r="W13183" s="2"/>
      <c r="X13183" s="2"/>
      <c r="Y13183" s="2"/>
      <c r="Z13183" s="2"/>
    </row>
    <row r="13184" spans="1:26" ht="16.5" x14ac:dyDescent="0.35">
      <c r="A13184" s="2" t="str">
        <f ca="1">IFERROR(__xludf.DUMMYFUNCTION("""COMPUTED_VALUE"""),"Dubai")</f>
        <v>Dubai</v>
      </c>
      <c r="B13184" s="2" t="str">
        <f ca="1">IFERROR(__xludf.DUMMYFUNCTION("""COMPUTED_VALUE"""),"Legacy Large")</f>
        <v>Legacy Large</v>
      </c>
      <c r="C13184" s="2" t="str">
        <f ca="1">IFERROR(__xludf.DUMMYFUNCTION("""COMPUTED_VALUE"""),"Neighbourhood")</f>
        <v>Neighbourhood</v>
      </c>
      <c r="D13184" s="2" t="str">
        <f ca="1">IFERROR(__xludf.DUMMYFUNCTION("""COMPUTED_VALUE"""),"Dubai&gt;Jumeirah Park&gt;Legacy&gt;Legacy Large")</f>
        <v>Dubai&gt;Jumeirah Park&gt;Legacy&gt;Legacy Large</v>
      </c>
      <c r="E13184" s="2"/>
      <c r="F13184" s="2"/>
      <c r="G13184" s="2"/>
      <c r="H13184" s="2"/>
      <c r="I13184" s="2"/>
      <c r="J13184" s="2"/>
      <c r="K13184" s="2"/>
      <c r="L13184" s="2"/>
      <c r="M13184" s="2"/>
      <c r="N13184" s="2"/>
      <c r="O13184" s="2"/>
      <c r="P13184" s="2"/>
      <c r="Q13184" s="2"/>
      <c r="R13184" s="2"/>
      <c r="S13184" s="2"/>
      <c r="T13184" s="2"/>
      <c r="U13184" s="2"/>
      <c r="V13184" s="2"/>
      <c r="W13184" s="2"/>
      <c r="X13184" s="2"/>
      <c r="Y13184" s="2"/>
      <c r="Z13184" s="2"/>
    </row>
    <row r="13185" spans="1:26" ht="16.5" x14ac:dyDescent="0.35">
      <c r="A13185" s="2" t="str">
        <f ca="1">IFERROR(__xludf.DUMMYFUNCTION("""COMPUTED_VALUE"""),"Dubai")</f>
        <v>Dubai</v>
      </c>
      <c r="B13185" s="2" t="str">
        <f ca="1">IFERROR(__xludf.DUMMYFUNCTION("""COMPUTED_VALUE"""),"Lagoon Views 6")</f>
        <v>Lagoon Views 6</v>
      </c>
      <c r="C13185" s="2" t="str">
        <f ca="1">IFERROR(__xludf.DUMMYFUNCTION("""COMPUTED_VALUE"""),"Building")</f>
        <v>Building</v>
      </c>
      <c r="D13185" s="2" t="str">
        <f ca="1">IFERROR(__xludf.DUMMYFUNCTION("""COMPUTED_VALUE"""),"Dubai&gt;DAMAC Lagoons&gt;Lagoon Views&gt;Lagoon Views 6")</f>
        <v>Dubai&gt;DAMAC Lagoons&gt;Lagoon Views&gt;Lagoon Views 6</v>
      </c>
      <c r="E13185" s="2"/>
      <c r="F13185" s="2"/>
      <c r="G13185" s="2"/>
      <c r="H13185" s="2"/>
      <c r="I13185" s="2"/>
      <c r="J13185" s="2"/>
      <c r="K13185" s="2"/>
      <c r="L13185" s="2"/>
      <c r="M13185" s="2"/>
      <c r="N13185" s="2"/>
      <c r="O13185" s="2"/>
      <c r="P13185" s="2"/>
      <c r="Q13185" s="2"/>
      <c r="R13185" s="2"/>
      <c r="S13185" s="2"/>
      <c r="T13185" s="2"/>
      <c r="U13185" s="2"/>
      <c r="V13185" s="2"/>
      <c r="W13185" s="2"/>
      <c r="X13185" s="2"/>
      <c r="Y13185" s="2"/>
      <c r="Z13185" s="2"/>
    </row>
    <row r="13186" spans="1:26" ht="16.5" x14ac:dyDescent="0.35">
      <c r="A13186" s="2" t="str">
        <f ca="1">IFERROR(__xludf.DUMMYFUNCTION("""COMPUTED_VALUE"""),"Dubai")</f>
        <v>Dubai</v>
      </c>
      <c r="B13186" s="2" t="str">
        <f ca="1">IFERROR(__xludf.DUMMYFUNCTION("""COMPUTED_VALUE"""),"Al Jamila Residence")</f>
        <v>Al Jamila Residence</v>
      </c>
      <c r="C13186" s="2" t="str">
        <f ca="1">IFERROR(__xludf.DUMMYFUNCTION("""COMPUTED_VALUE"""),"Building")</f>
        <v>Building</v>
      </c>
      <c r="D13186" s="2" t="str">
        <f ca="1">IFERROR(__xludf.DUMMYFUNCTION("""COMPUTED_VALUE"""),"Dubai&gt;Liwan 2&gt;Al Jamila Residence")</f>
        <v>Dubai&gt;Liwan 2&gt;Al Jamila Residence</v>
      </c>
      <c r="E13186" s="2"/>
      <c r="F13186" s="2"/>
      <c r="G13186" s="2"/>
      <c r="H13186" s="2"/>
      <c r="I13186" s="2"/>
      <c r="J13186" s="2"/>
      <c r="K13186" s="2"/>
      <c r="L13186" s="2"/>
      <c r="M13186" s="2"/>
      <c r="N13186" s="2"/>
      <c r="O13186" s="2"/>
      <c r="P13186" s="2"/>
      <c r="Q13186" s="2"/>
      <c r="R13186" s="2"/>
      <c r="S13186" s="2"/>
      <c r="T13186" s="2"/>
      <c r="U13186" s="2"/>
      <c r="V13186" s="2"/>
      <c r="W13186" s="2"/>
      <c r="X13186" s="2"/>
      <c r="Y13186" s="2"/>
      <c r="Z13186" s="2"/>
    </row>
    <row r="13187" spans="1:26" ht="16.5" x14ac:dyDescent="0.35">
      <c r="A13187" s="2" t="str">
        <f ca="1">IFERROR(__xludf.DUMMYFUNCTION("""COMPUTED_VALUE"""),"Dubai")</f>
        <v>Dubai</v>
      </c>
      <c r="B13187" s="2" t="str">
        <f ca="1">IFERROR(__xludf.DUMMYFUNCTION("""COMPUTED_VALUE"""),"Samha Residence 2")</f>
        <v>Samha Residence 2</v>
      </c>
      <c r="C13187" s="2" t="str">
        <f ca="1">IFERROR(__xludf.DUMMYFUNCTION("""COMPUTED_VALUE"""),"Building")</f>
        <v>Building</v>
      </c>
      <c r="D13187" s="2" t="str">
        <f ca="1">IFERROR(__xludf.DUMMYFUNCTION("""COMPUTED_VALUE"""),"Dubai&gt;Liwan 2&gt;Samha Residence 2")</f>
        <v>Dubai&gt;Liwan 2&gt;Samha Residence 2</v>
      </c>
      <c r="E13187" s="2"/>
      <c r="F13187" s="2"/>
      <c r="G13187" s="2"/>
      <c r="H13187" s="2"/>
      <c r="I13187" s="2"/>
      <c r="J13187" s="2"/>
      <c r="K13187" s="2"/>
      <c r="L13187" s="2"/>
      <c r="M13187" s="2"/>
      <c r="N13187" s="2"/>
      <c r="O13187" s="2"/>
      <c r="P13187" s="2"/>
      <c r="Q13187" s="2"/>
      <c r="R13187" s="2"/>
      <c r="S13187" s="2"/>
      <c r="T13187" s="2"/>
      <c r="U13187" s="2"/>
      <c r="V13187" s="2"/>
      <c r="W13187" s="2"/>
      <c r="X13187" s="2"/>
      <c r="Y13187" s="2"/>
      <c r="Z13187" s="2"/>
    </row>
    <row r="13188" spans="1:26" ht="16.5" x14ac:dyDescent="0.35">
      <c r="A13188" s="2" t="str">
        <f ca="1">IFERROR(__xludf.DUMMYFUNCTION("""COMPUTED_VALUE"""),"Dubai")</f>
        <v>Dubai</v>
      </c>
      <c r="B13188" s="2" t="str">
        <f ca="1">IFERROR(__xludf.DUMMYFUNCTION("""COMPUTED_VALUE"""),"Lotus Residence 4")</f>
        <v>Lotus Residence 4</v>
      </c>
      <c r="C13188" s="2" t="str">
        <f ca="1">IFERROR(__xludf.DUMMYFUNCTION("""COMPUTED_VALUE"""),"Building")</f>
        <v>Building</v>
      </c>
      <c r="D13188" s="2" t="str">
        <f ca="1">IFERROR(__xludf.DUMMYFUNCTION("""COMPUTED_VALUE"""),"Dubai&gt;Dubai Investment Park (DIP)&gt;Dubai Investment Park 1&gt;Lotus Residence&gt;Lotus Residence 4")</f>
        <v>Dubai&gt;Dubai Investment Park (DIP)&gt;Dubai Investment Park 1&gt;Lotus Residence&gt;Lotus Residence 4</v>
      </c>
      <c r="E13188" s="2"/>
      <c r="F13188" s="2"/>
      <c r="G13188" s="2"/>
      <c r="H13188" s="2"/>
      <c r="I13188" s="2"/>
      <c r="J13188" s="2"/>
      <c r="K13188" s="2"/>
      <c r="L13188" s="2"/>
      <c r="M13188" s="2"/>
      <c r="N13188" s="2"/>
      <c r="O13188" s="2"/>
      <c r="P13188" s="2"/>
      <c r="Q13188" s="2"/>
      <c r="R13188" s="2"/>
      <c r="S13188" s="2"/>
      <c r="T13188" s="2"/>
      <c r="U13188" s="2"/>
      <c r="V13188" s="2"/>
      <c r="W13188" s="2"/>
      <c r="X13188" s="2"/>
      <c r="Y13188" s="2"/>
      <c r="Z13188" s="2"/>
    </row>
    <row r="13189" spans="1:26" ht="16.5" x14ac:dyDescent="0.35">
      <c r="A13189" s="2" t="str">
        <f ca="1">IFERROR(__xludf.DUMMYFUNCTION("""COMPUTED_VALUE"""),"Dubai")</f>
        <v>Dubai</v>
      </c>
      <c r="B13189" s="2" t="str">
        <f ca="1">IFERROR(__xludf.DUMMYFUNCTION("""COMPUTED_VALUE"""),"Block E")</f>
        <v>Block E</v>
      </c>
      <c r="C13189" s="2" t="str">
        <f ca="1">IFERROR(__xludf.DUMMYFUNCTION("""COMPUTED_VALUE"""),"Building")</f>
        <v>Building</v>
      </c>
      <c r="D13189" s="2" t="str">
        <f ca="1">IFERROR(__xludf.DUMMYFUNCTION("""COMPUTED_VALUE"""),"Dubai&gt;Dubai Investment Park (DIP)&gt;Dubai Investment Park 1&gt;Dubai Driving Centre Staff Accommodation&gt;Block E")</f>
        <v>Dubai&gt;Dubai Investment Park (DIP)&gt;Dubai Investment Park 1&gt;Dubai Driving Centre Staff Accommodation&gt;Block E</v>
      </c>
      <c r="E13189" s="2"/>
      <c r="F13189" s="2"/>
      <c r="G13189" s="2"/>
      <c r="H13189" s="2"/>
      <c r="I13189" s="2"/>
      <c r="J13189" s="2"/>
      <c r="K13189" s="2"/>
      <c r="L13189" s="2"/>
      <c r="M13189" s="2"/>
      <c r="N13189" s="2"/>
      <c r="O13189" s="2"/>
      <c r="P13189" s="2"/>
      <c r="Q13189" s="2"/>
      <c r="R13189" s="2"/>
      <c r="S13189" s="2"/>
      <c r="T13189" s="2"/>
      <c r="U13189" s="2"/>
      <c r="V13189" s="2"/>
      <c r="W13189" s="2"/>
      <c r="X13189" s="2"/>
      <c r="Y13189" s="2"/>
      <c r="Z13189" s="2"/>
    </row>
    <row r="13190" spans="1:26" ht="16.5" x14ac:dyDescent="0.35">
      <c r="A13190" s="2" t="str">
        <f ca="1">IFERROR(__xludf.DUMMYFUNCTION("""COMPUTED_VALUE"""),"Dubai")</f>
        <v>Dubai</v>
      </c>
      <c r="B13190" s="2" t="str">
        <f ca="1">IFERROR(__xludf.DUMMYFUNCTION("""COMPUTED_VALUE"""),"Verdana 4")</f>
        <v>Verdana 4</v>
      </c>
      <c r="C13190" s="2" t="str">
        <f ca="1">IFERROR(__xludf.DUMMYFUNCTION("""COMPUTED_VALUE"""),"Neighbourhood")</f>
        <v>Neighbourhood</v>
      </c>
      <c r="D13190" s="2" t="str">
        <f ca="1">IFERROR(__xludf.DUMMYFUNCTION("""COMPUTED_VALUE"""),"Dubai&gt;Dubai Investment Park (DIP)&gt;Dubai Investment Park 1&gt;Verdana 4")</f>
        <v>Dubai&gt;Dubai Investment Park (DIP)&gt;Dubai Investment Park 1&gt;Verdana 4</v>
      </c>
      <c r="E13190" s="2"/>
      <c r="F13190" s="2"/>
      <c r="G13190" s="2"/>
      <c r="H13190" s="2"/>
      <c r="I13190" s="2"/>
      <c r="J13190" s="2"/>
      <c r="K13190" s="2"/>
      <c r="L13190" s="2"/>
      <c r="M13190" s="2"/>
      <c r="N13190" s="2"/>
      <c r="O13190" s="2"/>
      <c r="P13190" s="2"/>
      <c r="Q13190" s="2"/>
      <c r="R13190" s="2"/>
      <c r="S13190" s="2"/>
      <c r="T13190" s="2"/>
      <c r="U13190" s="2"/>
      <c r="V13190" s="2"/>
      <c r="W13190" s="2"/>
      <c r="X13190" s="2"/>
      <c r="Y13190" s="2"/>
      <c r="Z13190" s="2"/>
    </row>
    <row r="13191" spans="1:26" ht="16.5" x14ac:dyDescent="0.35">
      <c r="A13191" s="2" t="str">
        <f ca="1">IFERROR(__xludf.DUMMYFUNCTION("""COMPUTED_VALUE"""),"Dubai")</f>
        <v>Dubai</v>
      </c>
      <c r="B13191" s="2" t="str">
        <f ca="1">IFERROR(__xludf.DUMMYFUNCTION("""COMPUTED_VALUE"""),"Ritaj Block D")</f>
        <v>Ritaj Block D</v>
      </c>
      <c r="C13191" s="2" t="str">
        <f ca="1">IFERROR(__xludf.DUMMYFUNCTION("""COMPUTED_VALUE"""),"Building")</f>
        <v>Building</v>
      </c>
      <c r="D13191" s="2" t="str">
        <f ca="1">IFERROR(__xludf.DUMMYFUNCTION("""COMPUTED_VALUE"""),"Dubai&gt;Dubai Investment Park (DIP)&gt;Dubai Investment Park 2&gt;Ritaj (Residential Complex)&gt;Ritaj Block D")</f>
        <v>Dubai&gt;Dubai Investment Park (DIP)&gt;Dubai Investment Park 2&gt;Ritaj (Residential Complex)&gt;Ritaj Block D</v>
      </c>
      <c r="E13191" s="2"/>
      <c r="F13191" s="2"/>
      <c r="G13191" s="2"/>
      <c r="H13191" s="2"/>
      <c r="I13191" s="2"/>
      <c r="J13191" s="2"/>
      <c r="K13191" s="2"/>
      <c r="L13191" s="2"/>
      <c r="M13191" s="2"/>
      <c r="N13191" s="2"/>
      <c r="O13191" s="2"/>
      <c r="P13191" s="2"/>
      <c r="Q13191" s="2"/>
      <c r="R13191" s="2"/>
      <c r="S13191" s="2"/>
      <c r="T13191" s="2"/>
      <c r="U13191" s="2"/>
      <c r="V13191" s="2"/>
      <c r="W13191" s="2"/>
      <c r="X13191" s="2"/>
      <c r="Y13191" s="2"/>
      <c r="Z13191" s="2"/>
    </row>
    <row r="13192" spans="1:26" ht="16.5" x14ac:dyDescent="0.35">
      <c r="A13192" s="2" t="str">
        <f ca="1">IFERROR(__xludf.DUMMYFUNCTION("""COMPUTED_VALUE"""),"Dubai")</f>
        <v>Dubai</v>
      </c>
      <c r="B13192" s="2" t="str">
        <f ca="1">IFERROR(__xludf.DUMMYFUNCTION("""COMPUTED_VALUE"""),"Nara Building 2")</f>
        <v>Nara Building 2</v>
      </c>
      <c r="C13192" s="2" t="str">
        <f ca="1">IFERROR(__xludf.DUMMYFUNCTION("""COMPUTED_VALUE"""),"Building")</f>
        <v>Building</v>
      </c>
      <c r="D13192" s="2" t="str">
        <f ca="1">IFERROR(__xludf.DUMMYFUNCTION("""COMPUTED_VALUE"""),"Dubai&gt;Dubai Investment Park (DIP)&gt;Dubai Investment Park 2&gt;Nara Building 2")</f>
        <v>Dubai&gt;Dubai Investment Park (DIP)&gt;Dubai Investment Park 2&gt;Nara Building 2</v>
      </c>
      <c r="E13192" s="2"/>
      <c r="F13192" s="2"/>
      <c r="G13192" s="2"/>
      <c r="H13192" s="2"/>
      <c r="I13192" s="2"/>
      <c r="J13192" s="2"/>
      <c r="K13192" s="2"/>
      <c r="L13192" s="2"/>
      <c r="M13192" s="2"/>
      <c r="N13192" s="2"/>
      <c r="O13192" s="2"/>
      <c r="P13192" s="2"/>
      <c r="Q13192" s="2"/>
      <c r="R13192" s="2"/>
      <c r="S13192" s="2"/>
      <c r="T13192" s="2"/>
      <c r="U13192" s="2"/>
      <c r="V13192" s="2"/>
      <c r="W13192" s="2"/>
      <c r="X13192" s="2"/>
      <c r="Y13192" s="2"/>
      <c r="Z13192" s="2"/>
    </row>
    <row r="13193" spans="1:26" ht="16.5" x14ac:dyDescent="0.35">
      <c r="A13193" s="2" t="str">
        <f ca="1">IFERROR(__xludf.DUMMYFUNCTION("""COMPUTED_VALUE"""),"Dubai")</f>
        <v>Dubai</v>
      </c>
      <c r="B13193" s="2" t="str">
        <f ca="1">IFERROR(__xludf.DUMMYFUNCTION("""COMPUTED_VALUE"""),"Sage")</f>
        <v>Sage</v>
      </c>
      <c r="C13193" s="2" t="str">
        <f ca="1">IFERROR(__xludf.DUMMYFUNCTION("""COMPUTED_VALUE"""),"Neighbourhood")</f>
        <v>Neighbourhood</v>
      </c>
      <c r="D13193" s="2" t="str">
        <f ca="1">IFERROR(__xludf.DUMMYFUNCTION("""COMPUTED_VALUE"""),"Dubai&gt;Dubai Investment Park (DIP)&gt;DAMAC Riverside&gt;Sage")</f>
        <v>Dubai&gt;Dubai Investment Park (DIP)&gt;DAMAC Riverside&gt;Sage</v>
      </c>
      <c r="E13193" s="2"/>
      <c r="F13193" s="2"/>
      <c r="G13193" s="2"/>
      <c r="H13193" s="2"/>
      <c r="I13193" s="2"/>
      <c r="J13193" s="2"/>
      <c r="K13193" s="2"/>
      <c r="L13193" s="2"/>
      <c r="M13193" s="2"/>
      <c r="N13193" s="2"/>
      <c r="O13193" s="2"/>
      <c r="P13193" s="2"/>
      <c r="Q13193" s="2"/>
      <c r="R13193" s="2"/>
      <c r="S13193" s="2"/>
      <c r="T13193" s="2"/>
      <c r="U13193" s="2"/>
      <c r="V13193" s="2"/>
      <c r="W13193" s="2"/>
      <c r="X13193" s="2"/>
      <c r="Y13193" s="2"/>
      <c r="Z13193" s="2"/>
    </row>
    <row r="13194" spans="1:26" ht="16.5" x14ac:dyDescent="0.35">
      <c r="A13194" s="2" t="str">
        <f ca="1">IFERROR(__xludf.DUMMYFUNCTION("""COMPUTED_VALUE"""),"Dubai")</f>
        <v>Dubai</v>
      </c>
      <c r="B13194" s="2" t="str">
        <f ca="1">IFERROR(__xludf.DUMMYFUNCTION("""COMPUTED_VALUE"""),"Ewan Residence")</f>
        <v>Ewan Residence</v>
      </c>
      <c r="C13194" s="2" t="str">
        <f ca="1">IFERROR(__xludf.DUMMYFUNCTION("""COMPUTED_VALUE"""),"Neighbourhood")</f>
        <v>Neighbourhood</v>
      </c>
      <c r="D13194" s="2" t="str">
        <f ca="1">IFERROR(__xludf.DUMMYFUNCTION("""COMPUTED_VALUE"""),"Dubai&gt;Dubai Investment Park (DIP)&gt;Ewan Residence")</f>
        <v>Dubai&gt;Dubai Investment Park (DIP)&gt;Ewan Residence</v>
      </c>
      <c r="E13194" s="2"/>
      <c r="F13194" s="2"/>
      <c r="G13194" s="2"/>
      <c r="H13194" s="2"/>
      <c r="I13194" s="2"/>
      <c r="J13194" s="2"/>
      <c r="K13194" s="2"/>
      <c r="L13194" s="2"/>
      <c r="M13194" s="2"/>
      <c r="N13194" s="2"/>
      <c r="O13194" s="2"/>
      <c r="P13194" s="2"/>
      <c r="Q13194" s="2"/>
      <c r="R13194" s="2"/>
      <c r="S13194" s="2"/>
      <c r="T13194" s="2"/>
      <c r="U13194" s="2"/>
      <c r="V13194" s="2"/>
      <c r="W13194" s="2"/>
      <c r="X13194" s="2"/>
      <c r="Y13194" s="2"/>
      <c r="Z13194" s="2"/>
    </row>
    <row r="13195" spans="1:26" ht="16.5" x14ac:dyDescent="0.35">
      <c r="A13195" s="2" t="str">
        <f ca="1">IFERROR(__xludf.DUMMYFUNCTION("""COMPUTED_VALUE"""),"Dubai")</f>
        <v>Dubai</v>
      </c>
      <c r="B13195" s="2" t="str">
        <f ca="1">IFERROR(__xludf.DUMMYFUNCTION("""COMPUTED_VALUE"""),"Zubaida Residency")</f>
        <v>Zubaida Residency</v>
      </c>
      <c r="C13195" s="2" t="str">
        <f ca="1">IFERROR(__xludf.DUMMYFUNCTION("""COMPUTED_VALUE"""),"Building")</f>
        <v>Building</v>
      </c>
      <c r="D13195" s="2" t="str">
        <f ca="1">IFERROR(__xludf.DUMMYFUNCTION("""COMPUTED_VALUE"""),"Dubai&gt;Majan&gt;Zubaida Residency")</f>
        <v>Dubai&gt;Majan&gt;Zubaida Residency</v>
      </c>
      <c r="E13195" s="2"/>
      <c r="F13195" s="2"/>
      <c r="G13195" s="2"/>
      <c r="H13195" s="2"/>
      <c r="I13195" s="2"/>
      <c r="J13195" s="2"/>
      <c r="K13195" s="2"/>
      <c r="L13195" s="2"/>
      <c r="M13195" s="2"/>
      <c r="N13195" s="2"/>
      <c r="O13195" s="2"/>
      <c r="P13195" s="2"/>
      <c r="Q13195" s="2"/>
      <c r="R13195" s="2"/>
      <c r="S13195" s="2"/>
      <c r="T13195" s="2"/>
      <c r="U13195" s="2"/>
      <c r="V13195" s="2"/>
      <c r="W13195" s="2"/>
      <c r="X13195" s="2"/>
      <c r="Y13195" s="2"/>
      <c r="Z13195" s="2"/>
    </row>
    <row r="13196" spans="1:26" ht="16.5" x14ac:dyDescent="0.35">
      <c r="A13196" s="2" t="str">
        <f ca="1">IFERROR(__xludf.DUMMYFUNCTION("""COMPUTED_VALUE"""),"Dubai")</f>
        <v>Dubai</v>
      </c>
      <c r="B13196" s="2" t="str">
        <f ca="1">IFERROR(__xludf.DUMMYFUNCTION("""COMPUTED_VALUE"""),"Forest City Tower")</f>
        <v>Forest City Tower</v>
      </c>
      <c r="C13196" s="2" t="str">
        <f ca="1">IFERROR(__xludf.DUMMYFUNCTION("""COMPUTED_VALUE"""),"Building")</f>
        <v>Building</v>
      </c>
      <c r="D13196" s="2" t="str">
        <f ca="1">IFERROR(__xludf.DUMMYFUNCTION("""COMPUTED_VALUE"""),"Dubai&gt;Majan&gt;Forest City Tower")</f>
        <v>Dubai&gt;Majan&gt;Forest City Tower</v>
      </c>
      <c r="E13196" s="2"/>
      <c r="F13196" s="2"/>
      <c r="G13196" s="2"/>
      <c r="H13196" s="2"/>
      <c r="I13196" s="2"/>
      <c r="J13196" s="2"/>
      <c r="K13196" s="2"/>
      <c r="L13196" s="2"/>
      <c r="M13196" s="2"/>
      <c r="N13196" s="2"/>
      <c r="O13196" s="2"/>
      <c r="P13196" s="2"/>
      <c r="Q13196" s="2"/>
      <c r="R13196" s="2"/>
      <c r="S13196" s="2"/>
      <c r="T13196" s="2"/>
      <c r="U13196" s="2"/>
      <c r="V13196" s="2"/>
      <c r="W13196" s="2"/>
      <c r="X13196" s="2"/>
      <c r="Y13196" s="2"/>
      <c r="Z13196" s="2"/>
    </row>
    <row r="13197" spans="1:26" ht="16.5" x14ac:dyDescent="0.35">
      <c r="A13197" s="2" t="str">
        <f ca="1">IFERROR(__xludf.DUMMYFUNCTION("""COMPUTED_VALUE"""),"Dubai")</f>
        <v>Dubai</v>
      </c>
      <c r="B13197" s="2" t="str">
        <f ca="1">IFERROR(__xludf.DUMMYFUNCTION("""COMPUTED_VALUE"""),"Lavita")</f>
        <v>Lavita</v>
      </c>
      <c r="C13197" s="2" t="str">
        <f ca="1">IFERROR(__xludf.DUMMYFUNCTION("""COMPUTED_VALUE"""),"Neighbourhood")</f>
        <v>Neighbourhood</v>
      </c>
      <c r="D13197" s="2" t="str">
        <f ca="1">IFERROR(__xludf.DUMMYFUNCTION("""COMPUTED_VALUE"""),"Dubai&gt;The Oasis by Emaar&gt;Lavita")</f>
        <v>Dubai&gt;The Oasis by Emaar&gt;Lavita</v>
      </c>
      <c r="E13197" s="2"/>
      <c r="F13197" s="2"/>
      <c r="G13197" s="2"/>
      <c r="H13197" s="2"/>
      <c r="I13197" s="2"/>
      <c r="J13197" s="2"/>
      <c r="K13197" s="2"/>
      <c r="L13197" s="2"/>
      <c r="M13197" s="2"/>
      <c r="N13197" s="2"/>
      <c r="O13197" s="2"/>
      <c r="P13197" s="2"/>
      <c r="Q13197" s="2"/>
      <c r="R13197" s="2"/>
      <c r="S13197" s="2"/>
      <c r="T13197" s="2"/>
      <c r="U13197" s="2"/>
      <c r="V13197" s="2"/>
      <c r="W13197" s="2"/>
      <c r="X13197" s="2"/>
      <c r="Y13197" s="2"/>
      <c r="Z13197" s="2"/>
    </row>
    <row r="13198" spans="1:26" ht="16.5" x14ac:dyDescent="0.35">
      <c r="A13198" s="2" t="str">
        <f ca="1">IFERROR(__xludf.DUMMYFUNCTION("""COMPUTED_VALUE"""),"Dubai")</f>
        <v>Dubai</v>
      </c>
      <c r="B13198" s="2" t="str">
        <f ca="1">IFERROR(__xludf.DUMMYFUNCTION("""COMPUTED_VALUE"""),"Dubai Studio City")</f>
        <v>Dubai Studio City</v>
      </c>
      <c r="C13198" s="2" t="str">
        <f ca="1">IFERROR(__xludf.DUMMYFUNCTION("""COMPUTED_VALUE"""),"Neighbourhood")</f>
        <v>Neighbourhood</v>
      </c>
      <c r="D13198" s="2" t="str">
        <f ca="1">IFERROR(__xludf.DUMMYFUNCTION("""COMPUTED_VALUE"""),"Dubai&gt;Dubai Studio City")</f>
        <v>Dubai&gt;Dubai Studio City</v>
      </c>
      <c r="E13198" s="2"/>
      <c r="F13198" s="2"/>
      <c r="G13198" s="2"/>
      <c r="H13198" s="2"/>
      <c r="I13198" s="2"/>
      <c r="J13198" s="2"/>
      <c r="K13198" s="2"/>
      <c r="L13198" s="2"/>
      <c r="M13198" s="2"/>
      <c r="N13198" s="2"/>
      <c r="O13198" s="2"/>
      <c r="P13198" s="2"/>
      <c r="Q13198" s="2"/>
      <c r="R13198" s="2"/>
      <c r="S13198" s="2"/>
      <c r="T13198" s="2"/>
      <c r="U13198" s="2"/>
      <c r="V13198" s="2"/>
      <c r="W13198" s="2"/>
      <c r="X13198" s="2"/>
      <c r="Y13198" s="2"/>
      <c r="Z13198" s="2"/>
    </row>
    <row r="13199" spans="1:26" ht="16.5" x14ac:dyDescent="0.35">
      <c r="A13199" s="2" t="str">
        <f ca="1">IFERROR(__xludf.DUMMYFUNCTION("""COMPUTED_VALUE"""),"Dubai")</f>
        <v>Dubai</v>
      </c>
      <c r="B13199" s="2" t="str">
        <f ca="1">IFERROR(__xludf.DUMMYFUNCTION("""COMPUTED_VALUE"""),"BS-06")</f>
        <v>BS-06</v>
      </c>
      <c r="C13199" s="2" t="str">
        <f ca="1">IFERROR(__xludf.DUMMYFUNCTION("""COMPUTED_VALUE"""),"Building")</f>
        <v>Building</v>
      </c>
      <c r="D13199" s="2" t="str">
        <f ca="1">IFERROR(__xludf.DUMMYFUNCTION("""COMPUTED_VALUE"""),"Dubai&gt;Dubai Studio City&gt;Boutique Studios&gt;BS-06")</f>
        <v>Dubai&gt;Dubai Studio City&gt;Boutique Studios&gt;BS-06</v>
      </c>
      <c r="E13199" s="2"/>
      <c r="F13199" s="2"/>
      <c r="G13199" s="2"/>
      <c r="H13199" s="2"/>
      <c r="I13199" s="2"/>
      <c r="J13199" s="2"/>
      <c r="K13199" s="2"/>
      <c r="L13199" s="2"/>
      <c r="M13199" s="2"/>
      <c r="N13199" s="2"/>
      <c r="O13199" s="2"/>
      <c r="P13199" s="2"/>
      <c r="Q13199" s="2"/>
      <c r="R13199" s="2"/>
      <c r="S13199" s="2"/>
      <c r="T13199" s="2"/>
      <c r="U13199" s="2"/>
      <c r="V13199" s="2"/>
      <c r="W13199" s="2"/>
      <c r="X13199" s="2"/>
      <c r="Y13199" s="2"/>
      <c r="Z13199" s="2"/>
    </row>
    <row r="13200" spans="1:26" ht="16.5" x14ac:dyDescent="0.35">
      <c r="A13200" s="2" t="str">
        <f ca="1">IFERROR(__xludf.DUMMYFUNCTION("""COMPUTED_VALUE"""),"Dubai")</f>
        <v>Dubai</v>
      </c>
      <c r="B13200" s="2" t="str">
        <f ca="1">IFERROR(__xludf.DUMMYFUNCTION("""COMPUTED_VALUE"""),"Hartland Greens")</f>
        <v>Hartland Greens</v>
      </c>
      <c r="C13200" s="2" t="str">
        <f ca="1">IFERROR(__xludf.DUMMYFUNCTION("""COMPUTED_VALUE"""),"Cluster")</f>
        <v>Cluster</v>
      </c>
      <c r="D13200" s="2" t="str">
        <f ca="1">IFERROR(__xludf.DUMMYFUNCTION("""COMPUTED_VALUE"""),"Dubai&gt;Sobha Hartland&gt;Hartland Greens")</f>
        <v>Dubai&gt;Sobha Hartland&gt;Hartland Greens</v>
      </c>
      <c r="E13200" s="2"/>
      <c r="F13200" s="2"/>
      <c r="G13200" s="2"/>
      <c r="H13200" s="2"/>
      <c r="I13200" s="2"/>
      <c r="J13200" s="2"/>
      <c r="K13200" s="2"/>
      <c r="L13200" s="2"/>
      <c r="M13200" s="2"/>
      <c r="N13200" s="2"/>
      <c r="O13200" s="2"/>
      <c r="P13200" s="2"/>
      <c r="Q13200" s="2"/>
      <c r="R13200" s="2"/>
      <c r="S13200" s="2"/>
      <c r="T13200" s="2"/>
      <c r="U13200" s="2"/>
      <c r="V13200" s="2"/>
      <c r="W13200" s="2"/>
      <c r="X13200" s="2"/>
      <c r="Y13200" s="2"/>
      <c r="Z13200" s="2"/>
    </row>
    <row r="13201" spans="1:26" ht="16.5" x14ac:dyDescent="0.35">
      <c r="A13201" s="2" t="str">
        <f ca="1">IFERROR(__xludf.DUMMYFUNCTION("""COMPUTED_VALUE"""),"Dubai")</f>
        <v>Dubai</v>
      </c>
      <c r="B13201" s="2" t="str">
        <f ca="1">IFERROR(__xludf.DUMMYFUNCTION("""COMPUTED_VALUE"""),"Sobha Creek Vistas Reserve Tower B")</f>
        <v>Sobha Creek Vistas Reserve Tower B</v>
      </c>
      <c r="C13201" s="2" t="str">
        <f ca="1">IFERROR(__xludf.DUMMYFUNCTION("""COMPUTED_VALUE"""),"Building")</f>
        <v>Building</v>
      </c>
      <c r="D13201" s="2" t="str">
        <f ca="1">IFERROR(__xludf.DUMMYFUNCTION("""COMPUTED_VALUE"""),"Dubai&gt;Sobha Hartland&gt;Sobha Creek Vistas Reserve&gt;Sobha Creek Vistas Reserve Tower B")</f>
        <v>Dubai&gt;Sobha Hartland&gt;Sobha Creek Vistas Reserve&gt;Sobha Creek Vistas Reserve Tower B</v>
      </c>
      <c r="E13201" s="2"/>
      <c r="F13201" s="2"/>
      <c r="G13201" s="2"/>
      <c r="H13201" s="2"/>
      <c r="I13201" s="2"/>
      <c r="J13201" s="2"/>
      <c r="K13201" s="2"/>
      <c r="L13201" s="2"/>
      <c r="M13201" s="2"/>
      <c r="N13201" s="2"/>
      <c r="O13201" s="2"/>
      <c r="P13201" s="2"/>
      <c r="Q13201" s="2"/>
      <c r="R13201" s="2"/>
      <c r="S13201" s="2"/>
      <c r="T13201" s="2"/>
      <c r="U13201" s="2"/>
      <c r="V13201" s="2"/>
      <c r="W13201" s="2"/>
      <c r="X13201" s="2"/>
      <c r="Y13201" s="2"/>
      <c r="Z13201" s="2"/>
    </row>
    <row r="13202" spans="1:26" ht="16.5" x14ac:dyDescent="0.35">
      <c r="A13202" s="2" t="str">
        <f ca="1">IFERROR(__xludf.DUMMYFUNCTION("""COMPUTED_VALUE"""),"Dubai")</f>
        <v>Dubai</v>
      </c>
      <c r="B13202" s="2" t="str">
        <f ca="1">IFERROR(__xludf.DUMMYFUNCTION("""COMPUTED_VALUE"""),"Jumeirah Heights A")</f>
        <v>Jumeirah Heights A</v>
      </c>
      <c r="C13202" s="2" t="str">
        <f ca="1">IFERROR(__xludf.DUMMYFUNCTION("""COMPUTED_VALUE"""),"Building")</f>
        <v>Building</v>
      </c>
      <c r="D13202" s="2" t="str">
        <f ca="1">IFERROR(__xludf.DUMMYFUNCTION("""COMPUTED_VALUE"""),"Dubai&gt;Jumeirah Heights&gt;Jumeirah Heights A")</f>
        <v>Dubai&gt;Jumeirah Heights&gt;Jumeirah Heights A</v>
      </c>
      <c r="E13202" s="2"/>
      <c r="F13202" s="2"/>
      <c r="G13202" s="2"/>
      <c r="H13202" s="2"/>
      <c r="I13202" s="2"/>
      <c r="J13202" s="2"/>
      <c r="K13202" s="2"/>
      <c r="L13202" s="2"/>
      <c r="M13202" s="2"/>
      <c r="N13202" s="2"/>
      <c r="O13202" s="2"/>
      <c r="P13202" s="2"/>
      <c r="Q13202" s="2"/>
      <c r="R13202" s="2"/>
      <c r="S13202" s="2"/>
      <c r="T13202" s="2"/>
      <c r="U13202" s="2"/>
      <c r="V13202" s="2"/>
      <c r="W13202" s="2"/>
      <c r="X13202" s="2"/>
      <c r="Y13202" s="2"/>
      <c r="Z13202" s="2"/>
    </row>
    <row r="13203" spans="1:26" ht="16.5" x14ac:dyDescent="0.35">
      <c r="A13203" s="2" t="str">
        <f ca="1">IFERROR(__xludf.DUMMYFUNCTION("""COMPUTED_VALUE"""),"Dubai")</f>
        <v>Dubai</v>
      </c>
      <c r="B13203" s="2" t="str">
        <f ca="1">IFERROR(__xludf.DUMMYFUNCTION("""COMPUTED_VALUE"""),"Maha Villas")</f>
        <v>Maha Villas</v>
      </c>
      <c r="C13203" s="2" t="str">
        <f ca="1">IFERROR(__xludf.DUMMYFUNCTION("""COMPUTED_VALUE"""),"Neighbourhood")</f>
        <v>Neighbourhood</v>
      </c>
      <c r="D13203" s="2" t="str">
        <f ca="1">IFERROR(__xludf.DUMMYFUNCTION("""COMPUTED_VALUE"""),"Dubai&gt;Expo City&gt;Expo Valley&gt;Maha Villas")</f>
        <v>Dubai&gt;Expo City&gt;Expo Valley&gt;Maha Villas</v>
      </c>
      <c r="E13203" s="2"/>
      <c r="F13203" s="2"/>
      <c r="G13203" s="2"/>
      <c r="H13203" s="2"/>
      <c r="I13203" s="2"/>
      <c r="J13203" s="2"/>
      <c r="K13203" s="2"/>
      <c r="L13203" s="2"/>
      <c r="M13203" s="2"/>
      <c r="N13203" s="2"/>
      <c r="O13203" s="2"/>
      <c r="P13203" s="2"/>
      <c r="Q13203" s="2"/>
      <c r="R13203" s="2"/>
      <c r="S13203" s="2"/>
      <c r="T13203" s="2"/>
      <c r="U13203" s="2"/>
      <c r="V13203" s="2"/>
      <c r="W13203" s="2"/>
      <c r="X13203" s="2"/>
      <c r="Y13203" s="2"/>
      <c r="Z13203" s="2"/>
    </row>
    <row r="13204" spans="1:26" ht="16.5" x14ac:dyDescent="0.35">
      <c r="A13204" s="2" t="str">
        <f ca="1">IFERROR(__xludf.DUMMYFUNCTION("""COMPUTED_VALUE"""),"Dubai")</f>
        <v>Dubai</v>
      </c>
      <c r="B13204" s="2" t="str">
        <f ca="1">IFERROR(__xludf.DUMMYFUNCTION("""COMPUTED_VALUE"""),"Monaco")</f>
        <v>Monaco</v>
      </c>
      <c r="C13204" s="2" t="str">
        <f ca="1">IFERROR(__xludf.DUMMYFUNCTION("""COMPUTED_VALUE"""),"Building")</f>
        <v>Building</v>
      </c>
      <c r="D13204" s="2" t="str">
        <f ca="1">IFERROR(__xludf.DUMMYFUNCTION("""COMPUTED_VALUE"""),"Dubai&gt;The World Islands&gt;The Heart of Europe&gt;Cote D' Azur Resort&gt;Monaco")</f>
        <v>Dubai&gt;The World Islands&gt;The Heart of Europe&gt;Cote D' Azur Resort&gt;Monaco</v>
      </c>
      <c r="E13204" s="2"/>
      <c r="F13204" s="2"/>
      <c r="G13204" s="2"/>
      <c r="H13204" s="2"/>
      <c r="I13204" s="2"/>
      <c r="J13204" s="2"/>
      <c r="K13204" s="2"/>
      <c r="L13204" s="2"/>
      <c r="M13204" s="2"/>
      <c r="N13204" s="2"/>
      <c r="O13204" s="2"/>
      <c r="P13204" s="2"/>
      <c r="Q13204" s="2"/>
      <c r="R13204" s="2"/>
      <c r="S13204" s="2"/>
      <c r="T13204" s="2"/>
      <c r="U13204" s="2"/>
      <c r="V13204" s="2"/>
      <c r="W13204" s="2"/>
      <c r="X13204" s="2"/>
      <c r="Y13204" s="2"/>
      <c r="Z13204" s="2"/>
    </row>
    <row r="13205" spans="1:26" ht="16.5" x14ac:dyDescent="0.35">
      <c r="A13205" s="2" t="str">
        <f ca="1">IFERROR(__xludf.DUMMYFUNCTION("""COMPUTED_VALUE"""),"Dubai")</f>
        <v>Dubai</v>
      </c>
      <c r="B13205" s="2" t="str">
        <f ca="1">IFERROR(__xludf.DUMMYFUNCTION("""COMPUTED_VALUE"""),"Ghadeer Barashy")</f>
        <v>Ghadeer Barashy</v>
      </c>
      <c r="C13205" s="2" t="str">
        <f ca="1">IFERROR(__xludf.DUMMYFUNCTION("""COMPUTED_VALUE"""),"Neighbourhood")</f>
        <v>Neighbourhood</v>
      </c>
      <c r="D13205" s="2" t="str">
        <f ca="1">IFERROR(__xludf.DUMMYFUNCTION("""COMPUTED_VALUE"""),"Dubai&gt;Ghadeer Barashy")</f>
        <v>Dubai&gt;Ghadeer Barashy</v>
      </c>
      <c r="E13205" s="2"/>
      <c r="F13205" s="2"/>
      <c r="G13205" s="2"/>
      <c r="H13205" s="2"/>
      <c r="I13205" s="2"/>
      <c r="J13205" s="2"/>
      <c r="K13205" s="2"/>
      <c r="L13205" s="2"/>
      <c r="M13205" s="2"/>
      <c r="N13205" s="2"/>
      <c r="O13205" s="2"/>
      <c r="P13205" s="2"/>
      <c r="Q13205" s="2"/>
      <c r="R13205" s="2"/>
      <c r="S13205" s="2"/>
      <c r="T13205" s="2"/>
      <c r="U13205" s="2"/>
      <c r="V13205" s="2"/>
      <c r="W13205" s="2"/>
      <c r="X13205" s="2"/>
      <c r="Y13205" s="2"/>
      <c r="Z13205" s="2"/>
    </row>
    <row r="13206" spans="1:26" ht="16.5" x14ac:dyDescent="0.35">
      <c r="A13206" s="2" t="str">
        <f ca="1">IFERROR(__xludf.DUMMYFUNCTION("""COMPUTED_VALUE"""),"Dubai")</f>
        <v>Dubai</v>
      </c>
      <c r="B13206" s="2" t="str">
        <f ca="1">IFERROR(__xludf.DUMMYFUNCTION("""COMPUTED_VALUE"""),"Zeston")</f>
        <v>Zeston</v>
      </c>
      <c r="C13206" s="2" t="str">
        <f ca="1">IFERROR(__xludf.DUMMYFUNCTION("""COMPUTED_VALUE"""),"Neighbourhood")</f>
        <v>Neighbourhood</v>
      </c>
      <c r="D13206" s="2" t="str">
        <f ca="1">IFERROR(__xludf.DUMMYFUNCTION("""COMPUTED_VALUE"""),"Dubai&gt;Athlon by Aldar&gt;Zeston")</f>
        <v>Dubai&gt;Athlon by Aldar&gt;Zeston</v>
      </c>
      <c r="E13206" s="2"/>
      <c r="F13206" s="2"/>
      <c r="G13206" s="2"/>
      <c r="H13206" s="2"/>
      <c r="I13206" s="2"/>
      <c r="J13206" s="2"/>
      <c r="K13206" s="2"/>
      <c r="L13206" s="2"/>
      <c r="M13206" s="2"/>
      <c r="N13206" s="2"/>
      <c r="O13206" s="2"/>
      <c r="P13206" s="2"/>
      <c r="Q13206" s="2"/>
      <c r="R13206" s="2"/>
      <c r="S13206" s="2"/>
      <c r="T13206" s="2"/>
      <c r="U13206" s="2"/>
      <c r="V13206" s="2"/>
      <c r="W13206" s="2"/>
      <c r="X13206" s="2"/>
      <c r="Y13206" s="2"/>
      <c r="Z13206" s="2"/>
    </row>
    <row r="13207" spans="1:26" ht="16.5" x14ac:dyDescent="0.35">
      <c r="A13207" s="2" t="str">
        <f ca="1">IFERROR(__xludf.DUMMYFUNCTION("""COMPUTED_VALUE"""),"Dubai")</f>
        <v>Dubai</v>
      </c>
      <c r="B13207" s="2" t="str">
        <f ca="1">IFERROR(__xludf.DUMMYFUNCTION("""COMPUTED_VALUE"""),"Cilia Building 10")</f>
        <v>Cilia Building 10</v>
      </c>
      <c r="C13207" s="2" t="str">
        <f ca="1">IFERROR(__xludf.DUMMYFUNCTION("""COMPUTED_VALUE"""),"Building")</f>
        <v>Building</v>
      </c>
      <c r="D13207" s="2" t="str">
        <f ca="1">IFERROR(__xludf.DUMMYFUNCTION("""COMPUTED_VALUE"""),"Dubai&gt;Ghaf Woods&gt;Cilia&gt;Cilia Building 10")</f>
        <v>Dubai&gt;Ghaf Woods&gt;Cilia&gt;Cilia Building 10</v>
      </c>
      <c r="E13207" s="2"/>
      <c r="F13207" s="2"/>
      <c r="G13207" s="2"/>
      <c r="H13207" s="2"/>
      <c r="I13207" s="2"/>
      <c r="J13207" s="2"/>
      <c r="K13207" s="2"/>
      <c r="L13207" s="2"/>
      <c r="M13207" s="2"/>
      <c r="N13207" s="2"/>
      <c r="O13207" s="2"/>
      <c r="P13207" s="2"/>
      <c r="Q13207" s="2"/>
      <c r="R13207" s="2"/>
      <c r="S13207" s="2"/>
      <c r="T13207" s="2"/>
      <c r="U13207" s="2"/>
      <c r="V13207" s="2"/>
      <c r="W13207" s="2"/>
      <c r="X13207" s="2"/>
      <c r="Y13207" s="2"/>
      <c r="Z13207" s="2"/>
    </row>
    <row r="13208" spans="1:26" ht="16.5" x14ac:dyDescent="0.35">
      <c r="A13208" s="2" t="str">
        <f ca="1">IFERROR(__xludf.DUMMYFUNCTION("""COMPUTED_VALUE"""),"Dubai")</f>
        <v>Dubai</v>
      </c>
      <c r="B13208" s="2" t="str">
        <f ca="1">IFERROR(__xludf.DUMMYFUNCTION("""COMPUTED_VALUE"""),"Bora Bora 4")</f>
        <v>Bora Bora 4</v>
      </c>
      <c r="C13208" s="2" t="str">
        <f ca="1">IFERROR(__xludf.DUMMYFUNCTION("""COMPUTED_VALUE"""),"Neighbourhood")</f>
        <v>Neighbourhood</v>
      </c>
      <c r="D13208" s="2" t="str">
        <f ca="1">IFERROR(__xludf.DUMMYFUNCTION("""COMPUTED_VALUE"""),"Dubai&gt;DAMAC Islands&gt;Bora Bora 4")</f>
        <v>Dubai&gt;DAMAC Islands&gt;Bora Bora 4</v>
      </c>
      <c r="E13208" s="2"/>
      <c r="F13208" s="2"/>
      <c r="G13208" s="2"/>
      <c r="H13208" s="2"/>
      <c r="I13208" s="2"/>
      <c r="J13208" s="2"/>
      <c r="K13208" s="2"/>
      <c r="L13208" s="2"/>
      <c r="M13208" s="2"/>
      <c r="N13208" s="2"/>
      <c r="O13208" s="2"/>
      <c r="P13208" s="2"/>
      <c r="Q13208" s="2"/>
      <c r="R13208" s="2"/>
      <c r="S13208" s="2"/>
      <c r="T13208" s="2"/>
      <c r="U13208" s="2"/>
      <c r="V13208" s="2"/>
      <c r="W13208" s="2"/>
      <c r="X13208" s="2"/>
      <c r="Y13208" s="2"/>
      <c r="Z13208" s="2"/>
    </row>
    <row r="13209" spans="1:26" ht="16.5" x14ac:dyDescent="0.35">
      <c r="A13209" s="2" t="str">
        <f ca="1">IFERROR(__xludf.DUMMYFUNCTION("""COMPUTED_VALUE"""),"Dubai")</f>
        <v>Dubai</v>
      </c>
      <c r="B13209" s="2" t="str">
        <f ca="1">IFERROR(__xludf.DUMMYFUNCTION("""COMPUTED_VALUE"""),"Murjan 1")</f>
        <v>Murjan 1</v>
      </c>
      <c r="C13209" s="2" t="str">
        <f ca="1">IFERROR(__xludf.DUMMYFUNCTION("""COMPUTED_VALUE"""),"Building")</f>
        <v>Building</v>
      </c>
      <c r="D13209" s="2" t="str">
        <f ca="1">IFERROR(__xludf.DUMMYFUNCTION("""COMPUTED_VALUE"""),"Dubai&gt;Jumeirah Beach Residence (JBR)&gt;Murjan&gt;Murjan 1")</f>
        <v>Dubai&gt;Jumeirah Beach Residence (JBR)&gt;Murjan&gt;Murjan 1</v>
      </c>
      <c r="E13209" s="2"/>
      <c r="F13209" s="2"/>
      <c r="G13209" s="2"/>
      <c r="H13209" s="2"/>
      <c r="I13209" s="2"/>
      <c r="J13209" s="2"/>
      <c r="K13209" s="2"/>
      <c r="L13209" s="2"/>
      <c r="M13209" s="2"/>
      <c r="N13209" s="2"/>
      <c r="O13209" s="2"/>
      <c r="P13209" s="2"/>
      <c r="Q13209" s="2"/>
      <c r="R13209" s="2"/>
      <c r="S13209" s="2"/>
      <c r="T13209" s="2"/>
      <c r="U13209" s="2"/>
      <c r="V13209" s="2"/>
      <c r="W13209" s="2"/>
      <c r="X13209" s="2"/>
      <c r="Y13209" s="2"/>
      <c r="Z13209" s="2"/>
    </row>
    <row r="13210" spans="1:26" ht="16.5" x14ac:dyDescent="0.35">
      <c r="A13210" s="2" t="str">
        <f ca="1">IFERROR(__xludf.DUMMYFUNCTION("""COMPUTED_VALUE"""),"Dubai")</f>
        <v>Dubai</v>
      </c>
      <c r="B13210" s="2" t="str">
        <f ca="1">IFERROR(__xludf.DUMMYFUNCTION("""COMPUTED_VALUE"""),"Toddler Town Jumeirah Beach Residence")</f>
        <v>Toddler Town Jumeirah Beach Residence</v>
      </c>
      <c r="C13210" s="2" t="str">
        <f ca="1">IFERROR(__xludf.DUMMYFUNCTION("""COMPUTED_VALUE"""),"Nursery")</f>
        <v>Nursery</v>
      </c>
      <c r="D13210" s="2" t="str">
        <f ca="1">IFERROR(__xludf.DUMMYFUNCTION("""COMPUTED_VALUE"""),"Dubai&gt;Jumeirah Beach Residence (JBR)&gt;Amwaj&gt;Toddler Town Jumeirah Beach Residence")</f>
        <v>Dubai&gt;Jumeirah Beach Residence (JBR)&gt;Amwaj&gt;Toddler Town Jumeirah Beach Residence</v>
      </c>
      <c r="E13210" s="2"/>
      <c r="F13210" s="2"/>
      <c r="G13210" s="2"/>
      <c r="H13210" s="2"/>
      <c r="I13210" s="2"/>
      <c r="J13210" s="2"/>
      <c r="K13210" s="2"/>
      <c r="L13210" s="2"/>
      <c r="M13210" s="2"/>
      <c r="N13210" s="2"/>
      <c r="O13210" s="2"/>
      <c r="P13210" s="2"/>
      <c r="Q13210" s="2"/>
      <c r="R13210" s="2"/>
      <c r="S13210" s="2"/>
      <c r="T13210" s="2"/>
      <c r="U13210" s="2"/>
      <c r="V13210" s="2"/>
      <c r="W13210" s="2"/>
      <c r="X13210" s="2"/>
      <c r="Y13210" s="2"/>
      <c r="Z13210" s="2"/>
    </row>
    <row r="13211" spans="1:26" ht="16.5" x14ac:dyDescent="0.35">
      <c r="A13211" s="2" t="str">
        <f ca="1">IFERROR(__xludf.DUMMYFUNCTION("""COMPUTED_VALUE"""),"Dubai")</f>
        <v>Dubai</v>
      </c>
      <c r="B13211" s="2" t="str">
        <f ca="1">IFERROR(__xludf.DUMMYFUNCTION("""COMPUTED_VALUE"""),"R Home MH")</f>
        <v>R Home MH</v>
      </c>
      <c r="C13211" s="2" t="str">
        <f ca="1">IFERROR(__xludf.DUMMYFUNCTION("""COMPUTED_VALUE"""),"Building")</f>
        <v>Building</v>
      </c>
      <c r="D13211" s="2" t="str">
        <f ca="1">IFERROR(__xludf.DUMMYFUNCTION("""COMPUTED_VALUE"""),"Dubai&gt;Meydan Horizon&gt;R Home MH")</f>
        <v>Dubai&gt;Meydan Horizon&gt;R Home MH</v>
      </c>
      <c r="E13211" s="2"/>
      <c r="F13211" s="2"/>
      <c r="G13211" s="2"/>
      <c r="H13211" s="2"/>
      <c r="I13211" s="2"/>
      <c r="J13211" s="2"/>
      <c r="K13211" s="2"/>
      <c r="L13211" s="2"/>
      <c r="M13211" s="2"/>
      <c r="N13211" s="2"/>
      <c r="O13211" s="2"/>
      <c r="P13211" s="2"/>
      <c r="Q13211" s="2"/>
      <c r="R13211" s="2"/>
      <c r="S13211" s="2"/>
      <c r="T13211" s="2"/>
      <c r="U13211" s="2"/>
      <c r="V13211" s="2"/>
      <c r="W13211" s="2"/>
      <c r="X13211" s="2"/>
      <c r="Y13211" s="2"/>
      <c r="Z13211" s="2"/>
    </row>
    <row r="13212" spans="1:26" ht="16.5" x14ac:dyDescent="0.35">
      <c r="A13212" s="2" t="str">
        <f ca="1">IFERROR(__xludf.DUMMYFUNCTION("""COMPUTED_VALUE"""),"Dubai")</f>
        <v>Dubai</v>
      </c>
      <c r="B13212" s="2" t="str">
        <f ca="1">IFERROR(__xludf.DUMMYFUNCTION("""COMPUTED_VALUE"""),"Building 20")</f>
        <v>Building 20</v>
      </c>
      <c r="C13212" s="2" t="str">
        <f ca="1">IFERROR(__xludf.DUMMYFUNCTION("""COMPUTED_VALUE"""),"Building")</f>
        <v>Building</v>
      </c>
      <c r="D13212" s="2" t="str">
        <f ca="1">IFERROR(__xludf.DUMMYFUNCTION("""COMPUTED_VALUE"""),"Dubai&gt;Al Wasl&gt;City Walk&gt;Building 20")</f>
        <v>Dubai&gt;Al Wasl&gt;City Walk&gt;Building 20</v>
      </c>
      <c r="E13212" s="2"/>
      <c r="F13212" s="2"/>
      <c r="G13212" s="2"/>
      <c r="H13212" s="2"/>
      <c r="I13212" s="2"/>
      <c r="J13212" s="2"/>
      <c r="K13212" s="2"/>
      <c r="L13212" s="2"/>
      <c r="M13212" s="2"/>
      <c r="N13212" s="2"/>
      <c r="O13212" s="2"/>
      <c r="P13212" s="2"/>
      <c r="Q13212" s="2"/>
      <c r="R13212" s="2"/>
      <c r="S13212" s="2"/>
      <c r="T13212" s="2"/>
      <c r="U13212" s="2"/>
      <c r="V13212" s="2"/>
      <c r="W13212" s="2"/>
      <c r="X13212" s="2"/>
      <c r="Y13212" s="2"/>
      <c r="Z13212" s="2"/>
    </row>
    <row r="13213" spans="1:26" ht="16.5" x14ac:dyDescent="0.35">
      <c r="A13213" s="2" t="str">
        <f ca="1">IFERROR(__xludf.DUMMYFUNCTION("""COMPUTED_VALUE"""),"Dubai")</f>
        <v>Dubai</v>
      </c>
      <c r="B13213" s="2" t="str">
        <f ca="1">IFERROR(__xludf.DUMMYFUNCTION("""COMPUTED_VALUE"""),"Building 1")</f>
        <v>Building 1</v>
      </c>
      <c r="C13213" s="2" t="str">
        <f ca="1">IFERROR(__xludf.DUMMYFUNCTION("""COMPUTED_VALUE"""),"Building")</f>
        <v>Building</v>
      </c>
      <c r="D13213" s="2" t="str">
        <f ca="1">IFERROR(__xludf.DUMMYFUNCTION("""COMPUTED_VALUE"""),"Dubai&gt;Al Wasl&gt;City Walk&gt;Central Park&gt;Building 1")</f>
        <v>Dubai&gt;Al Wasl&gt;City Walk&gt;Central Park&gt;Building 1</v>
      </c>
      <c r="E13213" s="2"/>
      <c r="F13213" s="2"/>
      <c r="G13213" s="2"/>
      <c r="H13213" s="2"/>
      <c r="I13213" s="2"/>
      <c r="J13213" s="2"/>
      <c r="K13213" s="2"/>
      <c r="L13213" s="2"/>
      <c r="M13213" s="2"/>
      <c r="N13213" s="2"/>
      <c r="O13213" s="2"/>
      <c r="P13213" s="2"/>
      <c r="Q13213" s="2"/>
      <c r="R13213" s="2"/>
      <c r="S13213" s="2"/>
      <c r="T13213" s="2"/>
      <c r="U13213" s="2"/>
      <c r="V13213" s="2"/>
      <c r="W13213" s="2"/>
      <c r="X13213" s="2"/>
      <c r="Y13213" s="2"/>
      <c r="Z13213" s="2"/>
    </row>
    <row r="13214" spans="1:26" ht="16.5" x14ac:dyDescent="0.35">
      <c r="A13214" s="2" t="str">
        <f ca="1">IFERROR(__xludf.DUMMYFUNCTION("""COMPUTED_VALUE"""),"Dubai")</f>
        <v>Dubai</v>
      </c>
      <c r="B13214" s="2" t="str">
        <f ca="1">IFERROR(__xludf.DUMMYFUNCTION("""COMPUTED_VALUE"""),"City Walk Crestlane 3")</f>
        <v>City Walk Crestlane 3</v>
      </c>
      <c r="C13214" s="2" t="str">
        <f ca="1">IFERROR(__xludf.DUMMYFUNCTION("""COMPUTED_VALUE"""),"Cluster")</f>
        <v>Cluster</v>
      </c>
      <c r="D13214" s="2" t="str">
        <f ca="1">IFERROR(__xludf.DUMMYFUNCTION("""COMPUTED_VALUE"""),"Dubai&gt;Al Wasl&gt;City Walk&gt;City Walk Crestlane 3")</f>
        <v>Dubai&gt;Al Wasl&gt;City Walk&gt;City Walk Crestlane 3</v>
      </c>
      <c r="E13214" s="2"/>
      <c r="F13214" s="2"/>
      <c r="G13214" s="2"/>
      <c r="H13214" s="2"/>
      <c r="I13214" s="2"/>
      <c r="J13214" s="2"/>
      <c r="K13214" s="2"/>
      <c r="L13214" s="2"/>
      <c r="M13214" s="2"/>
      <c r="N13214" s="2"/>
      <c r="O13214" s="2"/>
      <c r="P13214" s="2"/>
      <c r="Q13214" s="2"/>
      <c r="R13214" s="2"/>
      <c r="S13214" s="2"/>
      <c r="T13214" s="2"/>
      <c r="U13214" s="2"/>
      <c r="V13214" s="2"/>
      <c r="W13214" s="2"/>
      <c r="X13214" s="2"/>
      <c r="Y13214" s="2"/>
      <c r="Z13214" s="2"/>
    </row>
    <row r="13215" spans="1:26" ht="16.5" x14ac:dyDescent="0.35">
      <c r="A13215" s="2" t="str">
        <f ca="1">IFERROR(__xludf.DUMMYFUNCTION("""COMPUTED_VALUE"""),"Dubai")</f>
        <v>Dubai</v>
      </c>
      <c r="B13215" s="2" t="str">
        <f ca="1">IFERROR(__xludf.DUMMYFUNCTION("""COMPUTED_VALUE"""),"Aswar Building")</f>
        <v>Aswar Building</v>
      </c>
      <c r="C13215" s="2" t="str">
        <f ca="1">IFERROR(__xludf.DUMMYFUNCTION("""COMPUTED_VALUE"""),"Building")</f>
        <v>Building</v>
      </c>
      <c r="D13215" s="2" t="str">
        <f ca="1">IFERROR(__xludf.DUMMYFUNCTION("""COMPUTED_VALUE"""),"Dubai&gt;Al Wasl&gt;Aswar Building")</f>
        <v>Dubai&gt;Al Wasl&gt;Aswar Building</v>
      </c>
      <c r="E13215" s="2"/>
      <c r="F13215" s="2"/>
      <c r="G13215" s="2"/>
      <c r="H13215" s="2"/>
      <c r="I13215" s="2"/>
      <c r="J13215" s="2"/>
      <c r="K13215" s="2"/>
      <c r="L13215" s="2"/>
      <c r="M13215" s="2"/>
      <c r="N13215" s="2"/>
      <c r="O13215" s="2"/>
      <c r="P13215" s="2"/>
      <c r="Q13215" s="2"/>
      <c r="R13215" s="2"/>
      <c r="S13215" s="2"/>
      <c r="T13215" s="2"/>
      <c r="U13215" s="2"/>
      <c r="V13215" s="2"/>
      <c r="W13215" s="2"/>
      <c r="X13215" s="2"/>
      <c r="Y13215" s="2"/>
      <c r="Z13215" s="2"/>
    </row>
    <row r="13216" spans="1:26" ht="16.5" x14ac:dyDescent="0.35">
      <c r="A13216" s="2" t="str">
        <f ca="1">IFERROR(__xludf.DUMMYFUNCTION("""COMPUTED_VALUE"""),"Dubai")</f>
        <v>Dubai</v>
      </c>
      <c r="B13216" s="2" t="str">
        <f ca="1">IFERROR(__xludf.DUMMYFUNCTION("""COMPUTED_VALUE"""),"Vincitore Boulevard F")</f>
        <v>Vincitore Boulevard F</v>
      </c>
      <c r="C13216" s="2" t="str">
        <f ca="1">IFERROR(__xludf.DUMMYFUNCTION("""COMPUTED_VALUE"""),"Building")</f>
        <v>Building</v>
      </c>
      <c r="D13216" s="2" t="str">
        <f ca="1">IFERROR(__xludf.DUMMYFUNCTION("""COMPUTED_VALUE"""),"Dubai&gt;Arjan&gt;Vincitore Boulevard&gt;Vincitore Boulevard F")</f>
        <v>Dubai&gt;Arjan&gt;Vincitore Boulevard&gt;Vincitore Boulevard F</v>
      </c>
      <c r="E13216" s="2"/>
      <c r="F13216" s="2"/>
      <c r="G13216" s="2"/>
      <c r="H13216" s="2"/>
      <c r="I13216" s="2"/>
      <c r="J13216" s="2"/>
      <c r="K13216" s="2"/>
      <c r="L13216" s="2"/>
      <c r="M13216" s="2"/>
      <c r="N13216" s="2"/>
      <c r="O13216" s="2"/>
      <c r="P13216" s="2"/>
      <c r="Q13216" s="2"/>
      <c r="R13216" s="2"/>
      <c r="S13216" s="2"/>
      <c r="T13216" s="2"/>
      <c r="U13216" s="2"/>
      <c r="V13216" s="2"/>
      <c r="W13216" s="2"/>
      <c r="X13216" s="2"/>
      <c r="Y13216" s="2"/>
      <c r="Z13216" s="2"/>
    </row>
    <row r="13217" spans="1:26" ht="16.5" x14ac:dyDescent="0.35">
      <c r="A13217" s="2" t="str">
        <f ca="1">IFERROR(__xludf.DUMMYFUNCTION("""COMPUTED_VALUE"""),"Dubai")</f>
        <v>Dubai</v>
      </c>
      <c r="B13217" s="2" t="str">
        <f ca="1">IFERROR(__xludf.DUMMYFUNCTION("""COMPUTED_VALUE"""),"Dania")</f>
        <v>Dania</v>
      </c>
      <c r="C13217" s="2" t="str">
        <f ca="1">IFERROR(__xludf.DUMMYFUNCTION("""COMPUTED_VALUE"""),"Cluster")</f>
        <v>Cluster</v>
      </c>
      <c r="D13217" s="2" t="str">
        <f ca="1">IFERROR(__xludf.DUMMYFUNCTION("""COMPUTED_VALUE"""),"Dubai&gt;Arjan&gt;Dania")</f>
        <v>Dubai&gt;Arjan&gt;Dania</v>
      </c>
      <c r="E13217" s="2"/>
      <c r="F13217" s="2"/>
      <c r="G13217" s="2"/>
      <c r="H13217" s="2"/>
      <c r="I13217" s="2"/>
      <c r="J13217" s="2"/>
      <c r="K13217" s="2"/>
      <c r="L13217" s="2"/>
      <c r="M13217" s="2"/>
      <c r="N13217" s="2"/>
      <c r="O13217" s="2"/>
      <c r="P13217" s="2"/>
      <c r="Q13217" s="2"/>
      <c r="R13217" s="2"/>
      <c r="S13217" s="2"/>
      <c r="T13217" s="2"/>
      <c r="U13217" s="2"/>
      <c r="V13217" s="2"/>
      <c r="W13217" s="2"/>
      <c r="X13217" s="2"/>
      <c r="Y13217" s="2"/>
      <c r="Z13217" s="2"/>
    </row>
    <row r="13218" spans="1:26" ht="16.5" x14ac:dyDescent="0.35">
      <c r="A13218" s="2" t="str">
        <f ca="1">IFERROR(__xludf.DUMMYFUNCTION("""COMPUTED_VALUE"""),"Dubai")</f>
        <v>Dubai</v>
      </c>
      <c r="B13218" s="2" t="str">
        <f ca="1">IFERROR(__xludf.DUMMYFUNCTION("""COMPUTED_VALUE"""),"Mizin Tower")</f>
        <v>Mizin Tower</v>
      </c>
      <c r="C13218" s="2" t="str">
        <f ca="1">IFERROR(__xludf.DUMMYFUNCTION("""COMPUTED_VALUE"""),"Building")</f>
        <v>Building</v>
      </c>
      <c r="D13218" s="2" t="str">
        <f ca="1">IFERROR(__xludf.DUMMYFUNCTION("""COMPUTED_VALUE"""),"Dubai&gt;Arjan&gt;Mizin Tower")</f>
        <v>Dubai&gt;Arjan&gt;Mizin Tower</v>
      </c>
      <c r="E13218" s="2"/>
      <c r="F13218" s="2"/>
      <c r="G13218" s="2"/>
      <c r="H13218" s="2"/>
      <c r="I13218" s="2"/>
      <c r="J13218" s="2"/>
      <c r="K13218" s="2"/>
      <c r="L13218" s="2"/>
      <c r="M13218" s="2"/>
      <c r="N13218" s="2"/>
      <c r="O13218" s="2"/>
      <c r="P13218" s="2"/>
      <c r="Q13218" s="2"/>
      <c r="R13218" s="2"/>
      <c r="S13218" s="2"/>
      <c r="T13218" s="2"/>
      <c r="U13218" s="2"/>
      <c r="V13218" s="2"/>
      <c r="W13218" s="2"/>
      <c r="X13218" s="2"/>
      <c r="Y13218" s="2"/>
      <c r="Z13218" s="2"/>
    </row>
    <row r="13219" spans="1:26" ht="16.5" x14ac:dyDescent="0.35">
      <c r="A13219" s="2" t="str">
        <f ca="1">IFERROR(__xludf.DUMMYFUNCTION("""COMPUTED_VALUE"""),"Dubai")</f>
        <v>Dubai</v>
      </c>
      <c r="B13219" s="2" t="str">
        <f ca="1">IFERROR(__xludf.DUMMYFUNCTION("""COMPUTED_VALUE"""),"Marquis Signature")</f>
        <v>Marquis Signature</v>
      </c>
      <c r="C13219" s="2" t="str">
        <f ca="1">IFERROR(__xludf.DUMMYFUNCTION("""COMPUTED_VALUE"""),"Building")</f>
        <v>Building</v>
      </c>
      <c r="D13219" s="2" t="str">
        <f ca="1">IFERROR(__xludf.DUMMYFUNCTION("""COMPUTED_VALUE"""),"Dubai&gt;Arjan&gt;Marquis Signature")</f>
        <v>Dubai&gt;Arjan&gt;Marquis Signature</v>
      </c>
      <c r="E13219" s="2"/>
      <c r="F13219" s="2"/>
      <c r="G13219" s="2"/>
      <c r="H13219" s="2"/>
      <c r="I13219" s="2"/>
      <c r="J13219" s="2"/>
      <c r="K13219" s="2"/>
      <c r="L13219" s="2"/>
      <c r="M13219" s="2"/>
      <c r="N13219" s="2"/>
      <c r="O13219" s="2"/>
      <c r="P13219" s="2"/>
      <c r="Q13219" s="2"/>
      <c r="R13219" s="2"/>
      <c r="S13219" s="2"/>
      <c r="T13219" s="2"/>
      <c r="U13219" s="2"/>
      <c r="V13219" s="2"/>
      <c r="W13219" s="2"/>
      <c r="X13219" s="2"/>
      <c r="Y13219" s="2"/>
      <c r="Z13219" s="2"/>
    </row>
    <row r="13220" spans="1:26" ht="16.5" x14ac:dyDescent="0.35">
      <c r="A13220" s="2" t="str">
        <f ca="1">IFERROR(__xludf.DUMMYFUNCTION("""COMPUTED_VALUE"""),"Dubai")</f>
        <v>Dubai</v>
      </c>
      <c r="B13220" s="2" t="str">
        <f ca="1">IFERROR(__xludf.DUMMYFUNCTION("""COMPUTED_VALUE"""),"Malak Arjan Block B")</f>
        <v>Malak Arjan Block B</v>
      </c>
      <c r="C13220" s="2" t="str">
        <f ca="1">IFERROR(__xludf.DUMMYFUNCTION("""COMPUTED_VALUE"""),"Building")</f>
        <v>Building</v>
      </c>
      <c r="D13220" s="2" t="str">
        <f ca="1">IFERROR(__xludf.DUMMYFUNCTION("""COMPUTED_VALUE"""),"Dubai&gt;Arjan&gt;Malak Arjan&gt;Malak Arjan Block B")</f>
        <v>Dubai&gt;Arjan&gt;Malak Arjan&gt;Malak Arjan Block B</v>
      </c>
      <c r="E13220" s="2"/>
      <c r="F13220" s="2"/>
      <c r="G13220" s="2"/>
      <c r="H13220" s="2"/>
      <c r="I13220" s="2"/>
      <c r="J13220" s="2"/>
      <c r="K13220" s="2"/>
      <c r="L13220" s="2"/>
      <c r="M13220" s="2"/>
      <c r="N13220" s="2"/>
      <c r="O13220" s="2"/>
      <c r="P13220" s="2"/>
      <c r="Q13220" s="2"/>
      <c r="R13220" s="2"/>
      <c r="S13220" s="2"/>
      <c r="T13220" s="2"/>
      <c r="U13220" s="2"/>
      <c r="V13220" s="2"/>
      <c r="W13220" s="2"/>
      <c r="X13220" s="2"/>
      <c r="Y13220" s="2"/>
      <c r="Z13220" s="2"/>
    </row>
    <row r="13221" spans="1:26" ht="16.5" x14ac:dyDescent="0.35">
      <c r="A13221" s="2" t="str">
        <f ca="1">IFERROR(__xludf.DUMMYFUNCTION("""COMPUTED_VALUE"""),"Dubai")</f>
        <v>Dubai</v>
      </c>
      <c r="B13221" s="2" t="str">
        <f ca="1">IFERROR(__xludf.DUMMYFUNCTION("""COMPUTED_VALUE"""),"Arjan Seven A2")</f>
        <v>Arjan Seven A2</v>
      </c>
      <c r="C13221" s="2" t="str">
        <f ca="1">IFERROR(__xludf.DUMMYFUNCTION("""COMPUTED_VALUE"""),"Building")</f>
        <v>Building</v>
      </c>
      <c r="D13221" s="2" t="str">
        <f ca="1">IFERROR(__xludf.DUMMYFUNCTION("""COMPUTED_VALUE"""),"Dubai&gt;Arjan&gt;Arjan Seven&gt;Arjan Seven A2")</f>
        <v>Dubai&gt;Arjan&gt;Arjan Seven&gt;Arjan Seven A2</v>
      </c>
      <c r="E13221" s="2"/>
      <c r="F13221" s="2"/>
      <c r="G13221" s="2"/>
      <c r="H13221" s="2"/>
      <c r="I13221" s="2"/>
      <c r="J13221" s="2"/>
      <c r="K13221" s="2"/>
      <c r="L13221" s="2"/>
      <c r="M13221" s="2"/>
      <c r="N13221" s="2"/>
      <c r="O13221" s="2"/>
      <c r="P13221" s="2"/>
      <c r="Q13221" s="2"/>
      <c r="R13221" s="2"/>
      <c r="S13221" s="2"/>
      <c r="T13221" s="2"/>
      <c r="U13221" s="2"/>
      <c r="V13221" s="2"/>
      <c r="W13221" s="2"/>
      <c r="X13221" s="2"/>
      <c r="Y13221" s="2"/>
      <c r="Z13221" s="2"/>
    </row>
    <row r="13222" spans="1:26" ht="16.5" x14ac:dyDescent="0.35">
      <c r="A13222" s="2" t="str">
        <f ca="1">IFERROR(__xludf.DUMMYFUNCTION("""COMPUTED_VALUE"""),"Dubai")</f>
        <v>Dubai</v>
      </c>
      <c r="B13222" s="2" t="str">
        <f ca="1">IFERROR(__xludf.DUMMYFUNCTION("""COMPUTED_VALUE"""),"Al Safa 2")</f>
        <v>Al Safa 2</v>
      </c>
      <c r="C13222" s="2" t="str">
        <f ca="1">IFERROR(__xludf.DUMMYFUNCTION("""COMPUTED_VALUE"""),"Neighbourhood")</f>
        <v>Neighbourhood</v>
      </c>
      <c r="D13222" s="2" t="str">
        <f ca="1">IFERROR(__xludf.DUMMYFUNCTION("""COMPUTED_VALUE"""),"Dubai&gt;Al Safa&gt;Al Safa 2")</f>
        <v>Dubai&gt;Al Safa&gt;Al Safa 2</v>
      </c>
      <c r="E13222" s="2"/>
      <c r="F13222" s="2"/>
      <c r="G13222" s="2"/>
      <c r="H13222" s="2"/>
      <c r="I13222" s="2"/>
      <c r="J13222" s="2"/>
      <c r="K13222" s="2"/>
      <c r="L13222" s="2"/>
      <c r="M13222" s="2"/>
      <c r="N13222" s="2"/>
      <c r="O13222" s="2"/>
      <c r="P13222" s="2"/>
      <c r="Q13222" s="2"/>
      <c r="R13222" s="2"/>
      <c r="S13222" s="2"/>
      <c r="T13222" s="2"/>
      <c r="U13222" s="2"/>
      <c r="V13222" s="2"/>
      <c r="W13222" s="2"/>
      <c r="X13222" s="2"/>
      <c r="Y13222" s="2"/>
      <c r="Z13222" s="2"/>
    </row>
    <row r="13223" spans="1:26" ht="16.5" x14ac:dyDescent="0.35">
      <c r="A13223" s="2" t="str">
        <f ca="1">IFERROR(__xludf.DUMMYFUNCTION("""COMPUTED_VALUE"""),"Dubai")</f>
        <v>Dubai</v>
      </c>
      <c r="B13223" s="2" t="str">
        <f ca="1">IFERROR(__xludf.DUMMYFUNCTION("""COMPUTED_VALUE"""),"Concord Tower")</f>
        <v>Concord Tower</v>
      </c>
      <c r="C13223" s="2" t="str">
        <f ca="1">IFERROR(__xludf.DUMMYFUNCTION("""COMPUTED_VALUE"""),"Building")</f>
        <v>Building</v>
      </c>
      <c r="D13223" s="2" t="str">
        <f ca="1">IFERROR(__xludf.DUMMYFUNCTION("""COMPUTED_VALUE"""),"Dubai&gt;Dubai Media City&gt;Concord Tower")</f>
        <v>Dubai&gt;Dubai Media City&gt;Concord Tower</v>
      </c>
      <c r="E13223" s="2"/>
      <c r="F13223" s="2"/>
      <c r="G13223" s="2"/>
      <c r="H13223" s="2"/>
      <c r="I13223" s="2"/>
      <c r="J13223" s="2"/>
      <c r="K13223" s="2"/>
      <c r="L13223" s="2"/>
      <c r="M13223" s="2"/>
      <c r="N13223" s="2"/>
      <c r="O13223" s="2"/>
      <c r="P13223" s="2"/>
      <c r="Q13223" s="2"/>
      <c r="R13223" s="2"/>
      <c r="S13223" s="2"/>
      <c r="T13223" s="2"/>
      <c r="U13223" s="2"/>
      <c r="V13223" s="2"/>
      <c r="W13223" s="2"/>
      <c r="X13223" s="2"/>
      <c r="Y13223" s="2"/>
      <c r="Z13223" s="2"/>
    </row>
    <row r="13224" spans="1:26" ht="16.5" x14ac:dyDescent="0.35">
      <c r="A13224" s="2" t="str">
        <f ca="1">IFERROR(__xludf.DUMMYFUNCTION("""COMPUTED_VALUE"""),"Abu Dhabi")</f>
        <v>Abu Dhabi</v>
      </c>
      <c r="B13224" s="2" t="str">
        <f ca="1">IFERROR(__xludf.DUMMYFUNCTION("""COMPUTED_VALUE"""),"Al Nakheel Hotel Apartments")</f>
        <v>Al Nakheel Hotel Apartments</v>
      </c>
      <c r="C13224" s="2" t="str">
        <f ca="1">IFERROR(__xludf.DUMMYFUNCTION("""COMPUTED_VALUE"""),"Building")</f>
        <v>Building</v>
      </c>
      <c r="D13224" s="2" t="str">
        <f ca="1">IFERROR(__xludf.DUMMYFUNCTION("""COMPUTED_VALUE"""),"Abu Dhabi&gt;Al Dhafrah&gt;Al Nakheel Hotel Apartments")</f>
        <v>Abu Dhabi&gt;Al Dhafrah&gt;Al Nakheel Hotel Apartments</v>
      </c>
      <c r="E13224" s="2"/>
      <c r="F13224" s="2"/>
      <c r="G13224" s="2"/>
      <c r="H13224" s="2"/>
      <c r="I13224" s="2"/>
      <c r="J13224" s="2"/>
      <c r="K13224" s="2"/>
      <c r="L13224" s="2"/>
      <c r="M13224" s="2"/>
      <c r="N13224" s="2"/>
      <c r="O13224" s="2"/>
      <c r="P13224" s="2"/>
      <c r="Q13224" s="2"/>
      <c r="R13224" s="2"/>
      <c r="S13224" s="2"/>
      <c r="T13224" s="2"/>
      <c r="U13224" s="2"/>
      <c r="V13224" s="2"/>
      <c r="W13224" s="2"/>
      <c r="X13224" s="2"/>
      <c r="Y13224" s="2"/>
      <c r="Z13224" s="2"/>
    </row>
    <row r="13225" spans="1:26" ht="16.5" x14ac:dyDescent="0.35">
      <c r="A13225" s="2" t="str">
        <f ca="1">IFERROR(__xludf.DUMMYFUNCTION("""COMPUTED_VALUE"""),"Abu Dhabi")</f>
        <v>Abu Dhabi</v>
      </c>
      <c r="B13225" s="2" t="str">
        <f ca="1">IFERROR(__xludf.DUMMYFUNCTION("""COMPUTED_VALUE"""),"Royal M Hotel &amp; Resort")</f>
        <v>Royal M Hotel &amp; Resort</v>
      </c>
      <c r="C13225" s="2" t="str">
        <f ca="1">IFERROR(__xludf.DUMMYFUNCTION("""COMPUTED_VALUE"""),"Building")</f>
        <v>Building</v>
      </c>
      <c r="D13225" s="2" t="str">
        <f ca="1">IFERROR(__xludf.DUMMYFUNCTION("""COMPUTED_VALUE"""),"Abu Dhabi&gt;Al Bateen&gt;Royal M Hotel &amp; Resort")</f>
        <v>Abu Dhabi&gt;Al Bateen&gt;Royal M Hotel &amp; Resort</v>
      </c>
      <c r="E13225" s="2"/>
      <c r="F13225" s="2"/>
      <c r="G13225" s="2"/>
      <c r="H13225" s="2"/>
      <c r="I13225" s="2"/>
      <c r="J13225" s="2"/>
      <c r="K13225" s="2"/>
      <c r="L13225" s="2"/>
      <c r="M13225" s="2"/>
      <c r="N13225" s="2"/>
      <c r="O13225" s="2"/>
      <c r="P13225" s="2"/>
      <c r="Q13225" s="2"/>
      <c r="R13225" s="2"/>
      <c r="S13225" s="2"/>
      <c r="T13225" s="2"/>
      <c r="U13225" s="2"/>
      <c r="V13225" s="2"/>
      <c r="W13225" s="2"/>
      <c r="X13225" s="2"/>
      <c r="Y13225" s="2"/>
      <c r="Z13225" s="2"/>
    </row>
    <row r="13226" spans="1:26" ht="16.5" x14ac:dyDescent="0.35">
      <c r="A13226" s="2" t="str">
        <f ca="1">IFERROR(__xludf.DUMMYFUNCTION("""COMPUTED_VALUE"""),"Abu Dhabi")</f>
        <v>Abu Dhabi</v>
      </c>
      <c r="B13226" s="2" t="str">
        <f ca="1">IFERROR(__xludf.DUMMYFUNCTION("""COMPUTED_VALUE"""),"Winter Tower")</f>
        <v>Winter Tower</v>
      </c>
      <c r="C13226" s="2" t="str">
        <f ca="1">IFERROR(__xludf.DUMMYFUNCTION("""COMPUTED_VALUE"""),"Building")</f>
        <v>Building</v>
      </c>
      <c r="D13226" s="2" t="str">
        <f ca="1">IFERROR(__xludf.DUMMYFUNCTION("""COMPUTED_VALUE"""),"Abu Dhabi&gt;Airport Street&gt;Fotouh Al Khair&gt;Winter Tower")</f>
        <v>Abu Dhabi&gt;Airport Street&gt;Fotouh Al Khair&gt;Winter Tower</v>
      </c>
      <c r="E13226" s="2"/>
      <c r="F13226" s="2"/>
      <c r="G13226" s="2"/>
      <c r="H13226" s="2"/>
      <c r="I13226" s="2"/>
      <c r="J13226" s="2"/>
      <c r="K13226" s="2"/>
      <c r="L13226" s="2"/>
      <c r="M13226" s="2"/>
      <c r="N13226" s="2"/>
      <c r="O13226" s="2"/>
      <c r="P13226" s="2"/>
      <c r="Q13226" s="2"/>
      <c r="R13226" s="2"/>
      <c r="S13226" s="2"/>
      <c r="T13226" s="2"/>
      <c r="U13226" s="2"/>
      <c r="V13226" s="2"/>
      <c r="W13226" s="2"/>
      <c r="X13226" s="2"/>
      <c r="Y13226" s="2"/>
      <c r="Z13226" s="2"/>
    </row>
    <row r="13227" spans="1:26" ht="16.5" x14ac:dyDescent="0.35">
      <c r="A13227" s="2" t="str">
        <f ca="1">IFERROR(__xludf.DUMMYFUNCTION("""COMPUTED_VALUE"""),"Abu Dhabi")</f>
        <v>Abu Dhabi</v>
      </c>
      <c r="B13227" s="2" t="str">
        <f ca="1">IFERROR(__xludf.DUMMYFUNCTION("""COMPUTED_VALUE"""),"Beach Rotana Residences")</f>
        <v>Beach Rotana Residences</v>
      </c>
      <c r="C13227" s="2" t="str">
        <f ca="1">IFERROR(__xludf.DUMMYFUNCTION("""COMPUTED_VALUE"""),"Building")</f>
        <v>Building</v>
      </c>
      <c r="D13227" s="2" t="str">
        <f ca="1">IFERROR(__xludf.DUMMYFUNCTION("""COMPUTED_VALUE"""),"Abu Dhabi&gt;Tourist Club Area (TCA)&gt;Beach Rotana Residences")</f>
        <v>Abu Dhabi&gt;Tourist Club Area (TCA)&gt;Beach Rotana Residences</v>
      </c>
      <c r="E13227" s="2"/>
      <c r="F13227" s="2"/>
      <c r="G13227" s="2"/>
      <c r="H13227" s="2"/>
      <c r="I13227" s="2"/>
      <c r="J13227" s="2"/>
      <c r="K13227" s="2"/>
      <c r="L13227" s="2"/>
      <c r="M13227" s="2"/>
      <c r="N13227" s="2"/>
      <c r="O13227" s="2"/>
      <c r="P13227" s="2"/>
      <c r="Q13227" s="2"/>
      <c r="R13227" s="2"/>
      <c r="S13227" s="2"/>
      <c r="T13227" s="2"/>
      <c r="U13227" s="2"/>
      <c r="V13227" s="2"/>
      <c r="W13227" s="2"/>
      <c r="X13227" s="2"/>
      <c r="Y13227" s="2"/>
      <c r="Z13227" s="2"/>
    </row>
    <row r="13228" spans="1:26" ht="16.5" x14ac:dyDescent="0.35">
      <c r="A13228" s="2" t="str">
        <f ca="1">IFERROR(__xludf.DUMMYFUNCTION("""COMPUTED_VALUE"""),"Abu Dhabi")</f>
        <v>Abu Dhabi</v>
      </c>
      <c r="B13228" s="2" t="str">
        <f ca="1">IFERROR(__xludf.DUMMYFUNCTION("""COMPUTED_VALUE"""),"The Philippine Global School, Abu Dhabi")</f>
        <v>The Philippine Global School, Abu Dhabi</v>
      </c>
      <c r="C13228" s="2" t="str">
        <f ca="1">IFERROR(__xludf.DUMMYFUNCTION("""COMPUTED_VALUE"""),"School")</f>
        <v>School</v>
      </c>
      <c r="D13228" s="2" t="str">
        <f ca="1">IFERROR(__xludf.DUMMYFUNCTION("""COMPUTED_VALUE"""),"Abu Dhabi&gt;Al Mushrif&gt;The Philippine Global School, Abu Dhabi")</f>
        <v>Abu Dhabi&gt;Al Mushrif&gt;The Philippine Global School, Abu Dhabi</v>
      </c>
      <c r="E13228" s="2"/>
      <c r="F13228" s="2"/>
      <c r="G13228" s="2"/>
      <c r="H13228" s="2"/>
      <c r="I13228" s="2"/>
      <c r="J13228" s="2"/>
      <c r="K13228" s="2"/>
      <c r="L13228" s="2"/>
      <c r="M13228" s="2"/>
      <c r="N13228" s="2"/>
      <c r="O13228" s="2"/>
      <c r="P13228" s="2"/>
      <c r="Q13228" s="2"/>
      <c r="R13228" s="2"/>
      <c r="S13228" s="2"/>
      <c r="T13228" s="2"/>
      <c r="U13228" s="2"/>
      <c r="V13228" s="2"/>
      <c r="W13228" s="2"/>
      <c r="X13228" s="2"/>
      <c r="Y13228" s="2"/>
      <c r="Z13228" s="2"/>
    </row>
    <row r="13229" spans="1:26" ht="16.5" x14ac:dyDescent="0.35">
      <c r="A13229" s="2" t="str">
        <f ca="1">IFERROR(__xludf.DUMMYFUNCTION("""COMPUTED_VALUE"""),"Abu Dhabi")</f>
        <v>Abu Dhabi</v>
      </c>
      <c r="B13229" s="2" t="str">
        <f ca="1">IFERROR(__xludf.DUMMYFUNCTION("""COMPUTED_VALUE"""),"Al Sader")</f>
        <v>Al Sader</v>
      </c>
      <c r="C13229" s="2" t="str">
        <f ca="1">IFERROR(__xludf.DUMMYFUNCTION("""COMPUTED_VALUE"""),"Neighbourhood")</f>
        <v>Neighbourhood</v>
      </c>
      <c r="D13229" s="2" t="str">
        <f ca="1">IFERROR(__xludf.DUMMYFUNCTION("""COMPUTED_VALUE"""),"Abu Dhabi&gt;Al Sader")</f>
        <v>Abu Dhabi&gt;Al Sader</v>
      </c>
      <c r="E13229" s="2"/>
      <c r="F13229" s="2"/>
      <c r="G13229" s="2"/>
      <c r="H13229" s="2"/>
      <c r="I13229" s="2"/>
      <c r="J13229" s="2"/>
      <c r="K13229" s="2"/>
      <c r="L13229" s="2"/>
      <c r="M13229" s="2"/>
      <c r="N13229" s="2"/>
      <c r="O13229" s="2"/>
      <c r="P13229" s="2"/>
      <c r="Q13229" s="2"/>
      <c r="R13229" s="2"/>
      <c r="S13229" s="2"/>
      <c r="T13229" s="2"/>
      <c r="U13229" s="2"/>
      <c r="V13229" s="2"/>
      <c r="W13229" s="2"/>
      <c r="X13229" s="2"/>
      <c r="Y13229" s="2"/>
      <c r="Z13229" s="2"/>
    </row>
    <row r="13230" spans="1:26" ht="16.5" x14ac:dyDescent="0.35">
      <c r="A13230" s="2" t="str">
        <f ca="1">IFERROR(__xludf.DUMMYFUNCTION("""COMPUTED_VALUE"""),"Abu Dhabi")</f>
        <v>Abu Dhabi</v>
      </c>
      <c r="B13230" s="2" t="str">
        <f ca="1">IFERROR(__xludf.DUMMYFUNCTION("""COMPUTED_VALUE"""),"Orange Seeds Nursery Abu Dhabi")</f>
        <v>Orange Seeds Nursery Abu Dhabi</v>
      </c>
      <c r="C13230" s="2" t="str">
        <f ca="1">IFERROR(__xludf.DUMMYFUNCTION("""COMPUTED_VALUE"""),"Nursery")</f>
        <v>Nursery</v>
      </c>
      <c r="D13230" s="2" t="str">
        <f ca="1">IFERROR(__xludf.DUMMYFUNCTION("""COMPUTED_VALUE"""),"Abu Dhabi&gt;Rabdan&gt;Orange Seeds Nursery Abu Dhabi")</f>
        <v>Abu Dhabi&gt;Rabdan&gt;Orange Seeds Nursery Abu Dhabi</v>
      </c>
      <c r="E13230" s="2"/>
      <c r="F13230" s="2"/>
      <c r="G13230" s="2"/>
      <c r="H13230" s="2"/>
      <c r="I13230" s="2"/>
      <c r="J13230" s="2"/>
      <c r="K13230" s="2"/>
      <c r="L13230" s="2"/>
      <c r="M13230" s="2"/>
      <c r="N13230" s="2"/>
      <c r="O13230" s="2"/>
      <c r="P13230" s="2"/>
      <c r="Q13230" s="2"/>
      <c r="R13230" s="2"/>
      <c r="S13230" s="2"/>
      <c r="T13230" s="2"/>
      <c r="U13230" s="2"/>
      <c r="V13230" s="2"/>
      <c r="W13230" s="2"/>
      <c r="X13230" s="2"/>
      <c r="Y13230" s="2"/>
      <c r="Z13230" s="2"/>
    </row>
    <row r="13231" spans="1:26" ht="16.5" x14ac:dyDescent="0.35">
      <c r="A13231" s="2" t="str">
        <f ca="1">IFERROR(__xludf.DUMMYFUNCTION("""COMPUTED_VALUE"""),"Abu Dhabi")</f>
        <v>Abu Dhabi</v>
      </c>
      <c r="B13231" s="2" t="str">
        <f ca="1">IFERROR(__xludf.DUMMYFUNCTION("""COMPUTED_VALUE"""),"Oasis Residences One")</f>
        <v>Oasis Residences One</v>
      </c>
      <c r="C13231" s="2" t="str">
        <f ca="1">IFERROR(__xludf.DUMMYFUNCTION("""COMPUTED_VALUE"""),"Building")</f>
        <v>Building</v>
      </c>
      <c r="D13231" s="2" t="str">
        <f ca="1">IFERROR(__xludf.DUMMYFUNCTION("""COMPUTED_VALUE"""),"Abu Dhabi&gt;Masdar City&gt;Oasis Residences&gt;Oasis Residences One")</f>
        <v>Abu Dhabi&gt;Masdar City&gt;Oasis Residences&gt;Oasis Residences One</v>
      </c>
      <c r="E13231" s="2"/>
      <c r="F13231" s="2"/>
      <c r="G13231" s="2"/>
      <c r="H13231" s="2"/>
      <c r="I13231" s="2"/>
      <c r="J13231" s="2"/>
      <c r="K13231" s="2"/>
      <c r="L13231" s="2"/>
      <c r="M13231" s="2"/>
      <c r="N13231" s="2"/>
      <c r="O13231" s="2"/>
      <c r="P13231" s="2"/>
      <c r="Q13231" s="2"/>
      <c r="R13231" s="2"/>
      <c r="S13231" s="2"/>
      <c r="T13231" s="2"/>
      <c r="U13231" s="2"/>
      <c r="V13231" s="2"/>
      <c r="W13231" s="2"/>
      <c r="X13231" s="2"/>
      <c r="Y13231" s="2"/>
      <c r="Z13231" s="2"/>
    </row>
    <row r="13232" spans="1:26" ht="16.5" x14ac:dyDescent="0.35">
      <c r="A13232" s="2" t="str">
        <f ca="1">IFERROR(__xludf.DUMMYFUNCTION("""COMPUTED_VALUE"""),"Abu Dhabi")</f>
        <v>Abu Dhabi</v>
      </c>
      <c r="B13232" s="2" t="str">
        <f ca="1">IFERROR(__xludf.DUMMYFUNCTION("""COMPUTED_VALUE"""),"Al Rawdah")</f>
        <v>Al Rawdah</v>
      </c>
      <c r="C13232" s="2" t="str">
        <f ca="1">IFERROR(__xludf.DUMMYFUNCTION("""COMPUTED_VALUE"""),"Neighbourhood")</f>
        <v>Neighbourhood</v>
      </c>
      <c r="D13232" s="2" t="str">
        <f ca="1">IFERROR(__xludf.DUMMYFUNCTION("""COMPUTED_VALUE"""),"Abu Dhabi&gt;Al Rawdah")</f>
        <v>Abu Dhabi&gt;Al Rawdah</v>
      </c>
      <c r="E13232" s="2"/>
      <c r="F13232" s="2"/>
      <c r="G13232" s="2"/>
      <c r="H13232" s="2"/>
      <c r="I13232" s="2"/>
      <c r="J13232" s="2"/>
      <c r="K13232" s="2"/>
      <c r="L13232" s="2"/>
      <c r="M13232" s="2"/>
      <c r="N13232" s="2"/>
      <c r="O13232" s="2"/>
      <c r="P13232" s="2"/>
      <c r="Q13232" s="2"/>
      <c r="R13232" s="2"/>
      <c r="S13232" s="2"/>
      <c r="T13232" s="2"/>
      <c r="U13232" s="2"/>
      <c r="V13232" s="2"/>
      <c r="W13232" s="2"/>
      <c r="X13232" s="2"/>
      <c r="Y13232" s="2"/>
      <c r="Z13232" s="2"/>
    </row>
    <row r="13233" spans="1:26" ht="16.5" x14ac:dyDescent="0.35">
      <c r="A13233" s="2" t="str">
        <f ca="1">IFERROR(__xludf.DUMMYFUNCTION("""COMPUTED_VALUE"""),"Abu Dhabi")</f>
        <v>Abu Dhabi</v>
      </c>
      <c r="B13233" s="2" t="str">
        <f ca="1">IFERROR(__xludf.DUMMYFUNCTION("""COMPUTED_VALUE"""),"Rosewood Abu Dhabi")</f>
        <v>Rosewood Abu Dhabi</v>
      </c>
      <c r="C13233" s="2" t="str">
        <f ca="1">IFERROR(__xludf.DUMMYFUNCTION("""COMPUTED_VALUE"""),"Building")</f>
        <v>Building</v>
      </c>
      <c r="D13233" s="2" t="str">
        <f ca="1">IFERROR(__xludf.DUMMYFUNCTION("""COMPUTED_VALUE"""),"Abu Dhabi&gt;Al Maryah Island&gt;Rosewood Abu Dhabi")</f>
        <v>Abu Dhabi&gt;Al Maryah Island&gt;Rosewood Abu Dhabi</v>
      </c>
      <c r="E13233" s="2"/>
      <c r="F13233" s="2"/>
      <c r="G13233" s="2"/>
      <c r="H13233" s="2"/>
      <c r="I13233" s="2"/>
      <c r="J13233" s="2"/>
      <c r="K13233" s="2"/>
      <c r="L13233" s="2"/>
      <c r="M13233" s="2"/>
      <c r="N13233" s="2"/>
      <c r="O13233" s="2"/>
      <c r="P13233" s="2"/>
      <c r="Q13233" s="2"/>
      <c r="R13233" s="2"/>
      <c r="S13233" s="2"/>
      <c r="T13233" s="2"/>
      <c r="U13233" s="2"/>
      <c r="V13233" s="2"/>
      <c r="W13233" s="2"/>
      <c r="X13233" s="2"/>
      <c r="Y13233" s="2"/>
      <c r="Z13233" s="2"/>
    </row>
    <row r="13234" spans="1:26" ht="16.5" x14ac:dyDescent="0.35">
      <c r="A13234" s="2" t="str">
        <f ca="1">IFERROR(__xludf.DUMMYFUNCTION("""COMPUTED_VALUE"""),"Abu Dhabi")</f>
        <v>Abu Dhabi</v>
      </c>
      <c r="B13234" s="2" t="str">
        <f ca="1">IFERROR(__xludf.DUMMYFUNCTION("""COMPUTED_VALUE"""),"C1")</f>
        <v>C1</v>
      </c>
      <c r="C13234" s="2" t="str">
        <f ca="1">IFERROR(__xludf.DUMMYFUNCTION("""COMPUTED_VALUE"""),"Building")</f>
        <v>Building</v>
      </c>
      <c r="D13234" s="2" t="str">
        <f ca="1">IFERROR(__xludf.DUMMYFUNCTION("""COMPUTED_VALUE"""),"Abu Dhabi&gt;Al Matar&gt;C1")</f>
        <v>Abu Dhabi&gt;Al Matar&gt;C1</v>
      </c>
      <c r="E13234" s="2"/>
      <c r="F13234" s="2"/>
      <c r="G13234" s="2"/>
      <c r="H13234" s="2"/>
      <c r="I13234" s="2"/>
      <c r="J13234" s="2"/>
      <c r="K13234" s="2"/>
      <c r="L13234" s="2"/>
      <c r="M13234" s="2"/>
      <c r="N13234" s="2"/>
      <c r="O13234" s="2"/>
      <c r="P13234" s="2"/>
      <c r="Q13234" s="2"/>
      <c r="R13234" s="2"/>
      <c r="S13234" s="2"/>
      <c r="T13234" s="2"/>
      <c r="U13234" s="2"/>
      <c r="V13234" s="2"/>
      <c r="W13234" s="2"/>
      <c r="X13234" s="2"/>
      <c r="Y13234" s="2"/>
      <c r="Z13234" s="2"/>
    </row>
    <row r="13235" spans="1:26" ht="16.5" x14ac:dyDescent="0.35">
      <c r="A13235" s="2" t="str">
        <f ca="1">IFERROR(__xludf.DUMMYFUNCTION("""COMPUTED_VALUE"""),"Abu Dhabi")</f>
        <v>Abu Dhabi</v>
      </c>
      <c r="B13235" s="2" t="str">
        <f ca="1">IFERROR(__xludf.DUMMYFUNCTION("""COMPUTED_VALUE"""),"MSH16")</f>
        <v>MSH16</v>
      </c>
      <c r="C13235" s="2" t="str">
        <f ca="1">IFERROR(__xludf.DUMMYFUNCTION("""COMPUTED_VALUE"""),"Neighbourhood")</f>
        <v>Neighbourhood</v>
      </c>
      <c r="D13235" s="2" t="str">
        <f ca="1">IFERROR(__xludf.DUMMYFUNCTION("""COMPUTED_VALUE"""),"Abu Dhabi&gt;Shakhbout City&gt;MSH16")</f>
        <v>Abu Dhabi&gt;Shakhbout City&gt;MSH16</v>
      </c>
      <c r="E13235" s="2"/>
      <c r="F13235" s="2"/>
      <c r="G13235" s="2"/>
      <c r="H13235" s="2"/>
      <c r="I13235" s="2"/>
      <c r="J13235" s="2"/>
      <c r="K13235" s="2"/>
      <c r="L13235" s="2"/>
      <c r="M13235" s="2"/>
      <c r="N13235" s="2"/>
      <c r="O13235" s="2"/>
      <c r="P13235" s="2"/>
      <c r="Q13235" s="2"/>
      <c r="R13235" s="2"/>
      <c r="S13235" s="2"/>
      <c r="T13235" s="2"/>
      <c r="U13235" s="2"/>
      <c r="V13235" s="2"/>
      <c r="W13235" s="2"/>
      <c r="X13235" s="2"/>
      <c r="Y13235" s="2"/>
      <c r="Z13235" s="2"/>
    </row>
    <row r="13236" spans="1:26" ht="16.5" x14ac:dyDescent="0.35">
      <c r="A13236" s="2" t="str">
        <f ca="1">IFERROR(__xludf.DUMMYFUNCTION("""COMPUTED_VALUE"""),"Abu Dhabi")</f>
        <v>Abu Dhabi</v>
      </c>
      <c r="B13236" s="2" t="str">
        <f ca="1">IFERROR(__xludf.DUMMYFUNCTION("""COMPUTED_VALUE"""),"Al Bustan Complex")</f>
        <v>Al Bustan Complex</v>
      </c>
      <c r="C13236" s="2" t="str">
        <f ca="1">IFERROR(__xludf.DUMMYFUNCTION("""COMPUTED_VALUE"""),"Building")</f>
        <v>Building</v>
      </c>
      <c r="D13236" s="2" t="str">
        <f ca="1">IFERROR(__xludf.DUMMYFUNCTION("""COMPUTED_VALUE"""),"Abu Dhabi&gt;Al Sa'adah&gt;Al Bustan Complex")</f>
        <v>Abu Dhabi&gt;Al Sa'adah&gt;Al Bustan Complex</v>
      </c>
      <c r="E13236" s="2"/>
      <c r="F13236" s="2"/>
      <c r="G13236" s="2"/>
      <c r="H13236" s="2"/>
      <c r="I13236" s="2"/>
      <c r="J13236" s="2"/>
      <c r="K13236" s="2"/>
      <c r="L13236" s="2"/>
      <c r="M13236" s="2"/>
      <c r="N13236" s="2"/>
      <c r="O13236" s="2"/>
      <c r="P13236" s="2"/>
      <c r="Q13236" s="2"/>
      <c r="R13236" s="2"/>
      <c r="S13236" s="2"/>
      <c r="T13236" s="2"/>
      <c r="U13236" s="2"/>
      <c r="V13236" s="2"/>
      <c r="W13236" s="2"/>
      <c r="X13236" s="2"/>
      <c r="Y13236" s="2"/>
      <c r="Z13236" s="2"/>
    </row>
    <row r="13237" spans="1:26" ht="16.5" x14ac:dyDescent="0.35">
      <c r="A13237" s="2" t="str">
        <f ca="1">IFERROR(__xludf.DUMMYFUNCTION("""COMPUTED_VALUE"""),"Abu Dhabi")</f>
        <v>Abu Dhabi</v>
      </c>
      <c r="B13237" s="2" t="str">
        <f ca="1">IFERROR(__xludf.DUMMYFUNCTION("""COMPUTED_VALUE"""),"Al Khubairah Residential Complex")</f>
        <v>Al Khubairah Residential Complex</v>
      </c>
      <c r="C13237" s="2"/>
      <c r="D13237" s="2" t="str">
        <f ca="1">IFERROR(__xludf.DUMMYFUNCTION("""COMPUTED_VALUE"""),"Abu Dhabi&gt;Al Khubeirah&gt;Al Khubairah Residential Complex")</f>
        <v>Abu Dhabi&gt;Al Khubeirah&gt;Al Khubairah Residential Complex</v>
      </c>
      <c r="E13237" s="2"/>
      <c r="F13237" s="2"/>
      <c r="G13237" s="2"/>
      <c r="H13237" s="2"/>
      <c r="I13237" s="2"/>
      <c r="J13237" s="2"/>
      <c r="K13237" s="2"/>
      <c r="L13237" s="2"/>
      <c r="M13237" s="2"/>
      <c r="N13237" s="2"/>
      <c r="O13237" s="2"/>
      <c r="P13237" s="2"/>
      <c r="Q13237" s="2"/>
      <c r="R13237" s="2"/>
      <c r="S13237" s="2"/>
      <c r="T13237" s="2"/>
      <c r="U13237" s="2"/>
      <c r="V13237" s="2"/>
      <c r="W13237" s="2"/>
      <c r="X13237" s="2"/>
      <c r="Y13237" s="2"/>
      <c r="Z13237" s="2"/>
    </row>
    <row r="13238" spans="1:26" ht="16.5" x14ac:dyDescent="0.35">
      <c r="A13238" s="2" t="str">
        <f ca="1">IFERROR(__xludf.DUMMYFUNCTION("""COMPUTED_VALUE"""),"Abu Dhabi")</f>
        <v>Abu Dhabi</v>
      </c>
      <c r="B13238" s="2" t="str">
        <f ca="1">IFERROR(__xludf.DUMMYFUNCTION("""COMPUTED_VALUE"""),"Al Hili Tower")</f>
        <v>Al Hili Tower</v>
      </c>
      <c r="C13238" s="2" t="str">
        <f ca="1">IFERROR(__xludf.DUMMYFUNCTION("""COMPUTED_VALUE"""),"Building")</f>
        <v>Building</v>
      </c>
      <c r="D13238" s="2" t="str">
        <f ca="1">IFERROR(__xludf.DUMMYFUNCTION("""COMPUTED_VALUE"""),"Abu Dhabi&gt;Al Hisn&gt;Al Hili Tower")</f>
        <v>Abu Dhabi&gt;Al Hisn&gt;Al Hili Tower</v>
      </c>
      <c r="E13238" s="2"/>
      <c r="F13238" s="2"/>
      <c r="G13238" s="2"/>
      <c r="H13238" s="2"/>
      <c r="I13238" s="2"/>
      <c r="J13238" s="2"/>
      <c r="K13238" s="2"/>
      <c r="L13238" s="2"/>
      <c r="M13238" s="2"/>
      <c r="N13238" s="2"/>
      <c r="O13238" s="2"/>
      <c r="P13238" s="2"/>
      <c r="Q13238" s="2"/>
      <c r="R13238" s="2"/>
      <c r="S13238" s="2"/>
      <c r="T13238" s="2"/>
      <c r="U13238" s="2"/>
      <c r="V13238" s="2"/>
      <c r="W13238" s="2"/>
      <c r="X13238" s="2"/>
      <c r="Y13238" s="2"/>
      <c r="Z13238" s="2"/>
    </row>
    <row r="13239" spans="1:26" ht="16.5" x14ac:dyDescent="0.35">
      <c r="A13239" s="2" t="str">
        <f ca="1">IFERROR(__xludf.DUMMYFUNCTION("""COMPUTED_VALUE"""),"Abu Dhabi")</f>
        <v>Abu Dhabi</v>
      </c>
      <c r="B13239" s="2" t="str">
        <f ca="1">IFERROR(__xludf.DUMMYFUNCTION("""COMPUTED_VALUE"""),"German International School, Abu Dhabi")</f>
        <v>German International School, Abu Dhabi</v>
      </c>
      <c r="C13239" s="2" t="str">
        <f ca="1">IFERROR(__xludf.DUMMYFUNCTION("""COMPUTED_VALUE"""),"School")</f>
        <v>School</v>
      </c>
      <c r="D13239" s="2" t="str">
        <f ca="1">IFERROR(__xludf.DUMMYFUNCTION("""COMPUTED_VALUE"""),"Abu Dhabi&gt;Al Manhal&gt;German International School, Abu Dhabi")</f>
        <v>Abu Dhabi&gt;Al Manhal&gt;German International School, Abu Dhabi</v>
      </c>
      <c r="E13239" s="2"/>
      <c r="F13239" s="2"/>
      <c r="G13239" s="2"/>
      <c r="H13239" s="2"/>
      <c r="I13239" s="2"/>
      <c r="J13239" s="2"/>
      <c r="K13239" s="2"/>
      <c r="L13239" s="2"/>
      <c r="M13239" s="2"/>
      <c r="N13239" s="2"/>
      <c r="O13239" s="2"/>
      <c r="P13239" s="2"/>
      <c r="Q13239" s="2"/>
      <c r="R13239" s="2"/>
      <c r="S13239" s="2"/>
      <c r="T13239" s="2"/>
      <c r="U13239" s="2"/>
      <c r="V13239" s="2"/>
      <c r="W13239" s="2"/>
      <c r="X13239" s="2"/>
      <c r="Y13239" s="2"/>
      <c r="Z13239" s="2"/>
    </row>
    <row r="13240" spans="1:26" ht="16.5" x14ac:dyDescent="0.35">
      <c r="A13240" s="2" t="str">
        <f ca="1">IFERROR(__xludf.DUMMYFUNCTION("""COMPUTED_VALUE"""),"Abu Dhabi")</f>
        <v>Abu Dhabi</v>
      </c>
      <c r="B13240" s="2" t="str">
        <f ca="1">IFERROR(__xludf.DUMMYFUNCTION("""COMPUTED_VALUE"""),"The Beach House")</f>
        <v>The Beach House</v>
      </c>
      <c r="C13240" s="2" t="str">
        <f ca="1">IFERROR(__xludf.DUMMYFUNCTION("""COMPUTED_VALUE"""),"Cluster")</f>
        <v>Cluster</v>
      </c>
      <c r="D13240" s="2" t="str">
        <f ca="1">IFERROR(__xludf.DUMMYFUNCTION("""COMPUTED_VALUE"""),"Abu Dhabi&gt;Fahid Island&gt;The Beach House")</f>
        <v>Abu Dhabi&gt;Fahid Island&gt;The Beach House</v>
      </c>
      <c r="E13240" s="2"/>
      <c r="F13240" s="2"/>
      <c r="G13240" s="2"/>
      <c r="H13240" s="2"/>
      <c r="I13240" s="2"/>
      <c r="J13240" s="2"/>
      <c r="K13240" s="2"/>
      <c r="L13240" s="2"/>
      <c r="M13240" s="2"/>
      <c r="N13240" s="2"/>
      <c r="O13240" s="2"/>
      <c r="P13240" s="2"/>
      <c r="Q13240" s="2"/>
      <c r="R13240" s="2"/>
      <c r="S13240" s="2"/>
      <c r="T13240" s="2"/>
      <c r="U13240" s="2"/>
      <c r="V13240" s="2"/>
      <c r="W13240" s="2"/>
      <c r="X13240" s="2"/>
      <c r="Y13240" s="2"/>
      <c r="Z13240" s="2"/>
    </row>
    <row r="13241" spans="1:26" ht="16.5" x14ac:dyDescent="0.35">
      <c r="A13241" s="2" t="str">
        <f ca="1">IFERROR(__xludf.DUMMYFUNCTION("""COMPUTED_VALUE"""),"Abu Dhabi")</f>
        <v>Abu Dhabi</v>
      </c>
      <c r="B13241" s="2" t="str">
        <f ca="1">IFERROR(__xludf.DUMMYFUNCTION("""COMPUTED_VALUE"""),"Marafid Tower")</f>
        <v>Marafid Tower</v>
      </c>
      <c r="C13241" s="2" t="str">
        <f ca="1">IFERROR(__xludf.DUMMYFUNCTION("""COMPUTED_VALUE"""),"Building")</f>
        <v>Building</v>
      </c>
      <c r="D13241" s="2" t="str">
        <f ca="1">IFERROR(__xludf.DUMMYFUNCTION("""COMPUTED_VALUE"""),"Abu Dhabi&gt;Al Reem Island&gt;Najmat Abu Dhabi&gt;Marafid Tower")</f>
        <v>Abu Dhabi&gt;Al Reem Island&gt;Najmat Abu Dhabi&gt;Marafid Tower</v>
      </c>
      <c r="E13241" s="2"/>
      <c r="F13241" s="2"/>
      <c r="G13241" s="2"/>
      <c r="H13241" s="2"/>
      <c r="I13241" s="2"/>
      <c r="J13241" s="2"/>
      <c r="K13241" s="2"/>
      <c r="L13241" s="2"/>
      <c r="M13241" s="2"/>
      <c r="N13241" s="2"/>
      <c r="O13241" s="2"/>
      <c r="P13241" s="2"/>
      <c r="Q13241" s="2"/>
      <c r="R13241" s="2"/>
      <c r="S13241" s="2"/>
      <c r="T13241" s="2"/>
      <c r="U13241" s="2"/>
      <c r="V13241" s="2"/>
      <c r="W13241" s="2"/>
      <c r="X13241" s="2"/>
      <c r="Y13241" s="2"/>
      <c r="Z13241" s="2"/>
    </row>
    <row r="13242" spans="1:26" ht="16.5" x14ac:dyDescent="0.35">
      <c r="A13242" s="2" t="str">
        <f ca="1">IFERROR(__xludf.DUMMYFUNCTION("""COMPUTED_VALUE"""),"Abu Dhabi")</f>
        <v>Abu Dhabi</v>
      </c>
      <c r="B13242" s="2" t="str">
        <f ca="1">IFERROR(__xludf.DUMMYFUNCTION("""COMPUTED_VALUE"""),"A3 Towers")</f>
        <v>A3 Towers</v>
      </c>
      <c r="C13242" s="2" t="str">
        <f ca="1">IFERROR(__xludf.DUMMYFUNCTION("""COMPUTED_VALUE"""),"Building")</f>
        <v>Building</v>
      </c>
      <c r="D13242" s="2" t="str">
        <f ca="1">IFERROR(__xludf.DUMMYFUNCTION("""COMPUTED_VALUE"""),"Abu Dhabi&gt;Al Reem Island&gt;Marina Square&gt;A3 Towers")</f>
        <v>Abu Dhabi&gt;Al Reem Island&gt;Marina Square&gt;A3 Towers</v>
      </c>
      <c r="E13242" s="2"/>
      <c r="F13242" s="2"/>
      <c r="G13242" s="2"/>
      <c r="H13242" s="2"/>
      <c r="I13242" s="2"/>
      <c r="J13242" s="2"/>
      <c r="K13242" s="2"/>
      <c r="L13242" s="2"/>
      <c r="M13242" s="2"/>
      <c r="N13242" s="2"/>
      <c r="O13242" s="2"/>
      <c r="P13242" s="2"/>
      <c r="Q13242" s="2"/>
      <c r="R13242" s="2"/>
      <c r="S13242" s="2"/>
      <c r="T13242" s="2"/>
      <c r="U13242" s="2"/>
      <c r="V13242" s="2"/>
      <c r="W13242" s="2"/>
      <c r="X13242" s="2"/>
      <c r="Y13242" s="2"/>
      <c r="Z13242" s="2"/>
    </row>
    <row r="13243" spans="1:26" ht="16.5" x14ac:dyDescent="0.35">
      <c r="A13243" s="2" t="str">
        <f ca="1">IFERROR(__xludf.DUMMYFUNCTION("""COMPUTED_VALUE"""),"Abu Dhabi")</f>
        <v>Abu Dhabi</v>
      </c>
      <c r="B13243" s="2" t="str">
        <f ca="1">IFERROR(__xludf.DUMMYFUNCTION("""COMPUTED_VALUE"""),"Eclipse Twin Towers")</f>
        <v>Eclipse Twin Towers</v>
      </c>
      <c r="C13243" s="2" t="str">
        <f ca="1">IFERROR(__xludf.DUMMYFUNCTION("""COMPUTED_VALUE"""),"Building")</f>
        <v>Building</v>
      </c>
      <c r="D13243" s="2" t="str">
        <f ca="1">IFERROR(__xludf.DUMMYFUNCTION("""COMPUTED_VALUE"""),"Abu Dhabi&gt;Al Reem Island&gt;Shams Abu Dhabi&gt;Eclipse Twin Towers")</f>
        <v>Abu Dhabi&gt;Al Reem Island&gt;Shams Abu Dhabi&gt;Eclipse Twin Towers</v>
      </c>
      <c r="E13243" s="2"/>
      <c r="F13243" s="2"/>
      <c r="G13243" s="2"/>
      <c r="H13243" s="2"/>
      <c r="I13243" s="2"/>
      <c r="J13243" s="2"/>
      <c r="K13243" s="2"/>
      <c r="L13243" s="2"/>
      <c r="M13243" s="2"/>
      <c r="N13243" s="2"/>
      <c r="O13243" s="2"/>
      <c r="P13243" s="2"/>
      <c r="Q13243" s="2"/>
      <c r="R13243" s="2"/>
      <c r="S13243" s="2"/>
      <c r="T13243" s="2"/>
      <c r="U13243" s="2"/>
      <c r="V13243" s="2"/>
      <c r="W13243" s="2"/>
      <c r="X13243" s="2"/>
      <c r="Y13243" s="2"/>
      <c r="Z13243" s="2"/>
    </row>
    <row r="13244" spans="1:26" ht="16.5" x14ac:dyDescent="0.35">
      <c r="A13244" s="2" t="str">
        <f ca="1">IFERROR(__xludf.DUMMYFUNCTION("""COMPUTED_VALUE"""),"Abu Dhabi")</f>
        <v>Abu Dhabi</v>
      </c>
      <c r="B13244" s="2" t="str">
        <f ca="1">IFERROR(__xludf.DUMMYFUNCTION("""COMPUTED_VALUE"""),"Creek Towers")</f>
        <v>Creek Towers</v>
      </c>
      <c r="C13244" s="2" t="str">
        <f ca="1">IFERROR(__xludf.DUMMYFUNCTION("""COMPUTED_VALUE"""),"Building")</f>
        <v>Building</v>
      </c>
      <c r="D13244" s="2" t="str">
        <f ca="1">IFERROR(__xludf.DUMMYFUNCTION("""COMPUTED_VALUE"""),"Abu Dhabi&gt;Al Reem Island&gt;Shams Abu Dhabi&gt;Creek Towers")</f>
        <v>Abu Dhabi&gt;Al Reem Island&gt;Shams Abu Dhabi&gt;Creek Towers</v>
      </c>
      <c r="E13244" s="2"/>
      <c r="F13244" s="2"/>
      <c r="G13244" s="2"/>
      <c r="H13244" s="2"/>
      <c r="I13244" s="2"/>
      <c r="J13244" s="2"/>
      <c r="K13244" s="2"/>
      <c r="L13244" s="2"/>
      <c r="M13244" s="2"/>
      <c r="N13244" s="2"/>
      <c r="O13244" s="2"/>
      <c r="P13244" s="2"/>
      <c r="Q13244" s="2"/>
      <c r="R13244" s="2"/>
      <c r="S13244" s="2"/>
      <c r="T13244" s="2"/>
      <c r="U13244" s="2"/>
      <c r="V13244" s="2"/>
      <c r="W13244" s="2"/>
      <c r="X13244" s="2"/>
      <c r="Y13244" s="2"/>
      <c r="Z13244" s="2"/>
    </row>
    <row r="13245" spans="1:26" ht="16.5" x14ac:dyDescent="0.35">
      <c r="A13245" s="2" t="str">
        <f ca="1">IFERROR(__xludf.DUMMYFUNCTION("""COMPUTED_VALUE"""),"Abu Dhabi")</f>
        <v>Abu Dhabi</v>
      </c>
      <c r="B13245" s="2" t="str">
        <f ca="1">IFERROR(__xludf.DUMMYFUNCTION("""COMPUTED_VALUE"""),"Sigma Towers")</f>
        <v>Sigma Towers</v>
      </c>
      <c r="C13245" s="2" t="str">
        <f ca="1">IFERROR(__xludf.DUMMYFUNCTION("""COMPUTED_VALUE"""),"Cluster")</f>
        <v>Cluster</v>
      </c>
      <c r="D13245" s="2" t="str">
        <f ca="1">IFERROR(__xludf.DUMMYFUNCTION("""COMPUTED_VALUE"""),"Abu Dhabi&gt;Al Reem Island&gt;City of Lights&gt;Sigma Towers")</f>
        <v>Abu Dhabi&gt;Al Reem Island&gt;City of Lights&gt;Sigma Towers</v>
      </c>
      <c r="E13245" s="2"/>
      <c r="F13245" s="2"/>
      <c r="G13245" s="2"/>
      <c r="H13245" s="2"/>
      <c r="I13245" s="2"/>
      <c r="J13245" s="2"/>
      <c r="K13245" s="2"/>
      <c r="L13245" s="2"/>
      <c r="M13245" s="2"/>
      <c r="N13245" s="2"/>
      <c r="O13245" s="2"/>
      <c r="P13245" s="2"/>
      <c r="Q13245" s="2"/>
      <c r="R13245" s="2"/>
      <c r="S13245" s="2"/>
      <c r="T13245" s="2"/>
      <c r="U13245" s="2"/>
      <c r="V13245" s="2"/>
      <c r="W13245" s="2"/>
      <c r="X13245" s="2"/>
      <c r="Y13245" s="2"/>
      <c r="Z13245" s="2"/>
    </row>
    <row r="13246" spans="1:26" ht="16.5" x14ac:dyDescent="0.35">
      <c r="A13246" s="2" t="str">
        <f ca="1">IFERROR(__xludf.DUMMYFUNCTION("""COMPUTED_VALUE"""),"Abu Dhabi")</f>
        <v>Abu Dhabi</v>
      </c>
      <c r="B13246" s="2" t="str">
        <f ca="1">IFERROR(__xludf.DUMMYFUNCTION("""COMPUTED_VALUE"""),"Reem Avenue")</f>
        <v>Reem Avenue</v>
      </c>
      <c r="C13246" s="2" t="str">
        <f ca="1">IFERROR(__xludf.DUMMYFUNCTION("""COMPUTED_VALUE"""),"Neighbourhood")</f>
        <v>Neighbourhood</v>
      </c>
      <c r="D13246" s="2" t="str">
        <f ca="1">IFERROR(__xludf.DUMMYFUNCTION("""COMPUTED_VALUE"""),"Abu Dhabi&gt;Al Reem Island&gt;Reem Hills&gt;Reem Avenue")</f>
        <v>Abu Dhabi&gt;Al Reem Island&gt;Reem Hills&gt;Reem Avenue</v>
      </c>
      <c r="E13246" s="2"/>
      <c r="F13246" s="2"/>
      <c r="G13246" s="2"/>
      <c r="H13246" s="2"/>
      <c r="I13246" s="2"/>
      <c r="J13246" s="2"/>
      <c r="K13246" s="2"/>
      <c r="L13246" s="2"/>
      <c r="M13246" s="2"/>
      <c r="N13246" s="2"/>
      <c r="O13246" s="2"/>
      <c r="P13246" s="2"/>
      <c r="Q13246" s="2"/>
      <c r="R13246" s="2"/>
      <c r="S13246" s="2"/>
      <c r="T13246" s="2"/>
      <c r="U13246" s="2"/>
      <c r="V13246" s="2"/>
      <c r="W13246" s="2"/>
      <c r="X13246" s="2"/>
      <c r="Y13246" s="2"/>
      <c r="Z13246" s="2"/>
    </row>
    <row r="13247" spans="1:26" ht="16.5" x14ac:dyDescent="0.35">
      <c r="A13247" s="2" t="str">
        <f ca="1">IFERROR(__xludf.DUMMYFUNCTION("""COMPUTED_VALUE"""),"Abu Dhabi")</f>
        <v>Abu Dhabi</v>
      </c>
      <c r="B13247" s="2" t="str">
        <f ca="1">IFERROR(__xludf.DUMMYFUNCTION("""COMPUTED_VALUE"""),"UNB Tower")</f>
        <v>UNB Tower</v>
      </c>
      <c r="C13247" s="2"/>
      <c r="D13247" s="2" t="str">
        <f ca="1">IFERROR(__xludf.DUMMYFUNCTION("""COMPUTED_VALUE"""),"Abu Dhabi&gt;Corniche Road&gt;UNB Tower")</f>
        <v>Abu Dhabi&gt;Corniche Road&gt;UNB Tower</v>
      </c>
      <c r="E13247" s="2"/>
      <c r="F13247" s="2"/>
      <c r="G13247" s="2"/>
      <c r="H13247" s="2"/>
      <c r="I13247" s="2"/>
      <c r="J13247" s="2"/>
      <c r="K13247" s="2"/>
      <c r="L13247" s="2"/>
      <c r="M13247" s="2"/>
      <c r="N13247" s="2"/>
      <c r="O13247" s="2"/>
      <c r="P13247" s="2"/>
      <c r="Q13247" s="2"/>
      <c r="R13247" s="2"/>
      <c r="S13247" s="2"/>
      <c r="T13247" s="2"/>
      <c r="U13247" s="2"/>
      <c r="V13247" s="2"/>
      <c r="W13247" s="2"/>
      <c r="X13247" s="2"/>
      <c r="Y13247" s="2"/>
      <c r="Z13247" s="2"/>
    </row>
    <row r="13248" spans="1:26" ht="16.5" x14ac:dyDescent="0.35">
      <c r="A13248" s="2" t="str">
        <f ca="1">IFERROR(__xludf.DUMMYFUNCTION("""COMPUTED_VALUE"""),"Abu Dhabi")</f>
        <v>Abu Dhabi</v>
      </c>
      <c r="B13248" s="2" t="str">
        <f ca="1">IFERROR(__xludf.DUMMYFUNCTION("""COMPUTED_VALUE"""),"Baby Bird Nursery")</f>
        <v>Baby Bird Nursery</v>
      </c>
      <c r="C13248" s="2" t="str">
        <f ca="1">IFERROR(__xludf.DUMMYFUNCTION("""COMPUTED_VALUE"""),"Nursery")</f>
        <v>Nursery</v>
      </c>
      <c r="D13248" s="2" t="str">
        <f ca="1">IFERROR(__xludf.DUMMYFUNCTION("""COMPUTED_VALUE"""),"Abu Dhabi&gt;Al Khalidiyah&gt;Baby Bird Nursery")</f>
        <v>Abu Dhabi&gt;Al Khalidiyah&gt;Baby Bird Nursery</v>
      </c>
      <c r="E13248" s="2"/>
      <c r="F13248" s="2"/>
      <c r="G13248" s="2"/>
      <c r="H13248" s="2"/>
      <c r="I13248" s="2"/>
      <c r="J13248" s="2"/>
      <c r="K13248" s="2"/>
      <c r="L13248" s="2"/>
      <c r="M13248" s="2"/>
      <c r="N13248" s="2"/>
      <c r="O13248" s="2"/>
      <c r="P13248" s="2"/>
      <c r="Q13248" s="2"/>
      <c r="R13248" s="2"/>
      <c r="S13248" s="2"/>
      <c r="T13248" s="2"/>
      <c r="U13248" s="2"/>
      <c r="V13248" s="2"/>
      <c r="W13248" s="2"/>
      <c r="X13248" s="2"/>
      <c r="Y13248" s="2"/>
      <c r="Z13248" s="2"/>
    </row>
    <row r="13249" spans="1:26" ht="16.5" x14ac:dyDescent="0.35">
      <c r="A13249" s="2" t="str">
        <f ca="1">IFERROR(__xludf.DUMMYFUNCTION("""COMPUTED_VALUE"""),"Abu Dhabi")</f>
        <v>Abu Dhabi</v>
      </c>
      <c r="B13249" s="2" t="str">
        <f ca="1">IFERROR(__xludf.DUMMYFUNCTION("""COMPUTED_VALUE"""),"Al Heel Tower")</f>
        <v>Al Heel Tower</v>
      </c>
      <c r="C13249" s="2"/>
      <c r="D13249" s="2" t="str">
        <f ca="1">IFERROR(__xludf.DUMMYFUNCTION("""COMPUTED_VALUE"""),"Abu Dhabi&gt;Al Khalidiyah&gt;Al Heel Tower")</f>
        <v>Abu Dhabi&gt;Al Khalidiyah&gt;Al Heel Tower</v>
      </c>
      <c r="E13249" s="2"/>
      <c r="F13249" s="2"/>
      <c r="G13249" s="2"/>
      <c r="H13249" s="2"/>
      <c r="I13249" s="2"/>
      <c r="J13249" s="2"/>
      <c r="K13249" s="2"/>
      <c r="L13249" s="2"/>
      <c r="M13249" s="2"/>
      <c r="N13249" s="2"/>
      <c r="O13249" s="2"/>
      <c r="P13249" s="2"/>
      <c r="Q13249" s="2"/>
      <c r="R13249" s="2"/>
      <c r="S13249" s="2"/>
      <c r="T13249" s="2"/>
      <c r="U13249" s="2"/>
      <c r="V13249" s="2"/>
      <c r="W13249" s="2"/>
      <c r="X13249" s="2"/>
      <c r="Y13249" s="2"/>
      <c r="Z13249" s="2"/>
    </row>
    <row r="13250" spans="1:26" ht="16.5" x14ac:dyDescent="0.35">
      <c r="A13250" s="2" t="str">
        <f ca="1">IFERROR(__xludf.DUMMYFUNCTION("""COMPUTED_VALUE"""),"Abu Dhabi")</f>
        <v>Abu Dhabi</v>
      </c>
      <c r="B13250" s="2" t="str">
        <f ca="1">IFERROR(__xludf.DUMMYFUNCTION("""COMPUTED_VALUE"""),"RDK GP50 Villas")</f>
        <v>RDK GP50 Villas</v>
      </c>
      <c r="C13250" s="2" t="str">
        <f ca="1">IFERROR(__xludf.DUMMYFUNCTION("""COMPUTED_VALUE"""),"Neighbourhood")</f>
        <v>Neighbourhood</v>
      </c>
      <c r="D13250" s="2" t="str">
        <f ca="1">IFERROR(__xludf.DUMMYFUNCTION("""COMPUTED_VALUE"""),"Abu Dhabi&gt;Khalifa City&gt;RDK GP50 Villas")</f>
        <v>Abu Dhabi&gt;Khalifa City&gt;RDK GP50 Villas</v>
      </c>
      <c r="E13250" s="2"/>
      <c r="F13250" s="2"/>
      <c r="G13250" s="2"/>
      <c r="H13250" s="2"/>
      <c r="I13250" s="2"/>
      <c r="J13250" s="2"/>
      <c r="K13250" s="2"/>
      <c r="L13250" s="2"/>
      <c r="M13250" s="2"/>
      <c r="N13250" s="2"/>
      <c r="O13250" s="2"/>
      <c r="P13250" s="2"/>
      <c r="Q13250" s="2"/>
      <c r="R13250" s="2"/>
      <c r="S13250" s="2"/>
      <c r="T13250" s="2"/>
      <c r="U13250" s="2"/>
      <c r="V13250" s="2"/>
      <c r="W13250" s="2"/>
      <c r="X13250" s="2"/>
      <c r="Y13250" s="2"/>
      <c r="Z13250" s="2"/>
    </row>
    <row r="13251" spans="1:26" ht="16.5" x14ac:dyDescent="0.35">
      <c r="A13251" s="2" t="str">
        <f ca="1">IFERROR(__xludf.DUMMYFUNCTION("""COMPUTED_VALUE"""),"Abu Dhabi")</f>
        <v>Abu Dhabi</v>
      </c>
      <c r="B13251" s="2" t="str">
        <f ca="1">IFERROR(__xludf.DUMMYFUNCTION("""COMPUTED_VALUE"""),"SE35")</f>
        <v>SE35</v>
      </c>
      <c r="C13251" s="2" t="str">
        <f ca="1">IFERROR(__xludf.DUMMYFUNCTION("""COMPUTED_VALUE"""),"Neighbourhood")</f>
        <v>Neighbourhood</v>
      </c>
      <c r="D13251" s="2" t="str">
        <f ca="1">IFERROR(__xludf.DUMMYFUNCTION("""COMPUTED_VALUE"""),"Abu Dhabi&gt;Khalifa City&gt;SE35")</f>
        <v>Abu Dhabi&gt;Khalifa City&gt;SE35</v>
      </c>
      <c r="E13251" s="2"/>
      <c r="F13251" s="2"/>
      <c r="G13251" s="2"/>
      <c r="H13251" s="2"/>
      <c r="I13251" s="2"/>
      <c r="J13251" s="2"/>
      <c r="K13251" s="2"/>
      <c r="L13251" s="2"/>
      <c r="M13251" s="2"/>
      <c r="N13251" s="2"/>
      <c r="O13251" s="2"/>
      <c r="P13251" s="2"/>
      <c r="Q13251" s="2"/>
      <c r="R13251" s="2"/>
      <c r="S13251" s="2"/>
      <c r="T13251" s="2"/>
      <c r="U13251" s="2"/>
      <c r="V13251" s="2"/>
      <c r="W13251" s="2"/>
      <c r="X13251" s="2"/>
      <c r="Y13251" s="2"/>
      <c r="Z13251" s="2"/>
    </row>
    <row r="13252" spans="1:26" ht="16.5" x14ac:dyDescent="0.35">
      <c r="A13252" s="2" t="str">
        <f ca="1">IFERROR(__xludf.DUMMYFUNCTION("""COMPUTED_VALUE"""),"Abu Dhabi")</f>
        <v>Abu Dhabi</v>
      </c>
      <c r="B13252" s="2" t="str">
        <f ca="1">IFERROR(__xludf.DUMMYFUNCTION("""COMPUTED_VALUE"""),"ADIA Tower")</f>
        <v>ADIA Tower</v>
      </c>
      <c r="C13252" s="2"/>
      <c r="D13252" s="2" t="str">
        <f ca="1">IFERROR(__xludf.DUMMYFUNCTION("""COMPUTED_VALUE"""),"Abu Dhabi&gt;Al Markaziya&gt;ADIA Tower")</f>
        <v>Abu Dhabi&gt;Al Markaziya&gt;ADIA Tower</v>
      </c>
      <c r="E13252" s="2"/>
      <c r="F13252" s="2"/>
      <c r="G13252" s="2"/>
      <c r="H13252" s="2"/>
      <c r="I13252" s="2"/>
      <c r="J13252" s="2"/>
      <c r="K13252" s="2"/>
      <c r="L13252" s="2"/>
      <c r="M13252" s="2"/>
      <c r="N13252" s="2"/>
      <c r="O13252" s="2"/>
      <c r="P13252" s="2"/>
      <c r="Q13252" s="2"/>
      <c r="R13252" s="2"/>
      <c r="S13252" s="2"/>
      <c r="T13252" s="2"/>
      <c r="U13252" s="2"/>
      <c r="V13252" s="2"/>
      <c r="W13252" s="2"/>
      <c r="X13252" s="2"/>
      <c r="Y13252" s="2"/>
      <c r="Z13252" s="2"/>
    </row>
    <row r="13253" spans="1:26" ht="16.5" x14ac:dyDescent="0.35">
      <c r="A13253" s="2" t="str">
        <f ca="1">IFERROR(__xludf.DUMMYFUNCTION("""COMPUTED_VALUE"""),"Abu Dhabi")</f>
        <v>Abu Dhabi</v>
      </c>
      <c r="B13253" s="2" t="str">
        <f ca="1">IFERROR(__xludf.DUMMYFUNCTION("""COMPUTED_VALUE"""),"Samra Community")</f>
        <v>Samra Community</v>
      </c>
      <c r="C13253" s="2" t="str">
        <f ca="1">IFERROR(__xludf.DUMMYFUNCTION("""COMPUTED_VALUE"""),"Neighbourhood")</f>
        <v>Neighbourhood</v>
      </c>
      <c r="D13253" s="2" t="str">
        <f ca="1">IFERROR(__xludf.DUMMYFUNCTION("""COMPUTED_VALUE"""),"Abu Dhabi&gt;Al Raha Gardens&gt;Samra Community")</f>
        <v>Abu Dhabi&gt;Al Raha Gardens&gt;Samra Community</v>
      </c>
      <c r="E13253" s="2"/>
      <c r="F13253" s="2"/>
      <c r="G13253" s="2"/>
      <c r="H13253" s="2"/>
      <c r="I13253" s="2"/>
      <c r="J13253" s="2"/>
      <c r="K13253" s="2"/>
      <c r="L13253" s="2"/>
      <c r="M13253" s="2"/>
      <c r="N13253" s="2"/>
      <c r="O13253" s="2"/>
      <c r="P13253" s="2"/>
      <c r="Q13253" s="2"/>
      <c r="R13253" s="2"/>
      <c r="S13253" s="2"/>
      <c r="T13253" s="2"/>
      <c r="U13253" s="2"/>
      <c r="V13253" s="2"/>
      <c r="W13253" s="2"/>
      <c r="X13253" s="2"/>
      <c r="Y13253" s="2"/>
      <c r="Z13253" s="2"/>
    </row>
    <row r="13254" spans="1:26" ht="16.5" x14ac:dyDescent="0.35">
      <c r="A13254" s="2" t="str">
        <f ca="1">IFERROR(__xludf.DUMMYFUNCTION("""COMPUTED_VALUE"""),"Abu Dhabi")</f>
        <v>Abu Dhabi</v>
      </c>
      <c r="B13254" s="2" t="str">
        <f ca="1">IFERROR(__xludf.DUMMYFUNCTION("""COMPUTED_VALUE"""),"Ajwan Towers")</f>
        <v>Ajwan Towers</v>
      </c>
      <c r="C13254" s="2" t="str">
        <f ca="1">IFERROR(__xludf.DUMMYFUNCTION("""COMPUTED_VALUE"""),"Building")</f>
        <v>Building</v>
      </c>
      <c r="D13254" s="2" t="str">
        <f ca="1">IFERROR(__xludf.DUMMYFUNCTION("""COMPUTED_VALUE"""),"Abu Dhabi&gt;Saadiyat Island&gt;Saadiyat Cultural District&gt;Ajwan Towers")</f>
        <v>Abu Dhabi&gt;Saadiyat Island&gt;Saadiyat Cultural District&gt;Ajwan Towers</v>
      </c>
      <c r="E13254" s="2"/>
      <c r="F13254" s="2"/>
      <c r="G13254" s="2"/>
      <c r="H13254" s="2"/>
      <c r="I13254" s="2"/>
      <c r="J13254" s="2"/>
      <c r="K13254" s="2"/>
      <c r="L13254" s="2"/>
      <c r="M13254" s="2"/>
      <c r="N13254" s="2"/>
      <c r="O13254" s="2"/>
      <c r="P13254" s="2"/>
      <c r="Q13254" s="2"/>
      <c r="R13254" s="2"/>
      <c r="S13254" s="2"/>
      <c r="T13254" s="2"/>
      <c r="U13254" s="2"/>
      <c r="V13254" s="2"/>
      <c r="W13254" s="2"/>
      <c r="X13254" s="2"/>
      <c r="Y13254" s="2"/>
      <c r="Z13254" s="2"/>
    </row>
    <row r="13255" spans="1:26" ht="16.5" x14ac:dyDescent="0.35">
      <c r="A13255" s="2" t="str">
        <f ca="1">IFERROR(__xludf.DUMMYFUNCTION("""COMPUTED_VALUE"""),"Abu Dhabi")</f>
        <v>Abu Dhabi</v>
      </c>
      <c r="B13255" s="2" t="str">
        <f ca="1">IFERROR(__xludf.DUMMYFUNCTION("""COMPUTED_VALUE"""),"Redwood Montessori Nursery Al Saadiyat Island")</f>
        <v>Redwood Montessori Nursery Al Saadiyat Island</v>
      </c>
      <c r="C13255" s="2" t="str">
        <f ca="1">IFERROR(__xludf.DUMMYFUNCTION("""COMPUTED_VALUE"""),"Nursery")</f>
        <v>Nursery</v>
      </c>
      <c r="D13255" s="2" t="str">
        <f ca="1">IFERROR(__xludf.DUMMYFUNCTION("""COMPUTED_VALUE"""),"Abu Dhabi&gt;Saadiyat Island&gt;Saadiyat Beach&gt;Redwood Montessori Nursery Al Saadiyat Island")</f>
        <v>Abu Dhabi&gt;Saadiyat Island&gt;Saadiyat Beach&gt;Redwood Montessori Nursery Al Saadiyat Island</v>
      </c>
      <c r="E13255" s="2"/>
      <c r="F13255" s="2"/>
      <c r="G13255" s="2"/>
      <c r="H13255" s="2"/>
      <c r="I13255" s="2"/>
      <c r="J13255" s="2"/>
      <c r="K13255" s="2"/>
      <c r="L13255" s="2"/>
      <c r="M13255" s="2"/>
      <c r="N13255" s="2"/>
      <c r="O13255" s="2"/>
      <c r="P13255" s="2"/>
      <c r="Q13255" s="2"/>
      <c r="R13255" s="2"/>
      <c r="S13255" s="2"/>
      <c r="T13255" s="2"/>
      <c r="U13255" s="2"/>
      <c r="V13255" s="2"/>
      <c r="W13255" s="2"/>
      <c r="X13255" s="2"/>
      <c r="Y13255" s="2"/>
      <c r="Z13255" s="2"/>
    </row>
    <row r="13256" spans="1:26" ht="16.5" x14ac:dyDescent="0.35">
      <c r="A13256" s="2" t="str">
        <f ca="1">IFERROR(__xludf.DUMMYFUNCTION("""COMPUTED_VALUE"""),"Abu Dhabi")</f>
        <v>Abu Dhabi</v>
      </c>
      <c r="B13256" s="2" t="str">
        <f ca="1">IFERROR(__xludf.DUMMYFUNCTION("""COMPUTED_VALUE"""),"Nobu Residences")</f>
        <v>Nobu Residences</v>
      </c>
      <c r="C13256" s="2" t="str">
        <f ca="1">IFERROR(__xludf.DUMMYFUNCTION("""COMPUTED_VALUE"""),"Building")</f>
        <v>Building</v>
      </c>
      <c r="D13256" s="2" t="str">
        <f ca="1">IFERROR(__xludf.DUMMYFUNCTION("""COMPUTED_VALUE"""),"Abu Dhabi&gt;Saadiyat Island&gt;Nobu Residences")</f>
        <v>Abu Dhabi&gt;Saadiyat Island&gt;Nobu Residences</v>
      </c>
      <c r="E13256" s="2"/>
      <c r="F13256" s="2"/>
      <c r="G13256" s="2"/>
      <c r="H13256" s="2"/>
      <c r="I13256" s="2"/>
      <c r="J13256" s="2"/>
      <c r="K13256" s="2"/>
      <c r="L13256" s="2"/>
      <c r="M13256" s="2"/>
      <c r="N13256" s="2"/>
      <c r="O13256" s="2"/>
      <c r="P13256" s="2"/>
      <c r="Q13256" s="2"/>
      <c r="R13256" s="2"/>
      <c r="S13256" s="2"/>
      <c r="T13256" s="2"/>
      <c r="U13256" s="2"/>
      <c r="V13256" s="2"/>
      <c r="W13256" s="2"/>
      <c r="X13256" s="2"/>
      <c r="Y13256" s="2"/>
      <c r="Z13256" s="2"/>
    </row>
    <row r="13257" spans="1:26" ht="16.5" x14ac:dyDescent="0.35">
      <c r="A13257" s="2" t="str">
        <f ca="1">IFERROR(__xludf.DUMMYFUNCTION("""COMPUTED_VALUE"""),"Abu Dhabi")</f>
        <v>Abu Dhabi</v>
      </c>
      <c r="B13257" s="2" t="str">
        <f ca="1">IFERROR(__xludf.DUMMYFUNCTION("""COMPUTED_VALUE"""),"C27 Building")</f>
        <v>C27 Building</v>
      </c>
      <c r="C13257" s="2" t="str">
        <f ca="1">IFERROR(__xludf.DUMMYFUNCTION("""COMPUTED_VALUE"""),"Building")</f>
        <v>Building</v>
      </c>
      <c r="D13257" s="2" t="str">
        <f ca="1">IFERROR(__xludf.DUMMYFUNCTION("""COMPUTED_VALUE"""),"Abu Dhabi&gt;Al Raha Beach&gt;Al Seef&gt;C27 Building")</f>
        <v>Abu Dhabi&gt;Al Raha Beach&gt;Al Seef&gt;C27 Building</v>
      </c>
      <c r="E13257" s="2"/>
      <c r="F13257" s="2"/>
      <c r="G13257" s="2"/>
      <c r="H13257" s="2"/>
      <c r="I13257" s="2"/>
      <c r="J13257" s="2"/>
      <c r="K13257" s="2"/>
      <c r="L13257" s="2"/>
      <c r="M13257" s="2"/>
      <c r="N13257" s="2"/>
      <c r="O13257" s="2"/>
      <c r="P13257" s="2"/>
      <c r="Q13257" s="2"/>
      <c r="R13257" s="2"/>
      <c r="S13257" s="2"/>
      <c r="T13257" s="2"/>
      <c r="U13257" s="2"/>
      <c r="V13257" s="2"/>
      <c r="W13257" s="2"/>
      <c r="X13257" s="2"/>
      <c r="Y13257" s="2"/>
      <c r="Z13257" s="2"/>
    </row>
    <row r="13258" spans="1:26" ht="16.5" x14ac:dyDescent="0.35">
      <c r="A13258" s="2" t="str">
        <f ca="1">IFERROR(__xludf.DUMMYFUNCTION("""COMPUTED_VALUE"""),"Abu Dhabi")</f>
        <v>Abu Dhabi</v>
      </c>
      <c r="B13258" s="2" t="str">
        <f ca="1">IFERROR(__xludf.DUMMYFUNCTION("""COMPUTED_VALUE"""),"Al Nada 2")</f>
        <v>Al Nada 2</v>
      </c>
      <c r="C13258" s="2" t="str">
        <f ca="1">IFERROR(__xludf.DUMMYFUNCTION("""COMPUTED_VALUE"""),"Building")</f>
        <v>Building</v>
      </c>
      <c r="D13258" s="2" t="str">
        <f ca="1">IFERROR(__xludf.DUMMYFUNCTION("""COMPUTED_VALUE"""),"Abu Dhabi&gt;Al Raha Beach&gt;Al Muneera&gt;Al Nada&gt;Al Nada 2")</f>
        <v>Abu Dhabi&gt;Al Raha Beach&gt;Al Muneera&gt;Al Nada&gt;Al Nada 2</v>
      </c>
      <c r="E13258" s="2"/>
      <c r="F13258" s="2"/>
      <c r="G13258" s="2"/>
      <c r="H13258" s="2"/>
      <c r="I13258" s="2"/>
      <c r="J13258" s="2"/>
      <c r="K13258" s="2"/>
      <c r="L13258" s="2"/>
      <c r="M13258" s="2"/>
      <c r="N13258" s="2"/>
      <c r="O13258" s="2"/>
      <c r="P13258" s="2"/>
      <c r="Q13258" s="2"/>
      <c r="R13258" s="2"/>
      <c r="S13258" s="2"/>
      <c r="T13258" s="2"/>
      <c r="U13258" s="2"/>
      <c r="V13258" s="2"/>
      <c r="W13258" s="2"/>
      <c r="X13258" s="2"/>
      <c r="Y13258" s="2"/>
      <c r="Z13258" s="2"/>
    </row>
    <row r="13259" spans="1:26" ht="16.5" x14ac:dyDescent="0.35">
      <c r="A13259" s="2" t="str">
        <f ca="1">IFERROR(__xludf.DUMMYFUNCTION("""COMPUTED_VALUE"""),"Abu Dhabi")</f>
        <v>Abu Dhabi</v>
      </c>
      <c r="B13259" s="2" t="str">
        <f ca="1">IFERROR(__xludf.DUMMYFUNCTION("""COMPUTED_VALUE"""),"C2 Al Raha Tower")</f>
        <v>C2 Al Raha Tower</v>
      </c>
      <c r="C13259" s="2" t="str">
        <f ca="1">IFERROR(__xludf.DUMMYFUNCTION("""COMPUTED_VALUE"""),"Building")</f>
        <v>Building</v>
      </c>
      <c r="D13259" s="2" t="str">
        <f ca="1">IFERROR(__xludf.DUMMYFUNCTION("""COMPUTED_VALUE"""),"Abu Dhabi&gt;Al Raha Beach&gt;C2 Al Raha Tower")</f>
        <v>Abu Dhabi&gt;Al Raha Beach&gt;C2 Al Raha Tower</v>
      </c>
      <c r="E13259" s="2"/>
      <c r="F13259" s="2"/>
      <c r="G13259" s="2"/>
      <c r="H13259" s="2"/>
      <c r="I13259" s="2"/>
      <c r="J13259" s="2"/>
      <c r="K13259" s="2"/>
      <c r="L13259" s="2"/>
      <c r="M13259" s="2"/>
      <c r="N13259" s="2"/>
      <c r="O13259" s="2"/>
      <c r="P13259" s="2"/>
      <c r="Q13259" s="2"/>
      <c r="R13259" s="2"/>
      <c r="S13259" s="2"/>
      <c r="T13259" s="2"/>
      <c r="U13259" s="2"/>
      <c r="V13259" s="2"/>
      <c r="W13259" s="2"/>
      <c r="X13259" s="2"/>
      <c r="Y13259" s="2"/>
      <c r="Z13259" s="2"/>
    </row>
    <row r="13260" spans="1:26" ht="16.5" x14ac:dyDescent="0.35">
      <c r="A13260" s="2" t="str">
        <f ca="1">IFERROR(__xludf.DUMMYFUNCTION("""COMPUTED_VALUE"""),"Abu Dhabi")</f>
        <v>Abu Dhabi</v>
      </c>
      <c r="B13260" s="2" t="str">
        <f ca="1">IFERROR(__xludf.DUMMYFUNCTION("""COMPUTED_VALUE"""),"Bab Al Qasr Residence 22")</f>
        <v>Bab Al Qasr Residence 22</v>
      </c>
      <c r="C13260" s="2" t="str">
        <f ca="1">IFERROR(__xludf.DUMMYFUNCTION("""COMPUTED_VALUE"""),"Building")</f>
        <v>Building</v>
      </c>
      <c r="D13260" s="2" t="str">
        <f ca="1">IFERROR(__xludf.DUMMYFUNCTION("""COMPUTED_VALUE"""),"Abu Dhabi&gt;Al Raha Beach&gt;Bab Al Qasr Residence 22")</f>
        <v>Abu Dhabi&gt;Al Raha Beach&gt;Bab Al Qasr Residence 22</v>
      </c>
      <c r="E13260" s="2"/>
      <c r="F13260" s="2"/>
      <c r="G13260" s="2"/>
      <c r="H13260" s="2"/>
      <c r="I13260" s="2"/>
      <c r="J13260" s="2"/>
      <c r="K13260" s="2"/>
      <c r="L13260" s="2"/>
      <c r="M13260" s="2"/>
      <c r="N13260" s="2"/>
      <c r="O13260" s="2"/>
      <c r="P13260" s="2"/>
      <c r="Q13260" s="2"/>
      <c r="R13260" s="2"/>
      <c r="S13260" s="2"/>
      <c r="T13260" s="2"/>
      <c r="U13260" s="2"/>
      <c r="V13260" s="2"/>
      <c r="W13260" s="2"/>
      <c r="X13260" s="2"/>
      <c r="Y13260" s="2"/>
      <c r="Z13260" s="2"/>
    </row>
    <row r="13261" spans="1:26" ht="16.5" x14ac:dyDescent="0.35">
      <c r="A13261" s="2" t="str">
        <f ca="1">IFERROR(__xludf.DUMMYFUNCTION("""COMPUTED_VALUE"""),"Abu Dhabi")</f>
        <v>Abu Dhabi</v>
      </c>
      <c r="B13261" s="2" t="str">
        <f ca="1">IFERROR(__xludf.DUMMYFUNCTION("""COMPUTED_VALUE"""),"Al Seef Village Mall")</f>
        <v>Al Seef Village Mall</v>
      </c>
      <c r="C13261" s="2" t="str">
        <f ca="1">IFERROR(__xludf.DUMMYFUNCTION("""COMPUTED_VALUE"""),"Building")</f>
        <v>Building</v>
      </c>
      <c r="D13261" s="2" t="str">
        <f ca="1">IFERROR(__xludf.DUMMYFUNCTION("""COMPUTED_VALUE"""),"Abu Dhabi&gt;Al Salam Street&gt;Al Seef Village&gt;Al Seef Village Mall")</f>
        <v>Abu Dhabi&gt;Al Salam Street&gt;Al Seef Village&gt;Al Seef Village Mall</v>
      </c>
      <c r="E13261" s="2"/>
      <c r="F13261" s="2"/>
      <c r="G13261" s="2"/>
      <c r="H13261" s="2"/>
      <c r="I13261" s="2"/>
      <c r="J13261" s="2"/>
      <c r="K13261" s="2"/>
      <c r="L13261" s="2"/>
      <c r="M13261" s="2"/>
      <c r="N13261" s="2"/>
      <c r="O13261" s="2"/>
      <c r="P13261" s="2"/>
      <c r="Q13261" s="2"/>
      <c r="R13261" s="2"/>
      <c r="S13261" s="2"/>
      <c r="T13261" s="2"/>
      <c r="U13261" s="2"/>
      <c r="V13261" s="2"/>
      <c r="W13261" s="2"/>
      <c r="X13261" s="2"/>
      <c r="Y13261" s="2"/>
      <c r="Z13261" s="2"/>
    </row>
    <row r="13262" spans="1:26" ht="16.5" x14ac:dyDescent="0.35">
      <c r="A13262" s="2" t="str">
        <f ca="1">IFERROR(__xludf.DUMMYFUNCTION("""COMPUTED_VALUE"""),"Abu Dhabi")</f>
        <v>Abu Dhabi</v>
      </c>
      <c r="B13262" s="2" t="str">
        <f ca="1">IFERROR(__xludf.DUMMYFUNCTION("""COMPUTED_VALUE"""),"C205 Building")</f>
        <v>C205 Building</v>
      </c>
      <c r="C13262" s="2" t="str">
        <f ca="1">IFERROR(__xludf.DUMMYFUNCTION("""COMPUTED_VALUE"""),"Building")</f>
        <v>Building</v>
      </c>
      <c r="D13262" s="2" t="str">
        <f ca="1">IFERROR(__xludf.DUMMYFUNCTION("""COMPUTED_VALUE"""),"Abu Dhabi&gt;Mohamed Bin Zayed City&gt;C205 Building")</f>
        <v>Abu Dhabi&gt;Mohamed Bin Zayed City&gt;C205 Building</v>
      </c>
      <c r="E13262" s="2"/>
      <c r="F13262" s="2"/>
      <c r="G13262" s="2"/>
      <c r="H13262" s="2"/>
      <c r="I13262" s="2"/>
      <c r="J13262" s="2"/>
      <c r="K13262" s="2"/>
      <c r="L13262" s="2"/>
      <c r="M13262" s="2"/>
      <c r="N13262" s="2"/>
      <c r="O13262" s="2"/>
      <c r="P13262" s="2"/>
      <c r="Q13262" s="2"/>
      <c r="R13262" s="2"/>
      <c r="S13262" s="2"/>
      <c r="T13262" s="2"/>
      <c r="U13262" s="2"/>
      <c r="V13262" s="2"/>
      <c r="W13262" s="2"/>
      <c r="X13262" s="2"/>
      <c r="Y13262" s="2"/>
      <c r="Z13262" s="2"/>
    </row>
    <row r="13263" spans="1:26" ht="16.5" x14ac:dyDescent="0.35">
      <c r="A13263" s="2" t="str">
        <f ca="1">IFERROR(__xludf.DUMMYFUNCTION("""COMPUTED_VALUE"""),"Abu Dhabi")</f>
        <v>Abu Dhabi</v>
      </c>
      <c r="B13263" s="2" t="str">
        <f ca="1">IFERROR(__xludf.DUMMYFUNCTION("""COMPUTED_VALUE"""),"Zone 31")</f>
        <v>Zone 31</v>
      </c>
      <c r="C13263" s="2" t="str">
        <f ca="1">IFERROR(__xludf.DUMMYFUNCTION("""COMPUTED_VALUE"""),"Neighbourhood")</f>
        <v>Neighbourhood</v>
      </c>
      <c r="D13263" s="2" t="str">
        <f ca="1">IFERROR(__xludf.DUMMYFUNCTION("""COMPUTED_VALUE"""),"Abu Dhabi&gt;Mohamed Bin Zayed City&gt;Zone 31")</f>
        <v>Abu Dhabi&gt;Mohamed Bin Zayed City&gt;Zone 31</v>
      </c>
      <c r="E13263" s="2"/>
      <c r="F13263" s="2"/>
      <c r="G13263" s="2"/>
      <c r="H13263" s="2"/>
      <c r="I13263" s="2"/>
      <c r="J13263" s="2"/>
      <c r="K13263" s="2"/>
      <c r="L13263" s="2"/>
      <c r="M13263" s="2"/>
      <c r="N13263" s="2"/>
      <c r="O13263" s="2"/>
      <c r="P13263" s="2"/>
      <c r="Q13263" s="2"/>
      <c r="R13263" s="2"/>
      <c r="S13263" s="2"/>
      <c r="T13263" s="2"/>
      <c r="U13263" s="2"/>
      <c r="V13263" s="2"/>
      <c r="W13263" s="2"/>
      <c r="X13263" s="2"/>
      <c r="Y13263" s="2"/>
      <c r="Z13263" s="2"/>
    </row>
    <row r="13264" spans="1:26" ht="16.5" x14ac:dyDescent="0.35">
      <c r="A13264" s="2" t="str">
        <f ca="1">IFERROR(__xludf.DUMMYFUNCTION("""COMPUTED_VALUE"""),"Abu Dhabi")</f>
        <v>Abu Dhabi</v>
      </c>
      <c r="B13264" s="2" t="str">
        <f ca="1">IFERROR(__xludf.DUMMYFUNCTION("""COMPUTED_VALUE"""),"Building 25")</f>
        <v>Building 25</v>
      </c>
      <c r="C13264" s="2" t="str">
        <f ca="1">IFERROR(__xludf.DUMMYFUNCTION("""COMPUTED_VALUE"""),"Building")</f>
        <v>Building</v>
      </c>
      <c r="D13264" s="2" t="str">
        <f ca="1">IFERROR(__xludf.DUMMYFUNCTION("""COMPUTED_VALUE"""),"Abu Dhabi&gt;Al Reef&gt;Al Reef Downtown&gt;Building 25")</f>
        <v>Abu Dhabi&gt;Al Reef&gt;Al Reef Downtown&gt;Building 25</v>
      </c>
      <c r="E13264" s="2"/>
      <c r="F13264" s="2"/>
      <c r="G13264" s="2"/>
      <c r="H13264" s="2"/>
      <c r="I13264" s="2"/>
      <c r="J13264" s="2"/>
      <c r="K13264" s="2"/>
      <c r="L13264" s="2"/>
      <c r="M13264" s="2"/>
      <c r="N13264" s="2"/>
      <c r="O13264" s="2"/>
      <c r="P13264" s="2"/>
      <c r="Q13264" s="2"/>
      <c r="R13264" s="2"/>
      <c r="S13264" s="2"/>
      <c r="T13264" s="2"/>
      <c r="U13264" s="2"/>
      <c r="V13264" s="2"/>
      <c r="W13264" s="2"/>
      <c r="X13264" s="2"/>
      <c r="Y13264" s="2"/>
      <c r="Z13264" s="2"/>
    </row>
    <row r="13265" spans="1:26" ht="16.5" x14ac:dyDescent="0.35">
      <c r="A13265" s="2" t="str">
        <f ca="1">IFERROR(__xludf.DUMMYFUNCTION("""COMPUTED_VALUE"""),"Abu Dhabi")</f>
        <v>Abu Dhabi</v>
      </c>
      <c r="B13265" s="2" t="str">
        <f ca="1">IFERROR(__xludf.DUMMYFUNCTION("""COMPUTED_VALUE"""),"Building 40")</f>
        <v>Building 40</v>
      </c>
      <c r="C13265" s="2" t="str">
        <f ca="1">IFERROR(__xludf.DUMMYFUNCTION("""COMPUTED_VALUE"""),"Building")</f>
        <v>Building</v>
      </c>
      <c r="D13265" s="2" t="str">
        <f ca="1">IFERROR(__xludf.DUMMYFUNCTION("""COMPUTED_VALUE"""),"Abu Dhabi&gt;Al Reef&gt;Al Reef Downtown&gt;Building 40")</f>
        <v>Abu Dhabi&gt;Al Reef&gt;Al Reef Downtown&gt;Building 40</v>
      </c>
      <c r="E13265" s="2"/>
      <c r="F13265" s="2"/>
      <c r="G13265" s="2"/>
      <c r="H13265" s="2"/>
      <c r="I13265" s="2"/>
      <c r="J13265" s="2"/>
      <c r="K13265" s="2"/>
      <c r="L13265" s="2"/>
      <c r="M13265" s="2"/>
      <c r="N13265" s="2"/>
      <c r="O13265" s="2"/>
      <c r="P13265" s="2"/>
      <c r="Q13265" s="2"/>
      <c r="R13265" s="2"/>
      <c r="S13265" s="2"/>
      <c r="T13265" s="2"/>
      <c r="U13265" s="2"/>
      <c r="V13265" s="2"/>
      <c r="W13265" s="2"/>
      <c r="X13265" s="2"/>
      <c r="Y13265" s="2"/>
      <c r="Z13265" s="2"/>
    </row>
    <row r="13266" spans="1:26" ht="16.5" x14ac:dyDescent="0.35">
      <c r="A13266" s="2" t="str">
        <f ca="1">IFERROR(__xludf.DUMMYFUNCTION("""COMPUTED_VALUE"""),"Abu Dhabi")</f>
        <v>Abu Dhabi</v>
      </c>
      <c r="B13266" s="2" t="str">
        <f ca="1">IFERROR(__xludf.DUMMYFUNCTION("""COMPUTED_VALUE"""),"Emirates Palace")</f>
        <v>Emirates Palace</v>
      </c>
      <c r="C13266" s="2" t="str">
        <f ca="1">IFERROR(__xludf.DUMMYFUNCTION("""COMPUTED_VALUE"""),"Building")</f>
        <v>Building</v>
      </c>
      <c r="D13266" s="2" t="str">
        <f ca="1">IFERROR(__xludf.DUMMYFUNCTION("""COMPUTED_VALUE"""),"Abu Dhabi&gt;Al Ras Al Akhdar&gt;Emirates Palace")</f>
        <v>Abu Dhabi&gt;Al Ras Al Akhdar&gt;Emirates Palace</v>
      </c>
      <c r="E13266" s="2"/>
      <c r="F13266" s="2"/>
      <c r="G13266" s="2"/>
      <c r="H13266" s="2"/>
      <c r="I13266" s="2"/>
      <c r="J13266" s="2"/>
      <c r="K13266" s="2"/>
      <c r="L13266" s="2"/>
      <c r="M13266" s="2"/>
      <c r="N13266" s="2"/>
      <c r="O13266" s="2"/>
      <c r="P13266" s="2"/>
      <c r="Q13266" s="2"/>
      <c r="R13266" s="2"/>
      <c r="S13266" s="2"/>
      <c r="T13266" s="2"/>
      <c r="U13266" s="2"/>
      <c r="V13266" s="2"/>
      <c r="W13266" s="2"/>
      <c r="X13266" s="2"/>
      <c r="Y13266" s="2"/>
      <c r="Z13266" s="2"/>
    </row>
    <row r="13267" spans="1:26" ht="16.5" x14ac:dyDescent="0.35">
      <c r="A13267" s="2" t="str">
        <f ca="1">IFERROR(__xludf.DUMMYFUNCTION("""COMPUTED_VALUE"""),"Abu Dhabi")</f>
        <v>Abu Dhabi</v>
      </c>
      <c r="B13267" s="2" t="str">
        <f ca="1">IFERROR(__xludf.DUMMYFUNCTION("""COMPUTED_VALUE"""),"Capital Views")</f>
        <v>Capital Views</v>
      </c>
      <c r="C13267" s="2" t="str">
        <f ca="1">IFERROR(__xludf.DUMMYFUNCTION("""COMPUTED_VALUE"""),"Building")</f>
        <v>Building</v>
      </c>
      <c r="D13267" s="2" t="str">
        <f ca="1">IFERROR(__xludf.DUMMYFUNCTION("""COMPUTED_VALUE"""),"Abu Dhabi&gt;Capital Centre&gt;Capital Views")</f>
        <v>Abu Dhabi&gt;Capital Centre&gt;Capital Views</v>
      </c>
      <c r="E13267" s="2"/>
      <c r="F13267" s="2"/>
      <c r="G13267" s="2"/>
      <c r="H13267" s="2"/>
      <c r="I13267" s="2"/>
      <c r="J13267" s="2"/>
      <c r="K13267" s="2"/>
      <c r="L13267" s="2"/>
      <c r="M13267" s="2"/>
      <c r="N13267" s="2"/>
      <c r="O13267" s="2"/>
      <c r="P13267" s="2"/>
      <c r="Q13267" s="2"/>
      <c r="R13267" s="2"/>
      <c r="S13267" s="2"/>
      <c r="T13267" s="2"/>
      <c r="U13267" s="2"/>
      <c r="V13267" s="2"/>
      <c r="W13267" s="2"/>
      <c r="X13267" s="2"/>
      <c r="Y13267" s="2"/>
      <c r="Z13267" s="2"/>
    </row>
    <row r="13268" spans="1:26" ht="16.5" x14ac:dyDescent="0.35">
      <c r="A13268" s="2" t="str">
        <f ca="1">IFERROR(__xludf.DUMMYFUNCTION("""COMPUTED_VALUE"""),"Abu Dhabi")</f>
        <v>Abu Dhabi</v>
      </c>
      <c r="B13268" s="2" t="str">
        <f ca="1">IFERROR(__xludf.DUMMYFUNCTION("""COMPUTED_VALUE"""),"Perla 2")</f>
        <v>Perla 2</v>
      </c>
      <c r="C13268" s="2" t="str">
        <f ca="1">IFERROR(__xludf.DUMMYFUNCTION("""COMPUTED_VALUE"""),"Building")</f>
        <v>Building</v>
      </c>
      <c r="D13268" s="2" t="str">
        <f ca="1">IFERROR(__xludf.DUMMYFUNCTION("""COMPUTED_VALUE"""),"Abu Dhabi&gt;Yas Island&gt;Yas Bay&gt;Perla 2")</f>
        <v>Abu Dhabi&gt;Yas Island&gt;Yas Bay&gt;Perla 2</v>
      </c>
      <c r="E13268" s="2"/>
      <c r="F13268" s="2"/>
      <c r="G13268" s="2"/>
      <c r="H13268" s="2"/>
      <c r="I13268" s="2"/>
      <c r="J13268" s="2"/>
      <c r="K13268" s="2"/>
      <c r="L13268" s="2"/>
      <c r="M13268" s="2"/>
      <c r="N13268" s="2"/>
      <c r="O13268" s="2"/>
      <c r="P13268" s="2"/>
      <c r="Q13268" s="2"/>
      <c r="R13268" s="2"/>
      <c r="S13268" s="2"/>
      <c r="T13268" s="2"/>
      <c r="U13268" s="2"/>
      <c r="V13268" s="2"/>
      <c r="W13268" s="2"/>
      <c r="X13268" s="2"/>
      <c r="Y13268" s="2"/>
      <c r="Z13268" s="2"/>
    </row>
    <row r="13269" spans="1:26" ht="16.5" x14ac:dyDescent="0.35">
      <c r="A13269" s="2" t="str">
        <f ca="1">IFERROR(__xludf.DUMMYFUNCTION("""COMPUTED_VALUE"""),"Abu Dhabi")</f>
        <v>Abu Dhabi</v>
      </c>
      <c r="B13269" s="2" t="str">
        <f ca="1">IFERROR(__xludf.DUMMYFUNCTION("""COMPUTED_VALUE"""),"Yas Acres North Bay")</f>
        <v>Yas Acres North Bay</v>
      </c>
      <c r="C13269" s="2" t="str">
        <f ca="1">IFERROR(__xludf.DUMMYFUNCTION("""COMPUTED_VALUE"""),"Neighbourhood")</f>
        <v>Neighbourhood</v>
      </c>
      <c r="D13269" s="2" t="str">
        <f ca="1">IFERROR(__xludf.DUMMYFUNCTION("""COMPUTED_VALUE"""),"Abu Dhabi&gt;Yas Island&gt;Yas Acres&gt;Yas Acres North Bay")</f>
        <v>Abu Dhabi&gt;Yas Island&gt;Yas Acres&gt;Yas Acres North Bay</v>
      </c>
      <c r="E13269" s="2"/>
      <c r="F13269" s="2"/>
      <c r="G13269" s="2"/>
      <c r="H13269" s="2"/>
      <c r="I13269" s="2"/>
      <c r="J13269" s="2"/>
      <c r="K13269" s="2"/>
      <c r="L13269" s="2"/>
      <c r="M13269" s="2"/>
      <c r="N13269" s="2"/>
      <c r="O13269" s="2"/>
      <c r="P13269" s="2"/>
      <c r="Q13269" s="2"/>
      <c r="R13269" s="2"/>
      <c r="S13269" s="2"/>
      <c r="T13269" s="2"/>
      <c r="U13269" s="2"/>
      <c r="V13269" s="2"/>
      <c r="W13269" s="2"/>
      <c r="X13269" s="2"/>
      <c r="Y13269" s="2"/>
      <c r="Z13269" s="2"/>
    </row>
    <row r="13270" spans="1:26" ht="16.5" x14ac:dyDescent="0.35">
      <c r="A13270" s="2" t="str">
        <f ca="1">IFERROR(__xludf.DUMMYFUNCTION("""COMPUTED_VALUE"""),"Abu Dhabi")</f>
        <v>Abu Dhabi</v>
      </c>
      <c r="B13270" s="2" t="str">
        <f ca="1">IFERROR(__xludf.DUMMYFUNCTION("""COMPUTED_VALUE"""),"Vista Del Mar")</f>
        <v>Vista Del Mar</v>
      </c>
      <c r="C13270" s="2" t="str">
        <f ca="1">IFERROR(__xludf.DUMMYFUNCTION("""COMPUTED_VALUE"""),"Building")</f>
        <v>Building</v>
      </c>
      <c r="D13270" s="2" t="str">
        <f ca="1">IFERROR(__xludf.DUMMYFUNCTION("""COMPUTED_VALUE"""),"Abu Dhabi&gt;Yas Island&gt;Vista Del Mar")</f>
        <v>Abu Dhabi&gt;Yas Island&gt;Vista Del Mar</v>
      </c>
      <c r="E13270" s="2"/>
      <c r="F13270" s="2"/>
      <c r="G13270" s="2"/>
      <c r="H13270" s="2"/>
      <c r="I13270" s="2"/>
      <c r="J13270" s="2"/>
      <c r="K13270" s="2"/>
      <c r="L13270" s="2"/>
      <c r="M13270" s="2"/>
      <c r="N13270" s="2"/>
      <c r="O13270" s="2"/>
      <c r="P13270" s="2"/>
      <c r="Q13270" s="2"/>
      <c r="R13270" s="2"/>
      <c r="S13270" s="2"/>
      <c r="T13270" s="2"/>
      <c r="U13270" s="2"/>
      <c r="V13270" s="2"/>
      <c r="W13270" s="2"/>
      <c r="X13270" s="2"/>
      <c r="Y13270" s="2"/>
      <c r="Z13270" s="2"/>
    </row>
    <row r="13271" spans="1:26" ht="16.5" x14ac:dyDescent="0.35">
      <c r="A13271" s="2" t="str">
        <f ca="1">IFERROR(__xludf.DUMMYFUNCTION("""COMPUTED_VALUE"""),"Abu Dhabi")</f>
        <v>Abu Dhabi</v>
      </c>
      <c r="B13271" s="2" t="str">
        <f ca="1">IFERROR(__xludf.DUMMYFUNCTION("""COMPUTED_VALUE"""),"Nourwatan")</f>
        <v>Nourwatan</v>
      </c>
      <c r="C13271" s="2" t="str">
        <f ca="1">IFERROR(__xludf.DUMMYFUNCTION("""COMPUTED_VALUE"""),"Building")</f>
        <v>Building</v>
      </c>
      <c r="D13271" s="2" t="str">
        <f ca="1">IFERROR(__xludf.DUMMYFUNCTION("""COMPUTED_VALUE"""),"Abu Dhabi&gt;Al Shamkha&gt;Al Reeman 1&gt;Nourwatan")</f>
        <v>Abu Dhabi&gt;Al Shamkha&gt;Al Reeman 1&gt;Nourwatan</v>
      </c>
      <c r="E13271" s="2"/>
      <c r="F13271" s="2"/>
      <c r="G13271" s="2"/>
      <c r="H13271" s="2"/>
      <c r="I13271" s="2"/>
      <c r="J13271" s="2"/>
      <c r="K13271" s="2"/>
      <c r="L13271" s="2"/>
      <c r="M13271" s="2"/>
      <c r="N13271" s="2"/>
      <c r="O13271" s="2"/>
      <c r="P13271" s="2"/>
      <c r="Q13271" s="2"/>
      <c r="R13271" s="2"/>
      <c r="S13271" s="2"/>
      <c r="T13271" s="2"/>
      <c r="U13271" s="2"/>
      <c r="V13271" s="2"/>
      <c r="W13271" s="2"/>
      <c r="X13271" s="2"/>
      <c r="Y13271" s="2"/>
      <c r="Z13271" s="2"/>
    </row>
    <row r="13272" spans="1:26" ht="16.5" x14ac:dyDescent="0.35">
      <c r="A13272" s="2" t="str">
        <f ca="1">IFERROR(__xludf.DUMMYFUNCTION("""COMPUTED_VALUE"""),"Ajman")</f>
        <v>Ajman</v>
      </c>
      <c r="B13272" s="2" t="str">
        <f ca="1">IFERROR(__xludf.DUMMYFUNCTION("""COMPUTED_VALUE"""),"Ajman Industrial")</f>
        <v>Ajman Industrial</v>
      </c>
      <c r="C13272" s="2" t="str">
        <f ca="1">IFERROR(__xludf.DUMMYFUNCTION("""COMPUTED_VALUE"""),"Neighbourhood")</f>
        <v>Neighbourhood</v>
      </c>
      <c r="D13272" s="2" t="str">
        <f ca="1">IFERROR(__xludf.DUMMYFUNCTION("""COMPUTED_VALUE"""),"Ajman&gt;Ajman Industrial")</f>
        <v>Ajman&gt;Ajman Industrial</v>
      </c>
      <c r="E13272" s="2"/>
      <c r="F13272" s="2"/>
      <c r="G13272" s="2"/>
      <c r="H13272" s="2"/>
      <c r="I13272" s="2"/>
      <c r="J13272" s="2"/>
      <c r="K13272" s="2"/>
      <c r="L13272" s="2"/>
      <c r="M13272" s="2"/>
      <c r="N13272" s="2"/>
      <c r="O13272" s="2"/>
      <c r="P13272" s="2"/>
      <c r="Q13272" s="2"/>
      <c r="R13272" s="2"/>
      <c r="S13272" s="2"/>
      <c r="T13272" s="2"/>
      <c r="U13272" s="2"/>
      <c r="V13272" s="2"/>
      <c r="W13272" s="2"/>
      <c r="X13272" s="2"/>
      <c r="Y13272" s="2"/>
      <c r="Z13272" s="2"/>
    </row>
    <row r="13273" spans="1:26" ht="16.5" x14ac:dyDescent="0.35">
      <c r="A13273" s="2" t="str">
        <f ca="1">IFERROR(__xludf.DUMMYFUNCTION("""COMPUTED_VALUE"""),"Ajman")</f>
        <v>Ajman</v>
      </c>
      <c r="B13273" s="2" t="str">
        <f ca="1">IFERROR(__xludf.DUMMYFUNCTION("""COMPUTED_VALUE"""),"Lavender Tower")</f>
        <v>Lavender Tower</v>
      </c>
      <c r="C13273" s="2" t="str">
        <f ca="1">IFERROR(__xludf.DUMMYFUNCTION("""COMPUTED_VALUE"""),"Building")</f>
        <v>Building</v>
      </c>
      <c r="D13273" s="2" t="str">
        <f ca="1">IFERROR(__xludf.DUMMYFUNCTION("""COMPUTED_VALUE"""),"Ajman&gt;Emirates City&gt;Lavender Tower")</f>
        <v>Ajman&gt;Emirates City&gt;Lavender Tower</v>
      </c>
      <c r="E13273" s="2"/>
      <c r="F13273" s="2"/>
      <c r="G13273" s="2"/>
      <c r="H13273" s="2"/>
      <c r="I13273" s="2"/>
      <c r="J13273" s="2"/>
      <c r="K13273" s="2"/>
      <c r="L13273" s="2"/>
      <c r="M13273" s="2"/>
      <c r="N13273" s="2"/>
      <c r="O13273" s="2"/>
      <c r="P13273" s="2"/>
      <c r="Q13273" s="2"/>
      <c r="R13273" s="2"/>
      <c r="S13273" s="2"/>
      <c r="T13273" s="2"/>
      <c r="U13273" s="2"/>
      <c r="V13273" s="2"/>
      <c r="W13273" s="2"/>
      <c r="X13273" s="2"/>
      <c r="Y13273" s="2"/>
      <c r="Z13273" s="2"/>
    </row>
    <row r="13274" spans="1:26" ht="16.5" x14ac:dyDescent="0.35">
      <c r="A13274" s="2" t="str">
        <f ca="1">IFERROR(__xludf.DUMMYFUNCTION("""COMPUTED_VALUE"""),"Ajman")</f>
        <v>Ajman</v>
      </c>
      <c r="B13274" s="2" t="str">
        <f ca="1">IFERROR(__xludf.DUMMYFUNCTION("""COMPUTED_VALUE"""),"Rockland Residence")</f>
        <v>Rockland Residence</v>
      </c>
      <c r="C13274" s="2" t="str">
        <f ca="1">IFERROR(__xludf.DUMMYFUNCTION("""COMPUTED_VALUE"""),"Building")</f>
        <v>Building</v>
      </c>
      <c r="D13274" s="2" t="str">
        <f ca="1">IFERROR(__xludf.DUMMYFUNCTION("""COMPUTED_VALUE"""),"Ajman&gt;Emirates City&gt;Rockland Residence")</f>
        <v>Ajman&gt;Emirates City&gt;Rockland Residence</v>
      </c>
      <c r="E13274" s="2"/>
      <c r="F13274" s="2"/>
      <c r="G13274" s="2"/>
      <c r="H13274" s="2"/>
      <c r="I13274" s="2"/>
      <c r="J13274" s="2"/>
      <c r="K13274" s="2"/>
      <c r="L13274" s="2"/>
      <c r="M13274" s="2"/>
      <c r="N13274" s="2"/>
      <c r="O13274" s="2"/>
      <c r="P13274" s="2"/>
      <c r="Q13274" s="2"/>
      <c r="R13274" s="2"/>
      <c r="S13274" s="2"/>
      <c r="T13274" s="2"/>
      <c r="U13274" s="2"/>
      <c r="V13274" s="2"/>
      <c r="W13274" s="2"/>
      <c r="X13274" s="2"/>
      <c r="Y13274" s="2"/>
      <c r="Z13274" s="2"/>
    </row>
    <row r="13275" spans="1:26" ht="16.5" x14ac:dyDescent="0.35">
      <c r="A13275" s="2" t="str">
        <f ca="1">IFERROR(__xludf.DUMMYFUNCTION("""COMPUTED_VALUE"""),"Ajman")</f>
        <v>Ajman</v>
      </c>
      <c r="B13275" s="2" t="str">
        <f ca="1">IFERROR(__xludf.DUMMYFUNCTION("""COMPUTED_VALUE"""),"Al Mesk Building")</f>
        <v>Al Mesk Building</v>
      </c>
      <c r="C13275" s="2" t="str">
        <f ca="1">IFERROR(__xludf.DUMMYFUNCTION("""COMPUTED_VALUE"""),"Building")</f>
        <v>Building</v>
      </c>
      <c r="D13275" s="2" t="str">
        <f ca="1">IFERROR(__xludf.DUMMYFUNCTION("""COMPUTED_VALUE"""),"Ajman&gt;Al Jurf&gt;Al Jurf 2&gt;Al Mesk Building")</f>
        <v>Ajman&gt;Al Jurf&gt;Al Jurf 2&gt;Al Mesk Building</v>
      </c>
      <c r="E13275" s="2"/>
      <c r="F13275" s="2"/>
      <c r="G13275" s="2"/>
      <c r="H13275" s="2"/>
      <c r="I13275" s="2"/>
      <c r="J13275" s="2"/>
      <c r="K13275" s="2"/>
      <c r="L13275" s="2"/>
      <c r="M13275" s="2"/>
      <c r="N13275" s="2"/>
      <c r="O13275" s="2"/>
      <c r="P13275" s="2"/>
      <c r="Q13275" s="2"/>
      <c r="R13275" s="2"/>
      <c r="S13275" s="2"/>
      <c r="T13275" s="2"/>
      <c r="U13275" s="2"/>
      <c r="V13275" s="2"/>
      <c r="W13275" s="2"/>
      <c r="X13275" s="2"/>
      <c r="Y13275" s="2"/>
      <c r="Z13275" s="2"/>
    </row>
    <row r="13276" spans="1:26" ht="16.5" x14ac:dyDescent="0.35">
      <c r="A13276" s="2" t="str">
        <f ca="1">IFERROR(__xludf.DUMMYFUNCTION("""COMPUTED_VALUE"""),"Ajman")</f>
        <v>Ajman</v>
      </c>
      <c r="B13276" s="2" t="str">
        <f ca="1">IFERROR(__xludf.DUMMYFUNCTION("""COMPUTED_VALUE"""),"Kentia")</f>
        <v>Kentia</v>
      </c>
      <c r="C13276" s="2"/>
      <c r="D13276" s="2" t="str">
        <f ca="1">IFERROR(__xludf.DUMMYFUNCTION("""COMPUTED_VALUE"""),"Ajman&gt;Ajman Uptown&gt;Kentia")</f>
        <v>Ajman&gt;Ajman Uptown&gt;Kentia</v>
      </c>
      <c r="E13276" s="2"/>
      <c r="F13276" s="2"/>
      <c r="G13276" s="2"/>
      <c r="H13276" s="2"/>
      <c r="I13276" s="2"/>
      <c r="J13276" s="2"/>
      <c r="K13276" s="2"/>
      <c r="L13276" s="2"/>
      <c r="M13276" s="2"/>
      <c r="N13276" s="2"/>
      <c r="O13276" s="2"/>
      <c r="P13276" s="2"/>
      <c r="Q13276" s="2"/>
      <c r="R13276" s="2"/>
      <c r="S13276" s="2"/>
      <c r="T13276" s="2"/>
      <c r="U13276" s="2"/>
      <c r="V13276" s="2"/>
      <c r="W13276" s="2"/>
      <c r="X13276" s="2"/>
      <c r="Y13276" s="2"/>
      <c r="Z13276" s="2"/>
    </row>
    <row r="13277" spans="1:26" ht="16.5" x14ac:dyDescent="0.35">
      <c r="A13277" s="2" t="str">
        <f ca="1">IFERROR(__xludf.DUMMYFUNCTION("""COMPUTED_VALUE"""),"Ajman")</f>
        <v>Ajman</v>
      </c>
      <c r="B13277" s="2" t="str">
        <f ca="1">IFERROR(__xludf.DUMMYFUNCTION("""COMPUTED_VALUE"""),"Al Rashidiya 2")</f>
        <v>Al Rashidiya 2</v>
      </c>
      <c r="C13277" s="2" t="str">
        <f ca="1">IFERROR(__xludf.DUMMYFUNCTION("""COMPUTED_VALUE"""),"Neighbourhood")</f>
        <v>Neighbourhood</v>
      </c>
      <c r="D13277" s="2" t="str">
        <f ca="1">IFERROR(__xludf.DUMMYFUNCTION("""COMPUTED_VALUE"""),"Ajman&gt;Al Rashidiya&gt;Al Rashidiya 2")</f>
        <v>Ajman&gt;Al Rashidiya&gt;Al Rashidiya 2</v>
      </c>
      <c r="E13277" s="2"/>
      <c r="F13277" s="2"/>
      <c r="G13277" s="2"/>
      <c r="H13277" s="2"/>
      <c r="I13277" s="2"/>
      <c r="J13277" s="2"/>
      <c r="K13277" s="2"/>
      <c r="L13277" s="2"/>
      <c r="M13277" s="2"/>
      <c r="N13277" s="2"/>
      <c r="O13277" s="2"/>
      <c r="P13277" s="2"/>
      <c r="Q13277" s="2"/>
      <c r="R13277" s="2"/>
      <c r="S13277" s="2"/>
      <c r="T13277" s="2"/>
      <c r="U13277" s="2"/>
      <c r="V13277" s="2"/>
      <c r="W13277" s="2"/>
      <c r="X13277" s="2"/>
      <c r="Y13277" s="2"/>
      <c r="Z13277" s="2"/>
    </row>
    <row r="13278" spans="1:26" ht="16.5" x14ac:dyDescent="0.35">
      <c r="A13278" s="2" t="str">
        <f ca="1">IFERROR(__xludf.DUMMYFUNCTION("""COMPUTED_VALUE"""),"Ajman")</f>
        <v>Ajman</v>
      </c>
      <c r="B13278" s="2" t="str">
        <f ca="1">IFERROR(__xludf.DUMMYFUNCTION("""COMPUTED_VALUE"""),"Ajman One Phase 2")</f>
        <v>Ajman One Phase 2</v>
      </c>
      <c r="C13278" s="2" t="str">
        <f ca="1">IFERROR(__xludf.DUMMYFUNCTION("""COMPUTED_VALUE"""),"Building")</f>
        <v>Building</v>
      </c>
      <c r="D13278" s="2" t="str">
        <f ca="1">IFERROR(__xludf.DUMMYFUNCTION("""COMPUTED_VALUE"""),"Ajman&gt;Al Rashidiya&gt;Al Rashidiya 3&gt;Ajman One Phase 2")</f>
        <v>Ajman&gt;Al Rashidiya&gt;Al Rashidiya 3&gt;Ajman One Phase 2</v>
      </c>
      <c r="E13278" s="2"/>
      <c r="F13278" s="2"/>
      <c r="G13278" s="2"/>
      <c r="H13278" s="2"/>
      <c r="I13278" s="2"/>
      <c r="J13278" s="2"/>
      <c r="K13278" s="2"/>
      <c r="L13278" s="2"/>
      <c r="M13278" s="2"/>
      <c r="N13278" s="2"/>
      <c r="O13278" s="2"/>
      <c r="P13278" s="2"/>
      <c r="Q13278" s="2"/>
      <c r="R13278" s="2"/>
      <c r="S13278" s="2"/>
      <c r="T13278" s="2"/>
      <c r="U13278" s="2"/>
      <c r="V13278" s="2"/>
      <c r="W13278" s="2"/>
      <c r="X13278" s="2"/>
      <c r="Y13278" s="2"/>
      <c r="Z13278" s="2"/>
    </row>
    <row r="13279" spans="1:26" ht="16.5" x14ac:dyDescent="0.35">
      <c r="A13279" s="2" t="str">
        <f ca="1">IFERROR(__xludf.DUMMYFUNCTION("""COMPUTED_VALUE"""),"Ajman")</f>
        <v>Ajman</v>
      </c>
      <c r="B13279" s="2" t="str">
        <f ca="1">IFERROR(__xludf.DUMMYFUNCTION("""COMPUTED_VALUE"""),"Al Helio")</f>
        <v>Al Helio</v>
      </c>
      <c r="C13279" s="2" t="str">
        <f ca="1">IFERROR(__xludf.DUMMYFUNCTION("""COMPUTED_VALUE"""),"Neighbourhood")</f>
        <v>Neighbourhood</v>
      </c>
      <c r="D13279" s="2" t="str">
        <f ca="1">IFERROR(__xludf.DUMMYFUNCTION("""COMPUTED_VALUE"""),"Ajman&gt;Al Helio")</f>
        <v>Ajman&gt;Al Helio</v>
      </c>
      <c r="E13279" s="2"/>
      <c r="F13279" s="2"/>
      <c r="G13279" s="2"/>
      <c r="H13279" s="2"/>
      <c r="I13279" s="2"/>
      <c r="J13279" s="2"/>
      <c r="K13279" s="2"/>
      <c r="L13279" s="2"/>
      <c r="M13279" s="2"/>
      <c r="N13279" s="2"/>
      <c r="O13279" s="2"/>
      <c r="P13279" s="2"/>
      <c r="Q13279" s="2"/>
      <c r="R13279" s="2"/>
      <c r="S13279" s="2"/>
      <c r="T13279" s="2"/>
      <c r="U13279" s="2"/>
      <c r="V13279" s="2"/>
      <c r="W13279" s="2"/>
      <c r="X13279" s="2"/>
      <c r="Y13279" s="2"/>
      <c r="Z13279" s="2"/>
    </row>
    <row r="13280" spans="1:26" ht="16.5" x14ac:dyDescent="0.35">
      <c r="A13280" s="2" t="str">
        <f ca="1">IFERROR(__xludf.DUMMYFUNCTION("""COMPUTED_VALUE"""),"Ajman")</f>
        <v>Ajman</v>
      </c>
      <c r="B13280" s="2" t="str">
        <f ca="1">IFERROR(__xludf.DUMMYFUNCTION("""COMPUTED_VALUE"""),"Chapal Coral")</f>
        <v>Chapal Coral</v>
      </c>
      <c r="C13280" s="2"/>
      <c r="D13280" s="2" t="str">
        <f ca="1">IFERROR(__xludf.DUMMYFUNCTION("""COMPUTED_VALUE"""),"Ajman&gt;Emirates Lake Towers&gt;Chapal Coral")</f>
        <v>Ajman&gt;Emirates Lake Towers&gt;Chapal Coral</v>
      </c>
      <c r="E13280" s="2"/>
      <c r="F13280" s="2"/>
      <c r="G13280" s="2"/>
      <c r="H13280" s="2"/>
      <c r="I13280" s="2"/>
      <c r="J13280" s="2"/>
      <c r="K13280" s="2"/>
      <c r="L13280" s="2"/>
      <c r="M13280" s="2"/>
      <c r="N13280" s="2"/>
      <c r="O13280" s="2"/>
      <c r="P13280" s="2"/>
      <c r="Q13280" s="2"/>
      <c r="R13280" s="2"/>
      <c r="S13280" s="2"/>
      <c r="T13280" s="2"/>
      <c r="U13280" s="2"/>
      <c r="V13280" s="2"/>
      <c r="W13280" s="2"/>
      <c r="X13280" s="2"/>
      <c r="Y13280" s="2"/>
      <c r="Z13280" s="2"/>
    </row>
    <row r="13281" spans="1:26" ht="16.5" x14ac:dyDescent="0.35">
      <c r="A13281" s="2" t="str">
        <f ca="1">IFERROR(__xludf.DUMMYFUNCTION("""COMPUTED_VALUE"""),"Ajman")</f>
        <v>Ajman</v>
      </c>
      <c r="B13281" s="2" t="str">
        <f ca="1">IFERROR(__xludf.DUMMYFUNCTION("""COMPUTED_VALUE"""),"The Oberoi Beach Resort")</f>
        <v>The Oberoi Beach Resort</v>
      </c>
      <c r="C13281" s="2"/>
      <c r="D13281" s="2" t="str">
        <f ca="1">IFERROR(__xludf.DUMMYFUNCTION("""COMPUTED_VALUE"""),"Ajman&gt;Al Zorah&gt;The Oberoi Beach Resort")</f>
        <v>Ajman&gt;Al Zorah&gt;The Oberoi Beach Resort</v>
      </c>
      <c r="E13281" s="2"/>
      <c r="F13281" s="2"/>
      <c r="G13281" s="2"/>
      <c r="H13281" s="2"/>
      <c r="I13281" s="2"/>
      <c r="J13281" s="2"/>
      <c r="K13281" s="2"/>
      <c r="L13281" s="2"/>
      <c r="M13281" s="2"/>
      <c r="N13281" s="2"/>
      <c r="O13281" s="2"/>
      <c r="P13281" s="2"/>
      <c r="Q13281" s="2"/>
      <c r="R13281" s="2"/>
      <c r="S13281" s="2"/>
      <c r="T13281" s="2"/>
      <c r="U13281" s="2"/>
      <c r="V13281" s="2"/>
      <c r="W13281" s="2"/>
      <c r="X13281" s="2"/>
      <c r="Y13281" s="2"/>
      <c r="Z13281" s="2"/>
    </row>
    <row r="13282" spans="1:26" ht="16.5" x14ac:dyDescent="0.35">
      <c r="A13282" s="2" t="str">
        <f ca="1">IFERROR(__xludf.DUMMYFUNCTION("""COMPUTED_VALUE"""),"Ajman")</f>
        <v>Ajman</v>
      </c>
      <c r="B13282" s="2" t="str">
        <f ca="1">IFERROR(__xludf.DUMMYFUNCTION("""COMPUTED_VALUE"""),"Al Rashed Tower 5")</f>
        <v>Al Rashed Tower 5</v>
      </c>
      <c r="C13282" s="2" t="str">
        <f ca="1">IFERROR(__xludf.DUMMYFUNCTION("""COMPUTED_VALUE"""),"Building")</f>
        <v>Building</v>
      </c>
      <c r="D13282" s="2" t="str">
        <f ca="1">IFERROR(__xludf.DUMMYFUNCTION("""COMPUTED_VALUE"""),"Ajman&gt;Al Humaid City&gt;Al Rashed Tower 5")</f>
        <v>Ajman&gt;Al Humaid City&gt;Al Rashed Tower 5</v>
      </c>
      <c r="E13282" s="2"/>
      <c r="F13282" s="2"/>
      <c r="G13282" s="2"/>
      <c r="H13282" s="2"/>
      <c r="I13282" s="2"/>
      <c r="J13282" s="2"/>
      <c r="K13282" s="2"/>
      <c r="L13282" s="2"/>
      <c r="M13282" s="2"/>
      <c r="N13282" s="2"/>
      <c r="O13282" s="2"/>
      <c r="P13282" s="2"/>
      <c r="Q13282" s="2"/>
      <c r="R13282" s="2"/>
      <c r="S13282" s="2"/>
      <c r="T13282" s="2"/>
      <c r="U13282" s="2"/>
      <c r="V13282" s="2"/>
      <c r="W13282" s="2"/>
      <c r="X13282" s="2"/>
      <c r="Y13282" s="2"/>
      <c r="Z13282" s="2"/>
    </row>
    <row r="13283" spans="1:26" ht="16.5" x14ac:dyDescent="0.35">
      <c r="A13283" s="2" t="str">
        <f ca="1">IFERROR(__xludf.DUMMYFUNCTION("""COMPUTED_VALUE"""),"Ajman")</f>
        <v>Ajman</v>
      </c>
      <c r="B13283" s="2" t="str">
        <f ca="1">IFERROR(__xludf.DUMMYFUNCTION("""COMPUTED_VALUE"""),"Nasa Villas")</f>
        <v>Nasa Villas</v>
      </c>
      <c r="C13283" s="2" t="str">
        <f ca="1">IFERROR(__xludf.DUMMYFUNCTION("""COMPUTED_VALUE"""),"Neighbourhood")</f>
        <v>Neighbourhood</v>
      </c>
      <c r="D13283" s="2" t="str">
        <f ca="1">IFERROR(__xludf.DUMMYFUNCTION("""COMPUTED_VALUE"""),"Ajman&gt;Al Ittihad Village&gt;Nasa Villas")</f>
        <v>Ajman&gt;Al Ittihad Village&gt;Nasa Villas</v>
      </c>
      <c r="E13283" s="2"/>
      <c r="F13283" s="2"/>
      <c r="G13283" s="2"/>
      <c r="H13283" s="2"/>
      <c r="I13283" s="2"/>
      <c r="J13283" s="2"/>
      <c r="K13283" s="2"/>
      <c r="L13283" s="2"/>
      <c r="M13283" s="2"/>
      <c r="N13283" s="2"/>
      <c r="O13283" s="2"/>
      <c r="P13283" s="2"/>
      <c r="Q13283" s="2"/>
      <c r="R13283" s="2"/>
      <c r="S13283" s="2"/>
      <c r="T13283" s="2"/>
      <c r="U13283" s="2"/>
      <c r="V13283" s="2"/>
      <c r="W13283" s="2"/>
      <c r="X13283" s="2"/>
      <c r="Y13283" s="2"/>
      <c r="Z13283" s="2"/>
    </row>
    <row r="13284" spans="1:26" ht="16.5" x14ac:dyDescent="0.35">
      <c r="A13284" s="2" t="str">
        <f ca="1">IFERROR(__xludf.DUMMYFUNCTION("""COMPUTED_VALUE"""),"Ajman")</f>
        <v>Ajman</v>
      </c>
      <c r="B13284" s="2" t="str">
        <f ca="1">IFERROR(__xludf.DUMMYFUNCTION("""COMPUTED_VALUE"""),"Ajman Twin Towers")</f>
        <v>Ajman Twin Towers</v>
      </c>
      <c r="C13284" s="2" t="str">
        <f ca="1">IFERROR(__xludf.DUMMYFUNCTION("""COMPUTED_VALUE"""),"Building")</f>
        <v>Building</v>
      </c>
      <c r="D13284" s="2" t="str">
        <f ca="1">IFERROR(__xludf.DUMMYFUNCTION("""COMPUTED_VALUE"""),"Ajman&gt;Al Nuaimiya&gt;Al Nuaimiya 3&gt;Ajman Twin Towers")</f>
        <v>Ajman&gt;Al Nuaimiya&gt;Al Nuaimiya 3&gt;Ajman Twin Towers</v>
      </c>
      <c r="E13284" s="2"/>
      <c r="F13284" s="2"/>
      <c r="G13284" s="2"/>
      <c r="H13284" s="2"/>
      <c r="I13284" s="2"/>
      <c r="J13284" s="2"/>
      <c r="K13284" s="2"/>
      <c r="L13284" s="2"/>
      <c r="M13284" s="2"/>
      <c r="N13284" s="2"/>
      <c r="O13284" s="2"/>
      <c r="P13284" s="2"/>
      <c r="Q13284" s="2"/>
      <c r="R13284" s="2"/>
      <c r="S13284" s="2"/>
      <c r="T13284" s="2"/>
      <c r="U13284" s="2"/>
      <c r="V13284" s="2"/>
      <c r="W13284" s="2"/>
      <c r="X13284" s="2"/>
      <c r="Y13284" s="2"/>
      <c r="Z13284" s="2"/>
    </row>
    <row r="13285" spans="1:26" ht="16.5" x14ac:dyDescent="0.35">
      <c r="A13285" s="2" t="str">
        <f ca="1">IFERROR(__xludf.DUMMYFUNCTION("""COMPUTED_VALUE"""),"Ajman")</f>
        <v>Ajman</v>
      </c>
      <c r="B13285" s="2" t="str">
        <f ca="1">IFERROR(__xludf.DUMMYFUNCTION("""COMPUTED_VALUE"""),"Greenwoods Residences")</f>
        <v>Greenwoods Residences</v>
      </c>
      <c r="C13285" s="2"/>
      <c r="D13285" s="2" t="str">
        <f ca="1">IFERROR(__xludf.DUMMYFUNCTION("""COMPUTED_VALUE"""),"Ajman&gt;Park View City&gt;Greenwoods Residences")</f>
        <v>Ajman&gt;Park View City&gt;Greenwoods Residences</v>
      </c>
      <c r="E13285" s="2"/>
      <c r="F13285" s="2"/>
      <c r="G13285" s="2"/>
      <c r="H13285" s="2"/>
      <c r="I13285" s="2"/>
      <c r="J13285" s="2"/>
      <c r="K13285" s="2"/>
      <c r="L13285" s="2"/>
      <c r="M13285" s="2"/>
      <c r="N13285" s="2"/>
      <c r="O13285" s="2"/>
      <c r="P13285" s="2"/>
      <c r="Q13285" s="2"/>
      <c r="R13285" s="2"/>
      <c r="S13285" s="2"/>
      <c r="T13285" s="2"/>
      <c r="U13285" s="2"/>
      <c r="V13285" s="2"/>
      <c r="W13285" s="2"/>
      <c r="X13285" s="2"/>
      <c r="Y13285" s="2"/>
      <c r="Z13285" s="2"/>
    </row>
    <row r="13286" spans="1:26" ht="16.5" x14ac:dyDescent="0.35">
      <c r="A13286" s="2" t="str">
        <f ca="1">IFERROR(__xludf.DUMMYFUNCTION("""COMPUTED_VALUE"""),"Sharjah")</f>
        <v>Sharjah</v>
      </c>
      <c r="B13286" s="2" t="str">
        <f ca="1">IFERROR(__xludf.DUMMYFUNCTION("""COMPUTED_VALUE"""),"Al Nahda Sahara Plaza D")</f>
        <v>Al Nahda Sahara Plaza D</v>
      </c>
      <c r="C13286" s="2" t="str">
        <f ca="1">IFERROR(__xludf.DUMMYFUNCTION("""COMPUTED_VALUE"""),"Building")</f>
        <v>Building</v>
      </c>
      <c r="D13286" s="2" t="str">
        <f ca="1">IFERROR(__xludf.DUMMYFUNCTION("""COMPUTED_VALUE"""),"Sharjah&gt;Al Nahda (Sharjah)&gt;Al Nahda Sahara Plaza&gt;Al Nahda Sahara Plaza D")</f>
        <v>Sharjah&gt;Al Nahda (Sharjah)&gt;Al Nahda Sahara Plaza&gt;Al Nahda Sahara Plaza D</v>
      </c>
      <c r="E13286" s="2"/>
      <c r="F13286" s="2"/>
      <c r="G13286" s="2"/>
      <c r="H13286" s="2"/>
      <c r="I13286" s="2"/>
      <c r="J13286" s="2"/>
      <c r="K13286" s="2"/>
      <c r="L13286" s="2"/>
      <c r="M13286" s="2"/>
      <c r="N13286" s="2"/>
      <c r="O13286" s="2"/>
      <c r="P13286" s="2"/>
      <c r="Q13286" s="2"/>
      <c r="R13286" s="2"/>
      <c r="S13286" s="2"/>
      <c r="T13286" s="2"/>
      <c r="U13286" s="2"/>
      <c r="V13286" s="2"/>
      <c r="W13286" s="2"/>
      <c r="X13286" s="2"/>
      <c r="Y13286" s="2"/>
      <c r="Z13286" s="2"/>
    </row>
    <row r="13287" spans="1:26" ht="16.5" x14ac:dyDescent="0.35">
      <c r="A13287" s="2" t="str">
        <f ca="1">IFERROR(__xludf.DUMMYFUNCTION("""COMPUTED_VALUE"""),"Sharjah")</f>
        <v>Sharjah</v>
      </c>
      <c r="B13287" s="2" t="str">
        <f ca="1">IFERROR(__xludf.DUMMYFUNCTION("""COMPUTED_VALUE"""),"Al Batool Tower")</f>
        <v>Al Batool Tower</v>
      </c>
      <c r="C13287" s="2"/>
      <c r="D13287" s="2" t="str">
        <f ca="1">IFERROR(__xludf.DUMMYFUNCTION("""COMPUTED_VALUE"""),"Sharjah&gt;Al Nahda (Sharjah)&gt;Al Batool Tower")</f>
        <v>Sharjah&gt;Al Nahda (Sharjah)&gt;Al Batool Tower</v>
      </c>
      <c r="E13287" s="2"/>
      <c r="F13287" s="2"/>
      <c r="G13287" s="2"/>
      <c r="H13287" s="2"/>
      <c r="I13287" s="2"/>
      <c r="J13287" s="2"/>
      <c r="K13287" s="2"/>
      <c r="L13287" s="2"/>
      <c r="M13287" s="2"/>
      <c r="N13287" s="2"/>
      <c r="O13287" s="2"/>
      <c r="P13287" s="2"/>
      <c r="Q13287" s="2"/>
      <c r="R13287" s="2"/>
      <c r="S13287" s="2"/>
      <c r="T13287" s="2"/>
      <c r="U13287" s="2"/>
      <c r="V13287" s="2"/>
      <c r="W13287" s="2"/>
      <c r="X13287" s="2"/>
      <c r="Y13287" s="2"/>
      <c r="Z13287" s="2"/>
    </row>
    <row r="13288" spans="1:26" ht="16.5" x14ac:dyDescent="0.35">
      <c r="A13288" s="2" t="str">
        <f ca="1">IFERROR(__xludf.DUMMYFUNCTION("""COMPUTED_VALUE"""),"Sharjah")</f>
        <v>Sharjah</v>
      </c>
      <c r="B13288" s="2" t="str">
        <f ca="1">IFERROR(__xludf.DUMMYFUNCTION("""COMPUTED_VALUE"""),"Ansar Mall Accommodation")</f>
        <v>Ansar Mall Accommodation</v>
      </c>
      <c r="C13288" s="2"/>
      <c r="D13288" s="2" t="str">
        <f ca="1">IFERROR(__xludf.DUMMYFUNCTION("""COMPUTED_VALUE"""),"Sharjah&gt;Al Nahda (Sharjah)&gt;Ansar Mall Accommodation")</f>
        <v>Sharjah&gt;Al Nahda (Sharjah)&gt;Ansar Mall Accommodation</v>
      </c>
      <c r="E13288" s="2"/>
      <c r="F13288" s="2"/>
      <c r="G13288" s="2"/>
      <c r="H13288" s="2"/>
      <c r="I13288" s="2"/>
      <c r="J13288" s="2"/>
      <c r="K13288" s="2"/>
      <c r="L13288" s="2"/>
      <c r="M13288" s="2"/>
      <c r="N13288" s="2"/>
      <c r="O13288" s="2"/>
      <c r="P13288" s="2"/>
      <c r="Q13288" s="2"/>
      <c r="R13288" s="2"/>
      <c r="S13288" s="2"/>
      <c r="T13288" s="2"/>
      <c r="U13288" s="2"/>
      <c r="V13288" s="2"/>
      <c r="W13288" s="2"/>
      <c r="X13288" s="2"/>
      <c r="Y13288" s="2"/>
      <c r="Z13288" s="2"/>
    </row>
    <row r="13289" spans="1:26" ht="16.5" x14ac:dyDescent="0.35">
      <c r="A13289" s="2" t="str">
        <f ca="1">IFERROR(__xludf.DUMMYFUNCTION("""COMPUTED_VALUE"""),"Sharjah")</f>
        <v>Sharjah</v>
      </c>
      <c r="B13289" s="2" t="str">
        <f ca="1">IFERROR(__xludf.DUMMYFUNCTION("""COMPUTED_VALUE"""),"White House")</f>
        <v>White House</v>
      </c>
      <c r="C13289" s="2"/>
      <c r="D13289" s="2" t="str">
        <f ca="1">IFERROR(__xludf.DUMMYFUNCTION("""COMPUTED_VALUE"""),"Sharjah&gt;Al Nahda (Sharjah)&gt;White House")</f>
        <v>Sharjah&gt;Al Nahda (Sharjah)&gt;White House</v>
      </c>
      <c r="E13289" s="2"/>
      <c r="F13289" s="2"/>
      <c r="G13289" s="2"/>
      <c r="H13289" s="2"/>
      <c r="I13289" s="2"/>
      <c r="J13289" s="2"/>
      <c r="K13289" s="2"/>
      <c r="L13289" s="2"/>
      <c r="M13289" s="2"/>
      <c r="N13289" s="2"/>
      <c r="O13289" s="2"/>
      <c r="P13289" s="2"/>
      <c r="Q13289" s="2"/>
      <c r="R13289" s="2"/>
      <c r="S13289" s="2"/>
      <c r="T13289" s="2"/>
      <c r="U13289" s="2"/>
      <c r="V13289" s="2"/>
      <c r="W13289" s="2"/>
      <c r="X13289" s="2"/>
      <c r="Y13289" s="2"/>
      <c r="Z13289" s="2"/>
    </row>
    <row r="13290" spans="1:26" ht="16.5" x14ac:dyDescent="0.35">
      <c r="A13290" s="2" t="str">
        <f ca="1">IFERROR(__xludf.DUMMYFUNCTION("""COMPUTED_VALUE"""),"Sharjah")</f>
        <v>Sharjah</v>
      </c>
      <c r="B13290" s="2" t="str">
        <f ca="1">IFERROR(__xludf.DUMMYFUNCTION("""COMPUTED_VALUE"""),"Maleha")</f>
        <v>Maleha</v>
      </c>
      <c r="C13290" s="2" t="str">
        <f ca="1">IFERROR(__xludf.DUMMYFUNCTION("""COMPUTED_VALUE"""),"Neighbourhood")</f>
        <v>Neighbourhood</v>
      </c>
      <c r="D13290" s="2" t="str">
        <f ca="1">IFERROR(__xludf.DUMMYFUNCTION("""COMPUTED_VALUE"""),"Sharjah&gt;Maleha")</f>
        <v>Sharjah&gt;Maleha</v>
      </c>
      <c r="E13290" s="2"/>
      <c r="F13290" s="2"/>
      <c r="G13290" s="2"/>
      <c r="H13290" s="2"/>
      <c r="I13290" s="2"/>
      <c r="J13290" s="2"/>
      <c r="K13290" s="2"/>
      <c r="L13290" s="2"/>
      <c r="M13290" s="2"/>
      <c r="N13290" s="2"/>
      <c r="O13290" s="2"/>
      <c r="P13290" s="2"/>
      <c r="Q13290" s="2"/>
      <c r="R13290" s="2"/>
      <c r="S13290" s="2"/>
      <c r="T13290" s="2"/>
      <c r="U13290" s="2"/>
      <c r="V13290" s="2"/>
      <c r="W13290" s="2"/>
      <c r="X13290" s="2"/>
      <c r="Y13290" s="2"/>
      <c r="Z13290" s="2"/>
    </row>
    <row r="13291" spans="1:26" ht="16.5" x14ac:dyDescent="0.35">
      <c r="A13291" s="2" t="str">
        <f ca="1">IFERROR(__xludf.DUMMYFUNCTION("""COMPUTED_VALUE"""),"Sharjah")</f>
        <v>Sharjah</v>
      </c>
      <c r="B13291" s="2" t="str">
        <f ca="1">IFERROR(__xludf.DUMMYFUNCTION("""COMPUTED_VALUE"""),"The Riff 5")</f>
        <v>The Riff 5</v>
      </c>
      <c r="C13291" s="2" t="str">
        <f ca="1">IFERROR(__xludf.DUMMYFUNCTION("""COMPUTED_VALUE"""),"Building")</f>
        <v>Building</v>
      </c>
      <c r="D13291" s="2" t="str">
        <f ca="1">IFERROR(__xludf.DUMMYFUNCTION("""COMPUTED_VALUE"""),"Sharjah&gt;Aljada&gt;East Village&gt;The Riff&gt;The Riff 5")</f>
        <v>Sharjah&gt;Aljada&gt;East Village&gt;The Riff&gt;The Riff 5</v>
      </c>
      <c r="E13291" s="2"/>
      <c r="F13291" s="2"/>
      <c r="G13291" s="2"/>
      <c r="H13291" s="2"/>
      <c r="I13291" s="2"/>
      <c r="J13291" s="2"/>
      <c r="K13291" s="2"/>
      <c r="L13291" s="2"/>
      <c r="M13291" s="2"/>
      <c r="N13291" s="2"/>
      <c r="O13291" s="2"/>
      <c r="P13291" s="2"/>
      <c r="Q13291" s="2"/>
      <c r="R13291" s="2"/>
      <c r="S13291" s="2"/>
      <c r="T13291" s="2"/>
      <c r="U13291" s="2"/>
      <c r="V13291" s="2"/>
      <c r="W13291" s="2"/>
      <c r="X13291" s="2"/>
      <c r="Y13291" s="2"/>
      <c r="Z13291" s="2"/>
    </row>
    <row r="13292" spans="1:26" ht="16.5" x14ac:dyDescent="0.35">
      <c r="A13292" s="2" t="str">
        <f ca="1">IFERROR(__xludf.DUMMYFUNCTION("""COMPUTED_VALUE"""),"Sharjah")</f>
        <v>Sharjah</v>
      </c>
      <c r="B13292" s="2" t="str">
        <f ca="1">IFERROR(__xludf.DUMMYFUNCTION("""COMPUTED_VALUE"""),"Tiraz 1")</f>
        <v>Tiraz 1</v>
      </c>
      <c r="C13292" s="2" t="str">
        <f ca="1">IFERROR(__xludf.DUMMYFUNCTION("""COMPUTED_VALUE"""),"Building")</f>
        <v>Building</v>
      </c>
      <c r="D13292" s="2" t="str">
        <f ca="1">IFERROR(__xludf.DUMMYFUNCTION("""COMPUTED_VALUE"""),"Sharjah&gt;Aljada&gt;Naseej District&gt;Tiraz&gt;Tiraz 1")</f>
        <v>Sharjah&gt;Aljada&gt;Naseej District&gt;Tiraz&gt;Tiraz 1</v>
      </c>
      <c r="E13292" s="2"/>
      <c r="F13292" s="2"/>
      <c r="G13292" s="2"/>
      <c r="H13292" s="2"/>
      <c r="I13292" s="2"/>
      <c r="J13292" s="2"/>
      <c r="K13292" s="2"/>
      <c r="L13292" s="2"/>
      <c r="M13292" s="2"/>
      <c r="N13292" s="2"/>
      <c r="O13292" s="2"/>
      <c r="P13292" s="2"/>
      <c r="Q13292" s="2"/>
      <c r="R13292" s="2"/>
      <c r="S13292" s="2"/>
      <c r="T13292" s="2"/>
      <c r="U13292" s="2"/>
      <c r="V13292" s="2"/>
      <c r="W13292" s="2"/>
      <c r="X13292" s="2"/>
      <c r="Y13292" s="2"/>
      <c r="Z13292" s="2"/>
    </row>
    <row r="13293" spans="1:26" ht="16.5" x14ac:dyDescent="0.35">
      <c r="A13293" s="2" t="str">
        <f ca="1">IFERROR(__xludf.DUMMYFUNCTION("""COMPUTED_VALUE"""),"Sharjah")</f>
        <v>Sharjah</v>
      </c>
      <c r="B13293" s="2" t="str">
        <f ca="1">IFERROR(__xludf.DUMMYFUNCTION("""COMPUTED_VALUE"""),"il Teatro Residences 2")</f>
        <v>il Teatro Residences 2</v>
      </c>
      <c r="C13293" s="2" t="str">
        <f ca="1">IFERROR(__xludf.DUMMYFUNCTION("""COMPUTED_VALUE"""),"Building")</f>
        <v>Building</v>
      </c>
      <c r="D13293" s="2" t="str">
        <f ca="1">IFERROR(__xludf.DUMMYFUNCTION("""COMPUTED_VALUE"""),"Sharjah&gt;Aljada&gt;il Teatro Residences&gt;il Teatro Residences 2")</f>
        <v>Sharjah&gt;Aljada&gt;il Teatro Residences&gt;il Teatro Residences 2</v>
      </c>
      <c r="E13293" s="2"/>
      <c r="F13293" s="2"/>
      <c r="G13293" s="2"/>
      <c r="H13293" s="2"/>
      <c r="I13293" s="2"/>
      <c r="J13293" s="2"/>
      <c r="K13293" s="2"/>
      <c r="L13293" s="2"/>
      <c r="M13293" s="2"/>
      <c r="N13293" s="2"/>
      <c r="O13293" s="2"/>
      <c r="P13293" s="2"/>
      <c r="Q13293" s="2"/>
      <c r="R13293" s="2"/>
      <c r="S13293" s="2"/>
      <c r="T13293" s="2"/>
      <c r="U13293" s="2"/>
      <c r="V13293" s="2"/>
      <c r="W13293" s="2"/>
      <c r="X13293" s="2"/>
      <c r="Y13293" s="2"/>
      <c r="Z13293" s="2"/>
    </row>
    <row r="13294" spans="1:26" ht="16.5" x14ac:dyDescent="0.35">
      <c r="A13294" s="2" t="str">
        <f ca="1">IFERROR(__xludf.DUMMYFUNCTION("""COMPUTED_VALUE"""),"Sharjah")</f>
        <v>Sharjah</v>
      </c>
      <c r="B13294" s="2" t="str">
        <f ca="1">IFERROR(__xludf.DUMMYFUNCTION("""COMPUTED_VALUE"""),"Al Basaer Private School")</f>
        <v>Al Basaer Private School</v>
      </c>
      <c r="C13294" s="2" t="str">
        <f ca="1">IFERROR(__xludf.DUMMYFUNCTION("""COMPUTED_VALUE"""),"School")</f>
        <v>School</v>
      </c>
      <c r="D13294" s="2" t="str">
        <f ca="1">IFERROR(__xludf.DUMMYFUNCTION("""COMPUTED_VALUE"""),"Sharjah&gt;Sharqan&gt;Al Basaer Private School")</f>
        <v>Sharjah&gt;Sharqan&gt;Al Basaer Private School</v>
      </c>
      <c r="E13294" s="2"/>
      <c r="F13294" s="2"/>
      <c r="G13294" s="2"/>
      <c r="H13294" s="2"/>
      <c r="I13294" s="2"/>
      <c r="J13294" s="2"/>
      <c r="K13294" s="2"/>
      <c r="L13294" s="2"/>
      <c r="M13294" s="2"/>
      <c r="N13294" s="2"/>
      <c r="O13294" s="2"/>
      <c r="P13294" s="2"/>
      <c r="Q13294" s="2"/>
      <c r="R13294" s="2"/>
      <c r="S13294" s="2"/>
      <c r="T13294" s="2"/>
      <c r="U13294" s="2"/>
      <c r="V13294" s="2"/>
      <c r="W13294" s="2"/>
      <c r="X13294" s="2"/>
      <c r="Y13294" s="2"/>
      <c r="Z13294" s="2"/>
    </row>
    <row r="13295" spans="1:26" ht="16.5" x14ac:dyDescent="0.35">
      <c r="A13295" s="2" t="str">
        <f ca="1">IFERROR(__xludf.DUMMYFUNCTION("""COMPUTED_VALUE"""),"Sharjah")</f>
        <v>Sharjah</v>
      </c>
      <c r="B13295" s="2" t="str">
        <f ca="1">IFERROR(__xludf.DUMMYFUNCTION("""COMPUTED_VALUE"""),"Dar Al Aman Building")</f>
        <v>Dar Al Aman Building</v>
      </c>
      <c r="C13295" s="2" t="str">
        <f ca="1">IFERROR(__xludf.DUMMYFUNCTION("""COMPUTED_VALUE"""),"Building")</f>
        <v>Building</v>
      </c>
      <c r="D13295" s="2" t="str">
        <f ca="1">IFERROR(__xludf.DUMMYFUNCTION("""COMPUTED_VALUE"""),"Sharjah&gt;Abu Shagara&gt;Dar Al Aman Building")</f>
        <v>Sharjah&gt;Abu Shagara&gt;Dar Al Aman Building</v>
      </c>
      <c r="E13295" s="2"/>
      <c r="F13295" s="2"/>
      <c r="G13295" s="2"/>
      <c r="H13295" s="2"/>
      <c r="I13295" s="2"/>
      <c r="J13295" s="2"/>
      <c r="K13295" s="2"/>
      <c r="L13295" s="2"/>
      <c r="M13295" s="2"/>
      <c r="N13295" s="2"/>
      <c r="O13295" s="2"/>
      <c r="P13295" s="2"/>
      <c r="Q13295" s="2"/>
      <c r="R13295" s="2"/>
      <c r="S13295" s="2"/>
      <c r="T13295" s="2"/>
      <c r="U13295" s="2"/>
      <c r="V13295" s="2"/>
      <c r="W13295" s="2"/>
      <c r="X13295" s="2"/>
      <c r="Y13295" s="2"/>
      <c r="Z13295" s="2"/>
    </row>
    <row r="13296" spans="1:26" ht="16.5" x14ac:dyDescent="0.35">
      <c r="A13296" s="2" t="str">
        <f ca="1">IFERROR(__xludf.DUMMYFUNCTION("""COMPUTED_VALUE"""),"Sharjah")</f>
        <v>Sharjah</v>
      </c>
      <c r="B13296" s="2" t="str">
        <f ca="1">IFERROR(__xludf.DUMMYFUNCTION("""COMPUTED_VALUE"""),"Al Saqer Tower")</f>
        <v>Al Saqer Tower</v>
      </c>
      <c r="C13296" s="2"/>
      <c r="D13296" s="2" t="str">
        <f ca="1">IFERROR(__xludf.DUMMYFUNCTION("""COMPUTED_VALUE"""),"Sharjah&gt;Al Mamzar&gt;Al Saqer Tower")</f>
        <v>Sharjah&gt;Al Mamzar&gt;Al Saqer Tower</v>
      </c>
      <c r="E13296" s="2"/>
      <c r="F13296" s="2"/>
      <c r="G13296" s="2"/>
      <c r="H13296" s="2"/>
      <c r="I13296" s="2"/>
      <c r="J13296" s="2"/>
      <c r="K13296" s="2"/>
      <c r="L13296" s="2"/>
      <c r="M13296" s="2"/>
      <c r="N13296" s="2"/>
      <c r="O13296" s="2"/>
      <c r="P13296" s="2"/>
      <c r="Q13296" s="2"/>
      <c r="R13296" s="2"/>
      <c r="S13296" s="2"/>
      <c r="T13296" s="2"/>
      <c r="U13296" s="2"/>
      <c r="V13296" s="2"/>
      <c r="W13296" s="2"/>
      <c r="X13296" s="2"/>
      <c r="Y13296" s="2"/>
      <c r="Z13296" s="2"/>
    </row>
    <row r="13297" spans="1:26" ht="16.5" x14ac:dyDescent="0.35">
      <c r="A13297" s="2" t="str">
        <f ca="1">IFERROR(__xludf.DUMMYFUNCTION("""COMPUTED_VALUE"""),"Sharjah")</f>
        <v>Sharjah</v>
      </c>
      <c r="B13297" s="2" t="str">
        <f ca="1">IFERROR(__xludf.DUMMYFUNCTION("""COMPUTED_VALUE"""),"Al Soor Building")</f>
        <v>Al Soor Building</v>
      </c>
      <c r="C13297" s="2"/>
      <c r="D13297" s="2" t="str">
        <f ca="1">IFERROR(__xludf.DUMMYFUNCTION("""COMPUTED_VALUE"""),"Sharjah&gt;Al Jubail&gt;Al Soor Building")</f>
        <v>Sharjah&gt;Al Jubail&gt;Al Soor Building</v>
      </c>
      <c r="E13297" s="2"/>
      <c r="F13297" s="2"/>
      <c r="G13297" s="2"/>
      <c r="H13297" s="2"/>
      <c r="I13297" s="2"/>
      <c r="J13297" s="2"/>
      <c r="K13297" s="2"/>
      <c r="L13297" s="2"/>
      <c r="M13297" s="2"/>
      <c r="N13297" s="2"/>
      <c r="O13297" s="2"/>
      <c r="P13297" s="2"/>
      <c r="Q13297" s="2"/>
      <c r="R13297" s="2"/>
      <c r="S13297" s="2"/>
      <c r="T13297" s="2"/>
      <c r="U13297" s="2"/>
      <c r="V13297" s="2"/>
      <c r="W13297" s="2"/>
      <c r="X13297" s="2"/>
      <c r="Y13297" s="2"/>
      <c r="Z13297" s="2"/>
    </row>
    <row r="13298" spans="1:26" ht="16.5" x14ac:dyDescent="0.35">
      <c r="A13298" s="2" t="str">
        <f ca="1">IFERROR(__xludf.DUMMYFUNCTION("""COMPUTED_VALUE"""),"Sharjah")</f>
        <v>Sharjah</v>
      </c>
      <c r="B13298" s="2" t="str">
        <f ca="1">IFERROR(__xludf.DUMMYFUNCTION("""COMPUTED_VALUE"""),"Al Kamal American International School, Sharjah")</f>
        <v>Al Kamal American International School, Sharjah</v>
      </c>
      <c r="C13298" s="2" t="str">
        <f ca="1">IFERROR(__xludf.DUMMYFUNCTION("""COMPUTED_VALUE"""),"School")</f>
        <v>School</v>
      </c>
      <c r="D13298" s="2" t="str">
        <f ca="1">IFERROR(__xludf.DUMMYFUNCTION("""COMPUTED_VALUE"""),"Sharjah&gt;Al Azra&gt;Al Kamal American International School, Sharjah")</f>
        <v>Sharjah&gt;Al Azra&gt;Al Kamal American International School, Sharjah</v>
      </c>
      <c r="E13298" s="2"/>
      <c r="F13298" s="2"/>
      <c r="G13298" s="2"/>
      <c r="H13298" s="2"/>
      <c r="I13298" s="2"/>
      <c r="J13298" s="2"/>
      <c r="K13298" s="2"/>
      <c r="L13298" s="2"/>
      <c r="M13298" s="2"/>
      <c r="N13298" s="2"/>
      <c r="O13298" s="2"/>
      <c r="P13298" s="2"/>
      <c r="Q13298" s="2"/>
      <c r="R13298" s="2"/>
      <c r="S13298" s="2"/>
      <c r="T13298" s="2"/>
      <c r="U13298" s="2"/>
      <c r="V13298" s="2"/>
      <c r="W13298" s="2"/>
      <c r="X13298" s="2"/>
      <c r="Y13298" s="2"/>
      <c r="Z13298" s="2"/>
    </row>
    <row r="13299" spans="1:26" ht="16.5" x14ac:dyDescent="0.35">
      <c r="A13299" s="2" t="str">
        <f ca="1">IFERROR(__xludf.DUMMYFUNCTION("""COMPUTED_VALUE"""),"Sharjah")</f>
        <v>Sharjah</v>
      </c>
      <c r="B13299" s="2" t="str">
        <f ca="1">IFERROR(__xludf.DUMMYFUNCTION("""COMPUTED_VALUE"""),"Regal Building")</f>
        <v>Regal Building</v>
      </c>
      <c r="C13299" s="2"/>
      <c r="D13299" s="2" t="str">
        <f ca="1">IFERROR(__xludf.DUMMYFUNCTION("""COMPUTED_VALUE"""),"Sharjah&gt;Al Qulayaah&gt;Regal Building")</f>
        <v>Sharjah&gt;Al Qulayaah&gt;Regal Building</v>
      </c>
      <c r="E13299" s="2"/>
      <c r="F13299" s="2"/>
      <c r="G13299" s="2"/>
      <c r="H13299" s="2"/>
      <c r="I13299" s="2"/>
      <c r="J13299" s="2"/>
      <c r="K13299" s="2"/>
      <c r="L13299" s="2"/>
      <c r="M13299" s="2"/>
      <c r="N13299" s="2"/>
      <c r="O13299" s="2"/>
      <c r="P13299" s="2"/>
      <c r="Q13299" s="2"/>
      <c r="R13299" s="2"/>
      <c r="S13299" s="2"/>
      <c r="T13299" s="2"/>
      <c r="U13299" s="2"/>
      <c r="V13299" s="2"/>
      <c r="W13299" s="2"/>
      <c r="X13299" s="2"/>
      <c r="Y13299" s="2"/>
      <c r="Z13299" s="2"/>
    </row>
    <row r="13300" spans="1:26" ht="16.5" x14ac:dyDescent="0.35">
      <c r="A13300" s="2" t="str">
        <f ca="1">IFERROR(__xludf.DUMMYFUNCTION("""COMPUTED_VALUE"""),"Sharjah")</f>
        <v>Sharjah</v>
      </c>
      <c r="B13300" s="2" t="str">
        <f ca="1">IFERROR(__xludf.DUMMYFUNCTION("""COMPUTED_VALUE"""),"Al Ateeq Tower")</f>
        <v>Al Ateeq Tower</v>
      </c>
      <c r="C13300" s="2" t="str">
        <f ca="1">IFERROR(__xludf.DUMMYFUNCTION("""COMPUTED_VALUE"""),"Building")</f>
        <v>Building</v>
      </c>
      <c r="D13300" s="2" t="str">
        <f ca="1">IFERROR(__xludf.DUMMYFUNCTION("""COMPUTED_VALUE"""),"Sharjah&gt;Al Shuwaihean&gt;Al Ateeq Tower")</f>
        <v>Sharjah&gt;Al Shuwaihean&gt;Al Ateeq Tower</v>
      </c>
      <c r="E13300" s="2"/>
      <c r="F13300" s="2"/>
      <c r="G13300" s="2"/>
      <c r="H13300" s="2"/>
      <c r="I13300" s="2"/>
      <c r="J13300" s="2"/>
      <c r="K13300" s="2"/>
      <c r="L13300" s="2"/>
      <c r="M13300" s="2"/>
      <c r="N13300" s="2"/>
      <c r="O13300" s="2"/>
      <c r="P13300" s="2"/>
      <c r="Q13300" s="2"/>
      <c r="R13300" s="2"/>
      <c r="S13300" s="2"/>
      <c r="T13300" s="2"/>
      <c r="U13300" s="2"/>
      <c r="V13300" s="2"/>
      <c r="W13300" s="2"/>
      <c r="X13300" s="2"/>
      <c r="Y13300" s="2"/>
      <c r="Z13300" s="2"/>
    </row>
    <row r="13301" spans="1:26" ht="16.5" x14ac:dyDescent="0.35">
      <c r="A13301" s="2" t="str">
        <f ca="1">IFERROR(__xludf.DUMMYFUNCTION("""COMPUTED_VALUE"""),"Sharjah")</f>
        <v>Sharjah</v>
      </c>
      <c r="B13301" s="2" t="str">
        <f ca="1">IFERROR(__xludf.DUMMYFUNCTION("""COMPUTED_VALUE"""),"Sharjah Investment Center")</f>
        <v>Sharjah Investment Center</v>
      </c>
      <c r="C13301" s="2"/>
      <c r="D13301" s="2" t="str">
        <f ca="1">IFERROR(__xludf.DUMMYFUNCTION("""COMPUTED_VALUE"""),"Sharjah&gt;Sharjah Investment Center")</f>
        <v>Sharjah&gt;Sharjah Investment Center</v>
      </c>
      <c r="E13301" s="2"/>
      <c r="F13301" s="2"/>
      <c r="G13301" s="2"/>
      <c r="H13301" s="2"/>
      <c r="I13301" s="2"/>
      <c r="J13301" s="2"/>
      <c r="K13301" s="2"/>
      <c r="L13301" s="2"/>
      <c r="M13301" s="2"/>
      <c r="N13301" s="2"/>
      <c r="O13301" s="2"/>
      <c r="P13301" s="2"/>
      <c r="Q13301" s="2"/>
      <c r="R13301" s="2"/>
      <c r="S13301" s="2"/>
      <c r="T13301" s="2"/>
      <c r="U13301" s="2"/>
      <c r="V13301" s="2"/>
      <c r="W13301" s="2"/>
      <c r="X13301" s="2"/>
      <c r="Y13301" s="2"/>
      <c r="Z13301" s="2"/>
    </row>
    <row r="13302" spans="1:26" ht="16.5" x14ac:dyDescent="0.35">
      <c r="A13302" s="2" t="str">
        <f ca="1">IFERROR(__xludf.DUMMYFUNCTION("""COMPUTED_VALUE"""),"Sharjah")</f>
        <v>Sharjah</v>
      </c>
      <c r="B13302" s="2" t="str">
        <f ca="1">IFERROR(__xludf.DUMMYFUNCTION("""COMPUTED_VALUE"""),"German International School Sharjah")</f>
        <v>German International School Sharjah</v>
      </c>
      <c r="C13302" s="2" t="str">
        <f ca="1">IFERROR(__xludf.DUMMYFUNCTION("""COMPUTED_VALUE"""),"School")</f>
        <v>School</v>
      </c>
      <c r="D13302" s="2" t="str">
        <f ca="1">IFERROR(__xludf.DUMMYFUNCTION("""COMPUTED_VALUE"""),"Sharjah&gt;Halwan Suburb&gt;German International School Sharjah")</f>
        <v>Sharjah&gt;Halwan Suburb&gt;German International School Sharjah</v>
      </c>
      <c r="E13302" s="2"/>
      <c r="F13302" s="2"/>
      <c r="G13302" s="2"/>
      <c r="H13302" s="2"/>
      <c r="I13302" s="2"/>
      <c r="J13302" s="2"/>
      <c r="K13302" s="2"/>
      <c r="L13302" s="2"/>
      <c r="M13302" s="2"/>
      <c r="N13302" s="2"/>
      <c r="O13302" s="2"/>
      <c r="P13302" s="2"/>
      <c r="Q13302" s="2"/>
      <c r="R13302" s="2"/>
      <c r="S13302" s="2"/>
      <c r="T13302" s="2"/>
      <c r="U13302" s="2"/>
      <c r="V13302" s="2"/>
      <c r="W13302" s="2"/>
      <c r="X13302" s="2"/>
      <c r="Y13302" s="2"/>
      <c r="Z13302" s="2"/>
    </row>
    <row r="13303" spans="1:26" ht="16.5" x14ac:dyDescent="0.35">
      <c r="A13303" s="2" t="str">
        <f ca="1">IFERROR(__xludf.DUMMYFUNCTION("""COMPUTED_VALUE"""),"Sharjah")</f>
        <v>Sharjah</v>
      </c>
      <c r="B13303" s="2" t="str">
        <f ca="1">IFERROR(__xludf.DUMMYFUNCTION("""COMPUTED_VALUE"""),"Arim")</f>
        <v>Arim</v>
      </c>
      <c r="C13303" s="2" t="str">
        <f ca="1">IFERROR(__xludf.DUMMYFUNCTION("""COMPUTED_VALUE"""),"Neighbourhood")</f>
        <v>Neighbourhood</v>
      </c>
      <c r="D13303" s="2" t="str">
        <f ca="1">IFERROR(__xludf.DUMMYFUNCTION("""COMPUTED_VALUE"""),"Sharjah&gt;Barashi&gt;Hayyan&gt;Arim")</f>
        <v>Sharjah&gt;Barashi&gt;Hayyan&gt;Arim</v>
      </c>
      <c r="E13303" s="2"/>
      <c r="F13303" s="2"/>
      <c r="G13303" s="2"/>
      <c r="H13303" s="2"/>
      <c r="I13303" s="2"/>
      <c r="J13303" s="2"/>
      <c r="K13303" s="2"/>
      <c r="L13303" s="2"/>
      <c r="M13303" s="2"/>
      <c r="N13303" s="2"/>
      <c r="O13303" s="2"/>
      <c r="P13303" s="2"/>
      <c r="Q13303" s="2"/>
      <c r="R13303" s="2"/>
      <c r="S13303" s="2"/>
      <c r="T13303" s="2"/>
      <c r="U13303" s="2"/>
      <c r="V13303" s="2"/>
      <c r="W13303" s="2"/>
      <c r="X13303" s="2"/>
      <c r="Y13303" s="2"/>
      <c r="Z13303" s="2"/>
    </row>
    <row r="13304" spans="1:26" ht="16.5" x14ac:dyDescent="0.35">
      <c r="A13304" s="2" t="str">
        <f ca="1">IFERROR(__xludf.DUMMYFUNCTION("""COMPUTED_VALUE"""),"Sharjah")</f>
        <v>Sharjah</v>
      </c>
      <c r="B13304" s="2" t="str">
        <f ca="1">IFERROR(__xludf.DUMMYFUNCTION("""COMPUTED_VALUE"""),"Butina Building 2")</f>
        <v>Butina Building 2</v>
      </c>
      <c r="C13304" s="2" t="str">
        <f ca="1">IFERROR(__xludf.DUMMYFUNCTION("""COMPUTED_VALUE"""),"Building")</f>
        <v>Building</v>
      </c>
      <c r="D13304" s="2" t="str">
        <f ca="1">IFERROR(__xludf.DUMMYFUNCTION("""COMPUTED_VALUE"""),"Sharjah&gt;Bu Tina&gt;Butina Building 2")</f>
        <v>Sharjah&gt;Bu Tina&gt;Butina Building 2</v>
      </c>
      <c r="E13304" s="2"/>
      <c r="F13304" s="2"/>
      <c r="G13304" s="2"/>
      <c r="H13304" s="2"/>
      <c r="I13304" s="2"/>
      <c r="J13304" s="2"/>
      <c r="K13304" s="2"/>
      <c r="L13304" s="2"/>
      <c r="M13304" s="2"/>
      <c r="N13304" s="2"/>
      <c r="O13304" s="2"/>
      <c r="P13304" s="2"/>
      <c r="Q13304" s="2"/>
      <c r="R13304" s="2"/>
      <c r="S13304" s="2"/>
      <c r="T13304" s="2"/>
      <c r="U13304" s="2"/>
      <c r="V13304" s="2"/>
      <c r="W13304" s="2"/>
      <c r="X13304" s="2"/>
      <c r="Y13304" s="2"/>
      <c r="Z13304" s="2"/>
    </row>
    <row r="13305" spans="1:26" ht="16.5" x14ac:dyDescent="0.35">
      <c r="A13305" s="2" t="str">
        <f ca="1">IFERROR(__xludf.DUMMYFUNCTION("""COMPUTED_VALUE"""),"Sharjah")</f>
        <v>Sharjah</v>
      </c>
      <c r="B13305" s="2" t="str">
        <f ca="1">IFERROR(__xludf.DUMMYFUNCTION("""COMPUTED_VALUE"""),"Al Khan 6 Tower")</f>
        <v>Al Khan 6 Tower</v>
      </c>
      <c r="C13305" s="2"/>
      <c r="D13305" s="2" t="str">
        <f ca="1">IFERROR(__xludf.DUMMYFUNCTION("""COMPUTED_VALUE"""),"Sharjah&gt;Al Khan&gt;Al Khan 6 Tower")</f>
        <v>Sharjah&gt;Al Khan&gt;Al Khan 6 Tower</v>
      </c>
      <c r="E13305" s="2"/>
      <c r="F13305" s="2"/>
      <c r="G13305" s="2"/>
      <c r="H13305" s="2"/>
      <c r="I13305" s="2"/>
      <c r="J13305" s="2"/>
      <c r="K13305" s="2"/>
      <c r="L13305" s="2"/>
      <c r="M13305" s="2"/>
      <c r="N13305" s="2"/>
      <c r="O13305" s="2"/>
      <c r="P13305" s="2"/>
      <c r="Q13305" s="2"/>
      <c r="R13305" s="2"/>
      <c r="S13305" s="2"/>
      <c r="T13305" s="2"/>
      <c r="U13305" s="2"/>
      <c r="V13305" s="2"/>
      <c r="W13305" s="2"/>
      <c r="X13305" s="2"/>
      <c r="Y13305" s="2"/>
      <c r="Z13305" s="2"/>
    </row>
    <row r="13306" spans="1:26" ht="16.5" x14ac:dyDescent="0.35">
      <c r="A13306" s="2" t="str">
        <f ca="1">IFERROR(__xludf.DUMMYFUNCTION("""COMPUTED_VALUE"""),"Sharjah")</f>
        <v>Sharjah</v>
      </c>
      <c r="B13306" s="2" t="str">
        <f ca="1">IFERROR(__xludf.DUMMYFUNCTION("""COMPUTED_VALUE"""),"Al Ghazal Tower")</f>
        <v>Al Ghazal Tower</v>
      </c>
      <c r="C13306" s="2" t="str">
        <f ca="1">IFERROR(__xludf.DUMMYFUNCTION("""COMPUTED_VALUE"""),"Building")</f>
        <v>Building</v>
      </c>
      <c r="D13306" s="2" t="str">
        <f ca="1">IFERROR(__xludf.DUMMYFUNCTION("""COMPUTED_VALUE"""),"Sharjah&gt;Al Khan&gt;Al Ghazal Tower")</f>
        <v>Sharjah&gt;Al Khan&gt;Al Ghazal Tower</v>
      </c>
      <c r="E13306" s="2"/>
      <c r="F13306" s="2"/>
      <c r="G13306" s="2"/>
      <c r="H13306" s="2"/>
      <c r="I13306" s="2"/>
      <c r="J13306" s="2"/>
      <c r="K13306" s="2"/>
      <c r="L13306" s="2"/>
      <c r="M13306" s="2"/>
      <c r="N13306" s="2"/>
      <c r="O13306" s="2"/>
      <c r="P13306" s="2"/>
      <c r="Q13306" s="2"/>
      <c r="R13306" s="2"/>
      <c r="S13306" s="2"/>
      <c r="T13306" s="2"/>
      <c r="U13306" s="2"/>
      <c r="V13306" s="2"/>
      <c r="W13306" s="2"/>
      <c r="X13306" s="2"/>
      <c r="Y13306" s="2"/>
      <c r="Z13306" s="2"/>
    </row>
    <row r="13307" spans="1:26" ht="16.5" x14ac:dyDescent="0.35">
      <c r="A13307" s="2" t="str">
        <f ca="1">IFERROR(__xludf.DUMMYFUNCTION("""COMPUTED_VALUE"""),"Sharjah")</f>
        <v>Sharjah</v>
      </c>
      <c r="B13307" s="2" t="str">
        <f ca="1">IFERROR(__xludf.DUMMYFUNCTION("""COMPUTED_VALUE"""),"Layla Residence")</f>
        <v>Layla Residence</v>
      </c>
      <c r="C13307" s="2" t="str">
        <f ca="1">IFERROR(__xludf.DUMMYFUNCTION("""COMPUTED_VALUE"""),"Building")</f>
        <v>Building</v>
      </c>
      <c r="D13307" s="2" t="str">
        <f ca="1">IFERROR(__xludf.DUMMYFUNCTION("""COMPUTED_VALUE"""),"Sharjah&gt;Al Khan&gt;Maryam Island&gt;Layla Residence")</f>
        <v>Sharjah&gt;Al Khan&gt;Maryam Island&gt;Layla Residence</v>
      </c>
      <c r="E13307" s="2"/>
      <c r="F13307" s="2"/>
      <c r="G13307" s="2"/>
      <c r="H13307" s="2"/>
      <c r="I13307" s="2"/>
      <c r="J13307" s="2"/>
      <c r="K13307" s="2"/>
      <c r="L13307" s="2"/>
      <c r="M13307" s="2"/>
      <c r="N13307" s="2"/>
      <c r="O13307" s="2"/>
      <c r="P13307" s="2"/>
      <c r="Q13307" s="2"/>
      <c r="R13307" s="2"/>
      <c r="S13307" s="2"/>
      <c r="T13307" s="2"/>
      <c r="U13307" s="2"/>
      <c r="V13307" s="2"/>
      <c r="W13307" s="2"/>
      <c r="X13307" s="2"/>
      <c r="Y13307" s="2"/>
      <c r="Z13307" s="2"/>
    </row>
    <row r="13308" spans="1:26" ht="16.5" x14ac:dyDescent="0.35">
      <c r="A13308" s="2" t="str">
        <f ca="1">IFERROR(__xludf.DUMMYFUNCTION("""COMPUTED_VALUE"""),"Sharjah")</f>
        <v>Sharjah</v>
      </c>
      <c r="B13308" s="2" t="str">
        <f ca="1">IFERROR(__xludf.DUMMYFUNCTION("""COMPUTED_VALUE"""),"Sultan Building")</f>
        <v>Sultan Building</v>
      </c>
      <c r="C13308" s="2"/>
      <c r="D13308" s="2" t="str">
        <f ca="1">IFERROR(__xludf.DUMMYFUNCTION("""COMPUTED_VALUE"""),"Sharjah&gt;Al Khan&gt;Sultan Building")</f>
        <v>Sharjah&gt;Al Khan&gt;Sultan Building</v>
      </c>
      <c r="E13308" s="2"/>
      <c r="F13308" s="2"/>
      <c r="G13308" s="2"/>
      <c r="H13308" s="2"/>
      <c r="I13308" s="2"/>
      <c r="J13308" s="2"/>
      <c r="K13308" s="2"/>
      <c r="L13308" s="2"/>
      <c r="M13308" s="2"/>
      <c r="N13308" s="2"/>
      <c r="O13308" s="2"/>
      <c r="P13308" s="2"/>
      <c r="Q13308" s="2"/>
      <c r="R13308" s="2"/>
      <c r="S13308" s="2"/>
      <c r="T13308" s="2"/>
      <c r="U13308" s="2"/>
      <c r="V13308" s="2"/>
      <c r="W13308" s="2"/>
      <c r="X13308" s="2"/>
      <c r="Y13308" s="2"/>
      <c r="Z13308" s="2"/>
    </row>
    <row r="13309" spans="1:26" ht="16.5" x14ac:dyDescent="0.35">
      <c r="A13309" s="2" t="str">
        <f ca="1">IFERROR(__xludf.DUMMYFUNCTION("""COMPUTED_VALUE"""),"Sharjah")</f>
        <v>Sharjah</v>
      </c>
      <c r="B13309" s="2" t="str">
        <f ca="1">IFERROR(__xludf.DUMMYFUNCTION("""COMPUTED_VALUE"""),"Al Marwa Tower")</f>
        <v>Al Marwa Tower</v>
      </c>
      <c r="C13309" s="2"/>
      <c r="D13309" s="2" t="str">
        <f ca="1">IFERROR(__xludf.DUMMYFUNCTION("""COMPUTED_VALUE"""),"Sharjah&gt;Al Majaz&gt;Al Majaz 2&gt;Al Marwa Tower")</f>
        <v>Sharjah&gt;Al Majaz&gt;Al Majaz 2&gt;Al Marwa Tower</v>
      </c>
      <c r="E13309" s="2"/>
      <c r="F13309" s="2"/>
      <c r="G13309" s="2"/>
      <c r="H13309" s="2"/>
      <c r="I13309" s="2"/>
      <c r="J13309" s="2"/>
      <c r="K13309" s="2"/>
      <c r="L13309" s="2"/>
      <c r="M13309" s="2"/>
      <c r="N13309" s="2"/>
      <c r="O13309" s="2"/>
      <c r="P13309" s="2"/>
      <c r="Q13309" s="2"/>
      <c r="R13309" s="2"/>
      <c r="S13309" s="2"/>
      <c r="T13309" s="2"/>
      <c r="U13309" s="2"/>
      <c r="V13309" s="2"/>
      <c r="W13309" s="2"/>
      <c r="X13309" s="2"/>
      <c r="Y13309" s="2"/>
      <c r="Z13309" s="2"/>
    </row>
    <row r="13310" spans="1:26" ht="16.5" x14ac:dyDescent="0.35">
      <c r="A13310" s="2" t="str">
        <f ca="1">IFERROR(__xludf.DUMMYFUNCTION("""COMPUTED_VALUE"""),"Sharjah")</f>
        <v>Sharjah</v>
      </c>
      <c r="B13310" s="2" t="str">
        <f ca="1">IFERROR(__xludf.DUMMYFUNCTION("""COMPUTED_VALUE"""),"Burj Al Majaz Tower")</f>
        <v>Burj Al Majaz Tower</v>
      </c>
      <c r="C13310" s="2"/>
      <c r="D13310" s="2" t="str">
        <f ca="1">IFERROR(__xludf.DUMMYFUNCTION("""COMPUTED_VALUE"""),"Sharjah&gt;Al Majaz&gt;Al Majaz 2&gt;Burj Al Majaz Tower")</f>
        <v>Sharjah&gt;Al Majaz&gt;Al Majaz 2&gt;Burj Al Majaz Tower</v>
      </c>
      <c r="E13310" s="2"/>
      <c r="F13310" s="2"/>
      <c r="G13310" s="2"/>
      <c r="H13310" s="2"/>
      <c r="I13310" s="2"/>
      <c r="J13310" s="2"/>
      <c r="K13310" s="2"/>
      <c r="L13310" s="2"/>
      <c r="M13310" s="2"/>
      <c r="N13310" s="2"/>
      <c r="O13310" s="2"/>
      <c r="P13310" s="2"/>
      <c r="Q13310" s="2"/>
      <c r="R13310" s="2"/>
      <c r="S13310" s="2"/>
      <c r="T13310" s="2"/>
      <c r="U13310" s="2"/>
      <c r="V13310" s="2"/>
      <c r="W13310" s="2"/>
      <c r="X13310" s="2"/>
      <c r="Y13310" s="2"/>
      <c r="Z13310" s="2"/>
    </row>
    <row r="13311" spans="1:26" ht="16.5" x14ac:dyDescent="0.35">
      <c r="A13311" s="2" t="str">
        <f ca="1">IFERROR(__xludf.DUMMYFUNCTION("""COMPUTED_VALUE"""),"Sharjah")</f>
        <v>Sharjah</v>
      </c>
      <c r="B13311" s="2" t="str">
        <f ca="1">IFERROR(__xludf.DUMMYFUNCTION("""COMPUTED_VALUE"""),"Awad Ahmed Sl Jazairi Building")</f>
        <v>Awad Ahmed Sl Jazairi Building</v>
      </c>
      <c r="C13311" s="2" t="str">
        <f ca="1">IFERROR(__xludf.DUMMYFUNCTION("""COMPUTED_VALUE"""),"Building")</f>
        <v>Building</v>
      </c>
      <c r="D13311" s="2" t="str">
        <f ca="1">IFERROR(__xludf.DUMMYFUNCTION("""COMPUTED_VALUE"""),"Sharjah&gt;Al Majaz&gt;Al Majaz 2&gt;Awad Ahmed Sl Jazairi Building")</f>
        <v>Sharjah&gt;Al Majaz&gt;Al Majaz 2&gt;Awad Ahmed Sl Jazairi Building</v>
      </c>
      <c r="E13311" s="2"/>
      <c r="F13311" s="2"/>
      <c r="G13311" s="2"/>
      <c r="H13311" s="2"/>
      <c r="I13311" s="2"/>
      <c r="J13311" s="2"/>
      <c r="K13311" s="2"/>
      <c r="L13311" s="2"/>
      <c r="M13311" s="2"/>
      <c r="N13311" s="2"/>
      <c r="O13311" s="2"/>
      <c r="P13311" s="2"/>
      <c r="Q13311" s="2"/>
      <c r="R13311" s="2"/>
      <c r="S13311" s="2"/>
      <c r="T13311" s="2"/>
      <c r="U13311" s="2"/>
      <c r="V13311" s="2"/>
      <c r="W13311" s="2"/>
      <c r="X13311" s="2"/>
      <c r="Y13311" s="2"/>
      <c r="Z13311" s="2"/>
    </row>
    <row r="13312" spans="1:26" ht="16.5" x14ac:dyDescent="0.35">
      <c r="A13312" s="2" t="str">
        <f ca="1">IFERROR(__xludf.DUMMYFUNCTION("""COMPUTED_VALUE"""),"Sharjah")</f>
        <v>Sharjah</v>
      </c>
      <c r="B13312" s="2" t="str">
        <f ca="1">IFERROR(__xludf.DUMMYFUNCTION("""COMPUTED_VALUE"""),"Al Diqah")</f>
        <v>Al Diqah</v>
      </c>
      <c r="C13312" s="2"/>
      <c r="D13312" s="2" t="str">
        <f ca="1">IFERROR(__xludf.DUMMYFUNCTION("""COMPUTED_VALUE"""),"Sharjah&gt;Al Majaz&gt;Al Majaz 3&gt;Al Diqah")</f>
        <v>Sharjah&gt;Al Majaz&gt;Al Majaz 3&gt;Al Diqah</v>
      </c>
      <c r="E13312" s="2"/>
      <c r="F13312" s="2"/>
      <c r="G13312" s="2"/>
      <c r="H13312" s="2"/>
      <c r="I13312" s="2"/>
      <c r="J13312" s="2"/>
      <c r="K13312" s="2"/>
      <c r="L13312" s="2"/>
      <c r="M13312" s="2"/>
      <c r="N13312" s="2"/>
      <c r="O13312" s="2"/>
      <c r="P13312" s="2"/>
      <c r="Q13312" s="2"/>
      <c r="R13312" s="2"/>
      <c r="S13312" s="2"/>
      <c r="T13312" s="2"/>
      <c r="U13312" s="2"/>
      <c r="V13312" s="2"/>
      <c r="W13312" s="2"/>
      <c r="X13312" s="2"/>
      <c r="Y13312" s="2"/>
      <c r="Z13312" s="2"/>
    </row>
    <row r="13313" spans="1:26" ht="16.5" x14ac:dyDescent="0.35">
      <c r="A13313" s="2" t="str">
        <f ca="1">IFERROR(__xludf.DUMMYFUNCTION("""COMPUTED_VALUE"""),"Sharjah")</f>
        <v>Sharjah</v>
      </c>
      <c r="B13313" s="2" t="str">
        <f ca="1">IFERROR(__xludf.DUMMYFUNCTION("""COMPUTED_VALUE"""),"Kuwaiti Building")</f>
        <v>Kuwaiti Building</v>
      </c>
      <c r="C13313" s="2"/>
      <c r="D13313" s="2" t="str">
        <f ca="1">IFERROR(__xludf.DUMMYFUNCTION("""COMPUTED_VALUE"""),"Sharjah&gt;Al Majaz&gt;Al Majaz 3&gt;Kuwaiti Building")</f>
        <v>Sharjah&gt;Al Majaz&gt;Al Majaz 3&gt;Kuwaiti Building</v>
      </c>
      <c r="E13313" s="2"/>
      <c r="F13313" s="2"/>
      <c r="G13313" s="2"/>
      <c r="H13313" s="2"/>
      <c r="I13313" s="2"/>
      <c r="J13313" s="2"/>
      <c r="K13313" s="2"/>
      <c r="L13313" s="2"/>
      <c r="M13313" s="2"/>
      <c r="N13313" s="2"/>
      <c r="O13313" s="2"/>
      <c r="P13313" s="2"/>
      <c r="Q13313" s="2"/>
      <c r="R13313" s="2"/>
      <c r="S13313" s="2"/>
      <c r="T13313" s="2"/>
      <c r="U13313" s="2"/>
      <c r="V13313" s="2"/>
      <c r="W13313" s="2"/>
      <c r="X13313" s="2"/>
      <c r="Y13313" s="2"/>
      <c r="Z13313" s="2"/>
    </row>
    <row r="13314" spans="1:26" ht="16.5" x14ac:dyDescent="0.35">
      <c r="A13314" s="2" t="str">
        <f ca="1">IFERROR(__xludf.DUMMYFUNCTION("""COMPUTED_VALUE"""),"Sharjah")</f>
        <v>Sharjah</v>
      </c>
      <c r="B13314" s="2" t="str">
        <f ca="1">IFERROR(__xludf.DUMMYFUNCTION("""COMPUTED_VALUE"""),"Saleh Bin Lahej Building")</f>
        <v>Saleh Bin Lahej Building</v>
      </c>
      <c r="C13314" s="2"/>
      <c r="D13314" s="2" t="str">
        <f ca="1">IFERROR(__xludf.DUMMYFUNCTION("""COMPUTED_VALUE"""),"Sharjah&gt;Al Majaz&gt;Al Majaz 1&gt;Saleh Bin Lahej Building")</f>
        <v>Sharjah&gt;Al Majaz&gt;Al Majaz 1&gt;Saleh Bin Lahej Building</v>
      </c>
      <c r="E13314" s="2"/>
      <c r="F13314" s="2"/>
      <c r="G13314" s="2"/>
      <c r="H13314" s="2"/>
      <c r="I13314" s="2"/>
      <c r="J13314" s="2"/>
      <c r="K13314" s="2"/>
      <c r="L13314" s="2"/>
      <c r="M13314" s="2"/>
      <c r="N13314" s="2"/>
      <c r="O13314" s="2"/>
      <c r="P13314" s="2"/>
      <c r="Q13314" s="2"/>
      <c r="R13314" s="2"/>
      <c r="S13314" s="2"/>
      <c r="T13314" s="2"/>
      <c r="U13314" s="2"/>
      <c r="V13314" s="2"/>
      <c r="W13314" s="2"/>
      <c r="X13314" s="2"/>
      <c r="Y13314" s="2"/>
      <c r="Z13314" s="2"/>
    </row>
    <row r="13315" spans="1:26" ht="16.5" x14ac:dyDescent="0.35">
      <c r="A13315" s="2" t="str">
        <f ca="1">IFERROR(__xludf.DUMMYFUNCTION("""COMPUTED_VALUE"""),"Sharjah")</f>
        <v>Sharjah</v>
      </c>
      <c r="B13315" s="2" t="str">
        <f ca="1">IFERROR(__xludf.DUMMYFUNCTION("""COMPUTED_VALUE"""),"Sahab Tower")</f>
        <v>Sahab Tower</v>
      </c>
      <c r="C13315" s="2"/>
      <c r="D13315" s="2" t="str">
        <f ca="1">IFERROR(__xludf.DUMMYFUNCTION("""COMPUTED_VALUE"""),"Sharjah&gt;Al Majaz&gt;Sahab Tower")</f>
        <v>Sharjah&gt;Al Majaz&gt;Sahab Tower</v>
      </c>
      <c r="E13315" s="2"/>
      <c r="F13315" s="2"/>
      <c r="G13315" s="2"/>
      <c r="H13315" s="2"/>
      <c r="I13315" s="2"/>
      <c r="J13315" s="2"/>
      <c r="K13315" s="2"/>
      <c r="L13315" s="2"/>
      <c r="M13315" s="2"/>
      <c r="N13315" s="2"/>
      <c r="O13315" s="2"/>
      <c r="P13315" s="2"/>
      <c r="Q13315" s="2"/>
      <c r="R13315" s="2"/>
      <c r="S13315" s="2"/>
      <c r="T13315" s="2"/>
      <c r="U13315" s="2"/>
      <c r="V13315" s="2"/>
      <c r="W13315" s="2"/>
      <c r="X13315" s="2"/>
      <c r="Y13315" s="2"/>
      <c r="Z13315" s="2"/>
    </row>
    <row r="13316" spans="1:26" ht="16.5" x14ac:dyDescent="0.35">
      <c r="A13316" s="2" t="str">
        <f ca="1">IFERROR(__xludf.DUMMYFUNCTION("""COMPUTED_VALUE"""),"Sharjah")</f>
        <v>Sharjah</v>
      </c>
      <c r="B13316" s="2" t="str">
        <f ca="1">IFERROR(__xludf.DUMMYFUNCTION("""COMPUTED_VALUE"""),"Terhab Hotel &amp; Residence")</f>
        <v>Terhab Hotel &amp; Residence</v>
      </c>
      <c r="C13316" s="2" t="str">
        <f ca="1">IFERROR(__xludf.DUMMYFUNCTION("""COMPUTED_VALUE"""),"Building")</f>
        <v>Building</v>
      </c>
      <c r="D13316" s="2" t="str">
        <f ca="1">IFERROR(__xludf.DUMMYFUNCTION("""COMPUTED_VALUE"""),"Sharjah&gt;Al Taawun&gt;Terhab Hotel &amp; Residence")</f>
        <v>Sharjah&gt;Al Taawun&gt;Terhab Hotel &amp; Residence</v>
      </c>
      <c r="E13316" s="2"/>
      <c r="F13316" s="2"/>
      <c r="G13316" s="2"/>
      <c r="H13316" s="2"/>
      <c r="I13316" s="2"/>
      <c r="J13316" s="2"/>
      <c r="K13316" s="2"/>
      <c r="L13316" s="2"/>
      <c r="M13316" s="2"/>
      <c r="N13316" s="2"/>
      <c r="O13316" s="2"/>
      <c r="P13316" s="2"/>
      <c r="Q13316" s="2"/>
      <c r="R13316" s="2"/>
      <c r="S13316" s="2"/>
      <c r="T13316" s="2"/>
      <c r="U13316" s="2"/>
      <c r="V13316" s="2"/>
      <c r="W13316" s="2"/>
      <c r="X13316" s="2"/>
      <c r="Y13316" s="2"/>
      <c r="Z13316" s="2"/>
    </row>
    <row r="13317" spans="1:26" ht="16.5" x14ac:dyDescent="0.35">
      <c r="A13317" s="2" t="str">
        <f ca="1">IFERROR(__xludf.DUMMYFUNCTION("""COMPUTED_VALUE"""),"Sharjah")</f>
        <v>Sharjah</v>
      </c>
      <c r="B13317" s="2" t="str">
        <f ca="1">IFERROR(__xludf.DUMMYFUNCTION("""COMPUTED_VALUE"""),"Al Maha Tower")</f>
        <v>Al Maha Tower</v>
      </c>
      <c r="C13317" s="2" t="str">
        <f ca="1">IFERROR(__xludf.DUMMYFUNCTION("""COMPUTED_VALUE"""),"Cluster")</f>
        <v>Cluster</v>
      </c>
      <c r="D13317" s="2" t="str">
        <f ca="1">IFERROR(__xludf.DUMMYFUNCTION("""COMPUTED_VALUE"""),"Sharjah&gt;Al Taawun&gt;Al Maha Tower")</f>
        <v>Sharjah&gt;Al Taawun&gt;Al Maha Tower</v>
      </c>
      <c r="E13317" s="2"/>
      <c r="F13317" s="2"/>
      <c r="G13317" s="2"/>
      <c r="H13317" s="2"/>
      <c r="I13317" s="2"/>
      <c r="J13317" s="2"/>
      <c r="K13317" s="2"/>
      <c r="L13317" s="2"/>
      <c r="M13317" s="2"/>
      <c r="N13317" s="2"/>
      <c r="O13317" s="2"/>
      <c r="P13317" s="2"/>
      <c r="Q13317" s="2"/>
      <c r="R13317" s="2"/>
      <c r="S13317" s="2"/>
      <c r="T13317" s="2"/>
      <c r="U13317" s="2"/>
      <c r="V13317" s="2"/>
      <c r="W13317" s="2"/>
      <c r="X13317" s="2"/>
      <c r="Y13317" s="2"/>
      <c r="Z13317" s="2"/>
    </row>
    <row r="13318" spans="1:26" ht="16.5" x14ac:dyDescent="0.35">
      <c r="A13318" s="2" t="str">
        <f ca="1">IFERROR(__xludf.DUMMYFUNCTION("""COMPUTED_VALUE"""),"Sharjah")</f>
        <v>Sharjah</v>
      </c>
      <c r="B13318" s="2" t="str">
        <f ca="1">IFERROR(__xludf.DUMMYFUNCTION("""COMPUTED_VALUE"""),"Sunlight Building")</f>
        <v>Sunlight Building</v>
      </c>
      <c r="C13318" s="2"/>
      <c r="D13318" s="2" t="str">
        <f ca="1">IFERROR(__xludf.DUMMYFUNCTION("""COMPUTED_VALUE"""),"Sharjah&gt;Al Qasimia&gt;Al Nad&gt;Sunlight Building")</f>
        <v>Sharjah&gt;Al Qasimia&gt;Al Nad&gt;Sunlight Building</v>
      </c>
      <c r="E13318" s="2"/>
      <c r="F13318" s="2"/>
      <c r="G13318" s="2"/>
      <c r="H13318" s="2"/>
      <c r="I13318" s="2"/>
      <c r="J13318" s="2"/>
      <c r="K13318" s="2"/>
      <c r="L13318" s="2"/>
      <c r="M13318" s="2"/>
      <c r="N13318" s="2"/>
      <c r="O13318" s="2"/>
      <c r="P13318" s="2"/>
      <c r="Q13318" s="2"/>
      <c r="R13318" s="2"/>
      <c r="S13318" s="2"/>
      <c r="T13318" s="2"/>
      <c r="U13318" s="2"/>
      <c r="V13318" s="2"/>
      <c r="W13318" s="2"/>
      <c r="X13318" s="2"/>
      <c r="Y13318" s="2"/>
      <c r="Z13318" s="2"/>
    </row>
    <row r="13319" spans="1:26" ht="16.5" x14ac:dyDescent="0.35">
      <c r="A13319" s="2" t="str">
        <f ca="1">IFERROR(__xludf.DUMMYFUNCTION("""COMPUTED_VALUE"""),"Sharjah")</f>
        <v>Sharjah</v>
      </c>
      <c r="B13319" s="2" t="str">
        <f ca="1">IFERROR(__xludf.DUMMYFUNCTION("""COMPUTED_VALUE"""),"Ateek Tower 2")</f>
        <v>Ateek Tower 2</v>
      </c>
      <c r="C13319" s="2"/>
      <c r="D13319" s="2" t="str">
        <f ca="1">IFERROR(__xludf.DUMMYFUNCTION("""COMPUTED_VALUE"""),"Sharjah&gt;Al Qasimia&gt;Al Nad&gt;Ateek Tower 2")</f>
        <v>Sharjah&gt;Al Qasimia&gt;Al Nad&gt;Ateek Tower 2</v>
      </c>
      <c r="E13319" s="2"/>
      <c r="F13319" s="2"/>
      <c r="G13319" s="2"/>
      <c r="H13319" s="2"/>
      <c r="I13319" s="2"/>
      <c r="J13319" s="2"/>
      <c r="K13319" s="2"/>
      <c r="L13319" s="2"/>
      <c r="M13319" s="2"/>
      <c r="N13319" s="2"/>
      <c r="O13319" s="2"/>
      <c r="P13319" s="2"/>
      <c r="Q13319" s="2"/>
      <c r="R13319" s="2"/>
      <c r="S13319" s="2"/>
      <c r="T13319" s="2"/>
      <c r="U13319" s="2"/>
      <c r="V13319" s="2"/>
      <c r="W13319" s="2"/>
      <c r="X13319" s="2"/>
      <c r="Y13319" s="2"/>
      <c r="Z13319" s="2"/>
    </row>
    <row r="13320" spans="1:26" ht="16.5" x14ac:dyDescent="0.35">
      <c r="A13320" s="2" t="str">
        <f ca="1">IFERROR(__xludf.DUMMYFUNCTION("""COMPUTED_VALUE"""),"Sharjah")</f>
        <v>Sharjah</v>
      </c>
      <c r="B13320" s="2" t="str">
        <f ca="1">IFERROR(__xludf.DUMMYFUNCTION("""COMPUTED_VALUE"""),"Qalqilia 1 Building")</f>
        <v>Qalqilia 1 Building</v>
      </c>
      <c r="C13320" s="2"/>
      <c r="D13320" s="2" t="str">
        <f ca="1">IFERROR(__xludf.DUMMYFUNCTION("""COMPUTED_VALUE"""),"Sharjah&gt;Al Qasimia&gt;Al Nad&gt;Qalqilia 1 Building")</f>
        <v>Sharjah&gt;Al Qasimia&gt;Al Nad&gt;Qalqilia 1 Building</v>
      </c>
      <c r="E13320" s="2"/>
      <c r="F13320" s="2"/>
      <c r="G13320" s="2"/>
      <c r="H13320" s="2"/>
      <c r="I13320" s="2"/>
      <c r="J13320" s="2"/>
      <c r="K13320" s="2"/>
      <c r="L13320" s="2"/>
      <c r="M13320" s="2"/>
      <c r="N13320" s="2"/>
      <c r="O13320" s="2"/>
      <c r="P13320" s="2"/>
      <c r="Q13320" s="2"/>
      <c r="R13320" s="2"/>
      <c r="S13320" s="2"/>
      <c r="T13320" s="2"/>
      <c r="U13320" s="2"/>
      <c r="V13320" s="2"/>
      <c r="W13320" s="2"/>
      <c r="X13320" s="2"/>
      <c r="Y13320" s="2"/>
      <c r="Z13320" s="2"/>
    </row>
    <row r="13321" spans="1:26" ht="16.5" x14ac:dyDescent="0.35">
      <c r="A13321" s="2" t="str">
        <f ca="1">IFERROR(__xludf.DUMMYFUNCTION("""COMPUTED_VALUE"""),"Sharjah")</f>
        <v>Sharjah</v>
      </c>
      <c r="B13321" s="2" t="str">
        <f ca="1">IFERROR(__xludf.DUMMYFUNCTION("""COMPUTED_VALUE"""),"Pan Emirates Hotel Apartment")</f>
        <v>Pan Emirates Hotel Apartment</v>
      </c>
      <c r="C13321" s="2"/>
      <c r="D13321" s="2" t="str">
        <f ca="1">IFERROR(__xludf.DUMMYFUNCTION("""COMPUTED_VALUE"""),"Sharjah&gt;Al Nabba&gt;Pan Emirates Hotel Apartment")</f>
        <v>Sharjah&gt;Al Nabba&gt;Pan Emirates Hotel Apartment</v>
      </c>
      <c r="E13321" s="2"/>
      <c r="F13321" s="2"/>
      <c r="G13321" s="2"/>
      <c r="H13321" s="2"/>
      <c r="I13321" s="2"/>
      <c r="J13321" s="2"/>
      <c r="K13321" s="2"/>
      <c r="L13321" s="2"/>
      <c r="M13321" s="2"/>
      <c r="N13321" s="2"/>
      <c r="O13321" s="2"/>
      <c r="P13321" s="2"/>
      <c r="Q13321" s="2"/>
      <c r="R13321" s="2"/>
      <c r="S13321" s="2"/>
      <c r="T13321" s="2"/>
      <c r="U13321" s="2"/>
      <c r="V13321" s="2"/>
      <c r="W13321" s="2"/>
      <c r="X13321" s="2"/>
      <c r="Y13321" s="2"/>
      <c r="Z13321" s="2"/>
    </row>
    <row r="13322" spans="1:26" ht="16.5" x14ac:dyDescent="0.35">
      <c r="A13322" s="2" t="str">
        <f ca="1">IFERROR(__xludf.DUMMYFUNCTION("""COMPUTED_VALUE"""),"Sharjah")</f>
        <v>Sharjah</v>
      </c>
      <c r="B13322" s="2" t="str">
        <f ca="1">IFERROR(__xludf.DUMMYFUNCTION("""COMPUTED_VALUE"""),"Palm Land Hotel suites")</f>
        <v>Palm Land Hotel suites</v>
      </c>
      <c r="C13322" s="2"/>
      <c r="D13322" s="2" t="str">
        <f ca="1">IFERROR(__xludf.DUMMYFUNCTION("""COMPUTED_VALUE"""),"Sharjah&gt;Al Nabba&gt;Palm Land Hotel suites")</f>
        <v>Sharjah&gt;Al Nabba&gt;Palm Land Hotel suites</v>
      </c>
      <c r="E13322" s="2"/>
      <c r="F13322" s="2"/>
      <c r="G13322" s="2"/>
      <c r="H13322" s="2"/>
      <c r="I13322" s="2"/>
      <c r="J13322" s="2"/>
      <c r="K13322" s="2"/>
      <c r="L13322" s="2"/>
      <c r="M13322" s="2"/>
      <c r="N13322" s="2"/>
      <c r="O13322" s="2"/>
      <c r="P13322" s="2"/>
      <c r="Q13322" s="2"/>
      <c r="R13322" s="2"/>
      <c r="S13322" s="2"/>
      <c r="T13322" s="2"/>
      <c r="U13322" s="2"/>
      <c r="V13322" s="2"/>
      <c r="W13322" s="2"/>
      <c r="X13322" s="2"/>
      <c r="Y13322" s="2"/>
      <c r="Z13322" s="2"/>
    </row>
    <row r="13323" spans="1:26" ht="16.5" x14ac:dyDescent="0.35">
      <c r="A13323" s="2" t="str">
        <f ca="1">IFERROR(__xludf.DUMMYFUNCTION("""COMPUTED_VALUE"""),"Sharjah")</f>
        <v>Sharjah</v>
      </c>
      <c r="B13323" s="2" t="str">
        <f ca="1">IFERROR(__xludf.DUMMYFUNCTION("""COMPUTED_VALUE"""),"Industrial Area 1")</f>
        <v>Industrial Area 1</v>
      </c>
      <c r="C13323" s="2" t="str">
        <f ca="1">IFERROR(__xludf.DUMMYFUNCTION("""COMPUTED_VALUE"""),"Neighbourhood")</f>
        <v>Neighbourhood</v>
      </c>
      <c r="D13323" s="2" t="str">
        <f ca="1">IFERROR(__xludf.DUMMYFUNCTION("""COMPUTED_VALUE"""),"Sharjah&gt;Industrial Area&gt;Industrial Area 1")</f>
        <v>Sharjah&gt;Industrial Area&gt;Industrial Area 1</v>
      </c>
      <c r="E13323" s="2"/>
      <c r="F13323" s="2"/>
      <c r="G13323" s="2"/>
      <c r="H13323" s="2"/>
      <c r="I13323" s="2"/>
      <c r="J13323" s="2"/>
      <c r="K13323" s="2"/>
      <c r="L13323" s="2"/>
      <c r="M13323" s="2"/>
      <c r="N13323" s="2"/>
      <c r="O13323" s="2"/>
      <c r="P13323" s="2"/>
      <c r="Q13323" s="2"/>
      <c r="R13323" s="2"/>
      <c r="S13323" s="2"/>
      <c r="T13323" s="2"/>
      <c r="U13323" s="2"/>
      <c r="V13323" s="2"/>
      <c r="W13323" s="2"/>
      <c r="X13323" s="2"/>
      <c r="Y13323" s="2"/>
      <c r="Z13323" s="2"/>
    </row>
    <row r="13324" spans="1:26" ht="16.5" x14ac:dyDescent="0.35">
      <c r="A13324" s="2" t="str">
        <f ca="1">IFERROR(__xludf.DUMMYFUNCTION("""COMPUTED_VALUE"""),"Sharjah")</f>
        <v>Sharjah</v>
      </c>
      <c r="B13324" s="2" t="str">
        <f ca="1">IFERROR(__xludf.DUMMYFUNCTION("""COMPUTED_VALUE"""),"SN 3")</f>
        <v>SN 3</v>
      </c>
      <c r="C13324" s="2" t="str">
        <f ca="1">IFERROR(__xludf.DUMMYFUNCTION("""COMPUTED_VALUE"""),"Building")</f>
        <v>Building</v>
      </c>
      <c r="D13324" s="2" t="str">
        <f ca="1">IFERROR(__xludf.DUMMYFUNCTION("""COMPUTED_VALUE"""),"Sharjah&gt;Muwaileh&gt;Al Mamsha&gt;Souks Residential&gt;SN 3")</f>
        <v>Sharjah&gt;Muwaileh&gt;Al Mamsha&gt;Souks Residential&gt;SN 3</v>
      </c>
      <c r="E13324" s="2"/>
      <c r="F13324" s="2"/>
      <c r="G13324" s="2"/>
      <c r="H13324" s="2"/>
      <c r="I13324" s="2"/>
      <c r="J13324" s="2"/>
      <c r="K13324" s="2"/>
      <c r="L13324" s="2"/>
      <c r="M13324" s="2"/>
      <c r="N13324" s="2"/>
      <c r="O13324" s="2"/>
      <c r="P13324" s="2"/>
      <c r="Q13324" s="2"/>
      <c r="R13324" s="2"/>
      <c r="S13324" s="2"/>
      <c r="T13324" s="2"/>
      <c r="U13324" s="2"/>
      <c r="V13324" s="2"/>
      <c r="W13324" s="2"/>
      <c r="X13324" s="2"/>
      <c r="Y13324" s="2"/>
      <c r="Z13324" s="2"/>
    </row>
    <row r="13325" spans="1:26" ht="16.5" x14ac:dyDescent="0.35">
      <c r="A13325" s="2" t="str">
        <f ca="1">IFERROR(__xludf.DUMMYFUNCTION("""COMPUTED_VALUE"""),"Sharjah")</f>
        <v>Sharjah</v>
      </c>
      <c r="B13325" s="2" t="str">
        <f ca="1">IFERROR(__xludf.DUMMYFUNCTION("""COMPUTED_VALUE"""),"Suroor 1")</f>
        <v>Suroor 1</v>
      </c>
      <c r="C13325" s="2" t="str">
        <f ca="1">IFERROR(__xludf.DUMMYFUNCTION("""COMPUTED_VALUE"""),"Building")</f>
        <v>Building</v>
      </c>
      <c r="D13325" s="2" t="str">
        <f ca="1">IFERROR(__xludf.DUMMYFUNCTION("""COMPUTED_VALUE"""),"Sharjah&gt;Muwaileh&gt;Al Mamsha&gt;Suroor&gt;Suroor 1")</f>
        <v>Sharjah&gt;Muwaileh&gt;Al Mamsha&gt;Suroor&gt;Suroor 1</v>
      </c>
      <c r="E13325" s="2"/>
      <c r="F13325" s="2"/>
      <c r="G13325" s="2"/>
      <c r="H13325" s="2"/>
      <c r="I13325" s="2"/>
      <c r="J13325" s="2"/>
      <c r="K13325" s="2"/>
      <c r="L13325" s="2"/>
      <c r="M13325" s="2"/>
      <c r="N13325" s="2"/>
      <c r="O13325" s="2"/>
      <c r="P13325" s="2"/>
      <c r="Q13325" s="2"/>
      <c r="R13325" s="2"/>
      <c r="S13325" s="2"/>
      <c r="T13325" s="2"/>
      <c r="U13325" s="2"/>
      <c r="V13325" s="2"/>
      <c r="W13325" s="2"/>
      <c r="X13325" s="2"/>
      <c r="Y13325" s="2"/>
      <c r="Z13325" s="2"/>
    </row>
    <row r="13326" spans="1:26" ht="16.5" x14ac:dyDescent="0.35">
      <c r="A13326" s="2" t="str">
        <f ca="1">IFERROR(__xludf.DUMMYFUNCTION("""COMPUTED_VALUE"""),"Sharjah")</f>
        <v>Sharjah</v>
      </c>
      <c r="B13326" s="2" t="str">
        <f ca="1">IFERROR(__xludf.DUMMYFUNCTION("""COMPUTED_VALUE"""),"Orchid")</f>
        <v>Orchid</v>
      </c>
      <c r="C13326" s="2" t="str">
        <f ca="1">IFERROR(__xludf.DUMMYFUNCTION("""COMPUTED_VALUE"""),"Neighbourhood")</f>
        <v>Neighbourhood</v>
      </c>
      <c r="D13326" s="2" t="str">
        <f ca="1">IFERROR(__xludf.DUMMYFUNCTION("""COMPUTED_VALUE"""),"Sharjah&gt;Muwaileh&gt;Al Zahia&gt;Orchid")</f>
        <v>Sharjah&gt;Muwaileh&gt;Al Zahia&gt;Orchid</v>
      </c>
      <c r="E13326" s="2"/>
      <c r="F13326" s="2"/>
      <c r="G13326" s="2"/>
      <c r="H13326" s="2"/>
      <c r="I13326" s="2"/>
      <c r="J13326" s="2"/>
      <c r="K13326" s="2"/>
      <c r="L13326" s="2"/>
      <c r="M13326" s="2"/>
      <c r="N13326" s="2"/>
      <c r="O13326" s="2"/>
      <c r="P13326" s="2"/>
      <c r="Q13326" s="2"/>
      <c r="R13326" s="2"/>
      <c r="S13326" s="2"/>
      <c r="T13326" s="2"/>
      <c r="U13326" s="2"/>
      <c r="V13326" s="2"/>
      <c r="W13326" s="2"/>
      <c r="X13326" s="2"/>
      <c r="Y13326" s="2"/>
      <c r="Z13326" s="2"/>
    </row>
    <row r="13327" spans="1:26" ht="16.5" x14ac:dyDescent="0.35">
      <c r="A13327" s="2" t="str">
        <f ca="1">IFERROR(__xludf.DUMMYFUNCTION("""COMPUTED_VALUE"""),"Sharjah")</f>
        <v>Sharjah</v>
      </c>
      <c r="B13327" s="2" t="str">
        <f ca="1">IFERROR(__xludf.DUMMYFUNCTION("""COMPUTED_VALUE"""),"Amber Tower")</f>
        <v>Amber Tower</v>
      </c>
      <c r="C13327" s="2" t="str">
        <f ca="1">IFERROR(__xludf.DUMMYFUNCTION("""COMPUTED_VALUE"""),"Building")</f>
        <v>Building</v>
      </c>
      <c r="D13327" s="2" t="str">
        <f ca="1">IFERROR(__xludf.DUMMYFUNCTION("""COMPUTED_VALUE"""),"Sharjah&gt;Muwaileh Commercial&gt;Amber Tower")</f>
        <v>Sharjah&gt;Muwaileh Commercial&gt;Amber Tower</v>
      </c>
      <c r="E13327" s="2"/>
      <c r="F13327" s="2"/>
      <c r="G13327" s="2"/>
      <c r="H13327" s="2"/>
      <c r="I13327" s="2"/>
      <c r="J13327" s="2"/>
      <c r="K13327" s="2"/>
      <c r="L13327" s="2"/>
      <c r="M13327" s="2"/>
      <c r="N13327" s="2"/>
      <c r="O13327" s="2"/>
      <c r="P13327" s="2"/>
      <c r="Q13327" s="2"/>
      <c r="R13327" s="2"/>
      <c r="S13327" s="2"/>
      <c r="T13327" s="2"/>
      <c r="U13327" s="2"/>
      <c r="V13327" s="2"/>
      <c r="W13327" s="2"/>
      <c r="X13327" s="2"/>
      <c r="Y13327" s="2"/>
      <c r="Z13327" s="2"/>
    </row>
    <row r="13328" spans="1:26" ht="16.5" x14ac:dyDescent="0.35">
      <c r="A13328" s="2" t="str">
        <f ca="1">IFERROR(__xludf.DUMMYFUNCTION("""COMPUTED_VALUE"""),"Sharjah")</f>
        <v>Sharjah</v>
      </c>
      <c r="B13328" s="2" t="str">
        <f ca="1">IFERROR(__xludf.DUMMYFUNCTION("""COMPUTED_VALUE"""),"Olfah 2")</f>
        <v>Olfah 2</v>
      </c>
      <c r="C13328" s="2" t="str">
        <f ca="1">IFERROR(__xludf.DUMMYFUNCTION("""COMPUTED_VALUE"""),"Building")</f>
        <v>Building</v>
      </c>
      <c r="D13328" s="2" t="str">
        <f ca="1">IFERROR(__xludf.DUMMYFUNCTION("""COMPUTED_VALUE"""),"Sharjah&gt;Muwaileh Commercial&gt;Olfah&gt;Olfah 2")</f>
        <v>Sharjah&gt;Muwaileh Commercial&gt;Olfah&gt;Olfah 2</v>
      </c>
      <c r="E13328" s="2"/>
      <c r="F13328" s="2"/>
      <c r="G13328" s="2"/>
      <c r="H13328" s="2"/>
      <c r="I13328" s="2"/>
      <c r="J13328" s="2"/>
      <c r="K13328" s="2"/>
      <c r="L13328" s="2"/>
      <c r="M13328" s="2"/>
      <c r="N13328" s="2"/>
      <c r="O13328" s="2"/>
      <c r="P13328" s="2"/>
      <c r="Q13328" s="2"/>
      <c r="R13328" s="2"/>
      <c r="S13328" s="2"/>
      <c r="T13328" s="2"/>
      <c r="U13328" s="2"/>
      <c r="V13328" s="2"/>
      <c r="W13328" s="2"/>
      <c r="X13328" s="2"/>
      <c r="Y13328" s="2"/>
      <c r="Z13328" s="2"/>
    </row>
    <row r="13329" spans="1:26" ht="16.5" x14ac:dyDescent="0.35">
      <c r="A13329" s="2" t="str">
        <f ca="1">IFERROR(__xludf.DUMMYFUNCTION("""COMPUTED_VALUE"""),"Sharjah")</f>
        <v>Sharjah</v>
      </c>
      <c r="B13329" s="2" t="str">
        <f ca="1">IFERROR(__xludf.DUMMYFUNCTION("""COMPUTED_VALUE"""),"Building 5154")</f>
        <v>Building 5154</v>
      </c>
      <c r="C13329" s="2" t="str">
        <f ca="1">IFERROR(__xludf.DUMMYFUNCTION("""COMPUTED_VALUE"""),"Building")</f>
        <v>Building</v>
      </c>
      <c r="D13329" s="2" t="str">
        <f ca="1">IFERROR(__xludf.DUMMYFUNCTION("""COMPUTED_VALUE"""),"Sharjah&gt;Muwaileh Commercial&gt;Building 5154")</f>
        <v>Sharjah&gt;Muwaileh Commercial&gt;Building 5154</v>
      </c>
      <c r="E13329" s="2"/>
      <c r="F13329" s="2"/>
      <c r="G13329" s="2"/>
      <c r="H13329" s="2"/>
      <c r="I13329" s="2"/>
      <c r="J13329" s="2"/>
      <c r="K13329" s="2"/>
      <c r="L13329" s="2"/>
      <c r="M13329" s="2"/>
      <c r="N13329" s="2"/>
      <c r="O13329" s="2"/>
      <c r="P13329" s="2"/>
      <c r="Q13329" s="2"/>
      <c r="R13329" s="2"/>
      <c r="S13329" s="2"/>
      <c r="T13329" s="2"/>
      <c r="U13329" s="2"/>
      <c r="V13329" s="2"/>
      <c r="W13329" s="2"/>
      <c r="X13329" s="2"/>
      <c r="Y13329" s="2"/>
      <c r="Z13329" s="2"/>
    </row>
    <row r="13330" spans="1:26" ht="16.5" x14ac:dyDescent="0.35">
      <c r="A13330" s="2" t="str">
        <f ca="1">IFERROR(__xludf.DUMMYFUNCTION("""COMPUTED_VALUE"""),"Al Ain")</f>
        <v>Al Ain</v>
      </c>
      <c r="B13330" s="2" t="str">
        <f ca="1">IFERROR(__xludf.DUMMYFUNCTION("""COMPUTED_VALUE"""),"Al Fou'ah")</f>
        <v>Al Fou'ah</v>
      </c>
      <c r="C13330" s="2" t="str">
        <f ca="1">IFERROR(__xludf.DUMMYFUNCTION("""COMPUTED_VALUE"""),"Neighbourhood")</f>
        <v>Neighbourhood</v>
      </c>
      <c r="D13330" s="2" t="str">
        <f ca="1">IFERROR(__xludf.DUMMYFUNCTION("""COMPUTED_VALUE"""),"Al Ain&gt;Al Fou'ah")</f>
        <v>Al Ain&gt;Al Fou'ah</v>
      </c>
      <c r="E13330" s="2"/>
      <c r="F13330" s="2"/>
      <c r="G13330" s="2"/>
      <c r="H13330" s="2"/>
      <c r="I13330" s="2"/>
      <c r="J13330" s="2"/>
      <c r="K13330" s="2"/>
      <c r="L13330" s="2"/>
      <c r="M13330" s="2"/>
      <c r="N13330" s="2"/>
      <c r="O13330" s="2"/>
      <c r="P13330" s="2"/>
      <c r="Q13330" s="2"/>
      <c r="R13330" s="2"/>
      <c r="S13330" s="2"/>
      <c r="T13330" s="2"/>
      <c r="U13330" s="2"/>
      <c r="V13330" s="2"/>
      <c r="W13330" s="2"/>
      <c r="X13330" s="2"/>
      <c r="Y13330" s="2"/>
      <c r="Z13330" s="2"/>
    </row>
    <row r="13331" spans="1:26" ht="16.5" x14ac:dyDescent="0.35">
      <c r="A13331" s="2" t="str">
        <f ca="1">IFERROR(__xludf.DUMMYFUNCTION("""COMPUTED_VALUE"""),"Al Ain")</f>
        <v>Al Ain</v>
      </c>
      <c r="B13331" s="2" t="str">
        <f ca="1">IFERROR(__xludf.DUMMYFUNCTION("""COMPUTED_VALUE"""),"Al Mraijeb")</f>
        <v>Al Mraijeb</v>
      </c>
      <c r="C13331" s="2" t="str">
        <f ca="1">IFERROR(__xludf.DUMMYFUNCTION("""COMPUTED_VALUE"""),"Neighbourhood")</f>
        <v>Neighbourhood</v>
      </c>
      <c r="D13331" s="2" t="str">
        <f ca="1">IFERROR(__xludf.DUMMYFUNCTION("""COMPUTED_VALUE"""),"Al Ain&gt;Al Jimi&gt;Al Mraijeb")</f>
        <v>Al Ain&gt;Al Jimi&gt;Al Mraijeb</v>
      </c>
      <c r="E13331" s="2"/>
      <c r="F13331" s="2"/>
      <c r="G13331" s="2"/>
      <c r="H13331" s="2"/>
      <c r="I13331" s="2"/>
      <c r="J13331" s="2"/>
      <c r="K13331" s="2"/>
      <c r="L13331" s="2"/>
      <c r="M13331" s="2"/>
      <c r="N13331" s="2"/>
      <c r="O13331" s="2"/>
      <c r="P13331" s="2"/>
      <c r="Q13331" s="2"/>
      <c r="R13331" s="2"/>
      <c r="S13331" s="2"/>
      <c r="T13331" s="2"/>
      <c r="U13331" s="2"/>
      <c r="V13331" s="2"/>
      <c r="W13331" s="2"/>
      <c r="X13331" s="2"/>
      <c r="Y13331" s="2"/>
      <c r="Z13331" s="2"/>
    </row>
    <row r="13332" spans="1:26" ht="16.5" x14ac:dyDescent="0.35">
      <c r="A13332" s="2" t="str">
        <f ca="1">IFERROR(__xludf.DUMMYFUNCTION("""COMPUTED_VALUE"""),"Al Ain")</f>
        <v>Al Ain</v>
      </c>
      <c r="B13332" s="2" t="str">
        <f ca="1">IFERROR(__xludf.DUMMYFUNCTION("""COMPUTED_VALUE"""),"Um Al Qtta")</f>
        <v>Um Al Qtta</v>
      </c>
      <c r="C13332" s="2" t="str">
        <f ca="1">IFERROR(__xludf.DUMMYFUNCTION("""COMPUTED_VALUE"""),"Neighbourhood")</f>
        <v>Neighbourhood</v>
      </c>
      <c r="D13332" s="2" t="str">
        <f ca="1">IFERROR(__xludf.DUMMYFUNCTION("""COMPUTED_VALUE"""),"Al Ain&gt;Zakhir&gt;Um Al Qtta")</f>
        <v>Al Ain&gt;Zakhir&gt;Um Al Qtta</v>
      </c>
      <c r="E13332" s="2"/>
      <c r="F13332" s="2"/>
      <c r="G13332" s="2"/>
      <c r="H13332" s="2"/>
      <c r="I13332" s="2"/>
      <c r="J13332" s="2"/>
      <c r="K13332" s="2"/>
      <c r="L13332" s="2"/>
      <c r="M13332" s="2"/>
      <c r="N13332" s="2"/>
      <c r="O13332" s="2"/>
      <c r="P13332" s="2"/>
      <c r="Q13332" s="2"/>
      <c r="R13332" s="2"/>
      <c r="S13332" s="2"/>
      <c r="T13332" s="2"/>
      <c r="U13332" s="2"/>
      <c r="V13332" s="2"/>
      <c r="W13332" s="2"/>
      <c r="X13332" s="2"/>
      <c r="Y13332" s="2"/>
      <c r="Z13332" s="2"/>
    </row>
    <row r="13333" spans="1:26" ht="16.5" x14ac:dyDescent="0.35">
      <c r="A13333" s="2" t="str">
        <f ca="1">IFERROR(__xludf.DUMMYFUNCTION("""COMPUTED_VALUE"""),"Al Ain")</f>
        <v>Al Ain</v>
      </c>
      <c r="B13333" s="2" t="str">
        <f ca="1">IFERROR(__xludf.DUMMYFUNCTION("""COMPUTED_VALUE"""),"Wadi Bin Shami")</f>
        <v>Wadi Bin Shami</v>
      </c>
      <c r="C13333" s="2" t="str">
        <f ca="1">IFERROR(__xludf.DUMMYFUNCTION("""COMPUTED_VALUE"""),"Neighbourhood")</f>
        <v>Neighbourhood</v>
      </c>
      <c r="D13333" s="2" t="str">
        <f ca="1">IFERROR(__xludf.DUMMYFUNCTION("""COMPUTED_VALUE"""),"Al Ain&gt;Al Tiwayya&gt;Wadi Bin Shami")</f>
        <v>Al Ain&gt;Al Tiwayya&gt;Wadi Bin Shami</v>
      </c>
      <c r="E13333" s="2"/>
      <c r="F13333" s="2"/>
      <c r="G13333" s="2"/>
      <c r="H13333" s="2"/>
      <c r="I13333" s="2"/>
      <c r="J13333" s="2"/>
      <c r="K13333" s="2"/>
      <c r="L13333" s="2"/>
      <c r="M13333" s="2"/>
      <c r="N13333" s="2"/>
      <c r="O13333" s="2"/>
      <c r="P13333" s="2"/>
      <c r="Q13333" s="2"/>
      <c r="R13333" s="2"/>
      <c r="S13333" s="2"/>
      <c r="T13333" s="2"/>
      <c r="U13333" s="2"/>
      <c r="V13333" s="2"/>
      <c r="W13333" s="2"/>
      <c r="X13333" s="2"/>
      <c r="Y13333" s="2"/>
      <c r="Z13333" s="2"/>
    </row>
    <row r="13334" spans="1:26" ht="16.5" x14ac:dyDescent="0.35">
      <c r="A13334" s="2" t="str">
        <f ca="1">IFERROR(__xludf.DUMMYFUNCTION("""COMPUTED_VALUE"""),"Al Ain")</f>
        <v>Al Ain</v>
      </c>
      <c r="B13334" s="2" t="str">
        <f ca="1">IFERROR(__xludf.DUMMYFUNCTION("""COMPUTED_VALUE"""),"Al Jahili")</f>
        <v>Al Jahili</v>
      </c>
      <c r="C13334" s="2" t="str">
        <f ca="1">IFERROR(__xludf.DUMMYFUNCTION("""COMPUTED_VALUE"""),"Neighbourhood")</f>
        <v>Neighbourhood</v>
      </c>
      <c r="D13334" s="2" t="str">
        <f ca="1">IFERROR(__xludf.DUMMYFUNCTION("""COMPUTED_VALUE"""),"Al Ain&gt;Al Jahili")</f>
        <v>Al Ain&gt;Al Jahili</v>
      </c>
      <c r="E13334" s="2"/>
      <c r="F13334" s="2"/>
      <c r="G13334" s="2"/>
      <c r="H13334" s="2"/>
      <c r="I13334" s="2"/>
      <c r="J13334" s="2"/>
      <c r="K13334" s="2"/>
      <c r="L13334" s="2"/>
      <c r="M13334" s="2"/>
      <c r="N13334" s="2"/>
      <c r="O13334" s="2"/>
      <c r="P13334" s="2"/>
      <c r="Q13334" s="2"/>
      <c r="R13334" s="2"/>
      <c r="S13334" s="2"/>
      <c r="T13334" s="2"/>
      <c r="U13334" s="2"/>
      <c r="V13334" s="2"/>
      <c r="W13334" s="2"/>
      <c r="X13334" s="2"/>
      <c r="Y13334" s="2"/>
      <c r="Z13334" s="2"/>
    </row>
    <row r="13335" spans="1:26" ht="16.5" x14ac:dyDescent="0.35">
      <c r="A13335" s="2" t="str">
        <f ca="1">IFERROR(__xludf.DUMMYFUNCTION("""COMPUTED_VALUE"""),"Al Ain")</f>
        <v>Al Ain</v>
      </c>
      <c r="B13335" s="2" t="str">
        <f ca="1">IFERROR(__xludf.DUMMYFUNCTION("""COMPUTED_VALUE"""),"Al Mashall")</f>
        <v>Al Mashall</v>
      </c>
      <c r="C13335" s="2"/>
      <c r="D13335" s="2" t="str">
        <f ca="1">IFERROR(__xludf.DUMMYFUNCTION("""COMPUTED_VALUE"""),"Al Ain&gt;Al Mashall")</f>
        <v>Al Ain&gt;Al Mashall</v>
      </c>
      <c r="E13335" s="2"/>
      <c r="F13335" s="2"/>
      <c r="G13335" s="2"/>
      <c r="H13335" s="2"/>
      <c r="I13335" s="2"/>
      <c r="J13335" s="2"/>
      <c r="K13335" s="2"/>
      <c r="L13335" s="2"/>
      <c r="M13335" s="2"/>
      <c r="N13335" s="2"/>
      <c r="O13335" s="2"/>
      <c r="P13335" s="2"/>
      <c r="Q13335" s="2"/>
      <c r="R13335" s="2"/>
      <c r="S13335" s="2"/>
      <c r="T13335" s="2"/>
      <c r="U13335" s="2"/>
      <c r="V13335" s="2"/>
      <c r="W13335" s="2"/>
      <c r="X13335" s="2"/>
      <c r="Y13335" s="2"/>
      <c r="Z13335" s="2"/>
    </row>
    <row r="13336" spans="1:26" ht="16.5" x14ac:dyDescent="0.35">
      <c r="A13336" s="2" t="str">
        <f ca="1">IFERROR(__xludf.DUMMYFUNCTION("""COMPUTED_VALUE"""),"Ras Al Khaimah")</f>
        <v>Ras Al Khaimah</v>
      </c>
      <c r="B13336" s="2" t="str">
        <f ca="1">IFERROR(__xludf.DUMMYFUNCTION("""COMPUTED_VALUE"""),"Malibu")</f>
        <v>Malibu</v>
      </c>
      <c r="C13336" s="2" t="str">
        <f ca="1">IFERROR(__xludf.DUMMYFUNCTION("""COMPUTED_VALUE"""),"Building")</f>
        <v>Building</v>
      </c>
      <c r="D13336" s="2" t="str">
        <f ca="1">IFERROR(__xludf.DUMMYFUNCTION("""COMPUTED_VALUE"""),"Ras Al Khaimah&gt;Mina Al Arab&gt;Malibu")</f>
        <v>Ras Al Khaimah&gt;Mina Al Arab&gt;Malibu</v>
      </c>
      <c r="E13336" s="2"/>
      <c r="F13336" s="2"/>
      <c r="G13336" s="2"/>
      <c r="H13336" s="2"/>
      <c r="I13336" s="2"/>
      <c r="J13336" s="2"/>
      <c r="K13336" s="2"/>
      <c r="L13336" s="2"/>
      <c r="M13336" s="2"/>
      <c r="N13336" s="2"/>
      <c r="O13336" s="2"/>
      <c r="P13336" s="2"/>
      <c r="Q13336" s="2"/>
      <c r="R13336" s="2"/>
      <c r="S13336" s="2"/>
      <c r="T13336" s="2"/>
      <c r="U13336" s="2"/>
      <c r="V13336" s="2"/>
      <c r="W13336" s="2"/>
      <c r="X13336" s="2"/>
      <c r="Y13336" s="2"/>
      <c r="Z13336" s="2"/>
    </row>
    <row r="13337" spans="1:26" ht="16.5" x14ac:dyDescent="0.35">
      <c r="A13337" s="2" t="str">
        <f ca="1">IFERROR(__xludf.DUMMYFUNCTION("""COMPUTED_VALUE"""),"Ras Al Khaimah")</f>
        <v>Ras Al Khaimah</v>
      </c>
      <c r="B13337" s="2" t="str">
        <f ca="1">IFERROR(__xludf.DUMMYFUNCTION("""COMPUTED_VALUE"""),"City Stay Beach Hotel Apartment")</f>
        <v>City Stay Beach Hotel Apartment</v>
      </c>
      <c r="C13337" s="2"/>
      <c r="D13337" s="2" t="str">
        <f ca="1">IFERROR(__xludf.DUMMYFUNCTION("""COMPUTED_VALUE"""),"Ras Al Khaimah&gt;Al Marjan Island&gt;City Stay Beach Hotel Apartment")</f>
        <v>Ras Al Khaimah&gt;Al Marjan Island&gt;City Stay Beach Hotel Apartment</v>
      </c>
      <c r="E13337" s="2"/>
      <c r="F13337" s="2"/>
      <c r="G13337" s="2"/>
      <c r="H13337" s="2"/>
      <c r="I13337" s="2"/>
      <c r="J13337" s="2"/>
      <c r="K13337" s="2"/>
      <c r="L13337" s="2"/>
      <c r="M13337" s="2"/>
      <c r="N13337" s="2"/>
      <c r="O13337" s="2"/>
      <c r="P13337" s="2"/>
      <c r="Q13337" s="2"/>
      <c r="R13337" s="2"/>
      <c r="S13337" s="2"/>
      <c r="T13337" s="2"/>
      <c r="U13337" s="2"/>
      <c r="V13337" s="2"/>
      <c r="W13337" s="2"/>
      <c r="X13337" s="2"/>
      <c r="Y13337" s="2"/>
      <c r="Z13337" s="2"/>
    </row>
    <row r="13338" spans="1:26" ht="16.5" x14ac:dyDescent="0.35">
      <c r="A13338" s="2" t="str">
        <f ca="1">IFERROR(__xludf.DUMMYFUNCTION("""COMPUTED_VALUE"""),"Ras Al Khaimah")</f>
        <v>Ras Al Khaimah</v>
      </c>
      <c r="B13338" s="2" t="str">
        <f ca="1">IFERROR(__xludf.DUMMYFUNCTION("""COMPUTED_VALUE"""),"Sora Beach Residences")</f>
        <v>Sora Beach Residences</v>
      </c>
      <c r="C13338" s="2" t="str">
        <f ca="1">IFERROR(__xludf.DUMMYFUNCTION("""COMPUTED_VALUE"""),"Building")</f>
        <v>Building</v>
      </c>
      <c r="D13338" s="2" t="str">
        <f ca="1">IFERROR(__xludf.DUMMYFUNCTION("""COMPUTED_VALUE"""),"Ras Al Khaimah&gt;Al Marjan Island&gt;Sora Beach Residences")</f>
        <v>Ras Al Khaimah&gt;Al Marjan Island&gt;Sora Beach Residences</v>
      </c>
      <c r="E13338" s="2"/>
      <c r="F13338" s="2"/>
      <c r="G13338" s="2"/>
      <c r="H13338" s="2"/>
      <c r="I13338" s="2"/>
      <c r="J13338" s="2"/>
      <c r="K13338" s="2"/>
      <c r="L13338" s="2"/>
      <c r="M13338" s="2"/>
      <c r="N13338" s="2"/>
      <c r="O13338" s="2"/>
      <c r="P13338" s="2"/>
      <c r="Q13338" s="2"/>
      <c r="R13338" s="2"/>
      <c r="S13338" s="2"/>
      <c r="T13338" s="2"/>
      <c r="U13338" s="2"/>
      <c r="V13338" s="2"/>
      <c r="W13338" s="2"/>
      <c r="X13338" s="2"/>
      <c r="Y13338" s="2"/>
      <c r="Z13338" s="2"/>
    </row>
    <row r="13339" spans="1:26" ht="16.5" x14ac:dyDescent="0.35">
      <c r="A13339" s="2" t="str">
        <f ca="1">IFERROR(__xludf.DUMMYFUNCTION("""COMPUTED_VALUE"""),"Ras Al Khaimah")</f>
        <v>Ras Al Khaimah</v>
      </c>
      <c r="B13339" s="2" t="str">
        <f ca="1">IFERROR(__xludf.DUMMYFUNCTION("""COMPUTED_VALUE"""),"W Hotel &amp; Residences")</f>
        <v>W Hotel &amp; Residences</v>
      </c>
      <c r="C13339" s="2" t="str">
        <f ca="1">IFERROR(__xludf.DUMMYFUNCTION("""COMPUTED_VALUE"""),"Building")</f>
        <v>Building</v>
      </c>
      <c r="D13339" s="2" t="str">
        <f ca="1">IFERROR(__xludf.DUMMYFUNCTION("""COMPUTED_VALUE"""),"Ras Al Khaimah&gt;Al Marjan Island&gt;W Hotel &amp; Residences")</f>
        <v>Ras Al Khaimah&gt;Al Marjan Island&gt;W Hotel &amp; Residences</v>
      </c>
      <c r="E13339" s="2"/>
      <c r="F13339" s="2"/>
      <c r="G13339" s="2"/>
      <c r="H13339" s="2"/>
      <c r="I13339" s="2"/>
      <c r="J13339" s="2"/>
      <c r="K13339" s="2"/>
      <c r="L13339" s="2"/>
      <c r="M13339" s="2"/>
      <c r="N13339" s="2"/>
      <c r="O13339" s="2"/>
      <c r="P13339" s="2"/>
      <c r="Q13339" s="2"/>
      <c r="R13339" s="2"/>
      <c r="S13339" s="2"/>
      <c r="T13339" s="2"/>
      <c r="U13339" s="2"/>
      <c r="V13339" s="2"/>
      <c r="W13339" s="2"/>
      <c r="X13339" s="2"/>
      <c r="Y13339" s="2"/>
      <c r="Z13339" s="2"/>
    </row>
    <row r="13340" spans="1:26" ht="16.5" x14ac:dyDescent="0.35">
      <c r="A13340" s="2" t="str">
        <f ca="1">IFERROR(__xludf.DUMMYFUNCTION("""COMPUTED_VALUE"""),"Ras Al Khaimah")</f>
        <v>Ras Al Khaimah</v>
      </c>
      <c r="B13340" s="2" t="str">
        <f ca="1">IFERROR(__xludf.DUMMYFUNCTION("""COMPUTED_VALUE"""),"Royal Breeze Villa")</f>
        <v>Royal Breeze Villa</v>
      </c>
      <c r="C13340" s="2"/>
      <c r="D13340" s="2" t="str">
        <f ca="1">IFERROR(__xludf.DUMMYFUNCTION("""COMPUTED_VALUE"""),"Ras Al Khaimah&gt;Al Hamra Village&gt;Royal Breeze Villa")</f>
        <v>Ras Al Khaimah&gt;Al Hamra Village&gt;Royal Breeze Villa</v>
      </c>
      <c r="E13340" s="2"/>
      <c r="F13340" s="2"/>
      <c r="G13340" s="2"/>
      <c r="H13340" s="2"/>
      <c r="I13340" s="2"/>
      <c r="J13340" s="2"/>
      <c r="K13340" s="2"/>
      <c r="L13340" s="2"/>
      <c r="M13340" s="2"/>
      <c r="N13340" s="2"/>
      <c r="O13340" s="2"/>
      <c r="P13340" s="2"/>
      <c r="Q13340" s="2"/>
      <c r="R13340" s="2"/>
      <c r="S13340" s="2"/>
      <c r="T13340" s="2"/>
      <c r="U13340" s="2"/>
      <c r="V13340" s="2"/>
      <c r="W13340" s="2"/>
      <c r="X13340" s="2"/>
      <c r="Y13340" s="2"/>
      <c r="Z13340" s="2"/>
    </row>
    <row r="13341" spans="1:26" ht="16.5" x14ac:dyDescent="0.35">
      <c r="A13341" s="2" t="str">
        <f ca="1">IFERROR(__xludf.DUMMYFUNCTION("""COMPUTED_VALUE"""),"Ras Al Khaimah")</f>
        <v>Ras Al Khaimah</v>
      </c>
      <c r="B13341" s="2" t="str">
        <f ca="1">IFERROR(__xludf.DUMMYFUNCTION("""COMPUTED_VALUE"""),"Yasmin Village Building 8")</f>
        <v>Yasmin Village Building 8</v>
      </c>
      <c r="C13341" s="2" t="str">
        <f ca="1">IFERROR(__xludf.DUMMYFUNCTION("""COMPUTED_VALUE"""),"Building")</f>
        <v>Building</v>
      </c>
      <c r="D13341" s="2" t="str">
        <f ca="1">IFERROR(__xludf.DUMMYFUNCTION("""COMPUTED_VALUE"""),"Ras Al Khaimah&gt;Yasmin Village&gt;Yasmin Village Building 8")</f>
        <v>Ras Al Khaimah&gt;Yasmin Village&gt;Yasmin Village Building 8</v>
      </c>
      <c r="E13341" s="2"/>
      <c r="F13341" s="2"/>
      <c r="G13341" s="2"/>
      <c r="H13341" s="2"/>
      <c r="I13341" s="2"/>
      <c r="J13341" s="2"/>
      <c r="K13341" s="2"/>
      <c r="L13341" s="2"/>
      <c r="M13341" s="2"/>
      <c r="N13341" s="2"/>
      <c r="O13341" s="2"/>
      <c r="P13341" s="2"/>
      <c r="Q13341" s="2"/>
      <c r="R13341" s="2"/>
      <c r="S13341" s="2"/>
      <c r="T13341" s="2"/>
      <c r="U13341" s="2"/>
      <c r="V13341" s="2"/>
      <c r="W13341" s="2"/>
      <c r="X13341" s="2"/>
      <c r="Y13341" s="2"/>
      <c r="Z13341" s="2"/>
    </row>
    <row r="13342" spans="1:26" ht="16.5" x14ac:dyDescent="0.35">
      <c r="A13342" s="2" t="str">
        <f ca="1">IFERROR(__xludf.DUMMYFUNCTION("""COMPUTED_VALUE"""),"Ras Al Khaimah")</f>
        <v>Ras Al Khaimah</v>
      </c>
      <c r="B13342" s="2" t="str">
        <f ca="1">IFERROR(__xludf.DUMMYFUNCTION("""COMPUTED_VALUE"""),"New Indian School, Ras Al Khaimah")</f>
        <v>New Indian School, Ras Al Khaimah</v>
      </c>
      <c r="C13342" s="2" t="str">
        <f ca="1">IFERROR(__xludf.DUMMYFUNCTION("""COMPUTED_VALUE"""),"School")</f>
        <v>School</v>
      </c>
      <c r="D13342" s="2" t="str">
        <f ca="1">IFERROR(__xludf.DUMMYFUNCTION("""COMPUTED_VALUE"""),"Ras Al Khaimah&gt;Al Mamourah&gt;New Indian School, Ras Al Khaimah")</f>
        <v>Ras Al Khaimah&gt;Al Mamourah&gt;New Indian School, Ras Al Khaimah</v>
      </c>
      <c r="E13342" s="2"/>
      <c r="F13342" s="2"/>
      <c r="G13342" s="2"/>
      <c r="H13342" s="2"/>
      <c r="I13342" s="2"/>
      <c r="J13342" s="2"/>
      <c r="K13342" s="2"/>
      <c r="L13342" s="2"/>
      <c r="M13342" s="2"/>
      <c r="N13342" s="2"/>
      <c r="O13342" s="2"/>
      <c r="P13342" s="2"/>
      <c r="Q13342" s="2"/>
      <c r="R13342" s="2"/>
      <c r="S13342" s="2"/>
      <c r="T13342" s="2"/>
      <c r="U13342" s="2"/>
      <c r="V13342" s="2"/>
      <c r="W13342" s="2"/>
      <c r="X13342" s="2"/>
      <c r="Y13342" s="2"/>
      <c r="Z13342" s="2"/>
    </row>
    <row r="13343" spans="1:26" ht="16.5" x14ac:dyDescent="0.35">
      <c r="A13343" s="2" t="str">
        <f ca="1">IFERROR(__xludf.DUMMYFUNCTION("""COMPUTED_VALUE"""),"Ras Al Khaimah")</f>
        <v>Ras Al Khaimah</v>
      </c>
      <c r="B13343" s="2" t="str">
        <f ca="1">IFERROR(__xludf.DUMMYFUNCTION("""COMPUTED_VALUE"""),"Al Fahlain")</f>
        <v>Al Fahlain</v>
      </c>
      <c r="C13343" s="2" t="str">
        <f ca="1">IFERROR(__xludf.DUMMYFUNCTION("""COMPUTED_VALUE"""),"Neighbourhood")</f>
        <v>Neighbourhood</v>
      </c>
      <c r="D13343" s="2" t="str">
        <f ca="1">IFERROR(__xludf.DUMMYFUNCTION("""COMPUTED_VALUE"""),"Ras Al Khaimah&gt;Al Fahlain")</f>
        <v>Ras Al Khaimah&gt;Al Fahlain</v>
      </c>
      <c r="E13343" s="2"/>
      <c r="F13343" s="2"/>
      <c r="G13343" s="2"/>
      <c r="H13343" s="2"/>
      <c r="I13343" s="2"/>
      <c r="J13343" s="2"/>
      <c r="K13343" s="2"/>
      <c r="L13343" s="2"/>
      <c r="M13343" s="2"/>
      <c r="N13343" s="2"/>
      <c r="O13343" s="2"/>
      <c r="P13343" s="2"/>
      <c r="Q13343" s="2"/>
      <c r="R13343" s="2"/>
      <c r="S13343" s="2"/>
      <c r="T13343" s="2"/>
      <c r="U13343" s="2"/>
      <c r="V13343" s="2"/>
      <c r="W13343" s="2"/>
      <c r="X13343" s="2"/>
      <c r="Y13343" s="2"/>
      <c r="Z13343" s="2"/>
    </row>
    <row r="13344" spans="1:26" ht="16.5" x14ac:dyDescent="0.35">
      <c r="A13344" s="2" t="str">
        <f ca="1">IFERROR(__xludf.DUMMYFUNCTION("""COMPUTED_VALUE"""),"Ras Al Khaimah")</f>
        <v>Ras Al Khaimah</v>
      </c>
      <c r="B13344" s="2" t="str">
        <f ca="1">IFERROR(__xludf.DUMMYFUNCTION("""COMPUTED_VALUE"""),"Sidroh")</f>
        <v>Sidroh</v>
      </c>
      <c r="C13344" s="2" t="str">
        <f ca="1">IFERROR(__xludf.DUMMYFUNCTION("""COMPUTED_VALUE"""),"Neighbourhood")</f>
        <v>Neighbourhood</v>
      </c>
      <c r="D13344" s="2" t="str">
        <f ca="1">IFERROR(__xludf.DUMMYFUNCTION("""COMPUTED_VALUE"""),"Ras Al Khaimah&gt;Sidroh")</f>
        <v>Ras Al Khaimah&gt;Sidroh</v>
      </c>
      <c r="E13344" s="2"/>
      <c r="F13344" s="2"/>
      <c r="G13344" s="2"/>
      <c r="H13344" s="2"/>
      <c r="I13344" s="2"/>
      <c r="J13344" s="2"/>
      <c r="K13344" s="2"/>
      <c r="L13344" s="2"/>
      <c r="M13344" s="2"/>
      <c r="N13344" s="2"/>
      <c r="O13344" s="2"/>
      <c r="P13344" s="2"/>
      <c r="Q13344" s="2"/>
      <c r="R13344" s="2"/>
      <c r="S13344" s="2"/>
      <c r="T13344" s="2"/>
      <c r="U13344" s="2"/>
      <c r="V13344" s="2"/>
      <c r="W13344" s="2"/>
      <c r="X13344" s="2"/>
      <c r="Y13344" s="2"/>
      <c r="Z13344" s="2"/>
    </row>
    <row r="13345" spans="1:26" ht="16.5" x14ac:dyDescent="0.35">
      <c r="A13345" s="2" t="str">
        <f ca="1">IFERROR(__xludf.DUMMYFUNCTION("""COMPUTED_VALUE"""),"Umm Al Quwain")</f>
        <v>Umm Al Quwain</v>
      </c>
      <c r="B13345" s="2" t="str">
        <f ca="1">IFERROR(__xludf.DUMMYFUNCTION("""COMPUTED_VALUE"""),"Green Belt")</f>
        <v>Green Belt</v>
      </c>
      <c r="C13345" s="2" t="str">
        <f ca="1">IFERROR(__xludf.DUMMYFUNCTION("""COMPUTED_VALUE"""),"Neighbourhood")</f>
        <v>Neighbourhood</v>
      </c>
      <c r="D13345" s="2" t="str">
        <f ca="1">IFERROR(__xludf.DUMMYFUNCTION("""COMPUTED_VALUE"""),"Umm Al Quwain&gt;Green Belt")</f>
        <v>Umm Al Quwain&gt;Green Belt</v>
      </c>
      <c r="E13345" s="2"/>
      <c r="F13345" s="2"/>
      <c r="G13345" s="2"/>
      <c r="H13345" s="2"/>
      <c r="I13345" s="2"/>
      <c r="J13345" s="2"/>
      <c r="K13345" s="2"/>
      <c r="L13345" s="2"/>
      <c r="M13345" s="2"/>
      <c r="N13345" s="2"/>
      <c r="O13345" s="2"/>
      <c r="P13345" s="2"/>
      <c r="Q13345" s="2"/>
      <c r="R13345" s="2"/>
      <c r="S13345" s="2"/>
      <c r="T13345" s="2"/>
      <c r="U13345" s="2"/>
      <c r="V13345" s="2"/>
      <c r="W13345" s="2"/>
      <c r="X13345" s="2"/>
      <c r="Y13345" s="2"/>
      <c r="Z13345" s="2"/>
    </row>
    <row r="13346" spans="1:26" ht="16.5" x14ac:dyDescent="0.35">
      <c r="A13346" s="2" t="str">
        <f ca="1">IFERROR(__xludf.DUMMYFUNCTION("""COMPUTED_VALUE"""),"Umm Al Quwain")</f>
        <v>Umm Al Quwain</v>
      </c>
      <c r="B13346" s="2" t="str">
        <f ca="1">IFERROR(__xludf.DUMMYFUNCTION("""COMPUTED_VALUE"""),"Falaj Al Sheikh")</f>
        <v>Falaj Al Sheikh</v>
      </c>
      <c r="C13346" s="2" t="str">
        <f ca="1">IFERROR(__xludf.DUMMYFUNCTION("""COMPUTED_VALUE"""),"Neighbourhood")</f>
        <v>Neighbourhood</v>
      </c>
      <c r="D13346" s="2" t="str">
        <f ca="1">IFERROR(__xludf.DUMMYFUNCTION("""COMPUTED_VALUE"""),"Umm Al Quwain&gt;Falaj Al Mualla&gt;Falaj Al Sheikh")</f>
        <v>Umm Al Quwain&gt;Falaj Al Mualla&gt;Falaj Al Sheikh</v>
      </c>
      <c r="E13346" s="2"/>
      <c r="F13346" s="2"/>
      <c r="G13346" s="2"/>
      <c r="H13346" s="2"/>
      <c r="I13346" s="2"/>
      <c r="J13346" s="2"/>
      <c r="K13346" s="2"/>
      <c r="L13346" s="2"/>
      <c r="M13346" s="2"/>
      <c r="N13346" s="2"/>
      <c r="O13346" s="2"/>
      <c r="P13346" s="2"/>
      <c r="Q13346" s="2"/>
      <c r="R13346" s="2"/>
      <c r="S13346" s="2"/>
      <c r="T13346" s="2"/>
      <c r="U13346" s="2"/>
      <c r="V13346" s="2"/>
      <c r="W13346" s="2"/>
      <c r="X13346" s="2"/>
      <c r="Y13346" s="2"/>
      <c r="Z13346" s="2"/>
    </row>
    <row r="13347" spans="1:26" ht="16.5" x14ac:dyDescent="0.35">
      <c r="A13347" s="2" t="str">
        <f ca="1">IFERROR(__xludf.DUMMYFUNCTION("""COMPUTED_VALUE"""),"Umm Al Quwain")</f>
        <v>Umm Al Quwain</v>
      </c>
      <c r="B13347" s="2" t="str">
        <f ca="1">IFERROR(__xludf.DUMMYFUNCTION("""COMPUTED_VALUE"""),"Delphine Beach Residences Tower D")</f>
        <v>Delphine Beach Residences Tower D</v>
      </c>
      <c r="C13347" s="2" t="str">
        <f ca="1">IFERROR(__xludf.DUMMYFUNCTION("""COMPUTED_VALUE"""),"Building")</f>
        <v>Building</v>
      </c>
      <c r="D13347" s="2" t="str">
        <f ca="1">IFERROR(__xludf.DUMMYFUNCTION("""COMPUTED_VALUE"""),"Umm Al Quwain&gt;Al Seanneeah&gt;Sobha Siniya Island&gt;Delphine Beach Residences&gt;Delphine Beach Residences Tower D")</f>
        <v>Umm Al Quwain&gt;Al Seanneeah&gt;Sobha Siniya Island&gt;Delphine Beach Residences&gt;Delphine Beach Residences Tower D</v>
      </c>
      <c r="E13347" s="2"/>
      <c r="F13347" s="2"/>
      <c r="G13347" s="2"/>
      <c r="H13347" s="2"/>
      <c r="I13347" s="2"/>
      <c r="J13347" s="2"/>
      <c r="K13347" s="2"/>
      <c r="L13347" s="2"/>
      <c r="M13347" s="2"/>
      <c r="N13347" s="2"/>
      <c r="O13347" s="2"/>
      <c r="P13347" s="2"/>
      <c r="Q13347" s="2"/>
      <c r="R13347" s="2"/>
      <c r="S13347" s="2"/>
      <c r="T13347" s="2"/>
      <c r="U13347" s="2"/>
      <c r="V13347" s="2"/>
      <c r="W13347" s="2"/>
      <c r="X13347" s="2"/>
      <c r="Y13347" s="2"/>
      <c r="Z13347" s="2"/>
    </row>
    <row r="13348" spans="1:26" ht="16.5" x14ac:dyDescent="0.35">
      <c r="A13348" s="2" t="str">
        <f ca="1">IFERROR(__xludf.DUMMYFUNCTION("""COMPUTED_VALUE"""),"Umm Al Quwain")</f>
        <v>Umm Al Quwain</v>
      </c>
      <c r="B13348" s="2" t="str">
        <f ca="1">IFERROR(__xludf.DUMMYFUNCTION("""COMPUTED_VALUE"""),"Yachtside Marina Residences Tower B")</f>
        <v>Yachtside Marina Residences Tower B</v>
      </c>
      <c r="C13348" s="2" t="str">
        <f ca="1">IFERROR(__xludf.DUMMYFUNCTION("""COMPUTED_VALUE"""),"Building")</f>
        <v>Building</v>
      </c>
      <c r="D13348" s="2" t="str">
        <f ca="1">IFERROR(__xludf.DUMMYFUNCTION("""COMPUTED_VALUE"""),"Umm Al Quwain&gt;Al Seanneeah&gt;Sobha Siniya Island&gt;Yachtside Marina Residences&gt;Yachtside Marina Residences Tower B")</f>
        <v>Umm Al Quwain&gt;Al Seanneeah&gt;Sobha Siniya Island&gt;Yachtside Marina Residences&gt;Yachtside Marina Residences Tower B</v>
      </c>
      <c r="E13348" s="2"/>
      <c r="F13348" s="2"/>
      <c r="G13348" s="2"/>
      <c r="H13348" s="2"/>
      <c r="I13348" s="2"/>
      <c r="J13348" s="2"/>
      <c r="K13348" s="2"/>
      <c r="L13348" s="2"/>
      <c r="M13348" s="2"/>
      <c r="N13348" s="2"/>
      <c r="O13348" s="2"/>
      <c r="P13348" s="2"/>
      <c r="Q13348" s="2"/>
      <c r="R13348" s="2"/>
      <c r="S13348" s="2"/>
      <c r="T13348" s="2"/>
      <c r="U13348" s="2"/>
      <c r="V13348" s="2"/>
      <c r="W13348" s="2"/>
      <c r="X13348" s="2"/>
      <c r="Y13348" s="2"/>
      <c r="Z13348" s="2"/>
    </row>
    <row r="13349" spans="1:26" ht="16.5" x14ac:dyDescent="0.35">
      <c r="A13349" s="2" t="str">
        <f ca="1">IFERROR(__xludf.DUMMYFUNCTION("""COMPUTED_VALUE"""),"Fujairah")</f>
        <v>Fujairah</v>
      </c>
      <c r="B13349" s="2" t="str">
        <f ca="1">IFERROR(__xludf.DUMMYFUNCTION("""COMPUTED_VALUE"""),"UNB Building")</f>
        <v>UNB Building</v>
      </c>
      <c r="C13349" s="2"/>
      <c r="D13349" s="2" t="str">
        <f ca="1">IFERROR(__xludf.DUMMYFUNCTION("""COMPUTED_VALUE"""),"Fujairah&gt;Hamad Bin Abdullah Road&gt;UNB Building")</f>
        <v>Fujairah&gt;Hamad Bin Abdullah Road&gt;UNB Building</v>
      </c>
      <c r="E13349" s="2"/>
      <c r="F13349" s="2"/>
      <c r="G13349" s="2"/>
      <c r="H13349" s="2"/>
      <c r="I13349" s="2"/>
      <c r="J13349" s="2"/>
      <c r="K13349" s="2"/>
      <c r="L13349" s="2"/>
      <c r="M13349" s="2"/>
      <c r="N13349" s="2"/>
      <c r="O13349" s="2"/>
      <c r="P13349" s="2"/>
      <c r="Q13349" s="2"/>
      <c r="R13349" s="2"/>
      <c r="S13349" s="2"/>
      <c r="T13349" s="2"/>
      <c r="U13349" s="2"/>
      <c r="V13349" s="2"/>
      <c r="W13349" s="2"/>
      <c r="X13349" s="2"/>
      <c r="Y13349" s="2"/>
      <c r="Z13349" s="2"/>
    </row>
    <row r="13350" spans="1:26" ht="16.5" x14ac:dyDescent="0.35">
      <c r="A13350" s="2" t="str">
        <f ca="1">IFERROR(__xludf.DUMMYFUNCTION("""COMPUTED_VALUE"""),"Fujairah")</f>
        <v>Fujairah</v>
      </c>
      <c r="B13350" s="2" t="str">
        <f ca="1">IFERROR(__xludf.DUMMYFUNCTION("""COMPUTED_VALUE"""),"Merashid Area")</f>
        <v>Merashid Area</v>
      </c>
      <c r="C13350" s="2" t="str">
        <f ca="1">IFERROR(__xludf.DUMMYFUNCTION("""COMPUTED_VALUE"""),"Neighbourhood")</f>
        <v>Neighbourhood</v>
      </c>
      <c r="D13350" s="2" t="str">
        <f ca="1">IFERROR(__xludf.DUMMYFUNCTION("""COMPUTED_VALUE"""),"Fujairah&gt;Merashid Area")</f>
        <v>Fujairah&gt;Merashid Area</v>
      </c>
      <c r="E13350" s="2"/>
      <c r="F13350" s="2"/>
      <c r="G13350" s="2"/>
      <c r="H13350" s="2"/>
      <c r="I13350" s="2"/>
      <c r="J13350" s="2"/>
      <c r="K13350" s="2"/>
      <c r="L13350" s="2"/>
      <c r="M13350" s="2"/>
      <c r="N13350" s="2"/>
      <c r="O13350" s="2"/>
      <c r="P13350" s="2"/>
      <c r="Q13350" s="2"/>
      <c r="R13350" s="2"/>
      <c r="S13350" s="2"/>
      <c r="T13350" s="2"/>
      <c r="U13350" s="2"/>
      <c r="V13350" s="2"/>
      <c r="W13350" s="2"/>
      <c r="X13350" s="2"/>
      <c r="Y13350" s="2"/>
      <c r="Z13350" s="2"/>
    </row>
    <row r="13351" spans="1:26" ht="16.5" x14ac:dyDescent="0.35">
      <c r="A13351" s="2" t="str">
        <f ca="1">IFERROR(__xludf.DUMMYFUNCTION("""COMPUTED_VALUE"""),"Fujairah")</f>
        <v>Fujairah</v>
      </c>
      <c r="B13351" s="2" t="str">
        <f ca="1">IFERROR(__xludf.DUMMYFUNCTION("""COMPUTED_VALUE"""),"Presidential Court Building")</f>
        <v>Presidential Court Building</v>
      </c>
      <c r="C13351" s="2" t="str">
        <f ca="1">IFERROR(__xludf.DUMMYFUNCTION("""COMPUTED_VALUE"""),"Building")</f>
        <v>Building</v>
      </c>
      <c r="D13351" s="2" t="str">
        <f ca="1">IFERROR(__xludf.DUMMYFUNCTION("""COMPUTED_VALUE"""),"Fujairah&gt;Al Suda&gt;Presidential Court Building")</f>
        <v>Fujairah&gt;Al Suda&gt;Presidential Court Building</v>
      </c>
      <c r="E13351" s="2"/>
      <c r="F13351" s="2"/>
      <c r="G13351" s="2"/>
      <c r="H13351" s="2"/>
      <c r="I13351" s="2"/>
      <c r="J13351" s="2"/>
      <c r="K13351" s="2"/>
      <c r="L13351" s="2"/>
      <c r="M13351" s="2"/>
      <c r="N13351" s="2"/>
      <c r="O13351" s="2"/>
      <c r="P13351" s="2"/>
      <c r="Q13351" s="2"/>
      <c r="R13351" s="2"/>
      <c r="S13351" s="2"/>
      <c r="T13351" s="2"/>
      <c r="U13351" s="2"/>
      <c r="V13351" s="2"/>
      <c r="W13351" s="2"/>
      <c r="X13351" s="2"/>
      <c r="Y13351" s="2"/>
      <c r="Z13351" s="2"/>
    </row>
    <row r="13352" spans="1:26" ht="16.5" x14ac:dyDescent="0.35">
      <c r="A13352" s="2" t="str">
        <f ca="1">IFERROR(__xludf.DUMMYFUNCTION("""COMPUTED_VALUE"""),"Dubai")</f>
        <v>Dubai</v>
      </c>
      <c r="B13352" s="2" t="str">
        <f ca="1">IFERROR(__xludf.DUMMYFUNCTION("""COMPUTED_VALUE"""),"Red Building")</f>
        <v>Red Building</v>
      </c>
      <c r="C13352" s="2" t="str">
        <f ca="1">IFERROR(__xludf.DUMMYFUNCTION("""COMPUTED_VALUE"""),"Building")</f>
        <v>Building</v>
      </c>
      <c r="D13352" s="2" t="str">
        <f ca="1">IFERROR(__xludf.DUMMYFUNCTION("""COMPUTED_VALUE"""),"Dubai&gt;Al Qusais&gt;Al Qusais Residential Area&gt;Al Qusais 1&gt;Red Building")</f>
        <v>Dubai&gt;Al Qusais&gt;Al Qusais Residential Area&gt;Al Qusais 1&gt;Red Building</v>
      </c>
      <c r="E13352" s="2"/>
      <c r="F13352" s="2"/>
      <c r="G13352" s="2"/>
      <c r="H13352" s="2"/>
      <c r="I13352" s="2"/>
      <c r="J13352" s="2"/>
      <c r="K13352" s="2"/>
      <c r="L13352" s="2"/>
      <c r="M13352" s="2"/>
      <c r="N13352" s="2"/>
      <c r="O13352" s="2"/>
      <c r="P13352" s="2"/>
      <c r="Q13352" s="2"/>
      <c r="R13352" s="2"/>
      <c r="S13352" s="2"/>
      <c r="T13352" s="2"/>
      <c r="U13352" s="2"/>
      <c r="V13352" s="2"/>
      <c r="W13352" s="2"/>
      <c r="X13352" s="2"/>
      <c r="Y13352" s="2"/>
      <c r="Z13352" s="2"/>
    </row>
    <row r="13353" spans="1:26" ht="16.5" x14ac:dyDescent="0.35">
      <c r="A13353" s="2" t="str">
        <f ca="1">IFERROR(__xludf.DUMMYFUNCTION("""COMPUTED_VALUE"""),"Dubai")</f>
        <v>Dubai</v>
      </c>
      <c r="B13353" s="2" t="str">
        <f ca="1">IFERROR(__xludf.DUMMYFUNCTION("""COMPUTED_VALUE"""),"Kazim Building")</f>
        <v>Kazim Building</v>
      </c>
      <c r="C13353" s="2" t="str">
        <f ca="1">IFERROR(__xludf.DUMMYFUNCTION("""COMPUTED_VALUE"""),"Building")</f>
        <v>Building</v>
      </c>
      <c r="D13353" s="2" t="str">
        <f ca="1">IFERROR(__xludf.DUMMYFUNCTION("""COMPUTED_VALUE"""),"Dubai&gt;Al Qusais&gt;Al Qusais Residential Area&gt;Al Qusais 1&gt;Kazim Building")</f>
        <v>Dubai&gt;Al Qusais&gt;Al Qusais Residential Area&gt;Al Qusais 1&gt;Kazim Building</v>
      </c>
      <c r="E13353" s="2"/>
      <c r="F13353" s="2"/>
      <c r="G13353" s="2"/>
      <c r="H13353" s="2"/>
      <c r="I13353" s="2"/>
      <c r="J13353" s="2"/>
      <c r="K13353" s="2"/>
      <c r="L13353" s="2"/>
      <c r="M13353" s="2"/>
      <c r="N13353" s="2"/>
      <c r="O13353" s="2"/>
      <c r="P13353" s="2"/>
      <c r="Q13353" s="2"/>
      <c r="R13353" s="2"/>
      <c r="S13353" s="2"/>
      <c r="T13353" s="2"/>
      <c r="U13353" s="2"/>
      <c r="V13353" s="2"/>
      <c r="W13353" s="2"/>
      <c r="X13353" s="2"/>
      <c r="Y13353" s="2"/>
      <c r="Z13353" s="2"/>
    </row>
    <row r="13354" spans="1:26" ht="16.5" x14ac:dyDescent="0.35">
      <c r="A13354" s="2" t="str">
        <f ca="1">IFERROR(__xludf.DUMMYFUNCTION("""COMPUTED_VALUE"""),"Dubai")</f>
        <v>Dubai</v>
      </c>
      <c r="B13354" s="2" t="str">
        <f ca="1">IFERROR(__xludf.DUMMYFUNCTION("""COMPUTED_VALUE"""),"Al Naimi Building")</f>
        <v>Al Naimi Building</v>
      </c>
      <c r="C13354" s="2" t="str">
        <f ca="1">IFERROR(__xludf.DUMMYFUNCTION("""COMPUTED_VALUE"""),"Building")</f>
        <v>Building</v>
      </c>
      <c r="D13354" s="2" t="str">
        <f ca="1">IFERROR(__xludf.DUMMYFUNCTION("""COMPUTED_VALUE"""),"Dubai&gt;Al Qusais&gt;Al Qusais Industrial Area&gt;Al Qusais Industrial 3&gt;Al Naimi Building")</f>
        <v>Dubai&gt;Al Qusais&gt;Al Qusais Industrial Area&gt;Al Qusais Industrial 3&gt;Al Naimi Building</v>
      </c>
      <c r="E13354" s="2"/>
      <c r="F13354" s="2"/>
      <c r="G13354" s="2"/>
      <c r="H13354" s="2"/>
      <c r="I13354" s="2"/>
      <c r="J13354" s="2"/>
      <c r="K13354" s="2"/>
      <c r="L13354" s="2"/>
      <c r="M13354" s="2"/>
      <c r="N13354" s="2"/>
      <c r="O13354" s="2"/>
      <c r="P13354" s="2"/>
      <c r="Q13354" s="2"/>
      <c r="R13354" s="2"/>
      <c r="S13354" s="2"/>
      <c r="T13354" s="2"/>
      <c r="U13354" s="2"/>
      <c r="V13354" s="2"/>
      <c r="W13354" s="2"/>
      <c r="X13354" s="2"/>
      <c r="Y13354" s="2"/>
      <c r="Z13354" s="2"/>
    </row>
    <row r="13355" spans="1:26" ht="16.5" x14ac:dyDescent="0.35">
      <c r="A13355" s="2" t="str">
        <f ca="1">IFERROR(__xludf.DUMMYFUNCTION("""COMPUTED_VALUE"""),"Dubai")</f>
        <v>Dubai</v>
      </c>
      <c r="B13355" s="2" t="str">
        <f ca="1">IFERROR(__xludf.DUMMYFUNCTION("""COMPUTED_VALUE"""),"Mulberry 2 Building A2")</f>
        <v>Mulberry 2 Building A2</v>
      </c>
      <c r="C13355" s="2" t="str">
        <f ca="1">IFERROR(__xludf.DUMMYFUNCTION("""COMPUTED_VALUE"""),"Building")</f>
        <v>Building</v>
      </c>
      <c r="D13355" s="2" t="str">
        <f ca="1">IFERROR(__xludf.DUMMYFUNCTION("""COMPUTED_VALUE"""),"Dubai&gt;Dubai Hills Estate&gt;Park Heights&gt;Mulberry 2&gt;Mulberry 2 Building A2")</f>
        <v>Dubai&gt;Dubai Hills Estate&gt;Park Heights&gt;Mulberry 2&gt;Mulberry 2 Building A2</v>
      </c>
      <c r="E13355" s="2"/>
      <c r="F13355" s="2"/>
      <c r="G13355" s="2"/>
      <c r="H13355" s="2"/>
      <c r="I13355" s="2"/>
      <c r="J13355" s="2"/>
      <c r="K13355" s="2"/>
      <c r="L13355" s="2"/>
      <c r="M13355" s="2"/>
      <c r="N13355" s="2"/>
      <c r="O13355" s="2"/>
      <c r="P13355" s="2"/>
      <c r="Q13355" s="2"/>
      <c r="R13355" s="2"/>
      <c r="S13355" s="2"/>
      <c r="T13355" s="2"/>
      <c r="U13355" s="2"/>
      <c r="V13355" s="2"/>
      <c r="W13355" s="2"/>
      <c r="X13355" s="2"/>
      <c r="Y13355" s="2"/>
      <c r="Z13355" s="2"/>
    </row>
    <row r="13356" spans="1:26" ht="16.5" x14ac:dyDescent="0.35">
      <c r="A13356" s="2" t="str">
        <f ca="1">IFERROR(__xludf.DUMMYFUNCTION("""COMPUTED_VALUE"""),"Dubai")</f>
        <v>Dubai</v>
      </c>
      <c r="B13356" s="2" t="str">
        <f ca="1">IFERROR(__xludf.DUMMYFUNCTION("""COMPUTED_VALUE"""),"Emerald Hills")</f>
        <v>Emerald Hills</v>
      </c>
      <c r="C13356" s="2" t="str">
        <f ca="1">IFERROR(__xludf.DUMMYFUNCTION("""COMPUTED_VALUE"""),"Neighbourhood")</f>
        <v>Neighbourhood</v>
      </c>
      <c r="D13356" s="2" t="str">
        <f ca="1">IFERROR(__xludf.DUMMYFUNCTION("""COMPUTED_VALUE"""),"Dubai&gt;Dubai Hills Estate&gt;Emerald Hills")</f>
        <v>Dubai&gt;Dubai Hills Estate&gt;Emerald Hills</v>
      </c>
      <c r="E13356" s="2"/>
      <c r="F13356" s="2"/>
      <c r="G13356" s="2"/>
      <c r="H13356" s="2"/>
      <c r="I13356" s="2"/>
      <c r="J13356" s="2"/>
      <c r="K13356" s="2"/>
      <c r="L13356" s="2"/>
      <c r="M13356" s="2"/>
      <c r="N13356" s="2"/>
      <c r="O13356" s="2"/>
      <c r="P13356" s="2"/>
      <c r="Q13356" s="2"/>
      <c r="R13356" s="2"/>
      <c r="S13356" s="2"/>
      <c r="T13356" s="2"/>
      <c r="U13356" s="2"/>
      <c r="V13356" s="2"/>
      <c r="W13356" s="2"/>
      <c r="X13356" s="2"/>
      <c r="Y13356" s="2"/>
      <c r="Z13356" s="2"/>
    </row>
    <row r="13357" spans="1:26" ht="16.5" x14ac:dyDescent="0.35">
      <c r="A13357" s="2" t="str">
        <f ca="1">IFERROR(__xludf.DUMMYFUNCTION("""COMPUTED_VALUE"""),"Dubai")</f>
        <v>Dubai</v>
      </c>
      <c r="B13357" s="2" t="str">
        <f ca="1">IFERROR(__xludf.DUMMYFUNCTION("""COMPUTED_VALUE"""),"Address Villas Hillcrest")</f>
        <v>Address Villas Hillcrest</v>
      </c>
      <c r="C13357" s="2" t="str">
        <f ca="1">IFERROR(__xludf.DUMMYFUNCTION("""COMPUTED_VALUE"""),"Neighbourhood")</f>
        <v>Neighbourhood</v>
      </c>
      <c r="D13357" s="2" t="str">
        <f ca="1">IFERROR(__xludf.DUMMYFUNCTION("""COMPUTED_VALUE"""),"Dubai&gt;Dubai Hills Estate&gt;Address Villas Hillcrest")</f>
        <v>Dubai&gt;Dubai Hills Estate&gt;Address Villas Hillcrest</v>
      </c>
      <c r="E13357" s="2"/>
      <c r="F13357" s="2"/>
      <c r="G13357" s="2"/>
      <c r="H13357" s="2"/>
      <c r="I13357" s="2"/>
      <c r="J13357" s="2"/>
      <c r="K13357" s="2"/>
      <c r="L13357" s="2"/>
      <c r="M13357" s="2"/>
      <c r="N13357" s="2"/>
      <c r="O13357" s="2"/>
      <c r="P13357" s="2"/>
      <c r="Q13357" s="2"/>
      <c r="R13357" s="2"/>
      <c r="S13357" s="2"/>
      <c r="T13357" s="2"/>
      <c r="U13357" s="2"/>
      <c r="V13357" s="2"/>
      <c r="W13357" s="2"/>
      <c r="X13357" s="2"/>
      <c r="Y13357" s="2"/>
      <c r="Z13357" s="2"/>
    </row>
    <row r="13358" spans="1:26" ht="16.5" x14ac:dyDescent="0.35">
      <c r="A13358" s="2" t="str">
        <f ca="1">IFERROR(__xludf.DUMMYFUNCTION("""COMPUTED_VALUE"""),"Dubai")</f>
        <v>Dubai</v>
      </c>
      <c r="B13358" s="2" t="str">
        <f ca="1">IFERROR(__xludf.DUMMYFUNCTION("""COMPUTED_VALUE"""),"Mallside Residence")</f>
        <v>Mallside Residence</v>
      </c>
      <c r="C13358" s="2" t="str">
        <f ca="1">IFERROR(__xludf.DUMMYFUNCTION("""COMPUTED_VALUE"""),"Building")</f>
        <v>Building</v>
      </c>
      <c r="D13358" s="2" t="str">
        <f ca="1">IFERROR(__xludf.DUMMYFUNCTION("""COMPUTED_VALUE"""),"Dubai&gt;Dubai Hills Estate&gt;Mallside Residence")</f>
        <v>Dubai&gt;Dubai Hills Estate&gt;Mallside Residence</v>
      </c>
      <c r="E13358" s="2"/>
      <c r="F13358" s="2"/>
      <c r="G13358" s="2"/>
      <c r="H13358" s="2"/>
      <c r="I13358" s="2"/>
      <c r="J13358" s="2"/>
      <c r="K13358" s="2"/>
      <c r="L13358" s="2"/>
      <c r="M13358" s="2"/>
      <c r="N13358" s="2"/>
      <c r="O13358" s="2"/>
      <c r="P13358" s="2"/>
      <c r="Q13358" s="2"/>
      <c r="R13358" s="2"/>
      <c r="S13358" s="2"/>
      <c r="T13358" s="2"/>
      <c r="U13358" s="2"/>
      <c r="V13358" s="2"/>
      <c r="W13358" s="2"/>
      <c r="X13358" s="2"/>
      <c r="Y13358" s="2"/>
      <c r="Z13358" s="2"/>
    </row>
    <row r="13359" spans="1:26" ht="16.5" x14ac:dyDescent="0.35">
      <c r="A13359" s="2" t="str">
        <f ca="1">IFERROR(__xludf.DUMMYFUNCTION("""COMPUTED_VALUE"""),"Dubai")</f>
        <v>Dubai</v>
      </c>
      <c r="B13359" s="2" t="str">
        <f ca="1">IFERROR(__xludf.DUMMYFUNCTION("""COMPUTED_VALUE"""),"Palace Residences Hillside B")</f>
        <v>Palace Residences Hillside B</v>
      </c>
      <c r="C13359" s="2" t="str">
        <f ca="1">IFERROR(__xludf.DUMMYFUNCTION("""COMPUTED_VALUE"""),"Building")</f>
        <v>Building</v>
      </c>
      <c r="D13359" s="2" t="str">
        <f ca="1">IFERROR(__xludf.DUMMYFUNCTION("""COMPUTED_VALUE"""),"Dubai&gt;Dubai Hills Estate&gt;Palace Residences Hillside&gt;Palace Residences Hillside B")</f>
        <v>Dubai&gt;Dubai Hills Estate&gt;Palace Residences Hillside&gt;Palace Residences Hillside B</v>
      </c>
      <c r="E13359" s="2"/>
      <c r="F13359" s="2"/>
      <c r="G13359" s="2"/>
      <c r="H13359" s="2"/>
      <c r="I13359" s="2"/>
      <c r="J13359" s="2"/>
      <c r="K13359" s="2"/>
      <c r="L13359" s="2"/>
      <c r="M13359" s="2"/>
      <c r="N13359" s="2"/>
      <c r="O13359" s="2"/>
      <c r="P13359" s="2"/>
      <c r="Q13359" s="2"/>
      <c r="R13359" s="2"/>
      <c r="S13359" s="2"/>
      <c r="T13359" s="2"/>
      <c r="U13359" s="2"/>
      <c r="V13359" s="2"/>
      <c r="W13359" s="2"/>
      <c r="X13359" s="2"/>
      <c r="Y13359" s="2"/>
      <c r="Z13359" s="2"/>
    </row>
    <row r="13360" spans="1:26" ht="16.5" x14ac:dyDescent="0.35">
      <c r="A13360" s="2" t="str">
        <f ca="1">IFERROR(__xludf.DUMMYFUNCTION("""COMPUTED_VALUE"""),"Dubai")</f>
        <v>Dubai</v>
      </c>
      <c r="B13360" s="2" t="str">
        <f ca="1">IFERROR(__xludf.DUMMYFUNCTION("""COMPUTED_VALUE"""),"Juma Al Majid Building")</f>
        <v>Juma Al Majid Building</v>
      </c>
      <c r="C13360" s="2" t="str">
        <f ca="1">IFERROR(__xludf.DUMMYFUNCTION("""COMPUTED_VALUE"""),"Cluster")</f>
        <v>Cluster</v>
      </c>
      <c r="D13360" s="2" t="str">
        <f ca="1">IFERROR(__xludf.DUMMYFUNCTION("""COMPUTED_VALUE"""),"Dubai&gt;Deira&gt;Al Muraqqabat&gt;Juma Al Majid Building")</f>
        <v>Dubai&gt;Deira&gt;Al Muraqqabat&gt;Juma Al Majid Building</v>
      </c>
      <c r="E13360" s="2"/>
      <c r="F13360" s="2"/>
      <c r="G13360" s="2"/>
      <c r="H13360" s="2"/>
      <c r="I13360" s="2"/>
      <c r="J13360" s="2"/>
      <c r="K13360" s="2"/>
      <c r="L13360" s="2"/>
      <c r="M13360" s="2"/>
      <c r="N13360" s="2"/>
      <c r="O13360" s="2"/>
      <c r="P13360" s="2"/>
      <c r="Q13360" s="2"/>
      <c r="R13360" s="2"/>
      <c r="S13360" s="2"/>
      <c r="T13360" s="2"/>
      <c r="U13360" s="2"/>
      <c r="V13360" s="2"/>
      <c r="W13360" s="2"/>
      <c r="X13360" s="2"/>
      <c r="Y13360" s="2"/>
      <c r="Z13360" s="2"/>
    </row>
    <row r="13361" spans="1:26" ht="16.5" x14ac:dyDescent="0.35">
      <c r="A13361" s="2" t="str">
        <f ca="1">IFERROR(__xludf.DUMMYFUNCTION("""COMPUTED_VALUE"""),"Dubai")</f>
        <v>Dubai</v>
      </c>
      <c r="B13361" s="2" t="str">
        <f ca="1">IFERROR(__xludf.DUMMYFUNCTION("""COMPUTED_VALUE"""),"Ali and Amna Al Owais Building")</f>
        <v>Ali and Amna Al Owais Building</v>
      </c>
      <c r="C13361" s="2" t="str">
        <f ca="1">IFERROR(__xludf.DUMMYFUNCTION("""COMPUTED_VALUE"""),"Building")</f>
        <v>Building</v>
      </c>
      <c r="D13361" s="2" t="str">
        <f ca="1">IFERROR(__xludf.DUMMYFUNCTION("""COMPUTED_VALUE"""),"Dubai&gt;Deira&gt;Al Muraqqabat&gt;Ali and Amna Al Owais Building")</f>
        <v>Dubai&gt;Deira&gt;Al Muraqqabat&gt;Ali and Amna Al Owais Building</v>
      </c>
      <c r="E13361" s="2"/>
      <c r="F13361" s="2"/>
      <c r="G13361" s="2"/>
      <c r="H13361" s="2"/>
      <c r="I13361" s="2"/>
      <c r="J13361" s="2"/>
      <c r="K13361" s="2"/>
      <c r="L13361" s="2"/>
      <c r="M13361" s="2"/>
      <c r="N13361" s="2"/>
      <c r="O13361" s="2"/>
      <c r="P13361" s="2"/>
      <c r="Q13361" s="2"/>
      <c r="R13361" s="2"/>
      <c r="S13361" s="2"/>
      <c r="T13361" s="2"/>
      <c r="U13361" s="2"/>
      <c r="V13361" s="2"/>
      <c r="W13361" s="2"/>
      <c r="X13361" s="2"/>
      <c r="Y13361" s="2"/>
      <c r="Z13361" s="2"/>
    </row>
    <row r="13362" spans="1:26" ht="16.5" x14ac:dyDescent="0.35">
      <c r="A13362" s="2" t="str">
        <f ca="1">IFERROR(__xludf.DUMMYFUNCTION("""COMPUTED_VALUE"""),"Dubai")</f>
        <v>Dubai</v>
      </c>
      <c r="B13362" s="2" t="str">
        <f ca="1">IFERROR(__xludf.DUMMYFUNCTION("""COMPUTED_VALUE"""),"Mobile Plaza Building")</f>
        <v>Mobile Plaza Building</v>
      </c>
      <c r="C13362" s="2" t="str">
        <f ca="1">IFERROR(__xludf.DUMMYFUNCTION("""COMPUTED_VALUE"""),"Building")</f>
        <v>Building</v>
      </c>
      <c r="D13362" s="2" t="str">
        <f ca="1">IFERROR(__xludf.DUMMYFUNCTION("""COMPUTED_VALUE"""),"Dubai&gt;Deira&gt;Ayal Nasir&gt;Mobile Plaza Building")</f>
        <v>Dubai&gt;Deira&gt;Ayal Nasir&gt;Mobile Plaza Building</v>
      </c>
      <c r="E13362" s="2"/>
      <c r="F13362" s="2"/>
      <c r="G13362" s="2"/>
      <c r="H13362" s="2"/>
      <c r="I13362" s="2"/>
      <c r="J13362" s="2"/>
      <c r="K13362" s="2"/>
      <c r="L13362" s="2"/>
      <c r="M13362" s="2"/>
      <c r="N13362" s="2"/>
      <c r="O13362" s="2"/>
      <c r="P13362" s="2"/>
      <c r="Q13362" s="2"/>
      <c r="R13362" s="2"/>
      <c r="S13362" s="2"/>
      <c r="T13362" s="2"/>
      <c r="U13362" s="2"/>
      <c r="V13362" s="2"/>
      <c r="W13362" s="2"/>
      <c r="X13362" s="2"/>
      <c r="Y13362" s="2"/>
      <c r="Z13362" s="2"/>
    </row>
    <row r="13363" spans="1:26" ht="16.5" x14ac:dyDescent="0.35">
      <c r="A13363" s="2" t="str">
        <f ca="1">IFERROR(__xludf.DUMMYFUNCTION("""COMPUTED_VALUE"""),"Dubai")</f>
        <v>Dubai</v>
      </c>
      <c r="B13363" s="2" t="str">
        <f ca="1">IFERROR(__xludf.DUMMYFUNCTION("""COMPUTED_VALUE"""),"Grand Avenue Building")</f>
        <v>Grand Avenue Building</v>
      </c>
      <c r="C13363" s="2" t="str">
        <f ca="1">IFERROR(__xludf.DUMMYFUNCTION("""COMPUTED_VALUE"""),"Building")</f>
        <v>Building</v>
      </c>
      <c r="D13363" s="2" t="str">
        <f ca="1">IFERROR(__xludf.DUMMYFUNCTION("""COMPUTED_VALUE"""),"Dubai&gt;Deira&gt;Hor Al Anz&gt;Hor Al Anz East&gt;Grand Avenue Building")</f>
        <v>Dubai&gt;Deira&gt;Hor Al Anz&gt;Hor Al Anz East&gt;Grand Avenue Building</v>
      </c>
      <c r="E13363" s="2"/>
      <c r="F13363" s="2"/>
      <c r="G13363" s="2"/>
      <c r="H13363" s="2"/>
      <c r="I13363" s="2"/>
      <c r="J13363" s="2"/>
      <c r="K13363" s="2"/>
      <c r="L13363" s="2"/>
      <c r="M13363" s="2"/>
      <c r="N13363" s="2"/>
      <c r="O13363" s="2"/>
      <c r="P13363" s="2"/>
      <c r="Q13363" s="2"/>
      <c r="R13363" s="2"/>
      <c r="S13363" s="2"/>
      <c r="T13363" s="2"/>
      <c r="U13363" s="2"/>
      <c r="V13363" s="2"/>
      <c r="W13363" s="2"/>
      <c r="X13363" s="2"/>
      <c r="Y13363" s="2"/>
      <c r="Z13363" s="2"/>
    </row>
    <row r="13364" spans="1:26" ht="16.5" x14ac:dyDescent="0.35">
      <c r="A13364" s="2" t="str">
        <f ca="1">IFERROR(__xludf.DUMMYFUNCTION("""COMPUTED_VALUE"""),"Dubai")</f>
        <v>Dubai</v>
      </c>
      <c r="B13364" s="2" t="str">
        <f ca="1">IFERROR(__xludf.DUMMYFUNCTION("""COMPUTED_VALUE"""),"Muteena Residence")</f>
        <v>Muteena Residence</v>
      </c>
      <c r="C13364" s="2" t="str">
        <f ca="1">IFERROR(__xludf.DUMMYFUNCTION("""COMPUTED_VALUE"""),"Building")</f>
        <v>Building</v>
      </c>
      <c r="D13364" s="2" t="str">
        <f ca="1">IFERROR(__xludf.DUMMYFUNCTION("""COMPUTED_VALUE"""),"Dubai&gt;Deira&gt;Al Muteena&gt;Muteena Residence")</f>
        <v>Dubai&gt;Deira&gt;Al Muteena&gt;Muteena Residence</v>
      </c>
      <c r="E13364" s="2"/>
      <c r="F13364" s="2"/>
      <c r="G13364" s="2"/>
      <c r="H13364" s="2"/>
      <c r="I13364" s="2"/>
      <c r="J13364" s="2"/>
      <c r="K13364" s="2"/>
      <c r="L13364" s="2"/>
      <c r="M13364" s="2"/>
      <c r="N13364" s="2"/>
      <c r="O13364" s="2"/>
      <c r="P13364" s="2"/>
      <c r="Q13364" s="2"/>
      <c r="R13364" s="2"/>
      <c r="S13364" s="2"/>
      <c r="T13364" s="2"/>
      <c r="U13364" s="2"/>
      <c r="V13364" s="2"/>
      <c r="W13364" s="2"/>
      <c r="X13364" s="2"/>
      <c r="Y13364" s="2"/>
      <c r="Z13364" s="2"/>
    </row>
    <row r="13365" spans="1:26" ht="16.5" x14ac:dyDescent="0.35">
      <c r="A13365" s="2" t="str">
        <f ca="1">IFERROR(__xludf.DUMMYFUNCTION("""COMPUTED_VALUE"""),"Dubai")</f>
        <v>Dubai</v>
      </c>
      <c r="B13365" s="2" t="str">
        <f ca="1">IFERROR(__xludf.DUMMYFUNCTION("""COMPUTED_VALUE"""),"Al Bakhit Centre")</f>
        <v>Al Bakhit Centre</v>
      </c>
      <c r="C13365" s="2" t="str">
        <f ca="1">IFERROR(__xludf.DUMMYFUNCTION("""COMPUTED_VALUE"""),"Building")</f>
        <v>Building</v>
      </c>
      <c r="D13365" s="2" t="str">
        <f ca="1">IFERROR(__xludf.DUMMYFUNCTION("""COMPUTED_VALUE"""),"Dubai&gt;Deira&gt;Al Khabaisi&gt;Al Bakhit Centre")</f>
        <v>Dubai&gt;Deira&gt;Al Khabaisi&gt;Al Bakhit Centre</v>
      </c>
      <c r="E13365" s="2"/>
      <c r="F13365" s="2"/>
      <c r="G13365" s="2"/>
      <c r="H13365" s="2"/>
      <c r="I13365" s="2"/>
      <c r="J13365" s="2"/>
      <c r="K13365" s="2"/>
      <c r="L13365" s="2"/>
      <c r="M13365" s="2"/>
      <c r="N13365" s="2"/>
      <c r="O13365" s="2"/>
      <c r="P13365" s="2"/>
      <c r="Q13365" s="2"/>
      <c r="R13365" s="2"/>
      <c r="S13365" s="2"/>
      <c r="T13365" s="2"/>
      <c r="U13365" s="2"/>
      <c r="V13365" s="2"/>
      <c r="W13365" s="2"/>
      <c r="X13365" s="2"/>
      <c r="Y13365" s="2"/>
      <c r="Z13365" s="2"/>
    </row>
    <row r="13366" spans="1:26" ht="16.5" x14ac:dyDescent="0.35">
      <c r="A13366" s="2" t="str">
        <f ca="1">IFERROR(__xludf.DUMMYFUNCTION("""COMPUTED_VALUE"""),"Dubai")</f>
        <v>Dubai</v>
      </c>
      <c r="B13366" s="2" t="str">
        <f ca="1">IFERROR(__xludf.DUMMYFUNCTION("""COMPUTED_VALUE"""),"Osha Plaza 1")</f>
        <v>Osha Plaza 1</v>
      </c>
      <c r="C13366" s="2" t="str">
        <f ca="1">IFERROR(__xludf.DUMMYFUNCTION("""COMPUTED_VALUE"""),"Building")</f>
        <v>Building</v>
      </c>
      <c r="D13366" s="2" t="str">
        <f ca="1">IFERROR(__xludf.DUMMYFUNCTION("""COMPUTED_VALUE"""),"Dubai&gt;Deira&gt;Deira Enrichment Project&gt;Osha Plaza&gt;Osha Plaza 1")</f>
        <v>Dubai&gt;Deira&gt;Deira Enrichment Project&gt;Osha Plaza&gt;Osha Plaza 1</v>
      </c>
      <c r="E13366" s="2"/>
      <c r="F13366" s="2"/>
      <c r="G13366" s="2"/>
      <c r="H13366" s="2"/>
      <c r="I13366" s="2"/>
      <c r="J13366" s="2"/>
      <c r="K13366" s="2"/>
      <c r="L13366" s="2"/>
      <c r="M13366" s="2"/>
      <c r="N13366" s="2"/>
      <c r="O13366" s="2"/>
      <c r="P13366" s="2"/>
      <c r="Q13366" s="2"/>
      <c r="R13366" s="2"/>
      <c r="S13366" s="2"/>
      <c r="T13366" s="2"/>
      <c r="U13366" s="2"/>
      <c r="V13366" s="2"/>
      <c r="W13366" s="2"/>
      <c r="X13366" s="2"/>
      <c r="Y13366" s="2"/>
      <c r="Z13366" s="2"/>
    </row>
    <row r="13367" spans="1:26" ht="16.5" x14ac:dyDescent="0.35">
      <c r="A13367" s="2" t="str">
        <f ca="1">IFERROR(__xludf.DUMMYFUNCTION("""COMPUTED_VALUE"""),"Dubai")</f>
        <v>Dubai</v>
      </c>
      <c r="B13367" s="2" t="str">
        <f ca="1">IFERROR(__xludf.DUMMYFUNCTION("""COMPUTED_VALUE"""),"Al Yazia Plaza 1")</f>
        <v>Al Yazia Plaza 1</v>
      </c>
      <c r="C13367" s="2" t="str">
        <f ca="1">IFERROR(__xludf.DUMMYFUNCTION("""COMPUTED_VALUE"""),"Building")</f>
        <v>Building</v>
      </c>
      <c r="D13367" s="2" t="str">
        <f ca="1">IFERROR(__xludf.DUMMYFUNCTION("""COMPUTED_VALUE"""),"Dubai&gt;Deira&gt;Deira Enrichment Project&gt;Al Yazia Plaza&gt;Al Yazia Plaza 1")</f>
        <v>Dubai&gt;Deira&gt;Deira Enrichment Project&gt;Al Yazia Plaza&gt;Al Yazia Plaza 1</v>
      </c>
      <c r="E13367" s="2"/>
      <c r="F13367" s="2"/>
      <c r="G13367" s="2"/>
      <c r="H13367" s="2"/>
      <c r="I13367" s="2"/>
      <c r="J13367" s="2"/>
      <c r="K13367" s="2"/>
      <c r="L13367" s="2"/>
      <c r="M13367" s="2"/>
      <c r="N13367" s="2"/>
      <c r="O13367" s="2"/>
      <c r="P13367" s="2"/>
      <c r="Q13367" s="2"/>
      <c r="R13367" s="2"/>
      <c r="S13367" s="2"/>
      <c r="T13367" s="2"/>
      <c r="U13367" s="2"/>
      <c r="V13367" s="2"/>
      <c r="W13367" s="2"/>
      <c r="X13367" s="2"/>
      <c r="Y13367" s="2"/>
      <c r="Z13367" s="2"/>
    </row>
    <row r="13368" spans="1:26" ht="16.5" x14ac:dyDescent="0.35">
      <c r="A13368" s="2" t="str">
        <f ca="1">IFERROR(__xludf.DUMMYFUNCTION("""COMPUTED_VALUE"""),"Dubai")</f>
        <v>Dubai</v>
      </c>
      <c r="B13368" s="2" t="str">
        <f ca="1">IFERROR(__xludf.DUMMYFUNCTION("""COMPUTED_VALUE"""),"Naif Building 3")</f>
        <v>Naif Building 3</v>
      </c>
      <c r="C13368" s="2" t="str">
        <f ca="1">IFERROR(__xludf.DUMMYFUNCTION("""COMPUTED_VALUE"""),"Building")</f>
        <v>Building</v>
      </c>
      <c r="D13368" s="2" t="str">
        <f ca="1">IFERROR(__xludf.DUMMYFUNCTION("""COMPUTED_VALUE"""),"Dubai&gt;Deira&gt;Naif&gt;Naif Building 3")</f>
        <v>Dubai&gt;Deira&gt;Naif&gt;Naif Building 3</v>
      </c>
      <c r="E13368" s="2"/>
      <c r="F13368" s="2"/>
      <c r="G13368" s="2"/>
      <c r="H13368" s="2"/>
      <c r="I13368" s="2"/>
      <c r="J13368" s="2"/>
      <c r="K13368" s="2"/>
      <c r="L13368" s="2"/>
      <c r="M13368" s="2"/>
      <c r="N13368" s="2"/>
      <c r="O13368" s="2"/>
      <c r="P13368" s="2"/>
      <c r="Q13368" s="2"/>
      <c r="R13368" s="2"/>
      <c r="S13368" s="2"/>
      <c r="T13368" s="2"/>
      <c r="U13368" s="2"/>
      <c r="V13368" s="2"/>
      <c r="W13368" s="2"/>
      <c r="X13368" s="2"/>
      <c r="Y13368" s="2"/>
      <c r="Z13368" s="2"/>
    </row>
    <row r="13369" spans="1:26" ht="16.5" x14ac:dyDescent="0.35">
      <c r="A13369" s="2" t="str">
        <f ca="1">IFERROR(__xludf.DUMMYFUNCTION("""COMPUTED_VALUE"""),"Dubai")</f>
        <v>Dubai</v>
      </c>
      <c r="B13369" s="2" t="str">
        <f ca="1">IFERROR(__xludf.DUMMYFUNCTION("""COMPUTED_VALUE"""),"Asian House Building")</f>
        <v>Asian House Building</v>
      </c>
      <c r="C13369" s="2" t="str">
        <f ca="1">IFERROR(__xludf.DUMMYFUNCTION("""COMPUTED_VALUE"""),"Building")</f>
        <v>Building</v>
      </c>
      <c r="D13369" s="2" t="str">
        <f ca="1">IFERROR(__xludf.DUMMYFUNCTION("""COMPUTED_VALUE"""),"Dubai&gt;Deira&gt;Al Murar&gt;Asian House Building")</f>
        <v>Dubai&gt;Deira&gt;Al Murar&gt;Asian House Building</v>
      </c>
      <c r="E13369" s="2"/>
      <c r="F13369" s="2"/>
      <c r="G13369" s="2"/>
      <c r="H13369" s="2"/>
      <c r="I13369" s="2"/>
      <c r="J13369" s="2"/>
      <c r="K13369" s="2"/>
      <c r="L13369" s="2"/>
      <c r="M13369" s="2"/>
      <c r="N13369" s="2"/>
      <c r="O13369" s="2"/>
      <c r="P13369" s="2"/>
      <c r="Q13369" s="2"/>
      <c r="R13369" s="2"/>
      <c r="S13369" s="2"/>
      <c r="T13369" s="2"/>
      <c r="U13369" s="2"/>
      <c r="V13369" s="2"/>
      <c r="W13369" s="2"/>
      <c r="X13369" s="2"/>
      <c r="Y13369" s="2"/>
      <c r="Z13369" s="2"/>
    </row>
    <row r="13370" spans="1:26" ht="16.5" x14ac:dyDescent="0.35">
      <c r="A13370" s="2" t="str">
        <f ca="1">IFERROR(__xludf.DUMMYFUNCTION("""COMPUTED_VALUE"""),"Dubai")</f>
        <v>Dubai</v>
      </c>
      <c r="B13370" s="2" t="str">
        <f ca="1">IFERROR(__xludf.DUMMYFUNCTION("""COMPUTED_VALUE"""),"Abdulla Building 9")</f>
        <v>Abdulla Building 9</v>
      </c>
      <c r="C13370" s="2" t="str">
        <f ca="1">IFERROR(__xludf.DUMMYFUNCTION("""COMPUTED_VALUE"""),"Building")</f>
        <v>Building</v>
      </c>
      <c r="D13370" s="2" t="str">
        <f ca="1">IFERROR(__xludf.DUMMYFUNCTION("""COMPUTED_VALUE"""),"Dubai&gt;Deira&gt;Al Murar&gt;Abdulla Building 9")</f>
        <v>Dubai&gt;Deira&gt;Al Murar&gt;Abdulla Building 9</v>
      </c>
      <c r="E13370" s="2"/>
      <c r="F13370" s="2"/>
      <c r="G13370" s="2"/>
      <c r="H13370" s="2"/>
      <c r="I13370" s="2"/>
      <c r="J13370" s="2"/>
      <c r="K13370" s="2"/>
      <c r="L13370" s="2"/>
      <c r="M13370" s="2"/>
      <c r="N13370" s="2"/>
      <c r="O13370" s="2"/>
      <c r="P13370" s="2"/>
      <c r="Q13370" s="2"/>
      <c r="R13370" s="2"/>
      <c r="S13370" s="2"/>
      <c r="T13370" s="2"/>
      <c r="U13370" s="2"/>
      <c r="V13370" s="2"/>
      <c r="W13370" s="2"/>
      <c r="X13370" s="2"/>
      <c r="Y13370" s="2"/>
      <c r="Z13370" s="2"/>
    </row>
    <row r="13371" spans="1:26" ht="16.5" x14ac:dyDescent="0.35">
      <c r="A13371" s="2" t="str">
        <f ca="1">IFERROR(__xludf.DUMMYFUNCTION("""COMPUTED_VALUE"""),"Dubai")</f>
        <v>Dubai</v>
      </c>
      <c r="B13371" s="2" t="str">
        <f ca="1">IFERROR(__xludf.DUMMYFUNCTION("""COMPUTED_VALUE"""),"Al Nokhitha Building")</f>
        <v>Al Nokhitha Building</v>
      </c>
      <c r="C13371" s="2" t="str">
        <f ca="1">IFERROR(__xludf.DUMMYFUNCTION("""COMPUTED_VALUE"""),"Building")</f>
        <v>Building</v>
      </c>
      <c r="D13371" s="2" t="str">
        <f ca="1">IFERROR(__xludf.DUMMYFUNCTION("""COMPUTED_VALUE"""),"Dubai&gt;Deira&gt;Al Hamriya Port&gt;Al Nokhitha Building")</f>
        <v>Dubai&gt;Deira&gt;Al Hamriya Port&gt;Al Nokhitha Building</v>
      </c>
      <c r="E13371" s="2"/>
      <c r="F13371" s="2"/>
      <c r="G13371" s="2"/>
      <c r="H13371" s="2"/>
      <c r="I13371" s="2"/>
      <c r="J13371" s="2"/>
      <c r="K13371" s="2"/>
      <c r="L13371" s="2"/>
      <c r="M13371" s="2"/>
      <c r="N13371" s="2"/>
      <c r="O13371" s="2"/>
      <c r="P13371" s="2"/>
      <c r="Q13371" s="2"/>
      <c r="R13371" s="2"/>
      <c r="S13371" s="2"/>
      <c r="T13371" s="2"/>
      <c r="U13371" s="2"/>
      <c r="V13371" s="2"/>
      <c r="W13371" s="2"/>
      <c r="X13371" s="2"/>
      <c r="Y13371" s="2"/>
      <c r="Z13371" s="2"/>
    </row>
    <row r="13372" spans="1:26" ht="16.5" x14ac:dyDescent="0.35">
      <c r="A13372" s="2" t="str">
        <f ca="1">IFERROR(__xludf.DUMMYFUNCTION("""COMPUTED_VALUE"""),"Dubai")</f>
        <v>Dubai</v>
      </c>
      <c r="B13372" s="2" t="str">
        <f ca="1">IFERROR(__xludf.DUMMYFUNCTION("""COMPUTED_VALUE"""),"ACICO Business Park")</f>
        <v>ACICO Business Park</v>
      </c>
      <c r="C13372" s="2" t="str">
        <f ca="1">IFERROR(__xludf.DUMMYFUNCTION("""COMPUTED_VALUE"""),"Building")</f>
        <v>Building</v>
      </c>
      <c r="D13372" s="2" t="str">
        <f ca="1">IFERROR(__xludf.DUMMYFUNCTION("""COMPUTED_VALUE"""),"Dubai&gt;Deira&gt;Port Saeed&gt;ACICO Business Park")</f>
        <v>Dubai&gt;Deira&gt;Port Saeed&gt;ACICO Business Park</v>
      </c>
      <c r="E13372" s="2"/>
      <c r="F13372" s="2"/>
      <c r="G13372" s="2"/>
      <c r="H13372" s="2"/>
      <c r="I13372" s="2"/>
      <c r="J13372" s="2"/>
      <c r="K13372" s="2"/>
      <c r="L13372" s="2"/>
      <c r="M13372" s="2"/>
      <c r="N13372" s="2"/>
      <c r="O13372" s="2"/>
      <c r="P13372" s="2"/>
      <c r="Q13372" s="2"/>
      <c r="R13372" s="2"/>
      <c r="S13372" s="2"/>
      <c r="T13372" s="2"/>
      <c r="U13372" s="2"/>
      <c r="V13372" s="2"/>
      <c r="W13372" s="2"/>
      <c r="X13372" s="2"/>
      <c r="Y13372" s="2"/>
      <c r="Z13372" s="2"/>
    </row>
    <row r="13373" spans="1:26" ht="16.5" x14ac:dyDescent="0.35">
      <c r="A13373" s="2" t="str">
        <f ca="1">IFERROR(__xludf.DUMMYFUNCTION("""COMPUTED_VALUE"""),"Dubai")</f>
        <v>Dubai</v>
      </c>
      <c r="B13373" s="2" t="str">
        <f ca="1">IFERROR(__xludf.DUMMYFUNCTION("""COMPUTED_VALUE"""),"The Prism")</f>
        <v>The Prism</v>
      </c>
      <c r="C13373" s="2" t="str">
        <f ca="1">IFERROR(__xludf.DUMMYFUNCTION("""COMPUTED_VALUE"""),"Building")</f>
        <v>Building</v>
      </c>
      <c r="D13373" s="2" t="str">
        <f ca="1">IFERROR(__xludf.DUMMYFUNCTION("""COMPUTED_VALUE"""),"Dubai&gt;Business Bay&gt;The Prism")</f>
        <v>Dubai&gt;Business Bay&gt;The Prism</v>
      </c>
      <c r="E13373" s="2"/>
      <c r="F13373" s="2"/>
      <c r="G13373" s="2"/>
      <c r="H13373" s="2"/>
      <c r="I13373" s="2"/>
      <c r="J13373" s="2"/>
      <c r="K13373" s="2"/>
      <c r="L13373" s="2"/>
      <c r="M13373" s="2"/>
      <c r="N13373" s="2"/>
      <c r="O13373" s="2"/>
      <c r="P13373" s="2"/>
      <c r="Q13373" s="2"/>
      <c r="R13373" s="2"/>
      <c r="S13373" s="2"/>
      <c r="T13373" s="2"/>
      <c r="U13373" s="2"/>
      <c r="V13373" s="2"/>
      <c r="W13373" s="2"/>
      <c r="X13373" s="2"/>
      <c r="Y13373" s="2"/>
      <c r="Z13373" s="2"/>
    </row>
    <row r="13374" spans="1:26" ht="16.5" x14ac:dyDescent="0.35">
      <c r="A13374" s="2" t="str">
        <f ca="1">IFERROR(__xludf.DUMMYFUNCTION("""COMPUTED_VALUE"""),"Dubai")</f>
        <v>Dubai</v>
      </c>
      <c r="B13374" s="2" t="str">
        <f ca="1">IFERROR(__xludf.DUMMYFUNCTION("""COMPUTED_VALUE"""),"Windsor Manor")</f>
        <v>Windsor Manor</v>
      </c>
      <c r="C13374" s="2" t="str">
        <f ca="1">IFERROR(__xludf.DUMMYFUNCTION("""COMPUTED_VALUE"""),"Building")</f>
        <v>Building</v>
      </c>
      <c r="D13374" s="2" t="str">
        <f ca="1">IFERROR(__xludf.DUMMYFUNCTION("""COMPUTED_VALUE"""),"Dubai&gt;Business Bay&gt;Windsor Manor")</f>
        <v>Dubai&gt;Business Bay&gt;Windsor Manor</v>
      </c>
      <c r="E13374" s="2"/>
      <c r="F13374" s="2"/>
      <c r="G13374" s="2"/>
      <c r="H13374" s="2"/>
      <c r="I13374" s="2"/>
      <c r="J13374" s="2"/>
      <c r="K13374" s="2"/>
      <c r="L13374" s="2"/>
      <c r="M13374" s="2"/>
      <c r="N13374" s="2"/>
      <c r="O13374" s="2"/>
      <c r="P13374" s="2"/>
      <c r="Q13374" s="2"/>
      <c r="R13374" s="2"/>
      <c r="S13374" s="2"/>
      <c r="T13374" s="2"/>
      <c r="U13374" s="2"/>
      <c r="V13374" s="2"/>
      <c r="W13374" s="2"/>
      <c r="X13374" s="2"/>
      <c r="Y13374" s="2"/>
      <c r="Z13374" s="2"/>
    </row>
    <row r="13375" spans="1:26" ht="16.5" x14ac:dyDescent="0.35">
      <c r="A13375" s="2" t="str">
        <f ca="1">IFERROR(__xludf.DUMMYFUNCTION("""COMPUTED_VALUE"""),"Dubai")</f>
        <v>Dubai</v>
      </c>
      <c r="B13375" s="2" t="str">
        <f ca="1">IFERROR(__xludf.DUMMYFUNCTION("""COMPUTED_VALUE"""),"Bay Square 3")</f>
        <v>Bay Square 3</v>
      </c>
      <c r="C13375" s="2" t="str">
        <f ca="1">IFERROR(__xludf.DUMMYFUNCTION("""COMPUTED_VALUE"""),"Building")</f>
        <v>Building</v>
      </c>
      <c r="D13375" s="2" t="str">
        <f ca="1">IFERROR(__xludf.DUMMYFUNCTION("""COMPUTED_VALUE"""),"Dubai&gt;Business Bay&gt;Bay Square&gt;Bay Square 3")</f>
        <v>Dubai&gt;Business Bay&gt;Bay Square&gt;Bay Square 3</v>
      </c>
      <c r="E13375" s="2"/>
      <c r="F13375" s="2"/>
      <c r="G13375" s="2"/>
      <c r="H13375" s="2"/>
      <c r="I13375" s="2"/>
      <c r="J13375" s="2"/>
      <c r="K13375" s="2"/>
      <c r="L13375" s="2"/>
      <c r="M13375" s="2"/>
      <c r="N13375" s="2"/>
      <c r="O13375" s="2"/>
      <c r="P13375" s="2"/>
      <c r="Q13375" s="2"/>
      <c r="R13375" s="2"/>
      <c r="S13375" s="2"/>
      <c r="T13375" s="2"/>
      <c r="U13375" s="2"/>
      <c r="V13375" s="2"/>
      <c r="W13375" s="2"/>
      <c r="X13375" s="2"/>
      <c r="Y13375" s="2"/>
      <c r="Z13375" s="2"/>
    </row>
    <row r="13376" spans="1:26" ht="16.5" x14ac:dyDescent="0.35">
      <c r="A13376" s="2" t="str">
        <f ca="1">IFERROR(__xludf.DUMMYFUNCTION("""COMPUTED_VALUE"""),"Dubai")</f>
        <v>Dubai</v>
      </c>
      <c r="B13376" s="2" t="str">
        <f ca="1">IFERROR(__xludf.DUMMYFUNCTION("""COMPUTED_VALUE"""),"Fifty One @ Business Bay")</f>
        <v>Fifty One @ Business Bay</v>
      </c>
      <c r="C13376" s="2" t="str">
        <f ca="1">IFERROR(__xludf.DUMMYFUNCTION("""COMPUTED_VALUE"""),"Building")</f>
        <v>Building</v>
      </c>
      <c r="D13376" s="2" t="str">
        <f ca="1">IFERROR(__xludf.DUMMYFUNCTION("""COMPUTED_VALUE"""),"Dubai&gt;Business Bay&gt;Fifty One @ Business Bay")</f>
        <v>Dubai&gt;Business Bay&gt;Fifty One @ Business Bay</v>
      </c>
      <c r="E13376" s="2"/>
      <c r="F13376" s="2"/>
      <c r="G13376" s="2"/>
      <c r="H13376" s="2"/>
      <c r="I13376" s="2"/>
      <c r="J13376" s="2"/>
      <c r="K13376" s="2"/>
      <c r="L13376" s="2"/>
      <c r="M13376" s="2"/>
      <c r="N13376" s="2"/>
      <c r="O13376" s="2"/>
      <c r="P13376" s="2"/>
      <c r="Q13376" s="2"/>
      <c r="R13376" s="2"/>
      <c r="S13376" s="2"/>
      <c r="T13376" s="2"/>
      <c r="U13376" s="2"/>
      <c r="V13376" s="2"/>
      <c r="W13376" s="2"/>
      <c r="X13376" s="2"/>
      <c r="Y13376" s="2"/>
      <c r="Z13376" s="2"/>
    </row>
    <row r="13377" spans="1:26" ht="16.5" x14ac:dyDescent="0.35">
      <c r="A13377" s="2" t="str">
        <f ca="1">IFERROR(__xludf.DUMMYFUNCTION("""COMPUTED_VALUE"""),"Dubai")</f>
        <v>Dubai</v>
      </c>
      <c r="B13377" s="2" t="str">
        <f ca="1">IFERROR(__xludf.DUMMYFUNCTION("""COMPUTED_VALUE"""),"Vera Residences")</f>
        <v>Vera Residences</v>
      </c>
      <c r="C13377" s="2" t="str">
        <f ca="1">IFERROR(__xludf.DUMMYFUNCTION("""COMPUTED_VALUE"""),"Building")</f>
        <v>Building</v>
      </c>
      <c r="D13377" s="2" t="str">
        <f ca="1">IFERROR(__xludf.DUMMYFUNCTION("""COMPUTED_VALUE"""),"Dubai&gt;Business Bay&gt;Vera Residences")</f>
        <v>Dubai&gt;Business Bay&gt;Vera Residences</v>
      </c>
      <c r="E13377" s="2"/>
      <c r="F13377" s="2"/>
      <c r="G13377" s="2"/>
      <c r="H13377" s="2"/>
      <c r="I13377" s="2"/>
      <c r="J13377" s="2"/>
      <c r="K13377" s="2"/>
      <c r="L13377" s="2"/>
      <c r="M13377" s="2"/>
      <c r="N13377" s="2"/>
      <c r="O13377" s="2"/>
      <c r="P13377" s="2"/>
      <c r="Q13377" s="2"/>
      <c r="R13377" s="2"/>
      <c r="S13377" s="2"/>
      <c r="T13377" s="2"/>
      <c r="U13377" s="2"/>
      <c r="V13377" s="2"/>
      <c r="W13377" s="2"/>
      <c r="X13377" s="2"/>
      <c r="Y13377" s="2"/>
      <c r="Z13377" s="2"/>
    </row>
    <row r="13378" spans="1:26" ht="16.5" x14ac:dyDescent="0.35">
      <c r="A13378" s="2" t="str">
        <f ca="1">IFERROR(__xludf.DUMMYFUNCTION("""COMPUTED_VALUE"""),"Dubai")</f>
        <v>Dubai</v>
      </c>
      <c r="B13378" s="2" t="str">
        <f ca="1">IFERROR(__xludf.DUMMYFUNCTION("""COMPUTED_VALUE"""),"Sobha Ivory II")</f>
        <v>Sobha Ivory II</v>
      </c>
      <c r="C13378" s="2" t="str">
        <f ca="1">IFERROR(__xludf.DUMMYFUNCTION("""COMPUTED_VALUE"""),"Building")</f>
        <v>Building</v>
      </c>
      <c r="D13378" s="2" t="str">
        <f ca="1">IFERROR(__xludf.DUMMYFUNCTION("""COMPUTED_VALUE"""),"Dubai&gt;Business Bay&gt;Sobha Ivory&gt;Sobha Ivory II")</f>
        <v>Dubai&gt;Business Bay&gt;Sobha Ivory&gt;Sobha Ivory II</v>
      </c>
      <c r="E13378" s="2"/>
      <c r="F13378" s="2"/>
      <c r="G13378" s="2"/>
      <c r="H13378" s="2"/>
      <c r="I13378" s="2"/>
      <c r="J13378" s="2"/>
      <c r="K13378" s="2"/>
      <c r="L13378" s="2"/>
      <c r="M13378" s="2"/>
      <c r="N13378" s="2"/>
      <c r="O13378" s="2"/>
      <c r="P13378" s="2"/>
      <c r="Q13378" s="2"/>
      <c r="R13378" s="2"/>
      <c r="S13378" s="2"/>
      <c r="T13378" s="2"/>
      <c r="U13378" s="2"/>
      <c r="V13378" s="2"/>
      <c r="W13378" s="2"/>
      <c r="X13378" s="2"/>
      <c r="Y13378" s="2"/>
      <c r="Z13378" s="2"/>
    </row>
    <row r="13379" spans="1:26" ht="16.5" x14ac:dyDescent="0.35">
      <c r="A13379" s="2" t="str">
        <f ca="1">IFERROR(__xludf.DUMMYFUNCTION("""COMPUTED_VALUE"""),"Dubai")</f>
        <v>Dubai</v>
      </c>
      <c r="B13379" s="2" t="str">
        <f ca="1">IFERROR(__xludf.DUMMYFUNCTION("""COMPUTED_VALUE"""),"Polaris Tower")</f>
        <v>Polaris Tower</v>
      </c>
      <c r="C13379" s="2" t="str">
        <f ca="1">IFERROR(__xludf.DUMMYFUNCTION("""COMPUTED_VALUE"""),"Building")</f>
        <v>Building</v>
      </c>
      <c r="D13379" s="2" t="str">
        <f ca="1">IFERROR(__xludf.DUMMYFUNCTION("""COMPUTED_VALUE"""),"Dubai&gt;Business Bay&gt;Polaris Tower")</f>
        <v>Dubai&gt;Business Bay&gt;Polaris Tower</v>
      </c>
      <c r="E13379" s="2"/>
      <c r="F13379" s="2"/>
      <c r="G13379" s="2"/>
      <c r="H13379" s="2"/>
      <c r="I13379" s="2"/>
      <c r="J13379" s="2"/>
      <c r="K13379" s="2"/>
      <c r="L13379" s="2"/>
      <c r="M13379" s="2"/>
      <c r="N13379" s="2"/>
      <c r="O13379" s="2"/>
      <c r="P13379" s="2"/>
      <c r="Q13379" s="2"/>
      <c r="R13379" s="2"/>
      <c r="S13379" s="2"/>
      <c r="T13379" s="2"/>
      <c r="U13379" s="2"/>
      <c r="V13379" s="2"/>
      <c r="W13379" s="2"/>
      <c r="X13379" s="2"/>
      <c r="Y13379" s="2"/>
      <c r="Z13379" s="2"/>
    </row>
    <row r="13380" spans="1:26" ht="16.5" x14ac:dyDescent="0.35">
      <c r="A13380" s="2" t="str">
        <f ca="1">IFERROR(__xludf.DUMMYFUNCTION("""COMPUTED_VALUE"""),"Dubai")</f>
        <v>Dubai</v>
      </c>
      <c r="B13380" s="2" t="str">
        <f ca="1">IFERROR(__xludf.DUMMYFUNCTION("""COMPUTED_VALUE"""),"Hyde Hotel Dubai")</f>
        <v>Hyde Hotel Dubai</v>
      </c>
      <c r="C13380" s="2" t="str">
        <f ca="1">IFERROR(__xludf.DUMMYFUNCTION("""COMPUTED_VALUE"""),"Building")</f>
        <v>Building</v>
      </c>
      <c r="D13380" s="2" t="str">
        <f ca="1">IFERROR(__xludf.DUMMYFUNCTION("""COMPUTED_VALUE"""),"Dubai&gt;Business Bay&gt;Hyde Hotel Dubai")</f>
        <v>Dubai&gt;Business Bay&gt;Hyde Hotel Dubai</v>
      </c>
      <c r="E13380" s="2"/>
      <c r="F13380" s="2"/>
      <c r="G13380" s="2"/>
      <c r="H13380" s="2"/>
      <c r="I13380" s="2"/>
      <c r="J13380" s="2"/>
      <c r="K13380" s="2"/>
      <c r="L13380" s="2"/>
      <c r="M13380" s="2"/>
      <c r="N13380" s="2"/>
      <c r="O13380" s="2"/>
      <c r="P13380" s="2"/>
      <c r="Q13380" s="2"/>
      <c r="R13380" s="2"/>
      <c r="S13380" s="2"/>
      <c r="T13380" s="2"/>
      <c r="U13380" s="2"/>
      <c r="V13380" s="2"/>
      <c r="W13380" s="2"/>
      <c r="X13380" s="2"/>
      <c r="Y13380" s="2"/>
      <c r="Z13380" s="2"/>
    </row>
    <row r="13381" spans="1:26" ht="16.5" x14ac:dyDescent="0.35">
      <c r="A13381" s="2" t="str">
        <f ca="1">IFERROR(__xludf.DUMMYFUNCTION("""COMPUTED_VALUE"""),"Dubai")</f>
        <v>Dubai</v>
      </c>
      <c r="B13381" s="2" t="str">
        <f ca="1">IFERROR(__xludf.DUMMYFUNCTION("""COMPUTED_VALUE"""),"Altitude de GRISOGONO")</f>
        <v>Altitude de GRISOGONO</v>
      </c>
      <c r="C13381" s="2" t="str">
        <f ca="1">IFERROR(__xludf.DUMMYFUNCTION("""COMPUTED_VALUE"""),"Building")</f>
        <v>Building</v>
      </c>
      <c r="D13381" s="2" t="str">
        <f ca="1">IFERROR(__xludf.DUMMYFUNCTION("""COMPUTED_VALUE"""),"Dubai&gt;Business Bay&gt;Altitude de GRISOGONO")</f>
        <v>Dubai&gt;Business Bay&gt;Altitude de GRISOGONO</v>
      </c>
      <c r="E13381" s="2"/>
      <c r="F13381" s="2"/>
      <c r="G13381" s="2"/>
      <c r="H13381" s="2"/>
      <c r="I13381" s="2"/>
      <c r="J13381" s="2"/>
      <c r="K13381" s="2"/>
      <c r="L13381" s="2"/>
      <c r="M13381" s="2"/>
      <c r="N13381" s="2"/>
      <c r="O13381" s="2"/>
      <c r="P13381" s="2"/>
      <c r="Q13381" s="2"/>
      <c r="R13381" s="2"/>
      <c r="S13381" s="2"/>
      <c r="T13381" s="2"/>
      <c r="U13381" s="2"/>
      <c r="V13381" s="2"/>
      <c r="W13381" s="2"/>
      <c r="X13381" s="2"/>
      <c r="Y13381" s="2"/>
      <c r="Z13381" s="2"/>
    </row>
    <row r="13382" spans="1:26" ht="16.5" x14ac:dyDescent="0.35">
      <c r="A13382" s="2" t="str">
        <f ca="1">IFERROR(__xludf.DUMMYFUNCTION("""COMPUTED_VALUE"""),"Dubai")</f>
        <v>Dubai</v>
      </c>
      <c r="B13382" s="2" t="str">
        <f ca="1">IFERROR(__xludf.DUMMYFUNCTION("""COMPUTED_VALUE"""),"HQ by Rove")</f>
        <v>HQ by Rove</v>
      </c>
      <c r="C13382" s="2" t="str">
        <f ca="1">IFERROR(__xludf.DUMMYFUNCTION("""COMPUTED_VALUE"""),"Building")</f>
        <v>Building</v>
      </c>
      <c r="D13382" s="2" t="str">
        <f ca="1">IFERROR(__xludf.DUMMYFUNCTION("""COMPUTED_VALUE"""),"Dubai&gt;Business Bay&gt;HQ by Rove")</f>
        <v>Dubai&gt;Business Bay&gt;HQ by Rove</v>
      </c>
      <c r="E13382" s="2"/>
      <c r="F13382" s="2"/>
      <c r="G13382" s="2"/>
      <c r="H13382" s="2"/>
      <c r="I13382" s="2"/>
      <c r="J13382" s="2"/>
      <c r="K13382" s="2"/>
      <c r="L13382" s="2"/>
      <c r="M13382" s="2"/>
      <c r="N13382" s="2"/>
      <c r="O13382" s="2"/>
      <c r="P13382" s="2"/>
      <c r="Q13382" s="2"/>
      <c r="R13382" s="2"/>
      <c r="S13382" s="2"/>
      <c r="T13382" s="2"/>
      <c r="U13382" s="2"/>
      <c r="V13382" s="2"/>
      <c r="W13382" s="2"/>
      <c r="X13382" s="2"/>
      <c r="Y13382" s="2"/>
      <c r="Z13382" s="2"/>
    </row>
    <row r="13383" spans="1:26" ht="16.5" x14ac:dyDescent="0.35">
      <c r="A13383" s="2" t="str">
        <f ca="1">IFERROR(__xludf.DUMMYFUNCTION("""COMPUTED_VALUE"""),"Dubai")</f>
        <v>Dubai</v>
      </c>
      <c r="B13383" s="2" t="str">
        <f ca="1">IFERROR(__xludf.DUMMYFUNCTION("""COMPUTED_VALUE"""),"The Vyne Residences")</f>
        <v>The Vyne Residences</v>
      </c>
      <c r="C13383" s="2" t="str">
        <f ca="1">IFERROR(__xludf.DUMMYFUNCTION("""COMPUTED_VALUE"""),"Building")</f>
        <v>Building</v>
      </c>
      <c r="D13383" s="2" t="str">
        <f ca="1">IFERROR(__xludf.DUMMYFUNCTION("""COMPUTED_VALUE"""),"Dubai&gt;Jumeirah Village Triangle (JVT)&gt;JVT District 5&gt;The Vyne Residences")</f>
        <v>Dubai&gt;Jumeirah Village Triangle (JVT)&gt;JVT District 5&gt;The Vyne Residences</v>
      </c>
      <c r="E13383" s="2"/>
      <c r="F13383" s="2"/>
      <c r="G13383" s="2"/>
      <c r="H13383" s="2"/>
      <c r="I13383" s="2"/>
      <c r="J13383" s="2"/>
      <c r="K13383" s="2"/>
      <c r="L13383" s="2"/>
      <c r="M13383" s="2"/>
      <c r="N13383" s="2"/>
      <c r="O13383" s="2"/>
      <c r="P13383" s="2"/>
      <c r="Q13383" s="2"/>
      <c r="R13383" s="2"/>
      <c r="S13383" s="2"/>
      <c r="T13383" s="2"/>
      <c r="U13383" s="2"/>
      <c r="V13383" s="2"/>
      <c r="W13383" s="2"/>
      <c r="X13383" s="2"/>
      <c r="Y13383" s="2"/>
      <c r="Z13383" s="2"/>
    </row>
    <row r="13384" spans="1:26" ht="16.5" x14ac:dyDescent="0.35">
      <c r="A13384" s="2" t="str">
        <f ca="1">IFERROR(__xludf.DUMMYFUNCTION("""COMPUTED_VALUE"""),"Dubai")</f>
        <v>Dubai</v>
      </c>
      <c r="B13384" s="2" t="str">
        <f ca="1">IFERROR(__xludf.DUMMYFUNCTION("""COMPUTED_VALUE"""),"District 9O")</f>
        <v>District 9O</v>
      </c>
      <c r="C13384" s="2" t="str">
        <f ca="1">IFERROR(__xludf.DUMMYFUNCTION("""COMPUTED_VALUE"""),"Neighbourhood")</f>
        <v>Neighbourhood</v>
      </c>
      <c r="D13384" s="2" t="str">
        <f ca="1">IFERROR(__xludf.DUMMYFUNCTION("""COMPUTED_VALUE"""),"Dubai&gt;Jumeirah Village Triangle (JVT)&gt;JVT District 9&gt;District 9O")</f>
        <v>Dubai&gt;Jumeirah Village Triangle (JVT)&gt;JVT District 9&gt;District 9O</v>
      </c>
      <c r="E13384" s="2"/>
      <c r="F13384" s="2"/>
      <c r="G13384" s="2"/>
      <c r="H13384" s="2"/>
      <c r="I13384" s="2"/>
      <c r="J13384" s="2"/>
      <c r="K13384" s="2"/>
      <c r="L13384" s="2"/>
      <c r="M13384" s="2"/>
      <c r="N13384" s="2"/>
      <c r="O13384" s="2"/>
      <c r="P13384" s="2"/>
      <c r="Q13384" s="2"/>
      <c r="R13384" s="2"/>
      <c r="S13384" s="2"/>
      <c r="T13384" s="2"/>
      <c r="U13384" s="2"/>
      <c r="V13384" s="2"/>
      <c r="W13384" s="2"/>
      <c r="X13384" s="2"/>
      <c r="Y13384" s="2"/>
      <c r="Z13384" s="2"/>
    </row>
    <row r="13385" spans="1:26" ht="16.5" x14ac:dyDescent="0.35">
      <c r="A13385" s="2" t="str">
        <f ca="1">IFERROR(__xludf.DUMMYFUNCTION("""COMPUTED_VALUE"""),"Dubai")</f>
        <v>Dubai</v>
      </c>
      <c r="B13385" s="2" t="str">
        <f ca="1">IFERROR(__xludf.DUMMYFUNCTION("""COMPUTED_VALUE"""),"Ashwood Residences")</f>
        <v>Ashwood Residences</v>
      </c>
      <c r="C13385" s="2" t="str">
        <f ca="1">IFERROR(__xludf.DUMMYFUNCTION("""COMPUTED_VALUE"""),"Building")</f>
        <v>Building</v>
      </c>
      <c r="D13385" s="2" t="str">
        <f ca="1">IFERROR(__xludf.DUMMYFUNCTION("""COMPUTED_VALUE"""),"Dubai&gt;Jumeirah Village Triangle (JVT)&gt;JVT District 2&gt;Ashwood Residences")</f>
        <v>Dubai&gt;Jumeirah Village Triangle (JVT)&gt;JVT District 2&gt;Ashwood Residences</v>
      </c>
      <c r="E13385" s="2"/>
      <c r="F13385" s="2"/>
      <c r="G13385" s="2"/>
      <c r="H13385" s="2"/>
      <c r="I13385" s="2"/>
      <c r="J13385" s="2"/>
      <c r="K13385" s="2"/>
      <c r="L13385" s="2"/>
      <c r="M13385" s="2"/>
      <c r="N13385" s="2"/>
      <c r="O13385" s="2"/>
      <c r="P13385" s="2"/>
      <c r="Q13385" s="2"/>
      <c r="R13385" s="2"/>
      <c r="S13385" s="2"/>
      <c r="T13385" s="2"/>
      <c r="U13385" s="2"/>
      <c r="V13385" s="2"/>
      <c r="W13385" s="2"/>
      <c r="X13385" s="2"/>
      <c r="Y13385" s="2"/>
      <c r="Z13385" s="2"/>
    </row>
    <row r="13386" spans="1:26" ht="16.5" x14ac:dyDescent="0.35">
      <c r="A13386" s="2" t="str">
        <f ca="1">IFERROR(__xludf.DUMMYFUNCTION("""COMPUTED_VALUE"""),"Dubai")</f>
        <v>Dubai</v>
      </c>
      <c r="B13386" s="2" t="str">
        <f ca="1">IFERROR(__xludf.DUMMYFUNCTION("""COMPUTED_VALUE"""),"District 1A")</f>
        <v>District 1A</v>
      </c>
      <c r="C13386" s="2" t="str">
        <f ca="1">IFERROR(__xludf.DUMMYFUNCTION("""COMPUTED_VALUE"""),"Neighbourhood")</f>
        <v>Neighbourhood</v>
      </c>
      <c r="D13386" s="2" t="str">
        <f ca="1">IFERROR(__xludf.DUMMYFUNCTION("""COMPUTED_VALUE"""),"Dubai&gt;Jumeirah Village Triangle (JVT)&gt;JVT District 1&gt;District 1A")</f>
        <v>Dubai&gt;Jumeirah Village Triangle (JVT)&gt;JVT District 1&gt;District 1A</v>
      </c>
      <c r="E13386" s="2"/>
      <c r="F13386" s="2"/>
      <c r="G13386" s="2"/>
      <c r="H13386" s="2"/>
      <c r="I13386" s="2"/>
      <c r="J13386" s="2"/>
      <c r="K13386" s="2"/>
      <c r="L13386" s="2"/>
      <c r="M13386" s="2"/>
      <c r="N13386" s="2"/>
      <c r="O13386" s="2"/>
      <c r="P13386" s="2"/>
      <c r="Q13386" s="2"/>
      <c r="R13386" s="2"/>
      <c r="S13386" s="2"/>
      <c r="T13386" s="2"/>
      <c r="U13386" s="2"/>
      <c r="V13386" s="2"/>
      <c r="W13386" s="2"/>
      <c r="X13386" s="2"/>
      <c r="Y13386" s="2"/>
      <c r="Z13386" s="2"/>
    </row>
    <row r="13387" spans="1:26" ht="16.5" x14ac:dyDescent="0.35">
      <c r="A13387" s="2" t="str">
        <f ca="1">IFERROR(__xludf.DUMMYFUNCTION("""COMPUTED_VALUE"""),"Dubai")</f>
        <v>Dubai</v>
      </c>
      <c r="B13387" s="2" t="str">
        <f ca="1">IFERROR(__xludf.DUMMYFUNCTION("""COMPUTED_VALUE"""),"Fashionz by Danube")</f>
        <v>Fashionz by Danube</v>
      </c>
      <c r="C13387" s="2" t="str">
        <f ca="1">IFERROR(__xludf.DUMMYFUNCTION("""COMPUTED_VALUE"""),"Building")</f>
        <v>Building</v>
      </c>
      <c r="D13387" s="2" t="str">
        <f ca="1">IFERROR(__xludf.DUMMYFUNCTION("""COMPUTED_VALUE"""),"Dubai&gt;Jumeirah Village Triangle (JVT)&gt;JVT District 4&gt;Fashionz by Danube")</f>
        <v>Dubai&gt;Jumeirah Village Triangle (JVT)&gt;JVT District 4&gt;Fashionz by Danube</v>
      </c>
      <c r="E13387" s="2"/>
      <c r="F13387" s="2"/>
      <c r="G13387" s="2"/>
      <c r="H13387" s="2"/>
      <c r="I13387" s="2"/>
      <c r="J13387" s="2"/>
      <c r="K13387" s="2"/>
      <c r="L13387" s="2"/>
      <c r="M13387" s="2"/>
      <c r="N13387" s="2"/>
      <c r="O13387" s="2"/>
      <c r="P13387" s="2"/>
      <c r="Q13387" s="2"/>
      <c r="R13387" s="2"/>
      <c r="S13387" s="2"/>
      <c r="T13387" s="2"/>
      <c r="U13387" s="2"/>
      <c r="V13387" s="2"/>
      <c r="W13387" s="2"/>
      <c r="X13387" s="2"/>
      <c r="Y13387" s="2"/>
      <c r="Z13387" s="2"/>
    </row>
    <row r="13388" spans="1:26" ht="16.5" x14ac:dyDescent="0.35">
      <c r="A13388" s="2" t="str">
        <f ca="1">IFERROR(__xludf.DUMMYFUNCTION("""COMPUTED_VALUE"""),"Dubai")</f>
        <v>Dubai</v>
      </c>
      <c r="B13388" s="2" t="str">
        <f ca="1">IFERROR(__xludf.DUMMYFUNCTION("""COMPUTED_VALUE"""),"Milestone Residences")</f>
        <v>Milestone Residences</v>
      </c>
      <c r="C13388" s="2" t="str">
        <f ca="1">IFERROR(__xludf.DUMMYFUNCTION("""COMPUTED_VALUE"""),"Building")</f>
        <v>Building</v>
      </c>
      <c r="D13388" s="2" t="str">
        <f ca="1">IFERROR(__xludf.DUMMYFUNCTION("""COMPUTED_VALUE"""),"Dubai&gt;Jumeirah Village Triangle (JVT)&gt;JVT District 3&gt;Milestone Residences")</f>
        <v>Dubai&gt;Jumeirah Village Triangle (JVT)&gt;JVT District 3&gt;Milestone Residences</v>
      </c>
      <c r="E13388" s="2"/>
      <c r="F13388" s="2"/>
      <c r="G13388" s="2"/>
      <c r="H13388" s="2"/>
      <c r="I13388" s="2"/>
      <c r="J13388" s="2"/>
      <c r="K13388" s="2"/>
      <c r="L13388" s="2"/>
      <c r="M13388" s="2"/>
      <c r="N13388" s="2"/>
      <c r="O13388" s="2"/>
      <c r="P13388" s="2"/>
      <c r="Q13388" s="2"/>
      <c r="R13388" s="2"/>
      <c r="S13388" s="2"/>
      <c r="T13388" s="2"/>
      <c r="U13388" s="2"/>
      <c r="V13388" s="2"/>
      <c r="W13388" s="2"/>
      <c r="X13388" s="2"/>
      <c r="Y13388" s="2"/>
      <c r="Z13388" s="2"/>
    </row>
    <row r="13389" spans="1:26" ht="16.5" x14ac:dyDescent="0.35">
      <c r="A13389" s="2" t="str">
        <f ca="1">IFERROR(__xludf.DUMMYFUNCTION("""COMPUTED_VALUE"""),"Dubai")</f>
        <v>Dubai</v>
      </c>
      <c r="B13389" s="2" t="str">
        <f ca="1">IFERROR(__xludf.DUMMYFUNCTION("""COMPUTED_VALUE"""),"Al Ramth 35")</f>
        <v>Al Ramth 35</v>
      </c>
      <c r="C13389" s="2" t="str">
        <f ca="1">IFERROR(__xludf.DUMMYFUNCTION("""COMPUTED_VALUE"""),"Building")</f>
        <v>Building</v>
      </c>
      <c r="D13389" s="2" t="str">
        <f ca="1">IFERROR(__xludf.DUMMYFUNCTION("""COMPUTED_VALUE"""),"Dubai&gt;Remraam&gt;Al Ramth&gt;Al Ramth 35")</f>
        <v>Dubai&gt;Remraam&gt;Al Ramth&gt;Al Ramth 35</v>
      </c>
      <c r="E13389" s="2"/>
      <c r="F13389" s="2"/>
      <c r="G13389" s="2"/>
      <c r="H13389" s="2"/>
      <c r="I13389" s="2"/>
      <c r="J13389" s="2"/>
      <c r="K13389" s="2"/>
      <c r="L13389" s="2"/>
      <c r="M13389" s="2"/>
      <c r="N13389" s="2"/>
      <c r="O13389" s="2"/>
      <c r="P13389" s="2"/>
      <c r="Q13389" s="2"/>
      <c r="R13389" s="2"/>
      <c r="S13389" s="2"/>
      <c r="T13389" s="2"/>
      <c r="U13389" s="2"/>
      <c r="V13389" s="2"/>
      <c r="W13389" s="2"/>
      <c r="X13389" s="2"/>
      <c r="Y13389" s="2"/>
      <c r="Z13389" s="2"/>
    </row>
    <row r="13390" spans="1:26" ht="16.5" x14ac:dyDescent="0.35">
      <c r="A13390" s="2" t="str">
        <f ca="1">IFERROR(__xludf.DUMMYFUNCTION("""COMPUTED_VALUE"""),"Dubai")</f>
        <v>Dubai</v>
      </c>
      <c r="B13390" s="2" t="str">
        <f ca="1">IFERROR(__xludf.DUMMYFUNCTION("""COMPUTED_VALUE"""),"Al Thamam 45")</f>
        <v>Al Thamam 45</v>
      </c>
      <c r="C13390" s="2" t="str">
        <f ca="1">IFERROR(__xludf.DUMMYFUNCTION("""COMPUTED_VALUE"""),"Building")</f>
        <v>Building</v>
      </c>
      <c r="D13390" s="2" t="str">
        <f ca="1">IFERROR(__xludf.DUMMYFUNCTION("""COMPUTED_VALUE"""),"Dubai&gt;Remraam&gt;Al Thamam&gt;Al Thamam 45")</f>
        <v>Dubai&gt;Remraam&gt;Al Thamam&gt;Al Thamam 45</v>
      </c>
      <c r="E13390" s="2"/>
      <c r="F13390" s="2"/>
      <c r="G13390" s="2"/>
      <c r="H13390" s="2"/>
      <c r="I13390" s="2"/>
      <c r="J13390" s="2"/>
      <c r="K13390" s="2"/>
      <c r="L13390" s="2"/>
      <c r="M13390" s="2"/>
      <c r="N13390" s="2"/>
      <c r="O13390" s="2"/>
      <c r="P13390" s="2"/>
      <c r="Q13390" s="2"/>
      <c r="R13390" s="2"/>
      <c r="S13390" s="2"/>
      <c r="T13390" s="2"/>
      <c r="U13390" s="2"/>
      <c r="V13390" s="2"/>
      <c r="W13390" s="2"/>
      <c r="X13390" s="2"/>
      <c r="Y13390" s="2"/>
      <c r="Z13390" s="2"/>
    </row>
    <row r="13391" spans="1:26" ht="16.5" x14ac:dyDescent="0.35">
      <c r="A13391" s="2" t="str">
        <f ca="1">IFERROR(__xludf.DUMMYFUNCTION("""COMPUTED_VALUE"""),"Dubai")</f>
        <v>Dubai</v>
      </c>
      <c r="B13391" s="2" t="str">
        <f ca="1">IFERROR(__xludf.DUMMYFUNCTION("""COMPUTED_VALUE"""),"Al Thamam 04")</f>
        <v>Al Thamam 04</v>
      </c>
      <c r="C13391" s="2" t="str">
        <f ca="1">IFERROR(__xludf.DUMMYFUNCTION("""COMPUTED_VALUE"""),"Building")</f>
        <v>Building</v>
      </c>
      <c r="D13391" s="2" t="str">
        <f ca="1">IFERROR(__xludf.DUMMYFUNCTION("""COMPUTED_VALUE"""),"Dubai&gt;Remraam&gt;Al Thamam&gt;Al Thamam 04")</f>
        <v>Dubai&gt;Remraam&gt;Al Thamam&gt;Al Thamam 04</v>
      </c>
      <c r="E13391" s="2"/>
      <c r="F13391" s="2"/>
      <c r="G13391" s="2"/>
      <c r="H13391" s="2"/>
      <c r="I13391" s="2"/>
      <c r="J13391" s="2"/>
      <c r="K13391" s="2"/>
      <c r="L13391" s="2"/>
      <c r="M13391" s="2"/>
      <c r="N13391" s="2"/>
      <c r="O13391" s="2"/>
      <c r="P13391" s="2"/>
      <c r="Q13391" s="2"/>
      <c r="R13391" s="2"/>
      <c r="S13391" s="2"/>
      <c r="T13391" s="2"/>
      <c r="U13391" s="2"/>
      <c r="V13391" s="2"/>
      <c r="W13391" s="2"/>
      <c r="X13391" s="2"/>
      <c r="Y13391" s="2"/>
      <c r="Z13391" s="2"/>
    </row>
    <row r="13392" spans="1:26" ht="16.5" x14ac:dyDescent="0.35">
      <c r="A13392" s="2" t="str">
        <f ca="1">IFERROR(__xludf.DUMMYFUNCTION("""COMPUTED_VALUE"""),"Dubai")</f>
        <v>Dubai</v>
      </c>
      <c r="B13392" s="2" t="str">
        <f ca="1">IFERROR(__xludf.DUMMYFUNCTION("""COMPUTED_VALUE"""),"Gardenia Residency")</f>
        <v>Gardenia Residency</v>
      </c>
      <c r="C13392" s="2" t="str">
        <f ca="1">IFERROR(__xludf.DUMMYFUNCTION("""COMPUTED_VALUE"""),"Cluster")</f>
        <v>Cluster</v>
      </c>
      <c r="D13392" s="2" t="str">
        <f ca="1">IFERROR(__xludf.DUMMYFUNCTION("""COMPUTED_VALUE"""),"Dubai&gt;Jumeirah Village Circle (JVC)&gt;JVC District 12&gt;Gardenia Residency")</f>
        <v>Dubai&gt;Jumeirah Village Circle (JVC)&gt;JVC District 12&gt;Gardenia Residency</v>
      </c>
      <c r="E13392" s="2"/>
      <c r="F13392" s="2"/>
      <c r="G13392" s="2"/>
      <c r="H13392" s="2"/>
      <c r="I13392" s="2"/>
      <c r="J13392" s="2"/>
      <c r="K13392" s="2"/>
      <c r="L13392" s="2"/>
      <c r="M13392" s="2"/>
      <c r="N13392" s="2"/>
      <c r="O13392" s="2"/>
      <c r="P13392" s="2"/>
      <c r="Q13392" s="2"/>
      <c r="R13392" s="2"/>
      <c r="S13392" s="2"/>
      <c r="T13392" s="2"/>
      <c r="U13392" s="2"/>
      <c r="V13392" s="2"/>
      <c r="W13392" s="2"/>
      <c r="X13392" s="2"/>
      <c r="Y13392" s="2"/>
      <c r="Z13392" s="2"/>
    </row>
    <row r="13393" spans="1:26" ht="16.5" x14ac:dyDescent="0.35">
      <c r="A13393" s="2" t="str">
        <f ca="1">IFERROR(__xludf.DUMMYFUNCTION("""COMPUTED_VALUE"""),"Dubai")</f>
        <v>Dubai</v>
      </c>
      <c r="B13393" s="2" t="str">
        <f ca="1">IFERROR(__xludf.DUMMYFUNCTION("""COMPUTED_VALUE"""),"Al Yousuf Tower 1")</f>
        <v>Al Yousuf Tower 1</v>
      </c>
      <c r="C13393" s="2" t="str">
        <f ca="1">IFERROR(__xludf.DUMMYFUNCTION("""COMPUTED_VALUE"""),"Building")</f>
        <v>Building</v>
      </c>
      <c r="D13393" s="2" t="str">
        <f ca="1">IFERROR(__xludf.DUMMYFUNCTION("""COMPUTED_VALUE"""),"Dubai&gt;Jumeirah Village Circle (JVC)&gt;JVC District 12&gt;Al Yousuf Towers&gt;Al Yousuf Tower 1")</f>
        <v>Dubai&gt;Jumeirah Village Circle (JVC)&gt;JVC District 12&gt;Al Yousuf Towers&gt;Al Yousuf Tower 1</v>
      </c>
      <c r="E13393" s="2"/>
      <c r="F13393" s="2"/>
      <c r="G13393" s="2"/>
      <c r="H13393" s="2"/>
      <c r="I13393" s="2"/>
      <c r="J13393" s="2"/>
      <c r="K13393" s="2"/>
      <c r="L13393" s="2"/>
      <c r="M13393" s="2"/>
      <c r="N13393" s="2"/>
      <c r="O13393" s="2"/>
      <c r="P13393" s="2"/>
      <c r="Q13393" s="2"/>
      <c r="R13393" s="2"/>
      <c r="S13393" s="2"/>
      <c r="T13393" s="2"/>
      <c r="U13393" s="2"/>
      <c r="V13393" s="2"/>
      <c r="W13393" s="2"/>
      <c r="X13393" s="2"/>
      <c r="Y13393" s="2"/>
      <c r="Z13393" s="2"/>
    </row>
    <row r="13394" spans="1:26" ht="16.5" x14ac:dyDescent="0.35">
      <c r="A13394" s="2" t="str">
        <f ca="1">IFERROR(__xludf.DUMMYFUNCTION("""COMPUTED_VALUE"""),"Dubai")</f>
        <v>Dubai</v>
      </c>
      <c r="B13394" s="2" t="str">
        <f ca="1">IFERROR(__xludf.DUMMYFUNCTION("""COMPUTED_VALUE"""),"Samha Tower")</f>
        <v>Samha Tower</v>
      </c>
      <c r="C13394" s="2" t="str">
        <f ca="1">IFERROR(__xludf.DUMMYFUNCTION("""COMPUTED_VALUE"""),"Building")</f>
        <v>Building</v>
      </c>
      <c r="D13394" s="2" t="str">
        <f ca="1">IFERROR(__xludf.DUMMYFUNCTION("""COMPUTED_VALUE"""),"Dubai&gt;Jumeirah Village Circle (JVC)&gt;JVC District 12&gt;Samha Tower")</f>
        <v>Dubai&gt;Jumeirah Village Circle (JVC)&gt;JVC District 12&gt;Samha Tower</v>
      </c>
      <c r="E13394" s="2"/>
      <c r="F13394" s="2"/>
      <c r="G13394" s="2"/>
      <c r="H13394" s="2"/>
      <c r="I13394" s="2"/>
      <c r="J13394" s="2"/>
      <c r="K13394" s="2"/>
      <c r="L13394" s="2"/>
      <c r="M13394" s="2"/>
      <c r="N13394" s="2"/>
      <c r="O13394" s="2"/>
      <c r="P13394" s="2"/>
      <c r="Q13394" s="2"/>
      <c r="R13394" s="2"/>
      <c r="S13394" s="2"/>
      <c r="T13394" s="2"/>
      <c r="U13394" s="2"/>
      <c r="V13394" s="2"/>
      <c r="W13394" s="2"/>
      <c r="X13394" s="2"/>
      <c r="Y13394" s="2"/>
      <c r="Z13394" s="2"/>
    </row>
    <row r="13395" spans="1:26" ht="16.5" x14ac:dyDescent="0.35">
      <c r="A13395" s="2" t="str">
        <f ca="1">IFERROR(__xludf.DUMMYFUNCTION("""COMPUTED_VALUE"""),"Dubai")</f>
        <v>Dubai</v>
      </c>
      <c r="B13395" s="2" t="str">
        <f ca="1">IFERROR(__xludf.DUMMYFUNCTION("""COMPUTED_VALUE"""),"Avant Garde Residences II by Skyline")</f>
        <v>Avant Garde Residences II by Skyline</v>
      </c>
      <c r="C13395" s="2" t="str">
        <f ca="1">IFERROR(__xludf.DUMMYFUNCTION("""COMPUTED_VALUE"""),"Building")</f>
        <v>Building</v>
      </c>
      <c r="D13395" s="2" t="str">
        <f ca="1">IFERROR(__xludf.DUMMYFUNCTION("""COMPUTED_VALUE"""),"Dubai&gt;Jumeirah Village Circle (JVC)&gt;JVC District 12&gt;Avant Garde Residences II by Skyline")</f>
        <v>Dubai&gt;Jumeirah Village Circle (JVC)&gt;JVC District 12&gt;Avant Garde Residences II by Skyline</v>
      </c>
      <c r="E13395" s="2"/>
      <c r="F13395" s="2"/>
      <c r="G13395" s="2"/>
      <c r="H13395" s="2"/>
      <c r="I13395" s="2"/>
      <c r="J13395" s="2"/>
      <c r="K13395" s="2"/>
      <c r="L13395" s="2"/>
      <c r="M13395" s="2"/>
      <c r="N13395" s="2"/>
      <c r="O13395" s="2"/>
      <c r="P13395" s="2"/>
      <c r="Q13395" s="2"/>
      <c r="R13395" s="2"/>
      <c r="S13395" s="2"/>
      <c r="T13395" s="2"/>
      <c r="U13395" s="2"/>
      <c r="V13395" s="2"/>
      <c r="W13395" s="2"/>
      <c r="X13395" s="2"/>
      <c r="Y13395" s="2"/>
      <c r="Z13395" s="2"/>
    </row>
    <row r="13396" spans="1:26" ht="16.5" x14ac:dyDescent="0.35">
      <c r="A13396" s="2" t="str">
        <f ca="1">IFERROR(__xludf.DUMMYFUNCTION("""COMPUTED_VALUE"""),"Dubai")</f>
        <v>Dubai</v>
      </c>
      <c r="B13396" s="2" t="str">
        <f ca="1">IFERROR(__xludf.DUMMYFUNCTION("""COMPUTED_VALUE"""),"Dar Al Jawhara Residence")</f>
        <v>Dar Al Jawhara Residence</v>
      </c>
      <c r="C13396" s="2" t="str">
        <f ca="1">IFERROR(__xludf.DUMMYFUNCTION("""COMPUTED_VALUE"""),"Building")</f>
        <v>Building</v>
      </c>
      <c r="D13396" s="2" t="str">
        <f ca="1">IFERROR(__xludf.DUMMYFUNCTION("""COMPUTED_VALUE"""),"Dubai&gt;Jumeirah Village Circle (JVC)&gt;JVC District 13&gt;Dar Al Jawhara Residence")</f>
        <v>Dubai&gt;Jumeirah Village Circle (JVC)&gt;JVC District 13&gt;Dar Al Jawhara Residence</v>
      </c>
      <c r="E13396" s="2"/>
      <c r="F13396" s="2"/>
      <c r="G13396" s="2"/>
      <c r="H13396" s="2"/>
      <c r="I13396" s="2"/>
      <c r="J13396" s="2"/>
      <c r="K13396" s="2"/>
      <c r="L13396" s="2"/>
      <c r="M13396" s="2"/>
      <c r="N13396" s="2"/>
      <c r="O13396" s="2"/>
      <c r="P13396" s="2"/>
      <c r="Q13396" s="2"/>
      <c r="R13396" s="2"/>
      <c r="S13396" s="2"/>
      <c r="T13396" s="2"/>
      <c r="U13396" s="2"/>
      <c r="V13396" s="2"/>
      <c r="W13396" s="2"/>
      <c r="X13396" s="2"/>
      <c r="Y13396" s="2"/>
      <c r="Z13396" s="2"/>
    </row>
    <row r="13397" spans="1:26" ht="16.5" x14ac:dyDescent="0.35">
      <c r="A13397" s="2" t="str">
        <f ca="1">IFERROR(__xludf.DUMMYFUNCTION("""COMPUTED_VALUE"""),"Dubai")</f>
        <v>Dubai</v>
      </c>
      <c r="B13397" s="2" t="str">
        <f ca="1">IFERROR(__xludf.DUMMYFUNCTION("""COMPUTED_VALUE"""),"Elitz 3 Tower 2")</f>
        <v>Elitz 3 Tower 2</v>
      </c>
      <c r="C13397" s="2" t="str">
        <f ca="1">IFERROR(__xludf.DUMMYFUNCTION("""COMPUTED_VALUE"""),"Building")</f>
        <v>Building</v>
      </c>
      <c r="D13397" s="2" t="str">
        <f ca="1">IFERROR(__xludf.DUMMYFUNCTION("""COMPUTED_VALUE"""),"Dubai&gt;Jumeirah Village Circle (JVC)&gt;JVC District 13&gt;Elitz 3 by Danube&gt;Elitz 3 Tower 2")</f>
        <v>Dubai&gt;Jumeirah Village Circle (JVC)&gt;JVC District 13&gt;Elitz 3 by Danube&gt;Elitz 3 Tower 2</v>
      </c>
      <c r="E13397" s="2"/>
      <c r="F13397" s="2"/>
      <c r="G13397" s="2"/>
      <c r="H13397" s="2"/>
      <c r="I13397" s="2"/>
      <c r="J13397" s="2"/>
      <c r="K13397" s="2"/>
      <c r="L13397" s="2"/>
      <c r="M13397" s="2"/>
      <c r="N13397" s="2"/>
      <c r="O13397" s="2"/>
      <c r="P13397" s="2"/>
      <c r="Q13397" s="2"/>
      <c r="R13397" s="2"/>
      <c r="S13397" s="2"/>
      <c r="T13397" s="2"/>
      <c r="U13397" s="2"/>
      <c r="V13397" s="2"/>
      <c r="W13397" s="2"/>
      <c r="X13397" s="2"/>
      <c r="Y13397" s="2"/>
      <c r="Z13397" s="2"/>
    </row>
    <row r="13398" spans="1:26" ht="16.5" x14ac:dyDescent="0.35">
      <c r="A13398" s="2" t="str">
        <f ca="1">IFERROR(__xludf.DUMMYFUNCTION("""COMPUTED_VALUE"""),"Dubai")</f>
        <v>Dubai</v>
      </c>
      <c r="B13398" s="2" t="str">
        <f ca="1">IFERROR(__xludf.DUMMYFUNCTION("""COMPUTED_VALUE"""),"Sydney Tower")</f>
        <v>Sydney Tower</v>
      </c>
      <c r="C13398" s="2" t="str">
        <f ca="1">IFERROR(__xludf.DUMMYFUNCTION("""COMPUTED_VALUE"""),"Building")</f>
        <v>Building</v>
      </c>
      <c r="D13398" s="2" t="str">
        <f ca="1">IFERROR(__xludf.DUMMYFUNCTION("""COMPUTED_VALUE"""),"Dubai&gt;Jumeirah Village Circle (JVC)&gt;JVC District 18&gt;Sydney Tower")</f>
        <v>Dubai&gt;Jumeirah Village Circle (JVC)&gt;JVC District 18&gt;Sydney Tower</v>
      </c>
      <c r="E13398" s="2"/>
      <c r="F13398" s="2"/>
      <c r="G13398" s="2"/>
      <c r="H13398" s="2"/>
      <c r="I13398" s="2"/>
      <c r="J13398" s="2"/>
      <c r="K13398" s="2"/>
      <c r="L13398" s="2"/>
      <c r="M13398" s="2"/>
      <c r="N13398" s="2"/>
      <c r="O13398" s="2"/>
      <c r="P13398" s="2"/>
      <c r="Q13398" s="2"/>
      <c r="R13398" s="2"/>
      <c r="S13398" s="2"/>
      <c r="T13398" s="2"/>
      <c r="U13398" s="2"/>
      <c r="V13398" s="2"/>
      <c r="W13398" s="2"/>
      <c r="X13398" s="2"/>
      <c r="Y13398" s="2"/>
      <c r="Z13398" s="2"/>
    </row>
    <row r="13399" spans="1:26" ht="16.5" x14ac:dyDescent="0.35">
      <c r="A13399" s="2" t="str">
        <f ca="1">IFERROR(__xludf.DUMMYFUNCTION("""COMPUTED_VALUE"""),"Dubai")</f>
        <v>Dubai</v>
      </c>
      <c r="B13399" s="2" t="str">
        <f ca="1">IFERROR(__xludf.DUMMYFUNCTION("""COMPUTED_VALUE"""),"Signature Livings")</f>
        <v>Signature Livings</v>
      </c>
      <c r="C13399" s="2" t="str">
        <f ca="1">IFERROR(__xludf.DUMMYFUNCTION("""COMPUTED_VALUE"""),"Cluster")</f>
        <v>Cluster</v>
      </c>
      <c r="D13399" s="2" t="str">
        <f ca="1">IFERROR(__xludf.DUMMYFUNCTION("""COMPUTED_VALUE"""),"Dubai&gt;Jumeirah Village Circle (JVC)&gt;JVC District 10&gt;Signature Livings")</f>
        <v>Dubai&gt;Jumeirah Village Circle (JVC)&gt;JVC District 10&gt;Signature Livings</v>
      </c>
      <c r="E13399" s="2"/>
      <c r="F13399" s="2"/>
      <c r="G13399" s="2"/>
      <c r="H13399" s="2"/>
      <c r="I13399" s="2"/>
      <c r="J13399" s="2"/>
      <c r="K13399" s="2"/>
      <c r="L13399" s="2"/>
      <c r="M13399" s="2"/>
      <c r="N13399" s="2"/>
      <c r="O13399" s="2"/>
      <c r="P13399" s="2"/>
      <c r="Q13399" s="2"/>
      <c r="R13399" s="2"/>
      <c r="S13399" s="2"/>
      <c r="T13399" s="2"/>
      <c r="U13399" s="2"/>
      <c r="V13399" s="2"/>
      <c r="W13399" s="2"/>
      <c r="X13399" s="2"/>
      <c r="Y13399" s="2"/>
      <c r="Z13399" s="2"/>
    </row>
    <row r="13400" spans="1:26" ht="16.5" x14ac:dyDescent="0.35">
      <c r="A13400" s="2" t="str">
        <f ca="1">IFERROR(__xludf.DUMMYFUNCTION("""COMPUTED_VALUE"""),"Dubai")</f>
        <v>Dubai</v>
      </c>
      <c r="B13400" s="2" t="str">
        <f ca="1">IFERROR(__xludf.DUMMYFUNCTION("""COMPUTED_VALUE"""),"Royal JVC Building")</f>
        <v>Royal JVC Building</v>
      </c>
      <c r="C13400" s="2" t="str">
        <f ca="1">IFERROR(__xludf.DUMMYFUNCTION("""COMPUTED_VALUE"""),"Building")</f>
        <v>Building</v>
      </c>
      <c r="D13400" s="2" t="str">
        <f ca="1">IFERROR(__xludf.DUMMYFUNCTION("""COMPUTED_VALUE"""),"Dubai&gt;Jumeirah Village Circle (JVC)&gt;JVC District 10&gt;Royal JVC Building")</f>
        <v>Dubai&gt;Jumeirah Village Circle (JVC)&gt;JVC District 10&gt;Royal JVC Building</v>
      </c>
      <c r="E13400" s="2"/>
      <c r="F13400" s="2"/>
      <c r="G13400" s="2"/>
      <c r="H13400" s="2"/>
      <c r="I13400" s="2"/>
      <c r="J13400" s="2"/>
      <c r="K13400" s="2"/>
      <c r="L13400" s="2"/>
      <c r="M13400" s="2"/>
      <c r="N13400" s="2"/>
      <c r="O13400" s="2"/>
      <c r="P13400" s="2"/>
      <c r="Q13400" s="2"/>
      <c r="R13400" s="2"/>
      <c r="S13400" s="2"/>
      <c r="T13400" s="2"/>
      <c r="U13400" s="2"/>
      <c r="V13400" s="2"/>
      <c r="W13400" s="2"/>
      <c r="X13400" s="2"/>
      <c r="Y13400" s="2"/>
      <c r="Z13400" s="2"/>
    </row>
    <row r="13401" spans="1:26" ht="16.5" x14ac:dyDescent="0.35">
      <c r="A13401" s="2" t="str">
        <f ca="1">IFERROR(__xludf.DUMMYFUNCTION("""COMPUTED_VALUE"""),"Dubai")</f>
        <v>Dubai</v>
      </c>
      <c r="B13401" s="2" t="str">
        <f ca="1">IFERROR(__xludf.DUMMYFUNCTION("""COMPUTED_VALUE"""),"West Tower")</f>
        <v>West Tower</v>
      </c>
      <c r="C13401" s="2" t="str">
        <f ca="1">IFERROR(__xludf.DUMMYFUNCTION("""COMPUTED_VALUE"""),"Building")</f>
        <v>Building</v>
      </c>
      <c r="D13401" s="2" t="str">
        <f ca="1">IFERROR(__xludf.DUMMYFUNCTION("""COMPUTED_VALUE"""),"Dubai&gt;Jumeirah Village Circle (JVC)&gt;JVC District 10&gt;Luma 22&gt;West Tower")</f>
        <v>Dubai&gt;Jumeirah Village Circle (JVC)&gt;JVC District 10&gt;Luma 22&gt;West Tower</v>
      </c>
      <c r="E13401" s="2"/>
      <c r="F13401" s="2"/>
      <c r="G13401" s="2"/>
      <c r="H13401" s="2"/>
      <c r="I13401" s="2"/>
      <c r="J13401" s="2"/>
      <c r="K13401" s="2"/>
      <c r="L13401" s="2"/>
      <c r="M13401" s="2"/>
      <c r="N13401" s="2"/>
      <c r="O13401" s="2"/>
      <c r="P13401" s="2"/>
      <c r="Q13401" s="2"/>
      <c r="R13401" s="2"/>
      <c r="S13401" s="2"/>
      <c r="T13401" s="2"/>
      <c r="U13401" s="2"/>
      <c r="V13401" s="2"/>
      <c r="W13401" s="2"/>
      <c r="X13401" s="2"/>
      <c r="Y13401" s="2"/>
      <c r="Z13401" s="2"/>
    </row>
    <row r="13402" spans="1:26" ht="16.5" x14ac:dyDescent="0.35">
      <c r="A13402" s="2" t="str">
        <f ca="1">IFERROR(__xludf.DUMMYFUNCTION("""COMPUTED_VALUE"""),"Dubai")</f>
        <v>Dubai</v>
      </c>
      <c r="B13402" s="2" t="str">
        <f ca="1">IFERROR(__xludf.DUMMYFUNCTION("""COMPUTED_VALUE"""),"The Manhattan")</f>
        <v>The Manhattan</v>
      </c>
      <c r="C13402" s="2" t="str">
        <f ca="1">IFERROR(__xludf.DUMMYFUNCTION("""COMPUTED_VALUE"""),"Building")</f>
        <v>Building</v>
      </c>
      <c r="D13402" s="2" t="str">
        <f ca="1">IFERROR(__xludf.DUMMYFUNCTION("""COMPUTED_VALUE"""),"Dubai&gt;Jumeirah Village Circle (JVC)&gt;JVC District 10&gt;The Manhattan")</f>
        <v>Dubai&gt;Jumeirah Village Circle (JVC)&gt;JVC District 10&gt;The Manhattan</v>
      </c>
      <c r="E13402" s="2"/>
      <c r="F13402" s="2"/>
      <c r="G13402" s="2"/>
      <c r="H13402" s="2"/>
      <c r="I13402" s="2"/>
      <c r="J13402" s="2"/>
      <c r="K13402" s="2"/>
      <c r="L13402" s="2"/>
      <c r="M13402" s="2"/>
      <c r="N13402" s="2"/>
      <c r="O13402" s="2"/>
      <c r="P13402" s="2"/>
      <c r="Q13402" s="2"/>
      <c r="R13402" s="2"/>
      <c r="S13402" s="2"/>
      <c r="T13402" s="2"/>
      <c r="U13402" s="2"/>
      <c r="V13402" s="2"/>
      <c r="W13402" s="2"/>
      <c r="X13402" s="2"/>
      <c r="Y13402" s="2"/>
      <c r="Z13402" s="2"/>
    </row>
    <row r="13403" spans="1:26" ht="16.5" x14ac:dyDescent="0.35">
      <c r="A13403" s="2" t="str">
        <f ca="1">IFERROR(__xludf.DUMMYFUNCTION("""COMPUTED_VALUE"""),"Dubai")</f>
        <v>Dubai</v>
      </c>
      <c r="B13403" s="2" t="str">
        <f ca="1">IFERROR(__xludf.DUMMYFUNCTION("""COMPUTED_VALUE"""),"Rooya Townhouses")</f>
        <v>Rooya Townhouses</v>
      </c>
      <c r="C13403" s="2" t="str">
        <f ca="1">IFERROR(__xludf.DUMMYFUNCTION("""COMPUTED_VALUE"""),"Neighbourhood")</f>
        <v>Neighbourhood</v>
      </c>
      <c r="D13403" s="2" t="str">
        <f ca="1">IFERROR(__xludf.DUMMYFUNCTION("""COMPUTED_VALUE"""),"Dubai&gt;Jumeirah Village Circle (JVC)&gt;JVC District 16&gt;Rooya Townhouses")</f>
        <v>Dubai&gt;Jumeirah Village Circle (JVC)&gt;JVC District 16&gt;Rooya Townhouses</v>
      </c>
      <c r="E13403" s="2"/>
      <c r="F13403" s="2"/>
      <c r="G13403" s="2"/>
      <c r="H13403" s="2"/>
      <c r="I13403" s="2"/>
      <c r="J13403" s="2"/>
      <c r="K13403" s="2"/>
      <c r="L13403" s="2"/>
      <c r="M13403" s="2"/>
      <c r="N13403" s="2"/>
      <c r="O13403" s="2"/>
      <c r="P13403" s="2"/>
      <c r="Q13403" s="2"/>
      <c r="R13403" s="2"/>
      <c r="S13403" s="2"/>
      <c r="T13403" s="2"/>
      <c r="U13403" s="2"/>
      <c r="V13403" s="2"/>
      <c r="W13403" s="2"/>
      <c r="X13403" s="2"/>
      <c r="Y13403" s="2"/>
      <c r="Z13403" s="2"/>
    </row>
    <row r="13404" spans="1:26" ht="16.5" x14ac:dyDescent="0.35">
      <c r="A13404" s="2" t="str">
        <f ca="1">IFERROR(__xludf.DUMMYFUNCTION("""COMPUTED_VALUE"""),"Dubai")</f>
        <v>Dubai</v>
      </c>
      <c r="B13404" s="2" t="str">
        <f ca="1">IFERROR(__xludf.DUMMYFUNCTION("""COMPUTED_VALUE"""),"Villa Pera")</f>
        <v>Villa Pera</v>
      </c>
      <c r="C13404" s="2" t="str">
        <f ca="1">IFERROR(__xludf.DUMMYFUNCTION("""COMPUTED_VALUE"""),"Building")</f>
        <v>Building</v>
      </c>
      <c r="D13404" s="2" t="str">
        <f ca="1">IFERROR(__xludf.DUMMYFUNCTION("""COMPUTED_VALUE"""),"Dubai&gt;Jumeirah Village Circle (JVC)&gt;JVC District 15&gt;Villa Pera")</f>
        <v>Dubai&gt;Jumeirah Village Circle (JVC)&gt;JVC District 15&gt;Villa Pera</v>
      </c>
      <c r="E13404" s="2"/>
      <c r="F13404" s="2"/>
      <c r="G13404" s="2"/>
      <c r="H13404" s="2"/>
      <c r="I13404" s="2"/>
      <c r="J13404" s="2"/>
      <c r="K13404" s="2"/>
      <c r="L13404" s="2"/>
      <c r="M13404" s="2"/>
      <c r="N13404" s="2"/>
      <c r="O13404" s="2"/>
      <c r="P13404" s="2"/>
      <c r="Q13404" s="2"/>
      <c r="R13404" s="2"/>
      <c r="S13404" s="2"/>
      <c r="T13404" s="2"/>
      <c r="U13404" s="2"/>
      <c r="V13404" s="2"/>
      <c r="W13404" s="2"/>
      <c r="X13404" s="2"/>
      <c r="Y13404" s="2"/>
      <c r="Z13404" s="2"/>
    </row>
    <row r="13405" spans="1:26" ht="16.5" x14ac:dyDescent="0.35">
      <c r="A13405" s="2" t="str">
        <f ca="1">IFERROR(__xludf.DUMMYFUNCTION("""COMPUTED_VALUE"""),"Dubai")</f>
        <v>Dubai</v>
      </c>
      <c r="B13405" s="2" t="str">
        <f ca="1">IFERROR(__xludf.DUMMYFUNCTION("""COMPUTED_VALUE"""),"Amara Residences")</f>
        <v>Amara Residences</v>
      </c>
      <c r="C13405" s="2" t="str">
        <f ca="1">IFERROR(__xludf.DUMMYFUNCTION("""COMPUTED_VALUE"""),"Building")</f>
        <v>Building</v>
      </c>
      <c r="D13405" s="2" t="str">
        <f ca="1">IFERROR(__xludf.DUMMYFUNCTION("""COMPUTED_VALUE"""),"Dubai&gt;Jumeirah Village Circle (JVC)&gt;JVC District 15&gt;Amara Residences")</f>
        <v>Dubai&gt;Jumeirah Village Circle (JVC)&gt;JVC District 15&gt;Amara Residences</v>
      </c>
      <c r="E13405" s="2"/>
      <c r="F13405" s="2"/>
      <c r="G13405" s="2"/>
      <c r="H13405" s="2"/>
      <c r="I13405" s="2"/>
      <c r="J13405" s="2"/>
      <c r="K13405" s="2"/>
      <c r="L13405" s="2"/>
      <c r="M13405" s="2"/>
      <c r="N13405" s="2"/>
      <c r="O13405" s="2"/>
      <c r="P13405" s="2"/>
      <c r="Q13405" s="2"/>
      <c r="R13405" s="2"/>
      <c r="S13405" s="2"/>
      <c r="T13405" s="2"/>
      <c r="U13405" s="2"/>
      <c r="V13405" s="2"/>
      <c r="W13405" s="2"/>
      <c r="X13405" s="2"/>
      <c r="Y13405" s="2"/>
      <c r="Z13405" s="2"/>
    </row>
    <row r="13406" spans="1:26" ht="16.5" x14ac:dyDescent="0.35">
      <c r="A13406" s="2" t="str">
        <f ca="1">IFERROR(__xludf.DUMMYFUNCTION("""COMPUTED_VALUE"""),"Dubai")</f>
        <v>Dubai</v>
      </c>
      <c r="B13406" s="2" t="str">
        <f ca="1">IFERROR(__xludf.DUMMYFUNCTION("""COMPUTED_VALUE"""),"AKA Residence")</f>
        <v>AKA Residence</v>
      </c>
      <c r="C13406" s="2" t="str">
        <f ca="1">IFERROR(__xludf.DUMMYFUNCTION("""COMPUTED_VALUE"""),"Building")</f>
        <v>Building</v>
      </c>
      <c r="D13406" s="2" t="str">
        <f ca="1">IFERROR(__xludf.DUMMYFUNCTION("""COMPUTED_VALUE"""),"Dubai&gt;Jumeirah Village Circle (JVC)&gt;JVC District 11&gt;AKA Residence")</f>
        <v>Dubai&gt;Jumeirah Village Circle (JVC)&gt;JVC District 11&gt;AKA Residence</v>
      </c>
      <c r="E13406" s="2"/>
      <c r="F13406" s="2"/>
      <c r="G13406" s="2"/>
      <c r="H13406" s="2"/>
      <c r="I13406" s="2"/>
      <c r="J13406" s="2"/>
      <c r="K13406" s="2"/>
      <c r="L13406" s="2"/>
      <c r="M13406" s="2"/>
      <c r="N13406" s="2"/>
      <c r="O13406" s="2"/>
      <c r="P13406" s="2"/>
      <c r="Q13406" s="2"/>
      <c r="R13406" s="2"/>
      <c r="S13406" s="2"/>
      <c r="T13406" s="2"/>
      <c r="U13406" s="2"/>
      <c r="V13406" s="2"/>
      <c r="W13406" s="2"/>
      <c r="X13406" s="2"/>
      <c r="Y13406" s="2"/>
      <c r="Z13406" s="2"/>
    </row>
    <row r="13407" spans="1:26" ht="16.5" x14ac:dyDescent="0.35">
      <c r="A13407" s="2" t="str">
        <f ca="1">IFERROR(__xludf.DUMMYFUNCTION("""COMPUTED_VALUE"""),"Dubai")</f>
        <v>Dubai</v>
      </c>
      <c r="B13407" s="2" t="str">
        <f ca="1">IFERROR(__xludf.DUMMYFUNCTION("""COMPUTED_VALUE"""),"Diamond Views II")</f>
        <v>Diamond Views II</v>
      </c>
      <c r="C13407" s="2" t="str">
        <f ca="1">IFERROR(__xludf.DUMMYFUNCTION("""COMPUTED_VALUE"""),"Building")</f>
        <v>Building</v>
      </c>
      <c r="D13407" s="2" t="str">
        <f ca="1">IFERROR(__xludf.DUMMYFUNCTION("""COMPUTED_VALUE"""),"Dubai&gt;Jumeirah Village Circle (JVC)&gt;JVC District 11&gt;Diamond Views II")</f>
        <v>Dubai&gt;Jumeirah Village Circle (JVC)&gt;JVC District 11&gt;Diamond Views II</v>
      </c>
      <c r="E13407" s="2"/>
      <c r="F13407" s="2"/>
      <c r="G13407" s="2"/>
      <c r="H13407" s="2"/>
      <c r="I13407" s="2"/>
      <c r="J13407" s="2"/>
      <c r="K13407" s="2"/>
      <c r="L13407" s="2"/>
      <c r="M13407" s="2"/>
      <c r="N13407" s="2"/>
      <c r="O13407" s="2"/>
      <c r="P13407" s="2"/>
      <c r="Q13407" s="2"/>
      <c r="R13407" s="2"/>
      <c r="S13407" s="2"/>
      <c r="T13407" s="2"/>
      <c r="U13407" s="2"/>
      <c r="V13407" s="2"/>
      <c r="W13407" s="2"/>
      <c r="X13407" s="2"/>
      <c r="Y13407" s="2"/>
      <c r="Z13407" s="2"/>
    </row>
    <row r="13408" spans="1:26" ht="16.5" x14ac:dyDescent="0.35">
      <c r="A13408" s="2" t="str">
        <f ca="1">IFERROR(__xludf.DUMMYFUNCTION("""COMPUTED_VALUE"""),"Dubai")</f>
        <v>Dubai</v>
      </c>
      <c r="B13408" s="2" t="str">
        <f ca="1">IFERROR(__xludf.DUMMYFUNCTION("""COMPUTED_VALUE"""),"Binghatti Gardenia")</f>
        <v>Binghatti Gardenia</v>
      </c>
      <c r="C13408" s="2" t="str">
        <f ca="1">IFERROR(__xludf.DUMMYFUNCTION("""COMPUTED_VALUE"""),"Building")</f>
        <v>Building</v>
      </c>
      <c r="D13408" s="2" t="str">
        <f ca="1">IFERROR(__xludf.DUMMYFUNCTION("""COMPUTED_VALUE"""),"Dubai&gt;Jumeirah Village Circle (JVC)&gt;JVC District 11&gt;Binghatti Gardenia")</f>
        <v>Dubai&gt;Jumeirah Village Circle (JVC)&gt;JVC District 11&gt;Binghatti Gardenia</v>
      </c>
      <c r="E13408" s="2"/>
      <c r="F13408" s="2"/>
      <c r="G13408" s="2"/>
      <c r="H13408" s="2"/>
      <c r="I13408" s="2"/>
      <c r="J13408" s="2"/>
      <c r="K13408" s="2"/>
      <c r="L13408" s="2"/>
      <c r="M13408" s="2"/>
      <c r="N13408" s="2"/>
      <c r="O13408" s="2"/>
      <c r="P13408" s="2"/>
      <c r="Q13408" s="2"/>
      <c r="R13408" s="2"/>
      <c r="S13408" s="2"/>
      <c r="T13408" s="2"/>
      <c r="U13408" s="2"/>
      <c r="V13408" s="2"/>
      <c r="W13408" s="2"/>
      <c r="X13408" s="2"/>
      <c r="Y13408" s="2"/>
      <c r="Z13408" s="2"/>
    </row>
    <row r="13409" spans="1:26" ht="16.5" x14ac:dyDescent="0.35">
      <c r="A13409" s="2" t="str">
        <f ca="1">IFERROR(__xludf.DUMMYFUNCTION("""COMPUTED_VALUE"""),"Dubai")</f>
        <v>Dubai</v>
      </c>
      <c r="B13409" s="2" t="str">
        <f ca="1">IFERROR(__xludf.DUMMYFUNCTION("""COMPUTED_VALUE"""),"Rose Gold Residences by Zee Development")</f>
        <v>Rose Gold Residences by Zee Development</v>
      </c>
      <c r="C13409" s="2" t="str">
        <f ca="1">IFERROR(__xludf.DUMMYFUNCTION("""COMPUTED_VALUE"""),"Building")</f>
        <v>Building</v>
      </c>
      <c r="D13409" s="2" t="str">
        <f ca="1">IFERROR(__xludf.DUMMYFUNCTION("""COMPUTED_VALUE"""),"Dubai&gt;Jumeirah Village Circle (JVC)&gt;JVC District 11&gt;Rose Gold Residences by Zee Development")</f>
        <v>Dubai&gt;Jumeirah Village Circle (JVC)&gt;JVC District 11&gt;Rose Gold Residences by Zee Development</v>
      </c>
      <c r="E13409" s="2"/>
      <c r="F13409" s="2"/>
      <c r="G13409" s="2"/>
      <c r="H13409" s="2"/>
      <c r="I13409" s="2"/>
      <c r="J13409" s="2"/>
      <c r="K13409" s="2"/>
      <c r="L13409" s="2"/>
      <c r="M13409" s="2"/>
      <c r="N13409" s="2"/>
      <c r="O13409" s="2"/>
      <c r="P13409" s="2"/>
      <c r="Q13409" s="2"/>
      <c r="R13409" s="2"/>
      <c r="S13409" s="2"/>
      <c r="T13409" s="2"/>
      <c r="U13409" s="2"/>
      <c r="V13409" s="2"/>
      <c r="W13409" s="2"/>
      <c r="X13409" s="2"/>
      <c r="Y13409" s="2"/>
      <c r="Z13409" s="2"/>
    </row>
    <row r="13410" spans="1:26" ht="16.5" x14ac:dyDescent="0.35">
      <c r="A13410" s="2" t="str">
        <f ca="1">IFERROR(__xludf.DUMMYFUNCTION("""COMPUTED_VALUE"""),"Dubai")</f>
        <v>Dubai</v>
      </c>
      <c r="B13410" s="2" t="str">
        <f ca="1">IFERROR(__xludf.DUMMYFUNCTION("""COMPUTED_VALUE"""),"Park View Tower")</f>
        <v>Park View Tower</v>
      </c>
      <c r="C13410" s="2" t="str">
        <f ca="1">IFERROR(__xludf.DUMMYFUNCTION("""COMPUTED_VALUE"""),"Building")</f>
        <v>Building</v>
      </c>
      <c r="D13410" s="2" t="str">
        <f ca="1">IFERROR(__xludf.DUMMYFUNCTION("""COMPUTED_VALUE"""),"Dubai&gt;Jumeirah Village Circle (JVC)&gt;JVC District 14&gt;Park View Tower")</f>
        <v>Dubai&gt;Jumeirah Village Circle (JVC)&gt;JVC District 14&gt;Park View Tower</v>
      </c>
      <c r="E13410" s="2"/>
      <c r="F13410" s="2"/>
      <c r="G13410" s="2"/>
      <c r="H13410" s="2"/>
      <c r="I13410" s="2"/>
      <c r="J13410" s="2"/>
      <c r="K13410" s="2"/>
      <c r="L13410" s="2"/>
      <c r="M13410" s="2"/>
      <c r="N13410" s="2"/>
      <c r="O13410" s="2"/>
      <c r="P13410" s="2"/>
      <c r="Q13410" s="2"/>
      <c r="R13410" s="2"/>
      <c r="S13410" s="2"/>
      <c r="T13410" s="2"/>
      <c r="U13410" s="2"/>
      <c r="V13410" s="2"/>
      <c r="W13410" s="2"/>
      <c r="X13410" s="2"/>
      <c r="Y13410" s="2"/>
      <c r="Z13410" s="2"/>
    </row>
    <row r="13411" spans="1:26" ht="16.5" x14ac:dyDescent="0.35">
      <c r="A13411" s="2" t="str">
        <f ca="1">IFERROR(__xludf.DUMMYFUNCTION("""COMPUTED_VALUE"""),"Dubai")</f>
        <v>Dubai</v>
      </c>
      <c r="B13411" s="2" t="str">
        <f ca="1">IFERROR(__xludf.DUMMYFUNCTION("""COMPUTED_VALUE"""),"Golden Wood Views 5")</f>
        <v>Golden Wood Views 5</v>
      </c>
      <c r="C13411" s="2" t="str">
        <f ca="1">IFERROR(__xludf.DUMMYFUNCTION("""COMPUTED_VALUE"""),"Building")</f>
        <v>Building</v>
      </c>
      <c r="D13411" s="2" t="str">
        <f ca="1">IFERROR(__xludf.DUMMYFUNCTION("""COMPUTED_VALUE"""),"Dubai&gt;Jumeirah Village Circle (JVC)&gt;JVC District 14&gt;Golden Wood Views 5")</f>
        <v>Dubai&gt;Jumeirah Village Circle (JVC)&gt;JVC District 14&gt;Golden Wood Views 5</v>
      </c>
      <c r="E13411" s="2"/>
      <c r="F13411" s="2"/>
      <c r="G13411" s="2"/>
      <c r="H13411" s="2"/>
      <c r="I13411" s="2"/>
      <c r="J13411" s="2"/>
      <c r="K13411" s="2"/>
      <c r="L13411" s="2"/>
      <c r="M13411" s="2"/>
      <c r="N13411" s="2"/>
      <c r="O13411" s="2"/>
      <c r="P13411" s="2"/>
      <c r="Q13411" s="2"/>
      <c r="R13411" s="2"/>
      <c r="S13411" s="2"/>
      <c r="T13411" s="2"/>
      <c r="U13411" s="2"/>
      <c r="V13411" s="2"/>
      <c r="W13411" s="2"/>
      <c r="X13411" s="2"/>
      <c r="Y13411" s="2"/>
      <c r="Z13411" s="2"/>
    </row>
    <row r="13412" spans="1:26" ht="16.5" x14ac:dyDescent="0.35">
      <c r="A13412" s="2" t="str">
        <f ca="1">IFERROR(__xludf.DUMMYFUNCTION("""COMPUTED_VALUE"""),"Dubai")</f>
        <v>Dubai</v>
      </c>
      <c r="B13412" s="2" t="str">
        <f ca="1">IFERROR(__xludf.DUMMYFUNCTION("""COMPUTED_VALUE"""),"Sandoval Gardens Villas")</f>
        <v>Sandoval Gardens Villas</v>
      </c>
      <c r="C13412" s="2" t="str">
        <f ca="1">IFERROR(__xludf.DUMMYFUNCTION("""COMPUTED_VALUE"""),"Neighbourhood")</f>
        <v>Neighbourhood</v>
      </c>
      <c r="D13412" s="2" t="str">
        <f ca="1">IFERROR(__xludf.DUMMYFUNCTION("""COMPUTED_VALUE"""),"Dubai&gt;Jumeirah Village Circle (JVC)&gt;JVC District 14&gt;Sandoval Gardens Villas")</f>
        <v>Dubai&gt;Jumeirah Village Circle (JVC)&gt;JVC District 14&gt;Sandoval Gardens Villas</v>
      </c>
      <c r="E13412" s="2"/>
      <c r="F13412" s="2"/>
      <c r="G13412" s="2"/>
      <c r="H13412" s="2"/>
      <c r="I13412" s="2"/>
      <c r="J13412" s="2"/>
      <c r="K13412" s="2"/>
      <c r="L13412" s="2"/>
      <c r="M13412" s="2"/>
      <c r="N13412" s="2"/>
      <c r="O13412" s="2"/>
      <c r="P13412" s="2"/>
      <c r="Q13412" s="2"/>
      <c r="R13412" s="2"/>
      <c r="S13412" s="2"/>
      <c r="T13412" s="2"/>
      <c r="U13412" s="2"/>
      <c r="V13412" s="2"/>
      <c r="W13412" s="2"/>
      <c r="X13412" s="2"/>
      <c r="Y13412" s="2"/>
      <c r="Z13412" s="2"/>
    </row>
    <row r="13413" spans="1:26" ht="16.5" x14ac:dyDescent="0.35">
      <c r="A13413" s="2" t="str">
        <f ca="1">IFERROR(__xludf.DUMMYFUNCTION("""COMPUTED_VALUE"""),"Dubai")</f>
        <v>Dubai</v>
      </c>
      <c r="B13413" s="2" t="str">
        <f ca="1">IFERROR(__xludf.DUMMYFUNCTION("""COMPUTED_VALUE"""),"Riem Building")</f>
        <v>Riem Building</v>
      </c>
      <c r="C13413" s="2" t="str">
        <f ca="1">IFERROR(__xludf.DUMMYFUNCTION("""COMPUTED_VALUE"""),"Building")</f>
        <v>Building</v>
      </c>
      <c r="D13413" s="2" t="str">
        <f ca="1">IFERROR(__xludf.DUMMYFUNCTION("""COMPUTED_VALUE"""),"Dubai&gt;Dubai Land Residence Complex&gt;Riem Building")</f>
        <v>Dubai&gt;Dubai Land Residence Complex&gt;Riem Building</v>
      </c>
      <c r="E13413" s="2"/>
      <c r="F13413" s="2"/>
      <c r="G13413" s="2"/>
      <c r="H13413" s="2"/>
      <c r="I13413" s="2"/>
      <c r="J13413" s="2"/>
      <c r="K13413" s="2"/>
      <c r="L13413" s="2"/>
      <c r="M13413" s="2"/>
      <c r="N13413" s="2"/>
      <c r="O13413" s="2"/>
      <c r="P13413" s="2"/>
      <c r="Q13413" s="2"/>
      <c r="R13413" s="2"/>
      <c r="S13413" s="2"/>
      <c r="T13413" s="2"/>
      <c r="U13413" s="2"/>
      <c r="V13413" s="2"/>
      <c r="W13413" s="2"/>
      <c r="X13413" s="2"/>
      <c r="Y13413" s="2"/>
      <c r="Z13413" s="2"/>
    </row>
    <row r="13414" spans="1:26" ht="16.5" x14ac:dyDescent="0.35">
      <c r="A13414" s="2" t="str">
        <f ca="1">IFERROR(__xludf.DUMMYFUNCTION("""COMPUTED_VALUE"""),"Dubai")</f>
        <v>Dubai</v>
      </c>
      <c r="B13414" s="2" t="str">
        <f ca="1">IFERROR(__xludf.DUMMYFUNCTION("""COMPUTED_VALUE"""),"Elwishy 1")</f>
        <v>Elwishy 1</v>
      </c>
      <c r="C13414" s="2" t="str">
        <f ca="1">IFERROR(__xludf.DUMMYFUNCTION("""COMPUTED_VALUE"""),"Building")</f>
        <v>Building</v>
      </c>
      <c r="D13414" s="2" t="str">
        <f ca="1">IFERROR(__xludf.DUMMYFUNCTION("""COMPUTED_VALUE"""),"Dubai&gt;Dubai Land Residence Complex&gt;Elwishy 1")</f>
        <v>Dubai&gt;Dubai Land Residence Complex&gt;Elwishy 1</v>
      </c>
      <c r="E13414" s="2"/>
      <c r="F13414" s="2"/>
      <c r="G13414" s="2"/>
      <c r="H13414" s="2"/>
      <c r="I13414" s="2"/>
      <c r="J13414" s="2"/>
      <c r="K13414" s="2"/>
      <c r="L13414" s="2"/>
      <c r="M13414" s="2"/>
      <c r="N13414" s="2"/>
      <c r="O13414" s="2"/>
      <c r="P13414" s="2"/>
      <c r="Q13414" s="2"/>
      <c r="R13414" s="2"/>
      <c r="S13414" s="2"/>
      <c r="T13414" s="2"/>
      <c r="U13414" s="2"/>
      <c r="V13414" s="2"/>
      <c r="W13414" s="2"/>
      <c r="X13414" s="2"/>
      <c r="Y13414" s="2"/>
      <c r="Z13414" s="2"/>
    </row>
    <row r="13415" spans="1:26" ht="16.5" x14ac:dyDescent="0.35">
      <c r="A13415" s="2" t="str">
        <f ca="1">IFERROR(__xludf.DUMMYFUNCTION("""COMPUTED_VALUE"""),"Dubai")</f>
        <v>Dubai</v>
      </c>
      <c r="B13415" s="2" t="str">
        <f ca="1">IFERROR(__xludf.DUMMYFUNCTION("""COMPUTED_VALUE"""),"Samana Avenue")</f>
        <v>Samana Avenue</v>
      </c>
      <c r="C13415" s="2" t="str">
        <f ca="1">IFERROR(__xludf.DUMMYFUNCTION("""COMPUTED_VALUE"""),"Building")</f>
        <v>Building</v>
      </c>
      <c r="D13415" s="2" t="str">
        <f ca="1">IFERROR(__xludf.DUMMYFUNCTION("""COMPUTED_VALUE"""),"Dubai&gt;Dubai Land Residence Complex&gt;Samana Avenue")</f>
        <v>Dubai&gt;Dubai Land Residence Complex&gt;Samana Avenue</v>
      </c>
      <c r="E13415" s="2"/>
      <c r="F13415" s="2"/>
      <c r="G13415" s="2"/>
      <c r="H13415" s="2"/>
      <c r="I13415" s="2"/>
      <c r="J13415" s="2"/>
      <c r="K13415" s="2"/>
      <c r="L13415" s="2"/>
      <c r="M13415" s="2"/>
      <c r="N13415" s="2"/>
      <c r="O13415" s="2"/>
      <c r="P13415" s="2"/>
      <c r="Q13415" s="2"/>
      <c r="R13415" s="2"/>
      <c r="S13415" s="2"/>
      <c r="T13415" s="2"/>
      <c r="U13415" s="2"/>
      <c r="V13415" s="2"/>
      <c r="W13415" s="2"/>
      <c r="X13415" s="2"/>
      <c r="Y13415" s="2"/>
      <c r="Z13415" s="2"/>
    </row>
    <row r="13416" spans="1:26" ht="16.5" x14ac:dyDescent="0.35">
      <c r="A13416" s="2" t="str">
        <f ca="1">IFERROR(__xludf.DUMMYFUNCTION("""COMPUTED_VALUE"""),"Dubai")</f>
        <v>Dubai</v>
      </c>
      <c r="B13416" s="2" t="str">
        <f ca="1">IFERROR(__xludf.DUMMYFUNCTION("""COMPUTED_VALUE"""),"Roof Comfort")</f>
        <v>Roof Comfort</v>
      </c>
      <c r="C13416" s="2" t="str">
        <f ca="1">IFERROR(__xludf.DUMMYFUNCTION("""COMPUTED_VALUE"""),"Cluster")</f>
        <v>Cluster</v>
      </c>
      <c r="D13416" s="2" t="str">
        <f ca="1">IFERROR(__xludf.DUMMYFUNCTION("""COMPUTED_VALUE"""),"Dubai&gt;Dubai Land Residence Complex&gt;Roof Comfort")</f>
        <v>Dubai&gt;Dubai Land Residence Complex&gt;Roof Comfort</v>
      </c>
      <c r="E13416" s="2"/>
      <c r="F13416" s="2"/>
      <c r="G13416" s="2"/>
      <c r="H13416" s="2"/>
      <c r="I13416" s="2"/>
      <c r="J13416" s="2"/>
      <c r="K13416" s="2"/>
      <c r="L13416" s="2"/>
      <c r="M13416" s="2"/>
      <c r="N13416" s="2"/>
      <c r="O13416" s="2"/>
      <c r="P13416" s="2"/>
      <c r="Q13416" s="2"/>
      <c r="R13416" s="2"/>
      <c r="S13416" s="2"/>
      <c r="T13416" s="2"/>
      <c r="U13416" s="2"/>
      <c r="V13416" s="2"/>
      <c r="W13416" s="2"/>
      <c r="X13416" s="2"/>
      <c r="Y13416" s="2"/>
      <c r="Z13416" s="2"/>
    </row>
    <row r="13417" spans="1:26" ht="16.5" x14ac:dyDescent="0.35">
      <c r="A13417" s="2" t="str">
        <f ca="1">IFERROR(__xludf.DUMMYFUNCTION("""COMPUTED_VALUE"""),"Dubai")</f>
        <v>Dubai</v>
      </c>
      <c r="B13417" s="2" t="str">
        <f ca="1">IFERROR(__xludf.DUMMYFUNCTION("""COMPUTED_VALUE"""),"Mirdif 44 Villas")</f>
        <v>Mirdif 44 Villas</v>
      </c>
      <c r="C13417" s="2" t="str">
        <f ca="1">IFERROR(__xludf.DUMMYFUNCTION("""COMPUTED_VALUE"""),"Neighbourhood")</f>
        <v>Neighbourhood</v>
      </c>
      <c r="D13417" s="2" t="str">
        <f ca="1">IFERROR(__xludf.DUMMYFUNCTION("""COMPUTED_VALUE"""),"Dubai&gt;Mirdif&gt;Uptown Mirdif&gt;Mirdif 44 Villas")</f>
        <v>Dubai&gt;Mirdif&gt;Uptown Mirdif&gt;Mirdif 44 Villas</v>
      </c>
      <c r="E13417" s="2"/>
      <c r="F13417" s="2"/>
      <c r="G13417" s="2"/>
      <c r="H13417" s="2"/>
      <c r="I13417" s="2"/>
      <c r="J13417" s="2"/>
      <c r="K13417" s="2"/>
      <c r="L13417" s="2"/>
      <c r="M13417" s="2"/>
      <c r="N13417" s="2"/>
      <c r="O13417" s="2"/>
      <c r="P13417" s="2"/>
      <c r="Q13417" s="2"/>
      <c r="R13417" s="2"/>
      <c r="S13417" s="2"/>
      <c r="T13417" s="2"/>
      <c r="U13417" s="2"/>
      <c r="V13417" s="2"/>
      <c r="W13417" s="2"/>
      <c r="X13417" s="2"/>
      <c r="Y13417" s="2"/>
      <c r="Z13417" s="2"/>
    </row>
    <row r="13418" spans="1:26" ht="16.5" x14ac:dyDescent="0.35">
      <c r="A13418" s="2" t="str">
        <f ca="1">IFERROR(__xludf.DUMMYFUNCTION("""COMPUTED_VALUE"""),"Dubai")</f>
        <v>Dubai</v>
      </c>
      <c r="B13418" s="2" t="str">
        <f ca="1">IFERROR(__xludf.DUMMYFUNCTION("""COMPUTED_VALUE"""),"Nasayem Avenue Block G")</f>
        <v>Nasayem Avenue Block G</v>
      </c>
      <c r="C13418" s="2" t="str">
        <f ca="1">IFERROR(__xludf.DUMMYFUNCTION("""COMPUTED_VALUE"""),"Building")</f>
        <v>Building</v>
      </c>
      <c r="D13418" s="2" t="str">
        <f ca="1">IFERROR(__xludf.DUMMYFUNCTION("""COMPUTED_VALUE"""),"Dubai&gt;Mirdif&gt;Mirdif Hills&gt;Nasayem Avenue&gt;Nasayem Avenue Block G")</f>
        <v>Dubai&gt;Mirdif&gt;Mirdif Hills&gt;Nasayem Avenue&gt;Nasayem Avenue Block G</v>
      </c>
      <c r="E13418" s="2"/>
      <c r="F13418" s="2"/>
      <c r="G13418" s="2"/>
      <c r="H13418" s="2"/>
      <c r="I13418" s="2"/>
      <c r="J13418" s="2"/>
      <c r="K13418" s="2"/>
      <c r="L13418" s="2"/>
      <c r="M13418" s="2"/>
      <c r="N13418" s="2"/>
      <c r="O13418" s="2"/>
      <c r="P13418" s="2"/>
      <c r="Q13418" s="2"/>
      <c r="R13418" s="2"/>
      <c r="S13418" s="2"/>
      <c r="T13418" s="2"/>
      <c r="U13418" s="2"/>
      <c r="V13418" s="2"/>
      <c r="W13418" s="2"/>
      <c r="X13418" s="2"/>
      <c r="Y13418" s="2"/>
      <c r="Z13418" s="2"/>
    </row>
    <row r="13419" spans="1:26" ht="16.5" x14ac:dyDescent="0.35">
      <c r="A13419" s="2" t="str">
        <f ca="1">IFERROR(__xludf.DUMMYFUNCTION("""COMPUTED_VALUE"""),"Dubai")</f>
        <v>Dubai</v>
      </c>
      <c r="B13419" s="2" t="str">
        <f ca="1">IFERROR(__xludf.DUMMYFUNCTION("""COMPUTED_VALUE"""),"Zulal 2")</f>
        <v>Zulal 2</v>
      </c>
      <c r="C13419" s="2" t="str">
        <f ca="1">IFERROR(__xludf.DUMMYFUNCTION("""COMPUTED_VALUE"""),"Neighbourhood")</f>
        <v>Neighbourhood</v>
      </c>
      <c r="D13419" s="2" t="str">
        <f ca="1">IFERROR(__xludf.DUMMYFUNCTION("""COMPUTED_VALUE"""),"Dubai&gt;The Lakes&gt;Zulal&gt;Zulal 2")</f>
        <v>Dubai&gt;The Lakes&gt;Zulal&gt;Zulal 2</v>
      </c>
      <c r="E13419" s="2"/>
      <c r="F13419" s="2"/>
      <c r="G13419" s="2"/>
      <c r="H13419" s="2"/>
      <c r="I13419" s="2"/>
      <c r="J13419" s="2"/>
      <c r="K13419" s="2"/>
      <c r="L13419" s="2"/>
      <c r="M13419" s="2"/>
      <c r="N13419" s="2"/>
      <c r="O13419" s="2"/>
      <c r="P13419" s="2"/>
      <c r="Q13419" s="2"/>
      <c r="R13419" s="2"/>
      <c r="S13419" s="2"/>
      <c r="T13419" s="2"/>
      <c r="U13419" s="2"/>
      <c r="V13419" s="2"/>
      <c r="W13419" s="2"/>
      <c r="X13419" s="2"/>
      <c r="Y13419" s="2"/>
      <c r="Z13419" s="2"/>
    </row>
    <row r="13420" spans="1:26" ht="16.5" x14ac:dyDescent="0.35">
      <c r="A13420" s="2" t="str">
        <f ca="1">IFERROR(__xludf.DUMMYFUNCTION("""COMPUTED_VALUE"""),"Dubai")</f>
        <v>Dubai</v>
      </c>
      <c r="B13420" s="2" t="str">
        <f ca="1">IFERROR(__xludf.DUMMYFUNCTION("""COMPUTED_VALUE"""),"The National Charity School")</f>
        <v>The National Charity School</v>
      </c>
      <c r="C13420" s="2" t="str">
        <f ca="1">IFERROR(__xludf.DUMMYFUNCTION("""COMPUTED_VALUE"""),"School")</f>
        <v>School</v>
      </c>
      <c r="D13420" s="2" t="str">
        <f ca="1">IFERROR(__xludf.DUMMYFUNCTION("""COMPUTED_VALUE"""),"Dubai&gt;Al Garhoud&gt;The National Charity School")</f>
        <v>Dubai&gt;Al Garhoud&gt;The National Charity School</v>
      </c>
      <c r="E13420" s="2"/>
      <c r="F13420" s="2"/>
      <c r="G13420" s="2"/>
      <c r="H13420" s="2"/>
      <c r="I13420" s="2"/>
      <c r="J13420" s="2"/>
      <c r="K13420" s="2"/>
      <c r="L13420" s="2"/>
      <c r="M13420" s="2"/>
      <c r="N13420" s="2"/>
      <c r="O13420" s="2"/>
      <c r="P13420" s="2"/>
      <c r="Q13420" s="2"/>
      <c r="R13420" s="2"/>
      <c r="S13420" s="2"/>
      <c r="T13420" s="2"/>
      <c r="U13420" s="2"/>
      <c r="V13420" s="2"/>
      <c r="W13420" s="2"/>
      <c r="X13420" s="2"/>
      <c r="Y13420" s="2"/>
      <c r="Z13420" s="2"/>
    </row>
    <row r="13421" spans="1:26" ht="16.5" x14ac:dyDescent="0.35">
      <c r="A13421" s="2" t="str">
        <f ca="1">IFERROR(__xludf.DUMMYFUNCTION("""COMPUTED_VALUE"""),"Dubai")</f>
        <v>Dubai</v>
      </c>
      <c r="B13421" s="2" t="str">
        <f ca="1">IFERROR(__xludf.DUMMYFUNCTION("""COMPUTED_VALUE"""),"Ibis Styles Dubai Airport Hotel")</f>
        <v>Ibis Styles Dubai Airport Hotel</v>
      </c>
      <c r="C13421" s="2" t="str">
        <f ca="1">IFERROR(__xludf.DUMMYFUNCTION("""COMPUTED_VALUE"""),"Building")</f>
        <v>Building</v>
      </c>
      <c r="D13421" s="2" t="str">
        <f ca="1">IFERROR(__xludf.DUMMYFUNCTION("""COMPUTED_VALUE"""),"Dubai&gt;Al Garhoud&gt;Ibis Styles Dubai Airport Hotel")</f>
        <v>Dubai&gt;Al Garhoud&gt;Ibis Styles Dubai Airport Hotel</v>
      </c>
      <c r="E13421" s="2"/>
      <c r="F13421" s="2"/>
      <c r="G13421" s="2"/>
      <c r="H13421" s="2"/>
      <c r="I13421" s="2"/>
      <c r="J13421" s="2"/>
      <c r="K13421" s="2"/>
      <c r="L13421" s="2"/>
      <c r="M13421" s="2"/>
      <c r="N13421" s="2"/>
      <c r="O13421" s="2"/>
      <c r="P13421" s="2"/>
      <c r="Q13421" s="2"/>
      <c r="R13421" s="2"/>
      <c r="S13421" s="2"/>
      <c r="T13421" s="2"/>
      <c r="U13421" s="2"/>
      <c r="V13421" s="2"/>
      <c r="W13421" s="2"/>
      <c r="X13421" s="2"/>
      <c r="Y13421" s="2"/>
      <c r="Z13421" s="2"/>
    </row>
    <row r="13422" spans="1:26" ht="16.5" x14ac:dyDescent="0.35">
      <c r="A13422" s="2" t="str">
        <f ca="1">IFERROR(__xludf.DUMMYFUNCTION("""COMPUTED_VALUE"""),"Dubai")</f>
        <v>Dubai</v>
      </c>
      <c r="B13422" s="2" t="str">
        <f ca="1">IFERROR(__xludf.DUMMYFUNCTION("""COMPUTED_VALUE"""),"Mohammed Abdul Rahman Al Ashram Building")</f>
        <v>Mohammed Abdul Rahman Al Ashram Building</v>
      </c>
      <c r="C13422" s="2" t="str">
        <f ca="1">IFERROR(__xludf.DUMMYFUNCTION("""COMPUTED_VALUE"""),"Cluster")</f>
        <v>Cluster</v>
      </c>
      <c r="D13422" s="2" t="str">
        <f ca="1">IFERROR(__xludf.DUMMYFUNCTION("""COMPUTED_VALUE"""),"Dubai&gt;Al Garhoud&gt;Mohammed Abdul Rahman Al Ashram Building")</f>
        <v>Dubai&gt;Al Garhoud&gt;Mohammed Abdul Rahman Al Ashram Building</v>
      </c>
      <c r="E13422" s="2"/>
      <c r="F13422" s="2"/>
      <c r="G13422" s="2"/>
      <c r="H13422" s="2"/>
      <c r="I13422" s="2"/>
      <c r="J13422" s="2"/>
      <c r="K13422" s="2"/>
      <c r="L13422" s="2"/>
      <c r="M13422" s="2"/>
      <c r="N13422" s="2"/>
      <c r="O13422" s="2"/>
      <c r="P13422" s="2"/>
      <c r="Q13422" s="2"/>
      <c r="R13422" s="2"/>
      <c r="S13422" s="2"/>
      <c r="T13422" s="2"/>
      <c r="U13422" s="2"/>
      <c r="V13422" s="2"/>
      <c r="W13422" s="2"/>
      <c r="X13422" s="2"/>
      <c r="Y13422" s="2"/>
      <c r="Z13422" s="2"/>
    </row>
    <row r="13423" spans="1:26" ht="16.5" x14ac:dyDescent="0.35">
      <c r="A13423" s="2" t="str">
        <f ca="1">IFERROR(__xludf.DUMMYFUNCTION("""COMPUTED_VALUE"""),"Dubai")</f>
        <v>Dubai</v>
      </c>
      <c r="B13423" s="2" t="str">
        <f ca="1">IFERROR(__xludf.DUMMYFUNCTION("""COMPUTED_VALUE"""),"Cluster 20")</f>
        <v>Cluster 20</v>
      </c>
      <c r="C13423" s="2" t="str">
        <f ca="1">IFERROR(__xludf.DUMMYFUNCTION("""COMPUTED_VALUE"""),"Neighbourhood")</f>
        <v>Neighbourhood</v>
      </c>
      <c r="D13423" s="2" t="str">
        <f ca="1">IFERROR(__xludf.DUMMYFUNCTION("""COMPUTED_VALUE"""),"Dubai&gt;Jumeirah Islands&gt;Cluster 20")</f>
        <v>Dubai&gt;Jumeirah Islands&gt;Cluster 20</v>
      </c>
      <c r="E13423" s="2"/>
      <c r="F13423" s="2"/>
      <c r="G13423" s="2"/>
      <c r="H13423" s="2"/>
      <c r="I13423" s="2"/>
      <c r="J13423" s="2"/>
      <c r="K13423" s="2"/>
      <c r="L13423" s="2"/>
      <c r="M13423" s="2"/>
      <c r="N13423" s="2"/>
      <c r="O13423" s="2"/>
      <c r="P13423" s="2"/>
      <c r="Q13423" s="2"/>
      <c r="R13423" s="2"/>
      <c r="S13423" s="2"/>
      <c r="T13423" s="2"/>
      <c r="U13423" s="2"/>
      <c r="V13423" s="2"/>
      <c r="W13423" s="2"/>
      <c r="X13423" s="2"/>
      <c r="Y13423" s="2"/>
      <c r="Z13423" s="2"/>
    </row>
    <row r="13424" spans="1:26" ht="16.5" x14ac:dyDescent="0.35">
      <c r="A13424" s="2" t="str">
        <f ca="1">IFERROR(__xludf.DUMMYFUNCTION("""COMPUTED_VALUE"""),"Dubai")</f>
        <v>Dubai</v>
      </c>
      <c r="B13424" s="2" t="str">
        <f ca="1">IFERROR(__xludf.DUMMYFUNCTION("""COMPUTED_VALUE"""),"Contemporary Cluster")</f>
        <v>Contemporary Cluster</v>
      </c>
      <c r="C13424" s="2" t="str">
        <f ca="1">IFERROR(__xludf.DUMMYFUNCTION("""COMPUTED_VALUE"""),"Cluster")</f>
        <v>Cluster</v>
      </c>
      <c r="D13424" s="2" t="str">
        <f ca="1">IFERROR(__xludf.DUMMYFUNCTION("""COMPUTED_VALUE"""),"Dubai&gt;Jumeirah Islands&gt;Contemporary Cluster")</f>
        <v>Dubai&gt;Jumeirah Islands&gt;Contemporary Cluster</v>
      </c>
      <c r="E13424" s="2"/>
      <c r="F13424" s="2"/>
      <c r="G13424" s="2"/>
      <c r="H13424" s="2"/>
      <c r="I13424" s="2"/>
      <c r="J13424" s="2"/>
      <c r="K13424" s="2"/>
      <c r="L13424" s="2"/>
      <c r="M13424" s="2"/>
      <c r="N13424" s="2"/>
      <c r="O13424" s="2"/>
      <c r="P13424" s="2"/>
      <c r="Q13424" s="2"/>
      <c r="R13424" s="2"/>
      <c r="S13424" s="2"/>
      <c r="T13424" s="2"/>
      <c r="U13424" s="2"/>
      <c r="V13424" s="2"/>
      <c r="W13424" s="2"/>
      <c r="X13424" s="2"/>
      <c r="Y13424" s="2"/>
      <c r="Z13424" s="2"/>
    </row>
    <row r="13425" spans="1:26" ht="16.5" x14ac:dyDescent="0.35">
      <c r="A13425" s="2" t="str">
        <f ca="1">IFERROR(__xludf.DUMMYFUNCTION("""COMPUTED_VALUE"""),"Dubai")</f>
        <v>Dubai</v>
      </c>
      <c r="B13425" s="2" t="str">
        <f ca="1">IFERROR(__xludf.DUMMYFUNCTION("""COMPUTED_VALUE"""),"Al Narah Apartments Block B")</f>
        <v>Al Narah Apartments Block B</v>
      </c>
      <c r="C13425" s="2" t="str">
        <f ca="1">IFERROR(__xludf.DUMMYFUNCTION("""COMPUTED_VALUE"""),"Building")</f>
        <v>Building</v>
      </c>
      <c r="D13425" s="2" t="str">
        <f ca="1">IFERROR(__xludf.DUMMYFUNCTION("""COMPUTED_VALUE"""),"Dubai&gt;Green Community&gt;Al Narah Apartments&gt;Al Narah Apartments Block B")</f>
        <v>Dubai&gt;Green Community&gt;Al Narah Apartments&gt;Al Narah Apartments Block B</v>
      </c>
      <c r="E13425" s="2"/>
      <c r="F13425" s="2"/>
      <c r="G13425" s="2"/>
      <c r="H13425" s="2"/>
      <c r="I13425" s="2"/>
      <c r="J13425" s="2"/>
      <c r="K13425" s="2"/>
      <c r="L13425" s="2"/>
      <c r="M13425" s="2"/>
      <c r="N13425" s="2"/>
      <c r="O13425" s="2"/>
      <c r="P13425" s="2"/>
      <c r="Q13425" s="2"/>
      <c r="R13425" s="2"/>
      <c r="S13425" s="2"/>
      <c r="T13425" s="2"/>
      <c r="U13425" s="2"/>
      <c r="V13425" s="2"/>
      <c r="W13425" s="2"/>
      <c r="X13425" s="2"/>
      <c r="Y13425" s="2"/>
      <c r="Z13425" s="2"/>
    </row>
    <row r="13426" spans="1:26" ht="16.5" x14ac:dyDescent="0.35">
      <c r="A13426" s="2" t="str">
        <f ca="1">IFERROR(__xludf.DUMMYFUNCTION("""COMPUTED_VALUE"""),"Dubai")</f>
        <v>Dubai</v>
      </c>
      <c r="B13426" s="2" t="str">
        <f ca="1">IFERROR(__xludf.DUMMYFUNCTION("""COMPUTED_VALUE"""),"Northwest Apartments 1")</f>
        <v>Northwest Apartments 1</v>
      </c>
      <c r="C13426" s="2" t="str">
        <f ca="1">IFERROR(__xludf.DUMMYFUNCTION("""COMPUTED_VALUE"""),"Building")</f>
        <v>Building</v>
      </c>
      <c r="D13426" s="2" t="str">
        <f ca="1">IFERROR(__xludf.DUMMYFUNCTION("""COMPUTED_VALUE"""),"Dubai&gt;Green Community&gt;Green Community West&gt;Northwest Garden Apartments&gt;Northwest Apartments 1")</f>
        <v>Dubai&gt;Green Community&gt;Green Community West&gt;Northwest Garden Apartments&gt;Northwest Apartments 1</v>
      </c>
      <c r="E13426" s="2"/>
      <c r="F13426" s="2"/>
      <c r="G13426" s="2"/>
      <c r="H13426" s="2"/>
      <c r="I13426" s="2"/>
      <c r="J13426" s="2"/>
      <c r="K13426" s="2"/>
      <c r="L13426" s="2"/>
      <c r="M13426" s="2"/>
      <c r="N13426" s="2"/>
      <c r="O13426" s="2"/>
      <c r="P13426" s="2"/>
      <c r="Q13426" s="2"/>
      <c r="R13426" s="2"/>
      <c r="S13426" s="2"/>
      <c r="T13426" s="2"/>
      <c r="U13426" s="2"/>
      <c r="V13426" s="2"/>
      <c r="W13426" s="2"/>
      <c r="X13426" s="2"/>
      <c r="Y13426" s="2"/>
      <c r="Z13426" s="2"/>
    </row>
    <row r="13427" spans="1:26" ht="16.5" x14ac:dyDescent="0.35">
      <c r="A13427" s="2" t="str">
        <f ca="1">IFERROR(__xludf.DUMMYFUNCTION("""COMPUTED_VALUE"""),"Dubai")</f>
        <v>Dubai</v>
      </c>
      <c r="B13427" s="2" t="str">
        <f ca="1">IFERROR(__xludf.DUMMYFUNCTION("""COMPUTED_VALUE"""),"Elite Sports Residence 6")</f>
        <v>Elite Sports Residence 6</v>
      </c>
      <c r="C13427" s="2" t="str">
        <f ca="1">IFERROR(__xludf.DUMMYFUNCTION("""COMPUTED_VALUE"""),"Building")</f>
        <v>Building</v>
      </c>
      <c r="D13427" s="2" t="str">
        <f ca="1">IFERROR(__xludf.DUMMYFUNCTION("""COMPUTED_VALUE"""),"Dubai&gt;Dubai Sports City&gt;Elite Sports Residence&gt;Elite Sports Residence 6")</f>
        <v>Dubai&gt;Dubai Sports City&gt;Elite Sports Residence&gt;Elite Sports Residence 6</v>
      </c>
      <c r="E13427" s="2"/>
      <c r="F13427" s="2"/>
      <c r="G13427" s="2"/>
      <c r="H13427" s="2"/>
      <c r="I13427" s="2"/>
      <c r="J13427" s="2"/>
      <c r="K13427" s="2"/>
      <c r="L13427" s="2"/>
      <c r="M13427" s="2"/>
      <c r="N13427" s="2"/>
      <c r="O13427" s="2"/>
      <c r="P13427" s="2"/>
      <c r="Q13427" s="2"/>
      <c r="R13427" s="2"/>
      <c r="S13427" s="2"/>
      <c r="T13427" s="2"/>
      <c r="U13427" s="2"/>
      <c r="V13427" s="2"/>
      <c r="W13427" s="2"/>
      <c r="X13427" s="2"/>
      <c r="Y13427" s="2"/>
      <c r="Z13427" s="2"/>
    </row>
    <row r="13428" spans="1:26" ht="16.5" x14ac:dyDescent="0.35">
      <c r="A13428" s="2" t="str">
        <f ca="1">IFERROR(__xludf.DUMMYFUNCTION("""COMPUTED_VALUE"""),"Dubai")</f>
        <v>Dubai</v>
      </c>
      <c r="B13428" s="2" t="str">
        <f ca="1">IFERROR(__xludf.DUMMYFUNCTION("""COMPUTED_VALUE"""),"European")</f>
        <v>European</v>
      </c>
      <c r="C13428" s="2" t="str">
        <f ca="1">IFERROR(__xludf.DUMMYFUNCTION("""COMPUTED_VALUE"""),"Building")</f>
        <v>Building</v>
      </c>
      <c r="D13428" s="2" t="str">
        <f ca="1">IFERROR(__xludf.DUMMYFUNCTION("""COMPUTED_VALUE"""),"Dubai&gt;Dubai Sports City&gt;Canal Residence West&gt;European")</f>
        <v>Dubai&gt;Dubai Sports City&gt;Canal Residence West&gt;European</v>
      </c>
      <c r="E13428" s="2"/>
      <c r="F13428" s="2"/>
      <c r="G13428" s="2"/>
      <c r="H13428" s="2"/>
      <c r="I13428" s="2"/>
      <c r="J13428" s="2"/>
      <c r="K13428" s="2"/>
      <c r="L13428" s="2"/>
      <c r="M13428" s="2"/>
      <c r="N13428" s="2"/>
      <c r="O13428" s="2"/>
      <c r="P13428" s="2"/>
      <c r="Q13428" s="2"/>
      <c r="R13428" s="2"/>
      <c r="S13428" s="2"/>
      <c r="T13428" s="2"/>
      <c r="U13428" s="2"/>
      <c r="V13428" s="2"/>
      <c r="W13428" s="2"/>
      <c r="X13428" s="2"/>
      <c r="Y13428" s="2"/>
      <c r="Z13428" s="2"/>
    </row>
    <row r="13429" spans="1:26" ht="16.5" x14ac:dyDescent="0.35">
      <c r="A13429" s="2" t="str">
        <f ca="1">IFERROR(__xludf.DUMMYFUNCTION("""COMPUTED_VALUE"""),"Dubai")</f>
        <v>Dubai</v>
      </c>
      <c r="B13429" s="2" t="str">
        <f ca="1">IFERROR(__xludf.DUMMYFUNCTION("""COMPUTED_VALUE"""),"Oliva")</f>
        <v>Oliva</v>
      </c>
      <c r="C13429" s="2" t="str">
        <f ca="1">IFERROR(__xludf.DUMMYFUNCTION("""COMPUTED_VALUE"""),"Neighbourhood")</f>
        <v>Neighbourhood</v>
      </c>
      <c r="D13429" s="2" t="str">
        <f ca="1">IFERROR(__xludf.DUMMYFUNCTION("""COMPUTED_VALUE"""),"Dubai&gt;Dubai Sports City&gt;Victory Heights&gt;Oliva")</f>
        <v>Dubai&gt;Dubai Sports City&gt;Victory Heights&gt;Oliva</v>
      </c>
      <c r="E13429" s="2"/>
      <c r="F13429" s="2"/>
      <c r="G13429" s="2"/>
      <c r="H13429" s="2"/>
      <c r="I13429" s="2"/>
      <c r="J13429" s="2"/>
      <c r="K13429" s="2"/>
      <c r="L13429" s="2"/>
      <c r="M13429" s="2"/>
      <c r="N13429" s="2"/>
      <c r="O13429" s="2"/>
      <c r="P13429" s="2"/>
      <c r="Q13429" s="2"/>
      <c r="R13429" s="2"/>
      <c r="S13429" s="2"/>
      <c r="T13429" s="2"/>
      <c r="U13429" s="2"/>
      <c r="V13429" s="2"/>
      <c r="W13429" s="2"/>
      <c r="X13429" s="2"/>
      <c r="Y13429" s="2"/>
      <c r="Z13429" s="2"/>
    </row>
    <row r="13430" spans="1:26" ht="16.5" x14ac:dyDescent="0.35">
      <c r="A13430" s="2" t="str">
        <f ca="1">IFERROR(__xludf.DUMMYFUNCTION("""COMPUTED_VALUE"""),"Dubai")</f>
        <v>Dubai</v>
      </c>
      <c r="B13430" s="2" t="str">
        <f ca="1">IFERROR(__xludf.DUMMYFUNCTION("""COMPUTED_VALUE"""),"The Bridge")</f>
        <v>The Bridge</v>
      </c>
      <c r="C13430" s="2" t="str">
        <f ca="1">IFERROR(__xludf.DUMMYFUNCTION("""COMPUTED_VALUE"""),"Building")</f>
        <v>Building</v>
      </c>
      <c r="D13430" s="2" t="str">
        <f ca="1">IFERROR(__xludf.DUMMYFUNCTION("""COMPUTED_VALUE"""),"Dubai&gt;Dubai Sports City&gt;The Bridge")</f>
        <v>Dubai&gt;Dubai Sports City&gt;The Bridge</v>
      </c>
      <c r="E13430" s="2"/>
      <c r="F13430" s="2"/>
      <c r="G13430" s="2"/>
      <c r="H13430" s="2"/>
      <c r="I13430" s="2"/>
      <c r="J13430" s="2"/>
      <c r="K13430" s="2"/>
      <c r="L13430" s="2"/>
      <c r="M13430" s="2"/>
      <c r="N13430" s="2"/>
      <c r="O13430" s="2"/>
      <c r="P13430" s="2"/>
      <c r="Q13430" s="2"/>
      <c r="R13430" s="2"/>
      <c r="S13430" s="2"/>
      <c r="T13430" s="2"/>
      <c r="U13430" s="2"/>
      <c r="V13430" s="2"/>
      <c r="W13430" s="2"/>
      <c r="X13430" s="2"/>
      <c r="Y13430" s="2"/>
      <c r="Z13430" s="2"/>
    </row>
    <row r="13431" spans="1:26" ht="16.5" x14ac:dyDescent="0.35">
      <c r="A13431" s="2" t="str">
        <f ca="1">IFERROR(__xludf.DUMMYFUNCTION("""COMPUTED_VALUE"""),"Dubai")</f>
        <v>Dubai</v>
      </c>
      <c r="B13431" s="2" t="str">
        <f ca="1">IFERROR(__xludf.DUMMYFUNCTION("""COMPUTED_VALUE"""),"Al Habtoor Al Nahda Building")</f>
        <v>Al Habtoor Al Nahda Building</v>
      </c>
      <c r="C13431" s="2" t="str">
        <f ca="1">IFERROR(__xludf.DUMMYFUNCTION("""COMPUTED_VALUE"""),"Building")</f>
        <v>Building</v>
      </c>
      <c r="D13431" s="2" t="str">
        <f ca="1">IFERROR(__xludf.DUMMYFUNCTION("""COMPUTED_VALUE"""),"Dubai&gt;Al Nahda (Dubai)&gt;Al Nahda 1&gt;Al Habtoor Al Nahda Building")</f>
        <v>Dubai&gt;Al Nahda (Dubai)&gt;Al Nahda 1&gt;Al Habtoor Al Nahda Building</v>
      </c>
      <c r="E13431" s="2"/>
      <c r="F13431" s="2"/>
      <c r="G13431" s="2"/>
      <c r="H13431" s="2"/>
      <c r="I13431" s="2"/>
      <c r="J13431" s="2"/>
      <c r="K13431" s="2"/>
      <c r="L13431" s="2"/>
      <c r="M13431" s="2"/>
      <c r="N13431" s="2"/>
      <c r="O13431" s="2"/>
      <c r="P13431" s="2"/>
      <c r="Q13431" s="2"/>
      <c r="R13431" s="2"/>
      <c r="S13431" s="2"/>
      <c r="T13431" s="2"/>
      <c r="U13431" s="2"/>
      <c r="V13431" s="2"/>
      <c r="W13431" s="2"/>
      <c r="X13431" s="2"/>
      <c r="Y13431" s="2"/>
      <c r="Z13431" s="2"/>
    </row>
    <row r="13432" spans="1:26" ht="16.5" x14ac:dyDescent="0.35">
      <c r="A13432" s="2" t="str">
        <f ca="1">IFERROR(__xludf.DUMMYFUNCTION("""COMPUTED_VALUE"""),"Dubai")</f>
        <v>Dubai</v>
      </c>
      <c r="B13432" s="2" t="str">
        <f ca="1">IFERROR(__xludf.DUMMYFUNCTION("""COMPUTED_VALUE"""),"Zaafranah Building")</f>
        <v>Zaafranah Building</v>
      </c>
      <c r="C13432" s="2" t="str">
        <f ca="1">IFERROR(__xludf.DUMMYFUNCTION("""COMPUTED_VALUE"""),"Building")</f>
        <v>Building</v>
      </c>
      <c r="D13432" s="2" t="str">
        <f ca="1">IFERROR(__xludf.DUMMYFUNCTION("""COMPUTED_VALUE"""),"Dubai&gt;Al Nahda (Dubai)&gt;Al Nahda 1&gt;Zaafranah Building")</f>
        <v>Dubai&gt;Al Nahda (Dubai)&gt;Al Nahda 1&gt;Zaafranah Building</v>
      </c>
      <c r="E13432" s="2"/>
      <c r="F13432" s="2"/>
      <c r="G13432" s="2"/>
      <c r="H13432" s="2"/>
      <c r="I13432" s="2"/>
      <c r="J13432" s="2"/>
      <c r="K13432" s="2"/>
      <c r="L13432" s="2"/>
      <c r="M13432" s="2"/>
      <c r="N13432" s="2"/>
      <c r="O13432" s="2"/>
      <c r="P13432" s="2"/>
      <c r="Q13432" s="2"/>
      <c r="R13432" s="2"/>
      <c r="S13432" s="2"/>
      <c r="T13432" s="2"/>
      <c r="U13432" s="2"/>
      <c r="V13432" s="2"/>
      <c r="W13432" s="2"/>
      <c r="X13432" s="2"/>
      <c r="Y13432" s="2"/>
      <c r="Z13432" s="2"/>
    </row>
    <row r="13433" spans="1:26" ht="16.5" x14ac:dyDescent="0.35">
      <c r="A13433" s="2" t="str">
        <f ca="1">IFERROR(__xludf.DUMMYFUNCTION("""COMPUTED_VALUE"""),"Dubai")</f>
        <v>Dubai</v>
      </c>
      <c r="B13433" s="2" t="str">
        <f ca="1">IFERROR(__xludf.DUMMYFUNCTION("""COMPUTED_VALUE"""),"Matar Building 514")</f>
        <v>Matar Building 514</v>
      </c>
      <c r="C13433" s="2" t="str">
        <f ca="1">IFERROR(__xludf.DUMMYFUNCTION("""COMPUTED_VALUE"""),"Building")</f>
        <v>Building</v>
      </c>
      <c r="D13433" s="2" t="str">
        <f ca="1">IFERROR(__xludf.DUMMYFUNCTION("""COMPUTED_VALUE"""),"Dubai&gt;Al Nahda (Dubai)&gt;Al Nahda 2&gt;Matar Building 514")</f>
        <v>Dubai&gt;Al Nahda (Dubai)&gt;Al Nahda 2&gt;Matar Building 514</v>
      </c>
      <c r="E13433" s="2"/>
      <c r="F13433" s="2"/>
      <c r="G13433" s="2"/>
      <c r="H13433" s="2"/>
      <c r="I13433" s="2"/>
      <c r="J13433" s="2"/>
      <c r="K13433" s="2"/>
      <c r="L13433" s="2"/>
      <c r="M13433" s="2"/>
      <c r="N13433" s="2"/>
      <c r="O13433" s="2"/>
      <c r="P13433" s="2"/>
      <c r="Q13433" s="2"/>
      <c r="R13433" s="2"/>
      <c r="S13433" s="2"/>
      <c r="T13433" s="2"/>
      <c r="U13433" s="2"/>
      <c r="V13433" s="2"/>
      <c r="W13433" s="2"/>
      <c r="X13433" s="2"/>
      <c r="Y13433" s="2"/>
      <c r="Z13433" s="2"/>
    </row>
    <row r="13434" spans="1:26" ht="16.5" x14ac:dyDescent="0.35">
      <c r="A13434" s="2" t="str">
        <f ca="1">IFERROR(__xludf.DUMMYFUNCTION("""COMPUTED_VALUE"""),"Dubai")</f>
        <v>Dubai</v>
      </c>
      <c r="B13434" s="2" t="str">
        <f ca="1">IFERROR(__xludf.DUMMYFUNCTION("""COMPUTED_VALUE"""),"Saeed Tower")</f>
        <v>Saeed Tower</v>
      </c>
      <c r="C13434" s="2" t="str">
        <f ca="1">IFERROR(__xludf.DUMMYFUNCTION("""COMPUTED_VALUE"""),"Building")</f>
        <v>Building</v>
      </c>
      <c r="D13434" s="2" t="str">
        <f ca="1">IFERROR(__xludf.DUMMYFUNCTION("""COMPUTED_VALUE"""),"Dubai&gt;Al Nahda (Dubai)&gt;Al Nahda 2&gt;Saeed Tower")</f>
        <v>Dubai&gt;Al Nahda (Dubai)&gt;Al Nahda 2&gt;Saeed Tower</v>
      </c>
      <c r="E13434" s="2"/>
      <c r="F13434" s="2"/>
      <c r="G13434" s="2"/>
      <c r="H13434" s="2"/>
      <c r="I13434" s="2"/>
      <c r="J13434" s="2"/>
      <c r="K13434" s="2"/>
      <c r="L13434" s="2"/>
      <c r="M13434" s="2"/>
      <c r="N13434" s="2"/>
      <c r="O13434" s="2"/>
      <c r="P13434" s="2"/>
      <c r="Q13434" s="2"/>
      <c r="R13434" s="2"/>
      <c r="S13434" s="2"/>
      <c r="T13434" s="2"/>
      <c r="U13434" s="2"/>
      <c r="V13434" s="2"/>
      <c r="W13434" s="2"/>
      <c r="X13434" s="2"/>
      <c r="Y13434" s="2"/>
      <c r="Z13434" s="2"/>
    </row>
    <row r="13435" spans="1:26" ht="16.5" x14ac:dyDescent="0.35">
      <c r="A13435" s="2" t="str">
        <f ca="1">IFERROR(__xludf.DUMMYFUNCTION("""COMPUTED_VALUE"""),"Dubai")</f>
        <v>Dubai</v>
      </c>
      <c r="B13435" s="2" t="str">
        <f ca="1">IFERROR(__xludf.DUMMYFUNCTION("""COMPUTED_VALUE"""),"Al Manarah Building")</f>
        <v>Al Manarah Building</v>
      </c>
      <c r="C13435" s="2" t="str">
        <f ca="1">IFERROR(__xludf.DUMMYFUNCTION("""COMPUTED_VALUE"""),"Building")</f>
        <v>Building</v>
      </c>
      <c r="D13435" s="2" t="str">
        <f ca="1">IFERROR(__xludf.DUMMYFUNCTION("""COMPUTED_VALUE"""),"Dubai&gt;Al Nahda (Dubai)&gt;Al Nahda 2&gt;Al Manarah Building")</f>
        <v>Dubai&gt;Al Nahda (Dubai)&gt;Al Nahda 2&gt;Al Manarah Building</v>
      </c>
      <c r="E13435" s="2"/>
      <c r="F13435" s="2"/>
      <c r="G13435" s="2"/>
      <c r="H13435" s="2"/>
      <c r="I13435" s="2"/>
      <c r="J13435" s="2"/>
      <c r="K13435" s="2"/>
      <c r="L13435" s="2"/>
      <c r="M13435" s="2"/>
      <c r="N13435" s="2"/>
      <c r="O13435" s="2"/>
      <c r="P13435" s="2"/>
      <c r="Q13435" s="2"/>
      <c r="R13435" s="2"/>
      <c r="S13435" s="2"/>
      <c r="T13435" s="2"/>
      <c r="U13435" s="2"/>
      <c r="V13435" s="2"/>
      <c r="W13435" s="2"/>
      <c r="X13435" s="2"/>
      <c r="Y13435" s="2"/>
      <c r="Z13435" s="2"/>
    </row>
    <row r="13436" spans="1:26" ht="16.5" x14ac:dyDescent="0.35">
      <c r="A13436" s="2" t="str">
        <f ca="1">IFERROR(__xludf.DUMMYFUNCTION("""COMPUTED_VALUE"""),"Dubai")</f>
        <v>Dubai</v>
      </c>
      <c r="B13436" s="2" t="str">
        <f ca="1">IFERROR(__xludf.DUMMYFUNCTION("""COMPUTED_VALUE"""),"Valarie Gardens")</f>
        <v>Valarie Gardens</v>
      </c>
      <c r="C13436" s="2" t="str">
        <f ca="1">IFERROR(__xludf.DUMMYFUNCTION("""COMPUTED_VALUE"""),"Building")</f>
        <v>Building</v>
      </c>
      <c r="D13436" s="2" t="str">
        <f ca="1">IFERROR(__xludf.DUMMYFUNCTION("""COMPUTED_VALUE"""),"Dubai&gt;Al Nahda (Dubai)&gt;Al Nahda 2&gt;Valarie Gardens")</f>
        <v>Dubai&gt;Al Nahda (Dubai)&gt;Al Nahda 2&gt;Valarie Gardens</v>
      </c>
      <c r="E13436" s="2"/>
      <c r="F13436" s="2"/>
      <c r="G13436" s="2"/>
      <c r="H13436" s="2"/>
      <c r="I13436" s="2"/>
      <c r="J13436" s="2"/>
      <c r="K13436" s="2"/>
      <c r="L13436" s="2"/>
      <c r="M13436" s="2"/>
      <c r="N13436" s="2"/>
      <c r="O13436" s="2"/>
      <c r="P13436" s="2"/>
      <c r="Q13436" s="2"/>
      <c r="R13436" s="2"/>
      <c r="S13436" s="2"/>
      <c r="T13436" s="2"/>
      <c r="U13436" s="2"/>
      <c r="V13436" s="2"/>
      <c r="W13436" s="2"/>
      <c r="X13436" s="2"/>
      <c r="Y13436" s="2"/>
      <c r="Z13436" s="2"/>
    </row>
    <row r="13437" spans="1:26" ht="16.5" x14ac:dyDescent="0.35">
      <c r="A13437" s="2" t="str">
        <f ca="1">IFERROR(__xludf.DUMMYFUNCTION("""COMPUTED_VALUE"""),"Dubai")</f>
        <v>Dubai</v>
      </c>
      <c r="B13437" s="2" t="str">
        <f ca="1">IFERROR(__xludf.DUMMYFUNCTION("""COMPUTED_VALUE"""),"Legacy Small")</f>
        <v>Legacy Small</v>
      </c>
      <c r="C13437" s="2" t="str">
        <f ca="1">IFERROR(__xludf.DUMMYFUNCTION("""COMPUTED_VALUE"""),"Neighbourhood")</f>
        <v>Neighbourhood</v>
      </c>
      <c r="D13437" s="2" t="str">
        <f ca="1">IFERROR(__xludf.DUMMYFUNCTION("""COMPUTED_VALUE"""),"Dubai&gt;Jumeirah Park&gt;Legacy&gt;Legacy Small")</f>
        <v>Dubai&gt;Jumeirah Park&gt;Legacy&gt;Legacy Small</v>
      </c>
      <c r="E13437" s="2"/>
      <c r="F13437" s="2"/>
      <c r="G13437" s="2"/>
      <c r="H13437" s="2"/>
      <c r="I13437" s="2"/>
      <c r="J13437" s="2"/>
      <c r="K13437" s="2"/>
      <c r="L13437" s="2"/>
      <c r="M13437" s="2"/>
      <c r="N13437" s="2"/>
      <c r="O13437" s="2"/>
      <c r="P13437" s="2"/>
      <c r="Q13437" s="2"/>
      <c r="R13437" s="2"/>
      <c r="S13437" s="2"/>
      <c r="T13437" s="2"/>
      <c r="U13437" s="2"/>
      <c r="V13437" s="2"/>
      <c r="W13437" s="2"/>
      <c r="X13437" s="2"/>
      <c r="Y13437" s="2"/>
      <c r="Z13437" s="2"/>
    </row>
    <row r="13438" spans="1:26" ht="16.5" x14ac:dyDescent="0.35">
      <c r="A13438" s="2" t="str">
        <f ca="1">IFERROR(__xludf.DUMMYFUNCTION("""COMPUTED_VALUE"""),"Dubai")</f>
        <v>Dubai</v>
      </c>
      <c r="B13438" s="2" t="str">
        <f ca="1">IFERROR(__xludf.DUMMYFUNCTION("""COMPUTED_VALUE"""),"Lagoon Views 7")</f>
        <v>Lagoon Views 7</v>
      </c>
      <c r="C13438" s="2" t="str">
        <f ca="1">IFERROR(__xludf.DUMMYFUNCTION("""COMPUTED_VALUE"""),"Building")</f>
        <v>Building</v>
      </c>
      <c r="D13438" s="2" t="str">
        <f ca="1">IFERROR(__xludf.DUMMYFUNCTION("""COMPUTED_VALUE"""),"Dubai&gt;DAMAC Lagoons&gt;Lagoon Views&gt;Lagoon Views 7")</f>
        <v>Dubai&gt;DAMAC Lagoons&gt;Lagoon Views&gt;Lagoon Views 7</v>
      </c>
      <c r="E13438" s="2"/>
      <c r="F13438" s="2"/>
      <c r="G13438" s="2"/>
      <c r="H13438" s="2"/>
      <c r="I13438" s="2"/>
      <c r="J13438" s="2"/>
      <c r="K13438" s="2"/>
      <c r="L13438" s="2"/>
      <c r="M13438" s="2"/>
      <c r="N13438" s="2"/>
      <c r="O13438" s="2"/>
      <c r="P13438" s="2"/>
      <c r="Q13438" s="2"/>
      <c r="R13438" s="2"/>
      <c r="S13438" s="2"/>
      <c r="T13438" s="2"/>
      <c r="U13438" s="2"/>
      <c r="V13438" s="2"/>
      <c r="W13438" s="2"/>
      <c r="X13438" s="2"/>
      <c r="Y13438" s="2"/>
      <c r="Z13438" s="2"/>
    </row>
    <row r="13439" spans="1:26" ht="16.5" x14ac:dyDescent="0.35">
      <c r="A13439" s="2" t="str">
        <f ca="1">IFERROR(__xludf.DUMMYFUNCTION("""COMPUTED_VALUE"""),"Dubai")</f>
        <v>Dubai</v>
      </c>
      <c r="B13439" s="2" t="str">
        <f ca="1">IFERROR(__xludf.DUMMYFUNCTION("""COMPUTED_VALUE"""),"Liwan Paradise")</f>
        <v>Liwan Paradise</v>
      </c>
      <c r="C13439" s="2" t="str">
        <f ca="1">IFERROR(__xludf.DUMMYFUNCTION("""COMPUTED_VALUE"""),"Building")</f>
        <v>Building</v>
      </c>
      <c r="D13439" s="2" t="str">
        <f ca="1">IFERROR(__xludf.DUMMYFUNCTION("""COMPUTED_VALUE"""),"Dubai&gt;Liwan 2&gt;Liwan Paradise")</f>
        <v>Dubai&gt;Liwan 2&gt;Liwan Paradise</v>
      </c>
      <c r="E13439" s="2"/>
      <c r="F13439" s="2"/>
      <c r="G13439" s="2"/>
      <c r="H13439" s="2"/>
      <c r="I13439" s="2"/>
      <c r="J13439" s="2"/>
      <c r="K13439" s="2"/>
      <c r="L13439" s="2"/>
      <c r="M13439" s="2"/>
      <c r="N13439" s="2"/>
      <c r="O13439" s="2"/>
      <c r="P13439" s="2"/>
      <c r="Q13439" s="2"/>
      <c r="R13439" s="2"/>
      <c r="S13439" s="2"/>
      <c r="T13439" s="2"/>
      <c r="U13439" s="2"/>
      <c r="V13439" s="2"/>
      <c r="W13439" s="2"/>
      <c r="X13439" s="2"/>
      <c r="Y13439" s="2"/>
      <c r="Z13439" s="2"/>
    </row>
    <row r="13440" spans="1:26" ht="16.5" x14ac:dyDescent="0.35">
      <c r="A13440" s="2" t="str">
        <f ca="1">IFERROR(__xludf.DUMMYFUNCTION("""COMPUTED_VALUE"""),"Dubai")</f>
        <v>Dubai</v>
      </c>
      <c r="B13440" s="2" t="str">
        <f ca="1">IFERROR(__xludf.DUMMYFUNCTION("""COMPUTED_VALUE"""),"S-117")</f>
        <v>S-117</v>
      </c>
      <c r="C13440" s="2" t="str">
        <f ca="1">IFERROR(__xludf.DUMMYFUNCTION("""COMPUTED_VALUE"""),"Building")</f>
        <v>Building</v>
      </c>
      <c r="D13440" s="2" t="str">
        <f ca="1">IFERROR(__xludf.DUMMYFUNCTION("""COMPUTED_VALUE"""),"Dubai&gt;Liwan 2&gt;S-117")</f>
        <v>Dubai&gt;Liwan 2&gt;S-117</v>
      </c>
      <c r="E13440" s="2"/>
      <c r="F13440" s="2"/>
      <c r="G13440" s="2"/>
      <c r="H13440" s="2"/>
      <c r="I13440" s="2"/>
      <c r="J13440" s="2"/>
      <c r="K13440" s="2"/>
      <c r="L13440" s="2"/>
      <c r="M13440" s="2"/>
      <c r="N13440" s="2"/>
      <c r="O13440" s="2"/>
      <c r="P13440" s="2"/>
      <c r="Q13440" s="2"/>
      <c r="R13440" s="2"/>
      <c r="S13440" s="2"/>
      <c r="T13440" s="2"/>
      <c r="U13440" s="2"/>
      <c r="V13440" s="2"/>
      <c r="W13440" s="2"/>
      <c r="X13440" s="2"/>
      <c r="Y13440" s="2"/>
      <c r="Z13440" s="2"/>
    </row>
    <row r="13441" spans="1:26" ht="16.5" x14ac:dyDescent="0.35">
      <c r="A13441" s="2" t="str">
        <f ca="1">IFERROR(__xludf.DUMMYFUNCTION("""COMPUTED_VALUE"""),"Dubai")</f>
        <v>Dubai</v>
      </c>
      <c r="B13441" s="2" t="str">
        <f ca="1">IFERROR(__xludf.DUMMYFUNCTION("""COMPUTED_VALUE"""),"Lotus Residence 5")</f>
        <v>Lotus Residence 5</v>
      </c>
      <c r="C13441" s="2" t="str">
        <f ca="1">IFERROR(__xludf.DUMMYFUNCTION("""COMPUTED_VALUE"""),"Building")</f>
        <v>Building</v>
      </c>
      <c r="D13441" s="2" t="str">
        <f ca="1">IFERROR(__xludf.DUMMYFUNCTION("""COMPUTED_VALUE"""),"Dubai&gt;Dubai Investment Park (DIP)&gt;Dubai Investment Park 1&gt;Lotus Residence&gt;Lotus Residence 5")</f>
        <v>Dubai&gt;Dubai Investment Park (DIP)&gt;Dubai Investment Park 1&gt;Lotus Residence&gt;Lotus Residence 5</v>
      </c>
      <c r="E13441" s="2"/>
      <c r="F13441" s="2"/>
      <c r="G13441" s="2"/>
      <c r="H13441" s="2"/>
      <c r="I13441" s="2"/>
      <c r="J13441" s="2"/>
      <c r="K13441" s="2"/>
      <c r="L13441" s="2"/>
      <c r="M13441" s="2"/>
      <c r="N13441" s="2"/>
      <c r="O13441" s="2"/>
      <c r="P13441" s="2"/>
      <c r="Q13441" s="2"/>
      <c r="R13441" s="2"/>
      <c r="S13441" s="2"/>
      <c r="T13441" s="2"/>
      <c r="U13441" s="2"/>
      <c r="V13441" s="2"/>
      <c r="W13441" s="2"/>
      <c r="X13441" s="2"/>
      <c r="Y13441" s="2"/>
      <c r="Z13441" s="2"/>
    </row>
    <row r="13442" spans="1:26" ht="16.5" x14ac:dyDescent="0.35">
      <c r="A13442" s="2" t="str">
        <f ca="1">IFERROR(__xludf.DUMMYFUNCTION("""COMPUTED_VALUE"""),"Dubai")</f>
        <v>Dubai</v>
      </c>
      <c r="B13442" s="2" t="str">
        <f ca="1">IFERROR(__xludf.DUMMYFUNCTION("""COMPUTED_VALUE"""),"Block F")</f>
        <v>Block F</v>
      </c>
      <c r="C13442" s="2" t="str">
        <f ca="1">IFERROR(__xludf.DUMMYFUNCTION("""COMPUTED_VALUE"""),"Building")</f>
        <v>Building</v>
      </c>
      <c r="D13442" s="2" t="str">
        <f ca="1">IFERROR(__xludf.DUMMYFUNCTION("""COMPUTED_VALUE"""),"Dubai&gt;Dubai Investment Park (DIP)&gt;Dubai Investment Park 1&gt;Dubai Driving Centre Staff Accommodation&gt;Block F")</f>
        <v>Dubai&gt;Dubai Investment Park (DIP)&gt;Dubai Investment Park 1&gt;Dubai Driving Centre Staff Accommodation&gt;Block F</v>
      </c>
      <c r="E13442" s="2"/>
      <c r="F13442" s="2"/>
      <c r="G13442" s="2"/>
      <c r="H13442" s="2"/>
      <c r="I13442" s="2"/>
      <c r="J13442" s="2"/>
      <c r="K13442" s="2"/>
      <c r="L13442" s="2"/>
      <c r="M13442" s="2"/>
      <c r="N13442" s="2"/>
      <c r="O13442" s="2"/>
      <c r="P13442" s="2"/>
      <c r="Q13442" s="2"/>
      <c r="R13442" s="2"/>
      <c r="S13442" s="2"/>
      <c r="T13442" s="2"/>
      <c r="U13442" s="2"/>
      <c r="V13442" s="2"/>
      <c r="W13442" s="2"/>
      <c r="X13442" s="2"/>
      <c r="Y13442" s="2"/>
      <c r="Z13442" s="2"/>
    </row>
    <row r="13443" spans="1:26" ht="16.5" x14ac:dyDescent="0.35">
      <c r="A13443" s="2" t="str">
        <f ca="1">IFERROR(__xludf.DUMMYFUNCTION("""COMPUTED_VALUE"""),"Dubai")</f>
        <v>Dubai</v>
      </c>
      <c r="B13443" s="2" t="str">
        <f ca="1">IFERROR(__xludf.DUMMYFUNCTION("""COMPUTED_VALUE"""),"Verdana Residence 4")</f>
        <v>Verdana Residence 4</v>
      </c>
      <c r="C13443" s="2" t="str">
        <f ca="1">IFERROR(__xludf.DUMMYFUNCTION("""COMPUTED_VALUE"""),"Building")</f>
        <v>Building</v>
      </c>
      <c r="D13443" s="2" t="str">
        <f ca="1">IFERROR(__xludf.DUMMYFUNCTION("""COMPUTED_VALUE"""),"Dubai&gt;Dubai Investment Park (DIP)&gt;Dubai Investment Park 1&gt;Verdana 4&gt;Verdana Residence 4")</f>
        <v>Dubai&gt;Dubai Investment Park (DIP)&gt;Dubai Investment Park 1&gt;Verdana 4&gt;Verdana Residence 4</v>
      </c>
      <c r="E13443" s="2"/>
      <c r="F13443" s="2"/>
      <c r="G13443" s="2"/>
      <c r="H13443" s="2"/>
      <c r="I13443" s="2"/>
      <c r="J13443" s="2"/>
      <c r="K13443" s="2"/>
      <c r="L13443" s="2"/>
      <c r="M13443" s="2"/>
      <c r="N13443" s="2"/>
      <c r="O13443" s="2"/>
      <c r="P13443" s="2"/>
      <c r="Q13443" s="2"/>
      <c r="R13443" s="2"/>
      <c r="S13443" s="2"/>
      <c r="T13443" s="2"/>
      <c r="U13443" s="2"/>
      <c r="V13443" s="2"/>
      <c r="W13443" s="2"/>
      <c r="X13443" s="2"/>
      <c r="Y13443" s="2"/>
      <c r="Z13443" s="2"/>
    </row>
    <row r="13444" spans="1:26" ht="16.5" x14ac:dyDescent="0.35">
      <c r="A13444" s="2" t="str">
        <f ca="1">IFERROR(__xludf.DUMMYFUNCTION("""COMPUTED_VALUE"""),"Dubai")</f>
        <v>Dubai</v>
      </c>
      <c r="B13444" s="2" t="str">
        <f ca="1">IFERROR(__xludf.DUMMYFUNCTION("""COMPUTED_VALUE"""),"Ritaj Block E")</f>
        <v>Ritaj Block E</v>
      </c>
      <c r="C13444" s="2" t="str">
        <f ca="1">IFERROR(__xludf.DUMMYFUNCTION("""COMPUTED_VALUE"""),"Building")</f>
        <v>Building</v>
      </c>
      <c r="D13444" s="2" t="str">
        <f ca="1">IFERROR(__xludf.DUMMYFUNCTION("""COMPUTED_VALUE"""),"Dubai&gt;Dubai Investment Park (DIP)&gt;Dubai Investment Park 2&gt;Ritaj (Residential Complex)&gt;Ritaj Block E")</f>
        <v>Dubai&gt;Dubai Investment Park (DIP)&gt;Dubai Investment Park 2&gt;Ritaj (Residential Complex)&gt;Ritaj Block E</v>
      </c>
      <c r="E13444" s="2"/>
      <c r="F13444" s="2"/>
      <c r="G13444" s="2"/>
      <c r="H13444" s="2"/>
      <c r="I13444" s="2"/>
      <c r="J13444" s="2"/>
      <c r="K13444" s="2"/>
      <c r="L13444" s="2"/>
      <c r="M13444" s="2"/>
      <c r="N13444" s="2"/>
      <c r="O13444" s="2"/>
      <c r="P13444" s="2"/>
      <c r="Q13444" s="2"/>
      <c r="R13444" s="2"/>
      <c r="S13444" s="2"/>
      <c r="T13444" s="2"/>
      <c r="U13444" s="2"/>
      <c r="V13444" s="2"/>
      <c r="W13444" s="2"/>
      <c r="X13444" s="2"/>
      <c r="Y13444" s="2"/>
      <c r="Z13444" s="2"/>
    </row>
    <row r="13445" spans="1:26" ht="16.5" x14ac:dyDescent="0.35">
      <c r="A13445" s="2" t="str">
        <f ca="1">IFERROR(__xludf.DUMMYFUNCTION("""COMPUTED_VALUE"""),"Dubai")</f>
        <v>Dubai</v>
      </c>
      <c r="B13445" s="2" t="str">
        <f ca="1">IFERROR(__xludf.DUMMYFUNCTION("""COMPUTED_VALUE"""),"Tamcon Building")</f>
        <v>Tamcon Building</v>
      </c>
      <c r="C13445" s="2" t="str">
        <f ca="1">IFERROR(__xludf.DUMMYFUNCTION("""COMPUTED_VALUE"""),"Building")</f>
        <v>Building</v>
      </c>
      <c r="D13445" s="2" t="str">
        <f ca="1">IFERROR(__xludf.DUMMYFUNCTION("""COMPUTED_VALUE"""),"Dubai&gt;Dubai Investment Park (DIP)&gt;Dubai Investment Park 2&gt;Tamcon Building")</f>
        <v>Dubai&gt;Dubai Investment Park (DIP)&gt;Dubai Investment Park 2&gt;Tamcon Building</v>
      </c>
      <c r="E13445" s="2"/>
      <c r="F13445" s="2"/>
      <c r="G13445" s="2"/>
      <c r="H13445" s="2"/>
      <c r="I13445" s="2"/>
      <c r="J13445" s="2"/>
      <c r="K13445" s="2"/>
      <c r="L13445" s="2"/>
      <c r="M13445" s="2"/>
      <c r="N13445" s="2"/>
      <c r="O13445" s="2"/>
      <c r="P13445" s="2"/>
      <c r="Q13445" s="2"/>
      <c r="R13445" s="2"/>
      <c r="S13445" s="2"/>
      <c r="T13445" s="2"/>
      <c r="U13445" s="2"/>
      <c r="V13445" s="2"/>
      <c r="W13445" s="2"/>
      <c r="X13445" s="2"/>
      <c r="Y13445" s="2"/>
      <c r="Z13445" s="2"/>
    </row>
    <row r="13446" spans="1:26" ht="16.5" x14ac:dyDescent="0.35">
      <c r="A13446" s="2" t="str">
        <f ca="1">IFERROR(__xludf.DUMMYFUNCTION("""COMPUTED_VALUE"""),"Dubai")</f>
        <v>Dubai</v>
      </c>
      <c r="B13446" s="2" t="str">
        <f ca="1">IFERROR(__xludf.DUMMYFUNCTION("""COMPUTED_VALUE"""),"Riverside Views")</f>
        <v>Riverside Views</v>
      </c>
      <c r="C13446" s="2" t="str">
        <f ca="1">IFERROR(__xludf.DUMMYFUNCTION("""COMPUTED_VALUE"""),"Cluster")</f>
        <v>Cluster</v>
      </c>
      <c r="D13446" s="2" t="str">
        <f ca="1">IFERROR(__xludf.DUMMYFUNCTION("""COMPUTED_VALUE"""),"Dubai&gt;Dubai Investment Park (DIP)&gt;DAMAC Riverside&gt;Riverside Views")</f>
        <v>Dubai&gt;Dubai Investment Park (DIP)&gt;DAMAC Riverside&gt;Riverside Views</v>
      </c>
      <c r="E13446" s="2"/>
      <c r="F13446" s="2"/>
      <c r="G13446" s="2"/>
      <c r="H13446" s="2"/>
      <c r="I13446" s="2"/>
      <c r="J13446" s="2"/>
      <c r="K13446" s="2"/>
      <c r="L13446" s="2"/>
      <c r="M13446" s="2"/>
      <c r="N13446" s="2"/>
      <c r="O13446" s="2"/>
      <c r="P13446" s="2"/>
      <c r="Q13446" s="2"/>
      <c r="R13446" s="2"/>
      <c r="S13446" s="2"/>
      <c r="T13446" s="2"/>
      <c r="U13446" s="2"/>
      <c r="V13446" s="2"/>
      <c r="W13446" s="2"/>
      <c r="X13446" s="2"/>
      <c r="Y13446" s="2"/>
      <c r="Z13446" s="2"/>
    </row>
    <row r="13447" spans="1:26" ht="16.5" x14ac:dyDescent="0.35">
      <c r="A13447" s="2" t="str">
        <f ca="1">IFERROR(__xludf.DUMMYFUNCTION("""COMPUTED_VALUE"""),"Dubai")</f>
        <v>Dubai</v>
      </c>
      <c r="B13447" s="2" t="str">
        <f ca="1">IFERROR(__xludf.DUMMYFUNCTION("""COMPUTED_VALUE"""),"Ewan Residence 1")</f>
        <v>Ewan Residence 1</v>
      </c>
      <c r="C13447" s="2" t="str">
        <f ca="1">IFERROR(__xludf.DUMMYFUNCTION("""COMPUTED_VALUE"""),"Building")</f>
        <v>Building</v>
      </c>
      <c r="D13447" s="2" t="str">
        <f ca="1">IFERROR(__xludf.DUMMYFUNCTION("""COMPUTED_VALUE"""),"Dubai&gt;Dubai Investment Park (DIP)&gt;Ewan Residence&gt;Ewan Residence 1")</f>
        <v>Dubai&gt;Dubai Investment Park (DIP)&gt;Ewan Residence&gt;Ewan Residence 1</v>
      </c>
      <c r="E13447" s="2"/>
      <c r="F13447" s="2"/>
      <c r="G13447" s="2"/>
      <c r="H13447" s="2"/>
      <c r="I13447" s="2"/>
      <c r="J13447" s="2"/>
      <c r="K13447" s="2"/>
      <c r="L13447" s="2"/>
      <c r="M13447" s="2"/>
      <c r="N13447" s="2"/>
      <c r="O13447" s="2"/>
      <c r="P13447" s="2"/>
      <c r="Q13447" s="2"/>
      <c r="R13447" s="2"/>
      <c r="S13447" s="2"/>
      <c r="T13447" s="2"/>
      <c r="U13447" s="2"/>
      <c r="V13447" s="2"/>
      <c r="W13447" s="2"/>
      <c r="X13447" s="2"/>
      <c r="Y13447" s="2"/>
      <c r="Z13447" s="2"/>
    </row>
    <row r="13448" spans="1:26" ht="16.5" x14ac:dyDescent="0.35">
      <c r="A13448" s="2" t="str">
        <f ca="1">IFERROR(__xludf.DUMMYFUNCTION("""COMPUTED_VALUE"""),"Dubai")</f>
        <v>Dubai</v>
      </c>
      <c r="B13448" s="2" t="str">
        <f ca="1">IFERROR(__xludf.DUMMYFUNCTION("""COMPUTED_VALUE"""),"Barari Views")</f>
        <v>Barari Views</v>
      </c>
      <c r="C13448" s="2" t="str">
        <f ca="1">IFERROR(__xludf.DUMMYFUNCTION("""COMPUTED_VALUE"""),"Building")</f>
        <v>Building</v>
      </c>
      <c r="D13448" s="2" t="str">
        <f ca="1">IFERROR(__xludf.DUMMYFUNCTION("""COMPUTED_VALUE"""),"Dubai&gt;Majan&gt;Barari Views")</f>
        <v>Dubai&gt;Majan&gt;Barari Views</v>
      </c>
      <c r="E13448" s="2"/>
      <c r="F13448" s="2"/>
      <c r="G13448" s="2"/>
      <c r="H13448" s="2"/>
      <c r="I13448" s="2"/>
      <c r="J13448" s="2"/>
      <c r="K13448" s="2"/>
      <c r="L13448" s="2"/>
      <c r="M13448" s="2"/>
      <c r="N13448" s="2"/>
      <c r="O13448" s="2"/>
      <c r="P13448" s="2"/>
      <c r="Q13448" s="2"/>
      <c r="R13448" s="2"/>
      <c r="S13448" s="2"/>
      <c r="T13448" s="2"/>
      <c r="U13448" s="2"/>
      <c r="V13448" s="2"/>
      <c r="W13448" s="2"/>
      <c r="X13448" s="2"/>
      <c r="Y13448" s="2"/>
      <c r="Z13448" s="2"/>
    </row>
    <row r="13449" spans="1:26" ht="16.5" x14ac:dyDescent="0.35">
      <c r="A13449" s="2" t="str">
        <f ca="1">IFERROR(__xludf.DUMMYFUNCTION("""COMPUTED_VALUE"""),"Dubai")</f>
        <v>Dubai</v>
      </c>
      <c r="B13449" s="2" t="str">
        <f ca="1">IFERROR(__xludf.DUMMYFUNCTION("""COMPUTED_VALUE"""),"Samana Barari Lagoons")</f>
        <v>Samana Barari Lagoons</v>
      </c>
      <c r="C13449" s="2" t="str">
        <f ca="1">IFERROR(__xludf.DUMMYFUNCTION("""COMPUTED_VALUE"""),"Building")</f>
        <v>Building</v>
      </c>
      <c r="D13449" s="2" t="str">
        <f ca="1">IFERROR(__xludf.DUMMYFUNCTION("""COMPUTED_VALUE"""),"Dubai&gt;Majan&gt;Samana Barari Lagoons")</f>
        <v>Dubai&gt;Majan&gt;Samana Barari Lagoons</v>
      </c>
      <c r="E13449" s="2"/>
      <c r="F13449" s="2"/>
      <c r="G13449" s="2"/>
      <c r="H13449" s="2"/>
      <c r="I13449" s="2"/>
      <c r="J13449" s="2"/>
      <c r="K13449" s="2"/>
      <c r="L13449" s="2"/>
      <c r="M13449" s="2"/>
      <c r="N13449" s="2"/>
      <c r="O13449" s="2"/>
      <c r="P13449" s="2"/>
      <c r="Q13449" s="2"/>
      <c r="R13449" s="2"/>
      <c r="S13449" s="2"/>
      <c r="T13449" s="2"/>
      <c r="U13449" s="2"/>
      <c r="V13449" s="2"/>
      <c r="W13449" s="2"/>
      <c r="X13449" s="2"/>
      <c r="Y13449" s="2"/>
      <c r="Z13449" s="2"/>
    </row>
    <row r="13450" spans="1:26" ht="16.5" x14ac:dyDescent="0.35">
      <c r="A13450" s="2" t="str">
        <f ca="1">IFERROR(__xludf.DUMMYFUNCTION("""COMPUTED_VALUE"""),"Dubai")</f>
        <v>Dubai</v>
      </c>
      <c r="B13450" s="2" t="str">
        <f ca="1">IFERROR(__xludf.DUMMYFUNCTION("""COMPUTED_VALUE"""),"Ostra Palace Villas")</f>
        <v>Ostra Palace Villas</v>
      </c>
      <c r="C13450" s="2" t="str">
        <f ca="1">IFERROR(__xludf.DUMMYFUNCTION("""COMPUTED_VALUE"""),"Neighbourhood")</f>
        <v>Neighbourhood</v>
      </c>
      <c r="D13450" s="2" t="str">
        <f ca="1">IFERROR(__xludf.DUMMYFUNCTION("""COMPUTED_VALUE"""),"Dubai&gt;The Oasis by Emaar&gt;Ostra Palace Villas")</f>
        <v>Dubai&gt;The Oasis by Emaar&gt;Ostra Palace Villas</v>
      </c>
      <c r="E13450" s="2"/>
      <c r="F13450" s="2"/>
      <c r="G13450" s="2"/>
      <c r="H13450" s="2"/>
      <c r="I13450" s="2"/>
      <c r="J13450" s="2"/>
      <c r="K13450" s="2"/>
      <c r="L13450" s="2"/>
      <c r="M13450" s="2"/>
      <c r="N13450" s="2"/>
      <c r="O13450" s="2"/>
      <c r="P13450" s="2"/>
      <c r="Q13450" s="2"/>
      <c r="R13450" s="2"/>
      <c r="S13450" s="2"/>
      <c r="T13450" s="2"/>
      <c r="U13450" s="2"/>
      <c r="V13450" s="2"/>
      <c r="W13450" s="2"/>
      <c r="X13450" s="2"/>
      <c r="Y13450" s="2"/>
      <c r="Z13450" s="2"/>
    </row>
    <row r="13451" spans="1:26" ht="16.5" x14ac:dyDescent="0.35">
      <c r="A13451" s="2" t="str">
        <f ca="1">IFERROR(__xludf.DUMMYFUNCTION("""COMPUTED_VALUE"""),"Dubai")</f>
        <v>Dubai</v>
      </c>
      <c r="B13451" s="2" t="str">
        <f ca="1">IFERROR(__xludf.DUMMYFUNCTION("""COMPUTED_VALUE"""),"Azizi Beach Oasis (Azizi Mirage 1)")</f>
        <v>Azizi Beach Oasis (Azizi Mirage 1)</v>
      </c>
      <c r="C13451" s="2" t="str">
        <f ca="1">IFERROR(__xludf.DUMMYFUNCTION("""COMPUTED_VALUE"""),"Building")</f>
        <v>Building</v>
      </c>
      <c r="D13451" s="2" t="str">
        <f ca="1">IFERROR(__xludf.DUMMYFUNCTION("""COMPUTED_VALUE"""),"Dubai&gt;Dubai Studio City&gt;Azizi Beach Oasis (Azizi Mirage 1)")</f>
        <v>Dubai&gt;Dubai Studio City&gt;Azizi Beach Oasis (Azizi Mirage 1)</v>
      </c>
      <c r="E13451" s="2"/>
      <c r="F13451" s="2"/>
      <c r="G13451" s="2"/>
      <c r="H13451" s="2"/>
      <c r="I13451" s="2"/>
      <c r="J13451" s="2"/>
      <c r="K13451" s="2"/>
      <c r="L13451" s="2"/>
      <c r="M13451" s="2"/>
      <c r="N13451" s="2"/>
      <c r="O13451" s="2"/>
      <c r="P13451" s="2"/>
      <c r="Q13451" s="2"/>
      <c r="R13451" s="2"/>
      <c r="S13451" s="2"/>
      <c r="T13451" s="2"/>
      <c r="U13451" s="2"/>
      <c r="V13451" s="2"/>
      <c r="W13451" s="2"/>
      <c r="X13451" s="2"/>
      <c r="Y13451" s="2"/>
      <c r="Z13451" s="2"/>
    </row>
    <row r="13452" spans="1:26" ht="16.5" x14ac:dyDescent="0.35">
      <c r="A13452" s="2" t="str">
        <f ca="1">IFERROR(__xludf.DUMMYFUNCTION("""COMPUTED_VALUE"""),"Dubai")</f>
        <v>Dubai</v>
      </c>
      <c r="B13452" s="2" t="str">
        <f ca="1">IFERROR(__xludf.DUMMYFUNCTION("""COMPUTED_VALUE"""),"BS-07")</f>
        <v>BS-07</v>
      </c>
      <c r="C13452" s="2" t="str">
        <f ca="1">IFERROR(__xludf.DUMMYFUNCTION("""COMPUTED_VALUE"""),"Building")</f>
        <v>Building</v>
      </c>
      <c r="D13452" s="2" t="str">
        <f ca="1">IFERROR(__xludf.DUMMYFUNCTION("""COMPUTED_VALUE"""),"Dubai&gt;Dubai Studio City&gt;Boutique Studios&gt;BS-07")</f>
        <v>Dubai&gt;Dubai Studio City&gt;Boutique Studios&gt;BS-07</v>
      </c>
      <c r="E13452" s="2"/>
      <c r="F13452" s="2"/>
      <c r="G13452" s="2"/>
      <c r="H13452" s="2"/>
      <c r="I13452" s="2"/>
      <c r="J13452" s="2"/>
      <c r="K13452" s="2"/>
      <c r="L13452" s="2"/>
      <c r="M13452" s="2"/>
      <c r="N13452" s="2"/>
      <c r="O13452" s="2"/>
      <c r="P13452" s="2"/>
      <c r="Q13452" s="2"/>
      <c r="R13452" s="2"/>
      <c r="S13452" s="2"/>
      <c r="T13452" s="2"/>
      <c r="U13452" s="2"/>
      <c r="V13452" s="2"/>
      <c r="W13452" s="2"/>
      <c r="X13452" s="2"/>
      <c r="Y13452" s="2"/>
      <c r="Z13452" s="2"/>
    </row>
    <row r="13453" spans="1:26" ht="16.5" x14ac:dyDescent="0.35">
      <c r="A13453" s="2" t="str">
        <f ca="1">IFERROR(__xludf.DUMMYFUNCTION("""COMPUTED_VALUE"""),"Dubai")</f>
        <v>Dubai</v>
      </c>
      <c r="B13453" s="2" t="str">
        <f ca="1">IFERROR(__xludf.DUMMYFUNCTION("""COMPUTED_VALUE"""),"Hartland Greens Building 5")</f>
        <v>Hartland Greens Building 5</v>
      </c>
      <c r="C13453" s="2" t="str">
        <f ca="1">IFERROR(__xludf.DUMMYFUNCTION("""COMPUTED_VALUE"""),"Building")</f>
        <v>Building</v>
      </c>
      <c r="D13453" s="2" t="str">
        <f ca="1">IFERROR(__xludf.DUMMYFUNCTION("""COMPUTED_VALUE"""),"Dubai&gt;Sobha Hartland&gt;Hartland Greens&gt;Hartland Greens Building 5")</f>
        <v>Dubai&gt;Sobha Hartland&gt;Hartland Greens&gt;Hartland Greens Building 5</v>
      </c>
      <c r="E13453" s="2"/>
      <c r="F13453" s="2"/>
      <c r="G13453" s="2"/>
      <c r="H13453" s="2"/>
      <c r="I13453" s="2"/>
      <c r="J13453" s="2"/>
      <c r="K13453" s="2"/>
      <c r="L13453" s="2"/>
      <c r="M13453" s="2"/>
      <c r="N13453" s="2"/>
      <c r="O13453" s="2"/>
      <c r="P13453" s="2"/>
      <c r="Q13453" s="2"/>
      <c r="R13453" s="2"/>
      <c r="S13453" s="2"/>
      <c r="T13453" s="2"/>
      <c r="U13453" s="2"/>
      <c r="V13453" s="2"/>
      <c r="W13453" s="2"/>
      <c r="X13453" s="2"/>
      <c r="Y13453" s="2"/>
      <c r="Z13453" s="2"/>
    </row>
    <row r="13454" spans="1:26" ht="16.5" x14ac:dyDescent="0.35">
      <c r="A13454" s="2" t="str">
        <f ca="1">IFERROR(__xludf.DUMMYFUNCTION("""COMPUTED_VALUE"""),"Dubai")</f>
        <v>Dubai</v>
      </c>
      <c r="B13454" s="2" t="str">
        <f ca="1">IFERROR(__xludf.DUMMYFUNCTION("""COMPUTED_VALUE"""),"The Crest")</f>
        <v>The Crest</v>
      </c>
      <c r="C13454" s="2" t="str">
        <f ca="1">IFERROR(__xludf.DUMMYFUNCTION("""COMPUTED_VALUE"""),"Cluster")</f>
        <v>Cluster</v>
      </c>
      <c r="D13454" s="2" t="str">
        <f ca="1">IFERROR(__xludf.DUMMYFUNCTION("""COMPUTED_VALUE"""),"Dubai&gt;Sobha Hartland&gt;The Crest")</f>
        <v>Dubai&gt;Sobha Hartland&gt;The Crest</v>
      </c>
      <c r="E13454" s="2"/>
      <c r="F13454" s="2"/>
      <c r="G13454" s="2"/>
      <c r="H13454" s="2"/>
      <c r="I13454" s="2"/>
      <c r="J13454" s="2"/>
      <c r="K13454" s="2"/>
      <c r="L13454" s="2"/>
      <c r="M13454" s="2"/>
      <c r="N13454" s="2"/>
      <c r="O13454" s="2"/>
      <c r="P13454" s="2"/>
      <c r="Q13454" s="2"/>
      <c r="R13454" s="2"/>
      <c r="S13454" s="2"/>
      <c r="T13454" s="2"/>
      <c r="U13454" s="2"/>
      <c r="V13454" s="2"/>
      <c r="W13454" s="2"/>
      <c r="X13454" s="2"/>
      <c r="Y13454" s="2"/>
      <c r="Z13454" s="2"/>
    </row>
    <row r="13455" spans="1:26" ht="16.5" x14ac:dyDescent="0.35">
      <c r="A13455" s="2" t="str">
        <f ca="1">IFERROR(__xludf.DUMMYFUNCTION("""COMPUTED_VALUE"""),"Dubai")</f>
        <v>Dubai</v>
      </c>
      <c r="B13455" s="2" t="str">
        <f ca="1">IFERROR(__xludf.DUMMYFUNCTION("""COMPUTED_VALUE"""),"Jumeirah Heights D")</f>
        <v>Jumeirah Heights D</v>
      </c>
      <c r="C13455" s="2" t="str">
        <f ca="1">IFERROR(__xludf.DUMMYFUNCTION("""COMPUTED_VALUE"""),"Building")</f>
        <v>Building</v>
      </c>
      <c r="D13455" s="2" t="str">
        <f ca="1">IFERROR(__xludf.DUMMYFUNCTION("""COMPUTED_VALUE"""),"Dubai&gt;Jumeirah Heights&gt;Jumeirah Heights D")</f>
        <v>Dubai&gt;Jumeirah Heights&gt;Jumeirah Heights D</v>
      </c>
      <c r="E13455" s="2"/>
      <c r="F13455" s="2"/>
      <c r="G13455" s="2"/>
      <c r="H13455" s="2"/>
      <c r="I13455" s="2"/>
      <c r="J13455" s="2"/>
      <c r="K13455" s="2"/>
      <c r="L13455" s="2"/>
      <c r="M13455" s="2"/>
      <c r="N13455" s="2"/>
      <c r="O13455" s="2"/>
      <c r="P13455" s="2"/>
      <c r="Q13455" s="2"/>
      <c r="R13455" s="2"/>
      <c r="S13455" s="2"/>
      <c r="T13455" s="2"/>
      <c r="U13455" s="2"/>
      <c r="V13455" s="2"/>
      <c r="W13455" s="2"/>
      <c r="X13455" s="2"/>
      <c r="Y13455" s="2"/>
      <c r="Z13455" s="2"/>
    </row>
    <row r="13456" spans="1:26" ht="16.5" x14ac:dyDescent="0.35">
      <c r="A13456" s="2" t="str">
        <f ca="1">IFERROR(__xludf.DUMMYFUNCTION("""COMPUTED_VALUE"""),"Dubai")</f>
        <v>Dubai</v>
      </c>
      <c r="B13456" s="2" t="str">
        <f ca="1">IFERROR(__xludf.DUMMYFUNCTION("""COMPUTED_VALUE"""),"Expo Valley Views")</f>
        <v>Expo Valley Views</v>
      </c>
      <c r="C13456" s="2" t="str">
        <f ca="1">IFERROR(__xludf.DUMMYFUNCTION("""COMPUTED_VALUE"""),"Cluster")</f>
        <v>Cluster</v>
      </c>
      <c r="D13456" s="2" t="str">
        <f ca="1">IFERROR(__xludf.DUMMYFUNCTION("""COMPUTED_VALUE"""),"Dubai&gt;Expo City&gt;Expo Valley&gt;Expo Valley Views")</f>
        <v>Dubai&gt;Expo City&gt;Expo Valley&gt;Expo Valley Views</v>
      </c>
      <c r="E13456" s="2"/>
      <c r="F13456" s="2"/>
      <c r="G13456" s="2"/>
      <c r="H13456" s="2"/>
      <c r="I13456" s="2"/>
      <c r="J13456" s="2"/>
      <c r="K13456" s="2"/>
      <c r="L13456" s="2"/>
      <c r="M13456" s="2"/>
      <c r="N13456" s="2"/>
      <c r="O13456" s="2"/>
      <c r="P13456" s="2"/>
      <c r="Q13456" s="2"/>
      <c r="R13456" s="2"/>
      <c r="S13456" s="2"/>
      <c r="T13456" s="2"/>
      <c r="U13456" s="2"/>
      <c r="V13456" s="2"/>
      <c r="W13456" s="2"/>
      <c r="X13456" s="2"/>
      <c r="Y13456" s="2"/>
      <c r="Z13456" s="2"/>
    </row>
    <row r="13457" spans="1:26" ht="16.5" x14ac:dyDescent="0.35">
      <c r="A13457" s="2" t="str">
        <f ca="1">IFERROR(__xludf.DUMMYFUNCTION("""COMPUTED_VALUE"""),"Dubai")</f>
        <v>Dubai</v>
      </c>
      <c r="B13457" s="2" t="str">
        <f ca="1">IFERROR(__xludf.DUMMYFUNCTION("""COMPUTED_VALUE"""),"Nice")</f>
        <v>Nice</v>
      </c>
      <c r="C13457" s="2" t="str">
        <f ca="1">IFERROR(__xludf.DUMMYFUNCTION("""COMPUTED_VALUE"""),"Building")</f>
        <v>Building</v>
      </c>
      <c r="D13457" s="2" t="str">
        <f ca="1">IFERROR(__xludf.DUMMYFUNCTION("""COMPUTED_VALUE"""),"Dubai&gt;The World Islands&gt;The Heart of Europe&gt;Cote D' Azur Resort&gt;Nice")</f>
        <v>Dubai&gt;The World Islands&gt;The Heart of Europe&gt;Cote D' Azur Resort&gt;Nice</v>
      </c>
      <c r="E13457" s="2"/>
      <c r="F13457" s="2"/>
      <c r="G13457" s="2"/>
      <c r="H13457" s="2"/>
      <c r="I13457" s="2"/>
      <c r="J13457" s="2"/>
      <c r="K13457" s="2"/>
      <c r="L13457" s="2"/>
      <c r="M13457" s="2"/>
      <c r="N13457" s="2"/>
      <c r="O13457" s="2"/>
      <c r="P13457" s="2"/>
      <c r="Q13457" s="2"/>
      <c r="R13457" s="2"/>
      <c r="S13457" s="2"/>
      <c r="T13457" s="2"/>
      <c r="U13457" s="2"/>
      <c r="V13457" s="2"/>
      <c r="W13457" s="2"/>
      <c r="X13457" s="2"/>
      <c r="Y13457" s="2"/>
      <c r="Z13457" s="2"/>
    </row>
    <row r="13458" spans="1:26" ht="16.5" x14ac:dyDescent="0.35">
      <c r="A13458" s="2" t="str">
        <f ca="1">IFERROR(__xludf.DUMMYFUNCTION("""COMPUTED_VALUE"""),"Dubai")</f>
        <v>Dubai</v>
      </c>
      <c r="B13458" s="2" t="str">
        <f ca="1">IFERROR(__xludf.DUMMYFUNCTION("""COMPUTED_VALUE"""),"Al Fagaa")</f>
        <v>Al Fagaa</v>
      </c>
      <c r="C13458" s="2" t="str">
        <f ca="1">IFERROR(__xludf.DUMMYFUNCTION("""COMPUTED_VALUE"""),"Neighbourhood")</f>
        <v>Neighbourhood</v>
      </c>
      <c r="D13458" s="2" t="str">
        <f ca="1">IFERROR(__xludf.DUMMYFUNCTION("""COMPUTED_VALUE"""),"Dubai&gt;Al Fagaa")</f>
        <v>Dubai&gt;Al Fagaa</v>
      </c>
      <c r="E13458" s="2"/>
      <c r="F13458" s="2"/>
      <c r="G13458" s="2"/>
      <c r="H13458" s="2"/>
      <c r="I13458" s="2"/>
      <c r="J13458" s="2"/>
      <c r="K13458" s="2"/>
      <c r="L13458" s="2"/>
      <c r="M13458" s="2"/>
      <c r="N13458" s="2"/>
      <c r="O13458" s="2"/>
      <c r="P13458" s="2"/>
      <c r="Q13458" s="2"/>
      <c r="R13458" s="2"/>
      <c r="S13458" s="2"/>
      <c r="T13458" s="2"/>
      <c r="U13458" s="2"/>
      <c r="V13458" s="2"/>
      <c r="W13458" s="2"/>
      <c r="X13458" s="2"/>
      <c r="Y13458" s="2"/>
      <c r="Z13458" s="2"/>
    </row>
    <row r="13459" spans="1:26" ht="16.5" x14ac:dyDescent="0.35">
      <c r="A13459" s="2" t="str">
        <f ca="1">IFERROR(__xludf.DUMMYFUNCTION("""COMPUTED_VALUE"""),"Dubai")</f>
        <v>Dubai</v>
      </c>
      <c r="B13459" s="2" t="str">
        <f ca="1">IFERROR(__xludf.DUMMYFUNCTION("""COMPUTED_VALUE"""),"Rise by Athlon")</f>
        <v>Rise by Athlon</v>
      </c>
      <c r="C13459" s="2" t="str">
        <f ca="1">IFERROR(__xludf.DUMMYFUNCTION("""COMPUTED_VALUE"""),"Cluster")</f>
        <v>Cluster</v>
      </c>
      <c r="D13459" s="2" t="str">
        <f ca="1">IFERROR(__xludf.DUMMYFUNCTION("""COMPUTED_VALUE"""),"Dubai&gt;Athlon by Aldar&gt;Rise by Athlon")</f>
        <v>Dubai&gt;Athlon by Aldar&gt;Rise by Athlon</v>
      </c>
      <c r="E13459" s="2"/>
      <c r="F13459" s="2"/>
      <c r="G13459" s="2"/>
      <c r="H13459" s="2"/>
      <c r="I13459" s="2"/>
      <c r="J13459" s="2"/>
      <c r="K13459" s="2"/>
      <c r="L13459" s="2"/>
      <c r="M13459" s="2"/>
      <c r="N13459" s="2"/>
      <c r="O13459" s="2"/>
      <c r="P13459" s="2"/>
      <c r="Q13459" s="2"/>
      <c r="R13459" s="2"/>
      <c r="S13459" s="2"/>
      <c r="T13459" s="2"/>
      <c r="U13459" s="2"/>
      <c r="V13459" s="2"/>
      <c r="W13459" s="2"/>
      <c r="X13459" s="2"/>
      <c r="Y13459" s="2"/>
      <c r="Z13459" s="2"/>
    </row>
    <row r="13460" spans="1:26" ht="16.5" x14ac:dyDescent="0.35">
      <c r="A13460" s="2" t="str">
        <f ca="1">IFERROR(__xludf.DUMMYFUNCTION("""COMPUTED_VALUE"""),"Dubai")</f>
        <v>Dubai</v>
      </c>
      <c r="B13460" s="2" t="str">
        <f ca="1">IFERROR(__xludf.DUMMYFUNCTION("""COMPUTED_VALUE"""),"Lacina")</f>
        <v>Lacina</v>
      </c>
      <c r="C13460" s="2" t="str">
        <f ca="1">IFERROR(__xludf.DUMMYFUNCTION("""COMPUTED_VALUE"""),"Building")</f>
        <v>Building</v>
      </c>
      <c r="D13460" s="2" t="str">
        <f ca="1">IFERROR(__xludf.DUMMYFUNCTION("""COMPUTED_VALUE"""),"Dubai&gt;Ghaf Woods&gt;Lacina")</f>
        <v>Dubai&gt;Ghaf Woods&gt;Lacina</v>
      </c>
      <c r="E13460" s="2"/>
      <c r="F13460" s="2"/>
      <c r="G13460" s="2"/>
      <c r="H13460" s="2"/>
      <c r="I13460" s="2"/>
      <c r="J13460" s="2"/>
      <c r="K13460" s="2"/>
      <c r="L13460" s="2"/>
      <c r="M13460" s="2"/>
      <c r="N13460" s="2"/>
      <c r="O13460" s="2"/>
      <c r="P13460" s="2"/>
      <c r="Q13460" s="2"/>
      <c r="R13460" s="2"/>
      <c r="S13460" s="2"/>
      <c r="T13460" s="2"/>
      <c r="U13460" s="2"/>
      <c r="V13460" s="2"/>
      <c r="W13460" s="2"/>
      <c r="X13460" s="2"/>
      <c r="Y13460" s="2"/>
      <c r="Z13460" s="2"/>
    </row>
    <row r="13461" spans="1:26" ht="16.5" x14ac:dyDescent="0.35">
      <c r="A13461" s="2" t="str">
        <f ca="1">IFERROR(__xludf.DUMMYFUNCTION("""COMPUTED_VALUE"""),"Dubai")</f>
        <v>Dubai</v>
      </c>
      <c r="B13461" s="2" t="str">
        <f ca="1">IFERROR(__xludf.DUMMYFUNCTION("""COMPUTED_VALUE"""),"Jumeirah Beach Residence (JBR)")</f>
        <v>Jumeirah Beach Residence (JBR)</v>
      </c>
      <c r="C13461" s="2" t="str">
        <f ca="1">IFERROR(__xludf.DUMMYFUNCTION("""COMPUTED_VALUE"""),"Neighbourhood")</f>
        <v>Neighbourhood</v>
      </c>
      <c r="D13461" s="2" t="str">
        <f ca="1">IFERROR(__xludf.DUMMYFUNCTION("""COMPUTED_VALUE"""),"Dubai&gt;Jumeirah Beach Residence (JBR)")</f>
        <v>Dubai&gt;Jumeirah Beach Residence (JBR)</v>
      </c>
      <c r="E13461" s="2"/>
      <c r="F13461" s="2"/>
      <c r="G13461" s="2"/>
      <c r="H13461" s="2"/>
      <c r="I13461" s="2"/>
      <c r="J13461" s="2"/>
      <c r="K13461" s="2"/>
      <c r="L13461" s="2"/>
      <c r="M13461" s="2"/>
      <c r="N13461" s="2"/>
      <c r="O13461" s="2"/>
      <c r="P13461" s="2"/>
      <c r="Q13461" s="2"/>
      <c r="R13461" s="2"/>
      <c r="S13461" s="2"/>
      <c r="T13461" s="2"/>
      <c r="U13461" s="2"/>
      <c r="V13461" s="2"/>
      <c r="W13461" s="2"/>
      <c r="X13461" s="2"/>
      <c r="Y13461" s="2"/>
      <c r="Z13461" s="2"/>
    </row>
    <row r="13462" spans="1:26" ht="16.5" x14ac:dyDescent="0.35">
      <c r="A13462" s="2" t="str">
        <f ca="1">IFERROR(__xludf.DUMMYFUNCTION("""COMPUTED_VALUE"""),"Dubai")</f>
        <v>Dubai</v>
      </c>
      <c r="B13462" s="2" t="str">
        <f ca="1">IFERROR(__xludf.DUMMYFUNCTION("""COMPUTED_VALUE"""),"Murjan 2")</f>
        <v>Murjan 2</v>
      </c>
      <c r="C13462" s="2" t="str">
        <f ca="1">IFERROR(__xludf.DUMMYFUNCTION("""COMPUTED_VALUE"""),"Building")</f>
        <v>Building</v>
      </c>
      <c r="D13462" s="2" t="str">
        <f ca="1">IFERROR(__xludf.DUMMYFUNCTION("""COMPUTED_VALUE"""),"Dubai&gt;Jumeirah Beach Residence (JBR)&gt;Murjan&gt;Murjan 2")</f>
        <v>Dubai&gt;Jumeirah Beach Residence (JBR)&gt;Murjan&gt;Murjan 2</v>
      </c>
      <c r="E13462" s="2"/>
      <c r="F13462" s="2"/>
      <c r="G13462" s="2"/>
      <c r="H13462" s="2"/>
      <c r="I13462" s="2"/>
      <c r="J13462" s="2"/>
      <c r="K13462" s="2"/>
      <c r="L13462" s="2"/>
      <c r="M13462" s="2"/>
      <c r="N13462" s="2"/>
      <c r="O13462" s="2"/>
      <c r="P13462" s="2"/>
      <c r="Q13462" s="2"/>
      <c r="R13462" s="2"/>
      <c r="S13462" s="2"/>
      <c r="T13462" s="2"/>
      <c r="U13462" s="2"/>
      <c r="V13462" s="2"/>
      <c r="W13462" s="2"/>
      <c r="X13462" s="2"/>
      <c r="Y13462" s="2"/>
      <c r="Z13462" s="2"/>
    </row>
    <row r="13463" spans="1:26" ht="16.5" x14ac:dyDescent="0.35">
      <c r="A13463" s="2" t="str">
        <f ca="1">IFERROR(__xludf.DUMMYFUNCTION("""COMPUTED_VALUE"""),"Dubai")</f>
        <v>Dubai</v>
      </c>
      <c r="B13463" s="2" t="str">
        <f ca="1">IFERROR(__xludf.DUMMYFUNCTION("""COMPUTED_VALUE"""),"Roda Amwaj Suites")</f>
        <v>Roda Amwaj Suites</v>
      </c>
      <c r="C13463" s="2" t="str">
        <f ca="1">IFERROR(__xludf.DUMMYFUNCTION("""COMPUTED_VALUE"""),"Building")</f>
        <v>Building</v>
      </c>
      <c r="D13463" s="2" t="str">
        <f ca="1">IFERROR(__xludf.DUMMYFUNCTION("""COMPUTED_VALUE"""),"Dubai&gt;Jumeirah Beach Residence (JBR)&gt;Amwaj&gt;Roda Amwaj Suites")</f>
        <v>Dubai&gt;Jumeirah Beach Residence (JBR)&gt;Amwaj&gt;Roda Amwaj Suites</v>
      </c>
      <c r="E13463" s="2"/>
      <c r="F13463" s="2"/>
      <c r="G13463" s="2"/>
      <c r="H13463" s="2"/>
      <c r="I13463" s="2"/>
      <c r="J13463" s="2"/>
      <c r="K13463" s="2"/>
      <c r="L13463" s="2"/>
      <c r="M13463" s="2"/>
      <c r="N13463" s="2"/>
      <c r="O13463" s="2"/>
      <c r="P13463" s="2"/>
      <c r="Q13463" s="2"/>
      <c r="R13463" s="2"/>
      <c r="S13463" s="2"/>
      <c r="T13463" s="2"/>
      <c r="U13463" s="2"/>
      <c r="V13463" s="2"/>
      <c r="W13463" s="2"/>
      <c r="X13463" s="2"/>
      <c r="Y13463" s="2"/>
      <c r="Z13463" s="2"/>
    </row>
    <row r="13464" spans="1:26" ht="16.5" x14ac:dyDescent="0.35">
      <c r="A13464" s="2" t="str">
        <f ca="1">IFERROR(__xludf.DUMMYFUNCTION("""COMPUTED_VALUE"""),"Dubai")</f>
        <v>Dubai</v>
      </c>
      <c r="B13464" s="2" t="str">
        <f ca="1">IFERROR(__xludf.DUMMYFUNCTION("""COMPUTED_VALUE"""),"DAMAC Islands 2")</f>
        <v>DAMAC Islands 2</v>
      </c>
      <c r="C13464" s="2" t="str">
        <f ca="1">IFERROR(__xludf.DUMMYFUNCTION("""COMPUTED_VALUE"""),"Neighbourhood")</f>
        <v>Neighbourhood</v>
      </c>
      <c r="D13464" s="2" t="str">
        <f ca="1">IFERROR(__xludf.DUMMYFUNCTION("""COMPUTED_VALUE"""),"Dubai&gt;DAMAC Islands 2")</f>
        <v>Dubai&gt;DAMAC Islands 2</v>
      </c>
      <c r="E13464" s="2"/>
      <c r="F13464" s="2"/>
      <c r="G13464" s="2"/>
      <c r="H13464" s="2"/>
      <c r="I13464" s="2"/>
      <c r="J13464" s="2"/>
      <c r="K13464" s="2"/>
      <c r="L13464" s="2"/>
      <c r="M13464" s="2"/>
      <c r="N13464" s="2"/>
      <c r="O13464" s="2"/>
      <c r="P13464" s="2"/>
      <c r="Q13464" s="2"/>
      <c r="R13464" s="2"/>
      <c r="S13464" s="2"/>
      <c r="T13464" s="2"/>
      <c r="U13464" s="2"/>
      <c r="V13464" s="2"/>
      <c r="W13464" s="2"/>
      <c r="X13464" s="2"/>
      <c r="Y13464" s="2"/>
      <c r="Z13464" s="2"/>
    </row>
    <row r="13465" spans="1:26" ht="16.5" x14ac:dyDescent="0.35">
      <c r="A13465" s="2" t="str">
        <f ca="1">IFERROR(__xludf.DUMMYFUNCTION("""COMPUTED_VALUE"""),"Dubai")</f>
        <v>Dubai</v>
      </c>
      <c r="B13465" s="2" t="str">
        <f ca="1">IFERROR(__xludf.DUMMYFUNCTION("""COMPUTED_VALUE"""),"Building 6A")</f>
        <v>Building 6A</v>
      </c>
      <c r="C13465" s="2" t="str">
        <f ca="1">IFERROR(__xludf.DUMMYFUNCTION("""COMPUTED_VALUE"""),"Building")</f>
        <v>Building</v>
      </c>
      <c r="D13465" s="2" t="str">
        <f ca="1">IFERROR(__xludf.DUMMYFUNCTION("""COMPUTED_VALUE"""),"Dubai&gt;Al Wasl&gt;City Walk&gt;Building 6A")</f>
        <v>Dubai&gt;Al Wasl&gt;City Walk&gt;Building 6A</v>
      </c>
      <c r="E13465" s="2"/>
      <c r="F13465" s="2"/>
      <c r="G13465" s="2"/>
      <c r="H13465" s="2"/>
      <c r="I13465" s="2"/>
      <c r="J13465" s="2"/>
      <c r="K13465" s="2"/>
      <c r="L13465" s="2"/>
      <c r="M13465" s="2"/>
      <c r="N13465" s="2"/>
      <c r="O13465" s="2"/>
      <c r="P13465" s="2"/>
      <c r="Q13465" s="2"/>
      <c r="R13465" s="2"/>
      <c r="S13465" s="2"/>
      <c r="T13465" s="2"/>
      <c r="U13465" s="2"/>
      <c r="V13465" s="2"/>
      <c r="W13465" s="2"/>
      <c r="X13465" s="2"/>
      <c r="Y13465" s="2"/>
      <c r="Z13465" s="2"/>
    </row>
    <row r="13466" spans="1:26" ht="16.5" x14ac:dyDescent="0.35">
      <c r="A13466" s="2" t="str">
        <f ca="1">IFERROR(__xludf.DUMMYFUNCTION("""COMPUTED_VALUE"""),"Dubai")</f>
        <v>Dubai</v>
      </c>
      <c r="B13466" s="2" t="str">
        <f ca="1">IFERROR(__xludf.DUMMYFUNCTION("""COMPUTED_VALUE"""),"Central Park Plaza")</f>
        <v>Central Park Plaza</v>
      </c>
      <c r="C13466" s="2" t="str">
        <f ca="1">IFERROR(__xludf.DUMMYFUNCTION("""COMPUTED_VALUE"""),"Cluster")</f>
        <v>Cluster</v>
      </c>
      <c r="D13466" s="2" t="str">
        <f ca="1">IFERROR(__xludf.DUMMYFUNCTION("""COMPUTED_VALUE"""),"Dubai&gt;Al Wasl&gt;City Walk&gt;Central Park&gt;Central Park Plaza")</f>
        <v>Dubai&gt;Al Wasl&gt;City Walk&gt;Central Park&gt;Central Park Plaza</v>
      </c>
      <c r="E13466" s="2"/>
      <c r="F13466" s="2"/>
      <c r="G13466" s="2"/>
      <c r="H13466" s="2"/>
      <c r="I13466" s="2"/>
      <c r="J13466" s="2"/>
      <c r="K13466" s="2"/>
      <c r="L13466" s="2"/>
      <c r="M13466" s="2"/>
      <c r="N13466" s="2"/>
      <c r="O13466" s="2"/>
      <c r="P13466" s="2"/>
      <c r="Q13466" s="2"/>
      <c r="R13466" s="2"/>
      <c r="S13466" s="2"/>
      <c r="T13466" s="2"/>
      <c r="U13466" s="2"/>
      <c r="V13466" s="2"/>
      <c r="W13466" s="2"/>
      <c r="X13466" s="2"/>
      <c r="Y13466" s="2"/>
      <c r="Z13466" s="2"/>
    </row>
    <row r="13467" spans="1:26" ht="16.5" x14ac:dyDescent="0.35">
      <c r="A13467" s="2" t="str">
        <f ca="1">IFERROR(__xludf.DUMMYFUNCTION("""COMPUTED_VALUE"""),"Dubai")</f>
        <v>Dubai</v>
      </c>
      <c r="B13467" s="2" t="str">
        <f ca="1">IFERROR(__xludf.DUMMYFUNCTION("""COMPUTED_VALUE"""),"City Walk Crestlane 3 Building A")</f>
        <v>City Walk Crestlane 3 Building A</v>
      </c>
      <c r="C13467" s="2" t="str">
        <f ca="1">IFERROR(__xludf.DUMMYFUNCTION("""COMPUTED_VALUE"""),"Building")</f>
        <v>Building</v>
      </c>
      <c r="D13467" s="2" t="str">
        <f ca="1">IFERROR(__xludf.DUMMYFUNCTION("""COMPUTED_VALUE"""),"Dubai&gt;Al Wasl&gt;City Walk&gt;City Walk Crestlane 3&gt;City Walk Crestlane 3 Building A")</f>
        <v>Dubai&gt;Al Wasl&gt;City Walk&gt;City Walk Crestlane 3&gt;City Walk Crestlane 3 Building A</v>
      </c>
      <c r="E13467" s="2"/>
      <c r="F13467" s="2"/>
      <c r="G13467" s="2"/>
      <c r="H13467" s="2"/>
      <c r="I13467" s="2"/>
      <c r="J13467" s="2"/>
      <c r="K13467" s="2"/>
      <c r="L13467" s="2"/>
      <c r="M13467" s="2"/>
      <c r="N13467" s="2"/>
      <c r="O13467" s="2"/>
      <c r="P13467" s="2"/>
      <c r="Q13467" s="2"/>
      <c r="R13467" s="2"/>
      <c r="S13467" s="2"/>
      <c r="T13467" s="2"/>
      <c r="U13467" s="2"/>
      <c r="V13467" s="2"/>
      <c r="W13467" s="2"/>
      <c r="X13467" s="2"/>
      <c r="Y13467" s="2"/>
      <c r="Z13467" s="2"/>
    </row>
    <row r="13468" spans="1:26" ht="16.5" x14ac:dyDescent="0.35">
      <c r="A13468" s="2" t="str">
        <f ca="1">IFERROR(__xludf.DUMMYFUNCTION("""COMPUTED_VALUE"""),"Dubai")</f>
        <v>Dubai</v>
      </c>
      <c r="B13468" s="2" t="str">
        <f ca="1">IFERROR(__xludf.DUMMYFUNCTION("""COMPUTED_VALUE"""),"Al Bayan Newspaper Building")</f>
        <v>Al Bayan Newspaper Building</v>
      </c>
      <c r="C13468" s="2" t="str">
        <f ca="1">IFERROR(__xludf.DUMMYFUNCTION("""COMPUTED_VALUE"""),"Building")</f>
        <v>Building</v>
      </c>
      <c r="D13468" s="2" t="str">
        <f ca="1">IFERROR(__xludf.DUMMYFUNCTION("""COMPUTED_VALUE"""),"Dubai&gt;Al Wasl&gt;Al Bayan Newspaper Building")</f>
        <v>Dubai&gt;Al Wasl&gt;Al Bayan Newspaper Building</v>
      </c>
      <c r="E13468" s="2"/>
      <c r="F13468" s="2"/>
      <c r="G13468" s="2"/>
      <c r="H13468" s="2"/>
      <c r="I13468" s="2"/>
      <c r="J13468" s="2"/>
      <c r="K13468" s="2"/>
      <c r="L13468" s="2"/>
      <c r="M13468" s="2"/>
      <c r="N13468" s="2"/>
      <c r="O13468" s="2"/>
      <c r="P13468" s="2"/>
      <c r="Q13468" s="2"/>
      <c r="R13468" s="2"/>
      <c r="S13468" s="2"/>
      <c r="T13468" s="2"/>
      <c r="U13468" s="2"/>
      <c r="V13468" s="2"/>
      <c r="W13468" s="2"/>
      <c r="X13468" s="2"/>
      <c r="Y13468" s="2"/>
      <c r="Z13468" s="2"/>
    </row>
    <row r="13469" spans="1:26" ht="16.5" x14ac:dyDescent="0.35">
      <c r="A13469" s="2" t="str">
        <f ca="1">IFERROR(__xludf.DUMMYFUNCTION("""COMPUTED_VALUE"""),"Dubai")</f>
        <v>Dubai</v>
      </c>
      <c r="B13469" s="2" t="str">
        <f ca="1">IFERROR(__xludf.DUMMYFUNCTION("""COMPUTED_VALUE"""),"Ahmed Al Abdulla Residence")</f>
        <v>Ahmed Al Abdulla Residence</v>
      </c>
      <c r="C13469" s="2" t="str">
        <f ca="1">IFERROR(__xludf.DUMMYFUNCTION("""COMPUTED_VALUE"""),"Building")</f>
        <v>Building</v>
      </c>
      <c r="D13469" s="2" t="str">
        <f ca="1">IFERROR(__xludf.DUMMYFUNCTION("""COMPUTED_VALUE"""),"Dubai&gt;Arjan&gt;Ahmed Al Abdulla Residence")</f>
        <v>Dubai&gt;Arjan&gt;Ahmed Al Abdulla Residence</v>
      </c>
      <c r="E13469" s="2"/>
      <c r="F13469" s="2"/>
      <c r="G13469" s="2"/>
      <c r="H13469" s="2"/>
      <c r="I13469" s="2"/>
      <c r="J13469" s="2"/>
      <c r="K13469" s="2"/>
      <c r="L13469" s="2"/>
      <c r="M13469" s="2"/>
      <c r="N13469" s="2"/>
      <c r="O13469" s="2"/>
      <c r="P13469" s="2"/>
      <c r="Q13469" s="2"/>
      <c r="R13469" s="2"/>
      <c r="S13469" s="2"/>
      <c r="T13469" s="2"/>
      <c r="U13469" s="2"/>
      <c r="V13469" s="2"/>
      <c r="W13469" s="2"/>
      <c r="X13469" s="2"/>
      <c r="Y13469" s="2"/>
      <c r="Z13469" s="2"/>
    </row>
    <row r="13470" spans="1:26" ht="16.5" x14ac:dyDescent="0.35">
      <c r="A13470" s="2" t="str">
        <f ca="1">IFERROR(__xludf.DUMMYFUNCTION("""COMPUTED_VALUE"""),"Dubai")</f>
        <v>Dubai</v>
      </c>
      <c r="B13470" s="2" t="str">
        <f ca="1">IFERROR(__xludf.DUMMYFUNCTION("""COMPUTED_VALUE"""),"Dania Block A")</f>
        <v>Dania Block A</v>
      </c>
      <c r="C13470" s="2" t="str">
        <f ca="1">IFERROR(__xludf.DUMMYFUNCTION("""COMPUTED_VALUE"""),"Building")</f>
        <v>Building</v>
      </c>
      <c r="D13470" s="2" t="str">
        <f ca="1">IFERROR(__xludf.DUMMYFUNCTION("""COMPUTED_VALUE"""),"Dubai&gt;Arjan&gt;Dania&gt;Dania Block A")</f>
        <v>Dubai&gt;Arjan&gt;Dania&gt;Dania Block A</v>
      </c>
      <c r="E13470" s="2"/>
      <c r="F13470" s="2"/>
      <c r="G13470" s="2"/>
      <c r="H13470" s="2"/>
      <c r="I13470" s="2"/>
      <c r="J13470" s="2"/>
      <c r="K13470" s="2"/>
      <c r="L13470" s="2"/>
      <c r="M13470" s="2"/>
      <c r="N13470" s="2"/>
      <c r="O13470" s="2"/>
      <c r="P13470" s="2"/>
      <c r="Q13470" s="2"/>
      <c r="R13470" s="2"/>
      <c r="S13470" s="2"/>
      <c r="T13470" s="2"/>
      <c r="U13470" s="2"/>
      <c r="V13470" s="2"/>
      <c r="W13470" s="2"/>
      <c r="X13470" s="2"/>
      <c r="Y13470" s="2"/>
      <c r="Z13470" s="2"/>
    </row>
    <row r="13471" spans="1:26" ht="16.5" x14ac:dyDescent="0.35">
      <c r="A13471" s="2" t="str">
        <f ca="1">IFERROR(__xludf.DUMMYFUNCTION("""COMPUTED_VALUE"""),"Dubai")</f>
        <v>Dubai</v>
      </c>
      <c r="B13471" s="2" t="str">
        <f ca="1">IFERROR(__xludf.DUMMYFUNCTION("""COMPUTED_VALUE"""),"Pearl Mizin")</f>
        <v>Pearl Mizin</v>
      </c>
      <c r="C13471" s="2" t="str">
        <f ca="1">IFERROR(__xludf.DUMMYFUNCTION("""COMPUTED_VALUE"""),"Building")</f>
        <v>Building</v>
      </c>
      <c r="D13471" s="2" t="str">
        <f ca="1">IFERROR(__xludf.DUMMYFUNCTION("""COMPUTED_VALUE"""),"Dubai&gt;Arjan&gt;Pearl Mizin")</f>
        <v>Dubai&gt;Arjan&gt;Pearl Mizin</v>
      </c>
      <c r="E13471" s="2"/>
      <c r="F13471" s="2"/>
      <c r="G13471" s="2"/>
      <c r="H13471" s="2"/>
      <c r="I13471" s="2"/>
      <c r="J13471" s="2"/>
      <c r="K13471" s="2"/>
      <c r="L13471" s="2"/>
      <c r="M13471" s="2"/>
      <c r="N13471" s="2"/>
      <c r="O13471" s="2"/>
      <c r="P13471" s="2"/>
      <c r="Q13471" s="2"/>
      <c r="R13471" s="2"/>
      <c r="S13471" s="2"/>
      <c r="T13471" s="2"/>
      <c r="U13471" s="2"/>
      <c r="V13471" s="2"/>
      <c r="W13471" s="2"/>
      <c r="X13471" s="2"/>
      <c r="Y13471" s="2"/>
      <c r="Z13471" s="2"/>
    </row>
    <row r="13472" spans="1:26" ht="16.5" x14ac:dyDescent="0.35">
      <c r="A13472" s="2" t="str">
        <f ca="1">IFERROR(__xludf.DUMMYFUNCTION("""COMPUTED_VALUE"""),"Dubai")</f>
        <v>Dubai</v>
      </c>
      <c r="B13472" s="2" t="str">
        <f ca="1">IFERROR(__xludf.DUMMYFUNCTION("""COMPUTED_VALUE"""),"API Arjan Two Building")</f>
        <v>API Arjan Two Building</v>
      </c>
      <c r="C13472" s="2" t="str">
        <f ca="1">IFERROR(__xludf.DUMMYFUNCTION("""COMPUTED_VALUE"""),"Building")</f>
        <v>Building</v>
      </c>
      <c r="D13472" s="2" t="str">
        <f ca="1">IFERROR(__xludf.DUMMYFUNCTION("""COMPUTED_VALUE"""),"Dubai&gt;Arjan&gt;API Arjan Two Building")</f>
        <v>Dubai&gt;Arjan&gt;API Arjan Two Building</v>
      </c>
      <c r="E13472" s="2"/>
      <c r="F13472" s="2"/>
      <c r="G13472" s="2"/>
      <c r="H13472" s="2"/>
      <c r="I13472" s="2"/>
      <c r="J13472" s="2"/>
      <c r="K13472" s="2"/>
      <c r="L13472" s="2"/>
      <c r="M13472" s="2"/>
      <c r="N13472" s="2"/>
      <c r="O13472" s="2"/>
      <c r="P13472" s="2"/>
      <c r="Q13472" s="2"/>
      <c r="R13472" s="2"/>
      <c r="S13472" s="2"/>
      <c r="T13472" s="2"/>
      <c r="U13472" s="2"/>
      <c r="V13472" s="2"/>
      <c r="W13472" s="2"/>
      <c r="X13472" s="2"/>
      <c r="Y13472" s="2"/>
      <c r="Z13472" s="2"/>
    </row>
    <row r="13473" spans="1:26" ht="16.5" x14ac:dyDescent="0.35">
      <c r="A13473" s="2" t="str">
        <f ca="1">IFERROR(__xludf.DUMMYFUNCTION("""COMPUTED_VALUE"""),"Dubai")</f>
        <v>Dubai</v>
      </c>
      <c r="B13473" s="2" t="str">
        <f ca="1">IFERROR(__xludf.DUMMYFUNCTION("""COMPUTED_VALUE"""),"Legacy by Sunrise")</f>
        <v>Legacy by Sunrise</v>
      </c>
      <c r="C13473" s="2" t="str">
        <f ca="1">IFERROR(__xludf.DUMMYFUNCTION("""COMPUTED_VALUE"""),"Building")</f>
        <v>Building</v>
      </c>
      <c r="D13473" s="2" t="str">
        <f ca="1">IFERROR(__xludf.DUMMYFUNCTION("""COMPUTED_VALUE"""),"Dubai&gt;Arjan&gt;Legacy by Sunrise")</f>
        <v>Dubai&gt;Arjan&gt;Legacy by Sunrise</v>
      </c>
      <c r="E13473" s="2"/>
      <c r="F13473" s="2"/>
      <c r="G13473" s="2"/>
      <c r="H13473" s="2"/>
      <c r="I13473" s="2"/>
      <c r="J13473" s="2"/>
      <c r="K13473" s="2"/>
      <c r="L13473" s="2"/>
      <c r="M13473" s="2"/>
      <c r="N13473" s="2"/>
      <c r="O13473" s="2"/>
      <c r="P13473" s="2"/>
      <c r="Q13473" s="2"/>
      <c r="R13473" s="2"/>
      <c r="S13473" s="2"/>
      <c r="T13473" s="2"/>
      <c r="U13473" s="2"/>
      <c r="V13473" s="2"/>
      <c r="W13473" s="2"/>
      <c r="X13473" s="2"/>
      <c r="Y13473" s="2"/>
      <c r="Z13473" s="2"/>
    </row>
    <row r="13474" spans="1:26" ht="16.5" x14ac:dyDescent="0.35">
      <c r="A13474" s="2" t="str">
        <f ca="1">IFERROR(__xludf.DUMMYFUNCTION("""COMPUTED_VALUE"""),"Dubai")</f>
        <v>Dubai</v>
      </c>
      <c r="B13474" s="2" t="str">
        <f ca="1">IFERROR(__xludf.DUMMYFUNCTION("""COMPUTED_VALUE"""),"Arjan Seven B4")</f>
        <v>Arjan Seven B4</v>
      </c>
      <c r="C13474" s="2" t="str">
        <f ca="1">IFERROR(__xludf.DUMMYFUNCTION("""COMPUTED_VALUE"""),"Building")</f>
        <v>Building</v>
      </c>
      <c r="D13474" s="2" t="str">
        <f ca="1">IFERROR(__xludf.DUMMYFUNCTION("""COMPUTED_VALUE"""),"Dubai&gt;Arjan&gt;Arjan Seven&gt;Arjan Seven B4")</f>
        <v>Dubai&gt;Arjan&gt;Arjan Seven&gt;Arjan Seven B4</v>
      </c>
      <c r="E13474" s="2"/>
      <c r="F13474" s="2"/>
      <c r="G13474" s="2"/>
      <c r="H13474" s="2"/>
      <c r="I13474" s="2"/>
      <c r="J13474" s="2"/>
      <c r="K13474" s="2"/>
      <c r="L13474" s="2"/>
      <c r="M13474" s="2"/>
      <c r="N13474" s="2"/>
      <c r="O13474" s="2"/>
      <c r="P13474" s="2"/>
      <c r="Q13474" s="2"/>
      <c r="R13474" s="2"/>
      <c r="S13474" s="2"/>
      <c r="T13474" s="2"/>
      <c r="U13474" s="2"/>
      <c r="V13474" s="2"/>
      <c r="W13474" s="2"/>
      <c r="X13474" s="2"/>
      <c r="Y13474" s="2"/>
      <c r="Z13474" s="2"/>
    </row>
    <row r="13475" spans="1:26" ht="16.5" x14ac:dyDescent="0.35">
      <c r="A13475" s="2" t="str">
        <f ca="1">IFERROR(__xludf.DUMMYFUNCTION("""COMPUTED_VALUE"""),"Dubai")</f>
        <v>Dubai</v>
      </c>
      <c r="B13475" s="2" t="str">
        <f ca="1">IFERROR(__xludf.DUMMYFUNCTION("""COMPUTED_VALUE"""),"The Sunrise Building")</f>
        <v>The Sunrise Building</v>
      </c>
      <c r="C13475" s="2" t="str">
        <f ca="1">IFERROR(__xludf.DUMMYFUNCTION("""COMPUTED_VALUE"""),"Building")</f>
        <v>Building</v>
      </c>
      <c r="D13475" s="2" t="str">
        <f ca="1">IFERROR(__xludf.DUMMYFUNCTION("""COMPUTED_VALUE"""),"Dubai&gt;Al Safa&gt;Al Safa 2&gt;The Sunrise Building")</f>
        <v>Dubai&gt;Al Safa&gt;Al Safa 2&gt;The Sunrise Building</v>
      </c>
      <c r="E13475" s="2"/>
      <c r="F13475" s="2"/>
      <c r="G13475" s="2"/>
      <c r="H13475" s="2"/>
      <c r="I13475" s="2"/>
      <c r="J13475" s="2"/>
      <c r="K13475" s="2"/>
      <c r="L13475" s="2"/>
      <c r="M13475" s="2"/>
      <c r="N13475" s="2"/>
      <c r="O13475" s="2"/>
      <c r="P13475" s="2"/>
      <c r="Q13475" s="2"/>
      <c r="R13475" s="2"/>
      <c r="S13475" s="2"/>
      <c r="T13475" s="2"/>
      <c r="U13475" s="2"/>
      <c r="V13475" s="2"/>
      <c r="W13475" s="2"/>
      <c r="X13475" s="2"/>
      <c r="Y13475" s="2"/>
      <c r="Z13475" s="2"/>
    </row>
    <row r="13476" spans="1:26" ht="16.5" x14ac:dyDescent="0.35">
      <c r="A13476" s="2" t="str">
        <f ca="1">IFERROR(__xludf.DUMMYFUNCTION("""COMPUTED_VALUE"""),"Dubai")</f>
        <v>Dubai</v>
      </c>
      <c r="B13476" s="2" t="str">
        <f ca="1">IFERROR(__xludf.DUMMYFUNCTION("""COMPUTED_VALUE"""),"GBS Building")</f>
        <v>GBS Building</v>
      </c>
      <c r="C13476" s="2" t="str">
        <f ca="1">IFERROR(__xludf.DUMMYFUNCTION("""COMPUTED_VALUE"""),"Building")</f>
        <v>Building</v>
      </c>
      <c r="D13476" s="2" t="str">
        <f ca="1">IFERROR(__xludf.DUMMYFUNCTION("""COMPUTED_VALUE"""),"Dubai&gt;Dubai Media City&gt;GBS Building")</f>
        <v>Dubai&gt;Dubai Media City&gt;GBS Building</v>
      </c>
      <c r="E13476" s="2"/>
      <c r="F13476" s="2"/>
      <c r="G13476" s="2"/>
      <c r="H13476" s="2"/>
      <c r="I13476" s="2"/>
      <c r="J13476" s="2"/>
      <c r="K13476" s="2"/>
      <c r="L13476" s="2"/>
      <c r="M13476" s="2"/>
      <c r="N13476" s="2"/>
      <c r="O13476" s="2"/>
      <c r="P13476" s="2"/>
      <c r="Q13476" s="2"/>
      <c r="R13476" s="2"/>
      <c r="S13476" s="2"/>
      <c r="T13476" s="2"/>
      <c r="U13476" s="2"/>
      <c r="V13476" s="2"/>
      <c r="W13476" s="2"/>
      <c r="X13476" s="2"/>
      <c r="Y13476" s="2"/>
      <c r="Z13476" s="2"/>
    </row>
    <row r="13477" spans="1:26" ht="16.5" x14ac:dyDescent="0.35">
      <c r="A13477" s="2" t="str">
        <f ca="1">IFERROR(__xludf.DUMMYFUNCTION("""COMPUTED_VALUE"""),"Abu Dhabi")</f>
        <v>Abu Dhabi</v>
      </c>
      <c r="B13477" s="2" t="str">
        <f ca="1">IFERROR(__xludf.DUMMYFUNCTION("""COMPUTED_VALUE"""),"Nurai Island")</f>
        <v>Nurai Island</v>
      </c>
      <c r="C13477" s="2" t="str">
        <f ca="1">IFERROR(__xludf.DUMMYFUNCTION("""COMPUTED_VALUE"""),"Neighbourhood")</f>
        <v>Neighbourhood</v>
      </c>
      <c r="D13477" s="2" t="str">
        <f ca="1">IFERROR(__xludf.DUMMYFUNCTION("""COMPUTED_VALUE"""),"Abu Dhabi&gt;Nurai Island")</f>
        <v>Abu Dhabi&gt;Nurai Island</v>
      </c>
      <c r="E13477" s="2"/>
      <c r="F13477" s="2"/>
      <c r="G13477" s="2"/>
      <c r="H13477" s="2"/>
      <c r="I13477" s="2"/>
      <c r="J13477" s="2"/>
      <c r="K13477" s="2"/>
      <c r="L13477" s="2"/>
      <c r="M13477" s="2"/>
      <c r="N13477" s="2"/>
      <c r="O13477" s="2"/>
      <c r="P13477" s="2"/>
      <c r="Q13477" s="2"/>
      <c r="R13477" s="2"/>
      <c r="S13477" s="2"/>
      <c r="T13477" s="2"/>
      <c r="U13477" s="2"/>
      <c r="V13477" s="2"/>
      <c r="W13477" s="2"/>
      <c r="X13477" s="2"/>
      <c r="Y13477" s="2"/>
      <c r="Z13477" s="2"/>
    </row>
    <row r="13478" spans="1:26" ht="16.5" x14ac:dyDescent="0.35">
      <c r="A13478" s="2" t="str">
        <f ca="1">IFERROR(__xludf.DUMMYFUNCTION("""COMPUTED_VALUE"""),"Abu Dhabi")</f>
        <v>Abu Dhabi</v>
      </c>
      <c r="B13478" s="2" t="str">
        <f ca="1">IFERROR(__xludf.DUMMYFUNCTION("""COMPUTED_VALUE"""),"Al Khaleej Al Arabi Street")</f>
        <v>Al Khaleej Al Arabi Street</v>
      </c>
      <c r="C13478" s="2" t="str">
        <f ca="1">IFERROR(__xludf.DUMMYFUNCTION("""COMPUTED_VALUE"""),"Neighbourhood")</f>
        <v>Neighbourhood</v>
      </c>
      <c r="D13478" s="2" t="str">
        <f ca="1">IFERROR(__xludf.DUMMYFUNCTION("""COMPUTED_VALUE"""),"Abu Dhabi&gt;Al Bateen&gt;Al Khaleej Al Arabi Street")</f>
        <v>Abu Dhabi&gt;Al Bateen&gt;Al Khaleej Al Arabi Street</v>
      </c>
      <c r="E13478" s="2"/>
      <c r="F13478" s="2"/>
      <c r="G13478" s="2"/>
      <c r="H13478" s="2"/>
      <c r="I13478" s="2"/>
      <c r="J13478" s="2"/>
      <c r="K13478" s="2"/>
      <c r="L13478" s="2"/>
      <c r="M13478" s="2"/>
      <c r="N13478" s="2"/>
      <c r="O13478" s="2"/>
      <c r="P13478" s="2"/>
      <c r="Q13478" s="2"/>
      <c r="R13478" s="2"/>
      <c r="S13478" s="2"/>
      <c r="T13478" s="2"/>
      <c r="U13478" s="2"/>
      <c r="V13478" s="2"/>
      <c r="W13478" s="2"/>
      <c r="X13478" s="2"/>
      <c r="Y13478" s="2"/>
      <c r="Z13478" s="2"/>
    </row>
    <row r="13479" spans="1:26" ht="16.5" x14ac:dyDescent="0.35">
      <c r="A13479" s="2" t="str">
        <f ca="1">IFERROR(__xludf.DUMMYFUNCTION("""COMPUTED_VALUE"""),"Abu Dhabi")</f>
        <v>Abu Dhabi</v>
      </c>
      <c r="B13479" s="2" t="str">
        <f ca="1">IFERROR(__xludf.DUMMYFUNCTION("""COMPUTED_VALUE"""),"Spring Tower")</f>
        <v>Spring Tower</v>
      </c>
      <c r="C13479" s="2" t="str">
        <f ca="1">IFERROR(__xludf.DUMMYFUNCTION("""COMPUTED_VALUE"""),"Building")</f>
        <v>Building</v>
      </c>
      <c r="D13479" s="2" t="str">
        <f ca="1">IFERROR(__xludf.DUMMYFUNCTION("""COMPUTED_VALUE"""),"Abu Dhabi&gt;Airport Street&gt;Fotouh Al Khair&gt;Spring Tower")</f>
        <v>Abu Dhabi&gt;Airport Street&gt;Fotouh Al Khair&gt;Spring Tower</v>
      </c>
      <c r="E13479" s="2"/>
      <c r="F13479" s="2"/>
      <c r="G13479" s="2"/>
      <c r="H13479" s="2"/>
      <c r="I13479" s="2"/>
      <c r="J13479" s="2"/>
      <c r="K13479" s="2"/>
      <c r="L13479" s="2"/>
      <c r="M13479" s="2"/>
      <c r="N13479" s="2"/>
      <c r="O13479" s="2"/>
      <c r="P13479" s="2"/>
      <c r="Q13479" s="2"/>
      <c r="R13479" s="2"/>
      <c r="S13479" s="2"/>
      <c r="T13479" s="2"/>
      <c r="U13479" s="2"/>
      <c r="V13479" s="2"/>
      <c r="W13479" s="2"/>
      <c r="X13479" s="2"/>
      <c r="Y13479" s="2"/>
      <c r="Z13479" s="2"/>
    </row>
    <row r="13480" spans="1:26" ht="16.5" x14ac:dyDescent="0.35">
      <c r="A13480" s="2" t="str">
        <f ca="1">IFERROR(__xludf.DUMMYFUNCTION("""COMPUTED_VALUE"""),"Abu Dhabi")</f>
        <v>Abu Dhabi</v>
      </c>
      <c r="B13480" s="2" t="str">
        <f ca="1">IFERROR(__xludf.DUMMYFUNCTION("""COMPUTED_VALUE"""),"Al Juwa Tower")</f>
        <v>Al Juwa Tower</v>
      </c>
      <c r="C13480" s="2" t="str">
        <f ca="1">IFERROR(__xludf.DUMMYFUNCTION("""COMPUTED_VALUE"""),"Building")</f>
        <v>Building</v>
      </c>
      <c r="D13480" s="2" t="str">
        <f ca="1">IFERROR(__xludf.DUMMYFUNCTION("""COMPUTED_VALUE"""),"Abu Dhabi&gt;Tourist Club Area (TCA)&gt;Al Juwa Tower")</f>
        <v>Abu Dhabi&gt;Tourist Club Area (TCA)&gt;Al Juwa Tower</v>
      </c>
      <c r="E13480" s="2"/>
      <c r="F13480" s="2"/>
      <c r="G13480" s="2"/>
      <c r="H13480" s="2"/>
      <c r="I13480" s="2"/>
      <c r="J13480" s="2"/>
      <c r="K13480" s="2"/>
      <c r="L13480" s="2"/>
      <c r="M13480" s="2"/>
      <c r="N13480" s="2"/>
      <c r="O13480" s="2"/>
      <c r="P13480" s="2"/>
      <c r="Q13480" s="2"/>
      <c r="R13480" s="2"/>
      <c r="S13480" s="2"/>
      <c r="T13480" s="2"/>
      <c r="U13480" s="2"/>
      <c r="V13480" s="2"/>
      <c r="W13480" s="2"/>
      <c r="X13480" s="2"/>
      <c r="Y13480" s="2"/>
      <c r="Z13480" s="2"/>
    </row>
    <row r="13481" spans="1:26" ht="16.5" x14ac:dyDescent="0.35">
      <c r="A13481" s="2" t="str">
        <f ca="1">IFERROR(__xludf.DUMMYFUNCTION("""COMPUTED_VALUE"""),"Abu Dhabi")</f>
        <v>Abu Dhabi</v>
      </c>
      <c r="B13481" s="2" t="str">
        <f ca="1">IFERROR(__xludf.DUMMYFUNCTION("""COMPUTED_VALUE"""),"International Community School - Al Najda")</f>
        <v>International Community School - Al Najda</v>
      </c>
      <c r="C13481" s="2" t="str">
        <f ca="1">IFERROR(__xludf.DUMMYFUNCTION("""COMPUTED_VALUE"""),"School")</f>
        <v>School</v>
      </c>
      <c r="D13481" s="2" t="str">
        <f ca="1">IFERROR(__xludf.DUMMYFUNCTION("""COMPUTED_VALUE"""),"Abu Dhabi&gt;Al Mushrif&gt;International Community School - Al Najda")</f>
        <v>Abu Dhabi&gt;Al Mushrif&gt;International Community School - Al Najda</v>
      </c>
      <c r="E13481" s="2"/>
      <c r="F13481" s="2"/>
      <c r="G13481" s="2"/>
      <c r="H13481" s="2"/>
      <c r="I13481" s="2"/>
      <c r="J13481" s="2"/>
      <c r="K13481" s="2"/>
      <c r="L13481" s="2"/>
      <c r="M13481" s="2"/>
      <c r="N13481" s="2"/>
      <c r="O13481" s="2"/>
      <c r="P13481" s="2"/>
      <c r="Q13481" s="2"/>
      <c r="R13481" s="2"/>
      <c r="S13481" s="2"/>
      <c r="T13481" s="2"/>
      <c r="U13481" s="2"/>
      <c r="V13481" s="2"/>
      <c r="W13481" s="2"/>
      <c r="X13481" s="2"/>
      <c r="Y13481" s="2"/>
      <c r="Z13481" s="2"/>
    </row>
    <row r="13482" spans="1:26" ht="16.5" x14ac:dyDescent="0.35">
      <c r="A13482" s="2" t="str">
        <f ca="1">IFERROR(__xludf.DUMMYFUNCTION("""COMPUTED_VALUE"""),"Abu Dhabi")</f>
        <v>Abu Dhabi</v>
      </c>
      <c r="B13482" s="2" t="str">
        <f ca="1">IFERROR(__xludf.DUMMYFUNCTION("""COMPUTED_VALUE"""),"Al Shatie Al Jadeedah")</f>
        <v>Al Shatie Al Jadeedah</v>
      </c>
      <c r="C13482" s="2" t="str">
        <f ca="1">IFERROR(__xludf.DUMMYFUNCTION("""COMPUTED_VALUE"""),"Neighbourhood")</f>
        <v>Neighbourhood</v>
      </c>
      <c r="D13482" s="2" t="str">
        <f ca="1">IFERROR(__xludf.DUMMYFUNCTION("""COMPUTED_VALUE"""),"Abu Dhabi&gt;Al Sader&gt;Al Shatie Al Jadeedah")</f>
        <v>Abu Dhabi&gt;Al Sader&gt;Al Shatie Al Jadeedah</v>
      </c>
      <c r="E13482" s="2"/>
      <c r="F13482" s="2"/>
      <c r="G13482" s="2"/>
      <c r="H13482" s="2"/>
      <c r="I13482" s="2"/>
      <c r="J13482" s="2"/>
      <c r="K13482" s="2"/>
      <c r="L13482" s="2"/>
      <c r="M13482" s="2"/>
      <c r="N13482" s="2"/>
      <c r="O13482" s="2"/>
      <c r="P13482" s="2"/>
      <c r="Q13482" s="2"/>
      <c r="R13482" s="2"/>
      <c r="S13482" s="2"/>
      <c r="T13482" s="2"/>
      <c r="U13482" s="2"/>
      <c r="V13482" s="2"/>
      <c r="W13482" s="2"/>
      <c r="X13482" s="2"/>
      <c r="Y13482" s="2"/>
      <c r="Z13482" s="2"/>
    </row>
    <row r="13483" spans="1:26" ht="16.5" x14ac:dyDescent="0.35">
      <c r="A13483" s="2" t="str">
        <f ca="1">IFERROR(__xludf.DUMMYFUNCTION("""COMPUTED_VALUE"""),"Abu Dhabi")</f>
        <v>Abu Dhabi</v>
      </c>
      <c r="B13483" s="2" t="str">
        <f ca="1">IFERROR(__xludf.DUMMYFUNCTION("""COMPUTED_VALUE"""),"Sea Shore Villas")</f>
        <v>Sea Shore Villas</v>
      </c>
      <c r="C13483" s="2" t="str">
        <f ca="1">IFERROR(__xludf.DUMMYFUNCTION("""COMPUTED_VALUE"""),"Neighbourhood")</f>
        <v>Neighbourhood</v>
      </c>
      <c r="D13483" s="2" t="str">
        <f ca="1">IFERROR(__xludf.DUMMYFUNCTION("""COMPUTED_VALUE"""),"Abu Dhabi&gt;Rabdan&gt;Sea Shore Villas")</f>
        <v>Abu Dhabi&gt;Rabdan&gt;Sea Shore Villas</v>
      </c>
      <c r="E13483" s="2"/>
      <c r="F13483" s="2"/>
      <c r="G13483" s="2"/>
      <c r="H13483" s="2"/>
      <c r="I13483" s="2"/>
      <c r="J13483" s="2"/>
      <c r="K13483" s="2"/>
      <c r="L13483" s="2"/>
      <c r="M13483" s="2"/>
      <c r="N13483" s="2"/>
      <c r="O13483" s="2"/>
      <c r="P13483" s="2"/>
      <c r="Q13483" s="2"/>
      <c r="R13483" s="2"/>
      <c r="S13483" s="2"/>
      <c r="T13483" s="2"/>
      <c r="U13483" s="2"/>
      <c r="V13483" s="2"/>
      <c r="W13483" s="2"/>
      <c r="X13483" s="2"/>
      <c r="Y13483" s="2"/>
      <c r="Z13483" s="2"/>
    </row>
    <row r="13484" spans="1:26" ht="16.5" x14ac:dyDescent="0.35">
      <c r="A13484" s="2" t="str">
        <f ca="1">IFERROR(__xludf.DUMMYFUNCTION("""COMPUTED_VALUE"""),"Abu Dhabi")</f>
        <v>Abu Dhabi</v>
      </c>
      <c r="B13484" s="2" t="str">
        <f ca="1">IFERROR(__xludf.DUMMYFUNCTION("""COMPUTED_VALUE"""),"Oasis Residences Two")</f>
        <v>Oasis Residences Two</v>
      </c>
      <c r="C13484" s="2" t="str">
        <f ca="1">IFERROR(__xludf.DUMMYFUNCTION("""COMPUTED_VALUE"""),"Building")</f>
        <v>Building</v>
      </c>
      <c r="D13484" s="2" t="str">
        <f ca="1">IFERROR(__xludf.DUMMYFUNCTION("""COMPUTED_VALUE"""),"Abu Dhabi&gt;Masdar City&gt;Oasis Residences&gt;Oasis Residences Two")</f>
        <v>Abu Dhabi&gt;Masdar City&gt;Oasis Residences&gt;Oasis Residences Two</v>
      </c>
      <c r="E13484" s="2"/>
      <c r="F13484" s="2"/>
      <c r="G13484" s="2"/>
      <c r="H13484" s="2"/>
      <c r="I13484" s="2"/>
      <c r="J13484" s="2"/>
      <c r="K13484" s="2"/>
      <c r="L13484" s="2"/>
      <c r="M13484" s="2"/>
      <c r="N13484" s="2"/>
      <c r="O13484" s="2"/>
      <c r="P13484" s="2"/>
      <c r="Q13484" s="2"/>
      <c r="R13484" s="2"/>
      <c r="S13484" s="2"/>
      <c r="T13484" s="2"/>
      <c r="U13484" s="2"/>
      <c r="V13484" s="2"/>
      <c r="W13484" s="2"/>
      <c r="X13484" s="2"/>
      <c r="Y13484" s="2"/>
      <c r="Z13484" s="2"/>
    </row>
    <row r="13485" spans="1:26" ht="16.5" x14ac:dyDescent="0.35">
      <c r="A13485" s="2" t="str">
        <f ca="1">IFERROR(__xludf.DUMMYFUNCTION("""COMPUTED_VALUE"""),"Abu Dhabi")</f>
        <v>Abu Dhabi</v>
      </c>
      <c r="B13485" s="2" t="str">
        <f ca="1">IFERROR(__xludf.DUMMYFUNCTION("""COMPUTED_VALUE"""),"Greenopia Eco Pre-School")</f>
        <v>Greenopia Eco Pre-School</v>
      </c>
      <c r="C13485" s="2" t="str">
        <f ca="1">IFERROR(__xludf.DUMMYFUNCTION("""COMPUTED_VALUE"""),"Nursery")</f>
        <v>Nursery</v>
      </c>
      <c r="D13485" s="2" t="str">
        <f ca="1">IFERROR(__xludf.DUMMYFUNCTION("""COMPUTED_VALUE"""),"Abu Dhabi&gt;Al Rawdah&gt;Greenopia Eco Pre-School")</f>
        <v>Abu Dhabi&gt;Al Rawdah&gt;Greenopia Eco Pre-School</v>
      </c>
      <c r="E13485" s="2"/>
      <c r="F13485" s="2"/>
      <c r="G13485" s="2"/>
      <c r="H13485" s="2"/>
      <c r="I13485" s="2"/>
      <c r="J13485" s="2"/>
      <c r="K13485" s="2"/>
      <c r="L13485" s="2"/>
      <c r="M13485" s="2"/>
      <c r="N13485" s="2"/>
      <c r="O13485" s="2"/>
      <c r="P13485" s="2"/>
      <c r="Q13485" s="2"/>
      <c r="R13485" s="2"/>
      <c r="S13485" s="2"/>
      <c r="T13485" s="2"/>
      <c r="U13485" s="2"/>
      <c r="V13485" s="2"/>
      <c r="W13485" s="2"/>
      <c r="X13485" s="2"/>
      <c r="Y13485" s="2"/>
      <c r="Z13485" s="2"/>
    </row>
    <row r="13486" spans="1:26" ht="16.5" x14ac:dyDescent="0.35">
      <c r="A13486" s="2" t="str">
        <f ca="1">IFERROR(__xludf.DUMMYFUNCTION("""COMPUTED_VALUE"""),"Abu Dhabi")</f>
        <v>Abu Dhabi</v>
      </c>
      <c r="B13486" s="2" t="str">
        <f ca="1">IFERROR(__xludf.DUMMYFUNCTION("""COMPUTED_VALUE"""),"Sowwah Square")</f>
        <v>Sowwah Square</v>
      </c>
      <c r="C13486" s="2" t="str">
        <f ca="1">IFERROR(__xludf.DUMMYFUNCTION("""COMPUTED_VALUE"""),"Cluster")</f>
        <v>Cluster</v>
      </c>
      <c r="D13486" s="2" t="str">
        <f ca="1">IFERROR(__xludf.DUMMYFUNCTION("""COMPUTED_VALUE"""),"Abu Dhabi&gt;Al Maryah Island&gt;Sowwah Square")</f>
        <v>Abu Dhabi&gt;Al Maryah Island&gt;Sowwah Square</v>
      </c>
      <c r="E13486" s="2"/>
      <c r="F13486" s="2"/>
      <c r="G13486" s="2"/>
      <c r="H13486" s="2"/>
      <c r="I13486" s="2"/>
      <c r="J13486" s="2"/>
      <c r="K13486" s="2"/>
      <c r="L13486" s="2"/>
      <c r="M13486" s="2"/>
      <c r="N13486" s="2"/>
      <c r="O13486" s="2"/>
      <c r="P13486" s="2"/>
      <c r="Q13486" s="2"/>
      <c r="R13486" s="2"/>
      <c r="S13486" s="2"/>
      <c r="T13486" s="2"/>
      <c r="U13486" s="2"/>
      <c r="V13486" s="2"/>
      <c r="W13486" s="2"/>
      <c r="X13486" s="2"/>
      <c r="Y13486" s="2"/>
      <c r="Z13486" s="2"/>
    </row>
    <row r="13487" spans="1:26" ht="16.5" x14ac:dyDescent="0.35">
      <c r="A13487" s="2" t="str">
        <f ca="1">IFERROR(__xludf.DUMMYFUNCTION("""COMPUTED_VALUE"""),"Abu Dhabi")</f>
        <v>Abu Dhabi</v>
      </c>
      <c r="B13487" s="2" t="str">
        <f ca="1">IFERROR(__xludf.DUMMYFUNCTION("""COMPUTED_VALUE"""),"Thanaya Building")</f>
        <v>Thanaya Building</v>
      </c>
      <c r="C13487" s="2" t="str">
        <f ca="1">IFERROR(__xludf.DUMMYFUNCTION("""COMPUTED_VALUE"""),"Building")</f>
        <v>Building</v>
      </c>
      <c r="D13487" s="2" t="str">
        <f ca="1">IFERROR(__xludf.DUMMYFUNCTION("""COMPUTED_VALUE"""),"Abu Dhabi&gt;Al Matar&gt;Thanaya Building")</f>
        <v>Abu Dhabi&gt;Al Matar&gt;Thanaya Building</v>
      </c>
      <c r="E13487" s="2"/>
      <c r="F13487" s="2"/>
      <c r="G13487" s="2"/>
      <c r="H13487" s="2"/>
      <c r="I13487" s="2"/>
      <c r="J13487" s="2"/>
      <c r="K13487" s="2"/>
      <c r="L13487" s="2"/>
      <c r="M13487" s="2"/>
      <c r="N13487" s="2"/>
      <c r="O13487" s="2"/>
      <c r="P13487" s="2"/>
      <c r="Q13487" s="2"/>
      <c r="R13487" s="2"/>
      <c r="S13487" s="2"/>
      <c r="T13487" s="2"/>
      <c r="U13487" s="2"/>
      <c r="V13487" s="2"/>
      <c r="W13487" s="2"/>
      <c r="X13487" s="2"/>
      <c r="Y13487" s="2"/>
      <c r="Z13487" s="2"/>
    </row>
    <row r="13488" spans="1:26" ht="16.5" x14ac:dyDescent="0.35">
      <c r="A13488" s="2" t="str">
        <f ca="1">IFERROR(__xludf.DUMMYFUNCTION("""COMPUTED_VALUE"""),"Abu Dhabi")</f>
        <v>Abu Dhabi</v>
      </c>
      <c r="B13488" s="2" t="str">
        <f ca="1">IFERROR(__xludf.DUMMYFUNCTION("""COMPUTED_VALUE"""),"MSH17")</f>
        <v>MSH17</v>
      </c>
      <c r="C13488" s="2" t="str">
        <f ca="1">IFERROR(__xludf.DUMMYFUNCTION("""COMPUTED_VALUE"""),"Neighbourhood")</f>
        <v>Neighbourhood</v>
      </c>
      <c r="D13488" s="2" t="str">
        <f ca="1">IFERROR(__xludf.DUMMYFUNCTION("""COMPUTED_VALUE"""),"Abu Dhabi&gt;Shakhbout City&gt;MSH17")</f>
        <v>Abu Dhabi&gt;Shakhbout City&gt;MSH17</v>
      </c>
      <c r="E13488" s="2"/>
      <c r="F13488" s="2"/>
      <c r="G13488" s="2"/>
      <c r="H13488" s="2"/>
      <c r="I13488" s="2"/>
      <c r="J13488" s="2"/>
      <c r="K13488" s="2"/>
      <c r="L13488" s="2"/>
      <c r="M13488" s="2"/>
      <c r="N13488" s="2"/>
      <c r="O13488" s="2"/>
      <c r="P13488" s="2"/>
      <c r="Q13488" s="2"/>
      <c r="R13488" s="2"/>
      <c r="S13488" s="2"/>
      <c r="T13488" s="2"/>
      <c r="U13488" s="2"/>
      <c r="V13488" s="2"/>
      <c r="W13488" s="2"/>
      <c r="X13488" s="2"/>
      <c r="Y13488" s="2"/>
      <c r="Z13488" s="2"/>
    </row>
    <row r="13489" spans="1:26" ht="16.5" x14ac:dyDescent="0.35">
      <c r="A13489" s="2" t="str">
        <f ca="1">IFERROR(__xludf.DUMMYFUNCTION("""COMPUTED_VALUE"""),"Abu Dhabi")</f>
        <v>Abu Dhabi</v>
      </c>
      <c r="B13489" s="2" t="str">
        <f ca="1">IFERROR(__xludf.DUMMYFUNCTION("""COMPUTED_VALUE"""),"Al Jubail Island")</f>
        <v>Al Jubail Island</v>
      </c>
      <c r="C13489" s="2" t="str">
        <f ca="1">IFERROR(__xludf.DUMMYFUNCTION("""COMPUTED_VALUE"""),"Neighbourhood")</f>
        <v>Neighbourhood</v>
      </c>
      <c r="D13489" s="2" t="str">
        <f ca="1">IFERROR(__xludf.DUMMYFUNCTION("""COMPUTED_VALUE"""),"Abu Dhabi&gt;Al Jubail Island")</f>
        <v>Abu Dhabi&gt;Al Jubail Island</v>
      </c>
      <c r="E13489" s="2"/>
      <c r="F13489" s="2"/>
      <c r="G13489" s="2"/>
      <c r="H13489" s="2"/>
      <c r="I13489" s="2"/>
      <c r="J13489" s="2"/>
      <c r="K13489" s="2"/>
      <c r="L13489" s="2"/>
      <c r="M13489" s="2"/>
      <c r="N13489" s="2"/>
      <c r="O13489" s="2"/>
      <c r="P13489" s="2"/>
      <c r="Q13489" s="2"/>
      <c r="R13489" s="2"/>
      <c r="S13489" s="2"/>
      <c r="T13489" s="2"/>
      <c r="U13489" s="2"/>
      <c r="V13489" s="2"/>
      <c r="W13489" s="2"/>
      <c r="X13489" s="2"/>
      <c r="Y13489" s="2"/>
      <c r="Z13489" s="2"/>
    </row>
    <row r="13490" spans="1:26" ht="16.5" x14ac:dyDescent="0.35">
      <c r="A13490" s="2" t="str">
        <f ca="1">IFERROR(__xludf.DUMMYFUNCTION("""COMPUTED_VALUE"""),"Abu Dhabi")</f>
        <v>Abu Dhabi</v>
      </c>
      <c r="B13490" s="2" t="str">
        <f ca="1">IFERROR(__xludf.DUMMYFUNCTION("""COMPUTED_VALUE"""),"Al Sahel Towers")</f>
        <v>Al Sahel Towers</v>
      </c>
      <c r="C13490" s="2" t="str">
        <f ca="1">IFERROR(__xludf.DUMMYFUNCTION("""COMPUTED_VALUE"""),"Building")</f>
        <v>Building</v>
      </c>
      <c r="D13490" s="2" t="str">
        <f ca="1">IFERROR(__xludf.DUMMYFUNCTION("""COMPUTED_VALUE"""),"Abu Dhabi&gt;Al Khubeirah&gt;Al Sahel Towers")</f>
        <v>Abu Dhabi&gt;Al Khubeirah&gt;Al Sahel Towers</v>
      </c>
      <c r="E13490" s="2"/>
      <c r="F13490" s="2"/>
      <c r="G13490" s="2"/>
      <c r="H13490" s="2"/>
      <c r="I13490" s="2"/>
      <c r="J13490" s="2"/>
      <c r="K13490" s="2"/>
      <c r="L13490" s="2"/>
      <c r="M13490" s="2"/>
      <c r="N13490" s="2"/>
      <c r="O13490" s="2"/>
      <c r="P13490" s="2"/>
      <c r="Q13490" s="2"/>
      <c r="R13490" s="2"/>
      <c r="S13490" s="2"/>
      <c r="T13490" s="2"/>
      <c r="U13490" s="2"/>
      <c r="V13490" s="2"/>
      <c r="W13490" s="2"/>
      <c r="X13490" s="2"/>
      <c r="Y13490" s="2"/>
      <c r="Z13490" s="2"/>
    </row>
    <row r="13491" spans="1:26" ht="16.5" x14ac:dyDescent="0.35">
      <c r="A13491" s="2" t="str">
        <f ca="1">IFERROR(__xludf.DUMMYFUNCTION("""COMPUTED_VALUE"""),"Abu Dhabi")</f>
        <v>Abu Dhabi</v>
      </c>
      <c r="B13491" s="2" t="str">
        <f ca="1">IFERROR(__xludf.DUMMYFUNCTION("""COMPUTED_VALUE"""),"Sheikh Abdulla Building")</f>
        <v>Sheikh Abdulla Building</v>
      </c>
      <c r="C13491" s="2" t="str">
        <f ca="1">IFERROR(__xludf.DUMMYFUNCTION("""COMPUTED_VALUE"""),"Building")</f>
        <v>Building</v>
      </c>
      <c r="D13491" s="2" t="str">
        <f ca="1">IFERROR(__xludf.DUMMYFUNCTION("""COMPUTED_VALUE"""),"Abu Dhabi&gt;Al Hisn&gt;Sheikh Abdulla Building")</f>
        <v>Abu Dhabi&gt;Al Hisn&gt;Sheikh Abdulla Building</v>
      </c>
      <c r="E13491" s="2"/>
      <c r="F13491" s="2"/>
      <c r="G13491" s="2"/>
      <c r="H13491" s="2"/>
      <c r="I13491" s="2"/>
      <c r="J13491" s="2"/>
      <c r="K13491" s="2"/>
      <c r="L13491" s="2"/>
      <c r="M13491" s="2"/>
      <c r="N13491" s="2"/>
      <c r="O13491" s="2"/>
      <c r="P13491" s="2"/>
      <c r="Q13491" s="2"/>
      <c r="R13491" s="2"/>
      <c r="S13491" s="2"/>
      <c r="T13491" s="2"/>
      <c r="U13491" s="2"/>
      <c r="V13491" s="2"/>
      <c r="W13491" s="2"/>
      <c r="X13491" s="2"/>
      <c r="Y13491" s="2"/>
      <c r="Z13491" s="2"/>
    </row>
    <row r="13492" spans="1:26" ht="16.5" x14ac:dyDescent="0.35">
      <c r="A13492" s="2" t="str">
        <f ca="1">IFERROR(__xludf.DUMMYFUNCTION("""COMPUTED_VALUE"""),"Abu Dhabi")</f>
        <v>Abu Dhabi</v>
      </c>
      <c r="B13492" s="2" t="str">
        <f ca="1">IFERROR(__xludf.DUMMYFUNCTION("""COMPUTED_VALUE"""),"The Sheikh Zayed Private Academy for Girls")</f>
        <v>The Sheikh Zayed Private Academy for Girls</v>
      </c>
      <c r="C13492" s="2" t="str">
        <f ca="1">IFERROR(__xludf.DUMMYFUNCTION("""COMPUTED_VALUE"""),"School")</f>
        <v>School</v>
      </c>
      <c r="D13492" s="2" t="str">
        <f ca="1">IFERROR(__xludf.DUMMYFUNCTION("""COMPUTED_VALUE"""),"Abu Dhabi&gt;Al Manhal&gt;The Sheikh Zayed Private Academy for Girls")</f>
        <v>Abu Dhabi&gt;Al Manhal&gt;The Sheikh Zayed Private Academy for Girls</v>
      </c>
      <c r="E13492" s="2"/>
      <c r="F13492" s="2"/>
      <c r="G13492" s="2"/>
      <c r="H13492" s="2"/>
      <c r="I13492" s="2"/>
      <c r="J13492" s="2"/>
      <c r="K13492" s="2"/>
      <c r="L13492" s="2"/>
      <c r="M13492" s="2"/>
      <c r="N13492" s="2"/>
      <c r="O13492" s="2"/>
      <c r="P13492" s="2"/>
      <c r="Q13492" s="2"/>
      <c r="R13492" s="2"/>
      <c r="S13492" s="2"/>
      <c r="T13492" s="2"/>
      <c r="U13492" s="2"/>
      <c r="V13492" s="2"/>
      <c r="W13492" s="2"/>
      <c r="X13492" s="2"/>
      <c r="Y13492" s="2"/>
      <c r="Z13492" s="2"/>
    </row>
    <row r="13493" spans="1:26" ht="16.5" x14ac:dyDescent="0.35">
      <c r="A13493" s="2" t="str">
        <f ca="1">IFERROR(__xludf.DUMMYFUNCTION("""COMPUTED_VALUE"""),"Abu Dhabi")</f>
        <v>Abu Dhabi</v>
      </c>
      <c r="B13493" s="2" t="str">
        <f ca="1">IFERROR(__xludf.DUMMYFUNCTION("""COMPUTED_VALUE"""),"The Beach House Tower 1")</f>
        <v>The Beach House Tower 1</v>
      </c>
      <c r="C13493" s="2" t="str">
        <f ca="1">IFERROR(__xludf.DUMMYFUNCTION("""COMPUTED_VALUE"""),"Building")</f>
        <v>Building</v>
      </c>
      <c r="D13493" s="2" t="str">
        <f ca="1">IFERROR(__xludf.DUMMYFUNCTION("""COMPUTED_VALUE"""),"Abu Dhabi&gt;Fahid Island&gt;The Beach House&gt;The Beach House Tower 1")</f>
        <v>Abu Dhabi&gt;Fahid Island&gt;The Beach House&gt;The Beach House Tower 1</v>
      </c>
      <c r="E13493" s="2"/>
      <c r="F13493" s="2"/>
      <c r="G13493" s="2"/>
      <c r="H13493" s="2"/>
      <c r="I13493" s="2"/>
      <c r="J13493" s="2"/>
      <c r="K13493" s="2"/>
      <c r="L13493" s="2"/>
      <c r="M13493" s="2"/>
      <c r="N13493" s="2"/>
      <c r="O13493" s="2"/>
      <c r="P13493" s="2"/>
      <c r="Q13493" s="2"/>
      <c r="R13493" s="2"/>
      <c r="S13493" s="2"/>
      <c r="T13493" s="2"/>
      <c r="U13493" s="2"/>
      <c r="V13493" s="2"/>
      <c r="W13493" s="2"/>
      <c r="X13493" s="2"/>
      <c r="Y13493" s="2"/>
      <c r="Z13493" s="2"/>
    </row>
    <row r="13494" spans="1:26" ht="16.5" x14ac:dyDescent="0.35">
      <c r="A13494" s="2" t="str">
        <f ca="1">IFERROR(__xludf.DUMMYFUNCTION("""COMPUTED_VALUE"""),"Abu Dhabi")</f>
        <v>Abu Dhabi</v>
      </c>
      <c r="B13494" s="2" t="str">
        <f ca="1">IFERROR(__xludf.DUMMYFUNCTION("""COMPUTED_VALUE"""),"Wafra Commercial Tower")</f>
        <v>Wafra Commercial Tower</v>
      </c>
      <c r="C13494" s="2" t="str">
        <f ca="1">IFERROR(__xludf.DUMMYFUNCTION("""COMPUTED_VALUE"""),"Building")</f>
        <v>Building</v>
      </c>
      <c r="D13494" s="2" t="str">
        <f ca="1">IFERROR(__xludf.DUMMYFUNCTION("""COMPUTED_VALUE"""),"Abu Dhabi&gt;Al Reem Island&gt;Najmat Abu Dhabi&gt;Wafra Commercial Tower")</f>
        <v>Abu Dhabi&gt;Al Reem Island&gt;Najmat Abu Dhabi&gt;Wafra Commercial Tower</v>
      </c>
      <c r="E13494" s="2"/>
      <c r="F13494" s="2"/>
      <c r="G13494" s="2"/>
      <c r="H13494" s="2"/>
      <c r="I13494" s="2"/>
      <c r="J13494" s="2"/>
      <c r="K13494" s="2"/>
      <c r="L13494" s="2"/>
      <c r="M13494" s="2"/>
      <c r="N13494" s="2"/>
      <c r="O13494" s="2"/>
      <c r="P13494" s="2"/>
      <c r="Q13494" s="2"/>
      <c r="R13494" s="2"/>
      <c r="S13494" s="2"/>
      <c r="T13494" s="2"/>
      <c r="U13494" s="2"/>
      <c r="V13494" s="2"/>
      <c r="W13494" s="2"/>
      <c r="X13494" s="2"/>
      <c r="Y13494" s="2"/>
      <c r="Z13494" s="2"/>
    </row>
    <row r="13495" spans="1:26" ht="16.5" x14ac:dyDescent="0.35">
      <c r="A13495" s="2" t="str">
        <f ca="1">IFERROR(__xludf.DUMMYFUNCTION("""COMPUTED_VALUE"""),"Abu Dhabi")</f>
        <v>Abu Dhabi</v>
      </c>
      <c r="B13495" s="2" t="str">
        <f ca="1">IFERROR(__xludf.DUMMYFUNCTION("""COMPUTED_VALUE"""),"One Marina Square")</f>
        <v>One Marina Square</v>
      </c>
      <c r="C13495" s="2" t="str">
        <f ca="1">IFERROR(__xludf.DUMMYFUNCTION("""COMPUTED_VALUE"""),"Building")</f>
        <v>Building</v>
      </c>
      <c r="D13495" s="2" t="str">
        <f ca="1">IFERROR(__xludf.DUMMYFUNCTION("""COMPUTED_VALUE"""),"Abu Dhabi&gt;Al Reem Island&gt;Marina Square&gt;One Marina Square")</f>
        <v>Abu Dhabi&gt;Al Reem Island&gt;Marina Square&gt;One Marina Square</v>
      </c>
      <c r="E13495" s="2"/>
      <c r="F13495" s="2"/>
      <c r="G13495" s="2"/>
      <c r="H13495" s="2"/>
      <c r="I13495" s="2"/>
      <c r="J13495" s="2"/>
      <c r="K13495" s="2"/>
      <c r="L13495" s="2"/>
      <c r="M13495" s="2"/>
      <c r="N13495" s="2"/>
      <c r="O13495" s="2"/>
      <c r="P13495" s="2"/>
      <c r="Q13495" s="2"/>
      <c r="R13495" s="2"/>
      <c r="S13495" s="2"/>
      <c r="T13495" s="2"/>
      <c r="U13495" s="2"/>
      <c r="V13495" s="2"/>
      <c r="W13495" s="2"/>
      <c r="X13495" s="2"/>
      <c r="Y13495" s="2"/>
      <c r="Z13495" s="2"/>
    </row>
    <row r="13496" spans="1:26" ht="16.5" x14ac:dyDescent="0.35">
      <c r="A13496" s="2" t="str">
        <f ca="1">IFERROR(__xludf.DUMMYFUNCTION("""COMPUTED_VALUE"""),"Abu Dhabi")</f>
        <v>Abu Dhabi</v>
      </c>
      <c r="B13496" s="2" t="str">
        <f ca="1">IFERROR(__xludf.DUMMYFUNCTION("""COMPUTED_VALUE"""),"Meera Shams Tower 1")</f>
        <v>Meera Shams Tower 1</v>
      </c>
      <c r="C13496" s="2" t="str">
        <f ca="1">IFERROR(__xludf.DUMMYFUNCTION("""COMPUTED_VALUE"""),"Building")</f>
        <v>Building</v>
      </c>
      <c r="D13496" s="2" t="str">
        <f ca="1">IFERROR(__xludf.DUMMYFUNCTION("""COMPUTED_VALUE"""),"Abu Dhabi&gt;Al Reem Island&gt;Shams Abu Dhabi&gt;Meera Shams Tower 1")</f>
        <v>Abu Dhabi&gt;Al Reem Island&gt;Shams Abu Dhabi&gt;Meera Shams Tower 1</v>
      </c>
      <c r="E13496" s="2"/>
      <c r="F13496" s="2"/>
      <c r="G13496" s="2"/>
      <c r="H13496" s="2"/>
      <c r="I13496" s="2"/>
      <c r="J13496" s="2"/>
      <c r="K13496" s="2"/>
      <c r="L13496" s="2"/>
      <c r="M13496" s="2"/>
      <c r="N13496" s="2"/>
      <c r="O13496" s="2"/>
      <c r="P13496" s="2"/>
      <c r="Q13496" s="2"/>
      <c r="R13496" s="2"/>
      <c r="S13496" s="2"/>
      <c r="T13496" s="2"/>
      <c r="U13496" s="2"/>
      <c r="V13496" s="2"/>
      <c r="W13496" s="2"/>
      <c r="X13496" s="2"/>
      <c r="Y13496" s="2"/>
      <c r="Z13496" s="2"/>
    </row>
    <row r="13497" spans="1:26" ht="16.5" x14ac:dyDescent="0.35">
      <c r="A13497" s="2" t="str">
        <f ca="1">IFERROR(__xludf.DUMMYFUNCTION("""COMPUTED_VALUE"""),"Abu Dhabi")</f>
        <v>Abu Dhabi</v>
      </c>
      <c r="B13497" s="2" t="str">
        <f ca="1">IFERROR(__xludf.DUMMYFUNCTION("""COMPUTED_VALUE"""),"Empire Tower")</f>
        <v>Empire Tower</v>
      </c>
      <c r="C13497" s="2" t="str">
        <f ca="1">IFERROR(__xludf.DUMMYFUNCTION("""COMPUTED_VALUE"""),"Building")</f>
        <v>Building</v>
      </c>
      <c r="D13497" s="2" t="str">
        <f ca="1">IFERROR(__xludf.DUMMYFUNCTION("""COMPUTED_VALUE"""),"Abu Dhabi&gt;Al Reem Island&gt;Shams Abu Dhabi&gt;Empire Tower")</f>
        <v>Abu Dhabi&gt;Al Reem Island&gt;Shams Abu Dhabi&gt;Empire Tower</v>
      </c>
      <c r="E13497" s="2"/>
      <c r="F13497" s="2"/>
      <c r="G13497" s="2"/>
      <c r="H13497" s="2"/>
      <c r="I13497" s="2"/>
      <c r="J13497" s="2"/>
      <c r="K13497" s="2"/>
      <c r="L13497" s="2"/>
      <c r="M13497" s="2"/>
      <c r="N13497" s="2"/>
      <c r="O13497" s="2"/>
      <c r="P13497" s="2"/>
      <c r="Q13497" s="2"/>
      <c r="R13497" s="2"/>
      <c r="S13497" s="2"/>
      <c r="T13497" s="2"/>
      <c r="U13497" s="2"/>
      <c r="V13497" s="2"/>
      <c r="W13497" s="2"/>
      <c r="X13497" s="2"/>
      <c r="Y13497" s="2"/>
      <c r="Z13497" s="2"/>
    </row>
    <row r="13498" spans="1:26" ht="16.5" x14ac:dyDescent="0.35">
      <c r="A13498" s="2" t="str">
        <f ca="1">IFERROR(__xludf.DUMMYFUNCTION("""COMPUTED_VALUE"""),"Abu Dhabi")</f>
        <v>Abu Dhabi</v>
      </c>
      <c r="B13498" s="2" t="str">
        <f ca="1">IFERROR(__xludf.DUMMYFUNCTION("""COMPUTED_VALUE"""),"Sigma Tower 1")</f>
        <v>Sigma Tower 1</v>
      </c>
      <c r="C13498" s="2" t="str">
        <f ca="1">IFERROR(__xludf.DUMMYFUNCTION("""COMPUTED_VALUE"""),"Building")</f>
        <v>Building</v>
      </c>
      <c r="D13498" s="2" t="str">
        <f ca="1">IFERROR(__xludf.DUMMYFUNCTION("""COMPUTED_VALUE"""),"Abu Dhabi&gt;Al Reem Island&gt;City of Lights&gt;Sigma Towers&gt;Sigma Tower 1")</f>
        <v>Abu Dhabi&gt;Al Reem Island&gt;City of Lights&gt;Sigma Towers&gt;Sigma Tower 1</v>
      </c>
      <c r="E13498" s="2"/>
      <c r="F13498" s="2"/>
      <c r="G13498" s="2"/>
      <c r="H13498" s="2"/>
      <c r="I13498" s="2"/>
      <c r="J13498" s="2"/>
      <c r="K13498" s="2"/>
      <c r="L13498" s="2"/>
      <c r="M13498" s="2"/>
      <c r="N13498" s="2"/>
      <c r="O13498" s="2"/>
      <c r="P13498" s="2"/>
      <c r="Q13498" s="2"/>
      <c r="R13498" s="2"/>
      <c r="S13498" s="2"/>
      <c r="T13498" s="2"/>
      <c r="U13498" s="2"/>
      <c r="V13498" s="2"/>
      <c r="W13498" s="2"/>
      <c r="X13498" s="2"/>
      <c r="Y13498" s="2"/>
      <c r="Z13498" s="2"/>
    </row>
    <row r="13499" spans="1:26" ht="16.5" x14ac:dyDescent="0.35">
      <c r="A13499" s="2" t="str">
        <f ca="1">IFERROR(__xludf.DUMMYFUNCTION("""COMPUTED_VALUE"""),"Abu Dhabi")</f>
        <v>Abu Dhabi</v>
      </c>
      <c r="B13499" s="2" t="str">
        <f ca="1">IFERROR(__xludf.DUMMYFUNCTION("""COMPUTED_VALUE"""),"Canal Promenade")</f>
        <v>Canal Promenade</v>
      </c>
      <c r="C13499" s="2" t="str">
        <f ca="1">IFERROR(__xludf.DUMMYFUNCTION("""COMPUTED_VALUE"""),"Neighbourhood")</f>
        <v>Neighbourhood</v>
      </c>
      <c r="D13499" s="2" t="str">
        <f ca="1">IFERROR(__xludf.DUMMYFUNCTION("""COMPUTED_VALUE"""),"Abu Dhabi&gt;Al Reem Island&gt;Reem Hills&gt;Canal Promenade")</f>
        <v>Abu Dhabi&gt;Al Reem Island&gt;Reem Hills&gt;Canal Promenade</v>
      </c>
      <c r="E13499" s="2"/>
      <c r="F13499" s="2"/>
      <c r="G13499" s="2"/>
      <c r="H13499" s="2"/>
      <c r="I13499" s="2"/>
      <c r="J13499" s="2"/>
      <c r="K13499" s="2"/>
      <c r="L13499" s="2"/>
      <c r="M13499" s="2"/>
      <c r="N13499" s="2"/>
      <c r="O13499" s="2"/>
      <c r="P13499" s="2"/>
      <c r="Q13499" s="2"/>
      <c r="R13499" s="2"/>
      <c r="S13499" s="2"/>
      <c r="T13499" s="2"/>
      <c r="U13499" s="2"/>
      <c r="V13499" s="2"/>
      <c r="W13499" s="2"/>
      <c r="X13499" s="2"/>
      <c r="Y13499" s="2"/>
      <c r="Z13499" s="2"/>
    </row>
    <row r="13500" spans="1:26" ht="16.5" x14ac:dyDescent="0.35">
      <c r="A13500" s="2" t="str">
        <f ca="1">IFERROR(__xludf.DUMMYFUNCTION("""COMPUTED_VALUE"""),"Abu Dhabi")</f>
        <v>Abu Dhabi</v>
      </c>
      <c r="B13500" s="2" t="str">
        <f ca="1">IFERROR(__xludf.DUMMYFUNCTION("""COMPUTED_VALUE"""),"Beach Tower")</f>
        <v>Beach Tower</v>
      </c>
      <c r="C13500" s="2"/>
      <c r="D13500" s="2" t="str">
        <f ca="1">IFERROR(__xludf.DUMMYFUNCTION("""COMPUTED_VALUE"""),"Abu Dhabi&gt;Corniche Road&gt;Beach Tower")</f>
        <v>Abu Dhabi&gt;Corniche Road&gt;Beach Tower</v>
      </c>
      <c r="E13500" s="2"/>
      <c r="F13500" s="2"/>
      <c r="G13500" s="2"/>
      <c r="H13500" s="2"/>
      <c r="I13500" s="2"/>
      <c r="J13500" s="2"/>
      <c r="K13500" s="2"/>
      <c r="L13500" s="2"/>
      <c r="M13500" s="2"/>
      <c r="N13500" s="2"/>
      <c r="O13500" s="2"/>
      <c r="P13500" s="2"/>
      <c r="Q13500" s="2"/>
      <c r="R13500" s="2"/>
      <c r="S13500" s="2"/>
      <c r="T13500" s="2"/>
      <c r="U13500" s="2"/>
      <c r="V13500" s="2"/>
      <c r="W13500" s="2"/>
      <c r="X13500" s="2"/>
      <c r="Y13500" s="2"/>
      <c r="Z13500" s="2"/>
    </row>
    <row r="13501" spans="1:26" ht="16.5" x14ac:dyDescent="0.35">
      <c r="A13501" s="2" t="str">
        <f ca="1">IFERROR(__xludf.DUMMYFUNCTION("""COMPUTED_VALUE"""),"Abu Dhabi")</f>
        <v>Abu Dhabi</v>
      </c>
      <c r="B13501" s="2" t="str">
        <f ca="1">IFERROR(__xludf.DUMMYFUNCTION("""COMPUTED_VALUE"""),"Al Sawari Tower")</f>
        <v>Al Sawari Tower</v>
      </c>
      <c r="C13501" s="2" t="str">
        <f ca="1">IFERROR(__xludf.DUMMYFUNCTION("""COMPUTED_VALUE"""),"Building")</f>
        <v>Building</v>
      </c>
      <c r="D13501" s="2" t="str">
        <f ca="1">IFERROR(__xludf.DUMMYFUNCTION("""COMPUTED_VALUE"""),"Abu Dhabi&gt;Al Khalidiyah&gt;Al Sawari Tower")</f>
        <v>Abu Dhabi&gt;Al Khalidiyah&gt;Al Sawari Tower</v>
      </c>
      <c r="E13501" s="2"/>
      <c r="F13501" s="2"/>
      <c r="G13501" s="2"/>
      <c r="H13501" s="2"/>
      <c r="I13501" s="2"/>
      <c r="J13501" s="2"/>
      <c r="K13501" s="2"/>
      <c r="L13501" s="2"/>
      <c r="M13501" s="2"/>
      <c r="N13501" s="2"/>
      <c r="O13501" s="2"/>
      <c r="P13501" s="2"/>
      <c r="Q13501" s="2"/>
      <c r="R13501" s="2"/>
      <c r="S13501" s="2"/>
      <c r="T13501" s="2"/>
      <c r="U13501" s="2"/>
      <c r="V13501" s="2"/>
      <c r="W13501" s="2"/>
      <c r="X13501" s="2"/>
      <c r="Y13501" s="2"/>
      <c r="Z13501" s="2"/>
    </row>
    <row r="13502" spans="1:26" ht="16.5" x14ac:dyDescent="0.35">
      <c r="A13502" s="2" t="str">
        <f ca="1">IFERROR(__xludf.DUMMYFUNCTION("""COMPUTED_VALUE"""),"Abu Dhabi")</f>
        <v>Abu Dhabi</v>
      </c>
      <c r="B13502" s="2" t="str">
        <f ca="1">IFERROR(__xludf.DUMMYFUNCTION("""COMPUTED_VALUE"""),"Al Khubairah Tower")</f>
        <v>Al Khubairah Tower</v>
      </c>
      <c r="C13502" s="2" t="str">
        <f ca="1">IFERROR(__xludf.DUMMYFUNCTION("""COMPUTED_VALUE"""),"Building")</f>
        <v>Building</v>
      </c>
      <c r="D13502" s="2" t="str">
        <f ca="1">IFERROR(__xludf.DUMMYFUNCTION("""COMPUTED_VALUE"""),"Abu Dhabi&gt;Al Khalidiyah&gt;Al Khubairah Tower")</f>
        <v>Abu Dhabi&gt;Al Khalidiyah&gt;Al Khubairah Tower</v>
      </c>
      <c r="E13502" s="2"/>
      <c r="F13502" s="2"/>
      <c r="G13502" s="2"/>
      <c r="H13502" s="2"/>
      <c r="I13502" s="2"/>
      <c r="J13502" s="2"/>
      <c r="K13502" s="2"/>
      <c r="L13502" s="2"/>
      <c r="M13502" s="2"/>
      <c r="N13502" s="2"/>
      <c r="O13502" s="2"/>
      <c r="P13502" s="2"/>
      <c r="Q13502" s="2"/>
      <c r="R13502" s="2"/>
      <c r="S13502" s="2"/>
      <c r="T13502" s="2"/>
      <c r="U13502" s="2"/>
      <c r="V13502" s="2"/>
      <c r="W13502" s="2"/>
      <c r="X13502" s="2"/>
      <c r="Y13502" s="2"/>
      <c r="Z13502" s="2"/>
    </row>
    <row r="13503" spans="1:26" ht="16.5" x14ac:dyDescent="0.35">
      <c r="A13503" s="2" t="str">
        <f ca="1">IFERROR(__xludf.DUMMYFUNCTION("""COMPUTED_VALUE"""),"Abu Dhabi")</f>
        <v>Abu Dhabi</v>
      </c>
      <c r="B13503" s="2" t="str">
        <f ca="1">IFERROR(__xludf.DUMMYFUNCTION("""COMPUTED_VALUE"""),"Al Merief")</f>
        <v>Al Merief</v>
      </c>
      <c r="C13503" s="2" t="str">
        <f ca="1">IFERROR(__xludf.DUMMYFUNCTION("""COMPUTED_VALUE"""),"Neighbourhood")</f>
        <v>Neighbourhood</v>
      </c>
      <c r="D13503" s="2" t="str">
        <f ca="1">IFERROR(__xludf.DUMMYFUNCTION("""COMPUTED_VALUE"""),"Abu Dhabi&gt;Khalifa City&gt;Al Merief")</f>
        <v>Abu Dhabi&gt;Khalifa City&gt;Al Merief</v>
      </c>
      <c r="E13503" s="2"/>
      <c r="F13503" s="2"/>
      <c r="G13503" s="2"/>
      <c r="H13503" s="2"/>
      <c r="I13503" s="2"/>
      <c r="J13503" s="2"/>
      <c r="K13503" s="2"/>
      <c r="L13503" s="2"/>
      <c r="M13503" s="2"/>
      <c r="N13503" s="2"/>
      <c r="O13503" s="2"/>
      <c r="P13503" s="2"/>
      <c r="Q13503" s="2"/>
      <c r="R13503" s="2"/>
      <c r="S13503" s="2"/>
      <c r="T13503" s="2"/>
      <c r="U13503" s="2"/>
      <c r="V13503" s="2"/>
      <c r="W13503" s="2"/>
      <c r="X13503" s="2"/>
      <c r="Y13503" s="2"/>
      <c r="Z13503" s="2"/>
    </row>
    <row r="13504" spans="1:26" ht="16.5" x14ac:dyDescent="0.35">
      <c r="A13504" s="2" t="str">
        <f ca="1">IFERROR(__xludf.DUMMYFUNCTION("""COMPUTED_VALUE"""),"Abu Dhabi")</f>
        <v>Abu Dhabi</v>
      </c>
      <c r="B13504" s="2" t="str">
        <f ca="1">IFERROR(__xludf.DUMMYFUNCTION("""COMPUTED_VALUE"""),"SW13")</f>
        <v>SW13</v>
      </c>
      <c r="C13504" s="2" t="str">
        <f ca="1">IFERROR(__xludf.DUMMYFUNCTION("""COMPUTED_VALUE"""),"Neighbourhood")</f>
        <v>Neighbourhood</v>
      </c>
      <c r="D13504" s="2" t="str">
        <f ca="1">IFERROR(__xludf.DUMMYFUNCTION("""COMPUTED_VALUE"""),"Abu Dhabi&gt;Khalifa City&gt;SW13")</f>
        <v>Abu Dhabi&gt;Khalifa City&gt;SW13</v>
      </c>
      <c r="E13504" s="2"/>
      <c r="F13504" s="2"/>
      <c r="G13504" s="2"/>
      <c r="H13504" s="2"/>
      <c r="I13504" s="2"/>
      <c r="J13504" s="2"/>
      <c r="K13504" s="2"/>
      <c r="L13504" s="2"/>
      <c r="M13504" s="2"/>
      <c r="N13504" s="2"/>
      <c r="O13504" s="2"/>
      <c r="P13504" s="2"/>
      <c r="Q13504" s="2"/>
      <c r="R13504" s="2"/>
      <c r="S13504" s="2"/>
      <c r="T13504" s="2"/>
      <c r="U13504" s="2"/>
      <c r="V13504" s="2"/>
      <c r="W13504" s="2"/>
      <c r="X13504" s="2"/>
      <c r="Y13504" s="2"/>
      <c r="Z13504" s="2"/>
    </row>
    <row r="13505" spans="1:26" ht="16.5" x14ac:dyDescent="0.35">
      <c r="A13505" s="2" t="str">
        <f ca="1">IFERROR(__xludf.DUMMYFUNCTION("""COMPUTED_VALUE"""),"Abu Dhabi")</f>
        <v>Abu Dhabi</v>
      </c>
      <c r="B13505" s="2" t="str">
        <f ca="1">IFERROR(__xludf.DUMMYFUNCTION("""COMPUTED_VALUE"""),"Benkaram Tower")</f>
        <v>Benkaram Tower</v>
      </c>
      <c r="C13505" s="2" t="str">
        <f ca="1">IFERROR(__xludf.DUMMYFUNCTION("""COMPUTED_VALUE"""),"Building")</f>
        <v>Building</v>
      </c>
      <c r="D13505" s="2" t="str">
        <f ca="1">IFERROR(__xludf.DUMMYFUNCTION("""COMPUTED_VALUE"""),"Abu Dhabi&gt;Al Markaziya&gt;Benkaram Tower")</f>
        <v>Abu Dhabi&gt;Al Markaziya&gt;Benkaram Tower</v>
      </c>
      <c r="E13505" s="2"/>
      <c r="F13505" s="2"/>
      <c r="G13505" s="2"/>
      <c r="H13505" s="2"/>
      <c r="I13505" s="2"/>
      <c r="J13505" s="2"/>
      <c r="K13505" s="2"/>
      <c r="L13505" s="2"/>
      <c r="M13505" s="2"/>
      <c r="N13505" s="2"/>
      <c r="O13505" s="2"/>
      <c r="P13505" s="2"/>
      <c r="Q13505" s="2"/>
      <c r="R13505" s="2"/>
      <c r="S13505" s="2"/>
      <c r="T13505" s="2"/>
      <c r="U13505" s="2"/>
      <c r="V13505" s="2"/>
      <c r="W13505" s="2"/>
      <c r="X13505" s="2"/>
      <c r="Y13505" s="2"/>
      <c r="Z13505" s="2"/>
    </row>
    <row r="13506" spans="1:26" ht="16.5" x14ac:dyDescent="0.35">
      <c r="A13506" s="2" t="str">
        <f ca="1">IFERROR(__xludf.DUMMYFUNCTION("""COMPUTED_VALUE"""),"Abu Dhabi")</f>
        <v>Abu Dhabi</v>
      </c>
      <c r="B13506" s="2" t="str">
        <f ca="1">IFERROR(__xludf.DUMMYFUNCTION("""COMPUTED_VALUE"""),"Muzera Community")</f>
        <v>Muzera Community</v>
      </c>
      <c r="C13506" s="2" t="str">
        <f ca="1">IFERROR(__xludf.DUMMYFUNCTION("""COMPUTED_VALUE"""),"Neighbourhood")</f>
        <v>Neighbourhood</v>
      </c>
      <c r="D13506" s="2" t="str">
        <f ca="1">IFERROR(__xludf.DUMMYFUNCTION("""COMPUTED_VALUE"""),"Abu Dhabi&gt;Al Raha Gardens&gt;Muzera Community")</f>
        <v>Abu Dhabi&gt;Al Raha Gardens&gt;Muzera Community</v>
      </c>
      <c r="E13506" s="2"/>
      <c r="F13506" s="2"/>
      <c r="G13506" s="2"/>
      <c r="H13506" s="2"/>
      <c r="I13506" s="2"/>
      <c r="J13506" s="2"/>
      <c r="K13506" s="2"/>
      <c r="L13506" s="2"/>
      <c r="M13506" s="2"/>
      <c r="N13506" s="2"/>
      <c r="O13506" s="2"/>
      <c r="P13506" s="2"/>
      <c r="Q13506" s="2"/>
      <c r="R13506" s="2"/>
      <c r="S13506" s="2"/>
      <c r="T13506" s="2"/>
      <c r="U13506" s="2"/>
      <c r="V13506" s="2"/>
      <c r="W13506" s="2"/>
      <c r="X13506" s="2"/>
      <c r="Y13506" s="2"/>
      <c r="Z13506" s="2"/>
    </row>
    <row r="13507" spans="1:26" ht="16.5" x14ac:dyDescent="0.35">
      <c r="A13507" s="2" t="str">
        <f ca="1">IFERROR(__xludf.DUMMYFUNCTION("""COMPUTED_VALUE"""),"Abu Dhabi")</f>
        <v>Abu Dhabi</v>
      </c>
      <c r="B13507" s="2" t="str">
        <f ca="1">IFERROR(__xludf.DUMMYFUNCTION("""COMPUTED_VALUE"""),"The Source")</f>
        <v>The Source</v>
      </c>
      <c r="C13507" s="2" t="str">
        <f ca="1">IFERROR(__xludf.DUMMYFUNCTION("""COMPUTED_VALUE"""),"Building")</f>
        <v>Building</v>
      </c>
      <c r="D13507" s="2" t="str">
        <f ca="1">IFERROR(__xludf.DUMMYFUNCTION("""COMPUTED_VALUE"""),"Abu Dhabi&gt;Saadiyat Island&gt;Saadiyat Cultural District&gt;The Source")</f>
        <v>Abu Dhabi&gt;Saadiyat Island&gt;Saadiyat Cultural District&gt;The Source</v>
      </c>
      <c r="E13507" s="2"/>
      <c r="F13507" s="2"/>
      <c r="G13507" s="2"/>
      <c r="H13507" s="2"/>
      <c r="I13507" s="2"/>
      <c r="J13507" s="2"/>
      <c r="K13507" s="2"/>
      <c r="L13507" s="2"/>
      <c r="M13507" s="2"/>
      <c r="N13507" s="2"/>
      <c r="O13507" s="2"/>
      <c r="P13507" s="2"/>
      <c r="Q13507" s="2"/>
      <c r="R13507" s="2"/>
      <c r="S13507" s="2"/>
      <c r="T13507" s="2"/>
      <c r="U13507" s="2"/>
      <c r="V13507" s="2"/>
      <c r="W13507" s="2"/>
      <c r="X13507" s="2"/>
      <c r="Y13507" s="2"/>
      <c r="Z13507" s="2"/>
    </row>
    <row r="13508" spans="1:26" ht="16.5" x14ac:dyDescent="0.35">
      <c r="A13508" s="2" t="str">
        <f ca="1">IFERROR(__xludf.DUMMYFUNCTION("""COMPUTED_VALUE"""),"Abu Dhabi")</f>
        <v>Abu Dhabi</v>
      </c>
      <c r="B13508" s="2" t="str">
        <f ca="1">IFERROR(__xludf.DUMMYFUNCTION("""COMPUTED_VALUE"""),"Saadiyat Beach Residences")</f>
        <v>Saadiyat Beach Residences</v>
      </c>
      <c r="C13508" s="2" t="str">
        <f ca="1">IFERROR(__xludf.DUMMYFUNCTION("""COMPUTED_VALUE"""),"Cluster")</f>
        <v>Cluster</v>
      </c>
      <c r="D13508" s="2" t="str">
        <f ca="1">IFERROR(__xludf.DUMMYFUNCTION("""COMPUTED_VALUE"""),"Abu Dhabi&gt;Saadiyat Island&gt;Saadiyat Beach&gt;Saadiyat Beach Residences")</f>
        <v>Abu Dhabi&gt;Saadiyat Island&gt;Saadiyat Beach&gt;Saadiyat Beach Residences</v>
      </c>
      <c r="E13508" s="2"/>
      <c r="F13508" s="2"/>
      <c r="G13508" s="2"/>
      <c r="H13508" s="2"/>
      <c r="I13508" s="2"/>
      <c r="J13508" s="2"/>
      <c r="K13508" s="2"/>
      <c r="L13508" s="2"/>
      <c r="M13508" s="2"/>
      <c r="N13508" s="2"/>
      <c r="O13508" s="2"/>
      <c r="P13508" s="2"/>
      <c r="Q13508" s="2"/>
      <c r="R13508" s="2"/>
      <c r="S13508" s="2"/>
      <c r="T13508" s="2"/>
      <c r="U13508" s="2"/>
      <c r="V13508" s="2"/>
      <c r="W13508" s="2"/>
      <c r="X13508" s="2"/>
      <c r="Y13508" s="2"/>
      <c r="Z13508" s="2"/>
    </row>
    <row r="13509" spans="1:26" ht="16.5" x14ac:dyDescent="0.35">
      <c r="A13509" s="2" t="str">
        <f ca="1">IFERROR(__xludf.DUMMYFUNCTION("""COMPUTED_VALUE"""),"Abu Dhabi")</f>
        <v>Abu Dhabi</v>
      </c>
      <c r="B13509" s="2" t="str">
        <f ca="1">IFERROR(__xludf.DUMMYFUNCTION("""COMPUTED_VALUE"""),"Manarat Living II")</f>
        <v>Manarat Living II</v>
      </c>
      <c r="C13509" s="2" t="str">
        <f ca="1">IFERROR(__xludf.DUMMYFUNCTION("""COMPUTED_VALUE"""),"Building")</f>
        <v>Building</v>
      </c>
      <c r="D13509" s="2" t="str">
        <f ca="1">IFERROR(__xludf.DUMMYFUNCTION("""COMPUTED_VALUE"""),"Abu Dhabi&gt;Saadiyat Island&gt;Manarat Living II")</f>
        <v>Abu Dhabi&gt;Saadiyat Island&gt;Manarat Living II</v>
      </c>
      <c r="E13509" s="2"/>
      <c r="F13509" s="2"/>
      <c r="G13509" s="2"/>
      <c r="H13509" s="2"/>
      <c r="I13509" s="2"/>
      <c r="J13509" s="2"/>
      <c r="K13509" s="2"/>
      <c r="L13509" s="2"/>
      <c r="M13509" s="2"/>
      <c r="N13509" s="2"/>
      <c r="O13509" s="2"/>
      <c r="P13509" s="2"/>
      <c r="Q13509" s="2"/>
      <c r="R13509" s="2"/>
      <c r="S13509" s="2"/>
      <c r="T13509" s="2"/>
      <c r="U13509" s="2"/>
      <c r="V13509" s="2"/>
      <c r="W13509" s="2"/>
      <c r="X13509" s="2"/>
      <c r="Y13509" s="2"/>
      <c r="Z13509" s="2"/>
    </row>
    <row r="13510" spans="1:26" ht="16.5" x14ac:dyDescent="0.35">
      <c r="A13510" s="2" t="str">
        <f ca="1">IFERROR(__xludf.DUMMYFUNCTION("""COMPUTED_VALUE"""),"Abu Dhabi")</f>
        <v>Abu Dhabi</v>
      </c>
      <c r="B13510" s="2" t="str">
        <f ca="1">IFERROR(__xludf.DUMMYFUNCTION("""COMPUTED_VALUE"""),"C28 Building")</f>
        <v>C28 Building</v>
      </c>
      <c r="C13510" s="2" t="str">
        <f ca="1">IFERROR(__xludf.DUMMYFUNCTION("""COMPUTED_VALUE"""),"Building")</f>
        <v>Building</v>
      </c>
      <c r="D13510" s="2" t="str">
        <f ca="1">IFERROR(__xludf.DUMMYFUNCTION("""COMPUTED_VALUE"""),"Abu Dhabi&gt;Al Raha Beach&gt;Al Seef&gt;C28 Building")</f>
        <v>Abu Dhabi&gt;Al Raha Beach&gt;Al Seef&gt;C28 Building</v>
      </c>
      <c r="E13510" s="2"/>
      <c r="F13510" s="2"/>
      <c r="G13510" s="2"/>
      <c r="H13510" s="2"/>
      <c r="I13510" s="2"/>
      <c r="J13510" s="2"/>
      <c r="K13510" s="2"/>
      <c r="L13510" s="2"/>
      <c r="M13510" s="2"/>
      <c r="N13510" s="2"/>
      <c r="O13510" s="2"/>
      <c r="P13510" s="2"/>
      <c r="Q13510" s="2"/>
      <c r="R13510" s="2"/>
      <c r="S13510" s="2"/>
      <c r="T13510" s="2"/>
      <c r="U13510" s="2"/>
      <c r="V13510" s="2"/>
      <c r="W13510" s="2"/>
      <c r="X13510" s="2"/>
      <c r="Y13510" s="2"/>
      <c r="Z13510" s="2"/>
    </row>
    <row r="13511" spans="1:26" ht="16.5" x14ac:dyDescent="0.35">
      <c r="A13511" s="2" t="str">
        <f ca="1">IFERROR(__xludf.DUMMYFUNCTION("""COMPUTED_VALUE"""),"Abu Dhabi")</f>
        <v>Abu Dhabi</v>
      </c>
      <c r="B13511" s="2" t="str">
        <f ca="1">IFERROR(__xludf.DUMMYFUNCTION("""COMPUTED_VALUE"""),"Al Nada 1")</f>
        <v>Al Nada 1</v>
      </c>
      <c r="C13511" s="2" t="str">
        <f ca="1">IFERROR(__xludf.DUMMYFUNCTION("""COMPUTED_VALUE"""),"Building")</f>
        <v>Building</v>
      </c>
      <c r="D13511" s="2" t="str">
        <f ca="1">IFERROR(__xludf.DUMMYFUNCTION("""COMPUTED_VALUE"""),"Abu Dhabi&gt;Al Raha Beach&gt;Al Muneera&gt;Al Nada&gt;Al Nada 1")</f>
        <v>Abu Dhabi&gt;Al Raha Beach&gt;Al Muneera&gt;Al Nada&gt;Al Nada 1</v>
      </c>
      <c r="E13511" s="2"/>
      <c r="F13511" s="2"/>
      <c r="G13511" s="2"/>
      <c r="H13511" s="2"/>
      <c r="I13511" s="2"/>
      <c r="J13511" s="2"/>
      <c r="K13511" s="2"/>
      <c r="L13511" s="2"/>
      <c r="M13511" s="2"/>
      <c r="N13511" s="2"/>
      <c r="O13511" s="2"/>
      <c r="P13511" s="2"/>
      <c r="Q13511" s="2"/>
      <c r="R13511" s="2"/>
      <c r="S13511" s="2"/>
      <c r="T13511" s="2"/>
      <c r="U13511" s="2"/>
      <c r="V13511" s="2"/>
      <c r="W13511" s="2"/>
      <c r="X13511" s="2"/>
      <c r="Y13511" s="2"/>
      <c r="Z13511" s="2"/>
    </row>
    <row r="13512" spans="1:26" ht="16.5" x14ac:dyDescent="0.35">
      <c r="A13512" s="2" t="str">
        <f ca="1">IFERROR(__xludf.DUMMYFUNCTION("""COMPUTED_VALUE"""),"Abu Dhabi")</f>
        <v>Abu Dhabi</v>
      </c>
      <c r="B13512" s="2" t="str">
        <f ca="1">IFERROR(__xludf.DUMMYFUNCTION("""COMPUTED_VALUE"""),"Al Faridah Building")</f>
        <v>Al Faridah Building</v>
      </c>
      <c r="C13512" s="2" t="str">
        <f ca="1">IFERROR(__xludf.DUMMYFUNCTION("""COMPUTED_VALUE"""),"Building")</f>
        <v>Building</v>
      </c>
      <c r="D13512" s="2" t="str">
        <f ca="1">IFERROR(__xludf.DUMMYFUNCTION("""COMPUTED_VALUE"""),"Abu Dhabi&gt;Al Raha Beach&gt;Al Faridah Building")</f>
        <v>Abu Dhabi&gt;Al Raha Beach&gt;Al Faridah Building</v>
      </c>
      <c r="E13512" s="2"/>
      <c r="F13512" s="2"/>
      <c r="G13512" s="2"/>
      <c r="H13512" s="2"/>
      <c r="I13512" s="2"/>
      <c r="J13512" s="2"/>
      <c r="K13512" s="2"/>
      <c r="L13512" s="2"/>
      <c r="M13512" s="2"/>
      <c r="N13512" s="2"/>
      <c r="O13512" s="2"/>
      <c r="P13512" s="2"/>
      <c r="Q13512" s="2"/>
      <c r="R13512" s="2"/>
      <c r="S13512" s="2"/>
      <c r="T13512" s="2"/>
      <c r="U13512" s="2"/>
      <c r="V13512" s="2"/>
      <c r="W13512" s="2"/>
      <c r="X13512" s="2"/>
      <c r="Y13512" s="2"/>
      <c r="Z13512" s="2"/>
    </row>
    <row r="13513" spans="1:26" ht="16.5" x14ac:dyDescent="0.35">
      <c r="A13513" s="2" t="str">
        <f ca="1">IFERROR(__xludf.DUMMYFUNCTION("""COMPUTED_VALUE"""),"Abu Dhabi")</f>
        <v>Abu Dhabi</v>
      </c>
      <c r="B13513" s="2" t="str">
        <f ca="1">IFERROR(__xludf.DUMMYFUNCTION("""COMPUTED_VALUE"""),"Al Raha Beach Hotel")</f>
        <v>Al Raha Beach Hotel</v>
      </c>
      <c r="C13513" s="2" t="str">
        <f ca="1">IFERROR(__xludf.DUMMYFUNCTION("""COMPUTED_VALUE"""),"Building")</f>
        <v>Building</v>
      </c>
      <c r="D13513" s="2" t="str">
        <f ca="1">IFERROR(__xludf.DUMMYFUNCTION("""COMPUTED_VALUE"""),"Abu Dhabi&gt;Al Raha Beach&gt;Al Raha Beach Hotel")</f>
        <v>Abu Dhabi&gt;Al Raha Beach&gt;Al Raha Beach Hotel</v>
      </c>
      <c r="E13513" s="2"/>
      <c r="F13513" s="2"/>
      <c r="G13513" s="2"/>
      <c r="H13513" s="2"/>
      <c r="I13513" s="2"/>
      <c r="J13513" s="2"/>
      <c r="K13513" s="2"/>
      <c r="L13513" s="2"/>
      <c r="M13513" s="2"/>
      <c r="N13513" s="2"/>
      <c r="O13513" s="2"/>
      <c r="P13513" s="2"/>
      <c r="Q13513" s="2"/>
      <c r="R13513" s="2"/>
      <c r="S13513" s="2"/>
      <c r="T13513" s="2"/>
      <c r="U13513" s="2"/>
      <c r="V13513" s="2"/>
      <c r="W13513" s="2"/>
      <c r="X13513" s="2"/>
      <c r="Y13513" s="2"/>
      <c r="Z13513" s="2"/>
    </row>
    <row r="13514" spans="1:26" ht="16.5" x14ac:dyDescent="0.35">
      <c r="A13514" s="2" t="str">
        <f ca="1">IFERROR(__xludf.DUMMYFUNCTION("""COMPUTED_VALUE"""),"Abu Dhabi")</f>
        <v>Abu Dhabi</v>
      </c>
      <c r="B13514" s="2" t="str">
        <f ca="1">IFERROR(__xludf.DUMMYFUNCTION("""COMPUTED_VALUE"""),"Salam HQ")</f>
        <v>Salam HQ</v>
      </c>
      <c r="C13514" s="2" t="str">
        <f ca="1">IFERROR(__xludf.DUMMYFUNCTION("""COMPUTED_VALUE"""),"Building")</f>
        <v>Building</v>
      </c>
      <c r="D13514" s="2" t="str">
        <f ca="1">IFERROR(__xludf.DUMMYFUNCTION("""COMPUTED_VALUE"""),"Abu Dhabi&gt;Al Salam Street&gt;Salam HQ")</f>
        <v>Abu Dhabi&gt;Al Salam Street&gt;Salam HQ</v>
      </c>
      <c r="E13514" s="2"/>
      <c r="F13514" s="2"/>
      <c r="G13514" s="2"/>
      <c r="H13514" s="2"/>
      <c r="I13514" s="2"/>
      <c r="J13514" s="2"/>
      <c r="K13514" s="2"/>
      <c r="L13514" s="2"/>
      <c r="M13514" s="2"/>
      <c r="N13514" s="2"/>
      <c r="O13514" s="2"/>
      <c r="P13514" s="2"/>
      <c r="Q13514" s="2"/>
      <c r="R13514" s="2"/>
      <c r="S13514" s="2"/>
      <c r="T13514" s="2"/>
      <c r="U13514" s="2"/>
      <c r="V13514" s="2"/>
      <c r="W13514" s="2"/>
      <c r="X13514" s="2"/>
      <c r="Y13514" s="2"/>
      <c r="Z13514" s="2"/>
    </row>
    <row r="13515" spans="1:26" ht="16.5" x14ac:dyDescent="0.35">
      <c r="A13515" s="2" t="str">
        <f ca="1">IFERROR(__xludf.DUMMYFUNCTION("""COMPUTED_VALUE"""),"Abu Dhabi")</f>
        <v>Abu Dhabi</v>
      </c>
      <c r="B13515" s="2" t="str">
        <f ca="1">IFERROR(__xludf.DUMMYFUNCTION("""COMPUTED_VALUE"""),"C250 Building")</f>
        <v>C250 Building</v>
      </c>
      <c r="C13515" s="2" t="str">
        <f ca="1">IFERROR(__xludf.DUMMYFUNCTION("""COMPUTED_VALUE"""),"Building")</f>
        <v>Building</v>
      </c>
      <c r="D13515" s="2" t="str">
        <f ca="1">IFERROR(__xludf.DUMMYFUNCTION("""COMPUTED_VALUE"""),"Abu Dhabi&gt;Mohamed Bin Zayed City&gt;C250 Building")</f>
        <v>Abu Dhabi&gt;Mohamed Bin Zayed City&gt;C250 Building</v>
      </c>
      <c r="E13515" s="2"/>
      <c r="F13515" s="2"/>
      <c r="G13515" s="2"/>
      <c r="H13515" s="2"/>
      <c r="I13515" s="2"/>
      <c r="J13515" s="2"/>
      <c r="K13515" s="2"/>
      <c r="L13515" s="2"/>
      <c r="M13515" s="2"/>
      <c r="N13515" s="2"/>
      <c r="O13515" s="2"/>
      <c r="P13515" s="2"/>
      <c r="Q13515" s="2"/>
      <c r="R13515" s="2"/>
      <c r="S13515" s="2"/>
      <c r="T13515" s="2"/>
      <c r="U13515" s="2"/>
      <c r="V13515" s="2"/>
      <c r="W13515" s="2"/>
      <c r="X13515" s="2"/>
      <c r="Y13515" s="2"/>
      <c r="Z13515" s="2"/>
    </row>
    <row r="13516" spans="1:26" ht="16.5" x14ac:dyDescent="0.35">
      <c r="A13516" s="2" t="str">
        <f ca="1">IFERROR(__xludf.DUMMYFUNCTION("""COMPUTED_VALUE"""),"Abu Dhabi")</f>
        <v>Abu Dhabi</v>
      </c>
      <c r="B13516" s="2" t="str">
        <f ca="1">IFERROR(__xludf.DUMMYFUNCTION("""COMPUTED_VALUE"""),"Zone 15")</f>
        <v>Zone 15</v>
      </c>
      <c r="C13516" s="2" t="str">
        <f ca="1">IFERROR(__xludf.DUMMYFUNCTION("""COMPUTED_VALUE"""),"Neighbourhood")</f>
        <v>Neighbourhood</v>
      </c>
      <c r="D13516" s="2" t="str">
        <f ca="1">IFERROR(__xludf.DUMMYFUNCTION("""COMPUTED_VALUE"""),"Abu Dhabi&gt;Mohamed Bin Zayed City&gt;Zone 15")</f>
        <v>Abu Dhabi&gt;Mohamed Bin Zayed City&gt;Zone 15</v>
      </c>
      <c r="E13516" s="2"/>
      <c r="F13516" s="2"/>
      <c r="G13516" s="2"/>
      <c r="H13516" s="2"/>
      <c r="I13516" s="2"/>
      <c r="J13516" s="2"/>
      <c r="K13516" s="2"/>
      <c r="L13516" s="2"/>
      <c r="M13516" s="2"/>
      <c r="N13516" s="2"/>
      <c r="O13516" s="2"/>
      <c r="P13516" s="2"/>
      <c r="Q13516" s="2"/>
      <c r="R13516" s="2"/>
      <c r="S13516" s="2"/>
      <c r="T13516" s="2"/>
      <c r="U13516" s="2"/>
      <c r="V13516" s="2"/>
      <c r="W13516" s="2"/>
      <c r="X13516" s="2"/>
      <c r="Y13516" s="2"/>
      <c r="Z13516" s="2"/>
    </row>
    <row r="13517" spans="1:26" ht="16.5" x14ac:dyDescent="0.35">
      <c r="A13517" s="2" t="str">
        <f ca="1">IFERROR(__xludf.DUMMYFUNCTION("""COMPUTED_VALUE"""),"Abu Dhabi")</f>
        <v>Abu Dhabi</v>
      </c>
      <c r="B13517" s="2" t="str">
        <f ca="1">IFERROR(__xludf.DUMMYFUNCTION("""COMPUTED_VALUE"""),"Building 43")</f>
        <v>Building 43</v>
      </c>
      <c r="C13517" s="2" t="str">
        <f ca="1">IFERROR(__xludf.DUMMYFUNCTION("""COMPUTED_VALUE"""),"Building")</f>
        <v>Building</v>
      </c>
      <c r="D13517" s="2" t="str">
        <f ca="1">IFERROR(__xludf.DUMMYFUNCTION("""COMPUTED_VALUE"""),"Abu Dhabi&gt;Al Reef&gt;Al Reef Downtown&gt;Building 43")</f>
        <v>Abu Dhabi&gt;Al Reef&gt;Al Reef Downtown&gt;Building 43</v>
      </c>
      <c r="E13517" s="2"/>
      <c r="F13517" s="2"/>
      <c r="G13517" s="2"/>
      <c r="H13517" s="2"/>
      <c r="I13517" s="2"/>
      <c r="J13517" s="2"/>
      <c r="K13517" s="2"/>
      <c r="L13517" s="2"/>
      <c r="M13517" s="2"/>
      <c r="N13517" s="2"/>
      <c r="O13517" s="2"/>
      <c r="P13517" s="2"/>
      <c r="Q13517" s="2"/>
      <c r="R13517" s="2"/>
      <c r="S13517" s="2"/>
      <c r="T13517" s="2"/>
      <c r="U13517" s="2"/>
      <c r="V13517" s="2"/>
      <c r="W13517" s="2"/>
      <c r="X13517" s="2"/>
      <c r="Y13517" s="2"/>
      <c r="Z13517" s="2"/>
    </row>
    <row r="13518" spans="1:26" ht="16.5" x14ac:dyDescent="0.35">
      <c r="A13518" s="2" t="str">
        <f ca="1">IFERROR(__xludf.DUMMYFUNCTION("""COMPUTED_VALUE"""),"Abu Dhabi")</f>
        <v>Abu Dhabi</v>
      </c>
      <c r="B13518" s="2" t="str">
        <f ca="1">IFERROR(__xludf.DUMMYFUNCTION("""COMPUTED_VALUE"""),"Building 36")</f>
        <v>Building 36</v>
      </c>
      <c r="C13518" s="2" t="str">
        <f ca="1">IFERROR(__xludf.DUMMYFUNCTION("""COMPUTED_VALUE"""),"Building")</f>
        <v>Building</v>
      </c>
      <c r="D13518" s="2" t="str">
        <f ca="1">IFERROR(__xludf.DUMMYFUNCTION("""COMPUTED_VALUE"""),"Abu Dhabi&gt;Al Reef&gt;Al Reef Downtown&gt;Building 36")</f>
        <v>Abu Dhabi&gt;Al Reef&gt;Al Reef Downtown&gt;Building 36</v>
      </c>
      <c r="E13518" s="2"/>
      <c r="F13518" s="2"/>
      <c r="G13518" s="2"/>
      <c r="H13518" s="2"/>
      <c r="I13518" s="2"/>
      <c r="J13518" s="2"/>
      <c r="K13518" s="2"/>
      <c r="L13518" s="2"/>
      <c r="M13518" s="2"/>
      <c r="N13518" s="2"/>
      <c r="O13518" s="2"/>
      <c r="P13518" s="2"/>
      <c r="Q13518" s="2"/>
      <c r="R13518" s="2"/>
      <c r="S13518" s="2"/>
      <c r="T13518" s="2"/>
      <c r="U13518" s="2"/>
      <c r="V13518" s="2"/>
      <c r="W13518" s="2"/>
      <c r="X13518" s="2"/>
      <c r="Y13518" s="2"/>
      <c r="Z13518" s="2"/>
    </row>
    <row r="13519" spans="1:26" ht="16.5" x14ac:dyDescent="0.35">
      <c r="A13519" s="2" t="str">
        <f ca="1">IFERROR(__xludf.DUMMYFUNCTION("""COMPUTED_VALUE"""),"Abu Dhabi")</f>
        <v>Abu Dhabi</v>
      </c>
      <c r="B13519" s="2" t="str">
        <f ca="1">IFERROR(__xludf.DUMMYFUNCTION("""COMPUTED_VALUE"""),"Sheikh Rashid Bin Saeed Street")</f>
        <v>Sheikh Rashid Bin Saeed Street</v>
      </c>
      <c r="C13519" s="2"/>
      <c r="D13519" s="2" t="str">
        <f ca="1">IFERROR(__xludf.DUMMYFUNCTION("""COMPUTED_VALUE"""),"Abu Dhabi&gt;Sheikh Rashid Bin Saeed Street")</f>
        <v>Abu Dhabi&gt;Sheikh Rashid Bin Saeed Street</v>
      </c>
      <c r="E13519" s="2"/>
      <c r="F13519" s="2"/>
      <c r="G13519" s="2"/>
      <c r="H13519" s="2"/>
      <c r="I13519" s="2"/>
      <c r="J13519" s="2"/>
      <c r="K13519" s="2"/>
      <c r="L13519" s="2"/>
      <c r="M13519" s="2"/>
      <c r="N13519" s="2"/>
      <c r="O13519" s="2"/>
      <c r="P13519" s="2"/>
      <c r="Q13519" s="2"/>
      <c r="R13519" s="2"/>
      <c r="S13519" s="2"/>
      <c r="T13519" s="2"/>
      <c r="U13519" s="2"/>
      <c r="V13519" s="2"/>
      <c r="W13519" s="2"/>
      <c r="X13519" s="2"/>
      <c r="Y13519" s="2"/>
      <c r="Z13519" s="2"/>
    </row>
    <row r="13520" spans="1:26" ht="16.5" x14ac:dyDescent="0.35">
      <c r="A13520" s="2" t="str">
        <f ca="1">IFERROR(__xludf.DUMMYFUNCTION("""COMPUTED_VALUE"""),"Abu Dhabi")</f>
        <v>Abu Dhabi</v>
      </c>
      <c r="B13520" s="2" t="str">
        <f ca="1">IFERROR(__xludf.DUMMYFUNCTION("""COMPUTED_VALUE"""),"Centro Capital Centre")</f>
        <v>Centro Capital Centre</v>
      </c>
      <c r="C13520" s="2" t="str">
        <f ca="1">IFERROR(__xludf.DUMMYFUNCTION("""COMPUTED_VALUE"""),"Building")</f>
        <v>Building</v>
      </c>
      <c r="D13520" s="2" t="str">
        <f ca="1">IFERROR(__xludf.DUMMYFUNCTION("""COMPUTED_VALUE"""),"Abu Dhabi&gt;Capital Centre&gt;Centro Capital Centre")</f>
        <v>Abu Dhabi&gt;Capital Centre&gt;Centro Capital Centre</v>
      </c>
      <c r="E13520" s="2"/>
      <c r="F13520" s="2"/>
      <c r="G13520" s="2"/>
      <c r="H13520" s="2"/>
      <c r="I13520" s="2"/>
      <c r="J13520" s="2"/>
      <c r="K13520" s="2"/>
      <c r="L13520" s="2"/>
      <c r="M13520" s="2"/>
      <c r="N13520" s="2"/>
      <c r="O13520" s="2"/>
      <c r="P13520" s="2"/>
      <c r="Q13520" s="2"/>
      <c r="R13520" s="2"/>
      <c r="S13520" s="2"/>
      <c r="T13520" s="2"/>
      <c r="U13520" s="2"/>
      <c r="V13520" s="2"/>
      <c r="W13520" s="2"/>
      <c r="X13520" s="2"/>
      <c r="Y13520" s="2"/>
      <c r="Z13520" s="2"/>
    </row>
    <row r="13521" spans="1:26" ht="16.5" x14ac:dyDescent="0.35">
      <c r="A13521" s="2" t="str">
        <f ca="1">IFERROR(__xludf.DUMMYFUNCTION("""COMPUTED_VALUE"""),"Abu Dhabi")</f>
        <v>Abu Dhabi</v>
      </c>
      <c r="B13521" s="2" t="str">
        <f ca="1">IFERROR(__xludf.DUMMYFUNCTION("""COMPUTED_VALUE"""),"The Bay Residence")</f>
        <v>The Bay Residence</v>
      </c>
      <c r="C13521" s="2" t="str">
        <f ca="1">IFERROR(__xludf.DUMMYFUNCTION("""COMPUTED_VALUE"""),"Building")</f>
        <v>Building</v>
      </c>
      <c r="D13521" s="2" t="str">
        <f ca="1">IFERROR(__xludf.DUMMYFUNCTION("""COMPUTED_VALUE"""),"Abu Dhabi&gt;Yas Island&gt;Yas Bay&gt;The Bay Residence")</f>
        <v>Abu Dhabi&gt;Yas Island&gt;Yas Bay&gt;The Bay Residence</v>
      </c>
      <c r="E13521" s="2"/>
      <c r="F13521" s="2"/>
      <c r="G13521" s="2"/>
      <c r="H13521" s="2"/>
      <c r="I13521" s="2"/>
      <c r="J13521" s="2"/>
      <c r="K13521" s="2"/>
      <c r="L13521" s="2"/>
      <c r="M13521" s="2"/>
      <c r="N13521" s="2"/>
      <c r="O13521" s="2"/>
      <c r="P13521" s="2"/>
      <c r="Q13521" s="2"/>
      <c r="R13521" s="2"/>
      <c r="S13521" s="2"/>
      <c r="T13521" s="2"/>
      <c r="U13521" s="2"/>
      <c r="V13521" s="2"/>
      <c r="W13521" s="2"/>
      <c r="X13521" s="2"/>
      <c r="Y13521" s="2"/>
      <c r="Z13521" s="2"/>
    </row>
    <row r="13522" spans="1:26" ht="16.5" x14ac:dyDescent="0.35">
      <c r="A13522" s="2" t="str">
        <f ca="1">IFERROR(__xludf.DUMMYFUNCTION("""COMPUTED_VALUE"""),"Abu Dhabi")</f>
        <v>Abu Dhabi</v>
      </c>
      <c r="B13522" s="2" t="str">
        <f ca="1">IFERROR(__xludf.DUMMYFUNCTION("""COMPUTED_VALUE"""),"Yas Marina")</f>
        <v>Yas Marina</v>
      </c>
      <c r="C13522" s="2" t="str">
        <f ca="1">IFERROR(__xludf.DUMMYFUNCTION("""COMPUTED_VALUE"""),"Neighbourhood")</f>
        <v>Neighbourhood</v>
      </c>
      <c r="D13522" s="2" t="str">
        <f ca="1">IFERROR(__xludf.DUMMYFUNCTION("""COMPUTED_VALUE"""),"Abu Dhabi&gt;Yas Island&gt;Yas Marina")</f>
        <v>Abu Dhabi&gt;Yas Island&gt;Yas Marina</v>
      </c>
      <c r="E13522" s="2"/>
      <c r="F13522" s="2"/>
      <c r="G13522" s="2"/>
      <c r="H13522" s="2"/>
      <c r="I13522" s="2"/>
      <c r="J13522" s="2"/>
      <c r="K13522" s="2"/>
      <c r="L13522" s="2"/>
      <c r="M13522" s="2"/>
      <c r="N13522" s="2"/>
      <c r="O13522" s="2"/>
      <c r="P13522" s="2"/>
      <c r="Q13522" s="2"/>
      <c r="R13522" s="2"/>
      <c r="S13522" s="2"/>
      <c r="T13522" s="2"/>
      <c r="U13522" s="2"/>
      <c r="V13522" s="2"/>
      <c r="W13522" s="2"/>
      <c r="X13522" s="2"/>
      <c r="Y13522" s="2"/>
      <c r="Z13522" s="2"/>
    </row>
    <row r="13523" spans="1:26" ht="16.5" x14ac:dyDescent="0.35">
      <c r="A13523" s="2" t="str">
        <f ca="1">IFERROR(__xludf.DUMMYFUNCTION("""COMPUTED_VALUE"""),"Abu Dhabi")</f>
        <v>Abu Dhabi</v>
      </c>
      <c r="B13523" s="2" t="str">
        <f ca="1">IFERROR(__xludf.DUMMYFUNCTION("""COMPUTED_VALUE"""),"Yas Riva")</f>
        <v>Yas Riva</v>
      </c>
      <c r="C13523" s="2" t="str">
        <f ca="1">IFERROR(__xludf.DUMMYFUNCTION("""COMPUTED_VALUE"""),"Neighbourhood")</f>
        <v>Neighbourhood</v>
      </c>
      <c r="D13523" s="2" t="str">
        <f ca="1">IFERROR(__xludf.DUMMYFUNCTION("""COMPUTED_VALUE"""),"Abu Dhabi&gt;Yas Island&gt;Yas Riva")</f>
        <v>Abu Dhabi&gt;Yas Island&gt;Yas Riva</v>
      </c>
      <c r="E13523" s="2"/>
      <c r="F13523" s="2"/>
      <c r="G13523" s="2"/>
      <c r="H13523" s="2"/>
      <c r="I13523" s="2"/>
      <c r="J13523" s="2"/>
      <c r="K13523" s="2"/>
      <c r="L13523" s="2"/>
      <c r="M13523" s="2"/>
      <c r="N13523" s="2"/>
      <c r="O13523" s="2"/>
      <c r="P13523" s="2"/>
      <c r="Q13523" s="2"/>
      <c r="R13523" s="2"/>
      <c r="S13523" s="2"/>
      <c r="T13523" s="2"/>
      <c r="U13523" s="2"/>
      <c r="V13523" s="2"/>
      <c r="W13523" s="2"/>
      <c r="X13523" s="2"/>
      <c r="Y13523" s="2"/>
      <c r="Z13523" s="2"/>
    </row>
    <row r="13524" spans="1:26" ht="16.5" x14ac:dyDescent="0.35">
      <c r="A13524" s="2" t="str">
        <f ca="1">IFERROR(__xludf.DUMMYFUNCTION("""COMPUTED_VALUE"""),"Abu Dhabi")</f>
        <v>Abu Dhabi</v>
      </c>
      <c r="B13524" s="2" t="str">
        <f ca="1">IFERROR(__xludf.DUMMYFUNCTION("""COMPUTED_VALUE"""),"PUD Residence I")</f>
        <v>PUD Residence I</v>
      </c>
      <c r="C13524" s="2" t="str">
        <f ca="1">IFERROR(__xludf.DUMMYFUNCTION("""COMPUTED_VALUE"""),"Building")</f>
        <v>Building</v>
      </c>
      <c r="D13524" s="2" t="str">
        <f ca="1">IFERROR(__xludf.DUMMYFUNCTION("""COMPUTED_VALUE"""),"Abu Dhabi&gt;Al Shamkha&gt;Al Reeman 1&gt;PUD Residence I")</f>
        <v>Abu Dhabi&gt;Al Shamkha&gt;Al Reeman 1&gt;PUD Residence I</v>
      </c>
      <c r="E13524" s="2"/>
      <c r="F13524" s="2"/>
      <c r="G13524" s="2"/>
      <c r="H13524" s="2"/>
      <c r="I13524" s="2"/>
      <c r="J13524" s="2"/>
      <c r="K13524" s="2"/>
      <c r="L13524" s="2"/>
      <c r="M13524" s="2"/>
      <c r="N13524" s="2"/>
      <c r="O13524" s="2"/>
      <c r="P13524" s="2"/>
      <c r="Q13524" s="2"/>
      <c r="R13524" s="2"/>
      <c r="S13524" s="2"/>
      <c r="T13524" s="2"/>
      <c r="U13524" s="2"/>
      <c r="V13524" s="2"/>
      <c r="W13524" s="2"/>
      <c r="X13524" s="2"/>
      <c r="Y13524" s="2"/>
      <c r="Z13524" s="2"/>
    </row>
    <row r="13525" spans="1:26" ht="16.5" x14ac:dyDescent="0.35">
      <c r="A13525" s="2" t="str">
        <f ca="1">IFERROR(__xludf.DUMMYFUNCTION("""COMPUTED_VALUE"""),"Ajman")</f>
        <v>Ajman</v>
      </c>
      <c r="B13525" s="2" t="str">
        <f ca="1">IFERROR(__xludf.DUMMYFUNCTION("""COMPUTED_VALUE"""),"Ajman Industrial 1")</f>
        <v>Ajman Industrial 1</v>
      </c>
      <c r="C13525" s="2" t="str">
        <f ca="1">IFERROR(__xludf.DUMMYFUNCTION("""COMPUTED_VALUE"""),"Neighbourhood")</f>
        <v>Neighbourhood</v>
      </c>
      <c r="D13525" s="2" t="str">
        <f ca="1">IFERROR(__xludf.DUMMYFUNCTION("""COMPUTED_VALUE"""),"Ajman&gt;Ajman Industrial&gt;Ajman Industrial 1")</f>
        <v>Ajman&gt;Ajman Industrial&gt;Ajman Industrial 1</v>
      </c>
      <c r="E13525" s="2"/>
      <c r="F13525" s="2"/>
      <c r="G13525" s="2"/>
      <c r="H13525" s="2"/>
      <c r="I13525" s="2"/>
      <c r="J13525" s="2"/>
      <c r="K13525" s="2"/>
      <c r="L13525" s="2"/>
      <c r="M13525" s="2"/>
      <c r="N13525" s="2"/>
      <c r="O13525" s="2"/>
      <c r="P13525" s="2"/>
      <c r="Q13525" s="2"/>
      <c r="R13525" s="2"/>
      <c r="S13525" s="2"/>
      <c r="T13525" s="2"/>
      <c r="U13525" s="2"/>
      <c r="V13525" s="2"/>
      <c r="W13525" s="2"/>
      <c r="X13525" s="2"/>
      <c r="Y13525" s="2"/>
      <c r="Z13525" s="2"/>
    </row>
    <row r="13526" spans="1:26" ht="16.5" x14ac:dyDescent="0.35">
      <c r="A13526" s="2" t="str">
        <f ca="1">IFERROR(__xludf.DUMMYFUNCTION("""COMPUTED_VALUE"""),"Ajman")</f>
        <v>Ajman</v>
      </c>
      <c r="B13526" s="2" t="str">
        <f ca="1">IFERROR(__xludf.DUMMYFUNCTION("""COMPUTED_VALUE"""),"M.R. Tower")</f>
        <v>M.R. Tower</v>
      </c>
      <c r="C13526" s="2" t="str">
        <f ca="1">IFERROR(__xludf.DUMMYFUNCTION("""COMPUTED_VALUE"""),"Building")</f>
        <v>Building</v>
      </c>
      <c r="D13526" s="2" t="str">
        <f ca="1">IFERROR(__xludf.DUMMYFUNCTION("""COMPUTED_VALUE"""),"Ajman&gt;Emirates City&gt;M.R. Tower")</f>
        <v>Ajman&gt;Emirates City&gt;M.R. Tower</v>
      </c>
      <c r="E13526" s="2"/>
      <c r="F13526" s="2"/>
      <c r="G13526" s="2"/>
      <c r="H13526" s="2"/>
      <c r="I13526" s="2"/>
      <c r="J13526" s="2"/>
      <c r="K13526" s="2"/>
      <c r="L13526" s="2"/>
      <c r="M13526" s="2"/>
      <c r="N13526" s="2"/>
      <c r="O13526" s="2"/>
      <c r="P13526" s="2"/>
      <c r="Q13526" s="2"/>
      <c r="R13526" s="2"/>
      <c r="S13526" s="2"/>
      <c r="T13526" s="2"/>
      <c r="U13526" s="2"/>
      <c r="V13526" s="2"/>
      <c r="W13526" s="2"/>
      <c r="X13526" s="2"/>
      <c r="Y13526" s="2"/>
      <c r="Z13526" s="2"/>
    </row>
    <row r="13527" spans="1:26" ht="16.5" x14ac:dyDescent="0.35">
      <c r="A13527" s="2" t="str">
        <f ca="1">IFERROR(__xludf.DUMMYFUNCTION("""COMPUTED_VALUE"""),"Ajman")</f>
        <v>Ajman</v>
      </c>
      <c r="B13527" s="2" t="str">
        <f ca="1">IFERROR(__xludf.DUMMYFUNCTION("""COMPUTED_VALUE"""),"Royal Oasis")</f>
        <v>Royal Oasis</v>
      </c>
      <c r="C13527" s="2" t="str">
        <f ca="1">IFERROR(__xludf.DUMMYFUNCTION("""COMPUTED_VALUE"""),"Building")</f>
        <v>Building</v>
      </c>
      <c r="D13527" s="2" t="str">
        <f ca="1">IFERROR(__xludf.DUMMYFUNCTION("""COMPUTED_VALUE"""),"Ajman&gt;Emirates City&gt;Royal Oasis")</f>
        <v>Ajman&gt;Emirates City&gt;Royal Oasis</v>
      </c>
      <c r="E13527" s="2"/>
      <c r="F13527" s="2"/>
      <c r="G13527" s="2"/>
      <c r="H13527" s="2"/>
      <c r="I13527" s="2"/>
      <c r="J13527" s="2"/>
      <c r="K13527" s="2"/>
      <c r="L13527" s="2"/>
      <c r="M13527" s="2"/>
      <c r="N13527" s="2"/>
      <c r="O13527" s="2"/>
      <c r="P13527" s="2"/>
      <c r="Q13527" s="2"/>
      <c r="R13527" s="2"/>
      <c r="S13527" s="2"/>
      <c r="T13527" s="2"/>
      <c r="U13527" s="2"/>
      <c r="V13527" s="2"/>
      <c r="W13527" s="2"/>
      <c r="X13527" s="2"/>
      <c r="Y13527" s="2"/>
      <c r="Z13527" s="2"/>
    </row>
    <row r="13528" spans="1:26" ht="16.5" x14ac:dyDescent="0.35">
      <c r="A13528" s="2" t="str">
        <f ca="1">IFERROR(__xludf.DUMMYFUNCTION("""COMPUTED_VALUE"""),"Ajman")</f>
        <v>Ajman</v>
      </c>
      <c r="B13528" s="2" t="str">
        <f ca="1">IFERROR(__xludf.DUMMYFUNCTION("""COMPUTED_VALUE"""),"Yasmeen Towers")</f>
        <v>Yasmeen Towers</v>
      </c>
      <c r="C13528" s="2" t="str">
        <f ca="1">IFERROR(__xludf.DUMMYFUNCTION("""COMPUTED_VALUE"""),"Building")</f>
        <v>Building</v>
      </c>
      <c r="D13528" s="2" t="str">
        <f ca="1">IFERROR(__xludf.DUMMYFUNCTION("""COMPUTED_VALUE"""),"Ajman&gt;Al Jurf&gt;Al Jurf 2&gt;Yasmeen Towers")</f>
        <v>Ajman&gt;Al Jurf&gt;Al Jurf 2&gt;Yasmeen Towers</v>
      </c>
      <c r="E13528" s="2"/>
      <c r="F13528" s="2"/>
      <c r="G13528" s="2"/>
      <c r="H13528" s="2"/>
      <c r="I13528" s="2"/>
      <c r="J13528" s="2"/>
      <c r="K13528" s="2"/>
      <c r="L13528" s="2"/>
      <c r="M13528" s="2"/>
      <c r="N13528" s="2"/>
      <c r="O13528" s="2"/>
      <c r="P13528" s="2"/>
      <c r="Q13528" s="2"/>
      <c r="R13528" s="2"/>
      <c r="S13528" s="2"/>
      <c r="T13528" s="2"/>
      <c r="U13528" s="2"/>
      <c r="V13528" s="2"/>
      <c r="W13528" s="2"/>
      <c r="X13528" s="2"/>
      <c r="Y13528" s="2"/>
      <c r="Z13528" s="2"/>
    </row>
    <row r="13529" spans="1:26" ht="16.5" x14ac:dyDescent="0.35">
      <c r="A13529" s="2" t="str">
        <f ca="1">IFERROR(__xludf.DUMMYFUNCTION("""COMPUTED_VALUE"""),"Ajman")</f>
        <v>Ajman</v>
      </c>
      <c r="B13529" s="2" t="str">
        <f ca="1">IFERROR(__xludf.DUMMYFUNCTION("""COMPUTED_VALUE"""),"Camellia")</f>
        <v>Camellia</v>
      </c>
      <c r="C13529" s="2" t="str">
        <f ca="1">IFERROR(__xludf.DUMMYFUNCTION("""COMPUTED_VALUE"""),"Building")</f>
        <v>Building</v>
      </c>
      <c r="D13529" s="2" t="str">
        <f ca="1">IFERROR(__xludf.DUMMYFUNCTION("""COMPUTED_VALUE"""),"Ajman&gt;Ajman Uptown&gt;Camellia")</f>
        <v>Ajman&gt;Ajman Uptown&gt;Camellia</v>
      </c>
      <c r="E13529" s="2"/>
      <c r="F13529" s="2"/>
      <c r="G13529" s="2"/>
      <c r="H13529" s="2"/>
      <c r="I13529" s="2"/>
      <c r="J13529" s="2"/>
      <c r="K13529" s="2"/>
      <c r="L13529" s="2"/>
      <c r="M13529" s="2"/>
      <c r="N13529" s="2"/>
      <c r="O13529" s="2"/>
      <c r="P13529" s="2"/>
      <c r="Q13529" s="2"/>
      <c r="R13529" s="2"/>
      <c r="S13529" s="2"/>
      <c r="T13529" s="2"/>
      <c r="U13529" s="2"/>
      <c r="V13529" s="2"/>
      <c r="W13529" s="2"/>
      <c r="X13529" s="2"/>
      <c r="Y13529" s="2"/>
      <c r="Z13529" s="2"/>
    </row>
    <row r="13530" spans="1:26" ht="16.5" x14ac:dyDescent="0.35">
      <c r="A13530" s="2" t="str">
        <f ca="1">IFERROR(__xludf.DUMMYFUNCTION("""COMPUTED_VALUE"""),"Ajman")</f>
        <v>Ajman</v>
      </c>
      <c r="B13530" s="2" t="str">
        <f ca="1">IFERROR(__xludf.DUMMYFUNCTION("""COMPUTED_VALUE"""),"Zara Residence")</f>
        <v>Zara Residence</v>
      </c>
      <c r="C13530" s="2" t="str">
        <f ca="1">IFERROR(__xludf.DUMMYFUNCTION("""COMPUTED_VALUE"""),"Building")</f>
        <v>Building</v>
      </c>
      <c r="D13530" s="2" t="str">
        <f ca="1">IFERROR(__xludf.DUMMYFUNCTION("""COMPUTED_VALUE"""),"Ajman&gt;Al Rashidiya&gt;Al Rashidiya 2&gt;Zara Residence")</f>
        <v>Ajman&gt;Al Rashidiya&gt;Al Rashidiya 2&gt;Zara Residence</v>
      </c>
      <c r="E13530" s="2"/>
      <c r="F13530" s="2"/>
      <c r="G13530" s="2"/>
      <c r="H13530" s="2"/>
      <c r="I13530" s="2"/>
      <c r="J13530" s="2"/>
      <c r="K13530" s="2"/>
      <c r="L13530" s="2"/>
      <c r="M13530" s="2"/>
      <c r="N13530" s="2"/>
      <c r="O13530" s="2"/>
      <c r="P13530" s="2"/>
      <c r="Q13530" s="2"/>
      <c r="R13530" s="2"/>
      <c r="S13530" s="2"/>
      <c r="T13530" s="2"/>
      <c r="U13530" s="2"/>
      <c r="V13530" s="2"/>
      <c r="W13530" s="2"/>
      <c r="X13530" s="2"/>
      <c r="Y13530" s="2"/>
      <c r="Z13530" s="2"/>
    </row>
    <row r="13531" spans="1:26" ht="16.5" x14ac:dyDescent="0.35">
      <c r="A13531" s="2" t="str">
        <f ca="1">IFERROR(__xludf.DUMMYFUNCTION("""COMPUTED_VALUE"""),"Ajman")</f>
        <v>Ajman</v>
      </c>
      <c r="B13531" s="2" t="str">
        <f ca="1">IFERROR(__xludf.DUMMYFUNCTION("""COMPUTED_VALUE"""),"Tech Tower")</f>
        <v>Tech Tower</v>
      </c>
      <c r="C13531" s="2" t="str">
        <f ca="1">IFERROR(__xludf.DUMMYFUNCTION("""COMPUTED_VALUE"""),"Building")</f>
        <v>Building</v>
      </c>
      <c r="D13531" s="2" t="str">
        <f ca="1">IFERROR(__xludf.DUMMYFUNCTION("""COMPUTED_VALUE"""),"Ajman&gt;Al Rashidiya&gt;Al Rashidiya 3&gt;Tech Tower")</f>
        <v>Ajman&gt;Al Rashidiya&gt;Al Rashidiya 3&gt;Tech Tower</v>
      </c>
      <c r="E13531" s="2"/>
      <c r="F13531" s="2"/>
      <c r="G13531" s="2"/>
      <c r="H13531" s="2"/>
      <c r="I13531" s="2"/>
      <c r="J13531" s="2"/>
      <c r="K13531" s="2"/>
      <c r="L13531" s="2"/>
      <c r="M13531" s="2"/>
      <c r="N13531" s="2"/>
      <c r="O13531" s="2"/>
      <c r="P13531" s="2"/>
      <c r="Q13531" s="2"/>
      <c r="R13531" s="2"/>
      <c r="S13531" s="2"/>
      <c r="T13531" s="2"/>
      <c r="U13531" s="2"/>
      <c r="V13531" s="2"/>
      <c r="W13531" s="2"/>
      <c r="X13531" s="2"/>
      <c r="Y13531" s="2"/>
      <c r="Z13531" s="2"/>
    </row>
    <row r="13532" spans="1:26" ht="16.5" x14ac:dyDescent="0.35">
      <c r="A13532" s="2" t="str">
        <f ca="1">IFERROR(__xludf.DUMMYFUNCTION("""COMPUTED_VALUE"""),"Ajman")</f>
        <v>Ajman</v>
      </c>
      <c r="B13532" s="2" t="str">
        <f ca="1">IFERROR(__xludf.DUMMYFUNCTION("""COMPUTED_VALUE"""),"Al Helio 1")</f>
        <v>Al Helio 1</v>
      </c>
      <c r="C13532" s="2" t="str">
        <f ca="1">IFERROR(__xludf.DUMMYFUNCTION("""COMPUTED_VALUE"""),"Neighbourhood")</f>
        <v>Neighbourhood</v>
      </c>
      <c r="D13532" s="2" t="str">
        <f ca="1">IFERROR(__xludf.DUMMYFUNCTION("""COMPUTED_VALUE"""),"Ajman&gt;Al Helio&gt;Al Helio 1")</f>
        <v>Ajman&gt;Al Helio&gt;Al Helio 1</v>
      </c>
      <c r="E13532" s="2"/>
      <c r="F13532" s="2"/>
      <c r="G13532" s="2"/>
      <c r="H13532" s="2"/>
      <c r="I13532" s="2"/>
      <c r="J13532" s="2"/>
      <c r="K13532" s="2"/>
      <c r="L13532" s="2"/>
      <c r="M13532" s="2"/>
      <c r="N13532" s="2"/>
      <c r="O13532" s="2"/>
      <c r="P13532" s="2"/>
      <c r="Q13532" s="2"/>
      <c r="R13532" s="2"/>
      <c r="S13532" s="2"/>
      <c r="T13532" s="2"/>
      <c r="U13532" s="2"/>
      <c r="V13532" s="2"/>
      <c r="W13532" s="2"/>
      <c r="X13532" s="2"/>
      <c r="Y13532" s="2"/>
      <c r="Z13532" s="2"/>
    </row>
    <row r="13533" spans="1:26" ht="16.5" x14ac:dyDescent="0.35">
      <c r="A13533" s="2" t="str">
        <f ca="1">IFERROR(__xludf.DUMMYFUNCTION("""COMPUTED_VALUE"""),"Ajman")</f>
        <v>Ajman</v>
      </c>
      <c r="B13533" s="2" t="str">
        <f ca="1">IFERROR(__xludf.DUMMYFUNCTION("""COMPUTED_VALUE"""),"Chapal Dunes")</f>
        <v>Chapal Dunes</v>
      </c>
      <c r="C13533" s="2"/>
      <c r="D13533" s="2" t="str">
        <f ca="1">IFERROR(__xludf.DUMMYFUNCTION("""COMPUTED_VALUE"""),"Ajman&gt;Emirates Lake Towers&gt;Chapal Dunes")</f>
        <v>Ajman&gt;Emirates Lake Towers&gt;Chapal Dunes</v>
      </c>
      <c r="E13533" s="2"/>
      <c r="F13533" s="2"/>
      <c r="G13533" s="2"/>
      <c r="H13533" s="2"/>
      <c r="I13533" s="2"/>
      <c r="J13533" s="2"/>
      <c r="K13533" s="2"/>
      <c r="L13533" s="2"/>
      <c r="M13533" s="2"/>
      <c r="N13533" s="2"/>
      <c r="O13533" s="2"/>
      <c r="P13533" s="2"/>
      <c r="Q13533" s="2"/>
      <c r="R13533" s="2"/>
      <c r="S13533" s="2"/>
      <c r="T13533" s="2"/>
      <c r="U13533" s="2"/>
      <c r="V13533" s="2"/>
      <c r="W13533" s="2"/>
      <c r="X13533" s="2"/>
      <c r="Y13533" s="2"/>
      <c r="Z13533" s="2"/>
    </row>
    <row r="13534" spans="1:26" ht="16.5" x14ac:dyDescent="0.35">
      <c r="A13534" s="2" t="str">
        <f ca="1">IFERROR(__xludf.DUMMYFUNCTION("""COMPUTED_VALUE"""),"Ajman")</f>
        <v>Ajman</v>
      </c>
      <c r="B13534" s="2" t="str">
        <f ca="1">IFERROR(__xludf.DUMMYFUNCTION("""COMPUTED_VALUE"""),"Marina 1")</f>
        <v>Marina 1</v>
      </c>
      <c r="C13534" s="2"/>
      <c r="D13534" s="2" t="str">
        <f ca="1">IFERROR(__xludf.DUMMYFUNCTION("""COMPUTED_VALUE"""),"Ajman&gt;Al Zorah&gt;Marina 1")</f>
        <v>Ajman&gt;Al Zorah&gt;Marina 1</v>
      </c>
      <c r="E13534" s="2"/>
      <c r="F13534" s="2"/>
      <c r="G13534" s="2"/>
      <c r="H13534" s="2"/>
      <c r="I13534" s="2"/>
      <c r="J13534" s="2"/>
      <c r="K13534" s="2"/>
      <c r="L13534" s="2"/>
      <c r="M13534" s="2"/>
      <c r="N13534" s="2"/>
      <c r="O13534" s="2"/>
      <c r="P13534" s="2"/>
      <c r="Q13534" s="2"/>
      <c r="R13534" s="2"/>
      <c r="S13534" s="2"/>
      <c r="T13534" s="2"/>
      <c r="U13534" s="2"/>
      <c r="V13534" s="2"/>
      <c r="W13534" s="2"/>
      <c r="X13534" s="2"/>
      <c r="Y13534" s="2"/>
      <c r="Z13534" s="2"/>
    </row>
    <row r="13535" spans="1:26" ht="16.5" x14ac:dyDescent="0.35">
      <c r="A13535" s="2" t="str">
        <f ca="1">IFERROR(__xludf.DUMMYFUNCTION("""COMPUTED_VALUE"""),"Ajman")</f>
        <v>Ajman</v>
      </c>
      <c r="B13535" s="2" t="str">
        <f ca="1">IFERROR(__xludf.DUMMYFUNCTION("""COMPUTED_VALUE"""),"Royal Lake View")</f>
        <v>Royal Lake View</v>
      </c>
      <c r="C13535" s="2" t="str">
        <f ca="1">IFERROR(__xludf.DUMMYFUNCTION("""COMPUTED_VALUE"""),"Building")</f>
        <v>Building</v>
      </c>
      <c r="D13535" s="2" t="str">
        <f ca="1">IFERROR(__xludf.DUMMYFUNCTION("""COMPUTED_VALUE"""),"Ajman&gt;Al Humaid City&gt;Royal Lake View")</f>
        <v>Ajman&gt;Al Humaid City&gt;Royal Lake View</v>
      </c>
      <c r="E13535" s="2"/>
      <c r="F13535" s="2"/>
      <c r="G13535" s="2"/>
      <c r="H13535" s="2"/>
      <c r="I13535" s="2"/>
      <c r="J13535" s="2"/>
      <c r="K13535" s="2"/>
      <c r="L13535" s="2"/>
      <c r="M13535" s="2"/>
      <c r="N13535" s="2"/>
      <c r="O13535" s="2"/>
      <c r="P13535" s="2"/>
      <c r="Q13535" s="2"/>
      <c r="R13535" s="2"/>
      <c r="S13535" s="2"/>
      <c r="T13535" s="2"/>
      <c r="U13535" s="2"/>
      <c r="V13535" s="2"/>
      <c r="W13535" s="2"/>
      <c r="X13535" s="2"/>
      <c r="Y13535" s="2"/>
      <c r="Z13535" s="2"/>
    </row>
    <row r="13536" spans="1:26" ht="16.5" x14ac:dyDescent="0.35">
      <c r="A13536" s="2" t="str">
        <f ca="1">IFERROR(__xludf.DUMMYFUNCTION("""COMPUTED_VALUE"""),"Ajman")</f>
        <v>Ajman</v>
      </c>
      <c r="B13536" s="2" t="str">
        <f ca="1">IFERROR(__xludf.DUMMYFUNCTION("""COMPUTED_VALUE"""),"Rasha Villas")</f>
        <v>Rasha Villas</v>
      </c>
      <c r="C13536" s="2"/>
      <c r="D13536" s="2" t="str">
        <f ca="1">IFERROR(__xludf.DUMMYFUNCTION("""COMPUTED_VALUE"""),"Ajman&gt;Al Ittihad Village&gt;Rasha Villas")</f>
        <v>Ajman&gt;Al Ittihad Village&gt;Rasha Villas</v>
      </c>
      <c r="E13536" s="2"/>
      <c r="F13536" s="2"/>
      <c r="G13536" s="2"/>
      <c r="H13536" s="2"/>
      <c r="I13536" s="2"/>
      <c r="J13536" s="2"/>
      <c r="K13536" s="2"/>
      <c r="L13536" s="2"/>
      <c r="M13536" s="2"/>
      <c r="N13536" s="2"/>
      <c r="O13536" s="2"/>
      <c r="P13536" s="2"/>
      <c r="Q13536" s="2"/>
      <c r="R13536" s="2"/>
      <c r="S13536" s="2"/>
      <c r="T13536" s="2"/>
      <c r="U13536" s="2"/>
      <c r="V13536" s="2"/>
      <c r="W13536" s="2"/>
      <c r="X13536" s="2"/>
      <c r="Y13536" s="2"/>
      <c r="Z13536" s="2"/>
    </row>
    <row r="13537" spans="1:26" ht="16.5" x14ac:dyDescent="0.35">
      <c r="A13537" s="2" t="str">
        <f ca="1">IFERROR(__xludf.DUMMYFUNCTION("""COMPUTED_VALUE"""),"Ajman")</f>
        <v>Ajman</v>
      </c>
      <c r="B13537" s="2" t="str">
        <f ca="1">IFERROR(__xludf.DUMMYFUNCTION("""COMPUTED_VALUE"""),"Aida Tower")</f>
        <v>Aida Tower</v>
      </c>
      <c r="C13537" s="2" t="str">
        <f ca="1">IFERROR(__xludf.DUMMYFUNCTION("""COMPUTED_VALUE"""),"Building")</f>
        <v>Building</v>
      </c>
      <c r="D13537" s="2" t="str">
        <f ca="1">IFERROR(__xludf.DUMMYFUNCTION("""COMPUTED_VALUE"""),"Ajman&gt;Al Nuaimiya&gt;Al Nuaimiya 3&gt;Aida Tower")</f>
        <v>Ajman&gt;Al Nuaimiya&gt;Al Nuaimiya 3&gt;Aida Tower</v>
      </c>
      <c r="E13537" s="2"/>
      <c r="F13537" s="2"/>
      <c r="G13537" s="2"/>
      <c r="H13537" s="2"/>
      <c r="I13537" s="2"/>
      <c r="J13537" s="2"/>
      <c r="K13537" s="2"/>
      <c r="L13537" s="2"/>
      <c r="M13537" s="2"/>
      <c r="N13537" s="2"/>
      <c r="O13537" s="2"/>
      <c r="P13537" s="2"/>
      <c r="Q13537" s="2"/>
      <c r="R13537" s="2"/>
      <c r="S13537" s="2"/>
      <c r="T13537" s="2"/>
      <c r="U13537" s="2"/>
      <c r="V13537" s="2"/>
      <c r="W13537" s="2"/>
      <c r="X13537" s="2"/>
      <c r="Y13537" s="2"/>
      <c r="Z13537" s="2"/>
    </row>
    <row r="13538" spans="1:26" ht="16.5" x14ac:dyDescent="0.35">
      <c r="A13538" s="2" t="str">
        <f ca="1">IFERROR(__xludf.DUMMYFUNCTION("""COMPUTED_VALUE"""),"Ajman")</f>
        <v>Ajman</v>
      </c>
      <c r="B13538" s="2" t="str">
        <f ca="1">IFERROR(__xludf.DUMMYFUNCTION("""COMPUTED_VALUE"""),"German Planet Tower 1")</f>
        <v>German Planet Tower 1</v>
      </c>
      <c r="C13538" s="2"/>
      <c r="D13538" s="2" t="str">
        <f ca="1">IFERROR(__xludf.DUMMYFUNCTION("""COMPUTED_VALUE"""),"Ajman&gt;Park View City&gt;German Planet Tower 1")</f>
        <v>Ajman&gt;Park View City&gt;German Planet Tower 1</v>
      </c>
      <c r="E13538" s="2"/>
      <c r="F13538" s="2"/>
      <c r="G13538" s="2"/>
      <c r="H13538" s="2"/>
      <c r="I13538" s="2"/>
      <c r="J13538" s="2"/>
      <c r="K13538" s="2"/>
      <c r="L13538" s="2"/>
      <c r="M13538" s="2"/>
      <c r="N13538" s="2"/>
      <c r="O13538" s="2"/>
      <c r="P13538" s="2"/>
      <c r="Q13538" s="2"/>
      <c r="R13538" s="2"/>
      <c r="S13538" s="2"/>
      <c r="T13538" s="2"/>
      <c r="U13538" s="2"/>
      <c r="V13538" s="2"/>
      <c r="W13538" s="2"/>
      <c r="X13538" s="2"/>
      <c r="Y13538" s="2"/>
      <c r="Z13538" s="2"/>
    </row>
    <row r="13539" spans="1:26" ht="16.5" x14ac:dyDescent="0.35">
      <c r="A13539" s="2" t="str">
        <f ca="1">IFERROR(__xludf.DUMMYFUNCTION("""COMPUTED_VALUE"""),"Sharjah")</f>
        <v>Sharjah</v>
      </c>
      <c r="B13539" s="2" t="str">
        <f ca="1">IFERROR(__xludf.DUMMYFUNCTION("""COMPUTED_VALUE"""),"Samaya Tower")</f>
        <v>Samaya Tower</v>
      </c>
      <c r="C13539" s="2"/>
      <c r="D13539" s="2" t="str">
        <f ca="1">IFERROR(__xludf.DUMMYFUNCTION("""COMPUTED_VALUE"""),"Sharjah&gt;Al Nahda (Sharjah)&gt;Samaya Tower")</f>
        <v>Sharjah&gt;Al Nahda (Sharjah)&gt;Samaya Tower</v>
      </c>
      <c r="E13539" s="2"/>
      <c r="F13539" s="2"/>
      <c r="G13539" s="2"/>
      <c r="H13539" s="2"/>
      <c r="I13539" s="2"/>
      <c r="J13539" s="2"/>
      <c r="K13539" s="2"/>
      <c r="L13539" s="2"/>
      <c r="M13539" s="2"/>
      <c r="N13539" s="2"/>
      <c r="O13539" s="2"/>
      <c r="P13539" s="2"/>
      <c r="Q13539" s="2"/>
      <c r="R13539" s="2"/>
      <c r="S13539" s="2"/>
      <c r="T13539" s="2"/>
      <c r="U13539" s="2"/>
      <c r="V13539" s="2"/>
      <c r="W13539" s="2"/>
      <c r="X13539" s="2"/>
      <c r="Y13539" s="2"/>
      <c r="Z13539" s="2"/>
    </row>
    <row r="13540" spans="1:26" ht="16.5" x14ac:dyDescent="0.35">
      <c r="A13540" s="2" t="str">
        <f ca="1">IFERROR(__xludf.DUMMYFUNCTION("""COMPUTED_VALUE"""),"Sharjah")</f>
        <v>Sharjah</v>
      </c>
      <c r="B13540" s="2" t="str">
        <f ca="1">IFERROR(__xludf.DUMMYFUNCTION("""COMPUTED_VALUE"""),"Al Ameer Tower")</f>
        <v>Al Ameer Tower</v>
      </c>
      <c r="C13540" s="2"/>
      <c r="D13540" s="2" t="str">
        <f ca="1">IFERROR(__xludf.DUMMYFUNCTION("""COMPUTED_VALUE"""),"Sharjah&gt;Al Nahda (Sharjah)&gt;Al Ameer Tower")</f>
        <v>Sharjah&gt;Al Nahda (Sharjah)&gt;Al Ameer Tower</v>
      </c>
      <c r="E13540" s="2"/>
      <c r="F13540" s="2"/>
      <c r="G13540" s="2"/>
      <c r="H13540" s="2"/>
      <c r="I13540" s="2"/>
      <c r="J13540" s="2"/>
      <c r="K13540" s="2"/>
      <c r="L13540" s="2"/>
      <c r="M13540" s="2"/>
      <c r="N13540" s="2"/>
      <c r="O13540" s="2"/>
      <c r="P13540" s="2"/>
      <c r="Q13540" s="2"/>
      <c r="R13540" s="2"/>
      <c r="S13540" s="2"/>
      <c r="T13540" s="2"/>
      <c r="U13540" s="2"/>
      <c r="V13540" s="2"/>
      <c r="W13540" s="2"/>
      <c r="X13540" s="2"/>
      <c r="Y13540" s="2"/>
      <c r="Z13540" s="2"/>
    </row>
    <row r="13541" spans="1:26" ht="16.5" x14ac:dyDescent="0.35">
      <c r="A13541" s="2" t="str">
        <f ca="1">IFERROR(__xludf.DUMMYFUNCTION("""COMPUTED_VALUE"""),"Sharjah")</f>
        <v>Sharjah</v>
      </c>
      <c r="B13541" s="2" t="str">
        <f ca="1">IFERROR(__xludf.DUMMYFUNCTION("""COMPUTED_VALUE"""),"Asswailem Tower")</f>
        <v>Asswailem Tower</v>
      </c>
      <c r="C13541" s="2"/>
      <c r="D13541" s="2" t="str">
        <f ca="1">IFERROR(__xludf.DUMMYFUNCTION("""COMPUTED_VALUE"""),"Sharjah&gt;Al Nahda (Sharjah)&gt;Asswailem Tower")</f>
        <v>Sharjah&gt;Al Nahda (Sharjah)&gt;Asswailem Tower</v>
      </c>
      <c r="E13541" s="2"/>
      <c r="F13541" s="2"/>
      <c r="G13541" s="2"/>
      <c r="H13541" s="2"/>
      <c r="I13541" s="2"/>
      <c r="J13541" s="2"/>
      <c r="K13541" s="2"/>
      <c r="L13541" s="2"/>
      <c r="M13541" s="2"/>
      <c r="N13541" s="2"/>
      <c r="O13541" s="2"/>
      <c r="P13541" s="2"/>
      <c r="Q13541" s="2"/>
      <c r="R13541" s="2"/>
      <c r="S13541" s="2"/>
      <c r="T13541" s="2"/>
      <c r="U13541" s="2"/>
      <c r="V13541" s="2"/>
      <c r="W13541" s="2"/>
      <c r="X13541" s="2"/>
      <c r="Y13541" s="2"/>
      <c r="Z13541" s="2"/>
    </row>
    <row r="13542" spans="1:26" ht="16.5" x14ac:dyDescent="0.35">
      <c r="A13542" s="2" t="str">
        <f ca="1">IFERROR(__xludf.DUMMYFUNCTION("""COMPUTED_VALUE"""),"Sharjah")</f>
        <v>Sharjah</v>
      </c>
      <c r="B13542" s="2" t="str">
        <f ca="1">IFERROR(__xludf.DUMMYFUNCTION("""COMPUTED_VALUE"""),"Zahrat Al Nahda")</f>
        <v>Zahrat Al Nahda</v>
      </c>
      <c r="C13542" s="2"/>
      <c r="D13542" s="2" t="str">
        <f ca="1">IFERROR(__xludf.DUMMYFUNCTION("""COMPUTED_VALUE"""),"Sharjah&gt;Al Nahda (Sharjah)&gt;Zahrat Al Nahda")</f>
        <v>Sharjah&gt;Al Nahda (Sharjah)&gt;Zahrat Al Nahda</v>
      </c>
      <c r="E13542" s="2"/>
      <c r="F13542" s="2"/>
      <c r="G13542" s="2"/>
      <c r="H13542" s="2"/>
      <c r="I13542" s="2"/>
      <c r="J13542" s="2"/>
      <c r="K13542" s="2"/>
      <c r="L13542" s="2"/>
      <c r="M13542" s="2"/>
      <c r="N13542" s="2"/>
      <c r="O13542" s="2"/>
      <c r="P13542" s="2"/>
      <c r="Q13542" s="2"/>
      <c r="R13542" s="2"/>
      <c r="S13542" s="2"/>
      <c r="T13542" s="2"/>
      <c r="U13542" s="2"/>
      <c r="V13542" s="2"/>
      <c r="W13542" s="2"/>
      <c r="X13542" s="2"/>
      <c r="Y13542" s="2"/>
      <c r="Z13542" s="2"/>
    </row>
    <row r="13543" spans="1:26" ht="16.5" x14ac:dyDescent="0.35">
      <c r="A13543" s="2" t="str">
        <f ca="1">IFERROR(__xludf.DUMMYFUNCTION("""COMPUTED_VALUE"""),"Sharjah")</f>
        <v>Sharjah</v>
      </c>
      <c r="B13543" s="2" t="str">
        <f ca="1">IFERROR(__xludf.DUMMYFUNCTION("""COMPUTED_VALUE"""),"Teacher Residence Complex")</f>
        <v>Teacher Residence Complex</v>
      </c>
      <c r="C13543" s="2"/>
      <c r="D13543" s="2" t="str">
        <f ca="1">IFERROR(__xludf.DUMMYFUNCTION("""COMPUTED_VALUE"""),"Sharjah&gt;Maleha&gt;Teacher Residence Complex")</f>
        <v>Sharjah&gt;Maleha&gt;Teacher Residence Complex</v>
      </c>
      <c r="E13543" s="2"/>
      <c r="F13543" s="2"/>
      <c r="G13543" s="2"/>
      <c r="H13543" s="2"/>
      <c r="I13543" s="2"/>
      <c r="J13543" s="2"/>
      <c r="K13543" s="2"/>
      <c r="L13543" s="2"/>
      <c r="M13543" s="2"/>
      <c r="N13543" s="2"/>
      <c r="O13543" s="2"/>
      <c r="P13543" s="2"/>
      <c r="Q13543" s="2"/>
      <c r="R13543" s="2"/>
      <c r="S13543" s="2"/>
      <c r="T13543" s="2"/>
      <c r="U13543" s="2"/>
      <c r="V13543" s="2"/>
      <c r="W13543" s="2"/>
      <c r="X13543" s="2"/>
      <c r="Y13543" s="2"/>
      <c r="Z13543" s="2"/>
    </row>
    <row r="13544" spans="1:26" ht="16.5" x14ac:dyDescent="0.35">
      <c r="A13544" s="2" t="str">
        <f ca="1">IFERROR(__xludf.DUMMYFUNCTION("""COMPUTED_VALUE"""),"Sharjah")</f>
        <v>Sharjah</v>
      </c>
      <c r="B13544" s="2" t="str">
        <f ca="1">IFERROR(__xludf.DUMMYFUNCTION("""COMPUTED_VALUE"""),"The Riff 6")</f>
        <v>The Riff 6</v>
      </c>
      <c r="C13544" s="2" t="str">
        <f ca="1">IFERROR(__xludf.DUMMYFUNCTION("""COMPUTED_VALUE"""),"Building")</f>
        <v>Building</v>
      </c>
      <c r="D13544" s="2" t="str">
        <f ca="1">IFERROR(__xludf.DUMMYFUNCTION("""COMPUTED_VALUE"""),"Sharjah&gt;Aljada&gt;East Village&gt;The Riff&gt;The Riff 6")</f>
        <v>Sharjah&gt;Aljada&gt;East Village&gt;The Riff&gt;The Riff 6</v>
      </c>
      <c r="E13544" s="2"/>
      <c r="F13544" s="2"/>
      <c r="G13544" s="2"/>
      <c r="H13544" s="2"/>
      <c r="I13544" s="2"/>
      <c r="J13544" s="2"/>
      <c r="K13544" s="2"/>
      <c r="L13544" s="2"/>
      <c r="M13544" s="2"/>
      <c r="N13544" s="2"/>
      <c r="O13544" s="2"/>
      <c r="P13544" s="2"/>
      <c r="Q13544" s="2"/>
      <c r="R13544" s="2"/>
      <c r="S13544" s="2"/>
      <c r="T13544" s="2"/>
      <c r="U13544" s="2"/>
      <c r="V13544" s="2"/>
      <c r="W13544" s="2"/>
      <c r="X13544" s="2"/>
      <c r="Y13544" s="2"/>
      <c r="Z13544" s="2"/>
    </row>
    <row r="13545" spans="1:26" ht="16.5" x14ac:dyDescent="0.35">
      <c r="A13545" s="2" t="str">
        <f ca="1">IFERROR(__xludf.DUMMYFUNCTION("""COMPUTED_VALUE"""),"Sharjah")</f>
        <v>Sharjah</v>
      </c>
      <c r="B13545" s="2" t="str">
        <f ca="1">IFERROR(__xludf.DUMMYFUNCTION("""COMPUTED_VALUE"""),"Tiraz 8")</f>
        <v>Tiraz 8</v>
      </c>
      <c r="C13545" s="2" t="str">
        <f ca="1">IFERROR(__xludf.DUMMYFUNCTION("""COMPUTED_VALUE"""),"Building")</f>
        <v>Building</v>
      </c>
      <c r="D13545" s="2" t="str">
        <f ca="1">IFERROR(__xludf.DUMMYFUNCTION("""COMPUTED_VALUE"""),"Sharjah&gt;Aljada&gt;Naseej District&gt;Tiraz&gt;Tiraz 8")</f>
        <v>Sharjah&gt;Aljada&gt;Naseej District&gt;Tiraz&gt;Tiraz 8</v>
      </c>
      <c r="E13545" s="2"/>
      <c r="F13545" s="2"/>
      <c r="G13545" s="2"/>
      <c r="H13545" s="2"/>
      <c r="I13545" s="2"/>
      <c r="J13545" s="2"/>
      <c r="K13545" s="2"/>
      <c r="L13545" s="2"/>
      <c r="M13545" s="2"/>
      <c r="N13545" s="2"/>
      <c r="O13545" s="2"/>
      <c r="P13545" s="2"/>
      <c r="Q13545" s="2"/>
      <c r="R13545" s="2"/>
      <c r="S13545" s="2"/>
      <c r="T13545" s="2"/>
      <c r="U13545" s="2"/>
      <c r="V13545" s="2"/>
      <c r="W13545" s="2"/>
      <c r="X13545" s="2"/>
      <c r="Y13545" s="2"/>
      <c r="Z13545" s="2"/>
    </row>
    <row r="13546" spans="1:26" ht="16.5" x14ac:dyDescent="0.35">
      <c r="A13546" s="2" t="str">
        <f ca="1">IFERROR(__xludf.DUMMYFUNCTION("""COMPUTED_VALUE"""),"Sharjah")</f>
        <v>Sharjah</v>
      </c>
      <c r="B13546" s="2" t="str">
        <f ca="1">IFERROR(__xludf.DUMMYFUNCTION("""COMPUTED_VALUE"""),"Arada Central Business District")</f>
        <v>Arada Central Business District</v>
      </c>
      <c r="C13546" s="2" t="str">
        <f ca="1">IFERROR(__xludf.DUMMYFUNCTION("""COMPUTED_VALUE"""),"Cluster")</f>
        <v>Cluster</v>
      </c>
      <c r="D13546" s="2" t="str">
        <f ca="1">IFERROR(__xludf.DUMMYFUNCTION("""COMPUTED_VALUE"""),"Sharjah&gt;Aljada&gt;Arada Central Business District")</f>
        <v>Sharjah&gt;Aljada&gt;Arada Central Business District</v>
      </c>
      <c r="E13546" s="2"/>
      <c r="F13546" s="2"/>
      <c r="G13546" s="2"/>
      <c r="H13546" s="2"/>
      <c r="I13546" s="2"/>
      <c r="J13546" s="2"/>
      <c r="K13546" s="2"/>
      <c r="L13546" s="2"/>
      <c r="M13546" s="2"/>
      <c r="N13546" s="2"/>
      <c r="O13546" s="2"/>
      <c r="P13546" s="2"/>
      <c r="Q13546" s="2"/>
      <c r="R13546" s="2"/>
      <c r="S13546" s="2"/>
      <c r="T13546" s="2"/>
      <c r="U13546" s="2"/>
      <c r="V13546" s="2"/>
      <c r="W13546" s="2"/>
      <c r="X13546" s="2"/>
      <c r="Y13546" s="2"/>
      <c r="Z13546" s="2"/>
    </row>
    <row r="13547" spans="1:26" ht="16.5" x14ac:dyDescent="0.35">
      <c r="A13547" s="2" t="str">
        <f ca="1">IFERROR(__xludf.DUMMYFUNCTION("""COMPUTED_VALUE"""),"Sharjah")</f>
        <v>Sharjah</v>
      </c>
      <c r="B13547" s="2" t="str">
        <f ca="1">IFERROR(__xludf.DUMMYFUNCTION("""COMPUTED_VALUE"""),"Al Ghanem Business Center")</f>
        <v>Al Ghanem Business Center</v>
      </c>
      <c r="C13547" s="2"/>
      <c r="D13547" s="2" t="str">
        <f ca="1">IFERROR(__xludf.DUMMYFUNCTION("""COMPUTED_VALUE"""),"Sharjah&gt;Sharqan&gt;Al Ghanem Business Center")</f>
        <v>Sharjah&gt;Sharqan&gt;Al Ghanem Business Center</v>
      </c>
      <c r="E13547" s="2"/>
      <c r="F13547" s="2"/>
      <c r="G13547" s="2"/>
      <c r="H13547" s="2"/>
      <c r="I13547" s="2"/>
      <c r="J13547" s="2"/>
      <c r="K13547" s="2"/>
      <c r="L13547" s="2"/>
      <c r="M13547" s="2"/>
      <c r="N13547" s="2"/>
      <c r="O13547" s="2"/>
      <c r="P13547" s="2"/>
      <c r="Q13547" s="2"/>
      <c r="R13547" s="2"/>
      <c r="S13547" s="2"/>
      <c r="T13547" s="2"/>
      <c r="U13547" s="2"/>
      <c r="V13547" s="2"/>
      <c r="W13547" s="2"/>
      <c r="X13547" s="2"/>
      <c r="Y13547" s="2"/>
      <c r="Z13547" s="2"/>
    </row>
    <row r="13548" spans="1:26" ht="16.5" x14ac:dyDescent="0.35">
      <c r="A13548" s="2" t="str">
        <f ca="1">IFERROR(__xludf.DUMMYFUNCTION("""COMPUTED_VALUE"""),"Sharjah")</f>
        <v>Sharjah</v>
      </c>
      <c r="B13548" s="2" t="str">
        <f ca="1">IFERROR(__xludf.DUMMYFUNCTION("""COMPUTED_VALUE"""),"Rashid Bin saqar Building")</f>
        <v>Rashid Bin saqar Building</v>
      </c>
      <c r="C13548" s="2"/>
      <c r="D13548" s="2" t="str">
        <f ca="1">IFERROR(__xludf.DUMMYFUNCTION("""COMPUTED_VALUE"""),"Sharjah&gt;Abu Shagara&gt;Rashid Bin saqar Building")</f>
        <v>Sharjah&gt;Abu Shagara&gt;Rashid Bin saqar Building</v>
      </c>
      <c r="E13548" s="2"/>
      <c r="F13548" s="2"/>
      <c r="G13548" s="2"/>
      <c r="H13548" s="2"/>
      <c r="I13548" s="2"/>
      <c r="J13548" s="2"/>
      <c r="K13548" s="2"/>
      <c r="L13548" s="2"/>
      <c r="M13548" s="2"/>
      <c r="N13548" s="2"/>
      <c r="O13548" s="2"/>
      <c r="P13548" s="2"/>
      <c r="Q13548" s="2"/>
      <c r="R13548" s="2"/>
      <c r="S13548" s="2"/>
      <c r="T13548" s="2"/>
      <c r="U13548" s="2"/>
      <c r="V13548" s="2"/>
      <c r="W13548" s="2"/>
      <c r="X13548" s="2"/>
      <c r="Y13548" s="2"/>
      <c r="Z13548" s="2"/>
    </row>
    <row r="13549" spans="1:26" ht="16.5" x14ac:dyDescent="0.35">
      <c r="A13549" s="2" t="str">
        <f ca="1">IFERROR(__xludf.DUMMYFUNCTION("""COMPUTED_VALUE"""),"Sharjah")</f>
        <v>Sharjah</v>
      </c>
      <c r="B13549" s="2" t="str">
        <f ca="1">IFERROR(__xludf.DUMMYFUNCTION("""COMPUTED_VALUE"""),"Doha Tower")</f>
        <v>Doha Tower</v>
      </c>
      <c r="C13549" s="2"/>
      <c r="D13549" s="2" t="str">
        <f ca="1">IFERROR(__xludf.DUMMYFUNCTION("""COMPUTED_VALUE"""),"Sharjah&gt;Al Mamzar&gt;Doha Tower")</f>
        <v>Sharjah&gt;Al Mamzar&gt;Doha Tower</v>
      </c>
      <c r="E13549" s="2"/>
      <c r="F13549" s="2"/>
      <c r="G13549" s="2"/>
      <c r="H13549" s="2"/>
      <c r="I13549" s="2"/>
      <c r="J13549" s="2"/>
      <c r="K13549" s="2"/>
      <c r="L13549" s="2"/>
      <c r="M13549" s="2"/>
      <c r="N13549" s="2"/>
      <c r="O13549" s="2"/>
      <c r="P13549" s="2"/>
      <c r="Q13549" s="2"/>
      <c r="R13549" s="2"/>
      <c r="S13549" s="2"/>
      <c r="T13549" s="2"/>
      <c r="U13549" s="2"/>
      <c r="V13549" s="2"/>
      <c r="W13549" s="2"/>
      <c r="X13549" s="2"/>
      <c r="Y13549" s="2"/>
      <c r="Z13549" s="2"/>
    </row>
    <row r="13550" spans="1:26" ht="16.5" x14ac:dyDescent="0.35">
      <c r="A13550" s="2" t="str">
        <f ca="1">IFERROR(__xludf.DUMMYFUNCTION("""COMPUTED_VALUE"""),"Sharjah")</f>
        <v>Sharjah</v>
      </c>
      <c r="B13550" s="2" t="str">
        <f ca="1">IFERROR(__xludf.DUMMYFUNCTION("""COMPUTED_VALUE"""),"Al Ghuwair")</f>
        <v>Al Ghuwair</v>
      </c>
      <c r="C13550" s="2" t="str">
        <f ca="1">IFERROR(__xludf.DUMMYFUNCTION("""COMPUTED_VALUE"""),"Neighbourhood")</f>
        <v>Neighbourhood</v>
      </c>
      <c r="D13550" s="2" t="str">
        <f ca="1">IFERROR(__xludf.DUMMYFUNCTION("""COMPUTED_VALUE"""),"Sharjah&gt;Al Ghuwair")</f>
        <v>Sharjah&gt;Al Ghuwair</v>
      </c>
      <c r="E13550" s="2"/>
      <c r="F13550" s="2"/>
      <c r="G13550" s="2"/>
      <c r="H13550" s="2"/>
      <c r="I13550" s="2"/>
      <c r="J13550" s="2"/>
      <c r="K13550" s="2"/>
      <c r="L13550" s="2"/>
      <c r="M13550" s="2"/>
      <c r="N13550" s="2"/>
      <c r="O13550" s="2"/>
      <c r="P13550" s="2"/>
      <c r="Q13550" s="2"/>
      <c r="R13550" s="2"/>
      <c r="S13550" s="2"/>
      <c r="T13550" s="2"/>
      <c r="U13550" s="2"/>
      <c r="V13550" s="2"/>
      <c r="W13550" s="2"/>
      <c r="X13550" s="2"/>
      <c r="Y13550" s="2"/>
      <c r="Z13550" s="2"/>
    </row>
    <row r="13551" spans="1:26" ht="16.5" x14ac:dyDescent="0.35">
      <c r="A13551" s="2" t="str">
        <f ca="1">IFERROR(__xludf.DUMMYFUNCTION("""COMPUTED_VALUE"""),"Sharjah")</f>
        <v>Sharjah</v>
      </c>
      <c r="B13551" s="2" t="str">
        <f ca="1">IFERROR(__xludf.DUMMYFUNCTION("""COMPUTED_VALUE"""),"Beaconhouse Al Khaleej International School")</f>
        <v>Beaconhouse Al Khaleej International School</v>
      </c>
      <c r="C13551" s="2" t="str">
        <f ca="1">IFERROR(__xludf.DUMMYFUNCTION("""COMPUTED_VALUE"""),"School")</f>
        <v>School</v>
      </c>
      <c r="D13551" s="2" t="str">
        <f ca="1">IFERROR(__xludf.DUMMYFUNCTION("""COMPUTED_VALUE"""),"Sharjah&gt;Al Azra&gt;Beaconhouse Al Khaleej International School")</f>
        <v>Sharjah&gt;Al Azra&gt;Beaconhouse Al Khaleej International School</v>
      </c>
      <c r="E13551" s="2"/>
      <c r="F13551" s="2"/>
      <c r="G13551" s="2"/>
      <c r="H13551" s="2"/>
      <c r="I13551" s="2"/>
      <c r="J13551" s="2"/>
      <c r="K13551" s="2"/>
      <c r="L13551" s="2"/>
      <c r="M13551" s="2"/>
      <c r="N13551" s="2"/>
      <c r="O13551" s="2"/>
      <c r="P13551" s="2"/>
      <c r="Q13551" s="2"/>
      <c r="R13551" s="2"/>
      <c r="S13551" s="2"/>
      <c r="T13551" s="2"/>
      <c r="U13551" s="2"/>
      <c r="V13551" s="2"/>
      <c r="W13551" s="2"/>
      <c r="X13551" s="2"/>
      <c r="Y13551" s="2"/>
      <c r="Z13551" s="2"/>
    </row>
    <row r="13552" spans="1:26" ht="16.5" x14ac:dyDescent="0.35">
      <c r="A13552" s="2" t="str">
        <f ca="1">IFERROR(__xludf.DUMMYFUNCTION("""COMPUTED_VALUE"""),"Sharjah")</f>
        <v>Sharjah</v>
      </c>
      <c r="B13552" s="2" t="str">
        <f ca="1">IFERROR(__xludf.DUMMYFUNCTION("""COMPUTED_VALUE"""),"Al Qulayaa Building")</f>
        <v>Al Qulayaa Building</v>
      </c>
      <c r="C13552" s="2" t="str">
        <f ca="1">IFERROR(__xludf.DUMMYFUNCTION("""COMPUTED_VALUE"""),"Building")</f>
        <v>Building</v>
      </c>
      <c r="D13552" s="2" t="str">
        <f ca="1">IFERROR(__xludf.DUMMYFUNCTION("""COMPUTED_VALUE"""),"Sharjah&gt;Al Qulayaah&gt;Al Qulayaa Building")</f>
        <v>Sharjah&gt;Al Qulayaah&gt;Al Qulayaa Building</v>
      </c>
      <c r="E13552" s="2"/>
      <c r="F13552" s="2"/>
      <c r="G13552" s="2"/>
      <c r="H13552" s="2"/>
      <c r="I13552" s="2"/>
      <c r="J13552" s="2"/>
      <c r="K13552" s="2"/>
      <c r="L13552" s="2"/>
      <c r="M13552" s="2"/>
      <c r="N13552" s="2"/>
      <c r="O13552" s="2"/>
      <c r="P13552" s="2"/>
      <c r="Q13552" s="2"/>
      <c r="R13552" s="2"/>
      <c r="S13552" s="2"/>
      <c r="T13552" s="2"/>
      <c r="U13552" s="2"/>
      <c r="V13552" s="2"/>
      <c r="W13552" s="2"/>
      <c r="X13552" s="2"/>
      <c r="Y13552" s="2"/>
      <c r="Z13552" s="2"/>
    </row>
    <row r="13553" spans="1:26" ht="16.5" x14ac:dyDescent="0.35">
      <c r="A13553" s="2" t="str">
        <f ca="1">IFERROR(__xludf.DUMMYFUNCTION("""COMPUTED_VALUE"""),"Sharjah")</f>
        <v>Sharjah</v>
      </c>
      <c r="B13553" s="2" t="str">
        <f ca="1">IFERROR(__xludf.DUMMYFUNCTION("""COMPUTED_VALUE"""),"Marji 1 Building")</f>
        <v>Marji 1 Building</v>
      </c>
      <c r="C13553" s="2"/>
      <c r="D13553" s="2" t="str">
        <f ca="1">IFERROR(__xludf.DUMMYFUNCTION("""COMPUTED_VALUE"""),"Sharjah&gt;Al Shuwaihean&gt;Marji 1 Building")</f>
        <v>Sharjah&gt;Al Shuwaihean&gt;Marji 1 Building</v>
      </c>
      <c r="E13553" s="2"/>
      <c r="F13553" s="2"/>
      <c r="G13553" s="2"/>
      <c r="H13553" s="2"/>
      <c r="I13553" s="2"/>
      <c r="J13553" s="2"/>
      <c r="K13553" s="2"/>
      <c r="L13553" s="2"/>
      <c r="M13553" s="2"/>
      <c r="N13553" s="2"/>
      <c r="O13553" s="2"/>
      <c r="P13553" s="2"/>
      <c r="Q13553" s="2"/>
      <c r="R13553" s="2"/>
      <c r="S13553" s="2"/>
      <c r="T13553" s="2"/>
      <c r="U13553" s="2"/>
      <c r="V13553" s="2"/>
      <c r="W13553" s="2"/>
      <c r="X13553" s="2"/>
      <c r="Y13553" s="2"/>
      <c r="Z13553" s="2"/>
    </row>
    <row r="13554" spans="1:26" ht="16.5" x14ac:dyDescent="0.35">
      <c r="A13554" s="2" t="str">
        <f ca="1">IFERROR(__xludf.DUMMYFUNCTION("""COMPUTED_VALUE"""),"Sharjah")</f>
        <v>Sharjah</v>
      </c>
      <c r="B13554" s="2" t="str">
        <f ca="1">IFERROR(__xludf.DUMMYFUNCTION("""COMPUTED_VALUE"""),"Al Rifa")</f>
        <v>Al Rifa</v>
      </c>
      <c r="C13554" s="2" t="str">
        <f ca="1">IFERROR(__xludf.DUMMYFUNCTION("""COMPUTED_VALUE"""),"Neighbourhood")</f>
        <v>Neighbourhood</v>
      </c>
      <c r="D13554" s="2" t="str">
        <f ca="1">IFERROR(__xludf.DUMMYFUNCTION("""COMPUTED_VALUE"""),"Sharjah&gt;Al Rifa")</f>
        <v>Sharjah&gt;Al Rifa</v>
      </c>
      <c r="E13554" s="2"/>
      <c r="F13554" s="2"/>
      <c r="G13554" s="2"/>
      <c r="H13554" s="2"/>
      <c r="I13554" s="2"/>
      <c r="J13554" s="2"/>
      <c r="K13554" s="2"/>
      <c r="L13554" s="2"/>
      <c r="M13554" s="2"/>
      <c r="N13554" s="2"/>
      <c r="O13554" s="2"/>
      <c r="P13554" s="2"/>
      <c r="Q13554" s="2"/>
      <c r="R13554" s="2"/>
      <c r="S13554" s="2"/>
      <c r="T13554" s="2"/>
      <c r="U13554" s="2"/>
      <c r="V13554" s="2"/>
      <c r="W13554" s="2"/>
      <c r="X13554" s="2"/>
      <c r="Y13554" s="2"/>
      <c r="Z13554" s="2"/>
    </row>
    <row r="13555" spans="1:26" ht="16.5" x14ac:dyDescent="0.35">
      <c r="A13555" s="2" t="str">
        <f ca="1">IFERROR(__xludf.DUMMYFUNCTION("""COMPUTED_VALUE"""),"Sharjah")</f>
        <v>Sharjah</v>
      </c>
      <c r="B13555" s="2" t="str">
        <f ca="1">IFERROR(__xludf.DUMMYFUNCTION("""COMPUTED_VALUE"""),"Al Abar")</f>
        <v>Al Abar</v>
      </c>
      <c r="C13555" s="2" t="str">
        <f ca="1">IFERROR(__xludf.DUMMYFUNCTION("""COMPUTED_VALUE"""),"Neighbourhood")</f>
        <v>Neighbourhood</v>
      </c>
      <c r="D13555" s="2" t="str">
        <f ca="1">IFERROR(__xludf.DUMMYFUNCTION("""COMPUTED_VALUE"""),"Sharjah&gt;Al Abar")</f>
        <v>Sharjah&gt;Al Abar</v>
      </c>
      <c r="E13555" s="2"/>
      <c r="F13555" s="2"/>
      <c r="G13555" s="2"/>
      <c r="H13555" s="2"/>
      <c r="I13555" s="2"/>
      <c r="J13555" s="2"/>
      <c r="K13555" s="2"/>
      <c r="L13555" s="2"/>
      <c r="M13555" s="2"/>
      <c r="N13555" s="2"/>
      <c r="O13555" s="2"/>
      <c r="P13555" s="2"/>
      <c r="Q13555" s="2"/>
      <c r="R13555" s="2"/>
      <c r="S13555" s="2"/>
      <c r="T13555" s="2"/>
      <c r="U13555" s="2"/>
      <c r="V13555" s="2"/>
      <c r="W13555" s="2"/>
      <c r="X13555" s="2"/>
      <c r="Y13555" s="2"/>
      <c r="Z13555" s="2"/>
    </row>
    <row r="13556" spans="1:26" ht="16.5" x14ac:dyDescent="0.35">
      <c r="A13556" s="2" t="str">
        <f ca="1">IFERROR(__xludf.DUMMYFUNCTION("""COMPUTED_VALUE"""),"Sharjah")</f>
        <v>Sharjah</v>
      </c>
      <c r="B13556" s="2" t="str">
        <f ca="1">IFERROR(__xludf.DUMMYFUNCTION("""COMPUTED_VALUE"""),"Oasis Villas")</f>
        <v>Oasis Villas</v>
      </c>
      <c r="C13556" s="2" t="str">
        <f ca="1">IFERROR(__xludf.DUMMYFUNCTION("""COMPUTED_VALUE"""),"Neighbourhood")</f>
        <v>Neighbourhood</v>
      </c>
      <c r="D13556" s="2" t="str">
        <f ca="1">IFERROR(__xludf.DUMMYFUNCTION("""COMPUTED_VALUE"""),"Sharjah&gt;Barashi&gt;Oasis Villas")</f>
        <v>Sharjah&gt;Barashi&gt;Oasis Villas</v>
      </c>
      <c r="E13556" s="2"/>
      <c r="F13556" s="2"/>
      <c r="G13556" s="2"/>
      <c r="H13556" s="2"/>
      <c r="I13556" s="2"/>
      <c r="J13556" s="2"/>
      <c r="K13556" s="2"/>
      <c r="L13556" s="2"/>
      <c r="M13556" s="2"/>
      <c r="N13556" s="2"/>
      <c r="O13556" s="2"/>
      <c r="P13556" s="2"/>
      <c r="Q13556" s="2"/>
      <c r="R13556" s="2"/>
      <c r="S13556" s="2"/>
      <c r="T13556" s="2"/>
      <c r="U13556" s="2"/>
      <c r="V13556" s="2"/>
      <c r="W13556" s="2"/>
      <c r="X13556" s="2"/>
      <c r="Y13556" s="2"/>
      <c r="Z13556" s="2"/>
    </row>
    <row r="13557" spans="1:26" ht="16.5" x14ac:dyDescent="0.35">
      <c r="A13557" s="2" t="str">
        <f ca="1">IFERROR(__xludf.DUMMYFUNCTION("""COMPUTED_VALUE"""),"Sharjah")</f>
        <v>Sharjah</v>
      </c>
      <c r="B13557" s="2" t="str">
        <f ca="1">IFERROR(__xludf.DUMMYFUNCTION("""COMPUTED_VALUE"""),"Ibrahim Rasool Building")</f>
        <v>Ibrahim Rasool Building</v>
      </c>
      <c r="C13557" s="2" t="str">
        <f ca="1">IFERROR(__xludf.DUMMYFUNCTION("""COMPUTED_VALUE"""),"Building")</f>
        <v>Building</v>
      </c>
      <c r="D13557" s="2" t="str">
        <f ca="1">IFERROR(__xludf.DUMMYFUNCTION("""COMPUTED_VALUE"""),"Sharjah&gt;Bu Tina&gt;Ibrahim Rasool Building")</f>
        <v>Sharjah&gt;Bu Tina&gt;Ibrahim Rasool Building</v>
      </c>
      <c r="E13557" s="2"/>
      <c r="F13557" s="2"/>
      <c r="G13557" s="2"/>
      <c r="H13557" s="2"/>
      <c r="I13557" s="2"/>
      <c r="J13557" s="2"/>
      <c r="K13557" s="2"/>
      <c r="L13557" s="2"/>
      <c r="M13557" s="2"/>
      <c r="N13557" s="2"/>
      <c r="O13557" s="2"/>
      <c r="P13557" s="2"/>
      <c r="Q13557" s="2"/>
      <c r="R13557" s="2"/>
      <c r="S13557" s="2"/>
      <c r="T13557" s="2"/>
      <c r="U13557" s="2"/>
      <c r="V13557" s="2"/>
      <c r="W13557" s="2"/>
      <c r="X13557" s="2"/>
      <c r="Y13557" s="2"/>
      <c r="Z13557" s="2"/>
    </row>
    <row r="13558" spans="1:26" ht="16.5" x14ac:dyDescent="0.35">
      <c r="A13558" s="2" t="str">
        <f ca="1">IFERROR(__xludf.DUMMYFUNCTION("""COMPUTED_VALUE"""),"Sharjah")</f>
        <v>Sharjah</v>
      </c>
      <c r="B13558" s="2" t="str">
        <f ca="1">IFERROR(__xludf.DUMMYFUNCTION("""COMPUTED_VALUE"""),"Al Khan 5 Tower")</f>
        <v>Al Khan 5 Tower</v>
      </c>
      <c r="C13558" s="2"/>
      <c r="D13558" s="2" t="str">
        <f ca="1">IFERROR(__xludf.DUMMYFUNCTION("""COMPUTED_VALUE"""),"Sharjah&gt;Al Khan&gt;Al Khan 5 Tower")</f>
        <v>Sharjah&gt;Al Khan&gt;Al Khan 5 Tower</v>
      </c>
      <c r="E13558" s="2"/>
      <c r="F13558" s="2"/>
      <c r="G13558" s="2"/>
      <c r="H13558" s="2"/>
      <c r="I13558" s="2"/>
      <c r="J13558" s="2"/>
      <c r="K13558" s="2"/>
      <c r="L13558" s="2"/>
      <c r="M13558" s="2"/>
      <c r="N13558" s="2"/>
      <c r="O13558" s="2"/>
      <c r="P13558" s="2"/>
      <c r="Q13558" s="2"/>
      <c r="R13558" s="2"/>
      <c r="S13558" s="2"/>
      <c r="T13558" s="2"/>
      <c r="U13558" s="2"/>
      <c r="V13558" s="2"/>
      <c r="W13558" s="2"/>
      <c r="X13558" s="2"/>
      <c r="Y13558" s="2"/>
      <c r="Z13558" s="2"/>
    </row>
    <row r="13559" spans="1:26" ht="16.5" x14ac:dyDescent="0.35">
      <c r="A13559" s="2" t="str">
        <f ca="1">IFERROR(__xludf.DUMMYFUNCTION("""COMPUTED_VALUE"""),"Sharjah")</f>
        <v>Sharjah</v>
      </c>
      <c r="B13559" s="2" t="str">
        <f ca="1">IFERROR(__xludf.DUMMYFUNCTION("""COMPUTED_VALUE"""),"Happy Home Building")</f>
        <v>Happy Home Building</v>
      </c>
      <c r="C13559" s="2"/>
      <c r="D13559" s="2" t="str">
        <f ca="1">IFERROR(__xludf.DUMMYFUNCTION("""COMPUTED_VALUE"""),"Sharjah&gt;Al Khan&gt;Happy Home Building")</f>
        <v>Sharjah&gt;Al Khan&gt;Happy Home Building</v>
      </c>
      <c r="E13559" s="2"/>
      <c r="F13559" s="2"/>
      <c r="G13559" s="2"/>
      <c r="H13559" s="2"/>
      <c r="I13559" s="2"/>
      <c r="J13559" s="2"/>
      <c r="K13559" s="2"/>
      <c r="L13559" s="2"/>
      <c r="M13559" s="2"/>
      <c r="N13559" s="2"/>
      <c r="O13559" s="2"/>
      <c r="P13559" s="2"/>
      <c r="Q13559" s="2"/>
      <c r="R13559" s="2"/>
      <c r="S13559" s="2"/>
      <c r="T13559" s="2"/>
      <c r="U13559" s="2"/>
      <c r="V13559" s="2"/>
      <c r="W13559" s="2"/>
      <c r="X13559" s="2"/>
      <c r="Y13559" s="2"/>
      <c r="Z13559" s="2"/>
    </row>
    <row r="13560" spans="1:26" ht="16.5" x14ac:dyDescent="0.35">
      <c r="A13560" s="2" t="str">
        <f ca="1">IFERROR(__xludf.DUMMYFUNCTION("""COMPUTED_VALUE"""),"Sharjah")</f>
        <v>Sharjah</v>
      </c>
      <c r="B13560" s="2" t="str">
        <f ca="1">IFERROR(__xludf.DUMMYFUNCTION("""COMPUTED_VALUE"""),"GEM Residences")</f>
        <v>GEM Residences</v>
      </c>
      <c r="C13560" s="2" t="str">
        <f ca="1">IFERROR(__xludf.DUMMYFUNCTION("""COMPUTED_VALUE"""),"Building")</f>
        <v>Building</v>
      </c>
      <c r="D13560" s="2" t="str">
        <f ca="1">IFERROR(__xludf.DUMMYFUNCTION("""COMPUTED_VALUE"""),"Sharjah&gt;Al Khan&gt;Maryam Island&gt;GEM Residences")</f>
        <v>Sharjah&gt;Al Khan&gt;Maryam Island&gt;GEM Residences</v>
      </c>
      <c r="E13560" s="2"/>
      <c r="F13560" s="2"/>
      <c r="G13560" s="2"/>
      <c r="H13560" s="2"/>
      <c r="I13560" s="2"/>
      <c r="J13560" s="2"/>
      <c r="K13560" s="2"/>
      <c r="L13560" s="2"/>
      <c r="M13560" s="2"/>
      <c r="N13560" s="2"/>
      <c r="O13560" s="2"/>
      <c r="P13560" s="2"/>
      <c r="Q13560" s="2"/>
      <c r="R13560" s="2"/>
      <c r="S13560" s="2"/>
      <c r="T13560" s="2"/>
      <c r="U13560" s="2"/>
      <c r="V13560" s="2"/>
      <c r="W13560" s="2"/>
      <c r="X13560" s="2"/>
      <c r="Y13560" s="2"/>
      <c r="Z13560" s="2"/>
    </row>
    <row r="13561" spans="1:26" ht="16.5" x14ac:dyDescent="0.35">
      <c r="A13561" s="2" t="str">
        <f ca="1">IFERROR(__xludf.DUMMYFUNCTION("""COMPUTED_VALUE"""),"Sharjah")</f>
        <v>Sharjah</v>
      </c>
      <c r="B13561" s="2" t="str">
        <f ca="1">IFERROR(__xludf.DUMMYFUNCTION("""COMPUTED_VALUE"""),"Tanafa")</f>
        <v>Tanafa</v>
      </c>
      <c r="C13561" s="2"/>
      <c r="D13561" s="2" t="str">
        <f ca="1">IFERROR(__xludf.DUMMYFUNCTION("""COMPUTED_VALUE"""),"Sharjah&gt;Al Khan&gt;Tanafa")</f>
        <v>Sharjah&gt;Al Khan&gt;Tanafa</v>
      </c>
      <c r="E13561" s="2"/>
      <c r="F13561" s="2"/>
      <c r="G13561" s="2"/>
      <c r="H13561" s="2"/>
      <c r="I13561" s="2"/>
      <c r="J13561" s="2"/>
      <c r="K13561" s="2"/>
      <c r="L13561" s="2"/>
      <c r="M13561" s="2"/>
      <c r="N13561" s="2"/>
      <c r="O13561" s="2"/>
      <c r="P13561" s="2"/>
      <c r="Q13561" s="2"/>
      <c r="R13561" s="2"/>
      <c r="S13561" s="2"/>
      <c r="T13561" s="2"/>
      <c r="U13561" s="2"/>
      <c r="V13561" s="2"/>
      <c r="W13561" s="2"/>
      <c r="X13561" s="2"/>
      <c r="Y13561" s="2"/>
      <c r="Z13561" s="2"/>
    </row>
    <row r="13562" spans="1:26" ht="16.5" x14ac:dyDescent="0.35">
      <c r="A13562" s="2" t="str">
        <f ca="1">IFERROR(__xludf.DUMMYFUNCTION("""COMPUTED_VALUE"""),"Sharjah")</f>
        <v>Sharjah</v>
      </c>
      <c r="B13562" s="2" t="str">
        <f ca="1">IFERROR(__xludf.DUMMYFUNCTION("""COMPUTED_VALUE"""),"Palm Tower 3")</f>
        <v>Palm Tower 3</v>
      </c>
      <c r="C13562" s="2" t="str">
        <f ca="1">IFERROR(__xludf.DUMMYFUNCTION("""COMPUTED_VALUE"""),"Building")</f>
        <v>Building</v>
      </c>
      <c r="D13562" s="2" t="str">
        <f ca="1">IFERROR(__xludf.DUMMYFUNCTION("""COMPUTED_VALUE"""),"Sharjah&gt;Al Majaz&gt;Al Majaz 2&gt;Palm Tower 3")</f>
        <v>Sharjah&gt;Al Majaz&gt;Al Majaz 2&gt;Palm Tower 3</v>
      </c>
      <c r="E13562" s="2"/>
      <c r="F13562" s="2"/>
      <c r="G13562" s="2"/>
      <c r="H13562" s="2"/>
      <c r="I13562" s="2"/>
      <c r="J13562" s="2"/>
      <c r="K13562" s="2"/>
      <c r="L13562" s="2"/>
      <c r="M13562" s="2"/>
      <c r="N13562" s="2"/>
      <c r="O13562" s="2"/>
      <c r="P13562" s="2"/>
      <c r="Q13562" s="2"/>
      <c r="R13562" s="2"/>
      <c r="S13562" s="2"/>
      <c r="T13562" s="2"/>
      <c r="U13562" s="2"/>
      <c r="V13562" s="2"/>
      <c r="W13562" s="2"/>
      <c r="X13562" s="2"/>
      <c r="Y13562" s="2"/>
      <c r="Z13562" s="2"/>
    </row>
    <row r="13563" spans="1:26" ht="16.5" x14ac:dyDescent="0.35">
      <c r="A13563" s="2" t="str">
        <f ca="1">IFERROR(__xludf.DUMMYFUNCTION("""COMPUTED_VALUE"""),"Sharjah")</f>
        <v>Sharjah</v>
      </c>
      <c r="B13563" s="2" t="str">
        <f ca="1">IFERROR(__xludf.DUMMYFUNCTION("""COMPUTED_VALUE"""),"Burj Muscat Building")</f>
        <v>Burj Muscat Building</v>
      </c>
      <c r="C13563" s="2"/>
      <c r="D13563" s="2" t="str">
        <f ca="1">IFERROR(__xludf.DUMMYFUNCTION("""COMPUTED_VALUE"""),"Sharjah&gt;Al Majaz&gt;Al Majaz 2&gt;Burj Muscat Building")</f>
        <v>Sharjah&gt;Al Majaz&gt;Al Majaz 2&gt;Burj Muscat Building</v>
      </c>
      <c r="E13563" s="2"/>
      <c r="F13563" s="2"/>
      <c r="G13563" s="2"/>
      <c r="H13563" s="2"/>
      <c r="I13563" s="2"/>
      <c r="J13563" s="2"/>
      <c r="K13563" s="2"/>
      <c r="L13563" s="2"/>
      <c r="M13563" s="2"/>
      <c r="N13563" s="2"/>
      <c r="O13563" s="2"/>
      <c r="P13563" s="2"/>
      <c r="Q13563" s="2"/>
      <c r="R13563" s="2"/>
      <c r="S13563" s="2"/>
      <c r="T13563" s="2"/>
      <c r="U13563" s="2"/>
      <c r="V13563" s="2"/>
      <c r="W13563" s="2"/>
      <c r="X13563" s="2"/>
      <c r="Y13563" s="2"/>
      <c r="Z13563" s="2"/>
    </row>
    <row r="13564" spans="1:26" ht="16.5" x14ac:dyDescent="0.35">
      <c r="A13564" s="2" t="str">
        <f ca="1">IFERROR(__xludf.DUMMYFUNCTION("""COMPUTED_VALUE"""),"Sharjah")</f>
        <v>Sharjah</v>
      </c>
      <c r="B13564" s="2" t="str">
        <f ca="1">IFERROR(__xludf.DUMMYFUNCTION("""COMPUTED_VALUE"""),"Khubaita Building")</f>
        <v>Khubaita Building</v>
      </c>
      <c r="C13564" s="2" t="str">
        <f ca="1">IFERROR(__xludf.DUMMYFUNCTION("""COMPUTED_VALUE"""),"Building")</f>
        <v>Building</v>
      </c>
      <c r="D13564" s="2" t="str">
        <f ca="1">IFERROR(__xludf.DUMMYFUNCTION("""COMPUTED_VALUE"""),"Sharjah&gt;Al Majaz&gt;Al Majaz 2&gt;Khubaita Building")</f>
        <v>Sharjah&gt;Al Majaz&gt;Al Majaz 2&gt;Khubaita Building</v>
      </c>
      <c r="E13564" s="2"/>
      <c r="F13564" s="2"/>
      <c r="G13564" s="2"/>
      <c r="H13564" s="2"/>
      <c r="I13564" s="2"/>
      <c r="J13564" s="2"/>
      <c r="K13564" s="2"/>
      <c r="L13564" s="2"/>
      <c r="M13564" s="2"/>
      <c r="N13564" s="2"/>
      <c r="O13564" s="2"/>
      <c r="P13564" s="2"/>
      <c r="Q13564" s="2"/>
      <c r="R13564" s="2"/>
      <c r="S13564" s="2"/>
      <c r="T13564" s="2"/>
      <c r="U13564" s="2"/>
      <c r="V13564" s="2"/>
      <c r="W13564" s="2"/>
      <c r="X13564" s="2"/>
      <c r="Y13564" s="2"/>
      <c r="Z13564" s="2"/>
    </row>
    <row r="13565" spans="1:26" ht="16.5" x14ac:dyDescent="0.35">
      <c r="A13565" s="2" t="str">
        <f ca="1">IFERROR(__xludf.DUMMYFUNCTION("""COMPUTED_VALUE"""),"Sharjah")</f>
        <v>Sharjah</v>
      </c>
      <c r="B13565" s="2" t="str">
        <f ca="1">IFERROR(__xludf.DUMMYFUNCTION("""COMPUTED_VALUE"""),"Al Faraj")</f>
        <v>Al Faraj</v>
      </c>
      <c r="C13565" s="2"/>
      <c r="D13565" s="2" t="str">
        <f ca="1">IFERROR(__xludf.DUMMYFUNCTION("""COMPUTED_VALUE"""),"Sharjah&gt;Al Majaz&gt;Al Majaz 3&gt;Al Faraj")</f>
        <v>Sharjah&gt;Al Majaz&gt;Al Majaz 3&gt;Al Faraj</v>
      </c>
      <c r="E13565" s="2"/>
      <c r="F13565" s="2"/>
      <c r="G13565" s="2"/>
      <c r="H13565" s="2"/>
      <c r="I13565" s="2"/>
      <c r="J13565" s="2"/>
      <c r="K13565" s="2"/>
      <c r="L13565" s="2"/>
      <c r="M13565" s="2"/>
      <c r="N13565" s="2"/>
      <c r="O13565" s="2"/>
      <c r="P13565" s="2"/>
      <c r="Q13565" s="2"/>
      <c r="R13565" s="2"/>
      <c r="S13565" s="2"/>
      <c r="T13565" s="2"/>
      <c r="U13565" s="2"/>
      <c r="V13565" s="2"/>
      <c r="W13565" s="2"/>
      <c r="X13565" s="2"/>
      <c r="Y13565" s="2"/>
      <c r="Z13565" s="2"/>
    </row>
    <row r="13566" spans="1:26" ht="16.5" x14ac:dyDescent="0.35">
      <c r="A13566" s="2" t="str">
        <f ca="1">IFERROR(__xludf.DUMMYFUNCTION("""COMPUTED_VALUE"""),"Sharjah")</f>
        <v>Sharjah</v>
      </c>
      <c r="B13566" s="2" t="str">
        <f ca="1">IFERROR(__xludf.DUMMYFUNCTION("""COMPUTED_VALUE"""),"Mashallah Building")</f>
        <v>Mashallah Building</v>
      </c>
      <c r="C13566" s="2"/>
      <c r="D13566" s="2" t="str">
        <f ca="1">IFERROR(__xludf.DUMMYFUNCTION("""COMPUTED_VALUE"""),"Sharjah&gt;Al Majaz&gt;Al Majaz 3&gt;Mashallah Building")</f>
        <v>Sharjah&gt;Al Majaz&gt;Al Majaz 3&gt;Mashallah Building</v>
      </c>
      <c r="E13566" s="2"/>
      <c r="F13566" s="2"/>
      <c r="G13566" s="2"/>
      <c r="H13566" s="2"/>
      <c r="I13566" s="2"/>
      <c r="J13566" s="2"/>
      <c r="K13566" s="2"/>
      <c r="L13566" s="2"/>
      <c r="M13566" s="2"/>
      <c r="N13566" s="2"/>
      <c r="O13566" s="2"/>
      <c r="P13566" s="2"/>
      <c r="Q13566" s="2"/>
      <c r="R13566" s="2"/>
      <c r="S13566" s="2"/>
      <c r="T13566" s="2"/>
      <c r="U13566" s="2"/>
      <c r="V13566" s="2"/>
      <c r="W13566" s="2"/>
      <c r="X13566" s="2"/>
      <c r="Y13566" s="2"/>
      <c r="Z13566" s="2"/>
    </row>
    <row r="13567" spans="1:26" ht="16.5" x14ac:dyDescent="0.35">
      <c r="A13567" s="2" t="str">
        <f ca="1">IFERROR(__xludf.DUMMYFUNCTION("""COMPUTED_VALUE"""),"Sharjah")</f>
        <v>Sharjah</v>
      </c>
      <c r="B13567" s="2" t="str">
        <f ca="1">IFERROR(__xludf.DUMMYFUNCTION("""COMPUTED_VALUE"""),"Al Almi Building")</f>
        <v>Al Almi Building</v>
      </c>
      <c r="C13567" s="2"/>
      <c r="D13567" s="2" t="str">
        <f ca="1">IFERROR(__xludf.DUMMYFUNCTION("""COMPUTED_VALUE"""),"Sharjah&gt;Al Majaz&gt;Al Majaz 1&gt;Al Almi Building")</f>
        <v>Sharjah&gt;Al Majaz&gt;Al Majaz 1&gt;Al Almi Building</v>
      </c>
      <c r="E13567" s="2"/>
      <c r="F13567" s="2"/>
      <c r="G13567" s="2"/>
      <c r="H13567" s="2"/>
      <c r="I13567" s="2"/>
      <c r="J13567" s="2"/>
      <c r="K13567" s="2"/>
      <c r="L13567" s="2"/>
      <c r="M13567" s="2"/>
      <c r="N13567" s="2"/>
      <c r="O13567" s="2"/>
      <c r="P13567" s="2"/>
      <c r="Q13567" s="2"/>
      <c r="R13567" s="2"/>
      <c r="S13567" s="2"/>
      <c r="T13567" s="2"/>
      <c r="U13567" s="2"/>
      <c r="V13567" s="2"/>
      <c r="W13567" s="2"/>
      <c r="X13567" s="2"/>
      <c r="Y13567" s="2"/>
      <c r="Z13567" s="2"/>
    </row>
    <row r="13568" spans="1:26" ht="16.5" x14ac:dyDescent="0.35">
      <c r="A13568" s="2" t="str">
        <f ca="1">IFERROR(__xludf.DUMMYFUNCTION("""COMPUTED_VALUE"""),"Sharjah")</f>
        <v>Sharjah</v>
      </c>
      <c r="B13568" s="2" t="str">
        <f ca="1">IFERROR(__xludf.DUMMYFUNCTION("""COMPUTED_VALUE"""),"Al Sajaa Industrial")</f>
        <v>Al Sajaa Industrial</v>
      </c>
      <c r="C13568" s="2" t="str">
        <f ca="1">IFERROR(__xludf.DUMMYFUNCTION("""COMPUTED_VALUE"""),"Neighbourhood")</f>
        <v>Neighbourhood</v>
      </c>
      <c r="D13568" s="2" t="str">
        <f ca="1">IFERROR(__xludf.DUMMYFUNCTION("""COMPUTED_VALUE"""),"Sharjah&gt;Al Sajaa Industrial")</f>
        <v>Sharjah&gt;Al Sajaa Industrial</v>
      </c>
      <c r="E13568" s="2"/>
      <c r="F13568" s="2"/>
      <c r="G13568" s="2"/>
      <c r="H13568" s="2"/>
      <c r="I13568" s="2"/>
      <c r="J13568" s="2"/>
      <c r="K13568" s="2"/>
      <c r="L13568" s="2"/>
      <c r="M13568" s="2"/>
      <c r="N13568" s="2"/>
      <c r="O13568" s="2"/>
      <c r="P13568" s="2"/>
      <c r="Q13568" s="2"/>
      <c r="R13568" s="2"/>
      <c r="S13568" s="2"/>
      <c r="T13568" s="2"/>
      <c r="U13568" s="2"/>
      <c r="V13568" s="2"/>
      <c r="W13568" s="2"/>
      <c r="X13568" s="2"/>
      <c r="Y13568" s="2"/>
      <c r="Z13568" s="2"/>
    </row>
    <row r="13569" spans="1:26" ht="16.5" x14ac:dyDescent="0.35">
      <c r="A13569" s="2" t="str">
        <f ca="1">IFERROR(__xludf.DUMMYFUNCTION("""COMPUTED_VALUE"""),"Sharjah")</f>
        <v>Sharjah</v>
      </c>
      <c r="B13569" s="2" t="str">
        <f ca="1">IFERROR(__xludf.DUMMYFUNCTION("""COMPUTED_VALUE"""),"Manazil Tower 5")</f>
        <v>Manazil Tower 5</v>
      </c>
      <c r="C13569" s="2" t="str">
        <f ca="1">IFERROR(__xludf.DUMMYFUNCTION("""COMPUTED_VALUE"""),"Building")</f>
        <v>Building</v>
      </c>
      <c r="D13569" s="2" t="str">
        <f ca="1">IFERROR(__xludf.DUMMYFUNCTION("""COMPUTED_VALUE"""),"Sharjah&gt;Al Taawun&gt;Manazil Tower 5")</f>
        <v>Sharjah&gt;Al Taawun&gt;Manazil Tower 5</v>
      </c>
      <c r="E13569" s="2"/>
      <c r="F13569" s="2"/>
      <c r="G13569" s="2"/>
      <c r="H13569" s="2"/>
      <c r="I13569" s="2"/>
      <c r="J13569" s="2"/>
      <c r="K13569" s="2"/>
      <c r="L13569" s="2"/>
      <c r="M13569" s="2"/>
      <c r="N13569" s="2"/>
      <c r="O13569" s="2"/>
      <c r="P13569" s="2"/>
      <c r="Q13569" s="2"/>
      <c r="R13569" s="2"/>
      <c r="S13569" s="2"/>
      <c r="T13569" s="2"/>
      <c r="U13569" s="2"/>
      <c r="V13569" s="2"/>
      <c r="W13569" s="2"/>
      <c r="X13569" s="2"/>
      <c r="Y13569" s="2"/>
      <c r="Z13569" s="2"/>
    </row>
    <row r="13570" spans="1:26" ht="16.5" x14ac:dyDescent="0.35">
      <c r="A13570" s="2" t="str">
        <f ca="1">IFERROR(__xludf.DUMMYFUNCTION("""COMPUTED_VALUE"""),"Sharjah")</f>
        <v>Sharjah</v>
      </c>
      <c r="B13570" s="2" t="str">
        <f ca="1">IFERROR(__xludf.DUMMYFUNCTION("""COMPUTED_VALUE"""),"Al Maha Tower A")</f>
        <v>Al Maha Tower A</v>
      </c>
      <c r="C13570" s="2" t="str">
        <f ca="1">IFERROR(__xludf.DUMMYFUNCTION("""COMPUTED_VALUE"""),"Building")</f>
        <v>Building</v>
      </c>
      <c r="D13570" s="2" t="str">
        <f ca="1">IFERROR(__xludf.DUMMYFUNCTION("""COMPUTED_VALUE"""),"Sharjah&gt;Al Taawun&gt;Al Maha Tower&gt;Al Maha Tower A")</f>
        <v>Sharjah&gt;Al Taawun&gt;Al Maha Tower&gt;Al Maha Tower A</v>
      </c>
      <c r="E13570" s="2"/>
      <c r="F13570" s="2"/>
      <c r="G13570" s="2"/>
      <c r="H13570" s="2"/>
      <c r="I13570" s="2"/>
      <c r="J13570" s="2"/>
      <c r="K13570" s="2"/>
      <c r="L13570" s="2"/>
      <c r="M13570" s="2"/>
      <c r="N13570" s="2"/>
      <c r="O13570" s="2"/>
      <c r="P13570" s="2"/>
      <c r="Q13570" s="2"/>
      <c r="R13570" s="2"/>
      <c r="S13570" s="2"/>
      <c r="T13570" s="2"/>
      <c r="U13570" s="2"/>
      <c r="V13570" s="2"/>
      <c r="W13570" s="2"/>
      <c r="X13570" s="2"/>
      <c r="Y13570" s="2"/>
      <c r="Z13570" s="2"/>
    </row>
    <row r="13571" spans="1:26" ht="16.5" x14ac:dyDescent="0.35">
      <c r="A13571" s="2" t="str">
        <f ca="1">IFERROR(__xludf.DUMMYFUNCTION("""COMPUTED_VALUE"""),"Sharjah")</f>
        <v>Sharjah</v>
      </c>
      <c r="B13571" s="2" t="str">
        <f ca="1">IFERROR(__xludf.DUMMYFUNCTION("""COMPUTED_VALUE"""),"Qalqilia 3 Building")</f>
        <v>Qalqilia 3 Building</v>
      </c>
      <c r="C13571" s="2"/>
      <c r="D13571" s="2" t="str">
        <f ca="1">IFERROR(__xludf.DUMMYFUNCTION("""COMPUTED_VALUE"""),"Sharjah&gt;Al Qasimia&gt;Al Nad&gt;Qalqilia 3 Building")</f>
        <v>Sharjah&gt;Al Qasimia&gt;Al Nad&gt;Qalqilia 3 Building</v>
      </c>
      <c r="E13571" s="2"/>
      <c r="F13571" s="2"/>
      <c r="G13571" s="2"/>
      <c r="H13571" s="2"/>
      <c r="I13571" s="2"/>
      <c r="J13571" s="2"/>
      <c r="K13571" s="2"/>
      <c r="L13571" s="2"/>
      <c r="M13571" s="2"/>
      <c r="N13571" s="2"/>
      <c r="O13571" s="2"/>
      <c r="P13571" s="2"/>
      <c r="Q13571" s="2"/>
      <c r="R13571" s="2"/>
      <c r="S13571" s="2"/>
      <c r="T13571" s="2"/>
      <c r="U13571" s="2"/>
      <c r="V13571" s="2"/>
      <c r="W13571" s="2"/>
      <c r="X13571" s="2"/>
      <c r="Y13571" s="2"/>
      <c r="Z13571" s="2"/>
    </row>
    <row r="13572" spans="1:26" ht="16.5" x14ac:dyDescent="0.35">
      <c r="A13572" s="2" t="str">
        <f ca="1">IFERROR(__xludf.DUMMYFUNCTION("""COMPUTED_VALUE"""),"Sharjah")</f>
        <v>Sharjah</v>
      </c>
      <c r="B13572" s="2" t="str">
        <f ca="1">IFERROR(__xludf.DUMMYFUNCTION("""COMPUTED_VALUE"""),"Bin Rashid Building")</f>
        <v>Bin Rashid Building</v>
      </c>
      <c r="C13572" s="2"/>
      <c r="D13572" s="2" t="str">
        <f ca="1">IFERROR(__xludf.DUMMYFUNCTION("""COMPUTED_VALUE"""),"Sharjah&gt;Al Qasimia&gt;Al Nad&gt;Bin Rashid Building")</f>
        <v>Sharjah&gt;Al Qasimia&gt;Al Nad&gt;Bin Rashid Building</v>
      </c>
      <c r="E13572" s="2"/>
      <c r="F13572" s="2"/>
      <c r="G13572" s="2"/>
      <c r="H13572" s="2"/>
      <c r="I13572" s="2"/>
      <c r="J13572" s="2"/>
      <c r="K13572" s="2"/>
      <c r="L13572" s="2"/>
      <c r="M13572" s="2"/>
      <c r="N13572" s="2"/>
      <c r="O13572" s="2"/>
      <c r="P13572" s="2"/>
      <c r="Q13572" s="2"/>
      <c r="R13572" s="2"/>
      <c r="S13572" s="2"/>
      <c r="T13572" s="2"/>
      <c r="U13572" s="2"/>
      <c r="V13572" s="2"/>
      <c r="W13572" s="2"/>
      <c r="X13572" s="2"/>
      <c r="Y13572" s="2"/>
      <c r="Z13572" s="2"/>
    </row>
    <row r="13573" spans="1:26" ht="16.5" x14ac:dyDescent="0.35">
      <c r="A13573" s="2" t="str">
        <f ca="1">IFERROR(__xludf.DUMMYFUNCTION("""COMPUTED_VALUE"""),"Sharjah")</f>
        <v>Sharjah</v>
      </c>
      <c r="B13573" s="2" t="str">
        <f ca="1">IFERROR(__xludf.DUMMYFUNCTION("""COMPUTED_VALUE"""),"Rayan 2")</f>
        <v>Rayan 2</v>
      </c>
      <c r="C13573" s="2"/>
      <c r="D13573" s="2" t="str">
        <f ca="1">IFERROR(__xludf.DUMMYFUNCTION("""COMPUTED_VALUE"""),"Sharjah&gt;Al Qasimia&gt;Al Nad&gt;Rayan 2")</f>
        <v>Sharjah&gt;Al Qasimia&gt;Al Nad&gt;Rayan 2</v>
      </c>
      <c r="E13573" s="2"/>
      <c r="F13573" s="2"/>
      <c r="G13573" s="2"/>
      <c r="H13573" s="2"/>
      <c r="I13573" s="2"/>
      <c r="J13573" s="2"/>
      <c r="K13573" s="2"/>
      <c r="L13573" s="2"/>
      <c r="M13573" s="2"/>
      <c r="N13573" s="2"/>
      <c r="O13573" s="2"/>
      <c r="P13573" s="2"/>
      <c r="Q13573" s="2"/>
      <c r="R13573" s="2"/>
      <c r="S13573" s="2"/>
      <c r="T13573" s="2"/>
      <c r="U13573" s="2"/>
      <c r="V13573" s="2"/>
      <c r="W13573" s="2"/>
      <c r="X13573" s="2"/>
      <c r="Y13573" s="2"/>
      <c r="Z13573" s="2"/>
    </row>
    <row r="13574" spans="1:26" ht="16.5" x14ac:dyDescent="0.35">
      <c r="A13574" s="2" t="str">
        <f ca="1">IFERROR(__xludf.DUMMYFUNCTION("""COMPUTED_VALUE"""),"Sharjah")</f>
        <v>Sharjah</v>
      </c>
      <c r="B13574" s="2" t="str">
        <f ca="1">IFERROR(__xludf.DUMMYFUNCTION("""COMPUTED_VALUE"""),"Al Nabba Building")</f>
        <v>Al Nabba Building</v>
      </c>
      <c r="C13574" s="2"/>
      <c r="D13574" s="2" t="str">
        <f ca="1">IFERROR(__xludf.DUMMYFUNCTION("""COMPUTED_VALUE"""),"Sharjah&gt;Al Nabba&gt;Al Nabba Building")</f>
        <v>Sharjah&gt;Al Nabba&gt;Al Nabba Building</v>
      </c>
      <c r="E13574" s="2"/>
      <c r="F13574" s="2"/>
      <c r="G13574" s="2"/>
      <c r="H13574" s="2"/>
      <c r="I13574" s="2"/>
      <c r="J13574" s="2"/>
      <c r="K13574" s="2"/>
      <c r="L13574" s="2"/>
      <c r="M13574" s="2"/>
      <c r="N13574" s="2"/>
      <c r="O13574" s="2"/>
      <c r="P13574" s="2"/>
      <c r="Q13574" s="2"/>
      <c r="R13574" s="2"/>
      <c r="S13574" s="2"/>
      <c r="T13574" s="2"/>
      <c r="U13574" s="2"/>
      <c r="V13574" s="2"/>
      <c r="W13574" s="2"/>
      <c r="X13574" s="2"/>
      <c r="Y13574" s="2"/>
      <c r="Z13574" s="2"/>
    </row>
    <row r="13575" spans="1:26" ht="16.5" x14ac:dyDescent="0.35">
      <c r="A13575" s="2" t="str">
        <f ca="1">IFERROR(__xludf.DUMMYFUNCTION("""COMPUTED_VALUE"""),"Sharjah")</f>
        <v>Sharjah</v>
      </c>
      <c r="B13575" s="2" t="str">
        <f ca="1">IFERROR(__xludf.DUMMYFUNCTION("""COMPUTED_VALUE"""),"Rotana Residency")</f>
        <v>Rotana Residency</v>
      </c>
      <c r="C13575" s="2"/>
      <c r="D13575" s="2" t="str">
        <f ca="1">IFERROR(__xludf.DUMMYFUNCTION("""COMPUTED_VALUE"""),"Sharjah&gt;Al Nabba&gt;Rotana Residency")</f>
        <v>Sharjah&gt;Al Nabba&gt;Rotana Residency</v>
      </c>
      <c r="E13575" s="2"/>
      <c r="F13575" s="2"/>
      <c r="G13575" s="2"/>
      <c r="H13575" s="2"/>
      <c r="I13575" s="2"/>
      <c r="J13575" s="2"/>
      <c r="K13575" s="2"/>
      <c r="L13575" s="2"/>
      <c r="M13575" s="2"/>
      <c r="N13575" s="2"/>
      <c r="O13575" s="2"/>
      <c r="P13575" s="2"/>
      <c r="Q13575" s="2"/>
      <c r="R13575" s="2"/>
      <c r="S13575" s="2"/>
      <c r="T13575" s="2"/>
      <c r="U13575" s="2"/>
      <c r="V13575" s="2"/>
      <c r="W13575" s="2"/>
      <c r="X13575" s="2"/>
      <c r="Y13575" s="2"/>
      <c r="Z13575" s="2"/>
    </row>
    <row r="13576" spans="1:26" ht="16.5" x14ac:dyDescent="0.35">
      <c r="A13576" s="2" t="str">
        <f ca="1">IFERROR(__xludf.DUMMYFUNCTION("""COMPUTED_VALUE"""),"Sharjah")</f>
        <v>Sharjah</v>
      </c>
      <c r="B13576" s="2" t="str">
        <f ca="1">IFERROR(__xludf.DUMMYFUNCTION("""COMPUTED_VALUE"""),"Sana Building")</f>
        <v>Sana Building</v>
      </c>
      <c r="C13576" s="2" t="str">
        <f ca="1">IFERROR(__xludf.DUMMYFUNCTION("""COMPUTED_VALUE"""),"Building")</f>
        <v>Building</v>
      </c>
      <c r="D13576" s="2" t="str">
        <f ca="1">IFERROR(__xludf.DUMMYFUNCTION("""COMPUTED_VALUE"""),"Sharjah&gt;Industrial Area&gt;Industrial Area 1&gt;Sana Building")</f>
        <v>Sharjah&gt;Industrial Area&gt;Industrial Area 1&gt;Sana Building</v>
      </c>
      <c r="E13576" s="2"/>
      <c r="F13576" s="2"/>
      <c r="G13576" s="2"/>
      <c r="H13576" s="2"/>
      <c r="I13576" s="2"/>
      <c r="J13576" s="2"/>
      <c r="K13576" s="2"/>
      <c r="L13576" s="2"/>
      <c r="M13576" s="2"/>
      <c r="N13576" s="2"/>
      <c r="O13576" s="2"/>
      <c r="P13576" s="2"/>
      <c r="Q13576" s="2"/>
      <c r="R13576" s="2"/>
      <c r="S13576" s="2"/>
      <c r="T13576" s="2"/>
      <c r="U13576" s="2"/>
      <c r="V13576" s="2"/>
      <c r="W13576" s="2"/>
      <c r="X13576" s="2"/>
      <c r="Y13576" s="2"/>
      <c r="Z13576" s="2"/>
    </row>
    <row r="13577" spans="1:26" ht="16.5" x14ac:dyDescent="0.35">
      <c r="A13577" s="2" t="str">
        <f ca="1">IFERROR(__xludf.DUMMYFUNCTION("""COMPUTED_VALUE"""),"Sharjah")</f>
        <v>Sharjah</v>
      </c>
      <c r="B13577" s="2" t="str">
        <f ca="1">IFERROR(__xludf.DUMMYFUNCTION("""COMPUTED_VALUE"""),"SW 2")</f>
        <v>SW 2</v>
      </c>
      <c r="C13577" s="2"/>
      <c r="D13577" s="2" t="str">
        <f ca="1">IFERROR(__xludf.DUMMYFUNCTION("""COMPUTED_VALUE"""),"Sharjah&gt;Muwaileh&gt;Al Mamsha&gt;Souks Residential&gt;SW 2")</f>
        <v>Sharjah&gt;Muwaileh&gt;Al Mamsha&gt;Souks Residential&gt;SW 2</v>
      </c>
      <c r="E13577" s="2"/>
      <c r="F13577" s="2"/>
      <c r="G13577" s="2"/>
      <c r="H13577" s="2"/>
      <c r="I13577" s="2"/>
      <c r="J13577" s="2"/>
      <c r="K13577" s="2"/>
      <c r="L13577" s="2"/>
      <c r="M13577" s="2"/>
      <c r="N13577" s="2"/>
      <c r="O13577" s="2"/>
      <c r="P13577" s="2"/>
      <c r="Q13577" s="2"/>
      <c r="R13577" s="2"/>
      <c r="S13577" s="2"/>
      <c r="T13577" s="2"/>
      <c r="U13577" s="2"/>
      <c r="V13577" s="2"/>
      <c r="W13577" s="2"/>
      <c r="X13577" s="2"/>
      <c r="Y13577" s="2"/>
      <c r="Z13577" s="2"/>
    </row>
    <row r="13578" spans="1:26" ht="16.5" x14ac:dyDescent="0.35">
      <c r="A13578" s="2" t="str">
        <f ca="1">IFERROR(__xludf.DUMMYFUNCTION("""COMPUTED_VALUE"""),"Sharjah")</f>
        <v>Sharjah</v>
      </c>
      <c r="B13578" s="2" t="str">
        <f ca="1">IFERROR(__xludf.DUMMYFUNCTION("""COMPUTED_VALUE"""),"Suroor 2")</f>
        <v>Suroor 2</v>
      </c>
      <c r="C13578" s="2" t="str">
        <f ca="1">IFERROR(__xludf.DUMMYFUNCTION("""COMPUTED_VALUE"""),"Building")</f>
        <v>Building</v>
      </c>
      <c r="D13578" s="2" t="str">
        <f ca="1">IFERROR(__xludf.DUMMYFUNCTION("""COMPUTED_VALUE"""),"Sharjah&gt;Muwaileh&gt;Al Mamsha&gt;Suroor&gt;Suroor 2")</f>
        <v>Sharjah&gt;Muwaileh&gt;Al Mamsha&gt;Suroor&gt;Suroor 2</v>
      </c>
      <c r="E13578" s="2"/>
      <c r="F13578" s="2"/>
      <c r="G13578" s="2"/>
      <c r="H13578" s="2"/>
      <c r="I13578" s="2"/>
      <c r="J13578" s="2"/>
      <c r="K13578" s="2"/>
      <c r="L13578" s="2"/>
      <c r="M13578" s="2"/>
      <c r="N13578" s="2"/>
      <c r="O13578" s="2"/>
      <c r="P13578" s="2"/>
      <c r="Q13578" s="2"/>
      <c r="R13578" s="2"/>
      <c r="S13578" s="2"/>
      <c r="T13578" s="2"/>
      <c r="U13578" s="2"/>
      <c r="V13578" s="2"/>
      <c r="W13578" s="2"/>
      <c r="X13578" s="2"/>
      <c r="Y13578" s="2"/>
      <c r="Z13578" s="2"/>
    </row>
    <row r="13579" spans="1:26" ht="16.5" x14ac:dyDescent="0.35">
      <c r="A13579" s="2" t="str">
        <f ca="1">IFERROR(__xludf.DUMMYFUNCTION("""COMPUTED_VALUE"""),"Sharjah")</f>
        <v>Sharjah</v>
      </c>
      <c r="B13579" s="2" t="str">
        <f ca="1">IFERROR(__xludf.DUMMYFUNCTION("""COMPUTED_VALUE"""),"Muwaileh Commercial")</f>
        <v>Muwaileh Commercial</v>
      </c>
      <c r="C13579" s="2" t="str">
        <f ca="1">IFERROR(__xludf.DUMMYFUNCTION("""COMPUTED_VALUE"""),"Neighbourhood")</f>
        <v>Neighbourhood</v>
      </c>
      <c r="D13579" s="2" t="str">
        <f ca="1">IFERROR(__xludf.DUMMYFUNCTION("""COMPUTED_VALUE"""),"Sharjah&gt;Muwaileh Commercial")</f>
        <v>Sharjah&gt;Muwaileh Commercial</v>
      </c>
      <c r="E13579" s="2"/>
      <c r="F13579" s="2"/>
      <c r="G13579" s="2"/>
      <c r="H13579" s="2"/>
      <c r="I13579" s="2"/>
      <c r="J13579" s="2"/>
      <c r="K13579" s="2"/>
      <c r="L13579" s="2"/>
      <c r="M13579" s="2"/>
      <c r="N13579" s="2"/>
      <c r="O13579" s="2"/>
      <c r="P13579" s="2"/>
      <c r="Q13579" s="2"/>
      <c r="R13579" s="2"/>
      <c r="S13579" s="2"/>
      <c r="T13579" s="2"/>
      <c r="U13579" s="2"/>
      <c r="V13579" s="2"/>
      <c r="W13579" s="2"/>
      <c r="X13579" s="2"/>
      <c r="Y13579" s="2"/>
      <c r="Z13579" s="2"/>
    </row>
    <row r="13580" spans="1:26" ht="16.5" x14ac:dyDescent="0.35">
      <c r="A13580" s="2" t="str">
        <f ca="1">IFERROR(__xludf.DUMMYFUNCTION("""COMPUTED_VALUE"""),"Sharjah")</f>
        <v>Sharjah</v>
      </c>
      <c r="B13580" s="2" t="str">
        <f ca="1">IFERROR(__xludf.DUMMYFUNCTION("""COMPUTED_VALUE"""),"Muwaileh 3 Building")</f>
        <v>Muwaileh 3 Building</v>
      </c>
      <c r="C13580" s="2" t="str">
        <f ca="1">IFERROR(__xludf.DUMMYFUNCTION("""COMPUTED_VALUE"""),"Building")</f>
        <v>Building</v>
      </c>
      <c r="D13580" s="2" t="str">
        <f ca="1">IFERROR(__xludf.DUMMYFUNCTION("""COMPUTED_VALUE"""),"Sharjah&gt;Muwaileh Commercial&gt;Muwaileh 3 Building")</f>
        <v>Sharjah&gt;Muwaileh Commercial&gt;Muwaileh 3 Building</v>
      </c>
      <c r="E13580" s="2"/>
      <c r="F13580" s="2"/>
      <c r="G13580" s="2"/>
      <c r="H13580" s="2"/>
      <c r="I13580" s="2"/>
      <c r="J13580" s="2"/>
      <c r="K13580" s="2"/>
      <c r="L13580" s="2"/>
      <c r="M13580" s="2"/>
      <c r="N13580" s="2"/>
      <c r="O13580" s="2"/>
      <c r="P13580" s="2"/>
      <c r="Q13580" s="2"/>
      <c r="R13580" s="2"/>
      <c r="S13580" s="2"/>
      <c r="T13580" s="2"/>
      <c r="U13580" s="2"/>
      <c r="V13580" s="2"/>
      <c r="W13580" s="2"/>
      <c r="X13580" s="2"/>
      <c r="Y13580" s="2"/>
      <c r="Z13580" s="2"/>
    </row>
    <row r="13581" spans="1:26" ht="16.5" x14ac:dyDescent="0.35">
      <c r="A13581" s="2" t="str">
        <f ca="1">IFERROR(__xludf.DUMMYFUNCTION("""COMPUTED_VALUE"""),"Sharjah")</f>
        <v>Sharjah</v>
      </c>
      <c r="B13581" s="2" t="str">
        <f ca="1">IFERROR(__xludf.DUMMYFUNCTION("""COMPUTED_VALUE"""),"Olfah 3")</f>
        <v>Olfah 3</v>
      </c>
      <c r="C13581" s="2" t="str">
        <f ca="1">IFERROR(__xludf.DUMMYFUNCTION("""COMPUTED_VALUE"""),"Building")</f>
        <v>Building</v>
      </c>
      <c r="D13581" s="2" t="str">
        <f ca="1">IFERROR(__xludf.DUMMYFUNCTION("""COMPUTED_VALUE"""),"Sharjah&gt;Muwaileh Commercial&gt;Olfah&gt;Olfah 3")</f>
        <v>Sharjah&gt;Muwaileh Commercial&gt;Olfah&gt;Olfah 3</v>
      </c>
      <c r="E13581" s="2"/>
      <c r="F13581" s="2"/>
      <c r="G13581" s="2"/>
      <c r="H13581" s="2"/>
      <c r="I13581" s="2"/>
      <c r="J13581" s="2"/>
      <c r="K13581" s="2"/>
      <c r="L13581" s="2"/>
      <c r="M13581" s="2"/>
      <c r="N13581" s="2"/>
      <c r="O13581" s="2"/>
      <c r="P13581" s="2"/>
      <c r="Q13581" s="2"/>
      <c r="R13581" s="2"/>
      <c r="S13581" s="2"/>
      <c r="T13581" s="2"/>
      <c r="U13581" s="2"/>
      <c r="V13581" s="2"/>
      <c r="W13581" s="2"/>
      <c r="X13581" s="2"/>
      <c r="Y13581" s="2"/>
      <c r="Z13581" s="2"/>
    </row>
    <row r="13582" spans="1:26" ht="16.5" x14ac:dyDescent="0.35">
      <c r="A13582" s="2" t="str">
        <f ca="1">IFERROR(__xludf.DUMMYFUNCTION("""COMPUTED_VALUE"""),"Sharjah")</f>
        <v>Sharjah</v>
      </c>
      <c r="B13582" s="2" t="str">
        <f ca="1">IFERROR(__xludf.DUMMYFUNCTION("""COMPUTED_VALUE"""),"Building 3055")</f>
        <v>Building 3055</v>
      </c>
      <c r="C13582" s="2" t="str">
        <f ca="1">IFERROR(__xludf.DUMMYFUNCTION("""COMPUTED_VALUE"""),"Building")</f>
        <v>Building</v>
      </c>
      <c r="D13582" s="2" t="str">
        <f ca="1">IFERROR(__xludf.DUMMYFUNCTION("""COMPUTED_VALUE"""),"Sharjah&gt;Muwaileh Commercial&gt;Building 3055")</f>
        <v>Sharjah&gt;Muwaileh Commercial&gt;Building 3055</v>
      </c>
      <c r="E13582" s="2"/>
      <c r="F13582" s="2"/>
      <c r="G13582" s="2"/>
      <c r="H13582" s="2"/>
      <c r="I13582" s="2"/>
      <c r="J13582" s="2"/>
      <c r="K13582" s="2"/>
      <c r="L13582" s="2"/>
      <c r="M13582" s="2"/>
      <c r="N13582" s="2"/>
      <c r="O13582" s="2"/>
      <c r="P13582" s="2"/>
      <c r="Q13582" s="2"/>
      <c r="R13582" s="2"/>
      <c r="S13582" s="2"/>
      <c r="T13582" s="2"/>
      <c r="U13582" s="2"/>
      <c r="V13582" s="2"/>
      <c r="W13582" s="2"/>
      <c r="X13582" s="2"/>
      <c r="Y13582" s="2"/>
      <c r="Z13582" s="2"/>
    </row>
    <row r="13583" spans="1:26" ht="16.5" x14ac:dyDescent="0.35">
      <c r="A13583" s="2" t="str">
        <f ca="1">IFERROR(__xludf.DUMMYFUNCTION("""COMPUTED_VALUE"""),"Al Ain")</f>
        <v>Al Ain</v>
      </c>
      <c r="B13583" s="2" t="str">
        <f ca="1">IFERROR(__xludf.DUMMYFUNCTION("""COMPUTED_VALUE"""),"Al Nayfa 2")</f>
        <v>Al Nayfa 2</v>
      </c>
      <c r="C13583" s="2"/>
      <c r="D13583" s="2" t="str">
        <f ca="1">IFERROR(__xludf.DUMMYFUNCTION("""COMPUTED_VALUE"""),"Al Ain&gt;Al Nayfa 2")</f>
        <v>Al Ain&gt;Al Nayfa 2</v>
      </c>
      <c r="E13583" s="2"/>
      <c r="F13583" s="2"/>
      <c r="G13583" s="2"/>
      <c r="H13583" s="2"/>
      <c r="I13583" s="2"/>
      <c r="J13583" s="2"/>
      <c r="K13583" s="2"/>
      <c r="L13583" s="2"/>
      <c r="M13583" s="2"/>
      <c r="N13583" s="2"/>
      <c r="O13583" s="2"/>
      <c r="P13583" s="2"/>
      <c r="Q13583" s="2"/>
      <c r="R13583" s="2"/>
      <c r="S13583" s="2"/>
      <c r="T13583" s="2"/>
      <c r="U13583" s="2"/>
      <c r="V13583" s="2"/>
      <c r="W13583" s="2"/>
      <c r="X13583" s="2"/>
      <c r="Y13583" s="2"/>
      <c r="Z13583" s="2"/>
    </row>
    <row r="13584" spans="1:26" ht="16.5" x14ac:dyDescent="0.35">
      <c r="A13584" s="2" t="str">
        <f ca="1">IFERROR(__xludf.DUMMYFUNCTION("""COMPUTED_VALUE"""),"Al Ain")</f>
        <v>Al Ain</v>
      </c>
      <c r="B13584" s="2" t="str">
        <f ca="1">IFERROR(__xludf.DUMMYFUNCTION("""COMPUTED_VALUE"""),"Civic Center")</f>
        <v>Civic Center</v>
      </c>
      <c r="C13584" s="2" t="str">
        <f ca="1">IFERROR(__xludf.DUMMYFUNCTION("""COMPUTED_VALUE"""),"Neighbourhood")</f>
        <v>Neighbourhood</v>
      </c>
      <c r="D13584" s="2" t="str">
        <f ca="1">IFERROR(__xludf.DUMMYFUNCTION("""COMPUTED_VALUE"""),"Al Ain&gt;Al Jimi&gt;Civic Center")</f>
        <v>Al Ain&gt;Al Jimi&gt;Civic Center</v>
      </c>
      <c r="E13584" s="2"/>
      <c r="F13584" s="2"/>
      <c r="G13584" s="2"/>
      <c r="H13584" s="2"/>
      <c r="I13584" s="2"/>
      <c r="J13584" s="2"/>
      <c r="K13584" s="2"/>
      <c r="L13584" s="2"/>
      <c r="M13584" s="2"/>
      <c r="N13584" s="2"/>
      <c r="O13584" s="2"/>
      <c r="P13584" s="2"/>
      <c r="Q13584" s="2"/>
      <c r="R13584" s="2"/>
      <c r="S13584" s="2"/>
      <c r="T13584" s="2"/>
      <c r="U13584" s="2"/>
      <c r="V13584" s="2"/>
      <c r="W13584" s="2"/>
      <c r="X13584" s="2"/>
      <c r="Y13584" s="2"/>
      <c r="Z13584" s="2"/>
    </row>
    <row r="13585" spans="1:26" ht="16.5" x14ac:dyDescent="0.35">
      <c r="A13585" s="2" t="str">
        <f ca="1">IFERROR(__xludf.DUMMYFUNCTION("""COMPUTED_VALUE"""),"Al Ain")</f>
        <v>Al Ain</v>
      </c>
      <c r="B13585" s="2" t="str">
        <f ca="1">IFERROR(__xludf.DUMMYFUNCTION("""COMPUTED_VALUE"""),"Sayh Nashash")</f>
        <v>Sayh Nashash</v>
      </c>
      <c r="C13585" s="2" t="str">
        <f ca="1">IFERROR(__xludf.DUMMYFUNCTION("""COMPUTED_VALUE"""),"Neighbourhood")</f>
        <v>Neighbourhood</v>
      </c>
      <c r="D13585" s="2" t="str">
        <f ca="1">IFERROR(__xludf.DUMMYFUNCTION("""COMPUTED_VALUE"""),"Al Ain&gt;Zakhir&gt;Sayh Nashash")</f>
        <v>Al Ain&gt;Zakhir&gt;Sayh Nashash</v>
      </c>
      <c r="E13585" s="2"/>
      <c r="F13585" s="2"/>
      <c r="G13585" s="2"/>
      <c r="H13585" s="2"/>
      <c r="I13585" s="2"/>
      <c r="J13585" s="2"/>
      <c r="K13585" s="2"/>
      <c r="L13585" s="2"/>
      <c r="M13585" s="2"/>
      <c r="N13585" s="2"/>
      <c r="O13585" s="2"/>
      <c r="P13585" s="2"/>
      <c r="Q13585" s="2"/>
      <c r="R13585" s="2"/>
      <c r="S13585" s="2"/>
      <c r="T13585" s="2"/>
      <c r="U13585" s="2"/>
      <c r="V13585" s="2"/>
      <c r="W13585" s="2"/>
      <c r="X13585" s="2"/>
      <c r="Y13585" s="2"/>
      <c r="Z13585" s="2"/>
    </row>
    <row r="13586" spans="1:26" ht="16.5" x14ac:dyDescent="0.35">
      <c r="A13586" s="2" t="str">
        <f ca="1">IFERROR(__xludf.DUMMYFUNCTION("""COMPUTED_VALUE"""),"Al Ain")</f>
        <v>Al Ain</v>
      </c>
      <c r="B13586" s="2" t="str">
        <f ca="1">IFERROR(__xludf.DUMMYFUNCTION("""COMPUTED_VALUE"""),"Al Ragayeb")</f>
        <v>Al Ragayeb</v>
      </c>
      <c r="C13586" s="2" t="str">
        <f ca="1">IFERROR(__xludf.DUMMYFUNCTION("""COMPUTED_VALUE"""),"Neighbourhood")</f>
        <v>Neighbourhood</v>
      </c>
      <c r="D13586" s="2" t="str">
        <f ca="1">IFERROR(__xludf.DUMMYFUNCTION("""COMPUTED_VALUE"""),"Al Ain&gt;Al Tiwayya&gt;Al Ragayeb")</f>
        <v>Al Ain&gt;Al Tiwayya&gt;Al Ragayeb</v>
      </c>
      <c r="E13586" s="2"/>
      <c r="F13586" s="2"/>
      <c r="G13586" s="2"/>
      <c r="H13586" s="2"/>
      <c r="I13586" s="2"/>
      <c r="J13586" s="2"/>
      <c r="K13586" s="2"/>
      <c r="L13586" s="2"/>
      <c r="M13586" s="2"/>
      <c r="N13586" s="2"/>
      <c r="O13586" s="2"/>
      <c r="P13586" s="2"/>
      <c r="Q13586" s="2"/>
      <c r="R13586" s="2"/>
      <c r="S13586" s="2"/>
      <c r="T13586" s="2"/>
      <c r="U13586" s="2"/>
      <c r="V13586" s="2"/>
      <c r="W13586" s="2"/>
      <c r="X13586" s="2"/>
      <c r="Y13586" s="2"/>
      <c r="Z13586" s="2"/>
    </row>
    <row r="13587" spans="1:26" ht="16.5" x14ac:dyDescent="0.35">
      <c r="A13587" s="2" t="str">
        <f ca="1">IFERROR(__xludf.DUMMYFUNCTION("""COMPUTED_VALUE"""),"Al Ain")</f>
        <v>Al Ain</v>
      </c>
      <c r="B13587" s="2" t="str">
        <f ca="1">IFERROR(__xludf.DUMMYFUNCTION("""COMPUTED_VALUE"""),"Hai Al Qalaa")</f>
        <v>Hai Al Qalaa</v>
      </c>
      <c r="C13587" s="2" t="str">
        <f ca="1">IFERROR(__xludf.DUMMYFUNCTION("""COMPUTED_VALUE"""),"Neighbourhood")</f>
        <v>Neighbourhood</v>
      </c>
      <c r="D13587" s="2" t="str">
        <f ca="1">IFERROR(__xludf.DUMMYFUNCTION("""COMPUTED_VALUE"""),"Al Ain&gt;Al Jahili&gt;Hai Al Qalaa")</f>
        <v>Al Ain&gt;Al Jahili&gt;Hai Al Qalaa</v>
      </c>
      <c r="E13587" s="2"/>
      <c r="F13587" s="2"/>
      <c r="G13587" s="2"/>
      <c r="H13587" s="2"/>
      <c r="I13587" s="2"/>
      <c r="J13587" s="2"/>
      <c r="K13587" s="2"/>
      <c r="L13587" s="2"/>
      <c r="M13587" s="2"/>
      <c r="N13587" s="2"/>
      <c r="O13587" s="2"/>
      <c r="P13587" s="2"/>
      <c r="Q13587" s="2"/>
      <c r="R13587" s="2"/>
      <c r="S13587" s="2"/>
      <c r="T13587" s="2"/>
      <c r="U13587" s="2"/>
      <c r="V13587" s="2"/>
      <c r="W13587" s="2"/>
      <c r="X13587" s="2"/>
      <c r="Y13587" s="2"/>
      <c r="Z13587" s="2"/>
    </row>
    <row r="13588" spans="1:26" ht="16.5" x14ac:dyDescent="0.35">
      <c r="A13588" s="2" t="str">
        <f ca="1">IFERROR(__xludf.DUMMYFUNCTION("""COMPUTED_VALUE"""),"Al Ain")</f>
        <v>Al Ain</v>
      </c>
      <c r="B13588" s="2" t="str">
        <f ca="1">IFERROR(__xludf.DUMMYFUNCTION("""COMPUTED_VALUE"""),"Al Qou'a")</f>
        <v>Al Qou'a</v>
      </c>
      <c r="C13588" s="2" t="str">
        <f ca="1">IFERROR(__xludf.DUMMYFUNCTION("""COMPUTED_VALUE"""),"Neighbourhood")</f>
        <v>Neighbourhood</v>
      </c>
      <c r="D13588" s="2" t="str">
        <f ca="1">IFERROR(__xludf.DUMMYFUNCTION("""COMPUTED_VALUE"""),"Al Ain&gt;Al Qou'a")</f>
        <v>Al Ain&gt;Al Qou'a</v>
      </c>
      <c r="E13588" s="2"/>
      <c r="F13588" s="2"/>
      <c r="G13588" s="2"/>
      <c r="H13588" s="2"/>
      <c r="I13588" s="2"/>
      <c r="J13588" s="2"/>
      <c r="K13588" s="2"/>
      <c r="L13588" s="2"/>
      <c r="M13588" s="2"/>
      <c r="N13588" s="2"/>
      <c r="O13588" s="2"/>
      <c r="P13588" s="2"/>
      <c r="Q13588" s="2"/>
      <c r="R13588" s="2"/>
      <c r="S13588" s="2"/>
      <c r="T13588" s="2"/>
      <c r="U13588" s="2"/>
      <c r="V13588" s="2"/>
      <c r="W13588" s="2"/>
      <c r="X13588" s="2"/>
      <c r="Y13588" s="2"/>
      <c r="Z13588" s="2"/>
    </row>
    <row r="13589" spans="1:26" ht="16.5" x14ac:dyDescent="0.35">
      <c r="A13589" s="2" t="str">
        <f ca="1">IFERROR(__xludf.DUMMYFUNCTION("""COMPUTED_VALUE"""),"Ras Al Khaimah")</f>
        <v>Ras Al Khaimah</v>
      </c>
      <c r="B13589" s="2" t="str">
        <f ca="1">IFERROR(__xludf.DUMMYFUNCTION("""COMPUTED_VALUE"""),"Granada")</f>
        <v>Granada</v>
      </c>
      <c r="C13589" s="2" t="str">
        <f ca="1">IFERROR(__xludf.DUMMYFUNCTION("""COMPUTED_VALUE"""),"Building")</f>
        <v>Building</v>
      </c>
      <c r="D13589" s="2" t="str">
        <f ca="1">IFERROR(__xludf.DUMMYFUNCTION("""COMPUTED_VALUE"""),"Ras Al Khaimah&gt;Mina Al Arab&gt;Granada")</f>
        <v>Ras Al Khaimah&gt;Mina Al Arab&gt;Granada</v>
      </c>
      <c r="E13589" s="2"/>
      <c r="F13589" s="2"/>
      <c r="G13589" s="2"/>
      <c r="H13589" s="2"/>
      <c r="I13589" s="2"/>
      <c r="J13589" s="2"/>
      <c r="K13589" s="2"/>
      <c r="L13589" s="2"/>
      <c r="M13589" s="2"/>
      <c r="N13589" s="2"/>
      <c r="O13589" s="2"/>
      <c r="P13589" s="2"/>
      <c r="Q13589" s="2"/>
      <c r="R13589" s="2"/>
      <c r="S13589" s="2"/>
      <c r="T13589" s="2"/>
      <c r="U13589" s="2"/>
      <c r="V13589" s="2"/>
      <c r="W13589" s="2"/>
      <c r="X13589" s="2"/>
      <c r="Y13589" s="2"/>
      <c r="Z13589" s="2"/>
    </row>
    <row r="13590" spans="1:26" ht="16.5" x14ac:dyDescent="0.35">
      <c r="A13590" s="2" t="str">
        <f ca="1">IFERROR(__xludf.DUMMYFUNCTION("""COMPUTED_VALUE"""),"Ras Al Khaimah")</f>
        <v>Ras Al Khaimah</v>
      </c>
      <c r="B13590" s="2" t="str">
        <f ca="1">IFERROR(__xludf.DUMMYFUNCTION("""COMPUTED_VALUE"""),"Al Mahra Resort")</f>
        <v>Al Mahra Resort</v>
      </c>
      <c r="C13590" s="2"/>
      <c r="D13590" s="2" t="str">
        <f ca="1">IFERROR(__xludf.DUMMYFUNCTION("""COMPUTED_VALUE"""),"Ras Al Khaimah&gt;Al Marjan Island&gt;Al Mahra Resort")</f>
        <v>Ras Al Khaimah&gt;Al Marjan Island&gt;Al Mahra Resort</v>
      </c>
      <c r="E13590" s="2"/>
      <c r="F13590" s="2"/>
      <c r="G13590" s="2"/>
      <c r="H13590" s="2"/>
      <c r="I13590" s="2"/>
      <c r="J13590" s="2"/>
      <c r="K13590" s="2"/>
      <c r="L13590" s="2"/>
      <c r="M13590" s="2"/>
      <c r="N13590" s="2"/>
      <c r="O13590" s="2"/>
      <c r="P13590" s="2"/>
      <c r="Q13590" s="2"/>
      <c r="R13590" s="2"/>
      <c r="S13590" s="2"/>
      <c r="T13590" s="2"/>
      <c r="U13590" s="2"/>
      <c r="V13590" s="2"/>
      <c r="W13590" s="2"/>
      <c r="X13590" s="2"/>
      <c r="Y13590" s="2"/>
      <c r="Z13590" s="2"/>
    </row>
    <row r="13591" spans="1:26" ht="16.5" x14ac:dyDescent="0.35">
      <c r="A13591" s="2" t="str">
        <f ca="1">IFERROR(__xludf.DUMMYFUNCTION("""COMPUTED_VALUE"""),"Ras Al Khaimah")</f>
        <v>Ras Al Khaimah</v>
      </c>
      <c r="B13591" s="2" t="str">
        <f ca="1">IFERROR(__xludf.DUMMYFUNCTION("""COMPUTED_VALUE"""),"The Unexpected Al Marjan Island Hotel and Residences")</f>
        <v>The Unexpected Al Marjan Island Hotel and Residences</v>
      </c>
      <c r="C13591" s="2" t="str">
        <f ca="1">IFERROR(__xludf.DUMMYFUNCTION("""COMPUTED_VALUE"""),"Building")</f>
        <v>Building</v>
      </c>
      <c r="D13591" s="2" t="str">
        <f ca="1">IFERROR(__xludf.DUMMYFUNCTION("""COMPUTED_VALUE"""),"Ras Al Khaimah&gt;Al Marjan Island&gt;The Unexpected Al Marjan Island Hotel and Residences")</f>
        <v>Ras Al Khaimah&gt;Al Marjan Island&gt;The Unexpected Al Marjan Island Hotel and Residences</v>
      </c>
      <c r="E13591" s="2"/>
      <c r="F13591" s="2"/>
      <c r="G13591" s="2"/>
      <c r="H13591" s="2"/>
      <c r="I13591" s="2"/>
      <c r="J13591" s="2"/>
      <c r="K13591" s="2"/>
      <c r="L13591" s="2"/>
      <c r="M13591" s="2"/>
      <c r="N13591" s="2"/>
      <c r="O13591" s="2"/>
      <c r="P13591" s="2"/>
      <c r="Q13591" s="2"/>
      <c r="R13591" s="2"/>
      <c r="S13591" s="2"/>
      <c r="T13591" s="2"/>
      <c r="U13591" s="2"/>
      <c r="V13591" s="2"/>
      <c r="W13591" s="2"/>
      <c r="X13591" s="2"/>
      <c r="Y13591" s="2"/>
      <c r="Z13591" s="2"/>
    </row>
    <row r="13592" spans="1:26" ht="16.5" x14ac:dyDescent="0.35">
      <c r="A13592" s="2" t="str">
        <f ca="1">IFERROR(__xludf.DUMMYFUNCTION("""COMPUTED_VALUE"""),"Ras Al Khaimah")</f>
        <v>Ras Al Khaimah</v>
      </c>
      <c r="B13592" s="2" t="str">
        <f ca="1">IFERROR(__xludf.DUMMYFUNCTION("""COMPUTED_VALUE"""),"Arthouse Residences")</f>
        <v>Arthouse Residences</v>
      </c>
      <c r="C13592" s="2" t="str">
        <f ca="1">IFERROR(__xludf.DUMMYFUNCTION("""COMPUTED_VALUE"""),"Building")</f>
        <v>Building</v>
      </c>
      <c r="D13592" s="2" t="str">
        <f ca="1">IFERROR(__xludf.DUMMYFUNCTION("""COMPUTED_VALUE"""),"Ras Al Khaimah&gt;Al Marjan Island&gt;Arthouse Residences")</f>
        <v>Ras Al Khaimah&gt;Al Marjan Island&gt;Arthouse Residences</v>
      </c>
      <c r="E13592" s="2"/>
      <c r="F13592" s="2"/>
      <c r="G13592" s="2"/>
      <c r="H13592" s="2"/>
      <c r="I13592" s="2"/>
      <c r="J13592" s="2"/>
      <c r="K13592" s="2"/>
      <c r="L13592" s="2"/>
      <c r="M13592" s="2"/>
      <c r="N13592" s="2"/>
      <c r="O13592" s="2"/>
      <c r="P13592" s="2"/>
      <c r="Q13592" s="2"/>
      <c r="R13592" s="2"/>
      <c r="S13592" s="2"/>
      <c r="T13592" s="2"/>
      <c r="U13592" s="2"/>
      <c r="V13592" s="2"/>
      <c r="W13592" s="2"/>
      <c r="X13592" s="2"/>
      <c r="Y13592" s="2"/>
      <c r="Z13592" s="2"/>
    </row>
    <row r="13593" spans="1:26" ht="16.5" x14ac:dyDescent="0.35">
      <c r="A13593" s="2" t="str">
        <f ca="1">IFERROR(__xludf.DUMMYFUNCTION("""COMPUTED_VALUE"""),"Ras Al Khaimah")</f>
        <v>Ras Al Khaimah</v>
      </c>
      <c r="B13593" s="2" t="str">
        <f ca="1">IFERROR(__xludf.DUMMYFUNCTION("""COMPUTED_VALUE"""),"Oceana")</f>
        <v>Oceana</v>
      </c>
      <c r="C13593" s="2" t="str">
        <f ca="1">IFERROR(__xludf.DUMMYFUNCTION("""COMPUTED_VALUE"""),"Building")</f>
        <v>Building</v>
      </c>
      <c r="D13593" s="2" t="str">
        <f ca="1">IFERROR(__xludf.DUMMYFUNCTION("""COMPUTED_VALUE"""),"Ras Al Khaimah&gt;Al Hamra Village&gt;Oceana")</f>
        <v>Ras Al Khaimah&gt;Al Hamra Village&gt;Oceana</v>
      </c>
      <c r="E13593" s="2"/>
      <c r="F13593" s="2"/>
      <c r="G13593" s="2"/>
      <c r="H13593" s="2"/>
      <c r="I13593" s="2"/>
      <c r="J13593" s="2"/>
      <c r="K13593" s="2"/>
      <c r="L13593" s="2"/>
      <c r="M13593" s="2"/>
      <c r="N13593" s="2"/>
      <c r="O13593" s="2"/>
      <c r="P13593" s="2"/>
      <c r="Q13593" s="2"/>
      <c r="R13593" s="2"/>
      <c r="S13593" s="2"/>
      <c r="T13593" s="2"/>
      <c r="U13593" s="2"/>
      <c r="V13593" s="2"/>
      <c r="W13593" s="2"/>
      <c r="X13593" s="2"/>
      <c r="Y13593" s="2"/>
      <c r="Z13593" s="2"/>
    </row>
    <row r="13594" spans="1:26" ht="16.5" x14ac:dyDescent="0.35">
      <c r="A13594" s="2" t="str">
        <f ca="1">IFERROR(__xludf.DUMMYFUNCTION("""COMPUTED_VALUE"""),"Ras Al Khaimah")</f>
        <v>Ras Al Khaimah</v>
      </c>
      <c r="B13594" s="2" t="str">
        <f ca="1">IFERROR(__xludf.DUMMYFUNCTION("""COMPUTED_VALUE"""),"Yasmin Village Building 9")</f>
        <v>Yasmin Village Building 9</v>
      </c>
      <c r="C13594" s="2" t="str">
        <f ca="1">IFERROR(__xludf.DUMMYFUNCTION("""COMPUTED_VALUE"""),"Building")</f>
        <v>Building</v>
      </c>
      <c r="D13594" s="2" t="str">
        <f ca="1">IFERROR(__xludf.DUMMYFUNCTION("""COMPUTED_VALUE"""),"Ras Al Khaimah&gt;Yasmin Village&gt;Yasmin Village Building 9")</f>
        <v>Ras Al Khaimah&gt;Yasmin Village&gt;Yasmin Village Building 9</v>
      </c>
      <c r="E13594" s="2"/>
      <c r="F13594" s="2"/>
      <c r="G13594" s="2"/>
      <c r="H13594" s="2"/>
      <c r="I13594" s="2"/>
      <c r="J13594" s="2"/>
      <c r="K13594" s="2"/>
      <c r="L13594" s="2"/>
      <c r="M13594" s="2"/>
      <c r="N13594" s="2"/>
      <c r="O13594" s="2"/>
      <c r="P13594" s="2"/>
      <c r="Q13594" s="2"/>
      <c r="R13594" s="2"/>
      <c r="S13594" s="2"/>
      <c r="T13594" s="2"/>
      <c r="U13594" s="2"/>
      <c r="V13594" s="2"/>
      <c r="W13594" s="2"/>
      <c r="X13594" s="2"/>
      <c r="Y13594" s="2"/>
      <c r="Z13594" s="2"/>
    </row>
    <row r="13595" spans="1:26" ht="16.5" x14ac:dyDescent="0.35">
      <c r="A13595" s="2" t="str">
        <f ca="1">IFERROR(__xludf.DUMMYFUNCTION("""COMPUTED_VALUE"""),"Ras Al Khaimah")</f>
        <v>Ras Al Khaimah</v>
      </c>
      <c r="B13595" s="2" t="str">
        <f ca="1">IFERROR(__xludf.DUMMYFUNCTION("""COMPUTED_VALUE"""),"Al Mamorah Building")</f>
        <v>Al Mamorah Building</v>
      </c>
      <c r="C13595" s="2" t="str">
        <f ca="1">IFERROR(__xludf.DUMMYFUNCTION("""COMPUTED_VALUE"""),"Building")</f>
        <v>Building</v>
      </c>
      <c r="D13595" s="2" t="str">
        <f ca="1">IFERROR(__xludf.DUMMYFUNCTION("""COMPUTED_VALUE"""),"Ras Al Khaimah&gt;Al Mamourah&gt;Al Mamorah Building")</f>
        <v>Ras Al Khaimah&gt;Al Mamourah&gt;Al Mamorah Building</v>
      </c>
      <c r="E13595" s="2"/>
      <c r="F13595" s="2"/>
      <c r="G13595" s="2"/>
      <c r="H13595" s="2"/>
      <c r="I13595" s="2"/>
      <c r="J13595" s="2"/>
      <c r="K13595" s="2"/>
      <c r="L13595" s="2"/>
      <c r="M13595" s="2"/>
      <c r="N13595" s="2"/>
      <c r="O13595" s="2"/>
      <c r="P13595" s="2"/>
      <c r="Q13595" s="2"/>
      <c r="R13595" s="2"/>
      <c r="S13595" s="2"/>
      <c r="T13595" s="2"/>
      <c r="U13595" s="2"/>
      <c r="V13595" s="2"/>
      <c r="W13595" s="2"/>
      <c r="X13595" s="2"/>
      <c r="Y13595" s="2"/>
      <c r="Z13595" s="2"/>
    </row>
    <row r="13596" spans="1:26" ht="16.5" x14ac:dyDescent="0.35">
      <c r="A13596" s="2" t="str">
        <f ca="1">IFERROR(__xludf.DUMMYFUNCTION("""COMPUTED_VALUE"""),"Ras Al Khaimah")</f>
        <v>Ras Al Khaimah</v>
      </c>
      <c r="B13596" s="2" t="str">
        <f ca="1">IFERROR(__xludf.DUMMYFUNCTION("""COMPUTED_VALUE"""),"Al Ghubb")</f>
        <v>Al Ghubb</v>
      </c>
      <c r="C13596" s="2" t="str">
        <f ca="1">IFERROR(__xludf.DUMMYFUNCTION("""COMPUTED_VALUE"""),"Neighbourhood")</f>
        <v>Neighbourhood</v>
      </c>
      <c r="D13596" s="2" t="str">
        <f ca="1">IFERROR(__xludf.DUMMYFUNCTION("""COMPUTED_VALUE"""),"Ras Al Khaimah&gt;Al Ghubb")</f>
        <v>Ras Al Khaimah&gt;Al Ghubb</v>
      </c>
      <c r="E13596" s="2"/>
      <c r="F13596" s="2"/>
      <c r="G13596" s="2"/>
      <c r="H13596" s="2"/>
      <c r="I13596" s="2"/>
      <c r="J13596" s="2"/>
      <c r="K13596" s="2"/>
      <c r="L13596" s="2"/>
      <c r="M13596" s="2"/>
      <c r="N13596" s="2"/>
      <c r="O13596" s="2"/>
      <c r="P13596" s="2"/>
      <c r="Q13596" s="2"/>
      <c r="R13596" s="2"/>
      <c r="S13596" s="2"/>
      <c r="T13596" s="2"/>
      <c r="U13596" s="2"/>
      <c r="V13596" s="2"/>
      <c r="W13596" s="2"/>
      <c r="X13596" s="2"/>
      <c r="Y13596" s="2"/>
      <c r="Z13596" s="2"/>
    </row>
    <row r="13597" spans="1:26" ht="16.5" x14ac:dyDescent="0.35">
      <c r="A13597" s="2" t="str">
        <f ca="1">IFERROR(__xludf.DUMMYFUNCTION("""COMPUTED_VALUE"""),"Ras Al Khaimah")</f>
        <v>Ras Al Khaimah</v>
      </c>
      <c r="B13597" s="2" t="str">
        <f ca="1">IFERROR(__xludf.DUMMYFUNCTION("""COMPUTED_VALUE"""),"Jisr 1 Building")</f>
        <v>Jisr 1 Building</v>
      </c>
      <c r="C13597" s="2" t="str">
        <f ca="1">IFERROR(__xludf.DUMMYFUNCTION("""COMPUTED_VALUE"""),"Building")</f>
        <v>Building</v>
      </c>
      <c r="D13597" s="2" t="str">
        <f ca="1">IFERROR(__xludf.DUMMYFUNCTION("""COMPUTED_VALUE"""),"Ras Al Khaimah&gt;Sidroh&gt;Jisr 1 Building")</f>
        <v>Ras Al Khaimah&gt;Sidroh&gt;Jisr 1 Building</v>
      </c>
      <c r="E13597" s="2"/>
      <c r="F13597" s="2"/>
      <c r="G13597" s="2"/>
      <c r="H13597" s="2"/>
      <c r="I13597" s="2"/>
      <c r="J13597" s="2"/>
      <c r="K13597" s="2"/>
      <c r="L13597" s="2"/>
      <c r="M13597" s="2"/>
      <c r="N13597" s="2"/>
      <c r="O13597" s="2"/>
      <c r="P13597" s="2"/>
      <c r="Q13597" s="2"/>
      <c r="R13597" s="2"/>
      <c r="S13597" s="2"/>
      <c r="T13597" s="2"/>
      <c r="U13597" s="2"/>
      <c r="V13597" s="2"/>
      <c r="W13597" s="2"/>
      <c r="X13597" s="2"/>
      <c r="Y13597" s="2"/>
      <c r="Z13597" s="2"/>
    </row>
    <row r="13598" spans="1:26" ht="16.5" x14ac:dyDescent="0.35">
      <c r="A13598" s="2" t="str">
        <f ca="1">IFERROR(__xludf.DUMMYFUNCTION("""COMPUTED_VALUE"""),"Umm Al Quwain")</f>
        <v>Umm Al Quwain</v>
      </c>
      <c r="B13598" s="2" t="str">
        <f ca="1">IFERROR(__xludf.DUMMYFUNCTION("""COMPUTED_VALUE"""),"ADIB Buildin")</f>
        <v>ADIB Buildin</v>
      </c>
      <c r="C13598" s="2"/>
      <c r="D13598" s="2" t="str">
        <f ca="1">IFERROR(__xludf.DUMMYFUNCTION("""COMPUTED_VALUE"""),"Umm Al Quwain&gt;Green Belt&gt;ADIB Buildin")</f>
        <v>Umm Al Quwain&gt;Green Belt&gt;ADIB Buildin</v>
      </c>
      <c r="E13598" s="2"/>
      <c r="F13598" s="2"/>
      <c r="G13598" s="2"/>
      <c r="H13598" s="2"/>
      <c r="I13598" s="2"/>
      <c r="J13598" s="2"/>
      <c r="K13598" s="2"/>
      <c r="L13598" s="2"/>
      <c r="M13598" s="2"/>
      <c r="N13598" s="2"/>
      <c r="O13598" s="2"/>
      <c r="P13598" s="2"/>
      <c r="Q13598" s="2"/>
      <c r="R13598" s="2"/>
      <c r="S13598" s="2"/>
      <c r="T13598" s="2"/>
      <c r="U13598" s="2"/>
      <c r="V13598" s="2"/>
      <c r="W13598" s="2"/>
      <c r="X13598" s="2"/>
      <c r="Y13598" s="2"/>
      <c r="Z13598" s="2"/>
    </row>
    <row r="13599" spans="1:26" ht="16.5" x14ac:dyDescent="0.35">
      <c r="A13599" s="2" t="str">
        <f ca="1">IFERROR(__xludf.DUMMYFUNCTION("""COMPUTED_VALUE"""),"Umm Al Quwain")</f>
        <v>Umm Al Quwain</v>
      </c>
      <c r="B13599" s="2" t="str">
        <f ca="1">IFERROR(__xludf.DUMMYFUNCTION("""COMPUTED_VALUE"""),"Al Salam City")</f>
        <v>Al Salam City</v>
      </c>
      <c r="C13599" s="2"/>
      <c r="D13599" s="2" t="str">
        <f ca="1">IFERROR(__xludf.DUMMYFUNCTION("""COMPUTED_VALUE"""),"Umm Al Quwain&gt;Al Salam City")</f>
        <v>Umm Al Quwain&gt;Al Salam City</v>
      </c>
      <c r="E13599" s="2"/>
      <c r="F13599" s="2"/>
      <c r="G13599" s="2"/>
      <c r="H13599" s="2"/>
      <c r="I13599" s="2"/>
      <c r="J13599" s="2"/>
      <c r="K13599" s="2"/>
      <c r="L13599" s="2"/>
      <c r="M13599" s="2"/>
      <c r="N13599" s="2"/>
      <c r="O13599" s="2"/>
      <c r="P13599" s="2"/>
      <c r="Q13599" s="2"/>
      <c r="R13599" s="2"/>
      <c r="S13599" s="2"/>
      <c r="T13599" s="2"/>
      <c r="U13599" s="2"/>
      <c r="V13599" s="2"/>
      <c r="W13599" s="2"/>
      <c r="X13599" s="2"/>
      <c r="Y13599" s="2"/>
      <c r="Z13599" s="2"/>
    </row>
    <row r="13600" spans="1:26" ht="16.5" x14ac:dyDescent="0.35">
      <c r="A13600" s="2" t="str">
        <f ca="1">IFERROR(__xludf.DUMMYFUNCTION("""COMPUTED_VALUE"""),"Umm Al Quwain")</f>
        <v>Umm Al Quwain</v>
      </c>
      <c r="B13600" s="2" t="str">
        <f ca="1">IFERROR(__xludf.DUMMYFUNCTION("""COMPUTED_VALUE"""),"Coraline Beach Residences")</f>
        <v>Coraline Beach Residences</v>
      </c>
      <c r="C13600" s="2" t="str">
        <f ca="1">IFERROR(__xludf.DUMMYFUNCTION("""COMPUTED_VALUE"""),"Building")</f>
        <v>Building</v>
      </c>
      <c r="D13600" s="2" t="str">
        <f ca="1">IFERROR(__xludf.DUMMYFUNCTION("""COMPUTED_VALUE"""),"Umm Al Quwain&gt;Al Seanneeah&gt;Sobha Siniya Island&gt;Coraline Beach Residences")</f>
        <v>Umm Al Quwain&gt;Al Seanneeah&gt;Sobha Siniya Island&gt;Coraline Beach Residences</v>
      </c>
      <c r="E13600" s="2"/>
      <c r="F13600" s="2"/>
      <c r="G13600" s="2"/>
      <c r="H13600" s="2"/>
      <c r="I13600" s="2"/>
      <c r="J13600" s="2"/>
      <c r="K13600" s="2"/>
      <c r="L13600" s="2"/>
      <c r="M13600" s="2"/>
      <c r="N13600" s="2"/>
      <c r="O13600" s="2"/>
      <c r="P13600" s="2"/>
      <c r="Q13600" s="2"/>
      <c r="R13600" s="2"/>
      <c r="S13600" s="2"/>
      <c r="T13600" s="2"/>
      <c r="U13600" s="2"/>
      <c r="V13600" s="2"/>
      <c r="W13600" s="2"/>
      <c r="X13600" s="2"/>
      <c r="Y13600" s="2"/>
      <c r="Z13600" s="2"/>
    </row>
    <row r="13601" spans="1:26" ht="16.5" x14ac:dyDescent="0.35">
      <c r="A13601" s="2" t="str">
        <f ca="1">IFERROR(__xludf.DUMMYFUNCTION("""COMPUTED_VALUE"""),"Umm Al Quwain")</f>
        <v>Umm Al Quwain</v>
      </c>
      <c r="B13601" s="2" t="str">
        <f ca="1">IFERROR(__xludf.DUMMYFUNCTION("""COMPUTED_VALUE"""),"Yachtside Marina Residences Tower C")</f>
        <v>Yachtside Marina Residences Tower C</v>
      </c>
      <c r="C13601" s="2" t="str">
        <f ca="1">IFERROR(__xludf.DUMMYFUNCTION("""COMPUTED_VALUE"""),"Building")</f>
        <v>Building</v>
      </c>
      <c r="D13601" s="2" t="str">
        <f ca="1">IFERROR(__xludf.DUMMYFUNCTION("""COMPUTED_VALUE"""),"Umm Al Quwain&gt;Al Seanneeah&gt;Sobha Siniya Island&gt;Yachtside Marina Residences&gt;Yachtside Marina Residences Tower C")</f>
        <v>Umm Al Quwain&gt;Al Seanneeah&gt;Sobha Siniya Island&gt;Yachtside Marina Residences&gt;Yachtside Marina Residences Tower C</v>
      </c>
      <c r="E13601" s="2"/>
      <c r="F13601" s="2"/>
      <c r="G13601" s="2"/>
      <c r="H13601" s="2"/>
      <c r="I13601" s="2"/>
      <c r="J13601" s="2"/>
      <c r="K13601" s="2"/>
      <c r="L13601" s="2"/>
      <c r="M13601" s="2"/>
      <c r="N13601" s="2"/>
      <c r="O13601" s="2"/>
      <c r="P13601" s="2"/>
      <c r="Q13601" s="2"/>
      <c r="R13601" s="2"/>
      <c r="S13601" s="2"/>
      <c r="T13601" s="2"/>
      <c r="U13601" s="2"/>
      <c r="V13601" s="2"/>
      <c r="W13601" s="2"/>
      <c r="X13601" s="2"/>
      <c r="Y13601" s="2"/>
      <c r="Z13601" s="2"/>
    </row>
    <row r="13602" spans="1:26" ht="16.5" x14ac:dyDescent="0.35">
      <c r="A13602" s="2" t="str">
        <f ca="1">IFERROR(__xludf.DUMMYFUNCTION("""COMPUTED_VALUE"""),"Fujairah")</f>
        <v>Fujairah</v>
      </c>
      <c r="B13602" s="2" t="str">
        <f ca="1">IFERROR(__xludf.DUMMYFUNCTION("""COMPUTED_VALUE"""),"Clifton International Hotel")</f>
        <v>Clifton International Hotel</v>
      </c>
      <c r="C13602" s="2"/>
      <c r="D13602" s="2" t="str">
        <f ca="1">IFERROR(__xludf.DUMMYFUNCTION("""COMPUTED_VALUE"""),"Fujairah&gt;Hamad Bin Abdullah Road&gt;Clifton International Hotel")</f>
        <v>Fujairah&gt;Hamad Bin Abdullah Road&gt;Clifton International Hotel</v>
      </c>
      <c r="E13602" s="2"/>
      <c r="F13602" s="2"/>
      <c r="G13602" s="2"/>
      <c r="H13602" s="2"/>
      <c r="I13602" s="2"/>
      <c r="J13602" s="2"/>
      <c r="K13602" s="2"/>
      <c r="L13602" s="2"/>
      <c r="M13602" s="2"/>
      <c r="N13602" s="2"/>
      <c r="O13602" s="2"/>
      <c r="P13602" s="2"/>
      <c r="Q13602" s="2"/>
      <c r="R13602" s="2"/>
      <c r="S13602" s="2"/>
      <c r="T13602" s="2"/>
      <c r="U13602" s="2"/>
      <c r="V13602" s="2"/>
      <c r="W13602" s="2"/>
      <c r="X13602" s="2"/>
      <c r="Y13602" s="2"/>
      <c r="Z13602" s="2"/>
    </row>
    <row r="13603" spans="1:26" ht="16.5" x14ac:dyDescent="0.35">
      <c r="A13603" s="2" t="str">
        <f ca="1">IFERROR(__xludf.DUMMYFUNCTION("""COMPUTED_VALUE"""),"Fujairah")</f>
        <v>Fujairah</v>
      </c>
      <c r="B13603" s="2" t="str">
        <f ca="1">IFERROR(__xludf.DUMMYFUNCTION("""COMPUTED_VALUE"""),"Mattar Tower")</f>
        <v>Mattar Tower</v>
      </c>
      <c r="C13603" s="2" t="str">
        <f ca="1">IFERROR(__xludf.DUMMYFUNCTION("""COMPUTED_VALUE"""),"Building")</f>
        <v>Building</v>
      </c>
      <c r="D13603" s="2" t="str">
        <f ca="1">IFERROR(__xludf.DUMMYFUNCTION("""COMPUTED_VALUE"""),"Fujairah&gt;Merashid Area&gt;Mattar Tower")</f>
        <v>Fujairah&gt;Merashid Area&gt;Mattar Tower</v>
      </c>
      <c r="E13603" s="2"/>
      <c r="F13603" s="2"/>
      <c r="G13603" s="2"/>
      <c r="H13603" s="2"/>
      <c r="I13603" s="2"/>
      <c r="J13603" s="2"/>
      <c r="K13603" s="2"/>
      <c r="L13603" s="2"/>
      <c r="M13603" s="2"/>
      <c r="N13603" s="2"/>
      <c r="O13603" s="2"/>
      <c r="P13603" s="2"/>
      <c r="Q13603" s="2"/>
      <c r="R13603" s="2"/>
      <c r="S13603" s="2"/>
      <c r="T13603" s="2"/>
      <c r="U13603" s="2"/>
      <c r="V13603" s="2"/>
      <c r="W13603" s="2"/>
      <c r="X13603" s="2"/>
      <c r="Y13603" s="2"/>
      <c r="Z13603" s="2"/>
    </row>
    <row r="13604" spans="1:26" ht="16.5" x14ac:dyDescent="0.35">
      <c r="A13604" s="2" t="str">
        <f ca="1">IFERROR(__xludf.DUMMYFUNCTION("""COMPUTED_VALUE"""),"Fujairah")</f>
        <v>Fujairah</v>
      </c>
      <c r="B13604" s="2" t="str">
        <f ca="1">IFERROR(__xludf.DUMMYFUNCTION("""COMPUTED_VALUE"""),"Royal M Hotel Fujairah by Gewan")</f>
        <v>Royal M Hotel Fujairah by Gewan</v>
      </c>
      <c r="C13604" s="2" t="str">
        <f ca="1">IFERROR(__xludf.DUMMYFUNCTION("""COMPUTED_VALUE"""),"Building")</f>
        <v>Building</v>
      </c>
      <c r="D13604" s="2" t="str">
        <f ca="1">IFERROR(__xludf.DUMMYFUNCTION("""COMPUTED_VALUE"""),"Fujairah&gt;Royal M Hotel Fujairah by Gewan")</f>
        <v>Fujairah&gt;Royal M Hotel Fujairah by Gewan</v>
      </c>
      <c r="E13604" s="2"/>
      <c r="F13604" s="2"/>
      <c r="G13604" s="2"/>
      <c r="H13604" s="2"/>
      <c r="I13604" s="2"/>
      <c r="J13604" s="2"/>
      <c r="K13604" s="2"/>
      <c r="L13604" s="2"/>
      <c r="M13604" s="2"/>
      <c r="N13604" s="2"/>
      <c r="O13604" s="2"/>
      <c r="P13604" s="2"/>
      <c r="Q13604" s="2"/>
      <c r="R13604" s="2"/>
      <c r="S13604" s="2"/>
      <c r="T13604" s="2"/>
      <c r="U13604" s="2"/>
      <c r="V13604" s="2"/>
      <c r="W13604" s="2"/>
      <c r="X13604" s="2"/>
      <c r="Y13604" s="2"/>
      <c r="Z13604" s="2"/>
    </row>
    <row r="13605" spans="1:26" ht="16.5" x14ac:dyDescent="0.35">
      <c r="A13605" s="2" t="str">
        <f ca="1">IFERROR(__xludf.DUMMYFUNCTION("""COMPUTED_VALUE"""),"Dubai")</f>
        <v>Dubai</v>
      </c>
      <c r="B13605" s="2" t="str">
        <f ca="1">IFERROR(__xludf.DUMMYFUNCTION("""COMPUTED_VALUE"""),"Gardenia")</f>
        <v>Gardenia</v>
      </c>
      <c r="C13605" s="2" t="str">
        <f ca="1">IFERROR(__xludf.DUMMYFUNCTION("""COMPUTED_VALUE"""),"Building")</f>
        <v>Building</v>
      </c>
      <c r="D13605" s="2" t="str">
        <f ca="1">IFERROR(__xludf.DUMMYFUNCTION("""COMPUTED_VALUE"""),"Dubai&gt;Za'abeel&gt;Za'abeel 2&gt;Al Murooj Complex&gt;Gardenia")</f>
        <v>Dubai&gt;Za'abeel&gt;Za'abeel 2&gt;Al Murooj Complex&gt;Gardenia</v>
      </c>
      <c r="E13605" s="2"/>
      <c r="F13605" s="2"/>
      <c r="G13605" s="2"/>
      <c r="H13605" s="2"/>
      <c r="I13605" s="2"/>
      <c r="J13605" s="2"/>
      <c r="K13605" s="2"/>
      <c r="L13605" s="2"/>
      <c r="M13605" s="2"/>
      <c r="N13605" s="2"/>
      <c r="O13605" s="2"/>
      <c r="P13605" s="2"/>
      <c r="Q13605" s="2"/>
      <c r="R13605" s="2"/>
      <c r="S13605" s="2"/>
      <c r="T13605" s="2"/>
      <c r="U13605" s="2"/>
      <c r="V13605" s="2"/>
      <c r="W13605" s="2"/>
      <c r="X13605" s="2"/>
      <c r="Y13605" s="2"/>
      <c r="Z13605" s="2"/>
    </row>
    <row r="13606" spans="1:26" ht="16.5" x14ac:dyDescent="0.35">
      <c r="A13606" s="2" t="str">
        <f ca="1">IFERROR(__xludf.DUMMYFUNCTION("""COMPUTED_VALUE"""),"Dubai")</f>
        <v>Dubai</v>
      </c>
      <c r="B13606" s="2" t="str">
        <f ca="1">IFERROR(__xludf.DUMMYFUNCTION("""COMPUTED_VALUE"""),"Samari Residences 9")</f>
        <v>Samari Residences 9</v>
      </c>
      <c r="C13606" s="2" t="str">
        <f ca="1">IFERROR(__xludf.DUMMYFUNCTION("""COMPUTED_VALUE"""),"Building")</f>
        <v>Building</v>
      </c>
      <c r="D13606" s="2" t="str">
        <f ca="1">IFERROR(__xludf.DUMMYFUNCTION("""COMPUTED_VALUE"""),"Dubai&gt;Ras Al Khor&gt;Ras Al Khor Industrial&gt;Ras Al Khor Industrial 3&gt;Samari Residences&gt;Samari Residences 9")</f>
        <v>Dubai&gt;Ras Al Khor&gt;Ras Al Khor Industrial&gt;Ras Al Khor Industrial 3&gt;Samari Residences&gt;Samari Residences 9</v>
      </c>
      <c r="E13606" s="2"/>
      <c r="F13606" s="2"/>
      <c r="G13606" s="2"/>
      <c r="H13606" s="2"/>
      <c r="I13606" s="2"/>
      <c r="J13606" s="2"/>
      <c r="K13606" s="2"/>
      <c r="L13606" s="2"/>
      <c r="M13606" s="2"/>
      <c r="N13606" s="2"/>
      <c r="O13606" s="2"/>
      <c r="P13606" s="2"/>
      <c r="Q13606" s="2"/>
      <c r="R13606" s="2"/>
      <c r="S13606" s="2"/>
      <c r="T13606" s="2"/>
      <c r="U13606" s="2"/>
      <c r="V13606" s="2"/>
      <c r="W13606" s="2"/>
      <c r="X13606" s="2"/>
      <c r="Y13606" s="2"/>
      <c r="Z13606" s="2"/>
    </row>
    <row r="13607" spans="1:26" ht="16.5" x14ac:dyDescent="0.35">
      <c r="A13607" s="2" t="str">
        <f ca="1">IFERROR(__xludf.DUMMYFUNCTION("""COMPUTED_VALUE"""),"Dubai")</f>
        <v>Dubai</v>
      </c>
      <c r="B13607" s="2" t="str">
        <f ca="1">IFERROR(__xludf.DUMMYFUNCTION("""COMPUTED_VALUE"""),"Suburbia Tower 2")</f>
        <v>Suburbia Tower 2</v>
      </c>
      <c r="C13607" s="2" t="str">
        <f ca="1">IFERROR(__xludf.DUMMYFUNCTION("""COMPUTED_VALUE"""),"Building")</f>
        <v>Building</v>
      </c>
      <c r="D13607" s="2" t="str">
        <f ca="1">IFERROR(__xludf.DUMMYFUNCTION("""COMPUTED_VALUE"""),"Dubai&gt;Jebel Ali&gt;Downtown Jebel Ali&gt;Suburbia&gt;Suburbia Tower 2")</f>
        <v>Dubai&gt;Jebel Ali&gt;Downtown Jebel Ali&gt;Suburbia&gt;Suburbia Tower 2</v>
      </c>
      <c r="E13607" s="2"/>
      <c r="F13607" s="2"/>
      <c r="G13607" s="2"/>
      <c r="H13607" s="2"/>
      <c r="I13607" s="2"/>
      <c r="J13607" s="2"/>
      <c r="K13607" s="2"/>
      <c r="L13607" s="2"/>
      <c r="M13607" s="2"/>
      <c r="N13607" s="2"/>
      <c r="O13607" s="2"/>
      <c r="P13607" s="2"/>
      <c r="Q13607" s="2"/>
      <c r="R13607" s="2"/>
      <c r="S13607" s="2"/>
      <c r="T13607" s="2"/>
      <c r="U13607" s="2"/>
      <c r="V13607" s="2"/>
      <c r="W13607" s="2"/>
      <c r="X13607" s="2"/>
      <c r="Y13607" s="2"/>
      <c r="Z13607" s="2"/>
    </row>
    <row r="13608" spans="1:26" ht="16.5" x14ac:dyDescent="0.35">
      <c r="A13608" s="2" t="str">
        <f ca="1">IFERROR(__xludf.DUMMYFUNCTION("""COMPUTED_VALUE"""),"Dubai")</f>
        <v>Dubai</v>
      </c>
      <c r="B13608" s="2" t="str">
        <f ca="1">IFERROR(__xludf.DUMMYFUNCTION("""COMPUTED_VALUE"""),"Garden View Villas")</f>
        <v>Garden View Villas</v>
      </c>
      <c r="C13608" s="2" t="str">
        <f ca="1">IFERROR(__xludf.DUMMYFUNCTION("""COMPUTED_VALUE"""),"Neighbourhood")</f>
        <v>Neighbourhood</v>
      </c>
      <c r="D13608" s="2" t="str">
        <f ca="1">IFERROR(__xludf.DUMMYFUNCTION("""COMPUTED_VALUE"""),"Dubai&gt;Jebel Ali&gt;Garden View Villas")</f>
        <v>Dubai&gt;Jebel Ali&gt;Garden View Villas</v>
      </c>
      <c r="E13608" s="2"/>
      <c r="F13608" s="2"/>
      <c r="G13608" s="2"/>
      <c r="H13608" s="2"/>
      <c r="I13608" s="2"/>
      <c r="J13608" s="2"/>
      <c r="K13608" s="2"/>
      <c r="L13608" s="2"/>
      <c r="M13608" s="2"/>
      <c r="N13608" s="2"/>
      <c r="O13608" s="2"/>
      <c r="P13608" s="2"/>
      <c r="Q13608" s="2"/>
      <c r="R13608" s="2"/>
      <c r="S13608" s="2"/>
      <c r="T13608" s="2"/>
      <c r="U13608" s="2"/>
      <c r="V13608" s="2"/>
      <c r="W13608" s="2"/>
      <c r="X13608" s="2"/>
      <c r="Y13608" s="2"/>
      <c r="Z13608" s="2"/>
    </row>
    <row r="13609" spans="1:26" ht="16.5" x14ac:dyDescent="0.35">
      <c r="A13609" s="2" t="str">
        <f ca="1">IFERROR(__xludf.DUMMYFUNCTION("""COMPUTED_VALUE"""),"Dubai")</f>
        <v>Dubai</v>
      </c>
      <c r="B13609" s="2" t="str">
        <f ca="1">IFERROR(__xludf.DUMMYFUNCTION("""COMPUTED_VALUE"""),"Toufiq Z")</f>
        <v>Toufiq Z</v>
      </c>
      <c r="C13609" s="2" t="str">
        <f ca="1">IFERROR(__xludf.DUMMYFUNCTION("""COMPUTED_VALUE"""),"Building")</f>
        <v>Building</v>
      </c>
      <c r="D13609" s="2" t="str">
        <f ca="1">IFERROR(__xludf.DUMMYFUNCTION("""COMPUTED_VALUE"""),"Dubai&gt;Nad Al Hamar&gt;Toufiq Z")</f>
        <v>Dubai&gt;Nad Al Hamar&gt;Toufiq Z</v>
      </c>
      <c r="E13609" s="2"/>
      <c r="F13609" s="2"/>
      <c r="G13609" s="2"/>
      <c r="H13609" s="2"/>
      <c r="I13609" s="2"/>
      <c r="J13609" s="2"/>
      <c r="K13609" s="2"/>
      <c r="L13609" s="2"/>
      <c r="M13609" s="2"/>
      <c r="N13609" s="2"/>
      <c r="O13609" s="2"/>
      <c r="P13609" s="2"/>
      <c r="Q13609" s="2"/>
      <c r="R13609" s="2"/>
      <c r="S13609" s="2"/>
      <c r="T13609" s="2"/>
      <c r="U13609" s="2"/>
      <c r="V13609" s="2"/>
      <c r="W13609" s="2"/>
      <c r="X13609" s="2"/>
      <c r="Y13609" s="2"/>
      <c r="Z13609" s="2"/>
    </row>
    <row r="13610" spans="1:26" ht="16.5" x14ac:dyDescent="0.35">
      <c r="A13610" s="2" t="str">
        <f ca="1">IFERROR(__xludf.DUMMYFUNCTION("""COMPUTED_VALUE"""),"Dubai")</f>
        <v>Dubai</v>
      </c>
      <c r="B13610" s="2" t="str">
        <f ca="1">IFERROR(__xludf.DUMMYFUNCTION("""COMPUTED_VALUE"""),"Saleh Building 1")</f>
        <v>Saleh Building 1</v>
      </c>
      <c r="C13610" s="2" t="str">
        <f ca="1">IFERROR(__xludf.DUMMYFUNCTION("""COMPUTED_VALUE"""),"Building")</f>
        <v>Building</v>
      </c>
      <c r="D13610" s="2" t="str">
        <f ca="1">IFERROR(__xludf.DUMMYFUNCTION("""COMPUTED_VALUE"""),"Dubai&gt;Nad Al Hamar&gt;Saleh Building 1")</f>
        <v>Dubai&gt;Nad Al Hamar&gt;Saleh Building 1</v>
      </c>
      <c r="E13610" s="2"/>
      <c r="F13610" s="2"/>
      <c r="G13610" s="2"/>
      <c r="H13610" s="2"/>
      <c r="I13610" s="2"/>
      <c r="J13610" s="2"/>
      <c r="K13610" s="2"/>
      <c r="L13610" s="2"/>
      <c r="M13610" s="2"/>
      <c r="N13610" s="2"/>
      <c r="O13610" s="2"/>
      <c r="P13610" s="2"/>
      <c r="Q13610" s="2"/>
      <c r="R13610" s="2"/>
      <c r="S13610" s="2"/>
      <c r="T13610" s="2"/>
      <c r="U13610" s="2"/>
      <c r="V13610" s="2"/>
      <c r="W13610" s="2"/>
      <c r="X13610" s="2"/>
      <c r="Y13610" s="2"/>
      <c r="Z13610" s="2"/>
    </row>
    <row r="13611" spans="1:26" ht="16.5" x14ac:dyDescent="0.35">
      <c r="A13611" s="2" t="str">
        <f ca="1">IFERROR(__xludf.DUMMYFUNCTION("""COMPUTED_VALUE"""),"Dubai")</f>
        <v>Dubai</v>
      </c>
      <c r="B13611" s="2" t="str">
        <f ca="1">IFERROR(__xludf.DUMMYFUNCTION("""COMPUTED_VALUE"""),"Al Bader Building")</f>
        <v>Al Bader Building</v>
      </c>
      <c r="C13611" s="2" t="str">
        <f ca="1">IFERROR(__xludf.DUMMYFUNCTION("""COMPUTED_VALUE"""),"Building")</f>
        <v>Building</v>
      </c>
      <c r="D13611" s="2" t="str">
        <f ca="1">IFERROR(__xludf.DUMMYFUNCTION("""COMPUTED_VALUE"""),"Dubai&gt;Al Barsha&gt;Al Barsha 1&gt;Al Bader Building")</f>
        <v>Dubai&gt;Al Barsha&gt;Al Barsha 1&gt;Al Bader Building</v>
      </c>
      <c r="E13611" s="2"/>
      <c r="F13611" s="2"/>
      <c r="G13611" s="2"/>
      <c r="H13611" s="2"/>
      <c r="I13611" s="2"/>
      <c r="J13611" s="2"/>
      <c r="K13611" s="2"/>
      <c r="L13611" s="2"/>
      <c r="M13611" s="2"/>
      <c r="N13611" s="2"/>
      <c r="O13611" s="2"/>
      <c r="P13611" s="2"/>
      <c r="Q13611" s="2"/>
      <c r="R13611" s="2"/>
      <c r="S13611" s="2"/>
      <c r="T13611" s="2"/>
      <c r="U13611" s="2"/>
      <c r="V13611" s="2"/>
      <c r="W13611" s="2"/>
      <c r="X13611" s="2"/>
      <c r="Y13611" s="2"/>
      <c r="Z13611" s="2"/>
    </row>
    <row r="13612" spans="1:26" ht="16.5" x14ac:dyDescent="0.35">
      <c r="A13612" s="2" t="str">
        <f ca="1">IFERROR(__xludf.DUMMYFUNCTION("""COMPUTED_VALUE"""),"Dubai")</f>
        <v>Dubai</v>
      </c>
      <c r="B13612" s="2" t="str">
        <f ca="1">IFERROR(__xludf.DUMMYFUNCTION("""COMPUTED_VALUE"""),"Loussane Building")</f>
        <v>Loussane Building</v>
      </c>
      <c r="C13612" s="2" t="str">
        <f ca="1">IFERROR(__xludf.DUMMYFUNCTION("""COMPUTED_VALUE"""),"Building")</f>
        <v>Building</v>
      </c>
      <c r="D13612" s="2" t="str">
        <f ca="1">IFERROR(__xludf.DUMMYFUNCTION("""COMPUTED_VALUE"""),"Dubai&gt;Al Barsha&gt;Al Barsha 1&gt;Loussane Building")</f>
        <v>Dubai&gt;Al Barsha&gt;Al Barsha 1&gt;Loussane Building</v>
      </c>
      <c r="E13612" s="2"/>
      <c r="F13612" s="2"/>
      <c r="G13612" s="2"/>
      <c r="H13612" s="2"/>
      <c r="I13612" s="2"/>
      <c r="J13612" s="2"/>
      <c r="K13612" s="2"/>
      <c r="L13612" s="2"/>
      <c r="M13612" s="2"/>
      <c r="N13612" s="2"/>
      <c r="O13612" s="2"/>
      <c r="P13612" s="2"/>
      <c r="Q13612" s="2"/>
      <c r="R13612" s="2"/>
      <c r="S13612" s="2"/>
      <c r="T13612" s="2"/>
      <c r="U13612" s="2"/>
      <c r="V13612" s="2"/>
      <c r="W13612" s="2"/>
      <c r="X13612" s="2"/>
      <c r="Y13612" s="2"/>
      <c r="Z13612" s="2"/>
    </row>
    <row r="13613" spans="1:26" ht="16.5" x14ac:dyDescent="0.35">
      <c r="A13613" s="2" t="str">
        <f ca="1">IFERROR(__xludf.DUMMYFUNCTION("""COMPUTED_VALUE"""),"Dubai")</f>
        <v>Dubai</v>
      </c>
      <c r="B13613" s="2" t="str">
        <f ca="1">IFERROR(__xludf.DUMMYFUNCTION("""COMPUTED_VALUE"""),"Blue Waves")</f>
        <v>Blue Waves</v>
      </c>
      <c r="C13613" s="2" t="str">
        <f ca="1">IFERROR(__xludf.DUMMYFUNCTION("""COMPUTED_VALUE"""),"Building")</f>
        <v>Building</v>
      </c>
      <c r="D13613" s="2" t="str">
        <f ca="1">IFERROR(__xludf.DUMMYFUNCTION("""COMPUTED_VALUE"""),"Dubai&gt;Al Barsha&gt;Al Barsha 1&gt;Blue Waves")</f>
        <v>Dubai&gt;Al Barsha&gt;Al Barsha 1&gt;Blue Waves</v>
      </c>
      <c r="E13613" s="2"/>
      <c r="F13613" s="2"/>
      <c r="G13613" s="2"/>
      <c r="H13613" s="2"/>
      <c r="I13613" s="2"/>
      <c r="J13613" s="2"/>
      <c r="K13613" s="2"/>
      <c r="L13613" s="2"/>
      <c r="M13613" s="2"/>
      <c r="N13613" s="2"/>
      <c r="O13613" s="2"/>
      <c r="P13613" s="2"/>
      <c r="Q13613" s="2"/>
      <c r="R13613" s="2"/>
      <c r="S13613" s="2"/>
      <c r="T13613" s="2"/>
      <c r="U13613" s="2"/>
      <c r="V13613" s="2"/>
      <c r="W13613" s="2"/>
      <c r="X13613" s="2"/>
      <c r="Y13613" s="2"/>
      <c r="Z13613" s="2"/>
    </row>
    <row r="13614" spans="1:26" ht="16.5" x14ac:dyDescent="0.35">
      <c r="A13614" s="2" t="str">
        <f ca="1">IFERROR(__xludf.DUMMYFUNCTION("""COMPUTED_VALUE"""),"Dubai")</f>
        <v>Dubai</v>
      </c>
      <c r="B13614" s="2" t="str">
        <f ca="1">IFERROR(__xludf.DUMMYFUNCTION("""COMPUTED_VALUE"""),"Rose Park Hotel")</f>
        <v>Rose Park Hotel</v>
      </c>
      <c r="C13614" s="2" t="str">
        <f ca="1">IFERROR(__xludf.DUMMYFUNCTION("""COMPUTED_VALUE"""),"Building")</f>
        <v>Building</v>
      </c>
      <c r="D13614" s="2" t="str">
        <f ca="1">IFERROR(__xludf.DUMMYFUNCTION("""COMPUTED_VALUE"""),"Dubai&gt;Al Barsha&gt;Al Barsha 1&gt;Rose Park Hotel")</f>
        <v>Dubai&gt;Al Barsha&gt;Al Barsha 1&gt;Rose Park Hotel</v>
      </c>
      <c r="E13614" s="2"/>
      <c r="F13614" s="2"/>
      <c r="G13614" s="2"/>
      <c r="H13614" s="2"/>
      <c r="I13614" s="2"/>
      <c r="J13614" s="2"/>
      <c r="K13614" s="2"/>
      <c r="L13614" s="2"/>
      <c r="M13614" s="2"/>
      <c r="N13614" s="2"/>
      <c r="O13614" s="2"/>
      <c r="P13614" s="2"/>
      <c r="Q13614" s="2"/>
      <c r="R13614" s="2"/>
      <c r="S13614" s="2"/>
      <c r="T13614" s="2"/>
      <c r="U13614" s="2"/>
      <c r="V13614" s="2"/>
      <c r="W13614" s="2"/>
      <c r="X13614" s="2"/>
      <c r="Y13614" s="2"/>
      <c r="Z13614" s="2"/>
    </row>
    <row r="13615" spans="1:26" ht="16.5" x14ac:dyDescent="0.35">
      <c r="A13615" s="2" t="str">
        <f ca="1">IFERROR(__xludf.DUMMYFUNCTION("""COMPUTED_VALUE"""),"Dubai")</f>
        <v>Dubai</v>
      </c>
      <c r="B13615" s="2" t="str">
        <f ca="1">IFERROR(__xludf.DUMMYFUNCTION("""COMPUTED_VALUE"""),"Golden Tulip Hotel Al Barsha")</f>
        <v>Golden Tulip Hotel Al Barsha</v>
      </c>
      <c r="C13615" s="2" t="str">
        <f ca="1">IFERROR(__xludf.DUMMYFUNCTION("""COMPUTED_VALUE"""),"Building")</f>
        <v>Building</v>
      </c>
      <c r="D13615" s="2" t="str">
        <f ca="1">IFERROR(__xludf.DUMMYFUNCTION("""COMPUTED_VALUE"""),"Dubai&gt;Al Barsha&gt;Al Barsha 1&gt;Golden Tulip Hotel Al Barsha")</f>
        <v>Dubai&gt;Al Barsha&gt;Al Barsha 1&gt;Golden Tulip Hotel Al Barsha</v>
      </c>
      <c r="E13615" s="2"/>
      <c r="F13615" s="2"/>
      <c r="G13615" s="2"/>
      <c r="H13615" s="2"/>
      <c r="I13615" s="2"/>
      <c r="J13615" s="2"/>
      <c r="K13615" s="2"/>
      <c r="L13615" s="2"/>
      <c r="M13615" s="2"/>
      <c r="N13615" s="2"/>
      <c r="O13615" s="2"/>
      <c r="P13615" s="2"/>
      <c r="Q13615" s="2"/>
      <c r="R13615" s="2"/>
      <c r="S13615" s="2"/>
      <c r="T13615" s="2"/>
      <c r="U13615" s="2"/>
      <c r="V13615" s="2"/>
      <c r="W13615" s="2"/>
      <c r="X13615" s="2"/>
      <c r="Y13615" s="2"/>
      <c r="Z13615" s="2"/>
    </row>
    <row r="13616" spans="1:26" ht="16.5" x14ac:dyDescent="0.35">
      <c r="A13616" s="2" t="str">
        <f ca="1">IFERROR(__xludf.DUMMYFUNCTION("""COMPUTED_VALUE"""),"Dubai")</f>
        <v>Dubai</v>
      </c>
      <c r="B13616" s="2" t="str">
        <f ca="1">IFERROR(__xludf.DUMMYFUNCTION("""COMPUTED_VALUE"""),"Sheikha Noora Building")</f>
        <v>Sheikha Noora Building</v>
      </c>
      <c r="C13616" s="2" t="str">
        <f ca="1">IFERROR(__xludf.DUMMYFUNCTION("""COMPUTED_VALUE"""),"Building")</f>
        <v>Building</v>
      </c>
      <c r="D13616" s="2" t="str">
        <f ca="1">IFERROR(__xludf.DUMMYFUNCTION("""COMPUTED_VALUE"""),"Dubai&gt;Al Barsha&gt;Al Barsha 1&gt;Sheikha Noora Building")</f>
        <v>Dubai&gt;Al Barsha&gt;Al Barsha 1&gt;Sheikha Noora Building</v>
      </c>
      <c r="E13616" s="2"/>
      <c r="F13616" s="2"/>
      <c r="G13616" s="2"/>
      <c r="H13616" s="2"/>
      <c r="I13616" s="2"/>
      <c r="J13616" s="2"/>
      <c r="K13616" s="2"/>
      <c r="L13616" s="2"/>
      <c r="M13616" s="2"/>
      <c r="N13616" s="2"/>
      <c r="O13616" s="2"/>
      <c r="P13616" s="2"/>
      <c r="Q13616" s="2"/>
      <c r="R13616" s="2"/>
      <c r="S13616" s="2"/>
      <c r="T13616" s="2"/>
      <c r="U13616" s="2"/>
      <c r="V13616" s="2"/>
      <c r="W13616" s="2"/>
      <c r="X13616" s="2"/>
      <c r="Y13616" s="2"/>
      <c r="Z13616" s="2"/>
    </row>
    <row r="13617" spans="1:26" ht="16.5" x14ac:dyDescent="0.35">
      <c r="A13617" s="2" t="str">
        <f ca="1">IFERROR(__xludf.DUMMYFUNCTION("""COMPUTED_VALUE"""),"Dubai")</f>
        <v>Dubai</v>
      </c>
      <c r="B13617" s="2" t="str">
        <f ca="1">IFERROR(__xludf.DUMMYFUNCTION("""COMPUTED_VALUE"""),"Al Salam Tower")</f>
        <v>Al Salam Tower</v>
      </c>
      <c r="C13617" s="2" t="str">
        <f ca="1">IFERROR(__xludf.DUMMYFUNCTION("""COMPUTED_VALUE"""),"Building")</f>
        <v>Building</v>
      </c>
      <c r="D13617" s="2" t="str">
        <f ca="1">IFERROR(__xludf.DUMMYFUNCTION("""COMPUTED_VALUE"""),"Dubai&gt;Al Barsha&gt;Al Barsha 1&gt;Al Salam Tower")</f>
        <v>Dubai&gt;Al Barsha&gt;Al Barsha 1&gt;Al Salam Tower</v>
      </c>
      <c r="E13617" s="2"/>
      <c r="F13617" s="2"/>
      <c r="G13617" s="2"/>
      <c r="H13617" s="2"/>
      <c r="I13617" s="2"/>
      <c r="J13617" s="2"/>
      <c r="K13617" s="2"/>
      <c r="L13617" s="2"/>
      <c r="M13617" s="2"/>
      <c r="N13617" s="2"/>
      <c r="O13617" s="2"/>
      <c r="P13617" s="2"/>
      <c r="Q13617" s="2"/>
      <c r="R13617" s="2"/>
      <c r="S13617" s="2"/>
      <c r="T13617" s="2"/>
      <c r="U13617" s="2"/>
      <c r="V13617" s="2"/>
      <c r="W13617" s="2"/>
      <c r="X13617" s="2"/>
      <c r="Y13617" s="2"/>
      <c r="Z13617" s="2"/>
    </row>
    <row r="13618" spans="1:26" ht="16.5" x14ac:dyDescent="0.35">
      <c r="A13618" s="2" t="str">
        <f ca="1">IFERROR(__xludf.DUMMYFUNCTION("""COMPUTED_VALUE"""),"Dubai")</f>
        <v>Dubai</v>
      </c>
      <c r="B13618" s="2" t="str">
        <f ca="1">IFERROR(__xludf.DUMMYFUNCTION("""COMPUTED_VALUE"""),"Al Waleed Palace 2")</f>
        <v>Al Waleed Palace 2</v>
      </c>
      <c r="C13618" s="2" t="str">
        <f ca="1">IFERROR(__xludf.DUMMYFUNCTION("""COMPUTED_VALUE"""),"Building")</f>
        <v>Building</v>
      </c>
      <c r="D13618" s="2" t="str">
        <f ca="1">IFERROR(__xludf.DUMMYFUNCTION("""COMPUTED_VALUE"""),"Dubai&gt;Al Barsha&gt;Al Barsha 1&gt;Al Waleed Palace 2")</f>
        <v>Dubai&gt;Al Barsha&gt;Al Barsha 1&gt;Al Waleed Palace 2</v>
      </c>
      <c r="E13618" s="2"/>
      <c r="F13618" s="2"/>
      <c r="G13618" s="2"/>
      <c r="H13618" s="2"/>
      <c r="I13618" s="2"/>
      <c r="J13618" s="2"/>
      <c r="K13618" s="2"/>
      <c r="L13618" s="2"/>
      <c r="M13618" s="2"/>
      <c r="N13618" s="2"/>
      <c r="O13618" s="2"/>
      <c r="P13618" s="2"/>
      <c r="Q13618" s="2"/>
      <c r="R13618" s="2"/>
      <c r="S13618" s="2"/>
      <c r="T13618" s="2"/>
      <c r="U13618" s="2"/>
      <c r="V13618" s="2"/>
      <c r="W13618" s="2"/>
      <c r="X13618" s="2"/>
      <c r="Y13618" s="2"/>
      <c r="Z13618" s="2"/>
    </row>
    <row r="13619" spans="1:26" ht="16.5" x14ac:dyDescent="0.35">
      <c r="A13619" s="2" t="str">
        <f ca="1">IFERROR(__xludf.DUMMYFUNCTION("""COMPUTED_VALUE"""),"Dubai")</f>
        <v>Dubai</v>
      </c>
      <c r="B13619" s="2" t="str">
        <f ca="1">IFERROR(__xludf.DUMMYFUNCTION("""COMPUTED_VALUE"""),"Belresheed Building")</f>
        <v>Belresheed Building</v>
      </c>
      <c r="C13619" s="2" t="str">
        <f ca="1">IFERROR(__xludf.DUMMYFUNCTION("""COMPUTED_VALUE"""),"Building")</f>
        <v>Building</v>
      </c>
      <c r="D13619" s="2" t="str">
        <f ca="1">IFERROR(__xludf.DUMMYFUNCTION("""COMPUTED_VALUE"""),"Dubai&gt;Al Barsha&gt;Al Barsha 1&gt;Belresheed Building")</f>
        <v>Dubai&gt;Al Barsha&gt;Al Barsha 1&gt;Belresheed Building</v>
      </c>
      <c r="E13619" s="2"/>
      <c r="F13619" s="2"/>
      <c r="G13619" s="2"/>
      <c r="H13619" s="2"/>
      <c r="I13619" s="2"/>
      <c r="J13619" s="2"/>
      <c r="K13619" s="2"/>
      <c r="L13619" s="2"/>
      <c r="M13619" s="2"/>
      <c r="N13619" s="2"/>
      <c r="O13619" s="2"/>
      <c r="P13619" s="2"/>
      <c r="Q13619" s="2"/>
      <c r="R13619" s="2"/>
      <c r="S13619" s="2"/>
      <c r="T13619" s="2"/>
      <c r="U13619" s="2"/>
      <c r="V13619" s="2"/>
      <c r="W13619" s="2"/>
      <c r="X13619" s="2"/>
      <c r="Y13619" s="2"/>
      <c r="Z13619" s="2"/>
    </row>
    <row r="13620" spans="1:26" ht="16.5" x14ac:dyDescent="0.35">
      <c r="A13620" s="2" t="str">
        <f ca="1">IFERROR(__xludf.DUMMYFUNCTION("""COMPUTED_VALUE"""),"Dubai")</f>
        <v>Dubai</v>
      </c>
      <c r="B13620" s="2" t="str">
        <f ca="1">IFERROR(__xludf.DUMMYFUNCTION("""COMPUTED_VALUE"""),"93-94 Avenues")</f>
        <v>93-94 Avenues</v>
      </c>
      <c r="C13620" s="2" t="str">
        <f ca="1">IFERROR(__xludf.DUMMYFUNCTION("""COMPUTED_VALUE"""),"Building")</f>
        <v>Building</v>
      </c>
      <c r="D13620" s="2" t="str">
        <f ca="1">IFERROR(__xludf.DUMMYFUNCTION("""COMPUTED_VALUE"""),"Dubai&gt;Al Barsha&gt;Al Barsha 2&gt;93-94 Avenues")</f>
        <v>Dubai&gt;Al Barsha&gt;Al Barsha 2&gt;93-94 Avenues</v>
      </c>
      <c r="E13620" s="2"/>
      <c r="F13620" s="2"/>
      <c r="G13620" s="2"/>
      <c r="H13620" s="2"/>
      <c r="I13620" s="2"/>
      <c r="J13620" s="2"/>
      <c r="K13620" s="2"/>
      <c r="L13620" s="2"/>
      <c r="M13620" s="2"/>
      <c r="N13620" s="2"/>
      <c r="O13620" s="2"/>
      <c r="P13620" s="2"/>
      <c r="Q13620" s="2"/>
      <c r="R13620" s="2"/>
      <c r="S13620" s="2"/>
      <c r="T13620" s="2"/>
      <c r="U13620" s="2"/>
      <c r="V13620" s="2"/>
      <c r="W13620" s="2"/>
      <c r="X13620" s="2"/>
      <c r="Y13620" s="2"/>
      <c r="Z13620" s="2"/>
    </row>
    <row r="13621" spans="1:26" ht="16.5" x14ac:dyDescent="0.35">
      <c r="A13621" s="2" t="str">
        <f ca="1">IFERROR(__xludf.DUMMYFUNCTION("""COMPUTED_VALUE"""),"Dubai")</f>
        <v>Dubai</v>
      </c>
      <c r="B13621" s="2" t="str">
        <f ca="1">IFERROR(__xludf.DUMMYFUNCTION("""COMPUTED_VALUE"""),"Bellevue Tower 2")</f>
        <v>Bellevue Tower 2</v>
      </c>
      <c r="C13621" s="2" t="str">
        <f ca="1">IFERROR(__xludf.DUMMYFUNCTION("""COMPUTED_VALUE"""),"Building")</f>
        <v>Building</v>
      </c>
      <c r="D13621" s="2" t="str">
        <f ca="1">IFERROR(__xludf.DUMMYFUNCTION("""COMPUTED_VALUE"""),"Dubai&gt;Downtown Dubai&gt;Bellevue Towers&gt;Bellevue Tower 2")</f>
        <v>Dubai&gt;Downtown Dubai&gt;Bellevue Towers&gt;Bellevue Tower 2</v>
      </c>
      <c r="E13621" s="2"/>
      <c r="F13621" s="2"/>
      <c r="G13621" s="2"/>
      <c r="H13621" s="2"/>
      <c r="I13621" s="2"/>
      <c r="J13621" s="2"/>
      <c r="K13621" s="2"/>
      <c r="L13621" s="2"/>
      <c r="M13621" s="2"/>
      <c r="N13621" s="2"/>
      <c r="O13621" s="2"/>
      <c r="P13621" s="2"/>
      <c r="Q13621" s="2"/>
      <c r="R13621" s="2"/>
      <c r="S13621" s="2"/>
      <c r="T13621" s="2"/>
      <c r="U13621" s="2"/>
      <c r="V13621" s="2"/>
      <c r="W13621" s="2"/>
      <c r="X13621" s="2"/>
      <c r="Y13621" s="2"/>
      <c r="Z13621" s="2"/>
    </row>
    <row r="13622" spans="1:26" ht="16.5" x14ac:dyDescent="0.35">
      <c r="A13622" s="2" t="str">
        <f ca="1">IFERROR(__xludf.DUMMYFUNCTION("""COMPUTED_VALUE"""),"Dubai")</f>
        <v>Dubai</v>
      </c>
      <c r="B13622" s="2" t="str">
        <f ca="1">IFERROR(__xludf.DUMMYFUNCTION("""COMPUTED_VALUE"""),"The Residence 1")</f>
        <v>The Residence 1</v>
      </c>
      <c r="C13622" s="2" t="str">
        <f ca="1">IFERROR(__xludf.DUMMYFUNCTION("""COMPUTED_VALUE"""),"Building")</f>
        <v>Building</v>
      </c>
      <c r="D13622" s="2" t="str">
        <f ca="1">IFERROR(__xludf.DUMMYFUNCTION("""COMPUTED_VALUE"""),"Dubai&gt;Downtown Dubai&gt;The Residences&gt;The Residence 1")</f>
        <v>Dubai&gt;Downtown Dubai&gt;The Residences&gt;The Residence 1</v>
      </c>
      <c r="E13622" s="2"/>
      <c r="F13622" s="2"/>
      <c r="G13622" s="2"/>
      <c r="H13622" s="2"/>
      <c r="I13622" s="2"/>
      <c r="J13622" s="2"/>
      <c r="K13622" s="2"/>
      <c r="L13622" s="2"/>
      <c r="M13622" s="2"/>
      <c r="N13622" s="2"/>
      <c r="O13622" s="2"/>
      <c r="P13622" s="2"/>
      <c r="Q13622" s="2"/>
      <c r="R13622" s="2"/>
      <c r="S13622" s="2"/>
      <c r="T13622" s="2"/>
      <c r="U13622" s="2"/>
      <c r="V13622" s="2"/>
      <c r="W13622" s="2"/>
      <c r="X13622" s="2"/>
      <c r="Y13622" s="2"/>
      <c r="Z13622" s="2"/>
    </row>
    <row r="13623" spans="1:26" ht="16.5" x14ac:dyDescent="0.35">
      <c r="A13623" s="2" t="str">
        <f ca="1">IFERROR(__xludf.DUMMYFUNCTION("""COMPUTED_VALUE"""),"Dubai")</f>
        <v>Dubai</v>
      </c>
      <c r="B13623" s="2" t="str">
        <f ca="1">IFERROR(__xludf.DUMMYFUNCTION("""COMPUTED_VALUE"""),"Bahwan Tower")</f>
        <v>Bahwan Tower</v>
      </c>
      <c r="C13623" s="2" t="str">
        <f ca="1">IFERROR(__xludf.DUMMYFUNCTION("""COMPUTED_VALUE"""),"Building")</f>
        <v>Building</v>
      </c>
      <c r="D13623" s="2" t="str">
        <f ca="1">IFERROR(__xludf.DUMMYFUNCTION("""COMPUTED_VALUE"""),"Dubai&gt;Downtown Dubai&gt;Bahwan Tower")</f>
        <v>Dubai&gt;Downtown Dubai&gt;Bahwan Tower</v>
      </c>
      <c r="E13623" s="2"/>
      <c r="F13623" s="2"/>
      <c r="G13623" s="2"/>
      <c r="H13623" s="2"/>
      <c r="I13623" s="2"/>
      <c r="J13623" s="2"/>
      <c r="K13623" s="2"/>
      <c r="L13623" s="2"/>
      <c r="M13623" s="2"/>
      <c r="N13623" s="2"/>
      <c r="O13623" s="2"/>
      <c r="P13623" s="2"/>
      <c r="Q13623" s="2"/>
      <c r="R13623" s="2"/>
      <c r="S13623" s="2"/>
      <c r="T13623" s="2"/>
      <c r="U13623" s="2"/>
      <c r="V13623" s="2"/>
      <c r="W13623" s="2"/>
      <c r="X13623" s="2"/>
      <c r="Y13623" s="2"/>
      <c r="Z13623" s="2"/>
    </row>
    <row r="13624" spans="1:26" ht="16.5" x14ac:dyDescent="0.35">
      <c r="A13624" s="2" t="str">
        <f ca="1">IFERROR(__xludf.DUMMYFUNCTION("""COMPUTED_VALUE"""),"Dubai")</f>
        <v>Dubai</v>
      </c>
      <c r="B13624" s="2" t="str">
        <f ca="1">IFERROR(__xludf.DUMMYFUNCTION("""COMPUTED_VALUE"""),"Zaafaran 1")</f>
        <v>Zaafaran 1</v>
      </c>
      <c r="C13624" s="2" t="str">
        <f ca="1">IFERROR(__xludf.DUMMYFUNCTION("""COMPUTED_VALUE"""),"Building")</f>
        <v>Building</v>
      </c>
      <c r="D13624" s="2" t="str">
        <f ca="1">IFERROR(__xludf.DUMMYFUNCTION("""COMPUTED_VALUE"""),"Dubai&gt;Downtown Dubai&gt;Old Town&gt;Zaafaran&gt;Zaafaran 1")</f>
        <v>Dubai&gt;Downtown Dubai&gt;Old Town&gt;Zaafaran&gt;Zaafaran 1</v>
      </c>
      <c r="E13624" s="2"/>
      <c r="F13624" s="2"/>
      <c r="G13624" s="2"/>
      <c r="H13624" s="2"/>
      <c r="I13624" s="2"/>
      <c r="J13624" s="2"/>
      <c r="K13624" s="2"/>
      <c r="L13624" s="2"/>
      <c r="M13624" s="2"/>
      <c r="N13624" s="2"/>
      <c r="O13624" s="2"/>
      <c r="P13624" s="2"/>
      <c r="Q13624" s="2"/>
      <c r="R13624" s="2"/>
      <c r="S13624" s="2"/>
      <c r="T13624" s="2"/>
      <c r="U13624" s="2"/>
      <c r="V13624" s="2"/>
      <c r="W13624" s="2"/>
      <c r="X13624" s="2"/>
      <c r="Y13624" s="2"/>
      <c r="Z13624" s="2"/>
    </row>
    <row r="13625" spans="1:26" ht="16.5" x14ac:dyDescent="0.35">
      <c r="A13625" s="2" t="str">
        <f ca="1">IFERROR(__xludf.DUMMYFUNCTION("""COMPUTED_VALUE"""),"Dubai")</f>
        <v>Dubai</v>
      </c>
      <c r="B13625" s="2" t="str">
        <f ca="1">IFERROR(__xludf.DUMMYFUNCTION("""COMPUTED_VALUE"""),"Miska")</f>
        <v>Miska</v>
      </c>
      <c r="C13625" s="2" t="str">
        <f ca="1">IFERROR(__xludf.DUMMYFUNCTION("""COMPUTED_VALUE"""),"Cluster")</f>
        <v>Cluster</v>
      </c>
      <c r="D13625" s="2" t="str">
        <f ca="1">IFERROR(__xludf.DUMMYFUNCTION("""COMPUTED_VALUE"""),"Dubai&gt;Downtown Dubai&gt;Old Town&gt;Miska")</f>
        <v>Dubai&gt;Downtown Dubai&gt;Old Town&gt;Miska</v>
      </c>
      <c r="E13625" s="2"/>
      <c r="F13625" s="2"/>
      <c r="G13625" s="2"/>
      <c r="H13625" s="2"/>
      <c r="I13625" s="2"/>
      <c r="J13625" s="2"/>
      <c r="K13625" s="2"/>
      <c r="L13625" s="2"/>
      <c r="M13625" s="2"/>
      <c r="N13625" s="2"/>
      <c r="O13625" s="2"/>
      <c r="P13625" s="2"/>
      <c r="Q13625" s="2"/>
      <c r="R13625" s="2"/>
      <c r="S13625" s="2"/>
      <c r="T13625" s="2"/>
      <c r="U13625" s="2"/>
      <c r="V13625" s="2"/>
      <c r="W13625" s="2"/>
      <c r="X13625" s="2"/>
      <c r="Y13625" s="2"/>
      <c r="Z13625" s="2"/>
    </row>
    <row r="13626" spans="1:26" ht="16.5" x14ac:dyDescent="0.35">
      <c r="A13626" s="2" t="str">
        <f ca="1">IFERROR(__xludf.DUMMYFUNCTION("""COMPUTED_VALUE"""),"Dubai")</f>
        <v>Dubai</v>
      </c>
      <c r="B13626" s="2" t="str">
        <f ca="1">IFERROR(__xludf.DUMMYFUNCTION("""COMPUTED_VALUE"""),"Dubai Mall")</f>
        <v>Dubai Mall</v>
      </c>
      <c r="C13626" s="2" t="str">
        <f ca="1">IFERROR(__xludf.DUMMYFUNCTION("""COMPUTED_VALUE"""),"Building")</f>
        <v>Building</v>
      </c>
      <c r="D13626" s="2" t="str">
        <f ca="1">IFERROR(__xludf.DUMMYFUNCTION("""COMPUTED_VALUE"""),"Dubai&gt;Downtown Dubai&gt;Dubai Mall")</f>
        <v>Dubai&gt;Downtown Dubai&gt;Dubai Mall</v>
      </c>
      <c r="E13626" s="2"/>
      <c r="F13626" s="2"/>
      <c r="G13626" s="2"/>
      <c r="H13626" s="2"/>
      <c r="I13626" s="2"/>
      <c r="J13626" s="2"/>
      <c r="K13626" s="2"/>
      <c r="L13626" s="2"/>
      <c r="M13626" s="2"/>
      <c r="N13626" s="2"/>
      <c r="O13626" s="2"/>
      <c r="P13626" s="2"/>
      <c r="Q13626" s="2"/>
      <c r="R13626" s="2"/>
      <c r="S13626" s="2"/>
      <c r="T13626" s="2"/>
      <c r="U13626" s="2"/>
      <c r="V13626" s="2"/>
      <c r="W13626" s="2"/>
      <c r="X13626" s="2"/>
      <c r="Y13626" s="2"/>
      <c r="Z13626" s="2"/>
    </row>
    <row r="13627" spans="1:26" ht="16.5" x14ac:dyDescent="0.35">
      <c r="A13627" s="2" t="str">
        <f ca="1">IFERROR(__xludf.DUMMYFUNCTION("""COMPUTED_VALUE"""),"Dubai")</f>
        <v>Dubai</v>
      </c>
      <c r="B13627" s="2" t="str">
        <f ca="1">IFERROR(__xludf.DUMMYFUNCTION("""COMPUTED_VALUE"""),"Mazaya 17")</f>
        <v>Mazaya 17</v>
      </c>
      <c r="C13627" s="2" t="str">
        <f ca="1">IFERROR(__xludf.DUMMYFUNCTION("""COMPUTED_VALUE"""),"Building")</f>
        <v>Building</v>
      </c>
      <c r="D13627" s="2" t="str">
        <f ca="1">IFERROR(__xludf.DUMMYFUNCTION("""COMPUTED_VALUE"""),"Dubai&gt;Liwan&gt;Queue Point&gt;Mazaya 17")</f>
        <v>Dubai&gt;Liwan&gt;Queue Point&gt;Mazaya 17</v>
      </c>
      <c r="E13627" s="2"/>
      <c r="F13627" s="2"/>
      <c r="G13627" s="2"/>
      <c r="H13627" s="2"/>
      <c r="I13627" s="2"/>
      <c r="J13627" s="2"/>
      <c r="K13627" s="2"/>
      <c r="L13627" s="2"/>
      <c r="M13627" s="2"/>
      <c r="N13627" s="2"/>
      <c r="O13627" s="2"/>
      <c r="P13627" s="2"/>
      <c r="Q13627" s="2"/>
      <c r="R13627" s="2"/>
      <c r="S13627" s="2"/>
      <c r="T13627" s="2"/>
      <c r="U13627" s="2"/>
      <c r="V13627" s="2"/>
      <c r="W13627" s="2"/>
      <c r="X13627" s="2"/>
      <c r="Y13627" s="2"/>
      <c r="Z13627" s="2"/>
    </row>
    <row r="13628" spans="1:26" ht="16.5" x14ac:dyDescent="0.35">
      <c r="A13628" s="2" t="str">
        <f ca="1">IFERROR(__xludf.DUMMYFUNCTION("""COMPUTED_VALUE"""),"Dubai")</f>
        <v>Dubai</v>
      </c>
      <c r="B13628" s="2" t="str">
        <f ca="1">IFERROR(__xludf.DUMMYFUNCTION("""COMPUTED_VALUE"""),"Mazaya 8")</f>
        <v>Mazaya 8</v>
      </c>
      <c r="C13628" s="2" t="str">
        <f ca="1">IFERROR(__xludf.DUMMYFUNCTION("""COMPUTED_VALUE"""),"Building")</f>
        <v>Building</v>
      </c>
      <c r="D13628" s="2" t="str">
        <f ca="1">IFERROR(__xludf.DUMMYFUNCTION("""COMPUTED_VALUE"""),"Dubai&gt;Liwan&gt;Queue Point&gt;Mazaya 8")</f>
        <v>Dubai&gt;Liwan&gt;Queue Point&gt;Mazaya 8</v>
      </c>
      <c r="E13628" s="2"/>
      <c r="F13628" s="2"/>
      <c r="G13628" s="2"/>
      <c r="H13628" s="2"/>
      <c r="I13628" s="2"/>
      <c r="J13628" s="2"/>
      <c r="K13628" s="2"/>
      <c r="L13628" s="2"/>
      <c r="M13628" s="2"/>
      <c r="N13628" s="2"/>
      <c r="O13628" s="2"/>
      <c r="P13628" s="2"/>
      <c r="Q13628" s="2"/>
      <c r="R13628" s="2"/>
      <c r="S13628" s="2"/>
      <c r="T13628" s="2"/>
      <c r="U13628" s="2"/>
      <c r="V13628" s="2"/>
      <c r="W13628" s="2"/>
      <c r="X13628" s="2"/>
      <c r="Y13628" s="2"/>
      <c r="Z13628" s="2"/>
    </row>
    <row r="13629" spans="1:26" ht="16.5" x14ac:dyDescent="0.35">
      <c r="A13629" s="2" t="str">
        <f ca="1">IFERROR(__xludf.DUMMYFUNCTION("""COMPUTED_VALUE"""),"Dubai")</f>
        <v>Dubai</v>
      </c>
      <c r="B13629" s="2" t="str">
        <f ca="1">IFERROR(__xludf.DUMMYFUNCTION("""COMPUTED_VALUE"""),"Solis by Meteora")</f>
        <v>Solis by Meteora</v>
      </c>
      <c r="C13629" s="2" t="str">
        <f ca="1">IFERROR(__xludf.DUMMYFUNCTION("""COMPUTED_VALUE"""),"Building")</f>
        <v>Building</v>
      </c>
      <c r="D13629" s="2" t="str">
        <f ca="1">IFERROR(__xludf.DUMMYFUNCTION("""COMPUTED_VALUE"""),"Dubai&gt;Liwan&gt;Solis by Meteora")</f>
        <v>Dubai&gt;Liwan&gt;Solis by Meteora</v>
      </c>
      <c r="E13629" s="2"/>
      <c r="F13629" s="2"/>
      <c r="G13629" s="2"/>
      <c r="H13629" s="2"/>
      <c r="I13629" s="2"/>
      <c r="J13629" s="2"/>
      <c r="K13629" s="2"/>
      <c r="L13629" s="2"/>
      <c r="M13629" s="2"/>
      <c r="N13629" s="2"/>
      <c r="O13629" s="2"/>
      <c r="P13629" s="2"/>
      <c r="Q13629" s="2"/>
      <c r="R13629" s="2"/>
      <c r="S13629" s="2"/>
      <c r="T13629" s="2"/>
      <c r="U13629" s="2"/>
      <c r="V13629" s="2"/>
      <c r="W13629" s="2"/>
      <c r="X13629" s="2"/>
      <c r="Y13629" s="2"/>
      <c r="Z13629" s="2"/>
    </row>
    <row r="13630" spans="1:26" ht="16.5" x14ac:dyDescent="0.35">
      <c r="A13630" s="2" t="str">
        <f ca="1">IFERROR(__xludf.DUMMYFUNCTION("""COMPUTED_VALUE"""),"Dubai")</f>
        <v>Dubai</v>
      </c>
      <c r="B13630" s="2" t="str">
        <f ca="1">IFERROR(__xludf.DUMMYFUNCTION("""COMPUTED_VALUE"""),"British Orchard Nursery DIFC")</f>
        <v>British Orchard Nursery DIFC</v>
      </c>
      <c r="C13630" s="2" t="str">
        <f ca="1">IFERROR(__xludf.DUMMYFUNCTION("""COMPUTED_VALUE"""),"Nursery")</f>
        <v>Nursery</v>
      </c>
      <c r="D13630" s="2" t="str">
        <f ca="1">IFERROR(__xludf.DUMMYFUNCTION("""COMPUTED_VALUE"""),"Dubai&gt;DIFC&gt;British Orchard Nursery DIFC")</f>
        <v>Dubai&gt;DIFC&gt;British Orchard Nursery DIFC</v>
      </c>
      <c r="E13630" s="2"/>
      <c r="F13630" s="2"/>
      <c r="G13630" s="2"/>
      <c r="H13630" s="2"/>
      <c r="I13630" s="2"/>
      <c r="J13630" s="2"/>
      <c r="K13630" s="2"/>
      <c r="L13630" s="2"/>
      <c r="M13630" s="2"/>
      <c r="N13630" s="2"/>
      <c r="O13630" s="2"/>
      <c r="P13630" s="2"/>
      <c r="Q13630" s="2"/>
      <c r="R13630" s="2"/>
      <c r="S13630" s="2"/>
      <c r="T13630" s="2"/>
      <c r="U13630" s="2"/>
      <c r="V13630" s="2"/>
      <c r="W13630" s="2"/>
      <c r="X13630" s="2"/>
      <c r="Y13630" s="2"/>
      <c r="Z13630" s="2"/>
    </row>
    <row r="13631" spans="1:26" ht="16.5" x14ac:dyDescent="0.35">
      <c r="A13631" s="2" t="str">
        <f ca="1">IFERROR(__xludf.DUMMYFUNCTION("""COMPUTED_VALUE"""),"Dubai")</f>
        <v>Dubai</v>
      </c>
      <c r="B13631" s="2" t="str">
        <f ca="1">IFERROR(__xludf.DUMMYFUNCTION("""COMPUTED_VALUE"""),"The Gate Precinct 4")</f>
        <v>The Gate Precinct 4</v>
      </c>
      <c r="C13631" s="2" t="str">
        <f ca="1">IFERROR(__xludf.DUMMYFUNCTION("""COMPUTED_VALUE"""),"Building")</f>
        <v>Building</v>
      </c>
      <c r="D13631" s="2" t="str">
        <f ca="1">IFERROR(__xludf.DUMMYFUNCTION("""COMPUTED_VALUE"""),"Dubai&gt;DIFC&gt;The Gate Precinct&gt;The Gate Precinct 4")</f>
        <v>Dubai&gt;DIFC&gt;The Gate Precinct&gt;The Gate Precinct 4</v>
      </c>
      <c r="E13631" s="2"/>
      <c r="F13631" s="2"/>
      <c r="G13631" s="2"/>
      <c r="H13631" s="2"/>
      <c r="I13631" s="2"/>
      <c r="J13631" s="2"/>
      <c r="K13631" s="2"/>
      <c r="L13631" s="2"/>
      <c r="M13631" s="2"/>
      <c r="N13631" s="2"/>
      <c r="O13631" s="2"/>
      <c r="P13631" s="2"/>
      <c r="Q13631" s="2"/>
      <c r="R13631" s="2"/>
      <c r="S13631" s="2"/>
      <c r="T13631" s="2"/>
      <c r="U13631" s="2"/>
      <c r="V13631" s="2"/>
      <c r="W13631" s="2"/>
      <c r="X13631" s="2"/>
      <c r="Y13631" s="2"/>
      <c r="Z13631" s="2"/>
    </row>
    <row r="13632" spans="1:26" ht="16.5" x14ac:dyDescent="0.35">
      <c r="A13632" s="2" t="str">
        <f ca="1">IFERROR(__xludf.DUMMYFUNCTION("""COMPUTED_VALUE"""),"Dubai")</f>
        <v>Dubai</v>
      </c>
      <c r="B13632" s="2" t="str">
        <f ca="1">IFERROR(__xludf.DUMMYFUNCTION("""COMPUTED_VALUE"""),"Al Warqaa 3")</f>
        <v>Al Warqaa 3</v>
      </c>
      <c r="C13632" s="2" t="str">
        <f ca="1">IFERROR(__xludf.DUMMYFUNCTION("""COMPUTED_VALUE"""),"Neighbourhood")</f>
        <v>Neighbourhood</v>
      </c>
      <c r="D13632" s="2" t="str">
        <f ca="1">IFERROR(__xludf.DUMMYFUNCTION("""COMPUTED_VALUE"""),"Dubai&gt;Al Warqaa&gt;Al Warqaa 3")</f>
        <v>Dubai&gt;Al Warqaa&gt;Al Warqaa 3</v>
      </c>
      <c r="E13632" s="2"/>
      <c r="F13632" s="2"/>
      <c r="G13632" s="2"/>
      <c r="H13632" s="2"/>
      <c r="I13632" s="2"/>
      <c r="J13632" s="2"/>
      <c r="K13632" s="2"/>
      <c r="L13632" s="2"/>
      <c r="M13632" s="2"/>
      <c r="N13632" s="2"/>
      <c r="O13632" s="2"/>
      <c r="P13632" s="2"/>
      <c r="Q13632" s="2"/>
      <c r="R13632" s="2"/>
      <c r="S13632" s="2"/>
      <c r="T13632" s="2"/>
      <c r="U13632" s="2"/>
      <c r="V13632" s="2"/>
      <c r="W13632" s="2"/>
      <c r="X13632" s="2"/>
      <c r="Y13632" s="2"/>
      <c r="Z13632" s="2"/>
    </row>
    <row r="13633" spans="1:26" ht="16.5" x14ac:dyDescent="0.35">
      <c r="A13633" s="2" t="str">
        <f ca="1">IFERROR(__xludf.DUMMYFUNCTION("""COMPUTED_VALUE"""),"Dubai")</f>
        <v>Dubai</v>
      </c>
      <c r="B13633" s="2" t="str">
        <f ca="1">IFERROR(__xludf.DUMMYFUNCTION("""COMPUTED_VALUE"""),"Noura Building")</f>
        <v>Noura Building</v>
      </c>
      <c r="C13633" s="2" t="str">
        <f ca="1">IFERROR(__xludf.DUMMYFUNCTION("""COMPUTED_VALUE"""),"Building")</f>
        <v>Building</v>
      </c>
      <c r="D13633" s="2" t="str">
        <f ca="1">IFERROR(__xludf.DUMMYFUNCTION("""COMPUTED_VALUE"""),"Dubai&gt;Al Warqaa&gt;Al Warqaa 1&gt;Noura Building")</f>
        <v>Dubai&gt;Al Warqaa&gt;Al Warqaa 1&gt;Noura Building</v>
      </c>
      <c r="E13633" s="2"/>
      <c r="F13633" s="2"/>
      <c r="G13633" s="2"/>
      <c r="H13633" s="2"/>
      <c r="I13633" s="2"/>
      <c r="J13633" s="2"/>
      <c r="K13633" s="2"/>
      <c r="L13633" s="2"/>
      <c r="M13633" s="2"/>
      <c r="N13633" s="2"/>
      <c r="O13633" s="2"/>
      <c r="P13633" s="2"/>
      <c r="Q13633" s="2"/>
      <c r="R13633" s="2"/>
      <c r="S13633" s="2"/>
      <c r="T13633" s="2"/>
      <c r="U13633" s="2"/>
      <c r="V13633" s="2"/>
      <c r="W13633" s="2"/>
      <c r="X13633" s="2"/>
      <c r="Y13633" s="2"/>
      <c r="Z13633" s="2"/>
    </row>
    <row r="13634" spans="1:26" ht="16.5" x14ac:dyDescent="0.35">
      <c r="A13634" s="2" t="str">
        <f ca="1">IFERROR(__xludf.DUMMYFUNCTION("""COMPUTED_VALUE"""),"Dubai")</f>
        <v>Dubai</v>
      </c>
      <c r="B13634" s="2" t="str">
        <f ca="1">IFERROR(__xludf.DUMMYFUNCTION("""COMPUTED_VALUE"""),"MRASM 1 Building")</f>
        <v>MRASM 1 Building</v>
      </c>
      <c r="C13634" s="2" t="str">
        <f ca="1">IFERROR(__xludf.DUMMYFUNCTION("""COMPUTED_VALUE"""),"Building")</f>
        <v>Building</v>
      </c>
      <c r="D13634" s="2" t="str">
        <f ca="1">IFERROR(__xludf.DUMMYFUNCTION("""COMPUTED_VALUE"""),"Dubai&gt;Al Warqaa&gt;Al Warqaa 1&gt;MRASM 1 Building")</f>
        <v>Dubai&gt;Al Warqaa&gt;Al Warqaa 1&gt;MRASM 1 Building</v>
      </c>
      <c r="E13634" s="2"/>
      <c r="F13634" s="2"/>
      <c r="G13634" s="2"/>
      <c r="H13634" s="2"/>
      <c r="I13634" s="2"/>
      <c r="J13634" s="2"/>
      <c r="K13634" s="2"/>
      <c r="L13634" s="2"/>
      <c r="M13634" s="2"/>
      <c r="N13634" s="2"/>
      <c r="O13634" s="2"/>
      <c r="P13634" s="2"/>
      <c r="Q13634" s="2"/>
      <c r="R13634" s="2"/>
      <c r="S13634" s="2"/>
      <c r="T13634" s="2"/>
      <c r="U13634" s="2"/>
      <c r="V13634" s="2"/>
      <c r="W13634" s="2"/>
      <c r="X13634" s="2"/>
      <c r="Y13634" s="2"/>
      <c r="Z13634" s="2"/>
    </row>
    <row r="13635" spans="1:26" ht="16.5" x14ac:dyDescent="0.35">
      <c r="A13635" s="2" t="str">
        <f ca="1">IFERROR(__xludf.DUMMYFUNCTION("""COMPUTED_VALUE"""),"Dubai")</f>
        <v>Dubai</v>
      </c>
      <c r="B13635" s="2" t="str">
        <f ca="1">IFERROR(__xludf.DUMMYFUNCTION("""COMPUTED_VALUE"""),"Afra Omair Abdulla Ofaira Alfalasi Building")</f>
        <v>Afra Omair Abdulla Ofaira Alfalasi Building</v>
      </c>
      <c r="C13635" s="2" t="str">
        <f ca="1">IFERROR(__xludf.DUMMYFUNCTION("""COMPUTED_VALUE"""),"Building")</f>
        <v>Building</v>
      </c>
      <c r="D13635" s="2" t="str">
        <f ca="1">IFERROR(__xludf.DUMMYFUNCTION("""COMPUTED_VALUE"""),"Dubai&gt;Al Warqaa&gt;Al Warqaa 1&gt;Afra Omair Abdulla Ofaira Alfalasi Building")</f>
        <v>Dubai&gt;Al Warqaa&gt;Al Warqaa 1&gt;Afra Omair Abdulla Ofaira Alfalasi Building</v>
      </c>
      <c r="E13635" s="2"/>
      <c r="F13635" s="2"/>
      <c r="G13635" s="2"/>
      <c r="H13635" s="2"/>
      <c r="I13635" s="2"/>
      <c r="J13635" s="2"/>
      <c r="K13635" s="2"/>
      <c r="L13635" s="2"/>
      <c r="M13635" s="2"/>
      <c r="N13635" s="2"/>
      <c r="O13635" s="2"/>
      <c r="P13635" s="2"/>
      <c r="Q13635" s="2"/>
      <c r="R13635" s="2"/>
      <c r="S13635" s="2"/>
      <c r="T13635" s="2"/>
      <c r="U13635" s="2"/>
      <c r="V13635" s="2"/>
      <c r="W13635" s="2"/>
      <c r="X13635" s="2"/>
      <c r="Y13635" s="2"/>
      <c r="Z13635" s="2"/>
    </row>
    <row r="13636" spans="1:26" ht="16.5" x14ac:dyDescent="0.35">
      <c r="A13636" s="2" t="str">
        <f ca="1">IFERROR(__xludf.DUMMYFUNCTION("""COMPUTED_VALUE"""),"Dubai")</f>
        <v>Dubai</v>
      </c>
      <c r="B13636" s="2" t="str">
        <f ca="1">IFERROR(__xludf.DUMMYFUNCTION("""COMPUTED_VALUE"""),"Al Warqa First Building")</f>
        <v>Al Warqa First Building</v>
      </c>
      <c r="C13636" s="2" t="str">
        <f ca="1">IFERROR(__xludf.DUMMYFUNCTION("""COMPUTED_VALUE"""),"Building")</f>
        <v>Building</v>
      </c>
      <c r="D13636" s="2" t="str">
        <f ca="1">IFERROR(__xludf.DUMMYFUNCTION("""COMPUTED_VALUE"""),"Dubai&gt;Al Warqaa&gt;Al Warqaa 1&gt;Al Warqa First Building")</f>
        <v>Dubai&gt;Al Warqaa&gt;Al Warqaa 1&gt;Al Warqa First Building</v>
      </c>
      <c r="E13636" s="2"/>
      <c r="F13636" s="2"/>
      <c r="G13636" s="2"/>
      <c r="H13636" s="2"/>
      <c r="I13636" s="2"/>
      <c r="J13636" s="2"/>
      <c r="K13636" s="2"/>
      <c r="L13636" s="2"/>
      <c r="M13636" s="2"/>
      <c r="N13636" s="2"/>
      <c r="O13636" s="2"/>
      <c r="P13636" s="2"/>
      <c r="Q13636" s="2"/>
      <c r="R13636" s="2"/>
      <c r="S13636" s="2"/>
      <c r="T13636" s="2"/>
      <c r="U13636" s="2"/>
      <c r="V13636" s="2"/>
      <c r="W13636" s="2"/>
      <c r="X13636" s="2"/>
      <c r="Y13636" s="2"/>
      <c r="Z13636" s="2"/>
    </row>
    <row r="13637" spans="1:26" ht="16.5" x14ac:dyDescent="0.35">
      <c r="A13637" s="2" t="str">
        <f ca="1">IFERROR(__xludf.DUMMYFUNCTION("""COMPUTED_VALUE"""),"Dubai")</f>
        <v>Dubai</v>
      </c>
      <c r="B13637" s="2" t="str">
        <f ca="1">IFERROR(__xludf.DUMMYFUNCTION("""COMPUTED_VALUE"""),"Lake Terrace")</f>
        <v>Lake Terrace</v>
      </c>
      <c r="C13637" s="2" t="str">
        <f ca="1">IFERROR(__xludf.DUMMYFUNCTION("""COMPUTED_VALUE"""),"Building")</f>
        <v>Building</v>
      </c>
      <c r="D13637" s="2" t="str">
        <f ca="1">IFERROR(__xludf.DUMMYFUNCTION("""COMPUTED_VALUE"""),"Dubai&gt;Jumeirah Lake Towers (JLT)&gt;JLT Cluster D&gt;Lake Terrace")</f>
        <v>Dubai&gt;Jumeirah Lake Towers (JLT)&gt;JLT Cluster D&gt;Lake Terrace</v>
      </c>
      <c r="E13637" s="2"/>
      <c r="F13637" s="2"/>
      <c r="G13637" s="2"/>
      <c r="H13637" s="2"/>
      <c r="I13637" s="2"/>
      <c r="J13637" s="2"/>
      <c r="K13637" s="2"/>
      <c r="L13637" s="2"/>
      <c r="M13637" s="2"/>
      <c r="N13637" s="2"/>
      <c r="O13637" s="2"/>
      <c r="P13637" s="2"/>
      <c r="Q13637" s="2"/>
      <c r="R13637" s="2"/>
      <c r="S13637" s="2"/>
      <c r="T13637" s="2"/>
      <c r="U13637" s="2"/>
      <c r="V13637" s="2"/>
      <c r="W13637" s="2"/>
      <c r="X13637" s="2"/>
      <c r="Y13637" s="2"/>
      <c r="Z13637" s="2"/>
    </row>
    <row r="13638" spans="1:26" ht="16.5" x14ac:dyDescent="0.35">
      <c r="A13638" s="2" t="str">
        <f ca="1">IFERROR(__xludf.DUMMYFUNCTION("""COMPUTED_VALUE"""),"Dubai")</f>
        <v>Dubai</v>
      </c>
      <c r="B13638" s="2" t="str">
        <f ca="1">IFERROR(__xludf.DUMMYFUNCTION("""COMPUTED_VALUE"""),"Kids Kingdom Nursery JLT")</f>
        <v>Kids Kingdom Nursery JLT</v>
      </c>
      <c r="C13638" s="2" t="str">
        <f ca="1">IFERROR(__xludf.DUMMYFUNCTION("""COMPUTED_VALUE"""),"Nursery")</f>
        <v>Nursery</v>
      </c>
      <c r="D13638" s="2" t="str">
        <f ca="1">IFERROR(__xludf.DUMMYFUNCTION("""COMPUTED_VALUE"""),"Dubai&gt;Jumeirah Lake Towers (JLT)&gt;JLT Cluster L&gt;Kids Kingdom Nursery JLT")</f>
        <v>Dubai&gt;Jumeirah Lake Towers (JLT)&gt;JLT Cluster L&gt;Kids Kingdom Nursery JLT</v>
      </c>
      <c r="E13638" s="2"/>
      <c r="F13638" s="2"/>
      <c r="G13638" s="2"/>
      <c r="H13638" s="2"/>
      <c r="I13638" s="2"/>
      <c r="J13638" s="2"/>
      <c r="K13638" s="2"/>
      <c r="L13638" s="2"/>
      <c r="M13638" s="2"/>
      <c r="N13638" s="2"/>
      <c r="O13638" s="2"/>
      <c r="P13638" s="2"/>
      <c r="Q13638" s="2"/>
      <c r="R13638" s="2"/>
      <c r="S13638" s="2"/>
      <c r="T13638" s="2"/>
      <c r="U13638" s="2"/>
      <c r="V13638" s="2"/>
      <c r="W13638" s="2"/>
      <c r="X13638" s="2"/>
      <c r="Y13638" s="2"/>
      <c r="Z13638" s="2"/>
    </row>
    <row r="13639" spans="1:26" ht="16.5" x14ac:dyDescent="0.35">
      <c r="A13639" s="2" t="str">
        <f ca="1">IFERROR(__xludf.DUMMYFUNCTION("""COMPUTED_VALUE"""),"Dubai")</f>
        <v>Dubai</v>
      </c>
      <c r="B13639" s="2" t="str">
        <f ca="1">IFERROR(__xludf.DUMMYFUNCTION("""COMPUTED_VALUE"""),"Green Lakes 3")</f>
        <v>Green Lakes 3</v>
      </c>
      <c r="C13639" s="2" t="str">
        <f ca="1">IFERROR(__xludf.DUMMYFUNCTION("""COMPUTED_VALUE"""),"Building")</f>
        <v>Building</v>
      </c>
      <c r="D13639" s="2" t="str">
        <f ca="1">IFERROR(__xludf.DUMMYFUNCTION("""COMPUTED_VALUE"""),"Dubai&gt;Jumeirah Lake Towers (JLT)&gt;JLT Cluster S&gt;Green Lakes 3")</f>
        <v>Dubai&gt;Jumeirah Lake Towers (JLT)&gt;JLT Cluster S&gt;Green Lakes 3</v>
      </c>
      <c r="E13639" s="2"/>
      <c r="F13639" s="2"/>
      <c r="G13639" s="2"/>
      <c r="H13639" s="2"/>
      <c r="I13639" s="2"/>
      <c r="J13639" s="2"/>
      <c r="K13639" s="2"/>
      <c r="L13639" s="2"/>
      <c r="M13639" s="2"/>
      <c r="N13639" s="2"/>
      <c r="O13639" s="2"/>
      <c r="P13639" s="2"/>
      <c r="Q13639" s="2"/>
      <c r="R13639" s="2"/>
      <c r="S13639" s="2"/>
      <c r="T13639" s="2"/>
      <c r="U13639" s="2"/>
      <c r="V13639" s="2"/>
      <c r="W13639" s="2"/>
      <c r="X13639" s="2"/>
      <c r="Y13639" s="2"/>
      <c r="Z13639" s="2"/>
    </row>
    <row r="13640" spans="1:26" ht="16.5" x14ac:dyDescent="0.35">
      <c r="A13640" s="2" t="str">
        <f ca="1">IFERROR(__xludf.DUMMYFUNCTION("""COMPUTED_VALUE"""),"Dubai")</f>
        <v>Dubai</v>
      </c>
      <c r="B13640" s="2" t="str">
        <f ca="1">IFERROR(__xludf.DUMMYFUNCTION("""COMPUTED_VALUE"""),"Pullman Dubai Jumeirah Lake Towers")</f>
        <v>Pullman Dubai Jumeirah Lake Towers</v>
      </c>
      <c r="C13640" s="2" t="str">
        <f ca="1">IFERROR(__xludf.DUMMYFUNCTION("""COMPUTED_VALUE"""),"Building")</f>
        <v>Building</v>
      </c>
      <c r="D13640" s="2" t="str">
        <f ca="1">IFERROR(__xludf.DUMMYFUNCTION("""COMPUTED_VALUE"""),"Dubai&gt;Jumeirah Lake Towers (JLT)&gt;Pullman Dubai Jumeirah Lake Towers")</f>
        <v>Dubai&gt;Jumeirah Lake Towers (JLT)&gt;Pullman Dubai Jumeirah Lake Towers</v>
      </c>
      <c r="E13640" s="2"/>
      <c r="F13640" s="2"/>
      <c r="G13640" s="2"/>
      <c r="H13640" s="2"/>
      <c r="I13640" s="2"/>
      <c r="J13640" s="2"/>
      <c r="K13640" s="2"/>
      <c r="L13640" s="2"/>
      <c r="M13640" s="2"/>
      <c r="N13640" s="2"/>
      <c r="O13640" s="2"/>
      <c r="P13640" s="2"/>
      <c r="Q13640" s="2"/>
      <c r="R13640" s="2"/>
      <c r="S13640" s="2"/>
      <c r="T13640" s="2"/>
      <c r="U13640" s="2"/>
      <c r="V13640" s="2"/>
      <c r="W13640" s="2"/>
      <c r="X13640" s="2"/>
      <c r="Y13640" s="2"/>
      <c r="Z13640" s="2"/>
    </row>
    <row r="13641" spans="1:26" ht="16.5" x14ac:dyDescent="0.35">
      <c r="A13641" s="2" t="str">
        <f ca="1">IFERROR(__xludf.DUMMYFUNCTION("""COMPUTED_VALUE"""),"Dubai")</f>
        <v>Dubai</v>
      </c>
      <c r="B13641" s="2" t="str">
        <f ca="1">IFERROR(__xludf.DUMMYFUNCTION("""COMPUTED_VALUE"""),"Mudon Al Ranim")</f>
        <v>Mudon Al Ranim</v>
      </c>
      <c r="C13641" s="2" t="str">
        <f ca="1">IFERROR(__xludf.DUMMYFUNCTION("""COMPUTED_VALUE"""),"Neighbourhood")</f>
        <v>Neighbourhood</v>
      </c>
      <c r="D13641" s="2" t="str">
        <f ca="1">IFERROR(__xludf.DUMMYFUNCTION("""COMPUTED_VALUE"""),"Dubai&gt;Mudon&gt;Mudon Al Ranim")</f>
        <v>Dubai&gt;Mudon&gt;Mudon Al Ranim</v>
      </c>
      <c r="E13641" s="2"/>
      <c r="F13641" s="2"/>
      <c r="G13641" s="2"/>
      <c r="H13641" s="2"/>
      <c r="I13641" s="2"/>
      <c r="J13641" s="2"/>
      <c r="K13641" s="2"/>
      <c r="L13641" s="2"/>
      <c r="M13641" s="2"/>
      <c r="N13641" s="2"/>
      <c r="O13641" s="2"/>
      <c r="P13641" s="2"/>
      <c r="Q13641" s="2"/>
      <c r="R13641" s="2"/>
      <c r="S13641" s="2"/>
      <c r="T13641" s="2"/>
      <c r="U13641" s="2"/>
      <c r="V13641" s="2"/>
      <c r="W13641" s="2"/>
      <c r="X13641" s="2"/>
      <c r="Y13641" s="2"/>
      <c r="Z13641" s="2"/>
    </row>
    <row r="13642" spans="1:26" ht="16.5" x14ac:dyDescent="0.35">
      <c r="A13642" s="2" t="str">
        <f ca="1">IFERROR(__xludf.DUMMYFUNCTION("""COMPUTED_VALUE"""),"Dubai")</f>
        <v>Dubai</v>
      </c>
      <c r="B13642" s="2" t="str">
        <f ca="1">IFERROR(__xludf.DUMMYFUNCTION("""COMPUTED_VALUE"""),"Bin Dhaen Holding Building Satwa")</f>
        <v>Bin Dhaen Holding Building Satwa</v>
      </c>
      <c r="C13642" s="2" t="str">
        <f ca="1">IFERROR(__xludf.DUMMYFUNCTION("""COMPUTED_VALUE"""),"Building")</f>
        <v>Building</v>
      </c>
      <c r="D13642" s="2" t="str">
        <f ca="1">IFERROR(__xludf.DUMMYFUNCTION("""COMPUTED_VALUE"""),"Dubai&gt;Al Satwa&gt;Bin Dhaen Holding Building Satwa")</f>
        <v>Dubai&gt;Al Satwa&gt;Bin Dhaen Holding Building Satwa</v>
      </c>
      <c r="E13642" s="2"/>
      <c r="F13642" s="2"/>
      <c r="G13642" s="2"/>
      <c r="H13642" s="2"/>
      <c r="I13642" s="2"/>
      <c r="J13642" s="2"/>
      <c r="K13642" s="2"/>
      <c r="L13642" s="2"/>
      <c r="M13642" s="2"/>
      <c r="N13642" s="2"/>
      <c r="O13642" s="2"/>
      <c r="P13642" s="2"/>
      <c r="Q13642" s="2"/>
      <c r="R13642" s="2"/>
      <c r="S13642" s="2"/>
      <c r="T13642" s="2"/>
      <c r="U13642" s="2"/>
      <c r="V13642" s="2"/>
      <c r="W13642" s="2"/>
      <c r="X13642" s="2"/>
      <c r="Y13642" s="2"/>
      <c r="Z13642" s="2"/>
    </row>
    <row r="13643" spans="1:26" ht="16.5" x14ac:dyDescent="0.35">
      <c r="A13643" s="2" t="str">
        <f ca="1">IFERROR(__xludf.DUMMYFUNCTION("""COMPUTED_VALUE"""),"Dubai")</f>
        <v>Dubai</v>
      </c>
      <c r="B13643" s="2" t="str">
        <f ca="1">IFERROR(__xludf.DUMMYFUNCTION("""COMPUTED_VALUE"""),"Solaire 16")</f>
        <v>Solaire 16</v>
      </c>
      <c r="C13643" s="2" t="str">
        <f ca="1">IFERROR(__xludf.DUMMYFUNCTION("""COMPUTED_VALUE"""),"Building")</f>
        <v>Building</v>
      </c>
      <c r="D13643" s="2" t="str">
        <f ca="1">IFERROR(__xludf.DUMMYFUNCTION("""COMPUTED_VALUE"""),"Dubai&gt;Al Satwa&gt;Jumeirah Garden City&gt;Solaire 16")</f>
        <v>Dubai&gt;Al Satwa&gt;Jumeirah Garden City&gt;Solaire 16</v>
      </c>
      <c r="E13643" s="2"/>
      <c r="F13643" s="2"/>
      <c r="G13643" s="2"/>
      <c r="H13643" s="2"/>
      <c r="I13643" s="2"/>
      <c r="J13643" s="2"/>
      <c r="K13643" s="2"/>
      <c r="L13643" s="2"/>
      <c r="M13643" s="2"/>
      <c r="N13643" s="2"/>
      <c r="O13643" s="2"/>
      <c r="P13643" s="2"/>
      <c r="Q13643" s="2"/>
      <c r="R13643" s="2"/>
      <c r="S13643" s="2"/>
      <c r="T13643" s="2"/>
      <c r="U13643" s="2"/>
      <c r="V13643" s="2"/>
      <c r="W13643" s="2"/>
      <c r="X13643" s="2"/>
      <c r="Y13643" s="2"/>
      <c r="Z13643" s="2"/>
    </row>
    <row r="13644" spans="1:26" ht="16.5" x14ac:dyDescent="0.35">
      <c r="A13644" s="2" t="str">
        <f ca="1">IFERROR(__xludf.DUMMYFUNCTION("""COMPUTED_VALUE"""),"Dubai")</f>
        <v>Dubai</v>
      </c>
      <c r="B13644" s="2" t="str">
        <f ca="1">IFERROR(__xludf.DUMMYFUNCTION("""COMPUTED_VALUE"""),"Stamn One")</f>
        <v>Stamn One</v>
      </c>
      <c r="C13644" s="2" t="str">
        <f ca="1">IFERROR(__xludf.DUMMYFUNCTION("""COMPUTED_VALUE"""),"Building")</f>
        <v>Building</v>
      </c>
      <c r="D13644" s="2" t="str">
        <f ca="1">IFERROR(__xludf.DUMMYFUNCTION("""COMPUTED_VALUE"""),"Dubai&gt;Al Satwa&gt;Jumeirah Garden City&gt;Stamn One")</f>
        <v>Dubai&gt;Al Satwa&gt;Jumeirah Garden City&gt;Stamn One</v>
      </c>
      <c r="E13644" s="2"/>
      <c r="F13644" s="2"/>
      <c r="G13644" s="2"/>
      <c r="H13644" s="2"/>
      <c r="I13644" s="2"/>
      <c r="J13644" s="2"/>
      <c r="K13644" s="2"/>
      <c r="L13644" s="2"/>
      <c r="M13644" s="2"/>
      <c r="N13644" s="2"/>
      <c r="O13644" s="2"/>
      <c r="P13644" s="2"/>
      <c r="Q13644" s="2"/>
      <c r="R13644" s="2"/>
      <c r="S13644" s="2"/>
      <c r="T13644" s="2"/>
      <c r="U13644" s="2"/>
      <c r="V13644" s="2"/>
      <c r="W13644" s="2"/>
      <c r="X13644" s="2"/>
      <c r="Y13644" s="2"/>
      <c r="Z13644" s="2"/>
    </row>
    <row r="13645" spans="1:26" ht="16.5" x14ac:dyDescent="0.35">
      <c r="A13645" s="2" t="str">
        <f ca="1">IFERROR(__xludf.DUMMYFUNCTION("""COMPUTED_VALUE"""),"Dubai")</f>
        <v>Dubai</v>
      </c>
      <c r="B13645" s="2" t="str">
        <f ca="1">IFERROR(__xludf.DUMMYFUNCTION("""COMPUTED_VALUE"""),"Oasis 1")</f>
        <v>Oasis 1</v>
      </c>
      <c r="C13645" s="2" t="str">
        <f ca="1">IFERROR(__xludf.DUMMYFUNCTION("""COMPUTED_VALUE"""),"Building")</f>
        <v>Building</v>
      </c>
      <c r="D13645" s="2" t="str">
        <f ca="1">IFERROR(__xludf.DUMMYFUNCTION("""COMPUTED_VALUE"""),"Dubai&gt;Al Satwa&gt;Jumeirah Garden City&gt;Oasis 1")</f>
        <v>Dubai&gt;Al Satwa&gt;Jumeirah Garden City&gt;Oasis 1</v>
      </c>
      <c r="E13645" s="2"/>
      <c r="F13645" s="2"/>
      <c r="G13645" s="2"/>
      <c r="H13645" s="2"/>
      <c r="I13645" s="2"/>
      <c r="J13645" s="2"/>
      <c r="K13645" s="2"/>
      <c r="L13645" s="2"/>
      <c r="M13645" s="2"/>
      <c r="N13645" s="2"/>
      <c r="O13645" s="2"/>
      <c r="P13645" s="2"/>
      <c r="Q13645" s="2"/>
      <c r="R13645" s="2"/>
      <c r="S13645" s="2"/>
      <c r="T13645" s="2"/>
      <c r="U13645" s="2"/>
      <c r="V13645" s="2"/>
      <c r="W13645" s="2"/>
      <c r="X13645" s="2"/>
      <c r="Y13645" s="2"/>
      <c r="Z13645" s="2"/>
    </row>
    <row r="13646" spans="1:26" ht="16.5" x14ac:dyDescent="0.35">
      <c r="A13646" s="2" t="str">
        <f ca="1">IFERROR(__xludf.DUMMYFUNCTION("""COMPUTED_VALUE"""),"Dubai")</f>
        <v>Dubai</v>
      </c>
      <c r="B13646" s="2" t="str">
        <f ca="1">IFERROR(__xludf.DUMMYFUNCTION("""COMPUTED_VALUE"""),"Mirdif American School")</f>
        <v>Mirdif American School</v>
      </c>
      <c r="C13646" s="2" t="str">
        <f ca="1">IFERROR(__xludf.DUMMYFUNCTION("""COMPUTED_VALUE"""),"School")</f>
        <v>School</v>
      </c>
      <c r="D13646" s="2" t="str">
        <f ca="1">IFERROR(__xludf.DUMMYFUNCTION("""COMPUTED_VALUE"""),"Dubai&gt;Al Mizhar&gt;Al Mizhar 1&gt;Mirdif American School")</f>
        <v>Dubai&gt;Al Mizhar&gt;Al Mizhar 1&gt;Mirdif American School</v>
      </c>
      <c r="E13646" s="2"/>
      <c r="F13646" s="2"/>
      <c r="G13646" s="2"/>
      <c r="H13646" s="2"/>
      <c r="I13646" s="2"/>
      <c r="J13646" s="2"/>
      <c r="K13646" s="2"/>
      <c r="L13646" s="2"/>
      <c r="M13646" s="2"/>
      <c r="N13646" s="2"/>
      <c r="O13646" s="2"/>
      <c r="P13646" s="2"/>
      <c r="Q13646" s="2"/>
      <c r="R13646" s="2"/>
      <c r="S13646" s="2"/>
      <c r="T13646" s="2"/>
      <c r="U13646" s="2"/>
      <c r="V13646" s="2"/>
      <c r="W13646" s="2"/>
      <c r="X13646" s="2"/>
      <c r="Y13646" s="2"/>
      <c r="Z13646" s="2"/>
    </row>
    <row r="13647" spans="1:26" ht="16.5" x14ac:dyDescent="0.35">
      <c r="A13647" s="2" t="str">
        <f ca="1">IFERROR(__xludf.DUMMYFUNCTION("""COMPUTED_VALUE"""),"Dubai")</f>
        <v>Dubai</v>
      </c>
      <c r="B13647" s="2" t="str">
        <f ca="1">IFERROR(__xludf.DUMMYFUNCTION("""COMPUTED_VALUE"""),"Building 127")</f>
        <v>Building 127</v>
      </c>
      <c r="C13647" s="2" t="str">
        <f ca="1">IFERROR(__xludf.DUMMYFUNCTION("""COMPUTED_VALUE"""),"Building")</f>
        <v>Building</v>
      </c>
      <c r="D13647" s="2" t="str">
        <f ca="1">IFERROR(__xludf.DUMMYFUNCTION("""COMPUTED_VALUE"""),"Dubai&gt;Discovery Gardens&gt;Contemporary&gt;Building 127")</f>
        <v>Dubai&gt;Discovery Gardens&gt;Contemporary&gt;Building 127</v>
      </c>
      <c r="E13647" s="2"/>
      <c r="F13647" s="2"/>
      <c r="G13647" s="2"/>
      <c r="H13647" s="2"/>
      <c r="I13647" s="2"/>
      <c r="J13647" s="2"/>
      <c r="K13647" s="2"/>
      <c r="L13647" s="2"/>
      <c r="M13647" s="2"/>
      <c r="N13647" s="2"/>
      <c r="O13647" s="2"/>
      <c r="P13647" s="2"/>
      <c r="Q13647" s="2"/>
      <c r="R13647" s="2"/>
      <c r="S13647" s="2"/>
      <c r="T13647" s="2"/>
      <c r="U13647" s="2"/>
      <c r="V13647" s="2"/>
      <c r="W13647" s="2"/>
      <c r="X13647" s="2"/>
      <c r="Y13647" s="2"/>
      <c r="Z13647" s="2"/>
    </row>
    <row r="13648" spans="1:26" ht="16.5" x14ac:dyDescent="0.35">
      <c r="A13648" s="2" t="str">
        <f ca="1">IFERROR(__xludf.DUMMYFUNCTION("""COMPUTED_VALUE"""),"Dubai")</f>
        <v>Dubai</v>
      </c>
      <c r="B13648" s="2" t="str">
        <f ca="1">IFERROR(__xludf.DUMMYFUNCTION("""COMPUTED_VALUE"""),"Building 237")</f>
        <v>Building 237</v>
      </c>
      <c r="C13648" s="2" t="str">
        <f ca="1">IFERROR(__xludf.DUMMYFUNCTION("""COMPUTED_VALUE"""),"Building")</f>
        <v>Building</v>
      </c>
      <c r="D13648" s="2" t="str">
        <f ca="1">IFERROR(__xludf.DUMMYFUNCTION("""COMPUTED_VALUE"""),"Dubai&gt;Discovery Gardens&gt;Mesoamerican&gt;Building 237")</f>
        <v>Dubai&gt;Discovery Gardens&gt;Mesoamerican&gt;Building 237</v>
      </c>
      <c r="E13648" s="2"/>
      <c r="F13648" s="2"/>
      <c r="G13648" s="2"/>
      <c r="H13648" s="2"/>
      <c r="I13648" s="2"/>
      <c r="J13648" s="2"/>
      <c r="K13648" s="2"/>
      <c r="L13648" s="2"/>
      <c r="M13648" s="2"/>
      <c r="N13648" s="2"/>
      <c r="O13648" s="2"/>
      <c r="P13648" s="2"/>
      <c r="Q13648" s="2"/>
      <c r="R13648" s="2"/>
      <c r="S13648" s="2"/>
      <c r="T13648" s="2"/>
      <c r="U13648" s="2"/>
      <c r="V13648" s="2"/>
      <c r="W13648" s="2"/>
      <c r="X13648" s="2"/>
      <c r="Y13648" s="2"/>
      <c r="Z13648" s="2"/>
    </row>
    <row r="13649" spans="1:26" ht="16.5" x14ac:dyDescent="0.35">
      <c r="A13649" s="2" t="str">
        <f ca="1">IFERROR(__xludf.DUMMYFUNCTION("""COMPUTED_VALUE"""),"Dubai")</f>
        <v>Dubai</v>
      </c>
      <c r="B13649" s="2" t="str">
        <f ca="1">IFERROR(__xludf.DUMMYFUNCTION("""COMPUTED_VALUE"""),"Building 218")</f>
        <v>Building 218</v>
      </c>
      <c r="C13649" s="2" t="str">
        <f ca="1">IFERROR(__xludf.DUMMYFUNCTION("""COMPUTED_VALUE"""),"Building")</f>
        <v>Building</v>
      </c>
      <c r="D13649" s="2" t="str">
        <f ca="1">IFERROR(__xludf.DUMMYFUNCTION("""COMPUTED_VALUE"""),"Dubai&gt;Discovery Gardens&gt;Mogul&gt;Building 218")</f>
        <v>Dubai&gt;Discovery Gardens&gt;Mogul&gt;Building 218</v>
      </c>
      <c r="E13649" s="2"/>
      <c r="F13649" s="2"/>
      <c r="G13649" s="2"/>
      <c r="H13649" s="2"/>
      <c r="I13649" s="2"/>
      <c r="J13649" s="2"/>
      <c r="K13649" s="2"/>
      <c r="L13649" s="2"/>
      <c r="M13649" s="2"/>
      <c r="N13649" s="2"/>
      <c r="O13649" s="2"/>
      <c r="P13649" s="2"/>
      <c r="Q13649" s="2"/>
      <c r="R13649" s="2"/>
      <c r="S13649" s="2"/>
      <c r="T13649" s="2"/>
      <c r="U13649" s="2"/>
      <c r="V13649" s="2"/>
      <c r="W13649" s="2"/>
      <c r="X13649" s="2"/>
      <c r="Y13649" s="2"/>
      <c r="Z13649" s="2"/>
    </row>
    <row r="13650" spans="1:26" ht="16.5" x14ac:dyDescent="0.35">
      <c r="A13650" s="2" t="str">
        <f ca="1">IFERROR(__xludf.DUMMYFUNCTION("""COMPUTED_VALUE"""),"Dubai")</f>
        <v>Dubai</v>
      </c>
      <c r="B13650" s="2" t="str">
        <f ca="1">IFERROR(__xludf.DUMMYFUNCTION("""COMPUTED_VALUE"""),"Zen Cluster")</f>
        <v>Zen Cluster</v>
      </c>
      <c r="C13650" s="2" t="str">
        <f ca="1">IFERROR(__xludf.DUMMYFUNCTION("""COMPUTED_VALUE"""),"Neighbourhood")</f>
        <v>Neighbourhood</v>
      </c>
      <c r="D13650" s="2" t="str">
        <f ca="1">IFERROR(__xludf.DUMMYFUNCTION("""COMPUTED_VALUE"""),"Dubai&gt;Discovery Gardens&gt;Zen Cluster")</f>
        <v>Dubai&gt;Discovery Gardens&gt;Zen Cluster</v>
      </c>
      <c r="E13650" s="2"/>
      <c r="F13650" s="2"/>
      <c r="G13650" s="2"/>
      <c r="H13650" s="2"/>
      <c r="I13650" s="2"/>
      <c r="J13650" s="2"/>
      <c r="K13650" s="2"/>
      <c r="L13650" s="2"/>
      <c r="M13650" s="2"/>
      <c r="N13650" s="2"/>
      <c r="O13650" s="2"/>
      <c r="P13650" s="2"/>
      <c r="Q13650" s="2"/>
      <c r="R13650" s="2"/>
      <c r="S13650" s="2"/>
      <c r="T13650" s="2"/>
      <c r="U13650" s="2"/>
      <c r="V13650" s="2"/>
      <c r="W13650" s="2"/>
      <c r="X13650" s="2"/>
      <c r="Y13650" s="2"/>
      <c r="Z13650" s="2"/>
    </row>
    <row r="13651" spans="1:26" ht="16.5" x14ac:dyDescent="0.35">
      <c r="A13651" s="2" t="str">
        <f ca="1">IFERROR(__xludf.DUMMYFUNCTION("""COMPUTED_VALUE"""),"Dubai")</f>
        <v>Dubai</v>
      </c>
      <c r="B13651" s="2" t="str">
        <f ca="1">IFERROR(__xludf.DUMMYFUNCTION("""COMPUTED_VALUE"""),"Building 35")</f>
        <v>Building 35</v>
      </c>
      <c r="C13651" s="2" t="str">
        <f ca="1">IFERROR(__xludf.DUMMYFUNCTION("""COMPUTED_VALUE"""),"Building")</f>
        <v>Building</v>
      </c>
      <c r="D13651" s="2" t="str">
        <f ca="1">IFERROR(__xludf.DUMMYFUNCTION("""COMPUTED_VALUE"""),"Dubai&gt;Discovery Gardens&gt;Zen Cluster&gt;Building 35")</f>
        <v>Dubai&gt;Discovery Gardens&gt;Zen Cluster&gt;Building 35</v>
      </c>
      <c r="E13651" s="2"/>
      <c r="F13651" s="2"/>
      <c r="G13651" s="2"/>
      <c r="H13651" s="2"/>
      <c r="I13651" s="2"/>
      <c r="J13651" s="2"/>
      <c r="K13651" s="2"/>
      <c r="L13651" s="2"/>
      <c r="M13651" s="2"/>
      <c r="N13651" s="2"/>
      <c r="O13651" s="2"/>
      <c r="P13651" s="2"/>
      <c r="Q13651" s="2"/>
      <c r="R13651" s="2"/>
      <c r="S13651" s="2"/>
      <c r="T13651" s="2"/>
      <c r="U13651" s="2"/>
      <c r="V13651" s="2"/>
      <c r="W13651" s="2"/>
      <c r="X13651" s="2"/>
      <c r="Y13651" s="2"/>
      <c r="Z13651" s="2"/>
    </row>
    <row r="13652" spans="1:26" ht="16.5" x14ac:dyDescent="0.35">
      <c r="A13652" s="2" t="str">
        <f ca="1">IFERROR(__xludf.DUMMYFUNCTION("""COMPUTED_VALUE"""),"Dubai")</f>
        <v>Dubai</v>
      </c>
      <c r="B13652" s="2" t="str">
        <f ca="1">IFERROR(__xludf.DUMMYFUNCTION("""COMPUTED_VALUE"""),"Building 40")</f>
        <v>Building 40</v>
      </c>
      <c r="C13652" s="2" t="str">
        <f ca="1">IFERROR(__xludf.DUMMYFUNCTION("""COMPUTED_VALUE"""),"Building")</f>
        <v>Building</v>
      </c>
      <c r="D13652" s="2" t="str">
        <f ca="1">IFERROR(__xludf.DUMMYFUNCTION("""COMPUTED_VALUE"""),"Dubai&gt;Discovery Gardens&gt;Mediterranean&gt;Building 40")</f>
        <v>Dubai&gt;Discovery Gardens&gt;Mediterranean&gt;Building 40</v>
      </c>
      <c r="E13652" s="2"/>
      <c r="F13652" s="2"/>
      <c r="G13652" s="2"/>
      <c r="H13652" s="2"/>
      <c r="I13652" s="2"/>
      <c r="J13652" s="2"/>
      <c r="K13652" s="2"/>
      <c r="L13652" s="2"/>
      <c r="M13652" s="2"/>
      <c r="N13652" s="2"/>
      <c r="O13652" s="2"/>
      <c r="P13652" s="2"/>
      <c r="Q13652" s="2"/>
      <c r="R13652" s="2"/>
      <c r="S13652" s="2"/>
      <c r="T13652" s="2"/>
      <c r="U13652" s="2"/>
      <c r="V13652" s="2"/>
      <c r="W13652" s="2"/>
      <c r="X13652" s="2"/>
      <c r="Y13652" s="2"/>
      <c r="Z13652" s="2"/>
    </row>
    <row r="13653" spans="1:26" ht="16.5" x14ac:dyDescent="0.35">
      <c r="A13653" s="2" t="str">
        <f ca="1">IFERROR(__xludf.DUMMYFUNCTION("""COMPUTED_VALUE"""),"Dubai")</f>
        <v>Dubai</v>
      </c>
      <c r="B13653" s="2" t="str">
        <f ca="1">IFERROR(__xludf.DUMMYFUNCTION("""COMPUTED_VALUE"""),"Building 87")</f>
        <v>Building 87</v>
      </c>
      <c r="C13653" s="2" t="str">
        <f ca="1">IFERROR(__xludf.DUMMYFUNCTION("""COMPUTED_VALUE"""),"Building")</f>
        <v>Building</v>
      </c>
      <c r="D13653" s="2" t="str">
        <f ca="1">IFERROR(__xludf.DUMMYFUNCTION("""COMPUTED_VALUE"""),"Dubai&gt;Discovery Gardens&gt;Mediterranean&gt;Building 87")</f>
        <v>Dubai&gt;Discovery Gardens&gt;Mediterranean&gt;Building 87</v>
      </c>
      <c r="E13653" s="2"/>
      <c r="F13653" s="2"/>
      <c r="G13653" s="2"/>
      <c r="H13653" s="2"/>
      <c r="I13653" s="2"/>
      <c r="J13653" s="2"/>
      <c r="K13653" s="2"/>
      <c r="L13653" s="2"/>
      <c r="M13653" s="2"/>
      <c r="N13653" s="2"/>
      <c r="O13653" s="2"/>
      <c r="P13653" s="2"/>
      <c r="Q13653" s="2"/>
      <c r="R13653" s="2"/>
      <c r="S13653" s="2"/>
      <c r="T13653" s="2"/>
      <c r="U13653" s="2"/>
      <c r="V13653" s="2"/>
      <c r="W13653" s="2"/>
      <c r="X13653" s="2"/>
      <c r="Y13653" s="2"/>
      <c r="Z13653" s="2"/>
    </row>
    <row r="13654" spans="1:26" ht="16.5" x14ac:dyDescent="0.35">
      <c r="A13654" s="2" t="str">
        <f ca="1">IFERROR(__xludf.DUMMYFUNCTION("""COMPUTED_VALUE"""),"Dubai")</f>
        <v>Dubai</v>
      </c>
      <c r="B13654" s="2" t="str">
        <f ca="1">IFERROR(__xludf.DUMMYFUNCTION("""COMPUTED_VALUE"""),"Orla Infinity by Omniyat")</f>
        <v>Orla Infinity by Omniyat</v>
      </c>
      <c r="C13654" s="2" t="str">
        <f ca="1">IFERROR(__xludf.DUMMYFUNCTION("""COMPUTED_VALUE"""),"Building")</f>
        <v>Building</v>
      </c>
      <c r="D13654" s="2" t="str">
        <f ca="1">IFERROR(__xludf.DUMMYFUNCTION("""COMPUTED_VALUE"""),"Dubai&gt;Palm Jumeirah&gt;Kingdom of Sheba&gt;Orla Infinity by Omniyat")</f>
        <v>Dubai&gt;Palm Jumeirah&gt;Kingdom of Sheba&gt;Orla Infinity by Omniyat</v>
      </c>
      <c r="E13654" s="2"/>
      <c r="F13654" s="2"/>
      <c r="G13654" s="2"/>
      <c r="H13654" s="2"/>
      <c r="I13654" s="2"/>
      <c r="J13654" s="2"/>
      <c r="K13654" s="2"/>
      <c r="L13654" s="2"/>
      <c r="M13654" s="2"/>
      <c r="N13654" s="2"/>
      <c r="O13654" s="2"/>
      <c r="P13654" s="2"/>
      <c r="Q13654" s="2"/>
      <c r="R13654" s="2"/>
      <c r="S13654" s="2"/>
      <c r="T13654" s="2"/>
      <c r="U13654" s="2"/>
      <c r="V13654" s="2"/>
      <c r="W13654" s="2"/>
      <c r="X13654" s="2"/>
      <c r="Y13654" s="2"/>
      <c r="Z13654" s="2"/>
    </row>
    <row r="13655" spans="1:26" ht="16.5" x14ac:dyDescent="0.35">
      <c r="A13655" s="2" t="str">
        <f ca="1">IFERROR(__xludf.DUMMYFUNCTION("""COMPUTED_VALUE"""),"Dubai")</f>
        <v>Dubai</v>
      </c>
      <c r="B13655" s="2" t="str">
        <f ca="1">IFERROR(__xludf.DUMMYFUNCTION("""COMPUTED_VALUE"""),"One at Palm Jumeirah")</f>
        <v>One at Palm Jumeirah</v>
      </c>
      <c r="C13655" s="2" t="str">
        <f ca="1">IFERROR(__xludf.DUMMYFUNCTION("""COMPUTED_VALUE"""),"Building")</f>
        <v>Building</v>
      </c>
      <c r="D13655" s="2" t="str">
        <f ca="1">IFERROR(__xludf.DUMMYFUNCTION("""COMPUTED_VALUE"""),"Dubai&gt;Palm Jumeirah&gt;One at Palm Jumeirah")</f>
        <v>Dubai&gt;Palm Jumeirah&gt;One at Palm Jumeirah</v>
      </c>
      <c r="E13655" s="2"/>
      <c r="F13655" s="2"/>
      <c r="G13655" s="2"/>
      <c r="H13655" s="2"/>
      <c r="I13655" s="2"/>
      <c r="J13655" s="2"/>
      <c r="K13655" s="2"/>
      <c r="L13655" s="2"/>
      <c r="M13655" s="2"/>
      <c r="N13655" s="2"/>
      <c r="O13655" s="2"/>
      <c r="P13655" s="2"/>
      <c r="Q13655" s="2"/>
      <c r="R13655" s="2"/>
      <c r="S13655" s="2"/>
      <c r="T13655" s="2"/>
      <c r="U13655" s="2"/>
      <c r="V13655" s="2"/>
      <c r="W13655" s="2"/>
      <c r="X13655" s="2"/>
      <c r="Y13655" s="2"/>
      <c r="Z13655" s="2"/>
    </row>
    <row r="13656" spans="1:26" ht="16.5" x14ac:dyDescent="0.35">
      <c r="A13656" s="2" t="str">
        <f ca="1">IFERROR(__xludf.DUMMYFUNCTION("""COMPUTED_VALUE"""),"Dubai")</f>
        <v>Dubai</v>
      </c>
      <c r="B13656" s="2" t="str">
        <f ca="1">IFERROR(__xludf.DUMMYFUNCTION("""COMPUTED_VALUE"""),"Jumeirah International Nursery Palm Jumeirah")</f>
        <v>Jumeirah International Nursery Palm Jumeirah</v>
      </c>
      <c r="C13656" s="2" t="str">
        <f ca="1">IFERROR(__xludf.DUMMYFUNCTION("""COMPUTED_VALUE"""),"Nursery")</f>
        <v>Nursery</v>
      </c>
      <c r="D13656" s="2" t="str">
        <f ca="1">IFERROR(__xludf.DUMMYFUNCTION("""COMPUTED_VALUE"""),"Dubai&gt;Palm Jumeirah&gt;Golden Mile&gt;Jumeirah International Nursery Palm Jumeirah")</f>
        <v>Dubai&gt;Palm Jumeirah&gt;Golden Mile&gt;Jumeirah International Nursery Palm Jumeirah</v>
      </c>
      <c r="E13656" s="2"/>
      <c r="F13656" s="2"/>
      <c r="G13656" s="2"/>
      <c r="H13656" s="2"/>
      <c r="I13656" s="2"/>
      <c r="J13656" s="2"/>
      <c r="K13656" s="2"/>
      <c r="L13656" s="2"/>
      <c r="M13656" s="2"/>
      <c r="N13656" s="2"/>
      <c r="O13656" s="2"/>
      <c r="P13656" s="2"/>
      <c r="Q13656" s="2"/>
      <c r="R13656" s="2"/>
      <c r="S13656" s="2"/>
      <c r="T13656" s="2"/>
      <c r="U13656" s="2"/>
      <c r="V13656" s="2"/>
      <c r="W13656" s="2"/>
      <c r="X13656" s="2"/>
      <c r="Y13656" s="2"/>
      <c r="Z13656" s="2"/>
    </row>
    <row r="13657" spans="1:26" ht="16.5" x14ac:dyDescent="0.35">
      <c r="A13657" s="2" t="str">
        <f ca="1">IFERROR(__xludf.DUMMYFUNCTION("""COMPUTED_VALUE"""),"Dubai")</f>
        <v>Dubai</v>
      </c>
      <c r="B13657" s="2" t="str">
        <f ca="1">IFERROR(__xludf.DUMMYFUNCTION("""COMPUTED_VALUE"""),"Jumeirah Zabeel Saray")</f>
        <v>Jumeirah Zabeel Saray</v>
      </c>
      <c r="C13657" s="2" t="str">
        <f ca="1">IFERROR(__xludf.DUMMYFUNCTION("""COMPUTED_VALUE"""),"Building")</f>
        <v>Building</v>
      </c>
      <c r="D13657" s="2" t="str">
        <f ca="1">IFERROR(__xludf.DUMMYFUNCTION("""COMPUTED_VALUE"""),"Dubai&gt;Palm Jumeirah&gt;The Crescent&gt;Jumeirah Zabeel Saray")</f>
        <v>Dubai&gt;Palm Jumeirah&gt;The Crescent&gt;Jumeirah Zabeel Saray</v>
      </c>
      <c r="E13657" s="2"/>
      <c r="F13657" s="2"/>
      <c r="G13657" s="2"/>
      <c r="H13657" s="2"/>
      <c r="I13657" s="2"/>
      <c r="J13657" s="2"/>
      <c r="K13657" s="2"/>
      <c r="L13657" s="2"/>
      <c r="M13657" s="2"/>
      <c r="N13657" s="2"/>
      <c r="O13657" s="2"/>
      <c r="P13657" s="2"/>
      <c r="Q13657" s="2"/>
      <c r="R13657" s="2"/>
      <c r="S13657" s="2"/>
      <c r="T13657" s="2"/>
      <c r="U13657" s="2"/>
      <c r="V13657" s="2"/>
      <c r="W13657" s="2"/>
      <c r="X13657" s="2"/>
      <c r="Y13657" s="2"/>
      <c r="Z13657" s="2"/>
    </row>
    <row r="13658" spans="1:26" ht="16.5" x14ac:dyDescent="0.35">
      <c r="A13658" s="2" t="str">
        <f ca="1">IFERROR(__xludf.DUMMYFUNCTION("""COMPUTED_VALUE"""),"Dubai")</f>
        <v>Dubai</v>
      </c>
      <c r="B13658" s="2" t="str">
        <f ca="1">IFERROR(__xludf.DUMMYFUNCTION("""COMPUTED_VALUE"""),"Garden Homes Frond P")</f>
        <v>Garden Homes Frond P</v>
      </c>
      <c r="C13658" s="2" t="str">
        <f ca="1">IFERROR(__xludf.DUMMYFUNCTION("""COMPUTED_VALUE"""),"Neighbourhood")</f>
        <v>Neighbourhood</v>
      </c>
      <c r="D13658" s="2" t="str">
        <f ca="1">IFERROR(__xludf.DUMMYFUNCTION("""COMPUTED_VALUE"""),"Dubai&gt;Palm Jumeirah&gt;Garden Homes Palm Jumeirah&gt;Garden Homes Frond P")</f>
        <v>Dubai&gt;Palm Jumeirah&gt;Garden Homes Palm Jumeirah&gt;Garden Homes Frond P</v>
      </c>
      <c r="E13658" s="2"/>
      <c r="F13658" s="2"/>
      <c r="G13658" s="2"/>
      <c r="H13658" s="2"/>
      <c r="I13658" s="2"/>
      <c r="J13658" s="2"/>
      <c r="K13658" s="2"/>
      <c r="L13658" s="2"/>
      <c r="M13658" s="2"/>
      <c r="N13658" s="2"/>
      <c r="O13658" s="2"/>
      <c r="P13658" s="2"/>
      <c r="Q13658" s="2"/>
      <c r="R13658" s="2"/>
      <c r="S13658" s="2"/>
      <c r="T13658" s="2"/>
      <c r="U13658" s="2"/>
      <c r="V13658" s="2"/>
      <c r="W13658" s="2"/>
      <c r="X13658" s="2"/>
      <c r="Y13658" s="2"/>
      <c r="Z13658" s="2"/>
    </row>
    <row r="13659" spans="1:26" ht="16.5" x14ac:dyDescent="0.35">
      <c r="A13659" s="2" t="str">
        <f ca="1">IFERROR(__xludf.DUMMYFUNCTION("""COMPUTED_VALUE"""),"Dubai")</f>
        <v>Dubai</v>
      </c>
      <c r="B13659" s="2" t="str">
        <f ca="1">IFERROR(__xludf.DUMMYFUNCTION("""COMPUTED_VALUE"""),"Serenia Living Tower 2")</f>
        <v>Serenia Living Tower 2</v>
      </c>
      <c r="C13659" s="2" t="str">
        <f ca="1">IFERROR(__xludf.DUMMYFUNCTION("""COMPUTED_VALUE"""),"Building")</f>
        <v>Building</v>
      </c>
      <c r="D13659" s="2" t="str">
        <f ca="1">IFERROR(__xludf.DUMMYFUNCTION("""COMPUTED_VALUE"""),"Dubai&gt;Palm Jumeirah&gt;Serenia Living&gt;Serenia Living Tower 2")</f>
        <v>Dubai&gt;Palm Jumeirah&gt;Serenia Living&gt;Serenia Living Tower 2</v>
      </c>
      <c r="E13659" s="2"/>
      <c r="F13659" s="2"/>
      <c r="G13659" s="2"/>
      <c r="H13659" s="2"/>
      <c r="I13659" s="2"/>
      <c r="J13659" s="2"/>
      <c r="K13659" s="2"/>
      <c r="L13659" s="2"/>
      <c r="M13659" s="2"/>
      <c r="N13659" s="2"/>
      <c r="O13659" s="2"/>
      <c r="P13659" s="2"/>
      <c r="Q13659" s="2"/>
      <c r="R13659" s="2"/>
      <c r="S13659" s="2"/>
      <c r="T13659" s="2"/>
      <c r="U13659" s="2"/>
      <c r="V13659" s="2"/>
      <c r="W13659" s="2"/>
      <c r="X13659" s="2"/>
      <c r="Y13659" s="2"/>
      <c r="Z13659" s="2"/>
    </row>
    <row r="13660" spans="1:26" ht="16.5" x14ac:dyDescent="0.35">
      <c r="A13660" s="2" t="str">
        <f ca="1">IFERROR(__xludf.DUMMYFUNCTION("""COMPUTED_VALUE"""),"Dubai")</f>
        <v>Dubai</v>
      </c>
      <c r="B13660" s="2" t="str">
        <f ca="1">IFERROR(__xludf.DUMMYFUNCTION("""COMPUTED_VALUE"""),"Hilton Dubai Palm Jumeirah")</f>
        <v>Hilton Dubai Palm Jumeirah</v>
      </c>
      <c r="C13660" s="2" t="str">
        <f ca="1">IFERROR(__xludf.DUMMYFUNCTION("""COMPUTED_VALUE"""),"Building")</f>
        <v>Building</v>
      </c>
      <c r="D13660" s="2" t="str">
        <f ca="1">IFERROR(__xludf.DUMMYFUNCTION("""COMPUTED_VALUE"""),"Dubai&gt;Palm Jumeirah&gt;Hilton Dubai Palm Jumeirah")</f>
        <v>Dubai&gt;Palm Jumeirah&gt;Hilton Dubai Palm Jumeirah</v>
      </c>
      <c r="E13660" s="2"/>
      <c r="F13660" s="2"/>
      <c r="G13660" s="2"/>
      <c r="H13660" s="2"/>
      <c r="I13660" s="2"/>
      <c r="J13660" s="2"/>
      <c r="K13660" s="2"/>
      <c r="L13660" s="2"/>
      <c r="M13660" s="2"/>
      <c r="N13660" s="2"/>
      <c r="O13660" s="2"/>
      <c r="P13660" s="2"/>
      <c r="Q13660" s="2"/>
      <c r="R13660" s="2"/>
      <c r="S13660" s="2"/>
      <c r="T13660" s="2"/>
      <c r="U13660" s="2"/>
      <c r="V13660" s="2"/>
      <c r="W13660" s="2"/>
      <c r="X13660" s="2"/>
      <c r="Y13660" s="2"/>
      <c r="Z13660" s="2"/>
    </row>
    <row r="13661" spans="1:26" ht="16.5" x14ac:dyDescent="0.35">
      <c r="A13661" s="2" t="str">
        <f ca="1">IFERROR(__xludf.DUMMYFUNCTION("""COMPUTED_VALUE"""),"Dubai")</f>
        <v>Dubai</v>
      </c>
      <c r="B13661" s="2" t="str">
        <f ca="1">IFERROR(__xludf.DUMMYFUNCTION("""COMPUTED_VALUE"""),"Barajeel Residency")</f>
        <v>Barajeel Residency</v>
      </c>
      <c r="C13661" s="2" t="str">
        <f ca="1">IFERROR(__xludf.DUMMYFUNCTION("""COMPUTED_VALUE"""),"Building")</f>
        <v>Building</v>
      </c>
      <c r="D13661" s="2" t="str">
        <f ca="1">IFERROR(__xludf.DUMMYFUNCTION("""COMPUTED_VALUE"""),"Dubai&gt;Al Jaddaf&gt;Barajeel Residency")</f>
        <v>Dubai&gt;Al Jaddaf&gt;Barajeel Residency</v>
      </c>
      <c r="E13661" s="2"/>
      <c r="F13661" s="2"/>
      <c r="G13661" s="2"/>
      <c r="H13661" s="2"/>
      <c r="I13661" s="2"/>
      <c r="J13661" s="2"/>
      <c r="K13661" s="2"/>
      <c r="L13661" s="2"/>
      <c r="M13661" s="2"/>
      <c r="N13661" s="2"/>
      <c r="O13661" s="2"/>
      <c r="P13661" s="2"/>
      <c r="Q13661" s="2"/>
      <c r="R13661" s="2"/>
      <c r="S13661" s="2"/>
      <c r="T13661" s="2"/>
      <c r="U13661" s="2"/>
      <c r="V13661" s="2"/>
      <c r="W13661" s="2"/>
      <c r="X13661" s="2"/>
      <c r="Y13661" s="2"/>
      <c r="Z13661" s="2"/>
    </row>
    <row r="13662" spans="1:26" ht="16.5" x14ac:dyDescent="0.35">
      <c r="A13662" s="2" t="str">
        <f ca="1">IFERROR(__xludf.DUMMYFUNCTION("""COMPUTED_VALUE"""),"Dubai")</f>
        <v>Dubai</v>
      </c>
      <c r="B13662" s="2" t="str">
        <f ca="1">IFERROR(__xludf.DUMMYFUNCTION("""COMPUTED_VALUE"""),"Residence Inn by Marriott Al Jaddaf")</f>
        <v>Residence Inn by Marriott Al Jaddaf</v>
      </c>
      <c r="C13662" s="2" t="str">
        <f ca="1">IFERROR(__xludf.DUMMYFUNCTION("""COMPUTED_VALUE"""),"Building")</f>
        <v>Building</v>
      </c>
      <c r="D13662" s="2" t="str">
        <f ca="1">IFERROR(__xludf.DUMMYFUNCTION("""COMPUTED_VALUE"""),"Dubai&gt;Al Jaddaf&gt;Residence Inn by Marriott Al Jaddaf")</f>
        <v>Dubai&gt;Al Jaddaf&gt;Residence Inn by Marriott Al Jaddaf</v>
      </c>
      <c r="E13662" s="2"/>
      <c r="F13662" s="2"/>
      <c r="G13662" s="2"/>
      <c r="H13662" s="2"/>
      <c r="I13662" s="2"/>
      <c r="J13662" s="2"/>
      <c r="K13662" s="2"/>
      <c r="L13662" s="2"/>
      <c r="M13662" s="2"/>
      <c r="N13662" s="2"/>
      <c r="O13662" s="2"/>
      <c r="P13662" s="2"/>
      <c r="Q13662" s="2"/>
      <c r="R13662" s="2"/>
      <c r="S13662" s="2"/>
      <c r="T13662" s="2"/>
      <c r="U13662" s="2"/>
      <c r="V13662" s="2"/>
      <c r="W13662" s="2"/>
      <c r="X13662" s="2"/>
      <c r="Y13662" s="2"/>
      <c r="Z13662" s="2"/>
    </row>
    <row r="13663" spans="1:26" ht="16.5" x14ac:dyDescent="0.35">
      <c r="A13663" s="2" t="str">
        <f ca="1">IFERROR(__xludf.DUMMYFUNCTION("""COMPUTED_VALUE"""),"Dubai")</f>
        <v>Dubai</v>
      </c>
      <c r="B13663" s="2" t="str">
        <f ca="1">IFERROR(__xludf.DUMMYFUNCTION("""COMPUTED_VALUE"""),"Almeria")</f>
        <v>Almeria</v>
      </c>
      <c r="C13663" s="2" t="str">
        <f ca="1">IFERROR(__xludf.DUMMYFUNCTION("""COMPUTED_VALUE"""),"Building")</f>
        <v>Building</v>
      </c>
      <c r="D13663" s="2" t="str">
        <f ca="1">IFERROR(__xludf.DUMMYFUNCTION("""COMPUTED_VALUE"""),"Dubai&gt;Al Jaddaf&gt;Almeria")</f>
        <v>Dubai&gt;Al Jaddaf&gt;Almeria</v>
      </c>
      <c r="E13663" s="2"/>
      <c r="F13663" s="2"/>
      <c r="G13663" s="2"/>
      <c r="H13663" s="2"/>
      <c r="I13663" s="2"/>
      <c r="J13663" s="2"/>
      <c r="K13663" s="2"/>
      <c r="L13663" s="2"/>
      <c r="M13663" s="2"/>
      <c r="N13663" s="2"/>
      <c r="O13663" s="2"/>
      <c r="P13663" s="2"/>
      <c r="Q13663" s="2"/>
      <c r="R13663" s="2"/>
      <c r="S13663" s="2"/>
      <c r="T13663" s="2"/>
      <c r="U13663" s="2"/>
      <c r="V13663" s="2"/>
      <c r="W13663" s="2"/>
      <c r="X13663" s="2"/>
      <c r="Y13663" s="2"/>
      <c r="Z13663" s="2"/>
    </row>
    <row r="13664" spans="1:26" ht="16.5" x14ac:dyDescent="0.35">
      <c r="A13664" s="2" t="str">
        <f ca="1">IFERROR(__xludf.DUMMYFUNCTION("""COMPUTED_VALUE"""),"Dubai")</f>
        <v>Dubai</v>
      </c>
      <c r="B13664" s="2" t="str">
        <f ca="1">IFERROR(__xludf.DUMMYFUNCTION("""COMPUTED_VALUE"""),"Frond F")</f>
        <v>Frond F</v>
      </c>
      <c r="C13664" s="2" t="str">
        <f ca="1">IFERROR(__xludf.DUMMYFUNCTION("""COMPUTED_VALUE"""),"Neighbourhood")</f>
        <v>Neighbourhood</v>
      </c>
      <c r="D13664" s="2" t="str">
        <f ca="1">IFERROR(__xludf.DUMMYFUNCTION("""COMPUTED_VALUE"""),"Dubai&gt;Palm Jebel Ali&gt;Frond F")</f>
        <v>Dubai&gt;Palm Jebel Ali&gt;Frond F</v>
      </c>
      <c r="E13664" s="2"/>
      <c r="F13664" s="2"/>
      <c r="G13664" s="2"/>
      <c r="H13664" s="2"/>
      <c r="I13664" s="2"/>
      <c r="J13664" s="2"/>
      <c r="K13664" s="2"/>
      <c r="L13664" s="2"/>
      <c r="M13664" s="2"/>
      <c r="N13664" s="2"/>
      <c r="O13664" s="2"/>
      <c r="P13664" s="2"/>
      <c r="Q13664" s="2"/>
      <c r="R13664" s="2"/>
      <c r="S13664" s="2"/>
      <c r="T13664" s="2"/>
      <c r="U13664" s="2"/>
      <c r="V13664" s="2"/>
      <c r="W13664" s="2"/>
      <c r="X13664" s="2"/>
      <c r="Y13664" s="2"/>
      <c r="Z13664" s="2"/>
    </row>
    <row r="13665" spans="1:26" ht="16.5" x14ac:dyDescent="0.35">
      <c r="A13665" s="2" t="str">
        <f ca="1">IFERROR(__xludf.DUMMYFUNCTION("""COMPUTED_VALUE"""),"Dubai")</f>
        <v>Dubai</v>
      </c>
      <c r="B13665" s="2" t="str">
        <f ca="1">IFERROR(__xludf.DUMMYFUNCTION("""COMPUTED_VALUE"""),"Montrose Residences")</f>
        <v>Montrose Residences</v>
      </c>
      <c r="C13665" s="2" t="str">
        <f ca="1">IFERROR(__xludf.DUMMYFUNCTION("""COMPUTED_VALUE"""),"Cluster")</f>
        <v>Cluster</v>
      </c>
      <c r="D13665" s="2" t="str">
        <f ca="1">IFERROR(__xludf.DUMMYFUNCTION("""COMPUTED_VALUE"""),"Dubai&gt;Dubai Science Park&gt;Montrose Residences")</f>
        <v>Dubai&gt;Dubai Science Park&gt;Montrose Residences</v>
      </c>
      <c r="E13665" s="2"/>
      <c r="F13665" s="2"/>
      <c r="G13665" s="2"/>
      <c r="H13665" s="2"/>
      <c r="I13665" s="2"/>
      <c r="J13665" s="2"/>
      <c r="K13665" s="2"/>
      <c r="L13665" s="2"/>
      <c r="M13665" s="2"/>
      <c r="N13665" s="2"/>
      <c r="O13665" s="2"/>
      <c r="P13665" s="2"/>
      <c r="Q13665" s="2"/>
      <c r="R13665" s="2"/>
      <c r="S13665" s="2"/>
      <c r="T13665" s="2"/>
      <c r="U13665" s="2"/>
      <c r="V13665" s="2"/>
      <c r="W13665" s="2"/>
      <c r="X13665" s="2"/>
      <c r="Y13665" s="2"/>
      <c r="Z13665" s="2"/>
    </row>
    <row r="13666" spans="1:26" ht="16.5" x14ac:dyDescent="0.35">
      <c r="A13666" s="2" t="str">
        <f ca="1">IFERROR(__xludf.DUMMYFUNCTION("""COMPUTED_VALUE"""),"Dubai")</f>
        <v>Dubai</v>
      </c>
      <c r="B13666" s="2" t="str">
        <f ca="1">IFERROR(__xludf.DUMMYFUNCTION("""COMPUTED_VALUE"""),"Binghatti Hillviews")</f>
        <v>Binghatti Hillviews</v>
      </c>
      <c r="C13666" s="2" t="str">
        <f ca="1">IFERROR(__xludf.DUMMYFUNCTION("""COMPUTED_VALUE"""),"Building")</f>
        <v>Building</v>
      </c>
      <c r="D13666" s="2" t="str">
        <f ca="1">IFERROR(__xludf.DUMMYFUNCTION("""COMPUTED_VALUE"""),"Dubai&gt;Dubai Science Park&gt;Binghatti Hillviews")</f>
        <v>Dubai&gt;Dubai Science Park&gt;Binghatti Hillviews</v>
      </c>
      <c r="E13666" s="2"/>
      <c r="F13666" s="2"/>
      <c r="G13666" s="2"/>
      <c r="H13666" s="2"/>
      <c r="I13666" s="2"/>
      <c r="J13666" s="2"/>
      <c r="K13666" s="2"/>
      <c r="L13666" s="2"/>
      <c r="M13666" s="2"/>
      <c r="N13666" s="2"/>
      <c r="O13666" s="2"/>
      <c r="P13666" s="2"/>
      <c r="Q13666" s="2"/>
      <c r="R13666" s="2"/>
      <c r="S13666" s="2"/>
      <c r="T13666" s="2"/>
      <c r="U13666" s="2"/>
      <c r="V13666" s="2"/>
      <c r="W13666" s="2"/>
      <c r="X13666" s="2"/>
      <c r="Y13666" s="2"/>
      <c r="Z13666" s="2"/>
    </row>
    <row r="13667" spans="1:26" ht="16.5" x14ac:dyDescent="0.35">
      <c r="A13667" s="2" t="str">
        <f ca="1">IFERROR(__xludf.DUMMYFUNCTION("""COMPUTED_VALUE"""),"Dubai")</f>
        <v>Dubai</v>
      </c>
      <c r="B13667" s="2" t="str">
        <f ca="1">IFERROR(__xludf.DUMMYFUNCTION("""COMPUTED_VALUE"""),"The Nook")</f>
        <v>The Nook</v>
      </c>
      <c r="C13667" s="2" t="str">
        <f ca="1">IFERROR(__xludf.DUMMYFUNCTION("""COMPUTED_VALUE"""),"Cluster")</f>
        <v>Cluster</v>
      </c>
      <c r="D13667" s="2" t="str">
        <f ca="1">IFERROR(__xludf.DUMMYFUNCTION("""COMPUTED_VALUE"""),"Dubai&gt;Wasl Gate&gt;The Nook")</f>
        <v>Dubai&gt;Wasl Gate&gt;The Nook</v>
      </c>
      <c r="E13667" s="2"/>
      <c r="F13667" s="2"/>
      <c r="G13667" s="2"/>
      <c r="H13667" s="2"/>
      <c r="I13667" s="2"/>
      <c r="J13667" s="2"/>
      <c r="K13667" s="2"/>
      <c r="L13667" s="2"/>
      <c r="M13667" s="2"/>
      <c r="N13667" s="2"/>
      <c r="O13667" s="2"/>
      <c r="P13667" s="2"/>
      <c r="Q13667" s="2"/>
      <c r="R13667" s="2"/>
      <c r="S13667" s="2"/>
      <c r="T13667" s="2"/>
      <c r="U13667" s="2"/>
      <c r="V13667" s="2"/>
      <c r="W13667" s="2"/>
      <c r="X13667" s="2"/>
      <c r="Y13667" s="2"/>
      <c r="Z13667" s="2"/>
    </row>
    <row r="13668" spans="1:26" ht="16.5" x14ac:dyDescent="0.35">
      <c r="A13668" s="2" t="str">
        <f ca="1">IFERROR(__xludf.DUMMYFUNCTION("""COMPUTED_VALUE"""),"Dubai")</f>
        <v>Dubai</v>
      </c>
      <c r="B13668" s="2" t="str">
        <f ca="1">IFERROR(__xludf.DUMMYFUNCTION("""COMPUTED_VALUE"""),"Taiyo Residences")</f>
        <v>Taiyo Residences</v>
      </c>
      <c r="C13668" s="2" t="str">
        <f ca="1">IFERROR(__xludf.DUMMYFUNCTION("""COMPUTED_VALUE"""),"Building")</f>
        <v>Building</v>
      </c>
      <c r="D13668" s="2" t="str">
        <f ca="1">IFERROR(__xludf.DUMMYFUNCTION("""COMPUTED_VALUE"""),"Dubai&gt;Wasl Gate&gt;Taiyo Residences")</f>
        <v>Dubai&gt;Wasl Gate&gt;Taiyo Residences</v>
      </c>
      <c r="E13668" s="2"/>
      <c r="F13668" s="2"/>
      <c r="G13668" s="2"/>
      <c r="H13668" s="2"/>
      <c r="I13668" s="2"/>
      <c r="J13668" s="2"/>
      <c r="K13668" s="2"/>
      <c r="L13668" s="2"/>
      <c r="M13668" s="2"/>
      <c r="N13668" s="2"/>
      <c r="O13668" s="2"/>
      <c r="P13668" s="2"/>
      <c r="Q13668" s="2"/>
      <c r="R13668" s="2"/>
      <c r="S13668" s="2"/>
      <c r="T13668" s="2"/>
      <c r="U13668" s="2"/>
      <c r="V13668" s="2"/>
      <c r="W13668" s="2"/>
      <c r="X13668" s="2"/>
      <c r="Y13668" s="2"/>
      <c r="Z13668" s="2"/>
    </row>
    <row r="13669" spans="1:26" ht="16.5" x14ac:dyDescent="0.35">
      <c r="A13669" s="2" t="str">
        <f ca="1">IFERROR(__xludf.DUMMYFUNCTION("""COMPUTED_VALUE"""),"Dubai")</f>
        <v>Dubai</v>
      </c>
      <c r="B13669" s="2" t="str">
        <f ca="1">IFERROR(__xludf.DUMMYFUNCTION("""COMPUTED_VALUE"""),"Fifth Dimension Elementary School")</f>
        <v>Fifth Dimension Elementary School</v>
      </c>
      <c r="C13669" s="2" t="str">
        <f ca="1">IFERROR(__xludf.DUMMYFUNCTION("""COMPUTED_VALUE"""),"School")</f>
        <v>School</v>
      </c>
      <c r="D13669" s="2" t="str">
        <f ca="1">IFERROR(__xludf.DUMMYFUNCTION("""COMPUTED_VALUE"""),"Dubai&gt;Nad Al Sheba&gt;Nad Al Sheba 4&gt;Fifth Dimension Elementary School")</f>
        <v>Dubai&gt;Nad Al Sheba&gt;Nad Al Sheba 4&gt;Fifth Dimension Elementary School</v>
      </c>
      <c r="E13669" s="2"/>
      <c r="F13669" s="2"/>
      <c r="G13669" s="2"/>
      <c r="H13669" s="2"/>
      <c r="I13669" s="2"/>
      <c r="J13669" s="2"/>
      <c r="K13669" s="2"/>
      <c r="L13669" s="2"/>
      <c r="M13669" s="2"/>
      <c r="N13669" s="2"/>
      <c r="O13669" s="2"/>
      <c r="P13669" s="2"/>
      <c r="Q13669" s="2"/>
      <c r="R13669" s="2"/>
      <c r="S13669" s="2"/>
      <c r="T13669" s="2"/>
      <c r="U13669" s="2"/>
      <c r="V13669" s="2"/>
      <c r="W13669" s="2"/>
      <c r="X13669" s="2"/>
      <c r="Y13669" s="2"/>
      <c r="Z13669" s="2"/>
    </row>
    <row r="13670" spans="1:26" ht="16.5" x14ac:dyDescent="0.35">
      <c r="A13670" s="2" t="str">
        <f ca="1">IFERROR(__xludf.DUMMYFUNCTION("""COMPUTED_VALUE"""),"Dubai")</f>
        <v>Dubai</v>
      </c>
      <c r="B13670" s="2" t="str">
        <f ca="1">IFERROR(__xludf.DUMMYFUNCTION("""COMPUTED_VALUE"""),"Star Holding (BT Building)")</f>
        <v>Star Holding (BT Building)</v>
      </c>
      <c r="C13670" s="2" t="str">
        <f ca="1">IFERROR(__xludf.DUMMYFUNCTION("""COMPUTED_VALUE"""),"Building")</f>
        <v>Building</v>
      </c>
      <c r="D13670" s="2" t="str">
        <f ca="1">IFERROR(__xludf.DUMMYFUNCTION("""COMPUTED_VALUE"""),"Dubai&gt;Dubai Internet City&gt;Star Holding (BT Building)")</f>
        <v>Dubai&gt;Dubai Internet City&gt;Star Holding (BT Building)</v>
      </c>
      <c r="E13670" s="2"/>
      <c r="F13670" s="2"/>
      <c r="G13670" s="2"/>
      <c r="H13670" s="2"/>
      <c r="I13670" s="2"/>
      <c r="J13670" s="2"/>
      <c r="K13670" s="2"/>
      <c r="L13670" s="2"/>
      <c r="M13670" s="2"/>
      <c r="N13670" s="2"/>
      <c r="O13670" s="2"/>
      <c r="P13670" s="2"/>
      <c r="Q13670" s="2"/>
      <c r="R13670" s="2"/>
      <c r="S13670" s="2"/>
      <c r="T13670" s="2"/>
      <c r="U13670" s="2"/>
      <c r="V13670" s="2"/>
      <c r="W13670" s="2"/>
      <c r="X13670" s="2"/>
      <c r="Y13670" s="2"/>
      <c r="Z13670" s="2"/>
    </row>
    <row r="13671" spans="1:26" ht="16.5" x14ac:dyDescent="0.35">
      <c r="A13671" s="2" t="str">
        <f ca="1">IFERROR(__xludf.DUMMYFUNCTION("""COMPUTED_VALUE"""),"Dubai")</f>
        <v>Dubai</v>
      </c>
      <c r="B13671" s="2" t="str">
        <f ca="1">IFERROR(__xludf.DUMMYFUNCTION("""COMPUTED_VALUE"""),"Iconic Residence")</f>
        <v>Iconic Residence</v>
      </c>
      <c r="C13671" s="2" t="str">
        <f ca="1">IFERROR(__xludf.DUMMYFUNCTION("""COMPUTED_VALUE"""),"Building")</f>
        <v>Building</v>
      </c>
      <c r="D13671" s="2" t="str">
        <f ca="1">IFERROR(__xludf.DUMMYFUNCTION("""COMPUTED_VALUE"""),"Dubai&gt;Dubai Internet City&gt;Iconic Residence")</f>
        <v>Dubai&gt;Dubai Internet City&gt;Iconic Residence</v>
      </c>
      <c r="E13671" s="2"/>
      <c r="F13671" s="2"/>
      <c r="G13671" s="2"/>
      <c r="H13671" s="2"/>
      <c r="I13671" s="2"/>
      <c r="J13671" s="2"/>
      <c r="K13671" s="2"/>
      <c r="L13671" s="2"/>
      <c r="M13671" s="2"/>
      <c r="N13671" s="2"/>
      <c r="O13671" s="2"/>
      <c r="P13671" s="2"/>
      <c r="Q13671" s="2"/>
      <c r="R13671" s="2"/>
      <c r="S13671" s="2"/>
      <c r="T13671" s="2"/>
      <c r="U13671" s="2"/>
      <c r="V13671" s="2"/>
      <c r="W13671" s="2"/>
      <c r="X13671" s="2"/>
      <c r="Y13671" s="2"/>
      <c r="Z13671" s="2"/>
    </row>
    <row r="13672" spans="1:26" ht="16.5" x14ac:dyDescent="0.35">
      <c r="A13672" s="2" t="str">
        <f ca="1">IFERROR(__xludf.DUMMYFUNCTION("""COMPUTED_VALUE"""),"Dubai")</f>
        <v>Dubai</v>
      </c>
      <c r="B13672" s="2" t="str">
        <f ca="1">IFERROR(__xludf.DUMMYFUNCTION("""COMPUTED_VALUE"""),"Seagate")</f>
        <v>Seagate</v>
      </c>
      <c r="C13672" s="2" t="str">
        <f ca="1">IFERROR(__xludf.DUMMYFUNCTION("""COMPUTED_VALUE"""),"Cluster")</f>
        <v>Cluster</v>
      </c>
      <c r="D13672" s="2" t="str">
        <f ca="1">IFERROR(__xludf.DUMMYFUNCTION("""COMPUTED_VALUE"""),"Dubai&gt;Mina Rashid&gt;Seagate")</f>
        <v>Dubai&gt;Mina Rashid&gt;Seagate</v>
      </c>
      <c r="E13672" s="2"/>
      <c r="F13672" s="2"/>
      <c r="G13672" s="2"/>
      <c r="H13672" s="2"/>
      <c r="I13672" s="2"/>
      <c r="J13672" s="2"/>
      <c r="K13672" s="2"/>
      <c r="L13672" s="2"/>
      <c r="M13672" s="2"/>
      <c r="N13672" s="2"/>
      <c r="O13672" s="2"/>
      <c r="P13672" s="2"/>
      <c r="Q13672" s="2"/>
      <c r="R13672" s="2"/>
      <c r="S13672" s="2"/>
      <c r="T13672" s="2"/>
      <c r="U13672" s="2"/>
      <c r="V13672" s="2"/>
      <c r="W13672" s="2"/>
      <c r="X13672" s="2"/>
      <c r="Y13672" s="2"/>
      <c r="Z13672" s="2"/>
    </row>
    <row r="13673" spans="1:26" ht="16.5" x14ac:dyDescent="0.35">
      <c r="A13673" s="2" t="str">
        <f ca="1">IFERROR(__xludf.DUMMYFUNCTION("""COMPUTED_VALUE"""),"Dubai")</f>
        <v>Dubai</v>
      </c>
      <c r="B13673" s="2" t="str">
        <f ca="1">IFERROR(__xludf.DUMMYFUNCTION("""COMPUTED_VALUE"""),"Pier Point 2")</f>
        <v>Pier Point 2</v>
      </c>
      <c r="C13673" s="2" t="str">
        <f ca="1">IFERROR(__xludf.DUMMYFUNCTION("""COMPUTED_VALUE"""),"Building")</f>
        <v>Building</v>
      </c>
      <c r="D13673" s="2" t="str">
        <f ca="1">IFERROR(__xludf.DUMMYFUNCTION("""COMPUTED_VALUE"""),"Dubai&gt;Mina Rashid&gt;Pier Point&gt;Pier Point 2")</f>
        <v>Dubai&gt;Mina Rashid&gt;Pier Point&gt;Pier Point 2</v>
      </c>
      <c r="E13673" s="2"/>
      <c r="F13673" s="2"/>
      <c r="G13673" s="2"/>
      <c r="H13673" s="2"/>
      <c r="I13673" s="2"/>
      <c r="J13673" s="2"/>
      <c r="K13673" s="2"/>
      <c r="L13673" s="2"/>
      <c r="M13673" s="2"/>
      <c r="N13673" s="2"/>
      <c r="O13673" s="2"/>
      <c r="P13673" s="2"/>
      <c r="Q13673" s="2"/>
      <c r="R13673" s="2"/>
      <c r="S13673" s="2"/>
      <c r="T13673" s="2"/>
      <c r="U13673" s="2"/>
      <c r="V13673" s="2"/>
      <c r="W13673" s="2"/>
      <c r="X13673" s="2"/>
      <c r="Y13673" s="2"/>
      <c r="Z13673" s="2"/>
    </row>
    <row r="13674" spans="1:26" ht="16.5" x14ac:dyDescent="0.35">
      <c r="A13674" s="2" t="str">
        <f ca="1">IFERROR(__xludf.DUMMYFUNCTION("""COMPUTED_VALUE"""),"Dubai")</f>
        <v>Dubai</v>
      </c>
      <c r="B13674" s="2" t="str">
        <f ca="1">IFERROR(__xludf.DUMMYFUNCTION("""COMPUTED_VALUE"""),"Eden")</f>
        <v>Eden</v>
      </c>
      <c r="C13674" s="2" t="str">
        <f ca="1">IFERROR(__xludf.DUMMYFUNCTION("""COMPUTED_VALUE"""),"Neighbourhood")</f>
        <v>Neighbourhood</v>
      </c>
      <c r="D13674" s="2" t="str">
        <f ca="1">IFERROR(__xludf.DUMMYFUNCTION("""COMPUTED_VALUE"""),"Dubai&gt;The Valley by Emaar&gt;Eden")</f>
        <v>Dubai&gt;The Valley by Emaar&gt;Eden</v>
      </c>
      <c r="E13674" s="2"/>
      <c r="F13674" s="2"/>
      <c r="G13674" s="2"/>
      <c r="H13674" s="2"/>
      <c r="I13674" s="2"/>
      <c r="J13674" s="2"/>
      <c r="K13674" s="2"/>
      <c r="L13674" s="2"/>
      <c r="M13674" s="2"/>
      <c r="N13674" s="2"/>
      <c r="O13674" s="2"/>
      <c r="P13674" s="2"/>
      <c r="Q13674" s="2"/>
      <c r="R13674" s="2"/>
      <c r="S13674" s="2"/>
      <c r="T13674" s="2"/>
      <c r="U13674" s="2"/>
      <c r="V13674" s="2"/>
      <c r="W13674" s="2"/>
      <c r="X13674" s="2"/>
      <c r="Y13674" s="2"/>
      <c r="Z13674" s="2"/>
    </row>
    <row r="13675" spans="1:26" ht="16.5" x14ac:dyDescent="0.35">
      <c r="A13675" s="2" t="str">
        <f ca="1">IFERROR(__xludf.DUMMYFUNCTION("""COMPUTED_VALUE"""),"Dubai")</f>
        <v>Dubai</v>
      </c>
      <c r="B13675" s="2" t="str">
        <f ca="1">IFERROR(__xludf.DUMMYFUNCTION("""COMPUTED_VALUE"""),"Alvorada 1")</f>
        <v>Alvorada 1</v>
      </c>
      <c r="C13675" s="2" t="str">
        <f ca="1">IFERROR(__xludf.DUMMYFUNCTION("""COMPUTED_VALUE"""),"Neighbourhood")</f>
        <v>Neighbourhood</v>
      </c>
      <c r="D13675" s="2" t="str">
        <f ca="1">IFERROR(__xludf.DUMMYFUNCTION("""COMPUTED_VALUE"""),"Dubai&gt;Arabian Ranches&gt;Alvorada&gt;Alvorada 1")</f>
        <v>Dubai&gt;Arabian Ranches&gt;Alvorada&gt;Alvorada 1</v>
      </c>
      <c r="E13675" s="2"/>
      <c r="F13675" s="2"/>
      <c r="G13675" s="2"/>
      <c r="H13675" s="2"/>
      <c r="I13675" s="2"/>
      <c r="J13675" s="2"/>
      <c r="K13675" s="2"/>
      <c r="L13675" s="2"/>
      <c r="M13675" s="2"/>
      <c r="N13675" s="2"/>
      <c r="O13675" s="2"/>
      <c r="P13675" s="2"/>
      <c r="Q13675" s="2"/>
      <c r="R13675" s="2"/>
      <c r="S13675" s="2"/>
      <c r="T13675" s="2"/>
      <c r="U13675" s="2"/>
      <c r="V13675" s="2"/>
      <c r="W13675" s="2"/>
      <c r="X13675" s="2"/>
      <c r="Y13675" s="2"/>
      <c r="Z13675" s="2"/>
    </row>
    <row r="13676" spans="1:26" ht="16.5" x14ac:dyDescent="0.35">
      <c r="A13676" s="2" t="str">
        <f ca="1">IFERROR(__xludf.DUMMYFUNCTION("""COMPUTED_VALUE"""),"Dubai")</f>
        <v>Dubai</v>
      </c>
      <c r="B13676" s="2" t="str">
        <f ca="1">IFERROR(__xludf.DUMMYFUNCTION("""COMPUTED_VALUE"""),"Mirador La Colleccion 2")</f>
        <v>Mirador La Colleccion 2</v>
      </c>
      <c r="C13676" s="2" t="str">
        <f ca="1">IFERROR(__xludf.DUMMYFUNCTION("""COMPUTED_VALUE"""),"Neighbourhood")</f>
        <v>Neighbourhood</v>
      </c>
      <c r="D13676" s="2" t="str">
        <f ca="1">IFERROR(__xludf.DUMMYFUNCTION("""COMPUTED_VALUE"""),"Dubai&gt;Arabian Ranches&gt;Mirador La Colleccion&gt;Mirador La Colleccion 2")</f>
        <v>Dubai&gt;Arabian Ranches&gt;Mirador La Colleccion&gt;Mirador La Colleccion 2</v>
      </c>
      <c r="E13676" s="2"/>
      <c r="F13676" s="2"/>
      <c r="G13676" s="2"/>
      <c r="H13676" s="2"/>
      <c r="I13676" s="2"/>
      <c r="J13676" s="2"/>
      <c r="K13676" s="2"/>
      <c r="L13676" s="2"/>
      <c r="M13676" s="2"/>
      <c r="N13676" s="2"/>
      <c r="O13676" s="2"/>
      <c r="P13676" s="2"/>
      <c r="Q13676" s="2"/>
      <c r="R13676" s="2"/>
      <c r="S13676" s="2"/>
      <c r="T13676" s="2"/>
      <c r="U13676" s="2"/>
      <c r="V13676" s="2"/>
      <c r="W13676" s="2"/>
      <c r="X13676" s="2"/>
      <c r="Y13676" s="2"/>
      <c r="Z13676" s="2"/>
    </row>
    <row r="13677" spans="1:26" ht="16.5" x14ac:dyDescent="0.35">
      <c r="A13677" s="2" t="str">
        <f ca="1">IFERROR(__xludf.DUMMYFUNCTION("""COMPUTED_VALUE"""),"Dubai")</f>
        <v>Dubai</v>
      </c>
      <c r="B13677" s="2" t="str">
        <f ca="1">IFERROR(__xludf.DUMMYFUNCTION("""COMPUTED_VALUE"""),"The Gardens Building 43")</f>
        <v>The Gardens Building 43</v>
      </c>
      <c r="C13677" s="2" t="str">
        <f ca="1">IFERROR(__xludf.DUMMYFUNCTION("""COMPUTED_VALUE"""),"Building")</f>
        <v>Building</v>
      </c>
      <c r="D13677" s="2" t="str">
        <f ca="1">IFERROR(__xludf.DUMMYFUNCTION("""COMPUTED_VALUE"""),"Dubai&gt;The Gardens&gt;The Gardens Building 43")</f>
        <v>Dubai&gt;The Gardens&gt;The Gardens Building 43</v>
      </c>
      <c r="E13677" s="2"/>
      <c r="F13677" s="2"/>
      <c r="G13677" s="2"/>
      <c r="H13677" s="2"/>
      <c r="I13677" s="2"/>
      <c r="J13677" s="2"/>
      <c r="K13677" s="2"/>
      <c r="L13677" s="2"/>
      <c r="M13677" s="2"/>
      <c r="N13677" s="2"/>
      <c r="O13677" s="2"/>
      <c r="P13677" s="2"/>
      <c r="Q13677" s="2"/>
      <c r="R13677" s="2"/>
      <c r="S13677" s="2"/>
      <c r="T13677" s="2"/>
      <c r="U13677" s="2"/>
      <c r="V13677" s="2"/>
      <c r="W13677" s="2"/>
      <c r="X13677" s="2"/>
      <c r="Y13677" s="2"/>
      <c r="Z13677" s="2"/>
    </row>
    <row r="13678" spans="1:26" ht="16.5" x14ac:dyDescent="0.35">
      <c r="A13678" s="2" t="str">
        <f ca="1">IFERROR(__xludf.DUMMYFUNCTION("""COMPUTED_VALUE"""),"Dubai")</f>
        <v>Dubai</v>
      </c>
      <c r="B13678" s="2" t="str">
        <f ca="1">IFERROR(__xludf.DUMMYFUNCTION("""COMPUTED_VALUE"""),"The Gardens Building 100")</f>
        <v>The Gardens Building 100</v>
      </c>
      <c r="C13678" s="2" t="str">
        <f ca="1">IFERROR(__xludf.DUMMYFUNCTION("""COMPUTED_VALUE"""),"Building")</f>
        <v>Building</v>
      </c>
      <c r="D13678" s="2" t="str">
        <f ca="1">IFERROR(__xludf.DUMMYFUNCTION("""COMPUTED_VALUE"""),"Dubai&gt;The Gardens&gt;The Gardens Building 100")</f>
        <v>Dubai&gt;The Gardens&gt;The Gardens Building 100</v>
      </c>
      <c r="E13678" s="2"/>
      <c r="F13678" s="2"/>
      <c r="G13678" s="2"/>
      <c r="H13678" s="2"/>
      <c r="I13678" s="2"/>
      <c r="J13678" s="2"/>
      <c r="K13678" s="2"/>
      <c r="L13678" s="2"/>
      <c r="M13678" s="2"/>
      <c r="N13678" s="2"/>
      <c r="O13678" s="2"/>
      <c r="P13678" s="2"/>
      <c r="Q13678" s="2"/>
      <c r="R13678" s="2"/>
      <c r="S13678" s="2"/>
      <c r="T13678" s="2"/>
      <c r="U13678" s="2"/>
      <c r="V13678" s="2"/>
      <c r="W13678" s="2"/>
      <c r="X13678" s="2"/>
      <c r="Y13678" s="2"/>
      <c r="Z13678" s="2"/>
    </row>
    <row r="13679" spans="1:26" ht="16.5" x14ac:dyDescent="0.35">
      <c r="A13679" s="2" t="str">
        <f ca="1">IFERROR(__xludf.DUMMYFUNCTION("""COMPUTED_VALUE"""),"Dubai")</f>
        <v>Dubai</v>
      </c>
      <c r="B13679" s="2" t="str">
        <f ca="1">IFERROR(__xludf.DUMMYFUNCTION("""COMPUTED_VALUE"""),"The Gardens Building 12")</f>
        <v>The Gardens Building 12</v>
      </c>
      <c r="C13679" s="2" t="str">
        <f ca="1">IFERROR(__xludf.DUMMYFUNCTION("""COMPUTED_VALUE"""),"Building")</f>
        <v>Building</v>
      </c>
      <c r="D13679" s="2" t="str">
        <f ca="1">IFERROR(__xludf.DUMMYFUNCTION("""COMPUTED_VALUE"""),"Dubai&gt;The Gardens&gt;The Gardens Building 12")</f>
        <v>Dubai&gt;The Gardens&gt;The Gardens Building 12</v>
      </c>
      <c r="E13679" s="2"/>
      <c r="F13679" s="2"/>
      <c r="G13679" s="2"/>
      <c r="H13679" s="2"/>
      <c r="I13679" s="2"/>
      <c r="J13679" s="2"/>
      <c r="K13679" s="2"/>
      <c r="L13679" s="2"/>
      <c r="M13679" s="2"/>
      <c r="N13679" s="2"/>
      <c r="O13679" s="2"/>
      <c r="P13679" s="2"/>
      <c r="Q13679" s="2"/>
      <c r="R13679" s="2"/>
      <c r="S13679" s="2"/>
      <c r="T13679" s="2"/>
      <c r="U13679" s="2"/>
      <c r="V13679" s="2"/>
      <c r="W13679" s="2"/>
      <c r="X13679" s="2"/>
      <c r="Y13679" s="2"/>
      <c r="Z13679" s="2"/>
    </row>
    <row r="13680" spans="1:26" ht="16.5" x14ac:dyDescent="0.35">
      <c r="A13680" s="2" t="str">
        <f ca="1">IFERROR(__xludf.DUMMYFUNCTION("""COMPUTED_VALUE"""),"Dubai")</f>
        <v>Dubai</v>
      </c>
      <c r="B13680" s="2" t="str">
        <f ca="1">IFERROR(__xludf.DUMMYFUNCTION("""COMPUTED_VALUE"""),"The Gardens Building 49")</f>
        <v>The Gardens Building 49</v>
      </c>
      <c r="C13680" s="2" t="str">
        <f ca="1">IFERROR(__xludf.DUMMYFUNCTION("""COMPUTED_VALUE"""),"Building")</f>
        <v>Building</v>
      </c>
      <c r="D13680" s="2" t="str">
        <f ca="1">IFERROR(__xludf.DUMMYFUNCTION("""COMPUTED_VALUE"""),"Dubai&gt;The Gardens&gt;The Gardens Building 49")</f>
        <v>Dubai&gt;The Gardens&gt;The Gardens Building 49</v>
      </c>
      <c r="E13680" s="2"/>
      <c r="F13680" s="2"/>
      <c r="G13680" s="2"/>
      <c r="H13680" s="2"/>
      <c r="I13680" s="2"/>
      <c r="J13680" s="2"/>
      <c r="K13680" s="2"/>
      <c r="L13680" s="2"/>
      <c r="M13680" s="2"/>
      <c r="N13680" s="2"/>
      <c r="O13680" s="2"/>
      <c r="P13680" s="2"/>
      <c r="Q13680" s="2"/>
      <c r="R13680" s="2"/>
      <c r="S13680" s="2"/>
      <c r="T13680" s="2"/>
      <c r="U13680" s="2"/>
      <c r="V13680" s="2"/>
      <c r="W13680" s="2"/>
      <c r="X13680" s="2"/>
      <c r="Y13680" s="2"/>
      <c r="Z13680" s="2"/>
    </row>
    <row r="13681" spans="1:26" ht="16.5" x14ac:dyDescent="0.35">
      <c r="A13681" s="2" t="str">
        <f ca="1">IFERROR(__xludf.DUMMYFUNCTION("""COMPUTED_VALUE"""),"Dubai")</f>
        <v>Dubai</v>
      </c>
      <c r="B13681" s="2" t="str">
        <f ca="1">IFERROR(__xludf.DUMMYFUNCTION("""COMPUTED_VALUE"""),"Al Mamzar Lagoons Building")</f>
        <v>Al Mamzar Lagoons Building</v>
      </c>
      <c r="C13681" s="2" t="str">
        <f ca="1">IFERROR(__xludf.DUMMYFUNCTION("""COMPUTED_VALUE"""),"Building")</f>
        <v>Building</v>
      </c>
      <c r="D13681" s="2" t="str">
        <f ca="1">IFERROR(__xludf.DUMMYFUNCTION("""COMPUTED_VALUE"""),"Dubai&gt;Al Mamzar&gt;Al Mamzar Lagoons Building")</f>
        <v>Dubai&gt;Al Mamzar&gt;Al Mamzar Lagoons Building</v>
      </c>
      <c r="E13681" s="2"/>
      <c r="F13681" s="2"/>
      <c r="G13681" s="2"/>
      <c r="H13681" s="2"/>
      <c r="I13681" s="2"/>
      <c r="J13681" s="2"/>
      <c r="K13681" s="2"/>
      <c r="L13681" s="2"/>
      <c r="M13681" s="2"/>
      <c r="N13681" s="2"/>
      <c r="O13681" s="2"/>
      <c r="P13681" s="2"/>
      <c r="Q13681" s="2"/>
      <c r="R13681" s="2"/>
      <c r="S13681" s="2"/>
      <c r="T13681" s="2"/>
      <c r="U13681" s="2"/>
      <c r="V13681" s="2"/>
      <c r="W13681" s="2"/>
      <c r="X13681" s="2"/>
      <c r="Y13681" s="2"/>
      <c r="Z13681" s="2"/>
    </row>
    <row r="13682" spans="1:26" ht="16.5" x14ac:dyDescent="0.35">
      <c r="A13682" s="2" t="str">
        <f ca="1">IFERROR(__xludf.DUMMYFUNCTION("""COMPUTED_VALUE"""),"Dubai")</f>
        <v>Dubai</v>
      </c>
      <c r="B13682" s="2" t="str">
        <f ca="1">IFERROR(__xludf.DUMMYFUNCTION("""COMPUTED_VALUE"""),"Bluewaters Residences 2")</f>
        <v>Bluewaters Residences 2</v>
      </c>
      <c r="C13682" s="2" t="str">
        <f ca="1">IFERROR(__xludf.DUMMYFUNCTION("""COMPUTED_VALUE"""),"Building")</f>
        <v>Building</v>
      </c>
      <c r="D13682" s="2" t="str">
        <f ca="1">IFERROR(__xludf.DUMMYFUNCTION("""COMPUTED_VALUE"""),"Dubai&gt;Bluewaters Island&gt;Bluewaters Residences&gt;Bluewaters Residences 2")</f>
        <v>Dubai&gt;Bluewaters Island&gt;Bluewaters Residences&gt;Bluewaters Residences 2</v>
      </c>
      <c r="E13682" s="2"/>
      <c r="F13682" s="2"/>
      <c r="G13682" s="2"/>
      <c r="H13682" s="2"/>
      <c r="I13682" s="2"/>
      <c r="J13682" s="2"/>
      <c r="K13682" s="2"/>
      <c r="L13682" s="2"/>
      <c r="M13682" s="2"/>
      <c r="N13682" s="2"/>
      <c r="O13682" s="2"/>
      <c r="P13682" s="2"/>
      <c r="Q13682" s="2"/>
      <c r="R13682" s="2"/>
      <c r="S13682" s="2"/>
      <c r="T13682" s="2"/>
      <c r="U13682" s="2"/>
      <c r="V13682" s="2"/>
      <c r="W13682" s="2"/>
      <c r="X13682" s="2"/>
      <c r="Y13682" s="2"/>
      <c r="Z13682" s="2"/>
    </row>
    <row r="13683" spans="1:26" ht="16.5" x14ac:dyDescent="0.35">
      <c r="A13683" s="2" t="str">
        <f ca="1">IFERROR(__xludf.DUMMYFUNCTION("""COMPUTED_VALUE"""),"Dubai")</f>
        <v>Dubai</v>
      </c>
      <c r="B13683" s="2" t="str">
        <f ca="1">IFERROR(__xludf.DUMMYFUNCTION("""COMPUTED_VALUE"""),"Lavender")</f>
        <v>Lavender</v>
      </c>
      <c r="C13683" s="2" t="str">
        <f ca="1">IFERROR(__xludf.DUMMYFUNCTION("""COMPUTED_VALUE"""),"Building")</f>
        <v>Building</v>
      </c>
      <c r="D13683" s="2" t="str">
        <f ca="1">IFERROR(__xludf.DUMMYFUNCTION("""COMPUTED_VALUE"""),"Dubai&gt;Za'abeel&gt;Za'abeel 2&gt;Al Murooj Complex&gt;Lavender")</f>
        <v>Dubai&gt;Za'abeel&gt;Za'abeel 2&gt;Al Murooj Complex&gt;Lavender</v>
      </c>
      <c r="E13683" s="2"/>
      <c r="F13683" s="2"/>
      <c r="G13683" s="2"/>
      <c r="H13683" s="2"/>
      <c r="I13683" s="2"/>
      <c r="J13683" s="2"/>
      <c r="K13683" s="2"/>
      <c r="L13683" s="2"/>
      <c r="M13683" s="2"/>
      <c r="N13683" s="2"/>
      <c r="O13683" s="2"/>
      <c r="P13683" s="2"/>
      <c r="Q13683" s="2"/>
      <c r="R13683" s="2"/>
      <c r="S13683" s="2"/>
      <c r="T13683" s="2"/>
      <c r="U13683" s="2"/>
      <c r="V13683" s="2"/>
      <c r="W13683" s="2"/>
      <c r="X13683" s="2"/>
      <c r="Y13683" s="2"/>
      <c r="Z13683" s="2"/>
    </row>
    <row r="13684" spans="1:26" ht="16.5" x14ac:dyDescent="0.35">
      <c r="A13684" s="2" t="str">
        <f ca="1">IFERROR(__xludf.DUMMYFUNCTION("""COMPUTED_VALUE"""),"Dubai")</f>
        <v>Dubai</v>
      </c>
      <c r="B13684" s="2" t="str">
        <f ca="1">IFERROR(__xludf.DUMMYFUNCTION("""COMPUTED_VALUE"""),"Samari Residences 10")</f>
        <v>Samari Residences 10</v>
      </c>
      <c r="C13684" s="2" t="str">
        <f ca="1">IFERROR(__xludf.DUMMYFUNCTION("""COMPUTED_VALUE"""),"Building")</f>
        <v>Building</v>
      </c>
      <c r="D13684" s="2" t="str">
        <f ca="1">IFERROR(__xludf.DUMMYFUNCTION("""COMPUTED_VALUE"""),"Dubai&gt;Ras Al Khor&gt;Ras Al Khor Industrial&gt;Ras Al Khor Industrial 3&gt;Samari Residences&gt;Samari Residences 10")</f>
        <v>Dubai&gt;Ras Al Khor&gt;Ras Al Khor Industrial&gt;Ras Al Khor Industrial 3&gt;Samari Residences&gt;Samari Residences 10</v>
      </c>
      <c r="E13684" s="2"/>
      <c r="F13684" s="2"/>
      <c r="G13684" s="2"/>
      <c r="H13684" s="2"/>
      <c r="I13684" s="2"/>
      <c r="J13684" s="2"/>
      <c r="K13684" s="2"/>
      <c r="L13684" s="2"/>
      <c r="M13684" s="2"/>
      <c r="N13684" s="2"/>
      <c r="O13684" s="2"/>
      <c r="P13684" s="2"/>
      <c r="Q13684" s="2"/>
      <c r="R13684" s="2"/>
      <c r="S13684" s="2"/>
      <c r="T13684" s="2"/>
      <c r="U13684" s="2"/>
      <c r="V13684" s="2"/>
      <c r="W13684" s="2"/>
      <c r="X13684" s="2"/>
      <c r="Y13684" s="2"/>
      <c r="Z13684" s="2"/>
    </row>
    <row r="13685" spans="1:26" ht="16.5" x14ac:dyDescent="0.35">
      <c r="A13685" s="2" t="str">
        <f ca="1">IFERROR(__xludf.DUMMYFUNCTION("""COMPUTED_VALUE"""),"Dubai")</f>
        <v>Dubai</v>
      </c>
      <c r="B13685" s="2" t="str">
        <f ca="1">IFERROR(__xludf.DUMMYFUNCTION("""COMPUTED_VALUE"""),"Suburbia Tower 1")</f>
        <v>Suburbia Tower 1</v>
      </c>
      <c r="C13685" s="2" t="str">
        <f ca="1">IFERROR(__xludf.DUMMYFUNCTION("""COMPUTED_VALUE"""),"Building")</f>
        <v>Building</v>
      </c>
      <c r="D13685" s="2" t="str">
        <f ca="1">IFERROR(__xludf.DUMMYFUNCTION("""COMPUTED_VALUE"""),"Dubai&gt;Jebel Ali&gt;Downtown Jebel Ali&gt;Suburbia&gt;Suburbia Tower 1")</f>
        <v>Dubai&gt;Jebel Ali&gt;Downtown Jebel Ali&gt;Suburbia&gt;Suburbia Tower 1</v>
      </c>
      <c r="E13685" s="2"/>
      <c r="F13685" s="2"/>
      <c r="G13685" s="2"/>
      <c r="H13685" s="2"/>
      <c r="I13685" s="2"/>
      <c r="J13685" s="2"/>
      <c r="K13685" s="2"/>
      <c r="L13685" s="2"/>
      <c r="M13685" s="2"/>
      <c r="N13685" s="2"/>
      <c r="O13685" s="2"/>
      <c r="P13685" s="2"/>
      <c r="Q13685" s="2"/>
      <c r="R13685" s="2"/>
      <c r="S13685" s="2"/>
      <c r="T13685" s="2"/>
      <c r="U13685" s="2"/>
      <c r="V13685" s="2"/>
      <c r="W13685" s="2"/>
      <c r="X13685" s="2"/>
      <c r="Y13685" s="2"/>
      <c r="Z13685" s="2"/>
    </row>
    <row r="13686" spans="1:26" ht="16.5" x14ac:dyDescent="0.35">
      <c r="A13686" s="2" t="str">
        <f ca="1">IFERROR(__xludf.DUMMYFUNCTION("""COMPUTED_VALUE"""),"Dubai")</f>
        <v>Dubai</v>
      </c>
      <c r="B13686" s="2" t="str">
        <f ca="1">IFERROR(__xludf.DUMMYFUNCTION("""COMPUTED_VALUE"""),"Jewellery and Gemplex")</f>
        <v>Jewellery and Gemplex</v>
      </c>
      <c r="C13686" s="2" t="str">
        <f ca="1">IFERROR(__xludf.DUMMYFUNCTION("""COMPUTED_VALUE"""),"Cluster")</f>
        <v>Cluster</v>
      </c>
      <c r="D13686" s="2" t="str">
        <f ca="1">IFERROR(__xludf.DUMMYFUNCTION("""COMPUTED_VALUE"""),"Dubai&gt;Jebel Ali&gt;Jewellery and Gemplex")</f>
        <v>Dubai&gt;Jebel Ali&gt;Jewellery and Gemplex</v>
      </c>
      <c r="E13686" s="2"/>
      <c r="F13686" s="2"/>
      <c r="G13686" s="2"/>
      <c r="H13686" s="2"/>
      <c r="I13686" s="2"/>
      <c r="J13686" s="2"/>
      <c r="K13686" s="2"/>
      <c r="L13686" s="2"/>
      <c r="M13686" s="2"/>
      <c r="N13686" s="2"/>
      <c r="O13686" s="2"/>
      <c r="P13686" s="2"/>
      <c r="Q13686" s="2"/>
      <c r="R13686" s="2"/>
      <c r="S13686" s="2"/>
      <c r="T13686" s="2"/>
      <c r="U13686" s="2"/>
      <c r="V13686" s="2"/>
      <c r="W13686" s="2"/>
      <c r="X13686" s="2"/>
      <c r="Y13686" s="2"/>
      <c r="Z13686" s="2"/>
    </row>
    <row r="13687" spans="1:26" ht="16.5" x14ac:dyDescent="0.35">
      <c r="A13687" s="2" t="str">
        <f ca="1">IFERROR(__xludf.DUMMYFUNCTION("""COMPUTED_VALUE"""),"Dubai")</f>
        <v>Dubai</v>
      </c>
      <c r="B13687" s="2" t="str">
        <f ca="1">IFERROR(__xludf.DUMMYFUNCTION("""COMPUTED_VALUE"""),"Madina Avenues")</f>
        <v>Madina Avenues</v>
      </c>
      <c r="C13687" s="2" t="str">
        <f ca="1">IFERROR(__xludf.DUMMYFUNCTION("""COMPUTED_VALUE"""),"Building")</f>
        <v>Building</v>
      </c>
      <c r="D13687" s="2" t="str">
        <f ca="1">IFERROR(__xludf.DUMMYFUNCTION("""COMPUTED_VALUE"""),"Dubai&gt;Nad Al Hamar&gt;Madina Avenues")</f>
        <v>Dubai&gt;Nad Al Hamar&gt;Madina Avenues</v>
      </c>
      <c r="E13687" s="2"/>
      <c r="F13687" s="2"/>
      <c r="G13687" s="2"/>
      <c r="H13687" s="2"/>
      <c r="I13687" s="2"/>
      <c r="J13687" s="2"/>
      <c r="K13687" s="2"/>
      <c r="L13687" s="2"/>
      <c r="M13687" s="2"/>
      <c r="N13687" s="2"/>
      <c r="O13687" s="2"/>
      <c r="P13687" s="2"/>
      <c r="Q13687" s="2"/>
      <c r="R13687" s="2"/>
      <c r="S13687" s="2"/>
      <c r="T13687" s="2"/>
      <c r="U13687" s="2"/>
      <c r="V13687" s="2"/>
      <c r="W13687" s="2"/>
      <c r="X13687" s="2"/>
      <c r="Y13687" s="2"/>
      <c r="Z13687" s="2"/>
    </row>
    <row r="13688" spans="1:26" ht="16.5" x14ac:dyDescent="0.35">
      <c r="A13688" s="2" t="str">
        <f ca="1">IFERROR(__xludf.DUMMYFUNCTION("""COMPUTED_VALUE"""),"Dubai")</f>
        <v>Dubai</v>
      </c>
      <c r="B13688" s="2" t="str">
        <f ca="1">IFERROR(__xludf.DUMMYFUNCTION("""COMPUTED_VALUE"""),"Abdulaziz Ahmad Building")</f>
        <v>Abdulaziz Ahmad Building</v>
      </c>
      <c r="C13688" s="2" t="str">
        <f ca="1">IFERROR(__xludf.DUMMYFUNCTION("""COMPUTED_VALUE"""),"Building")</f>
        <v>Building</v>
      </c>
      <c r="D13688" s="2" t="str">
        <f ca="1">IFERROR(__xludf.DUMMYFUNCTION("""COMPUTED_VALUE"""),"Dubai&gt;Nad Al Hamar&gt;Abdulaziz Ahmad Building")</f>
        <v>Dubai&gt;Nad Al Hamar&gt;Abdulaziz Ahmad Building</v>
      </c>
      <c r="E13688" s="2"/>
      <c r="F13688" s="2"/>
      <c r="G13688" s="2"/>
      <c r="H13688" s="2"/>
      <c r="I13688" s="2"/>
      <c r="J13688" s="2"/>
      <c r="K13688" s="2"/>
      <c r="L13688" s="2"/>
      <c r="M13688" s="2"/>
      <c r="N13688" s="2"/>
      <c r="O13688" s="2"/>
      <c r="P13688" s="2"/>
      <c r="Q13688" s="2"/>
      <c r="R13688" s="2"/>
      <c r="S13688" s="2"/>
      <c r="T13688" s="2"/>
      <c r="U13688" s="2"/>
      <c r="V13688" s="2"/>
      <c r="W13688" s="2"/>
      <c r="X13688" s="2"/>
      <c r="Y13688" s="2"/>
      <c r="Z13688" s="2"/>
    </row>
    <row r="13689" spans="1:26" ht="16.5" x14ac:dyDescent="0.35">
      <c r="A13689" s="2" t="str">
        <f ca="1">IFERROR(__xludf.DUMMYFUNCTION("""COMPUTED_VALUE"""),"Dubai")</f>
        <v>Dubai</v>
      </c>
      <c r="B13689" s="2" t="str">
        <f ca="1">IFERROR(__xludf.DUMMYFUNCTION("""COMPUTED_VALUE"""),"Al Moosawi Grand Residence")</f>
        <v>Al Moosawi Grand Residence</v>
      </c>
      <c r="C13689" s="2" t="str">
        <f ca="1">IFERROR(__xludf.DUMMYFUNCTION("""COMPUTED_VALUE"""),"Building")</f>
        <v>Building</v>
      </c>
      <c r="D13689" s="2" t="str">
        <f ca="1">IFERROR(__xludf.DUMMYFUNCTION("""COMPUTED_VALUE"""),"Dubai&gt;Al Barsha&gt;Al Barsha 1&gt;Al Moosawi Grand Residence")</f>
        <v>Dubai&gt;Al Barsha&gt;Al Barsha 1&gt;Al Moosawi Grand Residence</v>
      </c>
      <c r="E13689" s="2"/>
      <c r="F13689" s="2"/>
      <c r="G13689" s="2"/>
      <c r="H13689" s="2"/>
      <c r="I13689" s="2"/>
      <c r="J13689" s="2"/>
      <c r="K13689" s="2"/>
      <c r="L13689" s="2"/>
      <c r="M13689" s="2"/>
      <c r="N13689" s="2"/>
      <c r="O13689" s="2"/>
      <c r="P13689" s="2"/>
      <c r="Q13689" s="2"/>
      <c r="R13689" s="2"/>
      <c r="S13689" s="2"/>
      <c r="T13689" s="2"/>
      <c r="U13689" s="2"/>
      <c r="V13689" s="2"/>
      <c r="W13689" s="2"/>
      <c r="X13689" s="2"/>
      <c r="Y13689" s="2"/>
      <c r="Z13689" s="2"/>
    </row>
    <row r="13690" spans="1:26" ht="16.5" x14ac:dyDescent="0.35">
      <c r="A13690" s="2" t="str">
        <f ca="1">IFERROR(__xludf.DUMMYFUNCTION("""COMPUTED_VALUE"""),"Dubai")</f>
        <v>Dubai</v>
      </c>
      <c r="B13690" s="2" t="str">
        <f ca="1">IFERROR(__xludf.DUMMYFUNCTION("""COMPUTED_VALUE"""),"Seychelles")</f>
        <v>Seychelles</v>
      </c>
      <c r="C13690" s="2" t="str">
        <f ca="1">IFERROR(__xludf.DUMMYFUNCTION("""COMPUTED_VALUE"""),"Building")</f>
        <v>Building</v>
      </c>
      <c r="D13690" s="2" t="str">
        <f ca="1">IFERROR(__xludf.DUMMYFUNCTION("""COMPUTED_VALUE"""),"Dubai&gt;Al Barsha&gt;Al Barsha 1&gt;Seychelles")</f>
        <v>Dubai&gt;Al Barsha&gt;Al Barsha 1&gt;Seychelles</v>
      </c>
      <c r="E13690" s="2"/>
      <c r="F13690" s="2"/>
      <c r="G13690" s="2"/>
      <c r="H13690" s="2"/>
      <c r="I13690" s="2"/>
      <c r="J13690" s="2"/>
      <c r="K13690" s="2"/>
      <c r="L13690" s="2"/>
      <c r="M13690" s="2"/>
      <c r="N13690" s="2"/>
      <c r="O13690" s="2"/>
      <c r="P13690" s="2"/>
      <c r="Q13690" s="2"/>
      <c r="R13690" s="2"/>
      <c r="S13690" s="2"/>
      <c r="T13690" s="2"/>
      <c r="U13690" s="2"/>
      <c r="V13690" s="2"/>
      <c r="W13690" s="2"/>
      <c r="X13690" s="2"/>
      <c r="Y13690" s="2"/>
      <c r="Z13690" s="2"/>
    </row>
    <row r="13691" spans="1:26" ht="16.5" x14ac:dyDescent="0.35">
      <c r="A13691" s="2" t="str">
        <f ca="1">IFERROR(__xludf.DUMMYFUNCTION("""COMPUTED_VALUE"""),"Dubai")</f>
        <v>Dubai</v>
      </c>
      <c r="B13691" s="2" t="str">
        <f ca="1">IFERROR(__xludf.DUMMYFUNCTION("""COMPUTED_VALUE"""),"Al Shafar 2 Building")</f>
        <v>Al Shafar 2 Building</v>
      </c>
      <c r="C13691" s="2" t="str">
        <f ca="1">IFERROR(__xludf.DUMMYFUNCTION("""COMPUTED_VALUE"""),"Building")</f>
        <v>Building</v>
      </c>
      <c r="D13691" s="2" t="str">
        <f ca="1">IFERROR(__xludf.DUMMYFUNCTION("""COMPUTED_VALUE"""),"Dubai&gt;Al Barsha&gt;Al Barsha 1&gt;Al Shafar 2 Building")</f>
        <v>Dubai&gt;Al Barsha&gt;Al Barsha 1&gt;Al Shafar 2 Building</v>
      </c>
      <c r="E13691" s="2"/>
      <c r="F13691" s="2"/>
      <c r="G13691" s="2"/>
      <c r="H13691" s="2"/>
      <c r="I13691" s="2"/>
      <c r="J13691" s="2"/>
      <c r="K13691" s="2"/>
      <c r="L13691" s="2"/>
      <c r="M13691" s="2"/>
      <c r="N13691" s="2"/>
      <c r="O13691" s="2"/>
      <c r="P13691" s="2"/>
      <c r="Q13691" s="2"/>
      <c r="R13691" s="2"/>
      <c r="S13691" s="2"/>
      <c r="T13691" s="2"/>
      <c r="U13691" s="2"/>
      <c r="V13691" s="2"/>
      <c r="W13691" s="2"/>
      <c r="X13691" s="2"/>
      <c r="Y13691" s="2"/>
      <c r="Z13691" s="2"/>
    </row>
    <row r="13692" spans="1:26" ht="16.5" x14ac:dyDescent="0.35">
      <c r="A13692" s="2" t="str">
        <f ca="1">IFERROR(__xludf.DUMMYFUNCTION("""COMPUTED_VALUE"""),"Dubai")</f>
        <v>Dubai</v>
      </c>
      <c r="B13692" s="2" t="str">
        <f ca="1">IFERROR(__xludf.DUMMYFUNCTION("""COMPUTED_VALUE"""),"Rose Plaza Hotel")</f>
        <v>Rose Plaza Hotel</v>
      </c>
      <c r="C13692" s="2" t="str">
        <f ca="1">IFERROR(__xludf.DUMMYFUNCTION("""COMPUTED_VALUE"""),"Building")</f>
        <v>Building</v>
      </c>
      <c r="D13692" s="2" t="str">
        <f ca="1">IFERROR(__xludf.DUMMYFUNCTION("""COMPUTED_VALUE"""),"Dubai&gt;Al Barsha&gt;Al Barsha 1&gt;Rose Plaza Hotel")</f>
        <v>Dubai&gt;Al Barsha&gt;Al Barsha 1&gt;Rose Plaza Hotel</v>
      </c>
      <c r="E13692" s="2"/>
      <c r="F13692" s="2"/>
      <c r="G13692" s="2"/>
      <c r="H13692" s="2"/>
      <c r="I13692" s="2"/>
      <c r="J13692" s="2"/>
      <c r="K13692" s="2"/>
      <c r="L13692" s="2"/>
      <c r="M13692" s="2"/>
      <c r="N13692" s="2"/>
      <c r="O13692" s="2"/>
      <c r="P13692" s="2"/>
      <c r="Q13692" s="2"/>
      <c r="R13692" s="2"/>
      <c r="S13692" s="2"/>
      <c r="T13692" s="2"/>
      <c r="U13692" s="2"/>
      <c r="V13692" s="2"/>
      <c r="W13692" s="2"/>
      <c r="X13692" s="2"/>
      <c r="Y13692" s="2"/>
      <c r="Z13692" s="2"/>
    </row>
    <row r="13693" spans="1:26" ht="16.5" x14ac:dyDescent="0.35">
      <c r="A13693" s="2" t="str">
        <f ca="1">IFERROR(__xludf.DUMMYFUNCTION("""COMPUTED_VALUE"""),"Dubai")</f>
        <v>Dubai</v>
      </c>
      <c r="B13693" s="2" t="str">
        <f ca="1">IFERROR(__xludf.DUMMYFUNCTION("""COMPUTED_VALUE"""),"Grandeur Hotel")</f>
        <v>Grandeur Hotel</v>
      </c>
      <c r="C13693" s="2" t="str">
        <f ca="1">IFERROR(__xludf.DUMMYFUNCTION("""COMPUTED_VALUE"""),"Building")</f>
        <v>Building</v>
      </c>
      <c r="D13693" s="2" t="str">
        <f ca="1">IFERROR(__xludf.DUMMYFUNCTION("""COMPUTED_VALUE"""),"Dubai&gt;Al Barsha&gt;Al Barsha 1&gt;Grandeur Hotel")</f>
        <v>Dubai&gt;Al Barsha&gt;Al Barsha 1&gt;Grandeur Hotel</v>
      </c>
      <c r="E13693" s="2"/>
      <c r="F13693" s="2"/>
      <c r="G13693" s="2"/>
      <c r="H13693" s="2"/>
      <c r="I13693" s="2"/>
      <c r="J13693" s="2"/>
      <c r="K13693" s="2"/>
      <c r="L13693" s="2"/>
      <c r="M13693" s="2"/>
      <c r="N13693" s="2"/>
      <c r="O13693" s="2"/>
      <c r="P13693" s="2"/>
      <c r="Q13693" s="2"/>
      <c r="R13693" s="2"/>
      <c r="S13693" s="2"/>
      <c r="T13693" s="2"/>
      <c r="U13693" s="2"/>
      <c r="V13693" s="2"/>
      <c r="W13693" s="2"/>
      <c r="X13693" s="2"/>
      <c r="Y13693" s="2"/>
      <c r="Z13693" s="2"/>
    </row>
    <row r="13694" spans="1:26" ht="16.5" x14ac:dyDescent="0.35">
      <c r="A13694" s="2" t="str">
        <f ca="1">IFERROR(__xludf.DUMMYFUNCTION("""COMPUTED_VALUE"""),"Dubai")</f>
        <v>Dubai</v>
      </c>
      <c r="B13694" s="2" t="str">
        <f ca="1">IFERROR(__xludf.DUMMYFUNCTION("""COMPUTED_VALUE"""),"Pink Building")</f>
        <v>Pink Building</v>
      </c>
      <c r="C13694" s="2" t="str">
        <f ca="1">IFERROR(__xludf.DUMMYFUNCTION("""COMPUTED_VALUE"""),"Building")</f>
        <v>Building</v>
      </c>
      <c r="D13694" s="2" t="str">
        <f ca="1">IFERROR(__xludf.DUMMYFUNCTION("""COMPUTED_VALUE"""),"Dubai&gt;Al Barsha&gt;Al Barsha 1&gt;Pink Building")</f>
        <v>Dubai&gt;Al Barsha&gt;Al Barsha 1&gt;Pink Building</v>
      </c>
      <c r="E13694" s="2"/>
      <c r="F13694" s="2"/>
      <c r="G13694" s="2"/>
      <c r="H13694" s="2"/>
      <c r="I13694" s="2"/>
      <c r="J13694" s="2"/>
      <c r="K13694" s="2"/>
      <c r="L13694" s="2"/>
      <c r="M13694" s="2"/>
      <c r="N13694" s="2"/>
      <c r="O13694" s="2"/>
      <c r="P13694" s="2"/>
      <c r="Q13694" s="2"/>
      <c r="R13694" s="2"/>
      <c r="S13694" s="2"/>
      <c r="T13694" s="2"/>
      <c r="U13694" s="2"/>
      <c r="V13694" s="2"/>
      <c r="W13694" s="2"/>
      <c r="X13694" s="2"/>
      <c r="Y13694" s="2"/>
      <c r="Z13694" s="2"/>
    </row>
    <row r="13695" spans="1:26" ht="16.5" x14ac:dyDescent="0.35">
      <c r="A13695" s="2" t="str">
        <f ca="1">IFERROR(__xludf.DUMMYFUNCTION("""COMPUTED_VALUE"""),"Dubai")</f>
        <v>Dubai</v>
      </c>
      <c r="B13695" s="2" t="str">
        <f ca="1">IFERROR(__xludf.DUMMYFUNCTION("""COMPUTED_VALUE"""),"Skylark Hotel Apartments")</f>
        <v>Skylark Hotel Apartments</v>
      </c>
      <c r="C13695" s="2" t="str">
        <f ca="1">IFERROR(__xludf.DUMMYFUNCTION("""COMPUTED_VALUE"""),"Building")</f>
        <v>Building</v>
      </c>
      <c r="D13695" s="2" t="str">
        <f ca="1">IFERROR(__xludf.DUMMYFUNCTION("""COMPUTED_VALUE"""),"Dubai&gt;Al Barsha&gt;Al Barsha 1&gt;Skylark Hotel Apartments")</f>
        <v>Dubai&gt;Al Barsha&gt;Al Barsha 1&gt;Skylark Hotel Apartments</v>
      </c>
      <c r="E13695" s="2"/>
      <c r="F13695" s="2"/>
      <c r="G13695" s="2"/>
      <c r="H13695" s="2"/>
      <c r="I13695" s="2"/>
      <c r="J13695" s="2"/>
      <c r="K13695" s="2"/>
      <c r="L13695" s="2"/>
      <c r="M13695" s="2"/>
      <c r="N13695" s="2"/>
      <c r="O13695" s="2"/>
      <c r="P13695" s="2"/>
      <c r="Q13695" s="2"/>
      <c r="R13695" s="2"/>
      <c r="S13695" s="2"/>
      <c r="T13695" s="2"/>
      <c r="U13695" s="2"/>
      <c r="V13695" s="2"/>
      <c r="W13695" s="2"/>
      <c r="X13695" s="2"/>
      <c r="Y13695" s="2"/>
      <c r="Z13695" s="2"/>
    </row>
    <row r="13696" spans="1:26" ht="16.5" x14ac:dyDescent="0.35">
      <c r="A13696" s="2" t="str">
        <f ca="1">IFERROR(__xludf.DUMMYFUNCTION("""COMPUTED_VALUE"""),"Dubai")</f>
        <v>Dubai</v>
      </c>
      <c r="B13696" s="2" t="str">
        <f ca="1">IFERROR(__xludf.DUMMYFUNCTION("""COMPUTED_VALUE"""),"Roots Residence")</f>
        <v>Roots Residence</v>
      </c>
      <c r="C13696" s="2" t="str">
        <f ca="1">IFERROR(__xludf.DUMMYFUNCTION("""COMPUTED_VALUE"""),"Building")</f>
        <v>Building</v>
      </c>
      <c r="D13696" s="2" t="str">
        <f ca="1">IFERROR(__xludf.DUMMYFUNCTION("""COMPUTED_VALUE"""),"Dubai&gt;Al Barsha&gt;Al Barsha 1&gt;Roots Residence")</f>
        <v>Dubai&gt;Al Barsha&gt;Al Barsha 1&gt;Roots Residence</v>
      </c>
      <c r="E13696" s="2"/>
      <c r="F13696" s="2"/>
      <c r="G13696" s="2"/>
      <c r="H13696" s="2"/>
      <c r="I13696" s="2"/>
      <c r="J13696" s="2"/>
      <c r="K13696" s="2"/>
      <c r="L13696" s="2"/>
      <c r="M13696" s="2"/>
      <c r="N13696" s="2"/>
      <c r="O13696" s="2"/>
      <c r="P13696" s="2"/>
      <c r="Q13696" s="2"/>
      <c r="R13696" s="2"/>
      <c r="S13696" s="2"/>
      <c r="T13696" s="2"/>
      <c r="U13696" s="2"/>
      <c r="V13696" s="2"/>
      <c r="W13696" s="2"/>
      <c r="X13696" s="2"/>
      <c r="Y13696" s="2"/>
      <c r="Z13696" s="2"/>
    </row>
    <row r="13697" spans="1:26" ht="16.5" x14ac:dyDescent="0.35">
      <c r="A13697" s="2" t="str">
        <f ca="1">IFERROR(__xludf.DUMMYFUNCTION("""COMPUTED_VALUE"""),"Dubai")</f>
        <v>Dubai</v>
      </c>
      <c r="B13697" s="2" t="str">
        <f ca="1">IFERROR(__xludf.DUMMYFUNCTION("""COMPUTED_VALUE"""),"Hoor 1 Building")</f>
        <v>Hoor 1 Building</v>
      </c>
      <c r="C13697" s="2" t="str">
        <f ca="1">IFERROR(__xludf.DUMMYFUNCTION("""COMPUTED_VALUE"""),"Building")</f>
        <v>Building</v>
      </c>
      <c r="D13697" s="2" t="str">
        <f ca="1">IFERROR(__xludf.DUMMYFUNCTION("""COMPUTED_VALUE"""),"Dubai&gt;Al Barsha&gt;Al Barsha 1&gt;Hoor 1 Building")</f>
        <v>Dubai&gt;Al Barsha&gt;Al Barsha 1&gt;Hoor 1 Building</v>
      </c>
      <c r="E13697" s="2"/>
      <c r="F13697" s="2"/>
      <c r="G13697" s="2"/>
      <c r="H13697" s="2"/>
      <c r="I13697" s="2"/>
      <c r="J13697" s="2"/>
      <c r="K13697" s="2"/>
      <c r="L13697" s="2"/>
      <c r="M13697" s="2"/>
      <c r="N13697" s="2"/>
      <c r="O13697" s="2"/>
      <c r="P13697" s="2"/>
      <c r="Q13697" s="2"/>
      <c r="R13697" s="2"/>
      <c r="S13697" s="2"/>
      <c r="T13697" s="2"/>
      <c r="U13697" s="2"/>
      <c r="V13697" s="2"/>
      <c r="W13697" s="2"/>
      <c r="X13697" s="2"/>
      <c r="Y13697" s="2"/>
      <c r="Z13697" s="2"/>
    </row>
    <row r="13698" spans="1:26" ht="16.5" x14ac:dyDescent="0.35">
      <c r="A13698" s="2" t="str">
        <f ca="1">IFERROR(__xludf.DUMMYFUNCTION("""COMPUTED_VALUE"""),"Dubai")</f>
        <v>Dubai</v>
      </c>
      <c r="B13698" s="2" t="str">
        <f ca="1">IFERROR(__xludf.DUMMYFUNCTION("""COMPUTED_VALUE"""),"Al Barsha South")</f>
        <v>Al Barsha South</v>
      </c>
      <c r="C13698" s="2" t="str">
        <f ca="1">IFERROR(__xludf.DUMMYFUNCTION("""COMPUTED_VALUE"""),"Neighbourhood")</f>
        <v>Neighbourhood</v>
      </c>
      <c r="D13698" s="2" t="str">
        <f ca="1">IFERROR(__xludf.DUMMYFUNCTION("""COMPUTED_VALUE"""),"Dubai&gt;Al Barsha&gt;Al Barsha South")</f>
        <v>Dubai&gt;Al Barsha&gt;Al Barsha South</v>
      </c>
      <c r="E13698" s="2"/>
      <c r="F13698" s="2"/>
      <c r="G13698" s="2"/>
      <c r="H13698" s="2"/>
      <c r="I13698" s="2"/>
      <c r="J13698" s="2"/>
      <c r="K13698" s="2"/>
      <c r="L13698" s="2"/>
      <c r="M13698" s="2"/>
      <c r="N13698" s="2"/>
      <c r="O13698" s="2"/>
      <c r="P13698" s="2"/>
      <c r="Q13698" s="2"/>
      <c r="R13698" s="2"/>
      <c r="S13698" s="2"/>
      <c r="T13698" s="2"/>
      <c r="U13698" s="2"/>
      <c r="V13698" s="2"/>
      <c r="W13698" s="2"/>
      <c r="X13698" s="2"/>
      <c r="Y13698" s="2"/>
      <c r="Z13698" s="2"/>
    </row>
    <row r="13699" spans="1:26" ht="16.5" x14ac:dyDescent="0.35">
      <c r="A13699" s="2" t="str">
        <f ca="1">IFERROR(__xludf.DUMMYFUNCTION("""COMPUTED_VALUE"""),"Dubai")</f>
        <v>Dubai</v>
      </c>
      <c r="B13699" s="2" t="str">
        <f ca="1">IFERROR(__xludf.DUMMYFUNCTION("""COMPUTED_VALUE"""),"Bellevue Tower 1")</f>
        <v>Bellevue Tower 1</v>
      </c>
      <c r="C13699" s="2" t="str">
        <f ca="1">IFERROR(__xludf.DUMMYFUNCTION("""COMPUTED_VALUE"""),"Building")</f>
        <v>Building</v>
      </c>
      <c r="D13699" s="2" t="str">
        <f ca="1">IFERROR(__xludf.DUMMYFUNCTION("""COMPUTED_VALUE"""),"Dubai&gt;Downtown Dubai&gt;Bellevue Towers&gt;Bellevue Tower 1")</f>
        <v>Dubai&gt;Downtown Dubai&gt;Bellevue Towers&gt;Bellevue Tower 1</v>
      </c>
      <c r="E13699" s="2"/>
      <c r="F13699" s="2"/>
      <c r="G13699" s="2"/>
      <c r="H13699" s="2"/>
      <c r="I13699" s="2"/>
      <c r="J13699" s="2"/>
      <c r="K13699" s="2"/>
      <c r="L13699" s="2"/>
      <c r="M13699" s="2"/>
      <c r="N13699" s="2"/>
      <c r="O13699" s="2"/>
      <c r="P13699" s="2"/>
      <c r="Q13699" s="2"/>
      <c r="R13699" s="2"/>
      <c r="S13699" s="2"/>
      <c r="T13699" s="2"/>
      <c r="U13699" s="2"/>
      <c r="V13699" s="2"/>
      <c r="W13699" s="2"/>
      <c r="X13699" s="2"/>
      <c r="Y13699" s="2"/>
      <c r="Z13699" s="2"/>
    </row>
    <row r="13700" spans="1:26" ht="16.5" x14ac:dyDescent="0.35">
      <c r="A13700" s="2" t="str">
        <f ca="1">IFERROR(__xludf.DUMMYFUNCTION("""COMPUTED_VALUE"""),"Dubai")</f>
        <v>Dubai</v>
      </c>
      <c r="B13700" s="2" t="str">
        <f ca="1">IFERROR(__xludf.DUMMYFUNCTION("""COMPUTED_VALUE"""),"The Residences West Podium")</f>
        <v>The Residences West Podium</v>
      </c>
      <c r="C13700" s="2" t="str">
        <f ca="1">IFERROR(__xludf.DUMMYFUNCTION("""COMPUTED_VALUE"""),"Building")</f>
        <v>Building</v>
      </c>
      <c r="D13700" s="2" t="str">
        <f ca="1">IFERROR(__xludf.DUMMYFUNCTION("""COMPUTED_VALUE"""),"Dubai&gt;Downtown Dubai&gt;The Residences&gt;The Residences West Podium")</f>
        <v>Dubai&gt;Downtown Dubai&gt;The Residences&gt;The Residences West Podium</v>
      </c>
      <c r="E13700" s="2"/>
      <c r="F13700" s="2"/>
      <c r="G13700" s="2"/>
      <c r="H13700" s="2"/>
      <c r="I13700" s="2"/>
      <c r="J13700" s="2"/>
      <c r="K13700" s="2"/>
      <c r="L13700" s="2"/>
      <c r="M13700" s="2"/>
      <c r="N13700" s="2"/>
      <c r="O13700" s="2"/>
      <c r="P13700" s="2"/>
      <c r="Q13700" s="2"/>
      <c r="R13700" s="2"/>
      <c r="S13700" s="2"/>
      <c r="T13700" s="2"/>
      <c r="U13700" s="2"/>
      <c r="V13700" s="2"/>
      <c r="W13700" s="2"/>
      <c r="X13700" s="2"/>
      <c r="Y13700" s="2"/>
      <c r="Z13700" s="2"/>
    </row>
    <row r="13701" spans="1:26" ht="16.5" x14ac:dyDescent="0.35">
      <c r="A13701" s="2" t="str">
        <f ca="1">IFERROR(__xludf.DUMMYFUNCTION("""COMPUTED_VALUE"""),"Dubai")</f>
        <v>Dubai</v>
      </c>
      <c r="B13701" s="2" t="str">
        <f ca="1">IFERROR(__xludf.DUMMYFUNCTION("""COMPUTED_VALUE"""),"Sofitel Downtown")</f>
        <v>Sofitel Downtown</v>
      </c>
      <c r="C13701" s="2" t="str">
        <f ca="1">IFERROR(__xludf.DUMMYFUNCTION("""COMPUTED_VALUE"""),"Building")</f>
        <v>Building</v>
      </c>
      <c r="D13701" s="2" t="str">
        <f ca="1">IFERROR(__xludf.DUMMYFUNCTION("""COMPUTED_VALUE"""),"Dubai&gt;Downtown Dubai&gt;Sofitel Downtown")</f>
        <v>Dubai&gt;Downtown Dubai&gt;Sofitel Downtown</v>
      </c>
      <c r="E13701" s="2"/>
      <c r="F13701" s="2"/>
      <c r="G13701" s="2"/>
      <c r="H13701" s="2"/>
      <c r="I13701" s="2"/>
      <c r="J13701" s="2"/>
      <c r="K13701" s="2"/>
      <c r="L13701" s="2"/>
      <c r="M13701" s="2"/>
      <c r="N13701" s="2"/>
      <c r="O13701" s="2"/>
      <c r="P13701" s="2"/>
      <c r="Q13701" s="2"/>
      <c r="R13701" s="2"/>
      <c r="S13701" s="2"/>
      <c r="T13701" s="2"/>
      <c r="U13701" s="2"/>
      <c r="V13701" s="2"/>
      <c r="W13701" s="2"/>
      <c r="X13701" s="2"/>
      <c r="Y13701" s="2"/>
      <c r="Z13701" s="2"/>
    </row>
    <row r="13702" spans="1:26" ht="16.5" x14ac:dyDescent="0.35">
      <c r="A13702" s="2" t="str">
        <f ca="1">IFERROR(__xludf.DUMMYFUNCTION("""COMPUTED_VALUE"""),"Dubai")</f>
        <v>Dubai</v>
      </c>
      <c r="B13702" s="2" t="str">
        <f ca="1">IFERROR(__xludf.DUMMYFUNCTION("""COMPUTED_VALUE"""),"Zaafaran 4")</f>
        <v>Zaafaran 4</v>
      </c>
      <c r="C13702" s="2" t="str">
        <f ca="1">IFERROR(__xludf.DUMMYFUNCTION("""COMPUTED_VALUE"""),"Building")</f>
        <v>Building</v>
      </c>
      <c r="D13702" s="2" t="str">
        <f ca="1">IFERROR(__xludf.DUMMYFUNCTION("""COMPUTED_VALUE"""),"Dubai&gt;Downtown Dubai&gt;Old Town&gt;Zaafaran&gt;Zaafaran 4")</f>
        <v>Dubai&gt;Downtown Dubai&gt;Old Town&gt;Zaafaran&gt;Zaafaran 4</v>
      </c>
      <c r="E13702" s="2"/>
      <c r="F13702" s="2"/>
      <c r="G13702" s="2"/>
      <c r="H13702" s="2"/>
      <c r="I13702" s="2"/>
      <c r="J13702" s="2"/>
      <c r="K13702" s="2"/>
      <c r="L13702" s="2"/>
      <c r="M13702" s="2"/>
      <c r="N13702" s="2"/>
      <c r="O13702" s="2"/>
      <c r="P13702" s="2"/>
      <c r="Q13702" s="2"/>
      <c r="R13702" s="2"/>
      <c r="S13702" s="2"/>
      <c r="T13702" s="2"/>
      <c r="U13702" s="2"/>
      <c r="V13702" s="2"/>
      <c r="W13702" s="2"/>
      <c r="X13702" s="2"/>
      <c r="Y13702" s="2"/>
      <c r="Z13702" s="2"/>
    </row>
    <row r="13703" spans="1:26" ht="16.5" x14ac:dyDescent="0.35">
      <c r="A13703" s="2" t="str">
        <f ca="1">IFERROR(__xludf.DUMMYFUNCTION("""COMPUTED_VALUE"""),"Dubai")</f>
        <v>Dubai</v>
      </c>
      <c r="B13703" s="2" t="str">
        <f ca="1">IFERROR(__xludf.DUMMYFUNCTION("""COMPUTED_VALUE"""),"Miska 1")</f>
        <v>Miska 1</v>
      </c>
      <c r="C13703" s="2" t="str">
        <f ca="1">IFERROR(__xludf.DUMMYFUNCTION("""COMPUTED_VALUE"""),"Building")</f>
        <v>Building</v>
      </c>
      <c r="D13703" s="2" t="str">
        <f ca="1">IFERROR(__xludf.DUMMYFUNCTION("""COMPUTED_VALUE"""),"Dubai&gt;Downtown Dubai&gt;Old Town&gt;Miska&gt;Miska 1")</f>
        <v>Dubai&gt;Downtown Dubai&gt;Old Town&gt;Miska&gt;Miska 1</v>
      </c>
      <c r="E13703" s="2"/>
      <c r="F13703" s="2"/>
      <c r="G13703" s="2"/>
      <c r="H13703" s="2"/>
      <c r="I13703" s="2"/>
      <c r="J13703" s="2"/>
      <c r="K13703" s="2"/>
      <c r="L13703" s="2"/>
      <c r="M13703" s="2"/>
      <c r="N13703" s="2"/>
      <c r="O13703" s="2"/>
      <c r="P13703" s="2"/>
      <c r="Q13703" s="2"/>
      <c r="R13703" s="2"/>
      <c r="S13703" s="2"/>
      <c r="T13703" s="2"/>
      <c r="U13703" s="2"/>
      <c r="V13703" s="2"/>
      <c r="W13703" s="2"/>
      <c r="X13703" s="2"/>
      <c r="Y13703" s="2"/>
      <c r="Z13703" s="2"/>
    </row>
    <row r="13704" spans="1:26" ht="16.5" x14ac:dyDescent="0.35">
      <c r="A13704" s="2" t="str">
        <f ca="1">IFERROR(__xludf.DUMMYFUNCTION("""COMPUTED_VALUE"""),"Dubai")</f>
        <v>Dubai</v>
      </c>
      <c r="B13704" s="2" t="str">
        <f ca="1">IFERROR(__xludf.DUMMYFUNCTION("""COMPUTED_VALUE"""),"Mercedes Benz Places by Binghatti")</f>
        <v>Mercedes Benz Places by Binghatti</v>
      </c>
      <c r="C13704" s="2" t="str">
        <f ca="1">IFERROR(__xludf.DUMMYFUNCTION("""COMPUTED_VALUE"""),"Building")</f>
        <v>Building</v>
      </c>
      <c r="D13704" s="2" t="str">
        <f ca="1">IFERROR(__xludf.DUMMYFUNCTION("""COMPUTED_VALUE"""),"Dubai&gt;Downtown Dubai&gt;Mercedes Benz Places by Binghatti")</f>
        <v>Dubai&gt;Downtown Dubai&gt;Mercedes Benz Places by Binghatti</v>
      </c>
      <c r="E13704" s="2"/>
      <c r="F13704" s="2"/>
      <c r="G13704" s="2"/>
      <c r="H13704" s="2"/>
      <c r="I13704" s="2"/>
      <c r="J13704" s="2"/>
      <c r="K13704" s="2"/>
      <c r="L13704" s="2"/>
      <c r="M13704" s="2"/>
      <c r="N13704" s="2"/>
      <c r="O13704" s="2"/>
      <c r="P13704" s="2"/>
      <c r="Q13704" s="2"/>
      <c r="R13704" s="2"/>
      <c r="S13704" s="2"/>
      <c r="T13704" s="2"/>
      <c r="U13704" s="2"/>
      <c r="V13704" s="2"/>
      <c r="W13704" s="2"/>
      <c r="X13704" s="2"/>
      <c r="Y13704" s="2"/>
      <c r="Z13704" s="2"/>
    </row>
    <row r="13705" spans="1:26" ht="16.5" x14ac:dyDescent="0.35">
      <c r="A13705" s="2" t="str">
        <f ca="1">IFERROR(__xludf.DUMMYFUNCTION("""COMPUTED_VALUE"""),"Dubai")</f>
        <v>Dubai</v>
      </c>
      <c r="B13705" s="2" t="str">
        <f ca="1">IFERROR(__xludf.DUMMYFUNCTION("""COMPUTED_VALUE"""),"Mazaya 19")</f>
        <v>Mazaya 19</v>
      </c>
      <c r="C13705" s="2" t="str">
        <f ca="1">IFERROR(__xludf.DUMMYFUNCTION("""COMPUTED_VALUE"""),"Building")</f>
        <v>Building</v>
      </c>
      <c r="D13705" s="2" t="str">
        <f ca="1">IFERROR(__xludf.DUMMYFUNCTION("""COMPUTED_VALUE"""),"Dubai&gt;Liwan&gt;Queue Point&gt;Mazaya 19")</f>
        <v>Dubai&gt;Liwan&gt;Queue Point&gt;Mazaya 19</v>
      </c>
      <c r="E13705" s="2"/>
      <c r="F13705" s="2"/>
      <c r="G13705" s="2"/>
      <c r="H13705" s="2"/>
      <c r="I13705" s="2"/>
      <c r="J13705" s="2"/>
      <c r="K13705" s="2"/>
      <c r="L13705" s="2"/>
      <c r="M13705" s="2"/>
      <c r="N13705" s="2"/>
      <c r="O13705" s="2"/>
      <c r="P13705" s="2"/>
      <c r="Q13705" s="2"/>
      <c r="R13705" s="2"/>
      <c r="S13705" s="2"/>
      <c r="T13705" s="2"/>
      <c r="U13705" s="2"/>
      <c r="V13705" s="2"/>
      <c r="W13705" s="2"/>
      <c r="X13705" s="2"/>
      <c r="Y13705" s="2"/>
      <c r="Z13705" s="2"/>
    </row>
    <row r="13706" spans="1:26" ht="16.5" x14ac:dyDescent="0.35">
      <c r="A13706" s="2" t="str">
        <f ca="1">IFERROR(__xludf.DUMMYFUNCTION("""COMPUTED_VALUE"""),"Dubai")</f>
        <v>Dubai</v>
      </c>
      <c r="B13706" s="2" t="str">
        <f ca="1">IFERROR(__xludf.DUMMYFUNCTION("""COMPUTED_VALUE"""),"Mazaya 12")</f>
        <v>Mazaya 12</v>
      </c>
      <c r="C13706" s="2" t="str">
        <f ca="1">IFERROR(__xludf.DUMMYFUNCTION("""COMPUTED_VALUE"""),"Building")</f>
        <v>Building</v>
      </c>
      <c r="D13706" s="2" t="str">
        <f ca="1">IFERROR(__xludf.DUMMYFUNCTION("""COMPUTED_VALUE"""),"Dubai&gt;Liwan&gt;Queue Point&gt;Mazaya 12")</f>
        <v>Dubai&gt;Liwan&gt;Queue Point&gt;Mazaya 12</v>
      </c>
      <c r="E13706" s="2"/>
      <c r="F13706" s="2"/>
      <c r="G13706" s="2"/>
      <c r="H13706" s="2"/>
      <c r="I13706" s="2"/>
      <c r="J13706" s="2"/>
      <c r="K13706" s="2"/>
      <c r="L13706" s="2"/>
      <c r="M13706" s="2"/>
      <c r="N13706" s="2"/>
      <c r="O13706" s="2"/>
      <c r="P13706" s="2"/>
      <c r="Q13706" s="2"/>
      <c r="R13706" s="2"/>
      <c r="S13706" s="2"/>
      <c r="T13706" s="2"/>
      <c r="U13706" s="2"/>
      <c r="V13706" s="2"/>
      <c r="W13706" s="2"/>
      <c r="X13706" s="2"/>
      <c r="Y13706" s="2"/>
      <c r="Z13706" s="2"/>
    </row>
    <row r="13707" spans="1:26" ht="16.5" x14ac:dyDescent="0.35">
      <c r="A13707" s="2" t="str">
        <f ca="1">IFERROR(__xludf.DUMMYFUNCTION("""COMPUTED_VALUE"""),"Dubai")</f>
        <v>Dubai</v>
      </c>
      <c r="B13707" s="2" t="str">
        <f ca="1">IFERROR(__xludf.DUMMYFUNCTION("""COMPUTED_VALUE"""),"Viani by Meteora")</f>
        <v>Viani by Meteora</v>
      </c>
      <c r="C13707" s="2" t="str">
        <f ca="1">IFERROR(__xludf.DUMMYFUNCTION("""COMPUTED_VALUE"""),"Building")</f>
        <v>Building</v>
      </c>
      <c r="D13707" s="2" t="str">
        <f ca="1">IFERROR(__xludf.DUMMYFUNCTION("""COMPUTED_VALUE"""),"Dubai&gt;Liwan&gt;Viani by Meteora")</f>
        <v>Dubai&gt;Liwan&gt;Viani by Meteora</v>
      </c>
      <c r="E13707" s="2"/>
      <c r="F13707" s="2"/>
      <c r="G13707" s="2"/>
      <c r="H13707" s="2"/>
      <c r="I13707" s="2"/>
      <c r="J13707" s="2"/>
      <c r="K13707" s="2"/>
      <c r="L13707" s="2"/>
      <c r="M13707" s="2"/>
      <c r="N13707" s="2"/>
      <c r="O13707" s="2"/>
      <c r="P13707" s="2"/>
      <c r="Q13707" s="2"/>
      <c r="R13707" s="2"/>
      <c r="S13707" s="2"/>
      <c r="T13707" s="2"/>
      <c r="U13707" s="2"/>
      <c r="V13707" s="2"/>
      <c r="W13707" s="2"/>
      <c r="X13707" s="2"/>
      <c r="Y13707" s="2"/>
      <c r="Z13707" s="2"/>
    </row>
    <row r="13708" spans="1:26" ht="16.5" x14ac:dyDescent="0.35">
      <c r="A13708" s="2" t="str">
        <f ca="1">IFERROR(__xludf.DUMMYFUNCTION("""COMPUTED_VALUE"""),"Dubai")</f>
        <v>Dubai</v>
      </c>
      <c r="B13708" s="2" t="str">
        <f ca="1">IFERROR(__xludf.DUMMYFUNCTION("""COMPUTED_VALUE"""),"Hummingbird Nursery DIFC")</f>
        <v>Hummingbird Nursery DIFC</v>
      </c>
      <c r="C13708" s="2" t="str">
        <f ca="1">IFERROR(__xludf.DUMMYFUNCTION("""COMPUTED_VALUE"""),"Nursery")</f>
        <v>Nursery</v>
      </c>
      <c r="D13708" s="2" t="str">
        <f ca="1">IFERROR(__xludf.DUMMYFUNCTION("""COMPUTED_VALUE"""),"Dubai&gt;DIFC&gt;Hummingbird Nursery DIFC")</f>
        <v>Dubai&gt;DIFC&gt;Hummingbird Nursery DIFC</v>
      </c>
      <c r="E13708" s="2"/>
      <c r="F13708" s="2"/>
      <c r="G13708" s="2"/>
      <c r="H13708" s="2"/>
      <c r="I13708" s="2"/>
      <c r="J13708" s="2"/>
      <c r="K13708" s="2"/>
      <c r="L13708" s="2"/>
      <c r="M13708" s="2"/>
      <c r="N13708" s="2"/>
      <c r="O13708" s="2"/>
      <c r="P13708" s="2"/>
      <c r="Q13708" s="2"/>
      <c r="R13708" s="2"/>
      <c r="S13708" s="2"/>
      <c r="T13708" s="2"/>
      <c r="U13708" s="2"/>
      <c r="V13708" s="2"/>
      <c r="W13708" s="2"/>
      <c r="X13708" s="2"/>
      <c r="Y13708" s="2"/>
      <c r="Z13708" s="2"/>
    </row>
    <row r="13709" spans="1:26" ht="16.5" x14ac:dyDescent="0.35">
      <c r="A13709" s="2" t="str">
        <f ca="1">IFERROR(__xludf.DUMMYFUNCTION("""COMPUTED_VALUE"""),"Dubai")</f>
        <v>Dubai</v>
      </c>
      <c r="B13709" s="2" t="str">
        <f ca="1">IFERROR(__xludf.DUMMYFUNCTION("""COMPUTED_VALUE"""),"The Gate Precinct 5")</f>
        <v>The Gate Precinct 5</v>
      </c>
      <c r="C13709" s="2" t="str">
        <f ca="1">IFERROR(__xludf.DUMMYFUNCTION("""COMPUTED_VALUE"""),"Building")</f>
        <v>Building</v>
      </c>
      <c r="D13709" s="2" t="str">
        <f ca="1">IFERROR(__xludf.DUMMYFUNCTION("""COMPUTED_VALUE"""),"Dubai&gt;DIFC&gt;The Gate Precinct&gt;The Gate Precinct 5")</f>
        <v>Dubai&gt;DIFC&gt;The Gate Precinct&gt;The Gate Precinct 5</v>
      </c>
      <c r="E13709" s="2"/>
      <c r="F13709" s="2"/>
      <c r="G13709" s="2"/>
      <c r="H13709" s="2"/>
      <c r="I13709" s="2"/>
      <c r="J13709" s="2"/>
      <c r="K13709" s="2"/>
      <c r="L13709" s="2"/>
      <c r="M13709" s="2"/>
      <c r="N13709" s="2"/>
      <c r="O13709" s="2"/>
      <c r="P13709" s="2"/>
      <c r="Q13709" s="2"/>
      <c r="R13709" s="2"/>
      <c r="S13709" s="2"/>
      <c r="T13709" s="2"/>
      <c r="U13709" s="2"/>
      <c r="V13709" s="2"/>
      <c r="W13709" s="2"/>
      <c r="X13709" s="2"/>
      <c r="Y13709" s="2"/>
      <c r="Z13709" s="2"/>
    </row>
    <row r="13710" spans="1:26" ht="16.5" x14ac:dyDescent="0.35">
      <c r="A13710" s="2" t="str">
        <f ca="1">IFERROR(__xludf.DUMMYFUNCTION("""COMPUTED_VALUE"""),"Dubai")</f>
        <v>Dubai</v>
      </c>
      <c r="B13710" s="2" t="str">
        <f ca="1">IFERROR(__xludf.DUMMYFUNCTION("""COMPUTED_VALUE"""),"GEMS Our Own English High School")</f>
        <v>GEMS Our Own English High School</v>
      </c>
      <c r="C13710" s="2" t="str">
        <f ca="1">IFERROR(__xludf.DUMMYFUNCTION("""COMPUTED_VALUE"""),"School")</f>
        <v>School</v>
      </c>
      <c r="D13710" s="2" t="str">
        <f ca="1">IFERROR(__xludf.DUMMYFUNCTION("""COMPUTED_VALUE"""),"Dubai&gt;Al Warqaa&gt;Al Warqaa 3&gt;GEMS Our Own English High School")</f>
        <v>Dubai&gt;Al Warqaa&gt;Al Warqaa 3&gt;GEMS Our Own English High School</v>
      </c>
      <c r="E13710" s="2"/>
      <c r="F13710" s="2"/>
      <c r="G13710" s="2"/>
      <c r="H13710" s="2"/>
      <c r="I13710" s="2"/>
      <c r="J13710" s="2"/>
      <c r="K13710" s="2"/>
      <c r="L13710" s="2"/>
      <c r="M13710" s="2"/>
      <c r="N13710" s="2"/>
      <c r="O13710" s="2"/>
      <c r="P13710" s="2"/>
      <c r="Q13710" s="2"/>
      <c r="R13710" s="2"/>
      <c r="S13710" s="2"/>
      <c r="T13710" s="2"/>
      <c r="U13710" s="2"/>
      <c r="V13710" s="2"/>
      <c r="W13710" s="2"/>
      <c r="X13710" s="2"/>
      <c r="Y13710" s="2"/>
      <c r="Z13710" s="2"/>
    </row>
    <row r="13711" spans="1:26" ht="16.5" x14ac:dyDescent="0.35">
      <c r="A13711" s="2" t="str">
        <f ca="1">IFERROR(__xludf.DUMMYFUNCTION("""COMPUTED_VALUE"""),"Dubai")</f>
        <v>Dubai</v>
      </c>
      <c r="B13711" s="2" t="str">
        <f ca="1">IFERROR(__xludf.DUMMYFUNCTION("""COMPUTED_VALUE"""),"Al Bawadi Building")</f>
        <v>Al Bawadi Building</v>
      </c>
      <c r="C13711" s="2" t="str">
        <f ca="1">IFERROR(__xludf.DUMMYFUNCTION("""COMPUTED_VALUE"""),"Building")</f>
        <v>Building</v>
      </c>
      <c r="D13711" s="2" t="str">
        <f ca="1">IFERROR(__xludf.DUMMYFUNCTION("""COMPUTED_VALUE"""),"Dubai&gt;Al Warqaa&gt;Al Warqaa 1&gt;Al Bawadi Building")</f>
        <v>Dubai&gt;Al Warqaa&gt;Al Warqaa 1&gt;Al Bawadi Building</v>
      </c>
      <c r="E13711" s="2"/>
      <c r="F13711" s="2"/>
      <c r="G13711" s="2"/>
      <c r="H13711" s="2"/>
      <c r="I13711" s="2"/>
      <c r="J13711" s="2"/>
      <c r="K13711" s="2"/>
      <c r="L13711" s="2"/>
      <c r="M13711" s="2"/>
      <c r="N13711" s="2"/>
      <c r="O13711" s="2"/>
      <c r="P13711" s="2"/>
      <c r="Q13711" s="2"/>
      <c r="R13711" s="2"/>
      <c r="S13711" s="2"/>
      <c r="T13711" s="2"/>
      <c r="U13711" s="2"/>
      <c r="V13711" s="2"/>
      <c r="W13711" s="2"/>
      <c r="X13711" s="2"/>
      <c r="Y13711" s="2"/>
      <c r="Z13711" s="2"/>
    </row>
    <row r="13712" spans="1:26" ht="16.5" x14ac:dyDescent="0.35">
      <c r="A13712" s="2" t="str">
        <f ca="1">IFERROR(__xludf.DUMMYFUNCTION("""COMPUTED_VALUE"""),"Dubai")</f>
        <v>Dubai</v>
      </c>
      <c r="B13712" s="2" t="str">
        <f ca="1">IFERROR(__xludf.DUMMYFUNCTION("""COMPUTED_VALUE"""),"Nozol Safana Building")</f>
        <v>Nozol Safana Building</v>
      </c>
      <c r="C13712" s="2" t="str">
        <f ca="1">IFERROR(__xludf.DUMMYFUNCTION("""COMPUTED_VALUE"""),"Building")</f>
        <v>Building</v>
      </c>
      <c r="D13712" s="2" t="str">
        <f ca="1">IFERROR(__xludf.DUMMYFUNCTION("""COMPUTED_VALUE"""),"Dubai&gt;Al Warqaa&gt;Al Warqaa 1&gt;Nozol Safana Building")</f>
        <v>Dubai&gt;Al Warqaa&gt;Al Warqaa 1&gt;Nozol Safana Building</v>
      </c>
      <c r="E13712" s="2"/>
      <c r="F13712" s="2"/>
      <c r="G13712" s="2"/>
      <c r="H13712" s="2"/>
      <c r="I13712" s="2"/>
      <c r="J13712" s="2"/>
      <c r="K13712" s="2"/>
      <c r="L13712" s="2"/>
      <c r="M13712" s="2"/>
      <c r="N13712" s="2"/>
      <c r="O13712" s="2"/>
      <c r="P13712" s="2"/>
      <c r="Q13712" s="2"/>
      <c r="R13712" s="2"/>
      <c r="S13712" s="2"/>
      <c r="T13712" s="2"/>
      <c r="U13712" s="2"/>
      <c r="V13712" s="2"/>
      <c r="W13712" s="2"/>
      <c r="X13712" s="2"/>
      <c r="Y13712" s="2"/>
      <c r="Z13712" s="2"/>
    </row>
    <row r="13713" spans="1:26" ht="16.5" x14ac:dyDescent="0.35">
      <c r="A13713" s="2" t="str">
        <f ca="1">IFERROR(__xludf.DUMMYFUNCTION("""COMPUTED_VALUE"""),"Dubai")</f>
        <v>Dubai</v>
      </c>
      <c r="B13713" s="2" t="str">
        <f ca="1">IFERROR(__xludf.DUMMYFUNCTION("""COMPUTED_VALUE"""),"Sayed Abdul Fattah Sayed Mansoor Sharaf Building")</f>
        <v>Sayed Abdul Fattah Sayed Mansoor Sharaf Building</v>
      </c>
      <c r="C13713" s="2" t="str">
        <f ca="1">IFERROR(__xludf.DUMMYFUNCTION("""COMPUTED_VALUE"""),"Building")</f>
        <v>Building</v>
      </c>
      <c r="D13713" s="2" t="str">
        <f ca="1">IFERROR(__xludf.DUMMYFUNCTION("""COMPUTED_VALUE"""),"Dubai&gt;Al Warqaa&gt;Al Warqaa 1&gt;Sayed Abdul Fattah Sayed Mansoor Sharaf Building")</f>
        <v>Dubai&gt;Al Warqaa&gt;Al Warqaa 1&gt;Sayed Abdul Fattah Sayed Mansoor Sharaf Building</v>
      </c>
      <c r="E13713" s="2"/>
      <c r="F13713" s="2"/>
      <c r="G13713" s="2"/>
      <c r="H13713" s="2"/>
      <c r="I13713" s="2"/>
      <c r="J13713" s="2"/>
      <c r="K13713" s="2"/>
      <c r="L13713" s="2"/>
      <c r="M13713" s="2"/>
      <c r="N13713" s="2"/>
      <c r="O13713" s="2"/>
      <c r="P13713" s="2"/>
      <c r="Q13713" s="2"/>
      <c r="R13713" s="2"/>
      <c r="S13713" s="2"/>
      <c r="T13713" s="2"/>
      <c r="U13713" s="2"/>
      <c r="V13713" s="2"/>
      <c r="W13713" s="2"/>
      <c r="X13713" s="2"/>
      <c r="Y13713" s="2"/>
      <c r="Z13713" s="2"/>
    </row>
    <row r="13714" spans="1:26" ht="16.5" x14ac:dyDescent="0.35">
      <c r="A13714" s="2" t="str">
        <f ca="1">IFERROR(__xludf.DUMMYFUNCTION("""COMPUTED_VALUE"""),"Dubai")</f>
        <v>Dubai</v>
      </c>
      <c r="B13714" s="2" t="str">
        <f ca="1">IFERROR(__xludf.DUMMYFUNCTION("""COMPUTED_VALUE"""),"JB Residence")</f>
        <v>JB Residence</v>
      </c>
      <c r="C13714" s="2" t="str">
        <f ca="1">IFERROR(__xludf.DUMMYFUNCTION("""COMPUTED_VALUE"""),"Building")</f>
        <v>Building</v>
      </c>
      <c r="D13714" s="2" t="str">
        <f ca="1">IFERROR(__xludf.DUMMYFUNCTION("""COMPUTED_VALUE"""),"Dubai&gt;Al Warqaa&gt;Al Warqaa 1&gt;JB Residence")</f>
        <v>Dubai&gt;Al Warqaa&gt;Al Warqaa 1&gt;JB Residence</v>
      </c>
      <c r="E13714" s="2"/>
      <c r="F13714" s="2"/>
      <c r="G13714" s="2"/>
      <c r="H13714" s="2"/>
      <c r="I13714" s="2"/>
      <c r="J13714" s="2"/>
      <c r="K13714" s="2"/>
      <c r="L13714" s="2"/>
      <c r="M13714" s="2"/>
      <c r="N13714" s="2"/>
      <c r="O13714" s="2"/>
      <c r="P13714" s="2"/>
      <c r="Q13714" s="2"/>
      <c r="R13714" s="2"/>
      <c r="S13714" s="2"/>
      <c r="T13714" s="2"/>
      <c r="U13714" s="2"/>
      <c r="V13714" s="2"/>
      <c r="W13714" s="2"/>
      <c r="X13714" s="2"/>
      <c r="Y13714" s="2"/>
      <c r="Z13714" s="2"/>
    </row>
    <row r="13715" spans="1:26" ht="16.5" x14ac:dyDescent="0.35">
      <c r="A13715" s="2" t="str">
        <f ca="1">IFERROR(__xludf.DUMMYFUNCTION("""COMPUTED_VALUE"""),"Dubai")</f>
        <v>Dubai</v>
      </c>
      <c r="B13715" s="2" t="str">
        <f ca="1">IFERROR(__xludf.DUMMYFUNCTION("""COMPUTED_VALUE"""),"Indigo Tower")</f>
        <v>Indigo Tower</v>
      </c>
      <c r="C13715" s="2" t="str">
        <f ca="1">IFERROR(__xludf.DUMMYFUNCTION("""COMPUTED_VALUE"""),"Building")</f>
        <v>Building</v>
      </c>
      <c r="D13715" s="2" t="str">
        <f ca="1">IFERROR(__xludf.DUMMYFUNCTION("""COMPUTED_VALUE"""),"Dubai&gt;Jumeirah Lake Towers (JLT)&gt;JLT Cluster D&gt;Indigo Tower")</f>
        <v>Dubai&gt;Jumeirah Lake Towers (JLT)&gt;JLT Cluster D&gt;Indigo Tower</v>
      </c>
      <c r="E13715" s="2"/>
      <c r="F13715" s="2"/>
      <c r="G13715" s="2"/>
      <c r="H13715" s="2"/>
      <c r="I13715" s="2"/>
      <c r="J13715" s="2"/>
      <c r="K13715" s="2"/>
      <c r="L13715" s="2"/>
      <c r="M13715" s="2"/>
      <c r="N13715" s="2"/>
      <c r="O13715" s="2"/>
      <c r="P13715" s="2"/>
      <c r="Q13715" s="2"/>
      <c r="R13715" s="2"/>
      <c r="S13715" s="2"/>
      <c r="T13715" s="2"/>
      <c r="U13715" s="2"/>
      <c r="V13715" s="2"/>
      <c r="W13715" s="2"/>
      <c r="X13715" s="2"/>
      <c r="Y13715" s="2"/>
      <c r="Z13715" s="2"/>
    </row>
    <row r="13716" spans="1:26" ht="16.5" x14ac:dyDescent="0.35">
      <c r="A13716" s="2" t="str">
        <f ca="1">IFERROR(__xludf.DUMMYFUNCTION("""COMPUTED_VALUE"""),"Dubai")</f>
        <v>Dubai</v>
      </c>
      <c r="B13716" s="2" t="str">
        <f ca="1">IFERROR(__xludf.DUMMYFUNCTION("""COMPUTED_VALUE"""),"Icon Tower 2")</f>
        <v>Icon Tower 2</v>
      </c>
      <c r="C13716" s="2" t="str">
        <f ca="1">IFERROR(__xludf.DUMMYFUNCTION("""COMPUTED_VALUE"""),"Building")</f>
        <v>Building</v>
      </c>
      <c r="D13716" s="2" t="str">
        <f ca="1">IFERROR(__xludf.DUMMYFUNCTION("""COMPUTED_VALUE"""),"Dubai&gt;Jumeirah Lake Towers (JLT)&gt;JLT Cluster L&gt;Icon Tower 2")</f>
        <v>Dubai&gt;Jumeirah Lake Towers (JLT)&gt;JLT Cluster L&gt;Icon Tower 2</v>
      </c>
      <c r="E13716" s="2"/>
      <c r="F13716" s="2"/>
      <c r="G13716" s="2"/>
      <c r="H13716" s="2"/>
      <c r="I13716" s="2"/>
      <c r="J13716" s="2"/>
      <c r="K13716" s="2"/>
      <c r="L13716" s="2"/>
      <c r="M13716" s="2"/>
      <c r="N13716" s="2"/>
      <c r="O13716" s="2"/>
      <c r="P13716" s="2"/>
      <c r="Q13716" s="2"/>
      <c r="R13716" s="2"/>
      <c r="S13716" s="2"/>
      <c r="T13716" s="2"/>
      <c r="U13716" s="2"/>
      <c r="V13716" s="2"/>
      <c r="W13716" s="2"/>
      <c r="X13716" s="2"/>
      <c r="Y13716" s="2"/>
      <c r="Z13716" s="2"/>
    </row>
    <row r="13717" spans="1:26" ht="16.5" x14ac:dyDescent="0.35">
      <c r="A13717" s="2" t="str">
        <f ca="1">IFERROR(__xludf.DUMMYFUNCTION("""COMPUTED_VALUE"""),"Dubai")</f>
        <v>Dubai</v>
      </c>
      <c r="B13717" s="2" t="str">
        <f ca="1">IFERROR(__xludf.DUMMYFUNCTION("""COMPUTED_VALUE"""),"Green Lakes 1")</f>
        <v>Green Lakes 1</v>
      </c>
      <c r="C13717" s="2" t="str">
        <f ca="1">IFERROR(__xludf.DUMMYFUNCTION("""COMPUTED_VALUE"""),"Building")</f>
        <v>Building</v>
      </c>
      <c r="D13717" s="2" t="str">
        <f ca="1">IFERROR(__xludf.DUMMYFUNCTION("""COMPUTED_VALUE"""),"Dubai&gt;Jumeirah Lake Towers (JLT)&gt;JLT Cluster S&gt;Green Lakes 1")</f>
        <v>Dubai&gt;Jumeirah Lake Towers (JLT)&gt;JLT Cluster S&gt;Green Lakes 1</v>
      </c>
      <c r="E13717" s="2"/>
      <c r="F13717" s="2"/>
      <c r="G13717" s="2"/>
      <c r="H13717" s="2"/>
      <c r="I13717" s="2"/>
      <c r="J13717" s="2"/>
      <c r="K13717" s="2"/>
      <c r="L13717" s="2"/>
      <c r="M13717" s="2"/>
      <c r="N13717" s="2"/>
      <c r="O13717" s="2"/>
      <c r="P13717" s="2"/>
      <c r="Q13717" s="2"/>
      <c r="R13717" s="2"/>
      <c r="S13717" s="2"/>
      <c r="T13717" s="2"/>
      <c r="U13717" s="2"/>
      <c r="V13717" s="2"/>
      <c r="W13717" s="2"/>
      <c r="X13717" s="2"/>
      <c r="Y13717" s="2"/>
      <c r="Z13717" s="2"/>
    </row>
    <row r="13718" spans="1:26" ht="16.5" x14ac:dyDescent="0.35">
      <c r="A13718" s="2" t="str">
        <f ca="1">IFERROR(__xludf.DUMMYFUNCTION("""COMPUTED_VALUE"""),"Dubai")</f>
        <v>Dubai</v>
      </c>
      <c r="B13718" s="2" t="str">
        <f ca="1">IFERROR(__xludf.DUMMYFUNCTION("""COMPUTED_VALUE"""),"Red Diamond")</f>
        <v>Red Diamond</v>
      </c>
      <c r="C13718" s="2" t="str">
        <f ca="1">IFERROR(__xludf.DUMMYFUNCTION("""COMPUTED_VALUE"""),"Building")</f>
        <v>Building</v>
      </c>
      <c r="D13718" s="2" t="str">
        <f ca="1">IFERROR(__xludf.DUMMYFUNCTION("""COMPUTED_VALUE"""),"Dubai&gt;Jumeirah Lake Towers (JLT)&gt;Red Diamond")</f>
        <v>Dubai&gt;Jumeirah Lake Towers (JLT)&gt;Red Diamond</v>
      </c>
      <c r="E13718" s="2"/>
      <c r="F13718" s="2"/>
      <c r="G13718" s="2"/>
      <c r="H13718" s="2"/>
      <c r="I13718" s="2"/>
      <c r="J13718" s="2"/>
      <c r="K13718" s="2"/>
      <c r="L13718" s="2"/>
      <c r="M13718" s="2"/>
      <c r="N13718" s="2"/>
      <c r="O13718" s="2"/>
      <c r="P13718" s="2"/>
      <c r="Q13718" s="2"/>
      <c r="R13718" s="2"/>
      <c r="S13718" s="2"/>
      <c r="T13718" s="2"/>
      <c r="U13718" s="2"/>
      <c r="V13718" s="2"/>
      <c r="W13718" s="2"/>
      <c r="X13718" s="2"/>
      <c r="Y13718" s="2"/>
      <c r="Z13718" s="2"/>
    </row>
    <row r="13719" spans="1:26" ht="16.5" x14ac:dyDescent="0.35">
      <c r="A13719" s="2" t="str">
        <f ca="1">IFERROR(__xludf.DUMMYFUNCTION("""COMPUTED_VALUE"""),"Dubai")</f>
        <v>Dubai</v>
      </c>
      <c r="B13719" s="2" t="str">
        <f ca="1">IFERROR(__xludf.DUMMYFUNCTION("""COMPUTED_VALUE"""),"Mudon Al Ranim 1")</f>
        <v>Mudon Al Ranim 1</v>
      </c>
      <c r="C13719" s="2" t="str">
        <f ca="1">IFERROR(__xludf.DUMMYFUNCTION("""COMPUTED_VALUE"""),"Neighbourhood")</f>
        <v>Neighbourhood</v>
      </c>
      <c r="D13719" s="2" t="str">
        <f ca="1">IFERROR(__xludf.DUMMYFUNCTION("""COMPUTED_VALUE"""),"Dubai&gt;Mudon&gt;Mudon Al Ranim&gt;Mudon Al Ranim 1")</f>
        <v>Dubai&gt;Mudon&gt;Mudon Al Ranim&gt;Mudon Al Ranim 1</v>
      </c>
      <c r="E13719" s="2"/>
      <c r="F13719" s="2"/>
      <c r="G13719" s="2"/>
      <c r="H13719" s="2"/>
      <c r="I13719" s="2"/>
      <c r="J13719" s="2"/>
      <c r="K13719" s="2"/>
      <c r="L13719" s="2"/>
      <c r="M13719" s="2"/>
      <c r="N13719" s="2"/>
      <c r="O13719" s="2"/>
      <c r="P13719" s="2"/>
      <c r="Q13719" s="2"/>
      <c r="R13719" s="2"/>
      <c r="S13719" s="2"/>
      <c r="T13719" s="2"/>
      <c r="U13719" s="2"/>
      <c r="V13719" s="2"/>
      <c r="W13719" s="2"/>
      <c r="X13719" s="2"/>
      <c r="Y13719" s="2"/>
      <c r="Z13719" s="2"/>
    </row>
    <row r="13720" spans="1:26" ht="16.5" x14ac:dyDescent="0.35">
      <c r="A13720" s="2" t="str">
        <f ca="1">IFERROR(__xludf.DUMMYFUNCTION("""COMPUTED_VALUE"""),"Dubai")</f>
        <v>Dubai</v>
      </c>
      <c r="B13720" s="2" t="str">
        <f ca="1">IFERROR(__xludf.DUMMYFUNCTION("""COMPUTED_VALUE"""),"Al Zomoroda Building")</f>
        <v>Al Zomoroda Building</v>
      </c>
      <c r="C13720" s="2" t="str">
        <f ca="1">IFERROR(__xludf.DUMMYFUNCTION("""COMPUTED_VALUE"""),"Building")</f>
        <v>Building</v>
      </c>
      <c r="D13720" s="2" t="str">
        <f ca="1">IFERROR(__xludf.DUMMYFUNCTION("""COMPUTED_VALUE"""),"Dubai&gt;Al Satwa&gt;Al Zomoroda Building")</f>
        <v>Dubai&gt;Al Satwa&gt;Al Zomoroda Building</v>
      </c>
      <c r="E13720" s="2"/>
      <c r="F13720" s="2"/>
      <c r="G13720" s="2"/>
      <c r="H13720" s="2"/>
      <c r="I13720" s="2"/>
      <c r="J13720" s="2"/>
      <c r="K13720" s="2"/>
      <c r="L13720" s="2"/>
      <c r="M13720" s="2"/>
      <c r="N13720" s="2"/>
      <c r="O13720" s="2"/>
      <c r="P13720" s="2"/>
      <c r="Q13720" s="2"/>
      <c r="R13720" s="2"/>
      <c r="S13720" s="2"/>
      <c r="T13720" s="2"/>
      <c r="U13720" s="2"/>
      <c r="V13720" s="2"/>
      <c r="W13720" s="2"/>
      <c r="X13720" s="2"/>
      <c r="Y13720" s="2"/>
      <c r="Z13720" s="2"/>
    </row>
    <row r="13721" spans="1:26" ht="16.5" x14ac:dyDescent="0.35">
      <c r="A13721" s="2" t="str">
        <f ca="1">IFERROR(__xludf.DUMMYFUNCTION("""COMPUTED_VALUE"""),"Dubai")</f>
        <v>Dubai</v>
      </c>
      <c r="B13721" s="2" t="str">
        <f ca="1">IFERROR(__xludf.DUMMYFUNCTION("""COMPUTED_VALUE"""),"Central 1 Dubai 5")</f>
        <v>Central 1 Dubai 5</v>
      </c>
      <c r="C13721" s="2" t="str">
        <f ca="1">IFERROR(__xludf.DUMMYFUNCTION("""COMPUTED_VALUE"""),"Building")</f>
        <v>Building</v>
      </c>
      <c r="D13721" s="2" t="str">
        <f ca="1">IFERROR(__xludf.DUMMYFUNCTION("""COMPUTED_VALUE"""),"Dubai&gt;Al Satwa&gt;Jumeirah Garden City&gt;Central 1 Dubai 5")</f>
        <v>Dubai&gt;Al Satwa&gt;Jumeirah Garden City&gt;Central 1 Dubai 5</v>
      </c>
      <c r="E13721" s="2"/>
      <c r="F13721" s="2"/>
      <c r="G13721" s="2"/>
      <c r="H13721" s="2"/>
      <c r="I13721" s="2"/>
      <c r="J13721" s="2"/>
      <c r="K13721" s="2"/>
      <c r="L13721" s="2"/>
      <c r="M13721" s="2"/>
      <c r="N13721" s="2"/>
      <c r="O13721" s="2"/>
      <c r="P13721" s="2"/>
      <c r="Q13721" s="2"/>
      <c r="R13721" s="2"/>
      <c r="S13721" s="2"/>
      <c r="T13721" s="2"/>
      <c r="U13721" s="2"/>
      <c r="V13721" s="2"/>
      <c r="W13721" s="2"/>
      <c r="X13721" s="2"/>
      <c r="Y13721" s="2"/>
      <c r="Z13721" s="2"/>
    </row>
    <row r="13722" spans="1:26" ht="16.5" x14ac:dyDescent="0.35">
      <c r="A13722" s="2" t="str">
        <f ca="1">IFERROR(__xludf.DUMMYFUNCTION("""COMPUTED_VALUE"""),"Dubai")</f>
        <v>Dubai</v>
      </c>
      <c r="B13722" s="2" t="str">
        <f ca="1">IFERROR(__xludf.DUMMYFUNCTION("""COMPUTED_VALUE"""),"Noor Residence")</f>
        <v>Noor Residence</v>
      </c>
      <c r="C13722" s="2" t="str">
        <f ca="1">IFERROR(__xludf.DUMMYFUNCTION("""COMPUTED_VALUE"""),"Building")</f>
        <v>Building</v>
      </c>
      <c r="D13722" s="2" t="str">
        <f ca="1">IFERROR(__xludf.DUMMYFUNCTION("""COMPUTED_VALUE"""),"Dubai&gt;Al Satwa&gt;Jumeirah Garden City&gt;Noor Residence")</f>
        <v>Dubai&gt;Al Satwa&gt;Jumeirah Garden City&gt;Noor Residence</v>
      </c>
      <c r="E13722" s="2"/>
      <c r="F13722" s="2"/>
      <c r="G13722" s="2"/>
      <c r="H13722" s="2"/>
      <c r="I13722" s="2"/>
      <c r="J13722" s="2"/>
      <c r="K13722" s="2"/>
      <c r="L13722" s="2"/>
      <c r="M13722" s="2"/>
      <c r="N13722" s="2"/>
      <c r="O13722" s="2"/>
      <c r="P13722" s="2"/>
      <c r="Q13722" s="2"/>
      <c r="R13722" s="2"/>
      <c r="S13722" s="2"/>
      <c r="T13722" s="2"/>
      <c r="U13722" s="2"/>
      <c r="V13722" s="2"/>
      <c r="W13722" s="2"/>
      <c r="X13722" s="2"/>
      <c r="Y13722" s="2"/>
      <c r="Z13722" s="2"/>
    </row>
    <row r="13723" spans="1:26" ht="16.5" x14ac:dyDescent="0.35">
      <c r="A13723" s="2" t="str">
        <f ca="1">IFERROR(__xludf.DUMMYFUNCTION("""COMPUTED_VALUE"""),"Dubai")</f>
        <v>Dubai</v>
      </c>
      <c r="B13723" s="2" t="str">
        <f ca="1">IFERROR(__xludf.DUMMYFUNCTION("""COMPUTED_VALUE"""),"Villea West")</f>
        <v>Villea West</v>
      </c>
      <c r="C13723" s="2" t="str">
        <f ca="1">IFERROR(__xludf.DUMMYFUNCTION("""COMPUTED_VALUE"""),"Building")</f>
        <v>Building</v>
      </c>
      <c r="D13723" s="2" t="str">
        <f ca="1">IFERROR(__xludf.DUMMYFUNCTION("""COMPUTED_VALUE"""),"Dubai&gt;Al Satwa&gt;Jumeirah Garden City&gt;Villea West")</f>
        <v>Dubai&gt;Al Satwa&gt;Jumeirah Garden City&gt;Villea West</v>
      </c>
      <c r="E13723" s="2"/>
      <c r="F13723" s="2"/>
      <c r="G13723" s="2"/>
      <c r="H13723" s="2"/>
      <c r="I13723" s="2"/>
      <c r="J13723" s="2"/>
      <c r="K13723" s="2"/>
      <c r="L13723" s="2"/>
      <c r="M13723" s="2"/>
      <c r="N13723" s="2"/>
      <c r="O13723" s="2"/>
      <c r="P13723" s="2"/>
      <c r="Q13723" s="2"/>
      <c r="R13723" s="2"/>
      <c r="S13723" s="2"/>
      <c r="T13723" s="2"/>
      <c r="U13723" s="2"/>
      <c r="V13723" s="2"/>
      <c r="W13723" s="2"/>
      <c r="X13723" s="2"/>
      <c r="Y13723" s="2"/>
      <c r="Z13723" s="2"/>
    </row>
    <row r="13724" spans="1:26" ht="16.5" x14ac:dyDescent="0.35">
      <c r="A13724" s="2" t="str">
        <f ca="1">IFERROR(__xludf.DUMMYFUNCTION("""COMPUTED_VALUE"""),"Dubai")</f>
        <v>Dubai</v>
      </c>
      <c r="B13724" s="2" t="str">
        <f ca="1">IFERROR(__xludf.DUMMYFUNCTION("""COMPUTED_VALUE"""),"Al Mawakeb School Al Khawaneej")</f>
        <v>Al Mawakeb School Al Khawaneej</v>
      </c>
      <c r="C13724" s="2" t="str">
        <f ca="1">IFERROR(__xludf.DUMMYFUNCTION("""COMPUTED_VALUE"""),"School")</f>
        <v>School</v>
      </c>
      <c r="D13724" s="2" t="str">
        <f ca="1">IFERROR(__xludf.DUMMYFUNCTION("""COMPUTED_VALUE"""),"Dubai&gt;Al Mizhar&gt;Al Mizhar 1&gt;Al Mawakeb School Al Khawaneej")</f>
        <v>Dubai&gt;Al Mizhar&gt;Al Mizhar 1&gt;Al Mawakeb School Al Khawaneej</v>
      </c>
      <c r="E13724" s="2"/>
      <c r="F13724" s="2"/>
      <c r="G13724" s="2"/>
      <c r="H13724" s="2"/>
      <c r="I13724" s="2"/>
      <c r="J13724" s="2"/>
      <c r="K13724" s="2"/>
      <c r="L13724" s="2"/>
      <c r="M13724" s="2"/>
      <c r="N13724" s="2"/>
      <c r="O13724" s="2"/>
      <c r="P13724" s="2"/>
      <c r="Q13724" s="2"/>
      <c r="R13724" s="2"/>
      <c r="S13724" s="2"/>
      <c r="T13724" s="2"/>
      <c r="U13724" s="2"/>
      <c r="V13724" s="2"/>
      <c r="W13724" s="2"/>
      <c r="X13724" s="2"/>
      <c r="Y13724" s="2"/>
      <c r="Z13724" s="2"/>
    </row>
    <row r="13725" spans="1:26" ht="16.5" x14ac:dyDescent="0.35">
      <c r="A13725" s="2" t="str">
        <f ca="1">IFERROR(__xludf.DUMMYFUNCTION("""COMPUTED_VALUE"""),"Dubai")</f>
        <v>Dubai</v>
      </c>
      <c r="B13725" s="2" t="str">
        <f ca="1">IFERROR(__xludf.DUMMYFUNCTION("""COMPUTED_VALUE"""),"Building 126")</f>
        <v>Building 126</v>
      </c>
      <c r="C13725" s="2" t="str">
        <f ca="1">IFERROR(__xludf.DUMMYFUNCTION("""COMPUTED_VALUE"""),"Building")</f>
        <v>Building</v>
      </c>
      <c r="D13725" s="2" t="str">
        <f ca="1">IFERROR(__xludf.DUMMYFUNCTION("""COMPUTED_VALUE"""),"Dubai&gt;Discovery Gardens&gt;Contemporary&gt;Building 126")</f>
        <v>Dubai&gt;Discovery Gardens&gt;Contemporary&gt;Building 126</v>
      </c>
      <c r="E13725" s="2"/>
      <c r="F13725" s="2"/>
      <c r="G13725" s="2"/>
      <c r="H13725" s="2"/>
      <c r="I13725" s="2"/>
      <c r="J13725" s="2"/>
      <c r="K13725" s="2"/>
      <c r="L13725" s="2"/>
      <c r="M13725" s="2"/>
      <c r="N13725" s="2"/>
      <c r="O13725" s="2"/>
      <c r="P13725" s="2"/>
      <c r="Q13725" s="2"/>
      <c r="R13725" s="2"/>
      <c r="S13725" s="2"/>
      <c r="T13725" s="2"/>
      <c r="U13725" s="2"/>
      <c r="V13725" s="2"/>
      <c r="W13725" s="2"/>
      <c r="X13725" s="2"/>
      <c r="Y13725" s="2"/>
      <c r="Z13725" s="2"/>
    </row>
    <row r="13726" spans="1:26" ht="16.5" x14ac:dyDescent="0.35">
      <c r="A13726" s="2" t="str">
        <f ca="1">IFERROR(__xludf.DUMMYFUNCTION("""COMPUTED_VALUE"""),"Dubai")</f>
        <v>Dubai</v>
      </c>
      <c r="B13726" s="2" t="str">
        <f ca="1">IFERROR(__xludf.DUMMYFUNCTION("""COMPUTED_VALUE"""),"Building 238")</f>
        <v>Building 238</v>
      </c>
      <c r="C13726" s="2" t="str">
        <f ca="1">IFERROR(__xludf.DUMMYFUNCTION("""COMPUTED_VALUE"""),"Building")</f>
        <v>Building</v>
      </c>
      <c r="D13726" s="2" t="str">
        <f ca="1">IFERROR(__xludf.DUMMYFUNCTION("""COMPUTED_VALUE"""),"Dubai&gt;Discovery Gardens&gt;Mesoamerican&gt;Building 238")</f>
        <v>Dubai&gt;Discovery Gardens&gt;Mesoamerican&gt;Building 238</v>
      </c>
      <c r="E13726" s="2"/>
      <c r="F13726" s="2"/>
      <c r="G13726" s="2"/>
      <c r="H13726" s="2"/>
      <c r="I13726" s="2"/>
      <c r="J13726" s="2"/>
      <c r="K13726" s="2"/>
      <c r="L13726" s="2"/>
      <c r="M13726" s="2"/>
      <c r="N13726" s="2"/>
      <c r="O13726" s="2"/>
      <c r="P13726" s="2"/>
      <c r="Q13726" s="2"/>
      <c r="R13726" s="2"/>
      <c r="S13726" s="2"/>
      <c r="T13726" s="2"/>
      <c r="U13726" s="2"/>
      <c r="V13726" s="2"/>
      <c r="W13726" s="2"/>
      <c r="X13726" s="2"/>
      <c r="Y13726" s="2"/>
      <c r="Z13726" s="2"/>
    </row>
    <row r="13727" spans="1:26" ht="16.5" x14ac:dyDescent="0.35">
      <c r="A13727" s="2" t="str">
        <f ca="1">IFERROR(__xludf.DUMMYFUNCTION("""COMPUTED_VALUE"""),"Dubai")</f>
        <v>Dubai</v>
      </c>
      <c r="B13727" s="2" t="str">
        <f ca="1">IFERROR(__xludf.DUMMYFUNCTION("""COMPUTED_VALUE"""),"Building 230")</f>
        <v>Building 230</v>
      </c>
      <c r="C13727" s="2" t="str">
        <f ca="1">IFERROR(__xludf.DUMMYFUNCTION("""COMPUTED_VALUE"""),"Building")</f>
        <v>Building</v>
      </c>
      <c r="D13727" s="2" t="str">
        <f ca="1">IFERROR(__xludf.DUMMYFUNCTION("""COMPUTED_VALUE"""),"Dubai&gt;Discovery Gardens&gt;Mogul&gt;Building 230")</f>
        <v>Dubai&gt;Discovery Gardens&gt;Mogul&gt;Building 230</v>
      </c>
      <c r="E13727" s="2"/>
      <c r="F13727" s="2"/>
      <c r="G13727" s="2"/>
      <c r="H13727" s="2"/>
      <c r="I13727" s="2"/>
      <c r="J13727" s="2"/>
      <c r="K13727" s="2"/>
      <c r="L13727" s="2"/>
      <c r="M13727" s="2"/>
      <c r="N13727" s="2"/>
      <c r="O13727" s="2"/>
      <c r="P13727" s="2"/>
      <c r="Q13727" s="2"/>
      <c r="R13727" s="2"/>
      <c r="S13727" s="2"/>
      <c r="T13727" s="2"/>
      <c r="U13727" s="2"/>
      <c r="V13727" s="2"/>
      <c r="W13727" s="2"/>
      <c r="X13727" s="2"/>
      <c r="Y13727" s="2"/>
      <c r="Z13727" s="2"/>
    </row>
    <row r="13728" spans="1:26" ht="16.5" x14ac:dyDescent="0.35">
      <c r="A13728" s="2" t="str">
        <f ca="1">IFERROR(__xludf.DUMMYFUNCTION("""COMPUTED_VALUE"""),"Dubai")</f>
        <v>Dubai</v>
      </c>
      <c r="B13728" s="2" t="str">
        <f ca="1">IFERROR(__xludf.DUMMYFUNCTION("""COMPUTED_VALUE"""),"Building 6")</f>
        <v>Building 6</v>
      </c>
      <c r="C13728" s="2" t="str">
        <f ca="1">IFERROR(__xludf.DUMMYFUNCTION("""COMPUTED_VALUE"""),"Building")</f>
        <v>Building</v>
      </c>
      <c r="D13728" s="2" t="str">
        <f ca="1">IFERROR(__xludf.DUMMYFUNCTION("""COMPUTED_VALUE"""),"Dubai&gt;Discovery Gardens&gt;Zen Cluster&gt;Building 6")</f>
        <v>Dubai&gt;Discovery Gardens&gt;Zen Cluster&gt;Building 6</v>
      </c>
      <c r="E13728" s="2"/>
      <c r="F13728" s="2"/>
      <c r="G13728" s="2"/>
      <c r="H13728" s="2"/>
      <c r="I13728" s="2"/>
      <c r="J13728" s="2"/>
      <c r="K13728" s="2"/>
      <c r="L13728" s="2"/>
      <c r="M13728" s="2"/>
      <c r="N13728" s="2"/>
      <c r="O13728" s="2"/>
      <c r="P13728" s="2"/>
      <c r="Q13728" s="2"/>
      <c r="R13728" s="2"/>
      <c r="S13728" s="2"/>
      <c r="T13728" s="2"/>
      <c r="U13728" s="2"/>
      <c r="V13728" s="2"/>
      <c r="W13728" s="2"/>
      <c r="X13728" s="2"/>
      <c r="Y13728" s="2"/>
      <c r="Z13728" s="2"/>
    </row>
    <row r="13729" spans="1:26" ht="16.5" x14ac:dyDescent="0.35">
      <c r="A13729" s="2" t="str">
        <f ca="1">IFERROR(__xludf.DUMMYFUNCTION("""COMPUTED_VALUE"""),"Dubai")</f>
        <v>Dubai</v>
      </c>
      <c r="B13729" s="2" t="str">
        <f ca="1">IFERROR(__xludf.DUMMYFUNCTION("""COMPUTED_VALUE"""),"Building 36")</f>
        <v>Building 36</v>
      </c>
      <c r="C13729" s="2" t="str">
        <f ca="1">IFERROR(__xludf.DUMMYFUNCTION("""COMPUTED_VALUE"""),"Building")</f>
        <v>Building</v>
      </c>
      <c r="D13729" s="2" t="str">
        <f ca="1">IFERROR(__xludf.DUMMYFUNCTION("""COMPUTED_VALUE"""),"Dubai&gt;Discovery Gardens&gt;Zen Cluster&gt;Building 36")</f>
        <v>Dubai&gt;Discovery Gardens&gt;Zen Cluster&gt;Building 36</v>
      </c>
      <c r="E13729" s="2"/>
      <c r="F13729" s="2"/>
      <c r="G13729" s="2"/>
      <c r="H13729" s="2"/>
      <c r="I13729" s="2"/>
      <c r="J13729" s="2"/>
      <c r="K13729" s="2"/>
      <c r="L13729" s="2"/>
      <c r="M13729" s="2"/>
      <c r="N13729" s="2"/>
      <c r="O13729" s="2"/>
      <c r="P13729" s="2"/>
      <c r="Q13729" s="2"/>
      <c r="R13729" s="2"/>
      <c r="S13729" s="2"/>
      <c r="T13729" s="2"/>
      <c r="U13729" s="2"/>
      <c r="V13729" s="2"/>
      <c r="W13729" s="2"/>
      <c r="X13729" s="2"/>
      <c r="Y13729" s="2"/>
      <c r="Z13729" s="2"/>
    </row>
    <row r="13730" spans="1:26" ht="16.5" x14ac:dyDescent="0.35">
      <c r="A13730" s="2" t="str">
        <f ca="1">IFERROR(__xludf.DUMMYFUNCTION("""COMPUTED_VALUE"""),"Dubai")</f>
        <v>Dubai</v>
      </c>
      <c r="B13730" s="2" t="str">
        <f ca="1">IFERROR(__xludf.DUMMYFUNCTION("""COMPUTED_VALUE"""),"Building 41")</f>
        <v>Building 41</v>
      </c>
      <c r="C13730" s="2" t="str">
        <f ca="1">IFERROR(__xludf.DUMMYFUNCTION("""COMPUTED_VALUE"""),"Building")</f>
        <v>Building</v>
      </c>
      <c r="D13730" s="2" t="str">
        <f ca="1">IFERROR(__xludf.DUMMYFUNCTION("""COMPUTED_VALUE"""),"Dubai&gt;Discovery Gardens&gt;Mediterranean&gt;Building 41")</f>
        <v>Dubai&gt;Discovery Gardens&gt;Mediterranean&gt;Building 41</v>
      </c>
      <c r="E13730" s="2"/>
      <c r="F13730" s="2"/>
      <c r="G13730" s="2"/>
      <c r="H13730" s="2"/>
      <c r="I13730" s="2"/>
      <c r="J13730" s="2"/>
      <c r="K13730" s="2"/>
      <c r="L13730" s="2"/>
      <c r="M13730" s="2"/>
      <c r="N13730" s="2"/>
      <c r="O13730" s="2"/>
      <c r="P13730" s="2"/>
      <c r="Q13730" s="2"/>
      <c r="R13730" s="2"/>
      <c r="S13730" s="2"/>
      <c r="T13730" s="2"/>
      <c r="U13730" s="2"/>
      <c r="V13730" s="2"/>
      <c r="W13730" s="2"/>
      <c r="X13730" s="2"/>
      <c r="Y13730" s="2"/>
      <c r="Z13730" s="2"/>
    </row>
    <row r="13731" spans="1:26" ht="16.5" x14ac:dyDescent="0.35">
      <c r="A13731" s="2" t="str">
        <f ca="1">IFERROR(__xludf.DUMMYFUNCTION("""COMPUTED_VALUE"""),"Dubai")</f>
        <v>Dubai</v>
      </c>
      <c r="B13731" s="2" t="str">
        <f ca="1">IFERROR(__xludf.DUMMYFUNCTION("""COMPUTED_VALUE"""),"Building 89")</f>
        <v>Building 89</v>
      </c>
      <c r="C13731" s="2" t="str">
        <f ca="1">IFERROR(__xludf.DUMMYFUNCTION("""COMPUTED_VALUE"""),"Building")</f>
        <v>Building</v>
      </c>
      <c r="D13731" s="2" t="str">
        <f ca="1">IFERROR(__xludf.DUMMYFUNCTION("""COMPUTED_VALUE"""),"Dubai&gt;Discovery Gardens&gt;Mediterranean&gt;Building 89")</f>
        <v>Dubai&gt;Discovery Gardens&gt;Mediterranean&gt;Building 89</v>
      </c>
      <c r="E13731" s="2"/>
      <c r="F13731" s="2"/>
      <c r="G13731" s="2"/>
      <c r="H13731" s="2"/>
      <c r="I13731" s="2"/>
      <c r="J13731" s="2"/>
      <c r="K13731" s="2"/>
      <c r="L13731" s="2"/>
      <c r="M13731" s="2"/>
      <c r="N13731" s="2"/>
      <c r="O13731" s="2"/>
      <c r="P13731" s="2"/>
      <c r="Q13731" s="2"/>
      <c r="R13731" s="2"/>
      <c r="S13731" s="2"/>
      <c r="T13731" s="2"/>
      <c r="U13731" s="2"/>
      <c r="V13731" s="2"/>
      <c r="W13731" s="2"/>
      <c r="X13731" s="2"/>
      <c r="Y13731" s="2"/>
      <c r="Z13731" s="2"/>
    </row>
    <row r="13732" spans="1:26" ht="16.5" x14ac:dyDescent="0.35">
      <c r="A13732" s="2" t="str">
        <f ca="1">IFERROR(__xludf.DUMMYFUNCTION("""COMPUTED_VALUE"""),"Dubai")</f>
        <v>Dubai</v>
      </c>
      <c r="B13732" s="2" t="str">
        <f ca="1">IFERROR(__xludf.DUMMYFUNCTION("""COMPUTED_VALUE"""),"W Residences")</f>
        <v>W Residences</v>
      </c>
      <c r="C13732" s="2" t="str">
        <f ca="1">IFERROR(__xludf.DUMMYFUNCTION("""COMPUTED_VALUE"""),"Building")</f>
        <v>Building</v>
      </c>
      <c r="D13732" s="2" t="str">
        <f ca="1">IFERROR(__xludf.DUMMYFUNCTION("""COMPUTED_VALUE"""),"Dubai&gt;Palm Jumeirah&gt;W Residences")</f>
        <v>Dubai&gt;Palm Jumeirah&gt;W Residences</v>
      </c>
      <c r="E13732" s="2"/>
      <c r="F13732" s="2"/>
      <c r="G13732" s="2"/>
      <c r="H13732" s="2"/>
      <c r="I13732" s="2"/>
      <c r="J13732" s="2"/>
      <c r="K13732" s="2"/>
      <c r="L13732" s="2"/>
      <c r="M13732" s="2"/>
      <c r="N13732" s="2"/>
      <c r="O13732" s="2"/>
      <c r="P13732" s="2"/>
      <c r="Q13732" s="2"/>
      <c r="R13732" s="2"/>
      <c r="S13732" s="2"/>
      <c r="T13732" s="2"/>
      <c r="U13732" s="2"/>
      <c r="V13732" s="2"/>
      <c r="W13732" s="2"/>
      <c r="X13732" s="2"/>
      <c r="Y13732" s="2"/>
      <c r="Z13732" s="2"/>
    </row>
    <row r="13733" spans="1:26" ht="16.5" x14ac:dyDescent="0.35">
      <c r="A13733" s="2" t="str">
        <f ca="1">IFERROR(__xludf.DUMMYFUNCTION("""COMPUTED_VALUE"""),"Dubai")</f>
        <v>Dubai</v>
      </c>
      <c r="B13733" s="2" t="str">
        <f ca="1">IFERROR(__xludf.DUMMYFUNCTION("""COMPUTED_VALUE"""),"FIVE Palm Jumeirah")</f>
        <v>FIVE Palm Jumeirah</v>
      </c>
      <c r="C13733" s="2" t="str">
        <f ca="1">IFERROR(__xludf.DUMMYFUNCTION("""COMPUTED_VALUE"""),"Building")</f>
        <v>Building</v>
      </c>
      <c r="D13733" s="2" t="str">
        <f ca="1">IFERROR(__xludf.DUMMYFUNCTION("""COMPUTED_VALUE"""),"Dubai&gt;Palm Jumeirah&gt;FIVE Palm Jumeirah")</f>
        <v>Dubai&gt;Palm Jumeirah&gt;FIVE Palm Jumeirah</v>
      </c>
      <c r="E13733" s="2"/>
      <c r="F13733" s="2"/>
      <c r="G13733" s="2"/>
      <c r="H13733" s="2"/>
      <c r="I13733" s="2"/>
      <c r="J13733" s="2"/>
      <c r="K13733" s="2"/>
      <c r="L13733" s="2"/>
      <c r="M13733" s="2"/>
      <c r="N13733" s="2"/>
      <c r="O13733" s="2"/>
      <c r="P13733" s="2"/>
      <c r="Q13733" s="2"/>
      <c r="R13733" s="2"/>
      <c r="S13733" s="2"/>
      <c r="T13733" s="2"/>
      <c r="U13733" s="2"/>
      <c r="V13733" s="2"/>
      <c r="W13733" s="2"/>
      <c r="X13733" s="2"/>
      <c r="Y13733" s="2"/>
      <c r="Z13733" s="2"/>
    </row>
    <row r="13734" spans="1:26" ht="16.5" x14ac:dyDescent="0.35">
      <c r="A13734" s="2" t="str">
        <f ca="1">IFERROR(__xludf.DUMMYFUNCTION("""COMPUTED_VALUE"""),"Dubai")</f>
        <v>Dubai</v>
      </c>
      <c r="B13734" s="2" t="str">
        <f ca="1">IFERROR(__xludf.DUMMYFUNCTION("""COMPUTED_VALUE"""),"Blossom Nursery Palm Jumeirah")</f>
        <v>Blossom Nursery Palm Jumeirah</v>
      </c>
      <c r="C13734" s="2" t="str">
        <f ca="1">IFERROR(__xludf.DUMMYFUNCTION("""COMPUTED_VALUE"""),"Nursery")</f>
        <v>Nursery</v>
      </c>
      <c r="D13734" s="2" t="str">
        <f ca="1">IFERROR(__xludf.DUMMYFUNCTION("""COMPUTED_VALUE"""),"Dubai&gt;Palm Jumeirah&gt;Golden Mile&gt;Blossom Nursery Palm Jumeirah")</f>
        <v>Dubai&gt;Palm Jumeirah&gt;Golden Mile&gt;Blossom Nursery Palm Jumeirah</v>
      </c>
      <c r="E13734" s="2"/>
      <c r="F13734" s="2"/>
      <c r="G13734" s="2"/>
      <c r="H13734" s="2"/>
      <c r="I13734" s="2"/>
      <c r="J13734" s="2"/>
      <c r="K13734" s="2"/>
      <c r="L13734" s="2"/>
      <c r="M13734" s="2"/>
      <c r="N13734" s="2"/>
      <c r="O13734" s="2"/>
      <c r="P13734" s="2"/>
      <c r="Q13734" s="2"/>
      <c r="R13734" s="2"/>
      <c r="S13734" s="2"/>
      <c r="T13734" s="2"/>
      <c r="U13734" s="2"/>
      <c r="V13734" s="2"/>
      <c r="W13734" s="2"/>
      <c r="X13734" s="2"/>
      <c r="Y13734" s="2"/>
      <c r="Z13734" s="2"/>
    </row>
    <row r="13735" spans="1:26" ht="16.5" x14ac:dyDescent="0.35">
      <c r="A13735" s="2" t="str">
        <f ca="1">IFERROR(__xludf.DUMMYFUNCTION("""COMPUTED_VALUE"""),"Dubai")</f>
        <v>Dubai</v>
      </c>
      <c r="B13735" s="2" t="str">
        <f ca="1">IFERROR(__xludf.DUMMYFUNCTION("""COMPUTED_VALUE"""),"The Royal Atlantis Resort &amp; Residences")</f>
        <v>The Royal Atlantis Resort &amp; Residences</v>
      </c>
      <c r="C13735" s="2" t="str">
        <f ca="1">IFERROR(__xludf.DUMMYFUNCTION("""COMPUTED_VALUE"""),"Building")</f>
        <v>Building</v>
      </c>
      <c r="D13735" s="2" t="str">
        <f ca="1">IFERROR(__xludf.DUMMYFUNCTION("""COMPUTED_VALUE"""),"Dubai&gt;Palm Jumeirah&gt;The Crescent&gt;The Royal Atlantis Resort &amp; Residences")</f>
        <v>Dubai&gt;Palm Jumeirah&gt;The Crescent&gt;The Royal Atlantis Resort &amp; Residences</v>
      </c>
      <c r="E13735" s="2"/>
      <c r="F13735" s="2"/>
      <c r="G13735" s="2"/>
      <c r="H13735" s="2"/>
      <c r="I13735" s="2"/>
      <c r="J13735" s="2"/>
      <c r="K13735" s="2"/>
      <c r="L13735" s="2"/>
      <c r="M13735" s="2"/>
      <c r="N13735" s="2"/>
      <c r="O13735" s="2"/>
      <c r="P13735" s="2"/>
      <c r="Q13735" s="2"/>
      <c r="R13735" s="2"/>
      <c r="S13735" s="2"/>
      <c r="T13735" s="2"/>
      <c r="U13735" s="2"/>
      <c r="V13735" s="2"/>
      <c r="W13735" s="2"/>
      <c r="X13735" s="2"/>
      <c r="Y13735" s="2"/>
      <c r="Z13735" s="2"/>
    </row>
    <row r="13736" spans="1:26" ht="16.5" x14ac:dyDescent="0.35">
      <c r="A13736" s="2" t="str">
        <f ca="1">IFERROR(__xludf.DUMMYFUNCTION("""COMPUTED_VALUE"""),"Dubai")</f>
        <v>Dubai</v>
      </c>
      <c r="B13736" s="2" t="str">
        <f ca="1">IFERROR(__xludf.DUMMYFUNCTION("""COMPUTED_VALUE"""),"Garden Homes Frond O")</f>
        <v>Garden Homes Frond O</v>
      </c>
      <c r="C13736" s="2" t="str">
        <f ca="1">IFERROR(__xludf.DUMMYFUNCTION("""COMPUTED_VALUE"""),"Neighbourhood")</f>
        <v>Neighbourhood</v>
      </c>
      <c r="D13736" s="2" t="str">
        <f ca="1">IFERROR(__xludf.DUMMYFUNCTION("""COMPUTED_VALUE"""),"Dubai&gt;Palm Jumeirah&gt;Garden Homes Palm Jumeirah&gt;Garden Homes Frond O")</f>
        <v>Dubai&gt;Palm Jumeirah&gt;Garden Homes Palm Jumeirah&gt;Garden Homes Frond O</v>
      </c>
      <c r="E13736" s="2"/>
      <c r="F13736" s="2"/>
      <c r="G13736" s="2"/>
      <c r="H13736" s="2"/>
      <c r="I13736" s="2"/>
      <c r="J13736" s="2"/>
      <c r="K13736" s="2"/>
      <c r="L13736" s="2"/>
      <c r="M13736" s="2"/>
      <c r="N13736" s="2"/>
      <c r="O13736" s="2"/>
      <c r="P13736" s="2"/>
      <c r="Q13736" s="2"/>
      <c r="R13736" s="2"/>
      <c r="S13736" s="2"/>
      <c r="T13736" s="2"/>
      <c r="U13736" s="2"/>
      <c r="V13736" s="2"/>
      <c r="W13736" s="2"/>
      <c r="X13736" s="2"/>
      <c r="Y13736" s="2"/>
      <c r="Z13736" s="2"/>
    </row>
    <row r="13737" spans="1:26" ht="16.5" x14ac:dyDescent="0.35">
      <c r="A13737" s="2" t="str">
        <f ca="1">IFERROR(__xludf.DUMMYFUNCTION("""COMPUTED_VALUE"""),"Dubai")</f>
        <v>Dubai</v>
      </c>
      <c r="B13737" s="2" t="str">
        <f ca="1">IFERROR(__xludf.DUMMYFUNCTION("""COMPUTED_VALUE"""),"Serenia Living Tower 3")</f>
        <v>Serenia Living Tower 3</v>
      </c>
      <c r="C13737" s="2" t="str">
        <f ca="1">IFERROR(__xludf.DUMMYFUNCTION("""COMPUTED_VALUE"""),"Building")</f>
        <v>Building</v>
      </c>
      <c r="D13737" s="2" t="str">
        <f ca="1">IFERROR(__xludf.DUMMYFUNCTION("""COMPUTED_VALUE"""),"Dubai&gt;Palm Jumeirah&gt;Serenia Living&gt;Serenia Living Tower 3")</f>
        <v>Dubai&gt;Palm Jumeirah&gt;Serenia Living&gt;Serenia Living Tower 3</v>
      </c>
      <c r="E13737" s="2"/>
      <c r="F13737" s="2"/>
      <c r="G13737" s="2"/>
      <c r="H13737" s="2"/>
      <c r="I13737" s="2"/>
      <c r="J13737" s="2"/>
      <c r="K13737" s="2"/>
      <c r="L13737" s="2"/>
      <c r="M13737" s="2"/>
      <c r="N13737" s="2"/>
      <c r="O13737" s="2"/>
      <c r="P13737" s="2"/>
      <c r="Q13737" s="2"/>
      <c r="R13737" s="2"/>
      <c r="S13737" s="2"/>
      <c r="T13737" s="2"/>
      <c r="U13737" s="2"/>
      <c r="V13737" s="2"/>
      <c r="W13737" s="2"/>
      <c r="X13737" s="2"/>
      <c r="Y13737" s="2"/>
      <c r="Z13737" s="2"/>
    </row>
    <row r="13738" spans="1:26" ht="16.5" x14ac:dyDescent="0.35">
      <c r="A13738" s="2" t="str">
        <f ca="1">IFERROR(__xludf.DUMMYFUNCTION("""COMPUTED_VALUE"""),"Dubai")</f>
        <v>Dubai</v>
      </c>
      <c r="B13738" s="2" t="str">
        <f ca="1">IFERROR(__xludf.DUMMYFUNCTION("""COMPUTED_VALUE"""),"C Central Resort The Palm")</f>
        <v>C Central Resort The Palm</v>
      </c>
      <c r="C13738" s="2" t="str">
        <f ca="1">IFERROR(__xludf.DUMMYFUNCTION("""COMPUTED_VALUE"""),"Building")</f>
        <v>Building</v>
      </c>
      <c r="D13738" s="2" t="str">
        <f ca="1">IFERROR(__xludf.DUMMYFUNCTION("""COMPUTED_VALUE"""),"Dubai&gt;Palm Jumeirah&gt;C Central Resort The Palm")</f>
        <v>Dubai&gt;Palm Jumeirah&gt;C Central Resort The Palm</v>
      </c>
      <c r="E13738" s="2"/>
      <c r="F13738" s="2"/>
      <c r="G13738" s="2"/>
      <c r="H13738" s="2"/>
      <c r="I13738" s="2"/>
      <c r="J13738" s="2"/>
      <c r="K13738" s="2"/>
      <c r="L13738" s="2"/>
      <c r="M13738" s="2"/>
      <c r="N13738" s="2"/>
      <c r="O13738" s="2"/>
      <c r="P13738" s="2"/>
      <c r="Q13738" s="2"/>
      <c r="R13738" s="2"/>
      <c r="S13738" s="2"/>
      <c r="T13738" s="2"/>
      <c r="U13738" s="2"/>
      <c r="V13738" s="2"/>
      <c r="W13738" s="2"/>
      <c r="X13738" s="2"/>
      <c r="Y13738" s="2"/>
      <c r="Z13738" s="2"/>
    </row>
    <row r="13739" spans="1:26" ht="16.5" x14ac:dyDescent="0.35">
      <c r="A13739" s="2" t="str">
        <f ca="1">IFERROR(__xludf.DUMMYFUNCTION("""COMPUTED_VALUE"""),"Dubai")</f>
        <v>Dubai</v>
      </c>
      <c r="B13739" s="2" t="str">
        <f ca="1">IFERROR(__xludf.DUMMYFUNCTION("""COMPUTED_VALUE"""),"Rose Building")</f>
        <v>Rose Building</v>
      </c>
      <c r="C13739" s="2" t="str">
        <f ca="1">IFERROR(__xludf.DUMMYFUNCTION("""COMPUTED_VALUE"""),"Building")</f>
        <v>Building</v>
      </c>
      <c r="D13739" s="2" t="str">
        <f ca="1">IFERROR(__xludf.DUMMYFUNCTION("""COMPUTED_VALUE"""),"Dubai&gt;Al Jaddaf&gt;Rose Building")</f>
        <v>Dubai&gt;Al Jaddaf&gt;Rose Building</v>
      </c>
      <c r="E13739" s="2"/>
      <c r="F13739" s="2"/>
      <c r="G13739" s="2"/>
      <c r="H13739" s="2"/>
      <c r="I13739" s="2"/>
      <c r="J13739" s="2"/>
      <c r="K13739" s="2"/>
      <c r="L13739" s="2"/>
      <c r="M13739" s="2"/>
      <c r="N13739" s="2"/>
      <c r="O13739" s="2"/>
      <c r="P13739" s="2"/>
      <c r="Q13739" s="2"/>
      <c r="R13739" s="2"/>
      <c r="S13739" s="2"/>
      <c r="T13739" s="2"/>
      <c r="U13739" s="2"/>
      <c r="V13739" s="2"/>
      <c r="W13739" s="2"/>
      <c r="X13739" s="2"/>
      <c r="Y13739" s="2"/>
      <c r="Z13739" s="2"/>
    </row>
    <row r="13740" spans="1:26" ht="16.5" x14ac:dyDescent="0.35">
      <c r="A13740" s="2" t="str">
        <f ca="1">IFERROR(__xludf.DUMMYFUNCTION("""COMPUTED_VALUE"""),"Dubai")</f>
        <v>Dubai</v>
      </c>
      <c r="B13740" s="2" t="str">
        <f ca="1">IFERROR(__xludf.DUMMYFUNCTION("""COMPUTED_VALUE"""),"Marriott Executive Apartments")</f>
        <v>Marriott Executive Apartments</v>
      </c>
      <c r="C13740" s="2" t="str">
        <f ca="1">IFERROR(__xludf.DUMMYFUNCTION("""COMPUTED_VALUE"""),"Building")</f>
        <v>Building</v>
      </c>
      <c r="D13740" s="2" t="str">
        <f ca="1">IFERROR(__xludf.DUMMYFUNCTION("""COMPUTED_VALUE"""),"Dubai&gt;Al Jaddaf&gt;Marriott Executive Apartments")</f>
        <v>Dubai&gt;Al Jaddaf&gt;Marriott Executive Apartments</v>
      </c>
      <c r="E13740" s="2"/>
      <c r="F13740" s="2"/>
      <c r="G13740" s="2"/>
      <c r="H13740" s="2"/>
      <c r="I13740" s="2"/>
      <c r="J13740" s="2"/>
      <c r="K13740" s="2"/>
      <c r="L13740" s="2"/>
      <c r="M13740" s="2"/>
      <c r="N13740" s="2"/>
      <c r="O13740" s="2"/>
      <c r="P13740" s="2"/>
      <c r="Q13740" s="2"/>
      <c r="R13740" s="2"/>
      <c r="S13740" s="2"/>
      <c r="T13740" s="2"/>
      <c r="U13740" s="2"/>
      <c r="V13740" s="2"/>
      <c r="W13740" s="2"/>
      <c r="X13740" s="2"/>
      <c r="Y13740" s="2"/>
      <c r="Z13740" s="2"/>
    </row>
    <row r="13741" spans="1:26" ht="16.5" x14ac:dyDescent="0.35">
      <c r="A13741" s="2" t="str">
        <f ca="1">IFERROR(__xludf.DUMMYFUNCTION("""COMPUTED_VALUE"""),"Dubai")</f>
        <v>Dubai</v>
      </c>
      <c r="B13741" s="2" t="str">
        <f ca="1">IFERROR(__xludf.DUMMYFUNCTION("""COMPUTED_VALUE"""),"Al Shera’a Building")</f>
        <v>Al Shera’a Building</v>
      </c>
      <c r="C13741" s="2" t="str">
        <f ca="1">IFERROR(__xludf.DUMMYFUNCTION("""COMPUTED_VALUE"""),"Building")</f>
        <v>Building</v>
      </c>
      <c r="D13741" s="2" t="str">
        <f ca="1">IFERROR(__xludf.DUMMYFUNCTION("""COMPUTED_VALUE"""),"Dubai&gt;Al Jaddaf&gt;Al Shera’a Building")</f>
        <v>Dubai&gt;Al Jaddaf&gt;Al Shera’a Building</v>
      </c>
      <c r="E13741" s="2"/>
      <c r="F13741" s="2"/>
      <c r="G13741" s="2"/>
      <c r="H13741" s="2"/>
      <c r="I13741" s="2"/>
      <c r="J13741" s="2"/>
      <c r="K13741" s="2"/>
      <c r="L13741" s="2"/>
      <c r="M13741" s="2"/>
      <c r="N13741" s="2"/>
      <c r="O13741" s="2"/>
      <c r="P13741" s="2"/>
      <c r="Q13741" s="2"/>
      <c r="R13741" s="2"/>
      <c r="S13741" s="2"/>
      <c r="T13741" s="2"/>
      <c r="U13741" s="2"/>
      <c r="V13741" s="2"/>
      <c r="W13741" s="2"/>
      <c r="X13741" s="2"/>
      <c r="Y13741" s="2"/>
      <c r="Z13741" s="2"/>
    </row>
    <row r="13742" spans="1:26" ht="16.5" x14ac:dyDescent="0.35">
      <c r="A13742" s="2" t="str">
        <f ca="1">IFERROR(__xludf.DUMMYFUNCTION("""COMPUTED_VALUE"""),"Dubai")</f>
        <v>Dubai</v>
      </c>
      <c r="B13742" s="2" t="str">
        <f ca="1">IFERROR(__xludf.DUMMYFUNCTION("""COMPUTED_VALUE"""),"Frond C")</f>
        <v>Frond C</v>
      </c>
      <c r="C13742" s="2" t="str">
        <f ca="1">IFERROR(__xludf.DUMMYFUNCTION("""COMPUTED_VALUE"""),"Neighbourhood")</f>
        <v>Neighbourhood</v>
      </c>
      <c r="D13742" s="2" t="str">
        <f ca="1">IFERROR(__xludf.DUMMYFUNCTION("""COMPUTED_VALUE"""),"Dubai&gt;Palm Jebel Ali&gt;Frond C")</f>
        <v>Dubai&gt;Palm Jebel Ali&gt;Frond C</v>
      </c>
      <c r="E13742" s="2"/>
      <c r="F13742" s="2"/>
      <c r="G13742" s="2"/>
      <c r="H13742" s="2"/>
      <c r="I13742" s="2"/>
      <c r="J13742" s="2"/>
      <c r="K13742" s="2"/>
      <c r="L13742" s="2"/>
      <c r="M13742" s="2"/>
      <c r="N13742" s="2"/>
      <c r="O13742" s="2"/>
      <c r="P13742" s="2"/>
      <c r="Q13742" s="2"/>
      <c r="R13742" s="2"/>
      <c r="S13742" s="2"/>
      <c r="T13742" s="2"/>
      <c r="U13742" s="2"/>
      <c r="V13742" s="2"/>
      <c r="W13742" s="2"/>
      <c r="X13742" s="2"/>
      <c r="Y13742" s="2"/>
      <c r="Z13742" s="2"/>
    </row>
    <row r="13743" spans="1:26" ht="16.5" x14ac:dyDescent="0.35">
      <c r="A13743" s="2" t="str">
        <f ca="1">IFERROR(__xludf.DUMMYFUNCTION("""COMPUTED_VALUE"""),"Dubai")</f>
        <v>Dubai</v>
      </c>
      <c r="B13743" s="2" t="str">
        <f ca="1">IFERROR(__xludf.DUMMYFUNCTION("""COMPUTED_VALUE"""),"Montrose Residence B")</f>
        <v>Montrose Residence B</v>
      </c>
      <c r="C13743" s="2" t="str">
        <f ca="1">IFERROR(__xludf.DUMMYFUNCTION("""COMPUTED_VALUE"""),"Building")</f>
        <v>Building</v>
      </c>
      <c r="D13743" s="2" t="str">
        <f ca="1">IFERROR(__xludf.DUMMYFUNCTION("""COMPUTED_VALUE"""),"Dubai&gt;Dubai Science Park&gt;Montrose Residences&gt;Montrose Residence B")</f>
        <v>Dubai&gt;Dubai Science Park&gt;Montrose Residences&gt;Montrose Residence B</v>
      </c>
      <c r="E13743" s="2"/>
      <c r="F13743" s="2"/>
      <c r="G13743" s="2"/>
      <c r="H13743" s="2"/>
      <c r="I13743" s="2"/>
      <c r="J13743" s="2"/>
      <c r="K13743" s="2"/>
      <c r="L13743" s="2"/>
      <c r="M13743" s="2"/>
      <c r="N13743" s="2"/>
      <c r="O13743" s="2"/>
      <c r="P13743" s="2"/>
      <c r="Q13743" s="2"/>
      <c r="R13743" s="2"/>
      <c r="S13743" s="2"/>
      <c r="T13743" s="2"/>
      <c r="U13743" s="2"/>
      <c r="V13743" s="2"/>
      <c r="W13743" s="2"/>
      <c r="X13743" s="2"/>
      <c r="Y13743" s="2"/>
      <c r="Z13743" s="2"/>
    </row>
    <row r="13744" spans="1:26" ht="16.5" x14ac:dyDescent="0.35">
      <c r="A13744" s="2" t="str">
        <f ca="1">IFERROR(__xludf.DUMMYFUNCTION("""COMPUTED_VALUE"""),"Dubai")</f>
        <v>Dubai</v>
      </c>
      <c r="B13744" s="2" t="str">
        <f ca="1">IFERROR(__xludf.DUMMYFUNCTION("""COMPUTED_VALUE"""),"11 Hills Park")</f>
        <v>11 Hills Park</v>
      </c>
      <c r="C13744" s="2" t="str">
        <f ca="1">IFERROR(__xludf.DUMMYFUNCTION("""COMPUTED_VALUE"""),"Building")</f>
        <v>Building</v>
      </c>
      <c r="D13744" s="2" t="str">
        <f ca="1">IFERROR(__xludf.DUMMYFUNCTION("""COMPUTED_VALUE"""),"Dubai&gt;Dubai Science Park&gt;11 Hills Park")</f>
        <v>Dubai&gt;Dubai Science Park&gt;11 Hills Park</v>
      </c>
      <c r="E13744" s="2"/>
      <c r="F13744" s="2"/>
      <c r="G13744" s="2"/>
      <c r="H13744" s="2"/>
      <c r="I13744" s="2"/>
      <c r="J13744" s="2"/>
      <c r="K13744" s="2"/>
      <c r="L13744" s="2"/>
      <c r="M13744" s="2"/>
      <c r="N13744" s="2"/>
      <c r="O13744" s="2"/>
      <c r="P13744" s="2"/>
      <c r="Q13744" s="2"/>
      <c r="R13744" s="2"/>
      <c r="S13744" s="2"/>
      <c r="T13744" s="2"/>
      <c r="U13744" s="2"/>
      <c r="V13744" s="2"/>
      <c r="W13744" s="2"/>
      <c r="X13744" s="2"/>
      <c r="Y13744" s="2"/>
      <c r="Z13744" s="2"/>
    </row>
    <row r="13745" spans="1:26" ht="16.5" x14ac:dyDescent="0.35">
      <c r="A13745" s="2" t="str">
        <f ca="1">IFERROR(__xludf.DUMMYFUNCTION("""COMPUTED_VALUE"""),"Dubai")</f>
        <v>Dubai</v>
      </c>
      <c r="B13745" s="2" t="str">
        <f ca="1">IFERROR(__xludf.DUMMYFUNCTION("""COMPUTED_VALUE"""),"The Nook 1")</f>
        <v>The Nook 1</v>
      </c>
      <c r="C13745" s="2" t="str">
        <f ca="1">IFERROR(__xludf.DUMMYFUNCTION("""COMPUTED_VALUE"""),"Building")</f>
        <v>Building</v>
      </c>
      <c r="D13745" s="2" t="str">
        <f ca="1">IFERROR(__xludf.DUMMYFUNCTION("""COMPUTED_VALUE"""),"Dubai&gt;Wasl Gate&gt;The Nook&gt;The Nook 1")</f>
        <v>Dubai&gt;Wasl Gate&gt;The Nook&gt;The Nook 1</v>
      </c>
      <c r="E13745" s="2"/>
      <c r="F13745" s="2"/>
      <c r="G13745" s="2"/>
      <c r="H13745" s="2"/>
      <c r="I13745" s="2"/>
      <c r="J13745" s="2"/>
      <c r="K13745" s="2"/>
      <c r="L13745" s="2"/>
      <c r="M13745" s="2"/>
      <c r="N13745" s="2"/>
      <c r="O13745" s="2"/>
      <c r="P13745" s="2"/>
      <c r="Q13745" s="2"/>
      <c r="R13745" s="2"/>
      <c r="S13745" s="2"/>
      <c r="T13745" s="2"/>
      <c r="U13745" s="2"/>
      <c r="V13745" s="2"/>
      <c r="W13745" s="2"/>
      <c r="X13745" s="2"/>
      <c r="Y13745" s="2"/>
      <c r="Z13745" s="2"/>
    </row>
    <row r="13746" spans="1:26" ht="16.5" x14ac:dyDescent="0.35">
      <c r="A13746" s="2" t="str">
        <f ca="1">IFERROR(__xludf.DUMMYFUNCTION("""COMPUTED_VALUE"""),"Dubai")</f>
        <v>Dubai</v>
      </c>
      <c r="B13746" s="2" t="str">
        <f ca="1">IFERROR(__xludf.DUMMYFUNCTION("""COMPUTED_VALUE"""),"Boulevard Park 1")</f>
        <v>Boulevard Park 1</v>
      </c>
      <c r="C13746" s="2" t="str">
        <f ca="1">IFERROR(__xludf.DUMMYFUNCTION("""COMPUTED_VALUE"""),"Building")</f>
        <v>Building</v>
      </c>
      <c r="D13746" s="2" t="str">
        <f ca="1">IFERROR(__xludf.DUMMYFUNCTION("""COMPUTED_VALUE"""),"Dubai&gt;Wasl Gate&gt;Boulevard Park 1")</f>
        <v>Dubai&gt;Wasl Gate&gt;Boulevard Park 1</v>
      </c>
      <c r="E13746" s="2"/>
      <c r="F13746" s="2"/>
      <c r="G13746" s="2"/>
      <c r="H13746" s="2"/>
      <c r="I13746" s="2"/>
      <c r="J13746" s="2"/>
      <c r="K13746" s="2"/>
      <c r="L13746" s="2"/>
      <c r="M13746" s="2"/>
      <c r="N13746" s="2"/>
      <c r="O13746" s="2"/>
      <c r="P13746" s="2"/>
      <c r="Q13746" s="2"/>
      <c r="R13746" s="2"/>
      <c r="S13746" s="2"/>
      <c r="T13746" s="2"/>
      <c r="U13746" s="2"/>
      <c r="V13746" s="2"/>
      <c r="W13746" s="2"/>
      <c r="X13746" s="2"/>
      <c r="Y13746" s="2"/>
      <c r="Z13746" s="2"/>
    </row>
    <row r="13747" spans="1:26" ht="16.5" x14ac:dyDescent="0.35">
      <c r="A13747" s="2" t="str">
        <f ca="1">IFERROR(__xludf.DUMMYFUNCTION("""COMPUTED_VALUE"""),"Dubai")</f>
        <v>Dubai</v>
      </c>
      <c r="B13747" s="2" t="str">
        <f ca="1">IFERROR(__xludf.DUMMYFUNCTION("""COMPUTED_VALUE"""),"Rising School Dubai")</f>
        <v>Rising School Dubai</v>
      </c>
      <c r="C13747" s="2" t="str">
        <f ca="1">IFERROR(__xludf.DUMMYFUNCTION("""COMPUTED_VALUE"""),"School")</f>
        <v>School</v>
      </c>
      <c r="D13747" s="2" t="str">
        <f ca="1">IFERROR(__xludf.DUMMYFUNCTION("""COMPUTED_VALUE"""),"Dubai&gt;Nad Al Sheba&gt;Nad Al Sheba 4&gt;Rising School Dubai")</f>
        <v>Dubai&gt;Nad Al Sheba&gt;Nad Al Sheba 4&gt;Rising School Dubai</v>
      </c>
      <c r="E13747" s="2"/>
      <c r="F13747" s="2"/>
      <c r="G13747" s="2"/>
      <c r="H13747" s="2"/>
      <c r="I13747" s="2"/>
      <c r="J13747" s="2"/>
      <c r="K13747" s="2"/>
      <c r="L13747" s="2"/>
      <c r="M13747" s="2"/>
      <c r="N13747" s="2"/>
      <c r="O13747" s="2"/>
      <c r="P13747" s="2"/>
      <c r="Q13747" s="2"/>
      <c r="R13747" s="2"/>
      <c r="S13747" s="2"/>
      <c r="T13747" s="2"/>
      <c r="U13747" s="2"/>
      <c r="V13747" s="2"/>
      <c r="W13747" s="2"/>
      <c r="X13747" s="2"/>
      <c r="Y13747" s="2"/>
      <c r="Z13747" s="2"/>
    </row>
    <row r="13748" spans="1:26" ht="16.5" x14ac:dyDescent="0.35">
      <c r="A13748" s="2" t="str">
        <f ca="1">IFERROR(__xludf.DUMMYFUNCTION("""COMPUTED_VALUE"""),"Dubai")</f>
        <v>Dubai</v>
      </c>
      <c r="B13748" s="2" t="str">
        <f ca="1">IFERROR(__xludf.DUMMYFUNCTION("""COMPUTED_VALUE"""),"Cisco Tower")</f>
        <v>Cisco Tower</v>
      </c>
      <c r="C13748" s="2" t="str">
        <f ca="1">IFERROR(__xludf.DUMMYFUNCTION("""COMPUTED_VALUE"""),"Building")</f>
        <v>Building</v>
      </c>
      <c r="D13748" s="2" t="str">
        <f ca="1">IFERROR(__xludf.DUMMYFUNCTION("""COMPUTED_VALUE"""),"Dubai&gt;Dubai Internet City&gt;Cisco Tower")</f>
        <v>Dubai&gt;Dubai Internet City&gt;Cisco Tower</v>
      </c>
      <c r="E13748" s="2"/>
      <c r="F13748" s="2"/>
      <c r="G13748" s="2"/>
      <c r="H13748" s="2"/>
      <c r="I13748" s="2"/>
      <c r="J13748" s="2"/>
      <c r="K13748" s="2"/>
      <c r="L13748" s="2"/>
      <c r="M13748" s="2"/>
      <c r="N13748" s="2"/>
      <c r="O13748" s="2"/>
      <c r="P13748" s="2"/>
      <c r="Q13748" s="2"/>
      <c r="R13748" s="2"/>
      <c r="S13748" s="2"/>
      <c r="T13748" s="2"/>
      <c r="U13748" s="2"/>
      <c r="V13748" s="2"/>
      <c r="W13748" s="2"/>
      <c r="X13748" s="2"/>
      <c r="Y13748" s="2"/>
      <c r="Z13748" s="2"/>
    </row>
    <row r="13749" spans="1:26" ht="16.5" x14ac:dyDescent="0.35">
      <c r="A13749" s="2" t="str">
        <f ca="1">IFERROR(__xludf.DUMMYFUNCTION("""COMPUTED_VALUE"""),"Dubai")</f>
        <v>Dubai</v>
      </c>
      <c r="B13749" s="2" t="str">
        <f ca="1">IFERROR(__xludf.DUMMYFUNCTION("""COMPUTED_VALUE"""),"Dubai Properties Group Building")</f>
        <v>Dubai Properties Group Building</v>
      </c>
      <c r="C13749" s="2" t="str">
        <f ca="1">IFERROR(__xludf.DUMMYFUNCTION("""COMPUTED_VALUE"""),"Building")</f>
        <v>Building</v>
      </c>
      <c r="D13749" s="2" t="str">
        <f ca="1">IFERROR(__xludf.DUMMYFUNCTION("""COMPUTED_VALUE"""),"Dubai&gt;Dubai Internet City&gt;Dubai Properties Group Building")</f>
        <v>Dubai&gt;Dubai Internet City&gt;Dubai Properties Group Building</v>
      </c>
      <c r="E13749" s="2"/>
      <c r="F13749" s="2"/>
      <c r="G13749" s="2"/>
      <c r="H13749" s="2"/>
      <c r="I13749" s="2"/>
      <c r="J13749" s="2"/>
      <c r="K13749" s="2"/>
      <c r="L13749" s="2"/>
      <c r="M13749" s="2"/>
      <c r="N13749" s="2"/>
      <c r="O13749" s="2"/>
      <c r="P13749" s="2"/>
      <c r="Q13749" s="2"/>
      <c r="R13749" s="2"/>
      <c r="S13749" s="2"/>
      <c r="T13749" s="2"/>
      <c r="U13749" s="2"/>
      <c r="V13749" s="2"/>
      <c r="W13749" s="2"/>
      <c r="X13749" s="2"/>
      <c r="Y13749" s="2"/>
      <c r="Z13749" s="2"/>
    </row>
    <row r="13750" spans="1:26" ht="16.5" x14ac:dyDescent="0.35">
      <c r="A13750" s="2" t="str">
        <f ca="1">IFERROR(__xludf.DUMMYFUNCTION("""COMPUTED_VALUE"""),"Dubai")</f>
        <v>Dubai</v>
      </c>
      <c r="B13750" s="2" t="str">
        <f ca="1">IFERROR(__xludf.DUMMYFUNCTION("""COMPUTED_VALUE"""),"Seagate Building 2")</f>
        <v>Seagate Building 2</v>
      </c>
      <c r="C13750" s="2" t="str">
        <f ca="1">IFERROR(__xludf.DUMMYFUNCTION("""COMPUTED_VALUE"""),"Building")</f>
        <v>Building</v>
      </c>
      <c r="D13750" s="2" t="str">
        <f ca="1">IFERROR(__xludf.DUMMYFUNCTION("""COMPUTED_VALUE"""),"Dubai&gt;Mina Rashid&gt;Seagate&gt;Seagate Building 2")</f>
        <v>Dubai&gt;Mina Rashid&gt;Seagate&gt;Seagate Building 2</v>
      </c>
      <c r="E13750" s="2"/>
      <c r="F13750" s="2"/>
      <c r="G13750" s="2"/>
      <c r="H13750" s="2"/>
      <c r="I13750" s="2"/>
      <c r="J13750" s="2"/>
      <c r="K13750" s="2"/>
      <c r="L13750" s="2"/>
      <c r="M13750" s="2"/>
      <c r="N13750" s="2"/>
      <c r="O13750" s="2"/>
      <c r="P13750" s="2"/>
      <c r="Q13750" s="2"/>
      <c r="R13750" s="2"/>
      <c r="S13750" s="2"/>
      <c r="T13750" s="2"/>
      <c r="U13750" s="2"/>
      <c r="V13750" s="2"/>
      <c r="W13750" s="2"/>
      <c r="X13750" s="2"/>
      <c r="Y13750" s="2"/>
      <c r="Z13750" s="2"/>
    </row>
    <row r="13751" spans="1:26" ht="16.5" x14ac:dyDescent="0.35">
      <c r="A13751" s="2" t="str">
        <f ca="1">IFERROR(__xludf.DUMMYFUNCTION("""COMPUTED_VALUE"""),"Dubai")</f>
        <v>Dubai</v>
      </c>
      <c r="B13751" s="2" t="str">
        <f ca="1">IFERROR(__xludf.DUMMYFUNCTION("""COMPUTED_VALUE"""),"Ocean Views")</f>
        <v>Ocean Views</v>
      </c>
      <c r="C13751" s="2" t="str">
        <f ca="1">IFERROR(__xludf.DUMMYFUNCTION("""COMPUTED_VALUE"""),"Building")</f>
        <v>Building</v>
      </c>
      <c r="D13751" s="2" t="str">
        <f ca="1">IFERROR(__xludf.DUMMYFUNCTION("""COMPUTED_VALUE"""),"Dubai&gt;Mina Rashid&gt;Ocean Views")</f>
        <v>Dubai&gt;Mina Rashid&gt;Ocean Views</v>
      </c>
      <c r="E13751" s="2"/>
      <c r="F13751" s="2"/>
      <c r="G13751" s="2"/>
      <c r="H13751" s="2"/>
      <c r="I13751" s="2"/>
      <c r="J13751" s="2"/>
      <c r="K13751" s="2"/>
      <c r="L13751" s="2"/>
      <c r="M13751" s="2"/>
      <c r="N13751" s="2"/>
      <c r="O13751" s="2"/>
      <c r="P13751" s="2"/>
      <c r="Q13751" s="2"/>
      <c r="R13751" s="2"/>
      <c r="S13751" s="2"/>
      <c r="T13751" s="2"/>
      <c r="U13751" s="2"/>
      <c r="V13751" s="2"/>
      <c r="W13751" s="2"/>
      <c r="X13751" s="2"/>
      <c r="Y13751" s="2"/>
      <c r="Z13751" s="2"/>
    </row>
    <row r="13752" spans="1:26" ht="16.5" x14ac:dyDescent="0.35">
      <c r="A13752" s="2" t="str">
        <f ca="1">IFERROR(__xludf.DUMMYFUNCTION("""COMPUTED_VALUE"""),"Dubai")</f>
        <v>Dubai</v>
      </c>
      <c r="B13752" s="2" t="str">
        <f ca="1">IFERROR(__xludf.DUMMYFUNCTION("""COMPUTED_VALUE"""),"Nara")</f>
        <v>Nara</v>
      </c>
      <c r="C13752" s="2" t="str">
        <f ca="1">IFERROR(__xludf.DUMMYFUNCTION("""COMPUTED_VALUE"""),"Neighbourhood")</f>
        <v>Neighbourhood</v>
      </c>
      <c r="D13752" s="2" t="str">
        <f ca="1">IFERROR(__xludf.DUMMYFUNCTION("""COMPUTED_VALUE"""),"Dubai&gt;The Valley by Emaar&gt;Nara")</f>
        <v>Dubai&gt;The Valley by Emaar&gt;Nara</v>
      </c>
      <c r="E13752" s="2"/>
      <c r="F13752" s="2"/>
      <c r="G13752" s="2"/>
      <c r="H13752" s="2"/>
      <c r="I13752" s="2"/>
      <c r="J13752" s="2"/>
      <c r="K13752" s="2"/>
      <c r="L13752" s="2"/>
      <c r="M13752" s="2"/>
      <c r="N13752" s="2"/>
      <c r="O13752" s="2"/>
      <c r="P13752" s="2"/>
      <c r="Q13752" s="2"/>
      <c r="R13752" s="2"/>
      <c r="S13752" s="2"/>
      <c r="T13752" s="2"/>
      <c r="U13752" s="2"/>
      <c r="V13752" s="2"/>
      <c r="W13752" s="2"/>
      <c r="X13752" s="2"/>
      <c r="Y13752" s="2"/>
      <c r="Z13752" s="2"/>
    </row>
    <row r="13753" spans="1:26" ht="16.5" x14ac:dyDescent="0.35">
      <c r="A13753" s="2" t="str">
        <f ca="1">IFERROR(__xludf.DUMMYFUNCTION("""COMPUTED_VALUE"""),"Dubai")</f>
        <v>Dubai</v>
      </c>
      <c r="B13753" s="2" t="str">
        <f ca="1">IFERROR(__xludf.DUMMYFUNCTION("""COMPUTED_VALUE"""),"Alvorada 2")</f>
        <v>Alvorada 2</v>
      </c>
      <c r="C13753" s="2" t="str">
        <f ca="1">IFERROR(__xludf.DUMMYFUNCTION("""COMPUTED_VALUE"""),"Neighbourhood")</f>
        <v>Neighbourhood</v>
      </c>
      <c r="D13753" s="2" t="str">
        <f ca="1">IFERROR(__xludf.DUMMYFUNCTION("""COMPUTED_VALUE"""),"Dubai&gt;Arabian Ranches&gt;Alvorada&gt;Alvorada 2")</f>
        <v>Dubai&gt;Arabian Ranches&gt;Alvorada&gt;Alvorada 2</v>
      </c>
      <c r="E13753" s="2"/>
      <c r="F13753" s="2"/>
      <c r="G13753" s="2"/>
      <c r="H13753" s="2"/>
      <c r="I13753" s="2"/>
      <c r="J13753" s="2"/>
      <c r="K13753" s="2"/>
      <c r="L13753" s="2"/>
      <c r="M13753" s="2"/>
      <c r="N13753" s="2"/>
      <c r="O13753" s="2"/>
      <c r="P13753" s="2"/>
      <c r="Q13753" s="2"/>
      <c r="R13753" s="2"/>
      <c r="S13753" s="2"/>
      <c r="T13753" s="2"/>
      <c r="U13753" s="2"/>
      <c r="V13753" s="2"/>
      <c r="W13753" s="2"/>
      <c r="X13753" s="2"/>
      <c r="Y13753" s="2"/>
      <c r="Z13753" s="2"/>
    </row>
    <row r="13754" spans="1:26" ht="16.5" x14ac:dyDescent="0.35">
      <c r="A13754" s="2" t="str">
        <f ca="1">IFERROR(__xludf.DUMMYFUNCTION("""COMPUTED_VALUE"""),"Dubai")</f>
        <v>Dubai</v>
      </c>
      <c r="B13754" s="2" t="str">
        <f ca="1">IFERROR(__xludf.DUMMYFUNCTION("""COMPUTED_VALUE"""),"Savannah")</f>
        <v>Savannah</v>
      </c>
      <c r="C13754" s="2" t="str">
        <f ca="1">IFERROR(__xludf.DUMMYFUNCTION("""COMPUTED_VALUE"""),"Neighbourhood")</f>
        <v>Neighbourhood</v>
      </c>
      <c r="D13754" s="2" t="str">
        <f ca="1">IFERROR(__xludf.DUMMYFUNCTION("""COMPUTED_VALUE"""),"Dubai&gt;Arabian Ranches&gt;Savannah")</f>
        <v>Dubai&gt;Arabian Ranches&gt;Savannah</v>
      </c>
      <c r="E13754" s="2"/>
      <c r="F13754" s="2"/>
      <c r="G13754" s="2"/>
      <c r="H13754" s="2"/>
      <c r="I13754" s="2"/>
      <c r="J13754" s="2"/>
      <c r="K13754" s="2"/>
      <c r="L13754" s="2"/>
      <c r="M13754" s="2"/>
      <c r="N13754" s="2"/>
      <c r="O13754" s="2"/>
      <c r="P13754" s="2"/>
      <c r="Q13754" s="2"/>
      <c r="R13754" s="2"/>
      <c r="S13754" s="2"/>
      <c r="T13754" s="2"/>
      <c r="U13754" s="2"/>
      <c r="V13754" s="2"/>
      <c r="W13754" s="2"/>
      <c r="X13754" s="2"/>
      <c r="Y13754" s="2"/>
      <c r="Z13754" s="2"/>
    </row>
    <row r="13755" spans="1:26" ht="16.5" x14ac:dyDescent="0.35">
      <c r="A13755" s="2" t="str">
        <f ca="1">IFERROR(__xludf.DUMMYFUNCTION("""COMPUTED_VALUE"""),"Dubai")</f>
        <v>Dubai</v>
      </c>
      <c r="B13755" s="2" t="str">
        <f ca="1">IFERROR(__xludf.DUMMYFUNCTION("""COMPUTED_VALUE"""),"The Gardens Building 57")</f>
        <v>The Gardens Building 57</v>
      </c>
      <c r="C13755" s="2" t="str">
        <f ca="1">IFERROR(__xludf.DUMMYFUNCTION("""COMPUTED_VALUE"""),"Building")</f>
        <v>Building</v>
      </c>
      <c r="D13755" s="2" t="str">
        <f ca="1">IFERROR(__xludf.DUMMYFUNCTION("""COMPUTED_VALUE"""),"Dubai&gt;The Gardens&gt;The Gardens Building 57")</f>
        <v>Dubai&gt;The Gardens&gt;The Gardens Building 57</v>
      </c>
      <c r="E13755" s="2"/>
      <c r="F13755" s="2"/>
      <c r="G13755" s="2"/>
      <c r="H13755" s="2"/>
      <c r="I13755" s="2"/>
      <c r="J13755" s="2"/>
      <c r="K13755" s="2"/>
      <c r="L13755" s="2"/>
      <c r="M13755" s="2"/>
      <c r="N13755" s="2"/>
      <c r="O13755" s="2"/>
      <c r="P13755" s="2"/>
      <c r="Q13755" s="2"/>
      <c r="R13755" s="2"/>
      <c r="S13755" s="2"/>
      <c r="T13755" s="2"/>
      <c r="U13755" s="2"/>
      <c r="V13755" s="2"/>
      <c r="W13755" s="2"/>
      <c r="X13755" s="2"/>
      <c r="Y13755" s="2"/>
      <c r="Z13755" s="2"/>
    </row>
    <row r="13756" spans="1:26" ht="16.5" x14ac:dyDescent="0.35">
      <c r="A13756" s="2" t="str">
        <f ca="1">IFERROR(__xludf.DUMMYFUNCTION("""COMPUTED_VALUE"""),"Dubai")</f>
        <v>Dubai</v>
      </c>
      <c r="B13756" s="2" t="str">
        <f ca="1">IFERROR(__xludf.DUMMYFUNCTION("""COMPUTED_VALUE"""),"The Gardens Building 101")</f>
        <v>The Gardens Building 101</v>
      </c>
      <c r="C13756" s="2" t="str">
        <f ca="1">IFERROR(__xludf.DUMMYFUNCTION("""COMPUTED_VALUE"""),"Building")</f>
        <v>Building</v>
      </c>
      <c r="D13756" s="2" t="str">
        <f ca="1">IFERROR(__xludf.DUMMYFUNCTION("""COMPUTED_VALUE"""),"Dubai&gt;The Gardens&gt;The Gardens Building 101")</f>
        <v>Dubai&gt;The Gardens&gt;The Gardens Building 101</v>
      </c>
      <c r="E13756" s="2"/>
      <c r="F13756" s="2"/>
      <c r="G13756" s="2"/>
      <c r="H13756" s="2"/>
      <c r="I13756" s="2"/>
      <c r="J13756" s="2"/>
      <c r="K13756" s="2"/>
      <c r="L13756" s="2"/>
      <c r="M13756" s="2"/>
      <c r="N13756" s="2"/>
      <c r="O13756" s="2"/>
      <c r="P13756" s="2"/>
      <c r="Q13756" s="2"/>
      <c r="R13756" s="2"/>
      <c r="S13756" s="2"/>
      <c r="T13756" s="2"/>
      <c r="U13756" s="2"/>
      <c r="V13756" s="2"/>
      <c r="W13756" s="2"/>
      <c r="X13756" s="2"/>
      <c r="Y13756" s="2"/>
      <c r="Z13756" s="2"/>
    </row>
    <row r="13757" spans="1:26" ht="16.5" x14ac:dyDescent="0.35">
      <c r="A13757" s="2" t="str">
        <f ca="1">IFERROR(__xludf.DUMMYFUNCTION("""COMPUTED_VALUE"""),"Dubai")</f>
        <v>Dubai</v>
      </c>
      <c r="B13757" s="2" t="str">
        <f ca="1">IFERROR(__xludf.DUMMYFUNCTION("""COMPUTED_VALUE"""),"The Gardens Building 13")</f>
        <v>The Gardens Building 13</v>
      </c>
      <c r="C13757" s="2" t="str">
        <f ca="1">IFERROR(__xludf.DUMMYFUNCTION("""COMPUTED_VALUE"""),"Building")</f>
        <v>Building</v>
      </c>
      <c r="D13757" s="2" t="str">
        <f ca="1">IFERROR(__xludf.DUMMYFUNCTION("""COMPUTED_VALUE"""),"Dubai&gt;The Gardens&gt;The Gardens Building 13")</f>
        <v>Dubai&gt;The Gardens&gt;The Gardens Building 13</v>
      </c>
      <c r="E13757" s="2"/>
      <c r="F13757" s="2"/>
      <c r="G13757" s="2"/>
      <c r="H13757" s="2"/>
      <c r="I13757" s="2"/>
      <c r="J13757" s="2"/>
      <c r="K13757" s="2"/>
      <c r="L13757" s="2"/>
      <c r="M13757" s="2"/>
      <c r="N13757" s="2"/>
      <c r="O13757" s="2"/>
      <c r="P13757" s="2"/>
      <c r="Q13757" s="2"/>
      <c r="R13757" s="2"/>
      <c r="S13757" s="2"/>
      <c r="T13757" s="2"/>
      <c r="U13757" s="2"/>
      <c r="V13757" s="2"/>
      <c r="W13757" s="2"/>
      <c r="X13757" s="2"/>
      <c r="Y13757" s="2"/>
      <c r="Z13757" s="2"/>
    </row>
    <row r="13758" spans="1:26" ht="16.5" x14ac:dyDescent="0.35">
      <c r="A13758" s="2" t="str">
        <f ca="1">IFERROR(__xludf.DUMMYFUNCTION("""COMPUTED_VALUE"""),"Dubai")</f>
        <v>Dubai</v>
      </c>
      <c r="B13758" s="2" t="str">
        <f ca="1">IFERROR(__xludf.DUMMYFUNCTION("""COMPUTED_VALUE"""),"The Gardens Building 51")</f>
        <v>The Gardens Building 51</v>
      </c>
      <c r="C13758" s="2" t="str">
        <f ca="1">IFERROR(__xludf.DUMMYFUNCTION("""COMPUTED_VALUE"""),"Building")</f>
        <v>Building</v>
      </c>
      <c r="D13758" s="2" t="str">
        <f ca="1">IFERROR(__xludf.DUMMYFUNCTION("""COMPUTED_VALUE"""),"Dubai&gt;The Gardens&gt;The Gardens Building 51")</f>
        <v>Dubai&gt;The Gardens&gt;The Gardens Building 51</v>
      </c>
      <c r="E13758" s="2"/>
      <c r="F13758" s="2"/>
      <c r="G13758" s="2"/>
      <c r="H13758" s="2"/>
      <c r="I13758" s="2"/>
      <c r="J13758" s="2"/>
      <c r="K13758" s="2"/>
      <c r="L13758" s="2"/>
      <c r="M13758" s="2"/>
      <c r="N13758" s="2"/>
      <c r="O13758" s="2"/>
      <c r="P13758" s="2"/>
      <c r="Q13758" s="2"/>
      <c r="R13758" s="2"/>
      <c r="S13758" s="2"/>
      <c r="T13758" s="2"/>
      <c r="U13758" s="2"/>
      <c r="V13758" s="2"/>
      <c r="W13758" s="2"/>
      <c r="X13758" s="2"/>
      <c r="Y13758" s="2"/>
      <c r="Z13758" s="2"/>
    </row>
    <row r="13759" spans="1:26" ht="16.5" x14ac:dyDescent="0.35">
      <c r="A13759" s="2" t="str">
        <f ca="1">IFERROR(__xludf.DUMMYFUNCTION("""COMPUTED_VALUE"""),"Dubai")</f>
        <v>Dubai</v>
      </c>
      <c r="B13759" s="2" t="str">
        <f ca="1">IFERROR(__xludf.DUMMYFUNCTION("""COMPUTED_VALUE"""),"AB Plaza 8")</f>
        <v>AB Plaza 8</v>
      </c>
      <c r="C13759" s="2" t="str">
        <f ca="1">IFERROR(__xludf.DUMMYFUNCTION("""COMPUTED_VALUE"""),"Building")</f>
        <v>Building</v>
      </c>
      <c r="D13759" s="2" t="str">
        <f ca="1">IFERROR(__xludf.DUMMYFUNCTION("""COMPUTED_VALUE"""),"Dubai&gt;Al Mamzar&gt;AB Plaza 8")</f>
        <v>Dubai&gt;Al Mamzar&gt;AB Plaza 8</v>
      </c>
      <c r="E13759" s="2"/>
      <c r="F13759" s="2"/>
      <c r="G13759" s="2"/>
      <c r="H13759" s="2"/>
      <c r="I13759" s="2"/>
      <c r="J13759" s="2"/>
      <c r="K13759" s="2"/>
      <c r="L13759" s="2"/>
      <c r="M13759" s="2"/>
      <c r="N13759" s="2"/>
      <c r="O13759" s="2"/>
      <c r="P13759" s="2"/>
      <c r="Q13759" s="2"/>
      <c r="R13759" s="2"/>
      <c r="S13759" s="2"/>
      <c r="T13759" s="2"/>
      <c r="U13759" s="2"/>
      <c r="V13759" s="2"/>
      <c r="W13759" s="2"/>
      <c r="X13759" s="2"/>
      <c r="Y13759" s="2"/>
      <c r="Z13759" s="2"/>
    </row>
    <row r="13760" spans="1:26" ht="16.5" x14ac:dyDescent="0.35">
      <c r="A13760" s="2" t="str">
        <f ca="1">IFERROR(__xludf.DUMMYFUNCTION("""COMPUTED_VALUE"""),"Dubai")</f>
        <v>Dubai</v>
      </c>
      <c r="B13760" s="2" t="str">
        <f ca="1">IFERROR(__xludf.DUMMYFUNCTION("""COMPUTED_VALUE"""),"Bluewaters Residences 10")</f>
        <v>Bluewaters Residences 10</v>
      </c>
      <c r="C13760" s="2" t="str">
        <f ca="1">IFERROR(__xludf.DUMMYFUNCTION("""COMPUTED_VALUE"""),"Building")</f>
        <v>Building</v>
      </c>
      <c r="D13760" s="2" t="str">
        <f ca="1">IFERROR(__xludf.DUMMYFUNCTION("""COMPUTED_VALUE"""),"Dubai&gt;Bluewaters Island&gt;Bluewaters Residences&gt;Bluewaters Residences 10")</f>
        <v>Dubai&gt;Bluewaters Island&gt;Bluewaters Residences&gt;Bluewaters Residences 10</v>
      </c>
      <c r="E13760" s="2"/>
      <c r="F13760" s="2"/>
      <c r="G13760" s="2"/>
      <c r="H13760" s="2"/>
      <c r="I13760" s="2"/>
      <c r="J13760" s="2"/>
      <c r="K13760" s="2"/>
      <c r="L13760" s="2"/>
      <c r="M13760" s="2"/>
      <c r="N13760" s="2"/>
      <c r="O13760" s="2"/>
      <c r="P13760" s="2"/>
      <c r="Q13760" s="2"/>
      <c r="R13760" s="2"/>
      <c r="S13760" s="2"/>
      <c r="T13760" s="2"/>
      <c r="U13760" s="2"/>
      <c r="V13760" s="2"/>
      <c r="W13760" s="2"/>
      <c r="X13760" s="2"/>
      <c r="Y13760" s="2"/>
      <c r="Z13760" s="2"/>
    </row>
    <row r="13761" spans="1:26" ht="16.5" x14ac:dyDescent="0.35">
      <c r="A13761" s="2" t="str">
        <f ca="1">IFERROR(__xludf.DUMMYFUNCTION("""COMPUTED_VALUE"""),"Dubai")</f>
        <v>Dubai</v>
      </c>
      <c r="B13761" s="2" t="str">
        <f ca="1">IFERROR(__xludf.DUMMYFUNCTION("""COMPUTED_VALUE"""),"Rose")</f>
        <v>Rose</v>
      </c>
      <c r="C13761" s="2" t="str">
        <f ca="1">IFERROR(__xludf.DUMMYFUNCTION("""COMPUTED_VALUE"""),"Building")</f>
        <v>Building</v>
      </c>
      <c r="D13761" s="2" t="str">
        <f ca="1">IFERROR(__xludf.DUMMYFUNCTION("""COMPUTED_VALUE"""),"Dubai&gt;Za'abeel&gt;Za'abeel 2&gt;Al Murooj Complex&gt;Rose")</f>
        <v>Dubai&gt;Za'abeel&gt;Za'abeel 2&gt;Al Murooj Complex&gt;Rose</v>
      </c>
      <c r="E13761" s="2"/>
      <c r="F13761" s="2"/>
      <c r="G13761" s="2"/>
      <c r="H13761" s="2"/>
      <c r="I13761" s="2"/>
      <c r="J13761" s="2"/>
      <c r="K13761" s="2"/>
      <c r="L13761" s="2"/>
      <c r="M13761" s="2"/>
      <c r="N13761" s="2"/>
      <c r="O13761" s="2"/>
      <c r="P13761" s="2"/>
      <c r="Q13761" s="2"/>
      <c r="R13761" s="2"/>
      <c r="S13761" s="2"/>
      <c r="T13761" s="2"/>
      <c r="U13761" s="2"/>
      <c r="V13761" s="2"/>
      <c r="W13761" s="2"/>
      <c r="X13761" s="2"/>
      <c r="Y13761" s="2"/>
      <c r="Z13761" s="2"/>
    </row>
    <row r="13762" spans="1:26" ht="16.5" x14ac:dyDescent="0.35">
      <c r="A13762" s="2" t="str">
        <f ca="1">IFERROR(__xludf.DUMMYFUNCTION("""COMPUTED_VALUE"""),"Dubai")</f>
        <v>Dubai</v>
      </c>
      <c r="B13762" s="2" t="str">
        <f ca="1">IFERROR(__xludf.DUMMYFUNCTION("""COMPUTED_VALUE"""),"Samari Residences 7")</f>
        <v>Samari Residences 7</v>
      </c>
      <c r="C13762" s="2" t="str">
        <f ca="1">IFERROR(__xludf.DUMMYFUNCTION("""COMPUTED_VALUE"""),"Building")</f>
        <v>Building</v>
      </c>
      <c r="D13762" s="2" t="str">
        <f ca="1">IFERROR(__xludf.DUMMYFUNCTION("""COMPUTED_VALUE"""),"Dubai&gt;Ras Al Khor&gt;Ras Al Khor Industrial&gt;Ras Al Khor Industrial 3&gt;Samari Residences&gt;Samari Residences 7")</f>
        <v>Dubai&gt;Ras Al Khor&gt;Ras Al Khor Industrial&gt;Ras Al Khor Industrial 3&gt;Samari Residences&gt;Samari Residences 7</v>
      </c>
      <c r="E13762" s="2"/>
      <c r="F13762" s="2"/>
      <c r="G13762" s="2"/>
      <c r="H13762" s="2"/>
      <c r="I13762" s="2"/>
      <c r="J13762" s="2"/>
      <c r="K13762" s="2"/>
      <c r="L13762" s="2"/>
      <c r="M13762" s="2"/>
      <c r="N13762" s="2"/>
      <c r="O13762" s="2"/>
      <c r="P13762" s="2"/>
      <c r="Q13762" s="2"/>
      <c r="R13762" s="2"/>
      <c r="S13762" s="2"/>
      <c r="T13762" s="2"/>
      <c r="U13762" s="2"/>
      <c r="V13762" s="2"/>
      <c r="W13762" s="2"/>
      <c r="X13762" s="2"/>
      <c r="Y13762" s="2"/>
      <c r="Z13762" s="2"/>
    </row>
    <row r="13763" spans="1:26" ht="16.5" x14ac:dyDescent="0.35">
      <c r="A13763" s="2" t="str">
        <f ca="1">IFERROR(__xludf.DUMMYFUNCTION("""COMPUTED_VALUE"""),"Dubai")</f>
        <v>Dubai</v>
      </c>
      <c r="B13763" s="2" t="str">
        <f ca="1">IFERROR(__xludf.DUMMYFUNCTION("""COMPUTED_VALUE"""),"Azizi Aura")</f>
        <v>Azizi Aura</v>
      </c>
      <c r="C13763" s="2" t="str">
        <f ca="1">IFERROR(__xludf.DUMMYFUNCTION("""COMPUTED_VALUE"""),"Building")</f>
        <v>Building</v>
      </c>
      <c r="D13763" s="2" t="str">
        <f ca="1">IFERROR(__xludf.DUMMYFUNCTION("""COMPUTED_VALUE"""),"Dubai&gt;Jebel Ali&gt;Downtown Jebel Ali&gt;Azizi Aura")</f>
        <v>Dubai&gt;Jebel Ali&gt;Downtown Jebel Ali&gt;Azizi Aura</v>
      </c>
      <c r="E13763" s="2"/>
      <c r="F13763" s="2"/>
      <c r="G13763" s="2"/>
      <c r="H13763" s="2"/>
      <c r="I13763" s="2"/>
      <c r="J13763" s="2"/>
      <c r="K13763" s="2"/>
      <c r="L13763" s="2"/>
      <c r="M13763" s="2"/>
      <c r="N13763" s="2"/>
      <c r="O13763" s="2"/>
      <c r="P13763" s="2"/>
      <c r="Q13763" s="2"/>
      <c r="R13763" s="2"/>
      <c r="S13763" s="2"/>
      <c r="T13763" s="2"/>
      <c r="U13763" s="2"/>
      <c r="V13763" s="2"/>
      <c r="W13763" s="2"/>
      <c r="X13763" s="2"/>
      <c r="Y13763" s="2"/>
      <c r="Z13763" s="2"/>
    </row>
    <row r="13764" spans="1:26" ht="16.5" x14ac:dyDescent="0.35">
      <c r="A13764" s="2" t="str">
        <f ca="1">IFERROR(__xludf.DUMMYFUNCTION("""COMPUTED_VALUE"""),"Dubai")</f>
        <v>Dubai</v>
      </c>
      <c r="B13764" s="2" t="str">
        <f ca="1">IFERROR(__xludf.DUMMYFUNCTION("""COMPUTED_VALUE"""),"Farnek Village")</f>
        <v>Farnek Village</v>
      </c>
      <c r="C13764" s="2" t="str">
        <f ca="1">IFERROR(__xludf.DUMMYFUNCTION("""COMPUTED_VALUE"""),"Building")</f>
        <v>Building</v>
      </c>
      <c r="D13764" s="2" t="str">
        <f ca="1">IFERROR(__xludf.DUMMYFUNCTION("""COMPUTED_VALUE"""),"Dubai&gt;Jebel Ali&gt;Jebel Ali Industrial Area&gt;Jebel Ali Industrial Area 1&gt;Farnek Village")</f>
        <v>Dubai&gt;Jebel Ali&gt;Jebel Ali Industrial Area&gt;Jebel Ali Industrial Area 1&gt;Farnek Village</v>
      </c>
      <c r="E13764" s="2"/>
      <c r="F13764" s="2"/>
      <c r="G13764" s="2"/>
      <c r="H13764" s="2"/>
      <c r="I13764" s="2"/>
      <c r="J13764" s="2"/>
      <c r="K13764" s="2"/>
      <c r="L13764" s="2"/>
      <c r="M13764" s="2"/>
      <c r="N13764" s="2"/>
      <c r="O13764" s="2"/>
      <c r="P13764" s="2"/>
      <c r="Q13764" s="2"/>
      <c r="R13764" s="2"/>
      <c r="S13764" s="2"/>
      <c r="T13764" s="2"/>
      <c r="U13764" s="2"/>
      <c r="V13764" s="2"/>
      <c r="W13764" s="2"/>
      <c r="X13764" s="2"/>
      <c r="Y13764" s="2"/>
      <c r="Z13764" s="2"/>
    </row>
    <row r="13765" spans="1:26" ht="16.5" x14ac:dyDescent="0.35">
      <c r="A13765" s="2" t="str">
        <f ca="1">IFERROR(__xludf.DUMMYFUNCTION("""COMPUTED_VALUE"""),"Dubai")</f>
        <v>Dubai</v>
      </c>
      <c r="B13765" s="2" t="str">
        <f ca="1">IFERROR(__xludf.DUMMYFUNCTION("""COMPUTED_VALUE"""),"Al Bahri Gate Residence 1")</f>
        <v>Al Bahri Gate Residence 1</v>
      </c>
      <c r="C13765" s="2" t="str">
        <f ca="1">IFERROR(__xludf.DUMMYFUNCTION("""COMPUTED_VALUE"""),"Building")</f>
        <v>Building</v>
      </c>
      <c r="D13765" s="2" t="str">
        <f ca="1">IFERROR(__xludf.DUMMYFUNCTION("""COMPUTED_VALUE"""),"Dubai&gt;Nad Al Hamar&gt;Al Bahri Gate Residence 1")</f>
        <v>Dubai&gt;Nad Al Hamar&gt;Al Bahri Gate Residence 1</v>
      </c>
      <c r="E13765" s="2"/>
      <c r="F13765" s="2"/>
      <c r="G13765" s="2"/>
      <c r="H13765" s="2"/>
      <c r="I13765" s="2"/>
      <c r="J13765" s="2"/>
      <c r="K13765" s="2"/>
      <c r="L13765" s="2"/>
      <c r="M13765" s="2"/>
      <c r="N13765" s="2"/>
      <c r="O13765" s="2"/>
      <c r="P13765" s="2"/>
      <c r="Q13765" s="2"/>
      <c r="R13765" s="2"/>
      <c r="S13765" s="2"/>
      <c r="T13765" s="2"/>
      <c r="U13765" s="2"/>
      <c r="V13765" s="2"/>
      <c r="W13765" s="2"/>
      <c r="X13765" s="2"/>
      <c r="Y13765" s="2"/>
      <c r="Z13765" s="2"/>
    </row>
    <row r="13766" spans="1:26" ht="16.5" x14ac:dyDescent="0.35">
      <c r="A13766" s="2" t="str">
        <f ca="1">IFERROR(__xludf.DUMMYFUNCTION("""COMPUTED_VALUE"""),"Dubai")</f>
        <v>Dubai</v>
      </c>
      <c r="B13766" s="2" t="str">
        <f ca="1">IFERROR(__xludf.DUMMYFUNCTION("""COMPUTED_VALUE"""),"Sheikheldin Building")</f>
        <v>Sheikheldin Building</v>
      </c>
      <c r="C13766" s="2" t="str">
        <f ca="1">IFERROR(__xludf.DUMMYFUNCTION("""COMPUTED_VALUE"""),"Building")</f>
        <v>Building</v>
      </c>
      <c r="D13766" s="2" t="str">
        <f ca="1">IFERROR(__xludf.DUMMYFUNCTION("""COMPUTED_VALUE"""),"Dubai&gt;Nad Al Hamar&gt;Sheikheldin Building")</f>
        <v>Dubai&gt;Nad Al Hamar&gt;Sheikheldin Building</v>
      </c>
      <c r="E13766" s="2"/>
      <c r="F13766" s="2"/>
      <c r="G13766" s="2"/>
      <c r="H13766" s="2"/>
      <c r="I13766" s="2"/>
      <c r="J13766" s="2"/>
      <c r="K13766" s="2"/>
      <c r="L13766" s="2"/>
      <c r="M13766" s="2"/>
      <c r="N13766" s="2"/>
      <c r="O13766" s="2"/>
      <c r="P13766" s="2"/>
      <c r="Q13766" s="2"/>
      <c r="R13766" s="2"/>
      <c r="S13766" s="2"/>
      <c r="T13766" s="2"/>
      <c r="U13766" s="2"/>
      <c r="V13766" s="2"/>
      <c r="W13766" s="2"/>
      <c r="X13766" s="2"/>
      <c r="Y13766" s="2"/>
      <c r="Z13766" s="2"/>
    </row>
    <row r="13767" spans="1:26" ht="16.5" x14ac:dyDescent="0.35">
      <c r="A13767" s="2" t="str">
        <f ca="1">IFERROR(__xludf.DUMMYFUNCTION("""COMPUTED_VALUE"""),"Dubai")</f>
        <v>Dubai</v>
      </c>
      <c r="B13767" s="2" t="str">
        <f ca="1">IFERROR(__xludf.DUMMYFUNCTION("""COMPUTED_VALUE"""),"Trio Building")</f>
        <v>Trio Building</v>
      </c>
      <c r="C13767" s="2" t="str">
        <f ca="1">IFERROR(__xludf.DUMMYFUNCTION("""COMPUTED_VALUE"""),"Building")</f>
        <v>Building</v>
      </c>
      <c r="D13767" s="2" t="str">
        <f ca="1">IFERROR(__xludf.DUMMYFUNCTION("""COMPUTED_VALUE"""),"Dubai&gt;Al Barsha&gt;Al Barsha 1&gt;Trio Building")</f>
        <v>Dubai&gt;Al Barsha&gt;Al Barsha 1&gt;Trio Building</v>
      </c>
      <c r="E13767" s="2"/>
      <c r="F13767" s="2"/>
      <c r="G13767" s="2"/>
      <c r="H13767" s="2"/>
      <c r="I13767" s="2"/>
      <c r="J13767" s="2"/>
      <c r="K13767" s="2"/>
      <c r="L13767" s="2"/>
      <c r="M13767" s="2"/>
      <c r="N13767" s="2"/>
      <c r="O13767" s="2"/>
      <c r="P13767" s="2"/>
      <c r="Q13767" s="2"/>
      <c r="R13767" s="2"/>
      <c r="S13767" s="2"/>
      <c r="T13767" s="2"/>
      <c r="U13767" s="2"/>
      <c r="V13767" s="2"/>
      <c r="W13767" s="2"/>
      <c r="X13767" s="2"/>
      <c r="Y13767" s="2"/>
      <c r="Z13767" s="2"/>
    </row>
    <row r="13768" spans="1:26" ht="16.5" x14ac:dyDescent="0.35">
      <c r="A13768" s="2" t="str">
        <f ca="1">IFERROR(__xludf.DUMMYFUNCTION("""COMPUTED_VALUE"""),"Dubai")</f>
        <v>Dubai</v>
      </c>
      <c r="B13768" s="2" t="str">
        <f ca="1">IFERROR(__xludf.DUMMYFUNCTION("""COMPUTED_VALUE"""),"Barsha Modern Building 2")</f>
        <v>Barsha Modern Building 2</v>
      </c>
      <c r="C13768" s="2" t="str">
        <f ca="1">IFERROR(__xludf.DUMMYFUNCTION("""COMPUTED_VALUE"""),"Building")</f>
        <v>Building</v>
      </c>
      <c r="D13768" s="2" t="str">
        <f ca="1">IFERROR(__xludf.DUMMYFUNCTION("""COMPUTED_VALUE"""),"Dubai&gt;Al Barsha&gt;Al Barsha 1&gt;Barsha Modern&gt;Barsha Modern Building 2")</f>
        <v>Dubai&gt;Al Barsha&gt;Al Barsha 1&gt;Barsha Modern&gt;Barsha Modern Building 2</v>
      </c>
      <c r="E13768" s="2"/>
      <c r="F13768" s="2"/>
      <c r="G13768" s="2"/>
      <c r="H13768" s="2"/>
      <c r="I13768" s="2"/>
      <c r="J13768" s="2"/>
      <c r="K13768" s="2"/>
      <c r="L13768" s="2"/>
      <c r="M13768" s="2"/>
      <c r="N13768" s="2"/>
      <c r="O13768" s="2"/>
      <c r="P13768" s="2"/>
      <c r="Q13768" s="2"/>
      <c r="R13768" s="2"/>
      <c r="S13768" s="2"/>
      <c r="T13768" s="2"/>
      <c r="U13768" s="2"/>
      <c r="V13768" s="2"/>
      <c r="W13768" s="2"/>
      <c r="X13768" s="2"/>
      <c r="Y13768" s="2"/>
      <c r="Z13768" s="2"/>
    </row>
    <row r="13769" spans="1:26" ht="16.5" x14ac:dyDescent="0.35">
      <c r="A13769" s="2" t="str">
        <f ca="1">IFERROR(__xludf.DUMMYFUNCTION("""COMPUTED_VALUE"""),"Dubai")</f>
        <v>Dubai</v>
      </c>
      <c r="B13769" s="2" t="str">
        <f ca="1">IFERROR(__xludf.DUMMYFUNCTION("""COMPUTED_VALUE"""),"Yes Business Tower")</f>
        <v>Yes Business Tower</v>
      </c>
      <c r="C13769" s="2" t="str">
        <f ca="1">IFERROR(__xludf.DUMMYFUNCTION("""COMPUTED_VALUE"""),"Building")</f>
        <v>Building</v>
      </c>
      <c r="D13769" s="2" t="str">
        <f ca="1">IFERROR(__xludf.DUMMYFUNCTION("""COMPUTED_VALUE"""),"Dubai&gt;Al Barsha&gt;Al Barsha 1&gt;Yes Business Tower")</f>
        <v>Dubai&gt;Al Barsha&gt;Al Barsha 1&gt;Yes Business Tower</v>
      </c>
      <c r="E13769" s="2"/>
      <c r="F13769" s="2"/>
      <c r="G13769" s="2"/>
      <c r="H13769" s="2"/>
      <c r="I13769" s="2"/>
      <c r="J13769" s="2"/>
      <c r="K13769" s="2"/>
      <c r="L13769" s="2"/>
      <c r="M13769" s="2"/>
      <c r="N13769" s="2"/>
      <c r="O13769" s="2"/>
      <c r="P13769" s="2"/>
      <c r="Q13769" s="2"/>
      <c r="R13769" s="2"/>
      <c r="S13769" s="2"/>
      <c r="T13769" s="2"/>
      <c r="U13769" s="2"/>
      <c r="V13769" s="2"/>
      <c r="W13769" s="2"/>
      <c r="X13769" s="2"/>
      <c r="Y13769" s="2"/>
      <c r="Z13769" s="2"/>
    </row>
    <row r="13770" spans="1:26" ht="16.5" x14ac:dyDescent="0.35">
      <c r="A13770" s="2" t="str">
        <f ca="1">IFERROR(__xludf.DUMMYFUNCTION("""COMPUTED_VALUE"""),"Dubai")</f>
        <v>Dubai</v>
      </c>
      <c r="B13770" s="2" t="str">
        <f ca="1">IFERROR(__xludf.DUMMYFUNCTION("""COMPUTED_VALUE"""),"Al Maha Tower B")</f>
        <v>Al Maha Tower B</v>
      </c>
      <c r="C13770" s="2" t="str">
        <f ca="1">IFERROR(__xludf.DUMMYFUNCTION("""COMPUTED_VALUE"""),"Building")</f>
        <v>Building</v>
      </c>
      <c r="D13770" s="2" t="str">
        <f ca="1">IFERROR(__xludf.DUMMYFUNCTION("""COMPUTED_VALUE"""),"Dubai&gt;Al Barsha&gt;Al Barsha 1&gt;Al Maha Tower B")</f>
        <v>Dubai&gt;Al Barsha&gt;Al Barsha 1&gt;Al Maha Tower B</v>
      </c>
      <c r="E13770" s="2"/>
      <c r="F13770" s="2"/>
      <c r="G13770" s="2"/>
      <c r="H13770" s="2"/>
      <c r="I13770" s="2"/>
      <c r="J13770" s="2"/>
      <c r="K13770" s="2"/>
      <c r="L13770" s="2"/>
      <c r="M13770" s="2"/>
      <c r="N13770" s="2"/>
      <c r="O13770" s="2"/>
      <c r="P13770" s="2"/>
      <c r="Q13770" s="2"/>
      <c r="R13770" s="2"/>
      <c r="S13770" s="2"/>
      <c r="T13770" s="2"/>
      <c r="U13770" s="2"/>
      <c r="V13770" s="2"/>
      <c r="W13770" s="2"/>
      <c r="X13770" s="2"/>
      <c r="Y13770" s="2"/>
      <c r="Z13770" s="2"/>
    </row>
    <row r="13771" spans="1:26" ht="16.5" x14ac:dyDescent="0.35">
      <c r="A13771" s="2" t="str">
        <f ca="1">IFERROR(__xludf.DUMMYFUNCTION("""COMPUTED_VALUE"""),"Dubai")</f>
        <v>Dubai</v>
      </c>
      <c r="B13771" s="2" t="str">
        <f ca="1">IFERROR(__xludf.DUMMYFUNCTION("""COMPUTED_VALUE"""),"The Soho Hotel")</f>
        <v>The Soho Hotel</v>
      </c>
      <c r="C13771" s="2" t="str">
        <f ca="1">IFERROR(__xludf.DUMMYFUNCTION("""COMPUTED_VALUE"""),"Building")</f>
        <v>Building</v>
      </c>
      <c r="D13771" s="2" t="str">
        <f ca="1">IFERROR(__xludf.DUMMYFUNCTION("""COMPUTED_VALUE"""),"Dubai&gt;Al Barsha&gt;Al Barsha 1&gt;The Soho Hotel")</f>
        <v>Dubai&gt;Al Barsha&gt;Al Barsha 1&gt;The Soho Hotel</v>
      </c>
      <c r="E13771" s="2"/>
      <c r="F13771" s="2"/>
      <c r="G13771" s="2"/>
      <c r="H13771" s="2"/>
      <c r="I13771" s="2"/>
      <c r="J13771" s="2"/>
      <c r="K13771" s="2"/>
      <c r="L13771" s="2"/>
      <c r="M13771" s="2"/>
      <c r="N13771" s="2"/>
      <c r="O13771" s="2"/>
      <c r="P13771" s="2"/>
      <c r="Q13771" s="2"/>
      <c r="R13771" s="2"/>
      <c r="S13771" s="2"/>
      <c r="T13771" s="2"/>
      <c r="U13771" s="2"/>
      <c r="V13771" s="2"/>
      <c r="W13771" s="2"/>
      <c r="X13771" s="2"/>
      <c r="Y13771" s="2"/>
      <c r="Z13771" s="2"/>
    </row>
    <row r="13772" spans="1:26" ht="16.5" x14ac:dyDescent="0.35">
      <c r="A13772" s="2" t="str">
        <f ca="1">IFERROR(__xludf.DUMMYFUNCTION("""COMPUTED_VALUE"""),"Dubai")</f>
        <v>Dubai</v>
      </c>
      <c r="B13772" s="2" t="str">
        <f ca="1">IFERROR(__xludf.DUMMYFUNCTION("""COMPUTED_VALUE"""),"Al Jaber 3 Building")</f>
        <v>Al Jaber 3 Building</v>
      </c>
      <c r="C13772" s="2" t="str">
        <f ca="1">IFERROR(__xludf.DUMMYFUNCTION("""COMPUTED_VALUE"""),"Building")</f>
        <v>Building</v>
      </c>
      <c r="D13772" s="2" t="str">
        <f ca="1">IFERROR(__xludf.DUMMYFUNCTION("""COMPUTED_VALUE"""),"Dubai&gt;Al Barsha&gt;Al Barsha 1&gt;Al Jaber 3 Building")</f>
        <v>Dubai&gt;Al Barsha&gt;Al Barsha 1&gt;Al Jaber 3 Building</v>
      </c>
      <c r="E13772" s="2"/>
      <c r="F13772" s="2"/>
      <c r="G13772" s="2"/>
      <c r="H13772" s="2"/>
      <c r="I13772" s="2"/>
      <c r="J13772" s="2"/>
      <c r="K13772" s="2"/>
      <c r="L13772" s="2"/>
      <c r="M13772" s="2"/>
      <c r="N13772" s="2"/>
      <c r="O13772" s="2"/>
      <c r="P13772" s="2"/>
      <c r="Q13772" s="2"/>
      <c r="R13772" s="2"/>
      <c r="S13772" s="2"/>
      <c r="T13772" s="2"/>
      <c r="U13772" s="2"/>
      <c r="V13772" s="2"/>
      <c r="W13772" s="2"/>
      <c r="X13772" s="2"/>
      <c r="Y13772" s="2"/>
      <c r="Z13772" s="2"/>
    </row>
    <row r="13773" spans="1:26" ht="16.5" x14ac:dyDescent="0.35">
      <c r="A13773" s="2" t="str">
        <f ca="1">IFERROR(__xludf.DUMMYFUNCTION("""COMPUTED_VALUE"""),"Dubai")</f>
        <v>Dubai</v>
      </c>
      <c r="B13773" s="2" t="str">
        <f ca="1">IFERROR(__xludf.DUMMYFUNCTION("""COMPUTED_VALUE"""),"Al Moosawi Tower")</f>
        <v>Al Moosawi Tower</v>
      </c>
      <c r="C13773" s="2" t="str">
        <f ca="1">IFERROR(__xludf.DUMMYFUNCTION("""COMPUTED_VALUE"""),"Building")</f>
        <v>Building</v>
      </c>
      <c r="D13773" s="2" t="str">
        <f ca="1">IFERROR(__xludf.DUMMYFUNCTION("""COMPUTED_VALUE"""),"Dubai&gt;Al Barsha&gt;Al Barsha 1&gt;Al Moosawi Tower")</f>
        <v>Dubai&gt;Al Barsha&gt;Al Barsha 1&gt;Al Moosawi Tower</v>
      </c>
      <c r="E13773" s="2"/>
      <c r="F13773" s="2"/>
      <c r="G13773" s="2"/>
      <c r="H13773" s="2"/>
      <c r="I13773" s="2"/>
      <c r="J13773" s="2"/>
      <c r="K13773" s="2"/>
      <c r="L13773" s="2"/>
      <c r="M13773" s="2"/>
      <c r="N13773" s="2"/>
      <c r="O13773" s="2"/>
      <c r="P13773" s="2"/>
      <c r="Q13773" s="2"/>
      <c r="R13773" s="2"/>
      <c r="S13773" s="2"/>
      <c r="T13773" s="2"/>
      <c r="U13773" s="2"/>
      <c r="V13773" s="2"/>
      <c r="W13773" s="2"/>
      <c r="X13773" s="2"/>
      <c r="Y13773" s="2"/>
      <c r="Z13773" s="2"/>
    </row>
    <row r="13774" spans="1:26" ht="16.5" x14ac:dyDescent="0.35">
      <c r="A13774" s="2" t="str">
        <f ca="1">IFERROR(__xludf.DUMMYFUNCTION("""COMPUTED_VALUE"""),"Dubai")</f>
        <v>Dubai</v>
      </c>
      <c r="B13774" s="2" t="str">
        <f ca="1">IFERROR(__xludf.DUMMYFUNCTION("""COMPUTED_VALUE"""),"Galleria Villas Al Barsha C")</f>
        <v>Galleria Villas Al Barsha C</v>
      </c>
      <c r="C13774" s="2" t="str">
        <f ca="1">IFERROR(__xludf.DUMMYFUNCTION("""COMPUTED_VALUE"""),"Neighbourhood")</f>
        <v>Neighbourhood</v>
      </c>
      <c r="D13774" s="2" t="str">
        <f ca="1">IFERROR(__xludf.DUMMYFUNCTION("""COMPUTED_VALUE"""),"Dubai&gt;Al Barsha&gt;Al Barsha 1&gt;Galleria Villas Al Barsha C")</f>
        <v>Dubai&gt;Al Barsha&gt;Al Barsha 1&gt;Galleria Villas Al Barsha C</v>
      </c>
      <c r="E13774" s="2"/>
      <c r="F13774" s="2"/>
      <c r="G13774" s="2"/>
      <c r="H13774" s="2"/>
      <c r="I13774" s="2"/>
      <c r="J13774" s="2"/>
      <c r="K13774" s="2"/>
      <c r="L13774" s="2"/>
      <c r="M13774" s="2"/>
      <c r="N13774" s="2"/>
      <c r="O13774" s="2"/>
      <c r="P13774" s="2"/>
      <c r="Q13774" s="2"/>
      <c r="R13774" s="2"/>
      <c r="S13774" s="2"/>
      <c r="T13774" s="2"/>
      <c r="U13774" s="2"/>
      <c r="V13774" s="2"/>
      <c r="W13774" s="2"/>
      <c r="X13774" s="2"/>
      <c r="Y13774" s="2"/>
      <c r="Z13774" s="2"/>
    </row>
    <row r="13775" spans="1:26" ht="16.5" x14ac:dyDescent="0.35">
      <c r="A13775" s="2" t="str">
        <f ca="1">IFERROR(__xludf.DUMMYFUNCTION("""COMPUTED_VALUE"""),"Dubai")</f>
        <v>Dubai</v>
      </c>
      <c r="B13775" s="2" t="str">
        <f ca="1">IFERROR(__xludf.DUMMYFUNCTION("""COMPUTED_VALUE"""),"Bait Aseel 2 Building")</f>
        <v>Bait Aseel 2 Building</v>
      </c>
      <c r="C13775" s="2" t="str">
        <f ca="1">IFERROR(__xludf.DUMMYFUNCTION("""COMPUTED_VALUE"""),"Building")</f>
        <v>Building</v>
      </c>
      <c r="D13775" s="2" t="str">
        <f ca="1">IFERROR(__xludf.DUMMYFUNCTION("""COMPUTED_VALUE"""),"Dubai&gt;Al Barsha&gt;Al Barsha 1&gt;Bait Aseel 2 Building")</f>
        <v>Dubai&gt;Al Barsha&gt;Al Barsha 1&gt;Bait Aseel 2 Building</v>
      </c>
      <c r="E13775" s="2"/>
      <c r="F13775" s="2"/>
      <c r="G13775" s="2"/>
      <c r="H13775" s="2"/>
      <c r="I13775" s="2"/>
      <c r="J13775" s="2"/>
      <c r="K13775" s="2"/>
      <c r="L13775" s="2"/>
      <c r="M13775" s="2"/>
      <c r="N13775" s="2"/>
      <c r="O13775" s="2"/>
      <c r="P13775" s="2"/>
      <c r="Q13775" s="2"/>
      <c r="R13775" s="2"/>
      <c r="S13775" s="2"/>
      <c r="T13775" s="2"/>
      <c r="U13775" s="2"/>
      <c r="V13775" s="2"/>
      <c r="W13775" s="2"/>
      <c r="X13775" s="2"/>
      <c r="Y13775" s="2"/>
      <c r="Z13775" s="2"/>
    </row>
    <row r="13776" spans="1:26" ht="16.5" x14ac:dyDescent="0.35">
      <c r="A13776" s="2" t="str">
        <f ca="1">IFERROR(__xludf.DUMMYFUNCTION("""COMPUTED_VALUE"""),"Dubai")</f>
        <v>Dubai</v>
      </c>
      <c r="B13776" s="2" t="str">
        <f ca="1">IFERROR(__xludf.DUMMYFUNCTION("""COMPUTED_VALUE"""),"Smart Vision School")</f>
        <v>Smart Vision School</v>
      </c>
      <c r="C13776" s="2" t="str">
        <f ca="1">IFERROR(__xludf.DUMMYFUNCTION("""COMPUTED_VALUE"""),"School")</f>
        <v>School</v>
      </c>
      <c r="D13776" s="2" t="str">
        <f ca="1">IFERROR(__xludf.DUMMYFUNCTION("""COMPUTED_VALUE"""),"Dubai&gt;Al Barsha&gt;Al Barsha 2&gt;Smart Vision School")</f>
        <v>Dubai&gt;Al Barsha&gt;Al Barsha 2&gt;Smart Vision School</v>
      </c>
      <c r="E13776" s="2"/>
      <c r="F13776" s="2"/>
      <c r="G13776" s="2"/>
      <c r="H13776" s="2"/>
      <c r="I13776" s="2"/>
      <c r="J13776" s="2"/>
      <c r="K13776" s="2"/>
      <c r="L13776" s="2"/>
      <c r="M13776" s="2"/>
      <c r="N13776" s="2"/>
      <c r="O13776" s="2"/>
      <c r="P13776" s="2"/>
      <c r="Q13776" s="2"/>
      <c r="R13776" s="2"/>
      <c r="S13776" s="2"/>
      <c r="T13776" s="2"/>
      <c r="U13776" s="2"/>
      <c r="V13776" s="2"/>
      <c r="W13776" s="2"/>
      <c r="X13776" s="2"/>
      <c r="Y13776" s="2"/>
      <c r="Z13776" s="2"/>
    </row>
    <row r="13777" spans="1:26" ht="16.5" x14ac:dyDescent="0.35">
      <c r="A13777" s="2" t="str">
        <f ca="1">IFERROR(__xludf.DUMMYFUNCTION("""COMPUTED_VALUE"""),"Dubai")</f>
        <v>Dubai</v>
      </c>
      <c r="B13777" s="2" t="str">
        <f ca="1">IFERROR(__xludf.DUMMYFUNCTION("""COMPUTED_VALUE"""),"The Address Sky View Tower 1")</f>
        <v>The Address Sky View Tower 1</v>
      </c>
      <c r="C13777" s="2" t="str">
        <f ca="1">IFERROR(__xludf.DUMMYFUNCTION("""COMPUTED_VALUE"""),"Building")</f>
        <v>Building</v>
      </c>
      <c r="D13777" s="2" t="str">
        <f ca="1">IFERROR(__xludf.DUMMYFUNCTION("""COMPUTED_VALUE"""),"Dubai&gt;Downtown Dubai&gt;The Address Residence Sky View&gt;The Address Sky View Tower 1")</f>
        <v>Dubai&gt;Downtown Dubai&gt;The Address Residence Sky View&gt;The Address Sky View Tower 1</v>
      </c>
      <c r="E13777" s="2"/>
      <c r="F13777" s="2"/>
      <c r="G13777" s="2"/>
      <c r="H13777" s="2"/>
      <c r="I13777" s="2"/>
      <c r="J13777" s="2"/>
      <c r="K13777" s="2"/>
      <c r="L13777" s="2"/>
      <c r="M13777" s="2"/>
      <c r="N13777" s="2"/>
      <c r="O13777" s="2"/>
      <c r="P13777" s="2"/>
      <c r="Q13777" s="2"/>
      <c r="R13777" s="2"/>
      <c r="S13777" s="2"/>
      <c r="T13777" s="2"/>
      <c r="U13777" s="2"/>
      <c r="V13777" s="2"/>
      <c r="W13777" s="2"/>
      <c r="X13777" s="2"/>
      <c r="Y13777" s="2"/>
      <c r="Z13777" s="2"/>
    </row>
    <row r="13778" spans="1:26" ht="16.5" x14ac:dyDescent="0.35">
      <c r="A13778" s="2" t="str">
        <f ca="1">IFERROR(__xludf.DUMMYFUNCTION("""COMPUTED_VALUE"""),"Dubai")</f>
        <v>Dubai</v>
      </c>
      <c r="B13778" s="2" t="str">
        <f ca="1">IFERROR(__xludf.DUMMYFUNCTION("""COMPUTED_VALUE"""),"The Residence 7")</f>
        <v>The Residence 7</v>
      </c>
      <c r="C13778" s="2" t="str">
        <f ca="1">IFERROR(__xludf.DUMMYFUNCTION("""COMPUTED_VALUE"""),"Building")</f>
        <v>Building</v>
      </c>
      <c r="D13778" s="2" t="str">
        <f ca="1">IFERROR(__xludf.DUMMYFUNCTION("""COMPUTED_VALUE"""),"Dubai&gt;Downtown Dubai&gt;The Residences&gt;The Residence 7")</f>
        <v>Dubai&gt;Downtown Dubai&gt;The Residences&gt;The Residence 7</v>
      </c>
      <c r="E13778" s="2"/>
      <c r="F13778" s="2"/>
      <c r="G13778" s="2"/>
      <c r="H13778" s="2"/>
      <c r="I13778" s="2"/>
      <c r="J13778" s="2"/>
      <c r="K13778" s="2"/>
      <c r="L13778" s="2"/>
      <c r="M13778" s="2"/>
      <c r="N13778" s="2"/>
      <c r="O13778" s="2"/>
      <c r="P13778" s="2"/>
      <c r="Q13778" s="2"/>
      <c r="R13778" s="2"/>
      <c r="S13778" s="2"/>
      <c r="T13778" s="2"/>
      <c r="U13778" s="2"/>
      <c r="V13778" s="2"/>
      <c r="W13778" s="2"/>
      <c r="X13778" s="2"/>
      <c r="Y13778" s="2"/>
      <c r="Z13778" s="2"/>
    </row>
    <row r="13779" spans="1:26" ht="16.5" x14ac:dyDescent="0.35">
      <c r="A13779" s="2" t="str">
        <f ca="1">IFERROR(__xludf.DUMMYFUNCTION("""COMPUTED_VALUE"""),"Dubai")</f>
        <v>Dubai</v>
      </c>
      <c r="B13779" s="2" t="str">
        <f ca="1">IFERROR(__xludf.DUMMYFUNCTION("""COMPUTED_VALUE"""),"Boulevard Central Podium")</f>
        <v>Boulevard Central Podium</v>
      </c>
      <c r="C13779" s="2" t="str">
        <f ca="1">IFERROR(__xludf.DUMMYFUNCTION("""COMPUTED_VALUE"""),"Building")</f>
        <v>Building</v>
      </c>
      <c r="D13779" s="2" t="str">
        <f ca="1">IFERROR(__xludf.DUMMYFUNCTION("""COMPUTED_VALUE"""),"Dubai&gt;Downtown Dubai&gt;Boulevard Central&gt;Boulevard Central Podium")</f>
        <v>Dubai&gt;Downtown Dubai&gt;Boulevard Central&gt;Boulevard Central Podium</v>
      </c>
      <c r="E13779" s="2"/>
      <c r="F13779" s="2"/>
      <c r="G13779" s="2"/>
      <c r="H13779" s="2"/>
      <c r="I13779" s="2"/>
      <c r="J13779" s="2"/>
      <c r="K13779" s="2"/>
      <c r="L13779" s="2"/>
      <c r="M13779" s="2"/>
      <c r="N13779" s="2"/>
      <c r="O13779" s="2"/>
      <c r="P13779" s="2"/>
      <c r="Q13779" s="2"/>
      <c r="R13779" s="2"/>
      <c r="S13779" s="2"/>
      <c r="T13779" s="2"/>
      <c r="U13779" s="2"/>
      <c r="V13779" s="2"/>
      <c r="W13779" s="2"/>
      <c r="X13779" s="2"/>
      <c r="Y13779" s="2"/>
      <c r="Z13779" s="2"/>
    </row>
    <row r="13780" spans="1:26" ht="16.5" x14ac:dyDescent="0.35">
      <c r="A13780" s="2" t="str">
        <f ca="1">IFERROR(__xludf.DUMMYFUNCTION("""COMPUTED_VALUE"""),"Dubai")</f>
        <v>Dubai</v>
      </c>
      <c r="B13780" s="2" t="str">
        <f ca="1">IFERROR(__xludf.DUMMYFUNCTION("""COMPUTED_VALUE"""),"Zaafaran 3")</f>
        <v>Zaafaran 3</v>
      </c>
      <c r="C13780" s="2" t="str">
        <f ca="1">IFERROR(__xludf.DUMMYFUNCTION("""COMPUTED_VALUE"""),"Building")</f>
        <v>Building</v>
      </c>
      <c r="D13780" s="2" t="str">
        <f ca="1">IFERROR(__xludf.DUMMYFUNCTION("""COMPUTED_VALUE"""),"Dubai&gt;Downtown Dubai&gt;Old Town&gt;Zaafaran&gt;Zaafaran 3")</f>
        <v>Dubai&gt;Downtown Dubai&gt;Old Town&gt;Zaafaran&gt;Zaafaran 3</v>
      </c>
      <c r="E13780" s="2"/>
      <c r="F13780" s="2"/>
      <c r="G13780" s="2"/>
      <c r="H13780" s="2"/>
      <c r="I13780" s="2"/>
      <c r="J13780" s="2"/>
      <c r="K13780" s="2"/>
      <c r="L13780" s="2"/>
      <c r="M13780" s="2"/>
      <c r="N13780" s="2"/>
      <c r="O13780" s="2"/>
      <c r="P13780" s="2"/>
      <c r="Q13780" s="2"/>
      <c r="R13780" s="2"/>
      <c r="S13780" s="2"/>
      <c r="T13780" s="2"/>
      <c r="U13780" s="2"/>
      <c r="V13780" s="2"/>
      <c r="W13780" s="2"/>
      <c r="X13780" s="2"/>
      <c r="Y13780" s="2"/>
      <c r="Z13780" s="2"/>
    </row>
    <row r="13781" spans="1:26" ht="16.5" x14ac:dyDescent="0.35">
      <c r="A13781" s="2" t="str">
        <f ca="1">IFERROR(__xludf.DUMMYFUNCTION("""COMPUTED_VALUE"""),"Dubai")</f>
        <v>Dubai</v>
      </c>
      <c r="B13781" s="2" t="str">
        <f ca="1">IFERROR(__xludf.DUMMYFUNCTION("""COMPUTED_VALUE"""),"Zanzebeel 4")</f>
        <v>Zanzebeel 4</v>
      </c>
      <c r="C13781" s="2" t="str">
        <f ca="1">IFERROR(__xludf.DUMMYFUNCTION("""COMPUTED_VALUE"""),"Building")</f>
        <v>Building</v>
      </c>
      <c r="D13781" s="2" t="str">
        <f ca="1">IFERROR(__xludf.DUMMYFUNCTION("""COMPUTED_VALUE"""),"Dubai&gt;Downtown Dubai&gt;Old Town&gt;Zanzebeel&gt;Zanzebeel 4")</f>
        <v>Dubai&gt;Downtown Dubai&gt;Old Town&gt;Zanzebeel&gt;Zanzebeel 4</v>
      </c>
      <c r="E13781" s="2"/>
      <c r="F13781" s="2"/>
      <c r="G13781" s="2"/>
      <c r="H13781" s="2"/>
      <c r="I13781" s="2"/>
      <c r="J13781" s="2"/>
      <c r="K13781" s="2"/>
      <c r="L13781" s="2"/>
      <c r="M13781" s="2"/>
      <c r="N13781" s="2"/>
      <c r="O13781" s="2"/>
      <c r="P13781" s="2"/>
      <c r="Q13781" s="2"/>
      <c r="R13781" s="2"/>
      <c r="S13781" s="2"/>
      <c r="T13781" s="2"/>
      <c r="U13781" s="2"/>
      <c r="V13781" s="2"/>
      <c r="W13781" s="2"/>
      <c r="X13781" s="2"/>
      <c r="Y13781" s="2"/>
      <c r="Z13781" s="2"/>
    </row>
    <row r="13782" spans="1:26" ht="16.5" x14ac:dyDescent="0.35">
      <c r="A13782" s="2" t="str">
        <f ca="1">IFERROR(__xludf.DUMMYFUNCTION("""COMPUTED_VALUE"""),"Dubai")</f>
        <v>Dubai</v>
      </c>
      <c r="B13782" s="2" t="str">
        <f ca="1">IFERROR(__xludf.DUMMYFUNCTION("""COMPUTED_VALUE"""),"Baccarat Hotel And Residences")</f>
        <v>Baccarat Hotel And Residences</v>
      </c>
      <c r="C13782" s="2" t="str">
        <f ca="1">IFERROR(__xludf.DUMMYFUNCTION("""COMPUTED_VALUE"""),"Building")</f>
        <v>Building</v>
      </c>
      <c r="D13782" s="2" t="str">
        <f ca="1">IFERROR(__xludf.DUMMYFUNCTION("""COMPUTED_VALUE"""),"Dubai&gt;Downtown Dubai&gt;Baccarat Hotel And Residences")</f>
        <v>Dubai&gt;Downtown Dubai&gt;Baccarat Hotel And Residences</v>
      </c>
      <c r="E13782" s="2"/>
      <c r="F13782" s="2"/>
      <c r="G13782" s="2"/>
      <c r="H13782" s="2"/>
      <c r="I13782" s="2"/>
      <c r="J13782" s="2"/>
      <c r="K13782" s="2"/>
      <c r="L13782" s="2"/>
      <c r="M13782" s="2"/>
      <c r="N13782" s="2"/>
      <c r="O13782" s="2"/>
      <c r="P13782" s="2"/>
      <c r="Q13782" s="2"/>
      <c r="R13782" s="2"/>
      <c r="S13782" s="2"/>
      <c r="T13782" s="2"/>
      <c r="U13782" s="2"/>
      <c r="V13782" s="2"/>
      <c r="W13782" s="2"/>
      <c r="X13782" s="2"/>
      <c r="Y13782" s="2"/>
      <c r="Z13782" s="2"/>
    </row>
    <row r="13783" spans="1:26" ht="16.5" x14ac:dyDescent="0.35">
      <c r="A13783" s="2" t="str">
        <f ca="1">IFERROR(__xludf.DUMMYFUNCTION("""COMPUTED_VALUE"""),"Dubai")</f>
        <v>Dubai</v>
      </c>
      <c r="B13783" s="2" t="str">
        <f ca="1">IFERROR(__xludf.DUMMYFUNCTION("""COMPUTED_VALUE"""),"Queue Point")</f>
        <v>Queue Point</v>
      </c>
      <c r="C13783" s="2" t="str">
        <f ca="1">IFERROR(__xludf.DUMMYFUNCTION("""COMPUTED_VALUE"""),"Neighbourhood")</f>
        <v>Neighbourhood</v>
      </c>
      <c r="D13783" s="2" t="str">
        <f ca="1">IFERROR(__xludf.DUMMYFUNCTION("""COMPUTED_VALUE"""),"Dubai&gt;Liwan&gt;Queue Point")</f>
        <v>Dubai&gt;Liwan&gt;Queue Point</v>
      </c>
      <c r="E13783" s="2"/>
      <c r="F13783" s="2"/>
      <c r="G13783" s="2"/>
      <c r="H13783" s="2"/>
      <c r="I13783" s="2"/>
      <c r="J13783" s="2"/>
      <c r="K13783" s="2"/>
      <c r="L13783" s="2"/>
      <c r="M13783" s="2"/>
      <c r="N13783" s="2"/>
      <c r="O13783" s="2"/>
      <c r="P13783" s="2"/>
      <c r="Q13783" s="2"/>
      <c r="R13783" s="2"/>
      <c r="S13783" s="2"/>
      <c r="T13783" s="2"/>
      <c r="U13783" s="2"/>
      <c r="V13783" s="2"/>
      <c r="W13783" s="2"/>
      <c r="X13783" s="2"/>
      <c r="Y13783" s="2"/>
      <c r="Z13783" s="2"/>
    </row>
    <row r="13784" spans="1:26" ht="16.5" x14ac:dyDescent="0.35">
      <c r="A13784" s="2" t="str">
        <f ca="1">IFERROR(__xludf.DUMMYFUNCTION("""COMPUTED_VALUE"""),"Dubai")</f>
        <v>Dubai</v>
      </c>
      <c r="B13784" s="2" t="str">
        <f ca="1">IFERROR(__xludf.DUMMYFUNCTION("""COMPUTED_VALUE"""),"Mazaya 6")</f>
        <v>Mazaya 6</v>
      </c>
      <c r="C13784" s="2" t="str">
        <f ca="1">IFERROR(__xludf.DUMMYFUNCTION("""COMPUTED_VALUE"""),"Building")</f>
        <v>Building</v>
      </c>
      <c r="D13784" s="2" t="str">
        <f ca="1">IFERROR(__xludf.DUMMYFUNCTION("""COMPUTED_VALUE"""),"Dubai&gt;Liwan&gt;Queue Point&gt;Mazaya 6")</f>
        <v>Dubai&gt;Liwan&gt;Queue Point&gt;Mazaya 6</v>
      </c>
      <c r="E13784" s="2"/>
      <c r="F13784" s="2"/>
      <c r="G13784" s="2"/>
      <c r="H13784" s="2"/>
      <c r="I13784" s="2"/>
      <c r="J13784" s="2"/>
      <c r="K13784" s="2"/>
      <c r="L13784" s="2"/>
      <c r="M13784" s="2"/>
      <c r="N13784" s="2"/>
      <c r="O13784" s="2"/>
      <c r="P13784" s="2"/>
      <c r="Q13784" s="2"/>
      <c r="R13784" s="2"/>
      <c r="S13784" s="2"/>
      <c r="T13784" s="2"/>
      <c r="U13784" s="2"/>
      <c r="V13784" s="2"/>
      <c r="W13784" s="2"/>
      <c r="X13784" s="2"/>
      <c r="Y13784" s="2"/>
      <c r="Z13784" s="2"/>
    </row>
    <row r="13785" spans="1:26" ht="16.5" x14ac:dyDescent="0.35">
      <c r="A13785" s="2" t="str">
        <f ca="1">IFERROR(__xludf.DUMMYFUNCTION("""COMPUTED_VALUE"""),"Dubai")</f>
        <v>Dubai</v>
      </c>
      <c r="B13785" s="2" t="str">
        <f ca="1">IFERROR(__xludf.DUMMYFUNCTION("""COMPUTED_VALUE"""),"Reem by Vision")</f>
        <v>Reem by Vision</v>
      </c>
      <c r="C13785" s="2" t="str">
        <f ca="1">IFERROR(__xludf.DUMMYFUNCTION("""COMPUTED_VALUE"""),"Building")</f>
        <v>Building</v>
      </c>
      <c r="D13785" s="2" t="str">
        <f ca="1">IFERROR(__xludf.DUMMYFUNCTION("""COMPUTED_VALUE"""),"Dubai&gt;Liwan&gt;Reem by Vision")</f>
        <v>Dubai&gt;Liwan&gt;Reem by Vision</v>
      </c>
      <c r="E13785" s="2"/>
      <c r="F13785" s="2"/>
      <c r="G13785" s="2"/>
      <c r="H13785" s="2"/>
      <c r="I13785" s="2"/>
      <c r="J13785" s="2"/>
      <c r="K13785" s="2"/>
      <c r="L13785" s="2"/>
      <c r="M13785" s="2"/>
      <c r="N13785" s="2"/>
      <c r="O13785" s="2"/>
      <c r="P13785" s="2"/>
      <c r="Q13785" s="2"/>
      <c r="R13785" s="2"/>
      <c r="S13785" s="2"/>
      <c r="T13785" s="2"/>
      <c r="U13785" s="2"/>
      <c r="V13785" s="2"/>
      <c r="W13785" s="2"/>
      <c r="X13785" s="2"/>
      <c r="Y13785" s="2"/>
      <c r="Z13785" s="2"/>
    </row>
    <row r="13786" spans="1:26" ht="16.5" x14ac:dyDescent="0.35">
      <c r="A13786" s="2" t="str">
        <f ca="1">IFERROR(__xludf.DUMMYFUNCTION("""COMPUTED_VALUE"""),"Dubai")</f>
        <v>Dubai</v>
      </c>
      <c r="B13786" s="2" t="str">
        <f ca="1">IFERROR(__xludf.DUMMYFUNCTION("""COMPUTED_VALUE"""),"DIFC")</f>
        <v>DIFC</v>
      </c>
      <c r="C13786" s="2" t="str">
        <f ca="1">IFERROR(__xludf.DUMMYFUNCTION("""COMPUTED_VALUE"""),"Neighbourhood")</f>
        <v>Neighbourhood</v>
      </c>
      <c r="D13786" s="2" t="str">
        <f ca="1">IFERROR(__xludf.DUMMYFUNCTION("""COMPUTED_VALUE"""),"Dubai&gt;DIFC")</f>
        <v>Dubai&gt;DIFC</v>
      </c>
      <c r="E13786" s="2"/>
      <c r="F13786" s="2"/>
      <c r="G13786" s="2"/>
      <c r="H13786" s="2"/>
      <c r="I13786" s="2"/>
      <c r="J13786" s="2"/>
      <c r="K13786" s="2"/>
      <c r="L13786" s="2"/>
      <c r="M13786" s="2"/>
      <c r="N13786" s="2"/>
      <c r="O13786" s="2"/>
      <c r="P13786" s="2"/>
      <c r="Q13786" s="2"/>
      <c r="R13786" s="2"/>
      <c r="S13786" s="2"/>
      <c r="T13786" s="2"/>
      <c r="U13786" s="2"/>
      <c r="V13786" s="2"/>
      <c r="W13786" s="2"/>
      <c r="X13786" s="2"/>
      <c r="Y13786" s="2"/>
      <c r="Z13786" s="2"/>
    </row>
    <row r="13787" spans="1:26" ht="16.5" x14ac:dyDescent="0.35">
      <c r="A13787" s="2" t="str">
        <f ca="1">IFERROR(__xludf.DUMMYFUNCTION("""COMPUTED_VALUE"""),"Dubai")</f>
        <v>Dubai</v>
      </c>
      <c r="B13787" s="2" t="str">
        <f ca="1">IFERROR(__xludf.DUMMYFUNCTION("""COMPUTED_VALUE"""),"The Gate Precinct")</f>
        <v>The Gate Precinct</v>
      </c>
      <c r="C13787" s="2" t="str">
        <f ca="1">IFERROR(__xludf.DUMMYFUNCTION("""COMPUTED_VALUE"""),"Cluster")</f>
        <v>Cluster</v>
      </c>
      <c r="D13787" s="2" t="str">
        <f ca="1">IFERROR(__xludf.DUMMYFUNCTION("""COMPUTED_VALUE"""),"Dubai&gt;DIFC&gt;The Gate Precinct")</f>
        <v>Dubai&gt;DIFC&gt;The Gate Precinct</v>
      </c>
      <c r="E13787" s="2"/>
      <c r="F13787" s="2"/>
      <c r="G13787" s="2"/>
      <c r="H13787" s="2"/>
      <c r="I13787" s="2"/>
      <c r="J13787" s="2"/>
      <c r="K13787" s="2"/>
      <c r="L13787" s="2"/>
      <c r="M13787" s="2"/>
      <c r="N13787" s="2"/>
      <c r="O13787" s="2"/>
      <c r="P13787" s="2"/>
      <c r="Q13787" s="2"/>
      <c r="R13787" s="2"/>
      <c r="S13787" s="2"/>
      <c r="T13787" s="2"/>
      <c r="U13787" s="2"/>
      <c r="V13787" s="2"/>
      <c r="W13787" s="2"/>
      <c r="X13787" s="2"/>
      <c r="Y13787" s="2"/>
      <c r="Z13787" s="2"/>
    </row>
    <row r="13788" spans="1:26" ht="16.5" x14ac:dyDescent="0.35">
      <c r="A13788" s="2" t="str">
        <f ca="1">IFERROR(__xludf.DUMMYFUNCTION("""COMPUTED_VALUE"""),"Dubai")</f>
        <v>Dubai</v>
      </c>
      <c r="B13788" s="2" t="str">
        <f ca="1">IFERROR(__xludf.DUMMYFUNCTION("""COMPUTED_VALUE"""),"Al Twar 4")</f>
        <v>Al Twar 4</v>
      </c>
      <c r="C13788" s="2" t="str">
        <f ca="1">IFERROR(__xludf.DUMMYFUNCTION("""COMPUTED_VALUE"""),"Neighbourhood")</f>
        <v>Neighbourhood</v>
      </c>
      <c r="D13788" s="2" t="str">
        <f ca="1">IFERROR(__xludf.DUMMYFUNCTION("""COMPUTED_VALUE"""),"Dubai&gt;Al Twar&gt;Al Twar 4")</f>
        <v>Dubai&gt;Al Twar&gt;Al Twar 4</v>
      </c>
      <c r="E13788" s="2"/>
      <c r="F13788" s="2"/>
      <c r="G13788" s="2"/>
      <c r="H13788" s="2"/>
      <c r="I13788" s="2"/>
      <c r="J13788" s="2"/>
      <c r="K13788" s="2"/>
      <c r="L13788" s="2"/>
      <c r="M13788" s="2"/>
      <c r="N13788" s="2"/>
      <c r="O13788" s="2"/>
      <c r="P13788" s="2"/>
      <c r="Q13788" s="2"/>
      <c r="R13788" s="2"/>
      <c r="S13788" s="2"/>
      <c r="T13788" s="2"/>
      <c r="U13788" s="2"/>
      <c r="V13788" s="2"/>
      <c r="W13788" s="2"/>
      <c r="X13788" s="2"/>
      <c r="Y13788" s="2"/>
      <c r="Z13788" s="2"/>
    </row>
    <row r="13789" spans="1:26" ht="16.5" x14ac:dyDescent="0.35">
      <c r="A13789" s="2" t="str">
        <f ca="1">IFERROR(__xludf.DUMMYFUNCTION("""COMPUTED_VALUE"""),"Dubai")</f>
        <v>Dubai</v>
      </c>
      <c r="B13789" s="2" t="str">
        <f ca="1">IFERROR(__xludf.DUMMYFUNCTION("""COMPUTED_VALUE"""),"Arfelon Building")</f>
        <v>Arfelon Building</v>
      </c>
      <c r="C13789" s="2" t="str">
        <f ca="1">IFERROR(__xludf.DUMMYFUNCTION("""COMPUTED_VALUE"""),"Building")</f>
        <v>Building</v>
      </c>
      <c r="D13789" s="2" t="str">
        <f ca="1">IFERROR(__xludf.DUMMYFUNCTION("""COMPUTED_VALUE"""),"Dubai&gt;Al Warqaa&gt;Al Warqaa 1&gt;Arfelon Building")</f>
        <v>Dubai&gt;Al Warqaa&gt;Al Warqaa 1&gt;Arfelon Building</v>
      </c>
      <c r="E13789" s="2"/>
      <c r="F13789" s="2"/>
      <c r="G13789" s="2"/>
      <c r="H13789" s="2"/>
      <c r="I13789" s="2"/>
      <c r="J13789" s="2"/>
      <c r="K13789" s="2"/>
      <c r="L13789" s="2"/>
      <c r="M13789" s="2"/>
      <c r="N13789" s="2"/>
      <c r="O13789" s="2"/>
      <c r="P13789" s="2"/>
      <c r="Q13789" s="2"/>
      <c r="R13789" s="2"/>
      <c r="S13789" s="2"/>
      <c r="T13789" s="2"/>
      <c r="U13789" s="2"/>
      <c r="V13789" s="2"/>
      <c r="W13789" s="2"/>
      <c r="X13789" s="2"/>
      <c r="Y13789" s="2"/>
      <c r="Z13789" s="2"/>
    </row>
    <row r="13790" spans="1:26" ht="16.5" x14ac:dyDescent="0.35">
      <c r="A13790" s="2" t="str">
        <f ca="1">IFERROR(__xludf.DUMMYFUNCTION("""COMPUTED_VALUE"""),"Dubai")</f>
        <v>Dubai</v>
      </c>
      <c r="B13790" s="2" t="str">
        <f ca="1">IFERROR(__xludf.DUMMYFUNCTION("""COMPUTED_VALUE"""),"Al Shirawi Building")</f>
        <v>Al Shirawi Building</v>
      </c>
      <c r="C13790" s="2" t="str">
        <f ca="1">IFERROR(__xludf.DUMMYFUNCTION("""COMPUTED_VALUE"""),"Building")</f>
        <v>Building</v>
      </c>
      <c r="D13790" s="2" t="str">
        <f ca="1">IFERROR(__xludf.DUMMYFUNCTION("""COMPUTED_VALUE"""),"Dubai&gt;Al Warqaa&gt;Al Warqaa 1&gt;Al Shirawi Building")</f>
        <v>Dubai&gt;Al Warqaa&gt;Al Warqaa 1&gt;Al Shirawi Building</v>
      </c>
      <c r="E13790" s="2"/>
      <c r="F13790" s="2"/>
      <c r="G13790" s="2"/>
      <c r="H13790" s="2"/>
      <c r="I13790" s="2"/>
      <c r="J13790" s="2"/>
      <c r="K13790" s="2"/>
      <c r="L13790" s="2"/>
      <c r="M13790" s="2"/>
      <c r="N13790" s="2"/>
      <c r="O13790" s="2"/>
      <c r="P13790" s="2"/>
      <c r="Q13790" s="2"/>
      <c r="R13790" s="2"/>
      <c r="S13790" s="2"/>
      <c r="T13790" s="2"/>
      <c r="U13790" s="2"/>
      <c r="V13790" s="2"/>
      <c r="W13790" s="2"/>
      <c r="X13790" s="2"/>
      <c r="Y13790" s="2"/>
      <c r="Z13790" s="2"/>
    </row>
    <row r="13791" spans="1:26" ht="16.5" x14ac:dyDescent="0.35">
      <c r="A13791" s="2" t="str">
        <f ca="1">IFERROR(__xludf.DUMMYFUNCTION("""COMPUTED_VALUE"""),"Dubai")</f>
        <v>Dubai</v>
      </c>
      <c r="B13791" s="2" t="str">
        <f ca="1">IFERROR(__xludf.DUMMYFUNCTION("""COMPUTED_VALUE"""),"Aref Al Shaikh Building")</f>
        <v>Aref Al Shaikh Building</v>
      </c>
      <c r="C13791" s="2" t="str">
        <f ca="1">IFERROR(__xludf.DUMMYFUNCTION("""COMPUTED_VALUE"""),"Building")</f>
        <v>Building</v>
      </c>
      <c r="D13791" s="2" t="str">
        <f ca="1">IFERROR(__xludf.DUMMYFUNCTION("""COMPUTED_VALUE"""),"Dubai&gt;Al Warqaa&gt;Al Warqaa 1&gt;Aref Al Shaikh Building")</f>
        <v>Dubai&gt;Al Warqaa&gt;Al Warqaa 1&gt;Aref Al Shaikh Building</v>
      </c>
      <c r="E13791" s="2"/>
      <c r="F13791" s="2"/>
      <c r="G13791" s="2"/>
      <c r="H13791" s="2"/>
      <c r="I13791" s="2"/>
      <c r="J13791" s="2"/>
      <c r="K13791" s="2"/>
      <c r="L13791" s="2"/>
      <c r="M13791" s="2"/>
      <c r="N13791" s="2"/>
      <c r="O13791" s="2"/>
      <c r="P13791" s="2"/>
      <c r="Q13791" s="2"/>
      <c r="R13791" s="2"/>
      <c r="S13791" s="2"/>
      <c r="T13791" s="2"/>
      <c r="U13791" s="2"/>
      <c r="V13791" s="2"/>
      <c r="W13791" s="2"/>
      <c r="X13791" s="2"/>
      <c r="Y13791" s="2"/>
      <c r="Z13791" s="2"/>
    </row>
    <row r="13792" spans="1:26" ht="16.5" x14ac:dyDescent="0.35">
      <c r="A13792" s="2" t="str">
        <f ca="1">IFERROR(__xludf.DUMMYFUNCTION("""COMPUTED_VALUE"""),"Dubai")</f>
        <v>Dubai</v>
      </c>
      <c r="B13792" s="2" t="str">
        <f ca="1">IFERROR(__xludf.DUMMYFUNCTION("""COMPUTED_VALUE"""),"Q Drive")</f>
        <v>Q Drive</v>
      </c>
      <c r="C13792" s="2" t="str">
        <f ca="1">IFERROR(__xludf.DUMMYFUNCTION("""COMPUTED_VALUE"""),"Building")</f>
        <v>Building</v>
      </c>
      <c r="D13792" s="2" t="str">
        <f ca="1">IFERROR(__xludf.DUMMYFUNCTION("""COMPUTED_VALUE"""),"Dubai&gt;Al Warqaa&gt;Al Warqaa 1&gt;Q Drive")</f>
        <v>Dubai&gt;Al Warqaa&gt;Al Warqaa 1&gt;Q Drive</v>
      </c>
      <c r="E13792" s="2"/>
      <c r="F13792" s="2"/>
      <c r="G13792" s="2"/>
      <c r="H13792" s="2"/>
      <c r="I13792" s="2"/>
      <c r="J13792" s="2"/>
      <c r="K13792" s="2"/>
      <c r="L13792" s="2"/>
      <c r="M13792" s="2"/>
      <c r="N13792" s="2"/>
      <c r="O13792" s="2"/>
      <c r="P13792" s="2"/>
      <c r="Q13792" s="2"/>
      <c r="R13792" s="2"/>
      <c r="S13792" s="2"/>
      <c r="T13792" s="2"/>
      <c r="U13792" s="2"/>
      <c r="V13792" s="2"/>
      <c r="W13792" s="2"/>
      <c r="X13792" s="2"/>
      <c r="Y13792" s="2"/>
      <c r="Z13792" s="2"/>
    </row>
    <row r="13793" spans="1:26" ht="16.5" x14ac:dyDescent="0.35">
      <c r="A13793" s="2" t="str">
        <f ca="1">IFERROR(__xludf.DUMMYFUNCTION("""COMPUTED_VALUE"""),"Dubai")</f>
        <v>Dubai</v>
      </c>
      <c r="B13793" s="2" t="str">
        <f ca="1">IFERROR(__xludf.DUMMYFUNCTION("""COMPUTED_VALUE"""),"JLT Cluster D")</f>
        <v>JLT Cluster D</v>
      </c>
      <c r="C13793" s="2" t="str">
        <f ca="1">IFERROR(__xludf.DUMMYFUNCTION("""COMPUTED_VALUE"""),"Cluster")</f>
        <v>Cluster</v>
      </c>
      <c r="D13793" s="2" t="str">
        <f ca="1">IFERROR(__xludf.DUMMYFUNCTION("""COMPUTED_VALUE"""),"Dubai&gt;Jumeirah Lake Towers (JLT)&gt;JLT Cluster D")</f>
        <v>Dubai&gt;Jumeirah Lake Towers (JLT)&gt;JLT Cluster D</v>
      </c>
      <c r="E13793" s="2"/>
      <c r="F13793" s="2"/>
      <c r="G13793" s="2"/>
      <c r="H13793" s="2"/>
      <c r="I13793" s="2"/>
      <c r="J13793" s="2"/>
      <c r="K13793" s="2"/>
      <c r="L13793" s="2"/>
      <c r="M13793" s="2"/>
      <c r="N13793" s="2"/>
      <c r="O13793" s="2"/>
      <c r="P13793" s="2"/>
      <c r="Q13793" s="2"/>
      <c r="R13793" s="2"/>
      <c r="S13793" s="2"/>
      <c r="T13793" s="2"/>
      <c r="U13793" s="2"/>
      <c r="V13793" s="2"/>
      <c r="W13793" s="2"/>
      <c r="X13793" s="2"/>
      <c r="Y13793" s="2"/>
      <c r="Z13793" s="2"/>
    </row>
    <row r="13794" spans="1:26" ht="16.5" x14ac:dyDescent="0.35">
      <c r="A13794" s="2" t="str">
        <f ca="1">IFERROR(__xludf.DUMMYFUNCTION("""COMPUTED_VALUE"""),"Dubai")</f>
        <v>Dubai</v>
      </c>
      <c r="B13794" s="2" t="str">
        <f ca="1">IFERROR(__xludf.DUMMYFUNCTION("""COMPUTED_VALUE"""),"MBL Royal")</f>
        <v>MBL Royal</v>
      </c>
      <c r="C13794" s="2" t="str">
        <f ca="1">IFERROR(__xludf.DUMMYFUNCTION("""COMPUTED_VALUE"""),"Building")</f>
        <v>Building</v>
      </c>
      <c r="D13794" s="2" t="str">
        <f ca="1">IFERROR(__xludf.DUMMYFUNCTION("""COMPUTED_VALUE"""),"Dubai&gt;Jumeirah Lake Towers (JLT)&gt;JLT Cluster K&gt;MBL Royal")</f>
        <v>Dubai&gt;Jumeirah Lake Towers (JLT)&gt;JLT Cluster K&gt;MBL Royal</v>
      </c>
      <c r="E13794" s="2"/>
      <c r="F13794" s="2"/>
      <c r="G13794" s="2"/>
      <c r="H13794" s="2"/>
      <c r="I13794" s="2"/>
      <c r="J13794" s="2"/>
      <c r="K13794" s="2"/>
      <c r="L13794" s="2"/>
      <c r="M13794" s="2"/>
      <c r="N13794" s="2"/>
      <c r="O13794" s="2"/>
      <c r="P13794" s="2"/>
      <c r="Q13794" s="2"/>
      <c r="R13794" s="2"/>
      <c r="S13794" s="2"/>
      <c r="T13794" s="2"/>
      <c r="U13794" s="2"/>
      <c r="V13794" s="2"/>
      <c r="W13794" s="2"/>
      <c r="X13794" s="2"/>
      <c r="Y13794" s="2"/>
      <c r="Z13794" s="2"/>
    </row>
    <row r="13795" spans="1:26" ht="16.5" x14ac:dyDescent="0.35">
      <c r="A13795" s="2" t="str">
        <f ca="1">IFERROR(__xludf.DUMMYFUNCTION("""COMPUTED_VALUE"""),"Dubai")</f>
        <v>Dubai</v>
      </c>
      <c r="B13795" s="2" t="str">
        <f ca="1">IFERROR(__xludf.DUMMYFUNCTION("""COMPUTED_VALUE"""),"JLT Cluster S")</f>
        <v>JLT Cluster S</v>
      </c>
      <c r="C13795" s="2" t="str">
        <f ca="1">IFERROR(__xludf.DUMMYFUNCTION("""COMPUTED_VALUE"""),"Cluster")</f>
        <v>Cluster</v>
      </c>
      <c r="D13795" s="2" t="str">
        <f ca="1">IFERROR(__xludf.DUMMYFUNCTION("""COMPUTED_VALUE"""),"Dubai&gt;Jumeirah Lake Towers (JLT)&gt;JLT Cluster S")</f>
        <v>Dubai&gt;Jumeirah Lake Towers (JLT)&gt;JLT Cluster S</v>
      </c>
      <c r="E13795" s="2"/>
      <c r="F13795" s="2"/>
      <c r="G13795" s="2"/>
      <c r="H13795" s="2"/>
      <c r="I13795" s="2"/>
      <c r="J13795" s="2"/>
      <c r="K13795" s="2"/>
      <c r="L13795" s="2"/>
      <c r="M13795" s="2"/>
      <c r="N13795" s="2"/>
      <c r="O13795" s="2"/>
      <c r="P13795" s="2"/>
      <c r="Q13795" s="2"/>
      <c r="R13795" s="2"/>
      <c r="S13795" s="2"/>
      <c r="T13795" s="2"/>
      <c r="U13795" s="2"/>
      <c r="V13795" s="2"/>
      <c r="W13795" s="2"/>
      <c r="X13795" s="2"/>
      <c r="Y13795" s="2"/>
      <c r="Z13795" s="2"/>
    </row>
    <row r="13796" spans="1:26" ht="16.5" x14ac:dyDescent="0.35">
      <c r="A13796" s="2" t="str">
        <f ca="1">IFERROR(__xludf.DUMMYFUNCTION("""COMPUTED_VALUE"""),"Dubai")</f>
        <v>Dubai</v>
      </c>
      <c r="B13796" s="2" t="str">
        <f ca="1">IFERROR(__xludf.DUMMYFUNCTION("""COMPUTED_VALUE"""),"Orra The Embankment")</f>
        <v>Orra The Embankment</v>
      </c>
      <c r="C13796" s="2" t="str">
        <f ca="1">IFERROR(__xludf.DUMMYFUNCTION("""COMPUTED_VALUE"""),"Building")</f>
        <v>Building</v>
      </c>
      <c r="D13796" s="2" t="str">
        <f ca="1">IFERROR(__xludf.DUMMYFUNCTION("""COMPUTED_VALUE"""),"Dubai&gt;Jumeirah Lake Towers (JLT)&gt;Orra The Embankment")</f>
        <v>Dubai&gt;Jumeirah Lake Towers (JLT)&gt;Orra The Embankment</v>
      </c>
      <c r="E13796" s="2"/>
      <c r="F13796" s="2"/>
      <c r="G13796" s="2"/>
      <c r="H13796" s="2"/>
      <c r="I13796" s="2"/>
      <c r="J13796" s="2"/>
      <c r="K13796" s="2"/>
      <c r="L13796" s="2"/>
      <c r="M13796" s="2"/>
      <c r="N13796" s="2"/>
      <c r="O13796" s="2"/>
      <c r="P13796" s="2"/>
      <c r="Q13796" s="2"/>
      <c r="R13796" s="2"/>
      <c r="S13796" s="2"/>
      <c r="T13796" s="2"/>
      <c r="U13796" s="2"/>
      <c r="V13796" s="2"/>
      <c r="W13796" s="2"/>
      <c r="X13796" s="2"/>
      <c r="Y13796" s="2"/>
      <c r="Z13796" s="2"/>
    </row>
    <row r="13797" spans="1:26" ht="16.5" x14ac:dyDescent="0.35">
      <c r="A13797" s="2" t="str">
        <f ca="1">IFERROR(__xludf.DUMMYFUNCTION("""COMPUTED_VALUE"""),"Dubai")</f>
        <v>Dubai</v>
      </c>
      <c r="B13797" s="2" t="str">
        <f ca="1">IFERROR(__xludf.DUMMYFUNCTION("""COMPUTED_VALUE"""),"Rahat")</f>
        <v>Rahat</v>
      </c>
      <c r="C13797" s="2" t="str">
        <f ca="1">IFERROR(__xludf.DUMMYFUNCTION("""COMPUTED_VALUE"""),"Neighbourhood")</f>
        <v>Neighbourhood</v>
      </c>
      <c r="D13797" s="2" t="str">
        <f ca="1">IFERROR(__xludf.DUMMYFUNCTION("""COMPUTED_VALUE"""),"Dubai&gt;Mudon&gt;Rahat")</f>
        <v>Dubai&gt;Mudon&gt;Rahat</v>
      </c>
      <c r="E13797" s="2"/>
      <c r="F13797" s="2"/>
      <c r="G13797" s="2"/>
      <c r="H13797" s="2"/>
      <c r="I13797" s="2"/>
      <c r="J13797" s="2"/>
      <c r="K13797" s="2"/>
      <c r="L13797" s="2"/>
      <c r="M13797" s="2"/>
      <c r="N13797" s="2"/>
      <c r="O13797" s="2"/>
      <c r="P13797" s="2"/>
      <c r="Q13797" s="2"/>
      <c r="R13797" s="2"/>
      <c r="S13797" s="2"/>
      <c r="T13797" s="2"/>
      <c r="U13797" s="2"/>
      <c r="V13797" s="2"/>
      <c r="W13797" s="2"/>
      <c r="X13797" s="2"/>
      <c r="Y13797" s="2"/>
      <c r="Z13797" s="2"/>
    </row>
    <row r="13798" spans="1:26" ht="16.5" x14ac:dyDescent="0.35">
      <c r="A13798" s="2" t="str">
        <f ca="1">IFERROR(__xludf.DUMMYFUNCTION("""COMPUTED_VALUE"""),"Dubai")</f>
        <v>Dubai</v>
      </c>
      <c r="B13798" s="2" t="str">
        <f ca="1">IFERROR(__xludf.DUMMYFUNCTION("""COMPUTED_VALUE"""),"Square 334")</f>
        <v>Square 334</v>
      </c>
      <c r="C13798" s="2" t="str">
        <f ca="1">IFERROR(__xludf.DUMMYFUNCTION("""COMPUTED_VALUE"""),"Building")</f>
        <v>Building</v>
      </c>
      <c r="D13798" s="2" t="str">
        <f ca="1">IFERROR(__xludf.DUMMYFUNCTION("""COMPUTED_VALUE"""),"Dubai&gt;Al Satwa&gt;Square 334")</f>
        <v>Dubai&gt;Al Satwa&gt;Square 334</v>
      </c>
      <c r="E13798" s="2"/>
      <c r="F13798" s="2"/>
      <c r="G13798" s="2"/>
      <c r="H13798" s="2"/>
      <c r="I13798" s="2"/>
      <c r="J13798" s="2"/>
      <c r="K13798" s="2"/>
      <c r="L13798" s="2"/>
      <c r="M13798" s="2"/>
      <c r="N13798" s="2"/>
      <c r="O13798" s="2"/>
      <c r="P13798" s="2"/>
      <c r="Q13798" s="2"/>
      <c r="R13798" s="2"/>
      <c r="S13798" s="2"/>
      <c r="T13798" s="2"/>
      <c r="U13798" s="2"/>
      <c r="V13798" s="2"/>
      <c r="W13798" s="2"/>
      <c r="X13798" s="2"/>
      <c r="Y13798" s="2"/>
      <c r="Z13798" s="2"/>
    </row>
    <row r="13799" spans="1:26" ht="16.5" x14ac:dyDescent="0.35">
      <c r="A13799" s="2" t="str">
        <f ca="1">IFERROR(__xludf.DUMMYFUNCTION("""COMPUTED_VALUE"""),"Dubai")</f>
        <v>Dubai</v>
      </c>
      <c r="B13799" s="2" t="str">
        <f ca="1">IFERROR(__xludf.DUMMYFUNCTION("""COMPUTED_VALUE"""),"Solaire 14")</f>
        <v>Solaire 14</v>
      </c>
      <c r="C13799" s="2" t="str">
        <f ca="1">IFERROR(__xludf.DUMMYFUNCTION("""COMPUTED_VALUE"""),"Building")</f>
        <v>Building</v>
      </c>
      <c r="D13799" s="2" t="str">
        <f ca="1">IFERROR(__xludf.DUMMYFUNCTION("""COMPUTED_VALUE"""),"Dubai&gt;Al Satwa&gt;Jumeirah Garden City&gt;Solaire 14")</f>
        <v>Dubai&gt;Al Satwa&gt;Jumeirah Garden City&gt;Solaire 14</v>
      </c>
      <c r="E13799" s="2"/>
      <c r="F13799" s="2"/>
      <c r="G13799" s="2"/>
      <c r="H13799" s="2"/>
      <c r="I13799" s="2"/>
      <c r="J13799" s="2"/>
      <c r="K13799" s="2"/>
      <c r="L13799" s="2"/>
      <c r="M13799" s="2"/>
      <c r="N13799" s="2"/>
      <c r="O13799" s="2"/>
      <c r="P13799" s="2"/>
      <c r="Q13799" s="2"/>
      <c r="R13799" s="2"/>
      <c r="S13799" s="2"/>
      <c r="T13799" s="2"/>
      <c r="U13799" s="2"/>
      <c r="V13799" s="2"/>
      <c r="W13799" s="2"/>
      <c r="X13799" s="2"/>
      <c r="Y13799" s="2"/>
      <c r="Z13799" s="2"/>
    </row>
    <row r="13800" spans="1:26" ht="16.5" x14ac:dyDescent="0.35">
      <c r="A13800" s="2" t="str">
        <f ca="1">IFERROR(__xludf.DUMMYFUNCTION("""COMPUTED_VALUE"""),"Dubai")</f>
        <v>Dubai</v>
      </c>
      <c r="B13800" s="2" t="str">
        <f ca="1">IFERROR(__xludf.DUMMYFUNCTION("""COMPUTED_VALUE"""),"ENSO Amber")</f>
        <v>ENSO Amber</v>
      </c>
      <c r="C13800" s="2" t="str">
        <f ca="1">IFERROR(__xludf.DUMMYFUNCTION("""COMPUTED_VALUE"""),"Building")</f>
        <v>Building</v>
      </c>
      <c r="D13800" s="2" t="str">
        <f ca="1">IFERROR(__xludf.DUMMYFUNCTION("""COMPUTED_VALUE"""),"Dubai&gt;Al Satwa&gt;Jumeirah Garden City&gt;ENSO Amber")</f>
        <v>Dubai&gt;Al Satwa&gt;Jumeirah Garden City&gt;ENSO Amber</v>
      </c>
      <c r="E13800" s="2"/>
      <c r="F13800" s="2"/>
      <c r="G13800" s="2"/>
      <c r="H13800" s="2"/>
      <c r="I13800" s="2"/>
      <c r="J13800" s="2"/>
      <c r="K13800" s="2"/>
      <c r="L13800" s="2"/>
      <c r="M13800" s="2"/>
      <c r="N13800" s="2"/>
      <c r="O13800" s="2"/>
      <c r="P13800" s="2"/>
      <c r="Q13800" s="2"/>
      <c r="R13800" s="2"/>
      <c r="S13800" s="2"/>
      <c r="T13800" s="2"/>
      <c r="U13800" s="2"/>
      <c r="V13800" s="2"/>
      <c r="W13800" s="2"/>
      <c r="X13800" s="2"/>
      <c r="Y13800" s="2"/>
      <c r="Z13800" s="2"/>
    </row>
    <row r="13801" spans="1:26" ht="16.5" x14ac:dyDescent="0.35">
      <c r="A13801" s="2" t="str">
        <f ca="1">IFERROR(__xludf.DUMMYFUNCTION("""COMPUTED_VALUE"""),"Dubai")</f>
        <v>Dubai</v>
      </c>
      <c r="B13801" s="2" t="str">
        <f ca="1">IFERROR(__xludf.DUMMYFUNCTION("""COMPUTED_VALUE"""),"DoubleTree by Hilton Residences")</f>
        <v>DoubleTree by Hilton Residences</v>
      </c>
      <c r="C13801" s="2" t="str">
        <f ca="1">IFERROR(__xludf.DUMMYFUNCTION("""COMPUTED_VALUE"""),"Building")</f>
        <v>Building</v>
      </c>
      <c r="D13801" s="2" t="str">
        <f ca="1">IFERROR(__xludf.DUMMYFUNCTION("""COMPUTED_VALUE"""),"Dubai&gt;Al Satwa&gt;Jumeirah Garden City&gt;DoubleTree by Hilton Residences")</f>
        <v>Dubai&gt;Al Satwa&gt;Jumeirah Garden City&gt;DoubleTree by Hilton Residences</v>
      </c>
      <c r="E13801" s="2"/>
      <c r="F13801" s="2"/>
      <c r="G13801" s="2"/>
      <c r="H13801" s="2"/>
      <c r="I13801" s="2"/>
      <c r="J13801" s="2"/>
      <c r="K13801" s="2"/>
      <c r="L13801" s="2"/>
      <c r="M13801" s="2"/>
      <c r="N13801" s="2"/>
      <c r="O13801" s="2"/>
      <c r="P13801" s="2"/>
      <c r="Q13801" s="2"/>
      <c r="R13801" s="2"/>
      <c r="S13801" s="2"/>
      <c r="T13801" s="2"/>
      <c r="U13801" s="2"/>
      <c r="V13801" s="2"/>
      <c r="W13801" s="2"/>
      <c r="X13801" s="2"/>
      <c r="Y13801" s="2"/>
      <c r="Z13801" s="2"/>
    </row>
    <row r="13802" spans="1:26" ht="16.5" x14ac:dyDescent="0.35">
      <c r="A13802" s="2" t="str">
        <f ca="1">IFERROR(__xludf.DUMMYFUNCTION("""COMPUTED_VALUE"""),"Dubai")</f>
        <v>Dubai</v>
      </c>
      <c r="B13802" s="2" t="str">
        <f ca="1">IFERROR(__xludf.DUMMYFUNCTION("""COMPUTED_VALUE"""),"Al Mizhar 1")</f>
        <v>Al Mizhar 1</v>
      </c>
      <c r="C13802" s="2" t="str">
        <f ca="1">IFERROR(__xludf.DUMMYFUNCTION("""COMPUTED_VALUE"""),"Neighbourhood")</f>
        <v>Neighbourhood</v>
      </c>
      <c r="D13802" s="2" t="str">
        <f ca="1">IFERROR(__xludf.DUMMYFUNCTION("""COMPUTED_VALUE"""),"Dubai&gt;Al Mizhar&gt;Al Mizhar 1")</f>
        <v>Dubai&gt;Al Mizhar&gt;Al Mizhar 1</v>
      </c>
      <c r="E13802" s="2"/>
      <c r="F13802" s="2"/>
      <c r="G13802" s="2"/>
      <c r="H13802" s="2"/>
      <c r="I13802" s="2"/>
      <c r="J13802" s="2"/>
      <c r="K13802" s="2"/>
      <c r="L13802" s="2"/>
      <c r="M13802" s="2"/>
      <c r="N13802" s="2"/>
      <c r="O13802" s="2"/>
      <c r="P13802" s="2"/>
      <c r="Q13802" s="2"/>
      <c r="R13802" s="2"/>
      <c r="S13802" s="2"/>
      <c r="T13802" s="2"/>
      <c r="U13802" s="2"/>
      <c r="V13802" s="2"/>
      <c r="W13802" s="2"/>
      <c r="X13802" s="2"/>
      <c r="Y13802" s="2"/>
      <c r="Z13802" s="2"/>
    </row>
    <row r="13803" spans="1:26" ht="16.5" x14ac:dyDescent="0.35">
      <c r="A13803" s="2" t="str">
        <f ca="1">IFERROR(__xludf.DUMMYFUNCTION("""COMPUTED_VALUE"""),"Dubai")</f>
        <v>Dubai</v>
      </c>
      <c r="B13803" s="2" t="str">
        <f ca="1">IFERROR(__xludf.DUMMYFUNCTION("""COMPUTED_VALUE"""),"Building 163")</f>
        <v>Building 163</v>
      </c>
      <c r="C13803" s="2" t="str">
        <f ca="1">IFERROR(__xludf.DUMMYFUNCTION("""COMPUTED_VALUE"""),"Building")</f>
        <v>Building</v>
      </c>
      <c r="D13803" s="2" t="str">
        <f ca="1">IFERROR(__xludf.DUMMYFUNCTION("""COMPUTED_VALUE"""),"Dubai&gt;Discovery Gardens&gt;Contemporary&gt;Building 163")</f>
        <v>Dubai&gt;Discovery Gardens&gt;Contemporary&gt;Building 163</v>
      </c>
      <c r="E13803" s="2"/>
      <c r="F13803" s="2"/>
      <c r="G13803" s="2"/>
      <c r="H13803" s="2"/>
      <c r="I13803" s="2"/>
      <c r="J13803" s="2"/>
      <c r="K13803" s="2"/>
      <c r="L13803" s="2"/>
      <c r="M13803" s="2"/>
      <c r="N13803" s="2"/>
      <c r="O13803" s="2"/>
      <c r="P13803" s="2"/>
      <c r="Q13803" s="2"/>
      <c r="R13803" s="2"/>
      <c r="S13803" s="2"/>
      <c r="T13803" s="2"/>
      <c r="U13803" s="2"/>
      <c r="V13803" s="2"/>
      <c r="W13803" s="2"/>
      <c r="X13803" s="2"/>
      <c r="Y13803" s="2"/>
      <c r="Z13803" s="2"/>
    </row>
    <row r="13804" spans="1:26" ht="16.5" x14ac:dyDescent="0.35">
      <c r="A13804" s="2" t="str">
        <f ca="1">IFERROR(__xludf.DUMMYFUNCTION("""COMPUTED_VALUE"""),"Dubai")</f>
        <v>Dubai</v>
      </c>
      <c r="B13804" s="2" t="str">
        <f ca="1">IFERROR(__xludf.DUMMYFUNCTION("""COMPUTED_VALUE"""),"Building 257")</f>
        <v>Building 257</v>
      </c>
      <c r="C13804" s="2" t="str">
        <f ca="1">IFERROR(__xludf.DUMMYFUNCTION("""COMPUTED_VALUE"""),"Building")</f>
        <v>Building</v>
      </c>
      <c r="D13804" s="2" t="str">
        <f ca="1">IFERROR(__xludf.DUMMYFUNCTION("""COMPUTED_VALUE"""),"Dubai&gt;Discovery Gardens&gt;Mesoamerican&gt;Building 257")</f>
        <v>Dubai&gt;Discovery Gardens&gt;Mesoamerican&gt;Building 257</v>
      </c>
      <c r="E13804" s="2"/>
      <c r="F13804" s="2"/>
      <c r="G13804" s="2"/>
      <c r="H13804" s="2"/>
      <c r="I13804" s="2"/>
      <c r="J13804" s="2"/>
      <c r="K13804" s="2"/>
      <c r="L13804" s="2"/>
      <c r="M13804" s="2"/>
      <c r="N13804" s="2"/>
      <c r="O13804" s="2"/>
      <c r="P13804" s="2"/>
      <c r="Q13804" s="2"/>
      <c r="R13804" s="2"/>
      <c r="S13804" s="2"/>
      <c r="T13804" s="2"/>
      <c r="U13804" s="2"/>
      <c r="V13804" s="2"/>
      <c r="W13804" s="2"/>
      <c r="X13804" s="2"/>
      <c r="Y13804" s="2"/>
      <c r="Z13804" s="2"/>
    </row>
    <row r="13805" spans="1:26" ht="16.5" x14ac:dyDescent="0.35">
      <c r="A13805" s="2" t="str">
        <f ca="1">IFERROR(__xludf.DUMMYFUNCTION("""COMPUTED_VALUE"""),"Dubai")</f>
        <v>Dubai</v>
      </c>
      <c r="B13805" s="2" t="str">
        <f ca="1">IFERROR(__xludf.DUMMYFUNCTION("""COMPUTED_VALUE"""),"Building 202")</f>
        <v>Building 202</v>
      </c>
      <c r="C13805" s="2" t="str">
        <f ca="1">IFERROR(__xludf.DUMMYFUNCTION("""COMPUTED_VALUE"""),"Building")</f>
        <v>Building</v>
      </c>
      <c r="D13805" s="2" t="str">
        <f ca="1">IFERROR(__xludf.DUMMYFUNCTION("""COMPUTED_VALUE"""),"Dubai&gt;Discovery Gardens&gt;Mogul&gt;Building 202")</f>
        <v>Dubai&gt;Discovery Gardens&gt;Mogul&gt;Building 202</v>
      </c>
      <c r="E13805" s="2"/>
      <c r="F13805" s="2"/>
      <c r="G13805" s="2"/>
      <c r="H13805" s="2"/>
      <c r="I13805" s="2"/>
      <c r="J13805" s="2"/>
      <c r="K13805" s="2"/>
      <c r="L13805" s="2"/>
      <c r="M13805" s="2"/>
      <c r="N13805" s="2"/>
      <c r="O13805" s="2"/>
      <c r="P13805" s="2"/>
      <c r="Q13805" s="2"/>
      <c r="R13805" s="2"/>
      <c r="S13805" s="2"/>
      <c r="T13805" s="2"/>
      <c r="U13805" s="2"/>
      <c r="V13805" s="2"/>
      <c r="W13805" s="2"/>
      <c r="X13805" s="2"/>
      <c r="Y13805" s="2"/>
      <c r="Z13805" s="2"/>
    </row>
    <row r="13806" spans="1:26" ht="16.5" x14ac:dyDescent="0.35">
      <c r="A13806" s="2" t="str">
        <f ca="1">IFERROR(__xludf.DUMMYFUNCTION("""COMPUTED_VALUE"""),"Dubai")</f>
        <v>Dubai</v>
      </c>
      <c r="B13806" s="2" t="str">
        <f ca="1">IFERROR(__xludf.DUMMYFUNCTION("""COMPUTED_VALUE"""),"Building 227")</f>
        <v>Building 227</v>
      </c>
      <c r="C13806" s="2" t="str">
        <f ca="1">IFERROR(__xludf.DUMMYFUNCTION("""COMPUTED_VALUE"""),"Building")</f>
        <v>Building</v>
      </c>
      <c r="D13806" s="2" t="str">
        <f ca="1">IFERROR(__xludf.DUMMYFUNCTION("""COMPUTED_VALUE"""),"Dubai&gt;Discovery Gardens&gt;Mogul&gt;Building 227")</f>
        <v>Dubai&gt;Discovery Gardens&gt;Mogul&gt;Building 227</v>
      </c>
      <c r="E13806" s="2"/>
      <c r="F13806" s="2"/>
      <c r="G13806" s="2"/>
      <c r="H13806" s="2"/>
      <c r="I13806" s="2"/>
      <c r="J13806" s="2"/>
      <c r="K13806" s="2"/>
      <c r="L13806" s="2"/>
      <c r="M13806" s="2"/>
      <c r="N13806" s="2"/>
      <c r="O13806" s="2"/>
      <c r="P13806" s="2"/>
      <c r="Q13806" s="2"/>
      <c r="R13806" s="2"/>
      <c r="S13806" s="2"/>
      <c r="T13806" s="2"/>
      <c r="U13806" s="2"/>
      <c r="V13806" s="2"/>
      <c r="W13806" s="2"/>
      <c r="X13806" s="2"/>
      <c r="Y13806" s="2"/>
      <c r="Z13806" s="2"/>
    </row>
    <row r="13807" spans="1:26" ht="16.5" x14ac:dyDescent="0.35">
      <c r="A13807" s="2" t="str">
        <f ca="1">IFERROR(__xludf.DUMMYFUNCTION("""COMPUTED_VALUE"""),"Dubai")</f>
        <v>Dubai</v>
      </c>
      <c r="B13807" s="2" t="str">
        <f ca="1">IFERROR(__xludf.DUMMYFUNCTION("""COMPUTED_VALUE"""),"Building 33")</f>
        <v>Building 33</v>
      </c>
      <c r="C13807" s="2" t="str">
        <f ca="1">IFERROR(__xludf.DUMMYFUNCTION("""COMPUTED_VALUE"""),"Building")</f>
        <v>Building</v>
      </c>
      <c r="D13807" s="2" t="str">
        <f ca="1">IFERROR(__xludf.DUMMYFUNCTION("""COMPUTED_VALUE"""),"Dubai&gt;Discovery Gardens&gt;Zen Cluster&gt;Building 33")</f>
        <v>Dubai&gt;Discovery Gardens&gt;Zen Cluster&gt;Building 33</v>
      </c>
      <c r="E13807" s="2"/>
      <c r="F13807" s="2"/>
      <c r="G13807" s="2"/>
      <c r="H13807" s="2"/>
      <c r="I13807" s="2"/>
      <c r="J13807" s="2"/>
      <c r="K13807" s="2"/>
      <c r="L13807" s="2"/>
      <c r="M13807" s="2"/>
      <c r="N13807" s="2"/>
      <c r="O13807" s="2"/>
      <c r="P13807" s="2"/>
      <c r="Q13807" s="2"/>
      <c r="R13807" s="2"/>
      <c r="S13807" s="2"/>
      <c r="T13807" s="2"/>
      <c r="U13807" s="2"/>
      <c r="V13807" s="2"/>
      <c r="W13807" s="2"/>
      <c r="X13807" s="2"/>
      <c r="Y13807" s="2"/>
      <c r="Z13807" s="2"/>
    </row>
    <row r="13808" spans="1:26" ht="16.5" x14ac:dyDescent="0.35">
      <c r="A13808" s="2" t="str">
        <f ca="1">IFERROR(__xludf.DUMMYFUNCTION("""COMPUTED_VALUE"""),"Dubai")</f>
        <v>Dubai</v>
      </c>
      <c r="B13808" s="2" t="str">
        <f ca="1">IFERROR(__xludf.DUMMYFUNCTION("""COMPUTED_VALUE"""),"Building 88")</f>
        <v>Building 88</v>
      </c>
      <c r="C13808" s="2" t="str">
        <f ca="1">IFERROR(__xludf.DUMMYFUNCTION("""COMPUTED_VALUE"""),"Building")</f>
        <v>Building</v>
      </c>
      <c r="D13808" s="2" t="str">
        <f ca="1">IFERROR(__xludf.DUMMYFUNCTION("""COMPUTED_VALUE"""),"Dubai&gt;Discovery Gardens&gt;Mediterranean&gt;Building 88")</f>
        <v>Dubai&gt;Discovery Gardens&gt;Mediterranean&gt;Building 88</v>
      </c>
      <c r="E13808" s="2"/>
      <c r="F13808" s="2"/>
      <c r="G13808" s="2"/>
      <c r="H13808" s="2"/>
      <c r="I13808" s="2"/>
      <c r="J13808" s="2"/>
      <c r="K13808" s="2"/>
      <c r="L13808" s="2"/>
      <c r="M13808" s="2"/>
      <c r="N13808" s="2"/>
      <c r="O13808" s="2"/>
      <c r="P13808" s="2"/>
      <c r="Q13808" s="2"/>
      <c r="R13808" s="2"/>
      <c r="S13808" s="2"/>
      <c r="T13808" s="2"/>
      <c r="U13808" s="2"/>
      <c r="V13808" s="2"/>
      <c r="W13808" s="2"/>
      <c r="X13808" s="2"/>
      <c r="Y13808" s="2"/>
      <c r="Z13808" s="2"/>
    </row>
    <row r="13809" spans="1:26" ht="16.5" x14ac:dyDescent="0.35">
      <c r="A13809" s="2" t="str">
        <f ca="1">IFERROR(__xludf.DUMMYFUNCTION("""COMPUTED_VALUE"""),"Dubai")</f>
        <v>Dubai</v>
      </c>
      <c r="B13809" s="2" t="str">
        <f ca="1">IFERROR(__xludf.DUMMYFUNCTION("""COMPUTED_VALUE"""),"Building 84")</f>
        <v>Building 84</v>
      </c>
      <c r="C13809" s="2" t="str">
        <f ca="1">IFERROR(__xludf.DUMMYFUNCTION("""COMPUTED_VALUE"""),"Building")</f>
        <v>Building</v>
      </c>
      <c r="D13809" s="2" t="str">
        <f ca="1">IFERROR(__xludf.DUMMYFUNCTION("""COMPUTED_VALUE"""),"Dubai&gt;Discovery Gardens&gt;Mediterranean&gt;Building 84")</f>
        <v>Dubai&gt;Discovery Gardens&gt;Mediterranean&gt;Building 84</v>
      </c>
      <c r="E13809" s="2"/>
      <c r="F13809" s="2"/>
      <c r="G13809" s="2"/>
      <c r="H13809" s="2"/>
      <c r="I13809" s="2"/>
      <c r="J13809" s="2"/>
      <c r="K13809" s="2"/>
      <c r="L13809" s="2"/>
      <c r="M13809" s="2"/>
      <c r="N13809" s="2"/>
      <c r="O13809" s="2"/>
      <c r="P13809" s="2"/>
      <c r="Q13809" s="2"/>
      <c r="R13809" s="2"/>
      <c r="S13809" s="2"/>
      <c r="T13809" s="2"/>
      <c r="U13809" s="2"/>
      <c r="V13809" s="2"/>
      <c r="W13809" s="2"/>
      <c r="X13809" s="2"/>
      <c r="Y13809" s="2"/>
      <c r="Z13809" s="2"/>
    </row>
    <row r="13810" spans="1:26" ht="16.5" x14ac:dyDescent="0.35">
      <c r="A13810" s="2" t="str">
        <f ca="1">IFERROR(__xludf.DUMMYFUNCTION("""COMPUTED_VALUE"""),"Dubai")</f>
        <v>Dubai</v>
      </c>
      <c r="B13810" s="2" t="str">
        <f ca="1">IFERROR(__xludf.DUMMYFUNCTION("""COMPUTED_VALUE"""),"Balqis Residence Block C")</f>
        <v>Balqis Residence Block C</v>
      </c>
      <c r="C13810" s="2" t="str">
        <f ca="1">IFERROR(__xludf.DUMMYFUNCTION("""COMPUTED_VALUE"""),"Building")</f>
        <v>Building</v>
      </c>
      <c r="D13810" s="2" t="str">
        <f ca="1">IFERROR(__xludf.DUMMYFUNCTION("""COMPUTED_VALUE"""),"Dubai&gt;Palm Jumeirah&gt;Kingdom of Sheba&gt;Balqis Residence&gt;Balqis Residence Block C")</f>
        <v>Dubai&gt;Palm Jumeirah&gt;Kingdom of Sheba&gt;Balqis Residence&gt;Balqis Residence Block C</v>
      </c>
      <c r="E13810" s="2"/>
      <c r="F13810" s="2"/>
      <c r="G13810" s="2"/>
      <c r="H13810" s="2"/>
      <c r="I13810" s="2"/>
      <c r="J13810" s="2"/>
      <c r="K13810" s="2"/>
      <c r="L13810" s="2"/>
      <c r="M13810" s="2"/>
      <c r="N13810" s="2"/>
      <c r="O13810" s="2"/>
      <c r="P13810" s="2"/>
      <c r="Q13810" s="2"/>
      <c r="R13810" s="2"/>
      <c r="S13810" s="2"/>
      <c r="T13810" s="2"/>
      <c r="U13810" s="2"/>
      <c r="V13810" s="2"/>
      <c r="W13810" s="2"/>
      <c r="X13810" s="2"/>
      <c r="Y13810" s="2"/>
      <c r="Z13810" s="2"/>
    </row>
    <row r="13811" spans="1:26" ht="16.5" x14ac:dyDescent="0.35">
      <c r="A13811" s="2" t="str">
        <f ca="1">IFERROR(__xludf.DUMMYFUNCTION("""COMPUTED_VALUE"""),"Dubai")</f>
        <v>Dubai</v>
      </c>
      <c r="B13811" s="2" t="str">
        <f ca="1">IFERROR(__xludf.DUMMYFUNCTION("""COMPUTED_VALUE"""),"Soho Palm")</f>
        <v>Soho Palm</v>
      </c>
      <c r="C13811" s="2" t="str">
        <f ca="1">IFERROR(__xludf.DUMMYFUNCTION("""COMPUTED_VALUE"""),"Building")</f>
        <v>Building</v>
      </c>
      <c r="D13811" s="2" t="str">
        <f ca="1">IFERROR(__xludf.DUMMYFUNCTION("""COMPUTED_VALUE"""),"Dubai&gt;Palm Jumeirah&gt;Soho Palm")</f>
        <v>Dubai&gt;Palm Jumeirah&gt;Soho Palm</v>
      </c>
      <c r="E13811" s="2"/>
      <c r="F13811" s="2"/>
      <c r="G13811" s="2"/>
      <c r="H13811" s="2"/>
      <c r="I13811" s="2"/>
      <c r="J13811" s="2"/>
      <c r="K13811" s="2"/>
      <c r="L13811" s="2"/>
      <c r="M13811" s="2"/>
      <c r="N13811" s="2"/>
      <c r="O13811" s="2"/>
      <c r="P13811" s="2"/>
      <c r="Q13811" s="2"/>
      <c r="R13811" s="2"/>
      <c r="S13811" s="2"/>
      <c r="T13811" s="2"/>
      <c r="U13811" s="2"/>
      <c r="V13811" s="2"/>
      <c r="W13811" s="2"/>
      <c r="X13811" s="2"/>
      <c r="Y13811" s="2"/>
      <c r="Z13811" s="2"/>
    </row>
    <row r="13812" spans="1:26" ht="16.5" x14ac:dyDescent="0.35">
      <c r="A13812" s="2" t="str">
        <f ca="1">IFERROR(__xludf.DUMMYFUNCTION("""COMPUTED_VALUE"""),"Dubai")</f>
        <v>Dubai</v>
      </c>
      <c r="B13812" s="2" t="str">
        <f ca="1">IFERROR(__xludf.DUMMYFUNCTION("""COMPUTED_VALUE"""),"Signature Villas Frond H")</f>
        <v>Signature Villas Frond H</v>
      </c>
      <c r="C13812" s="2" t="str">
        <f ca="1">IFERROR(__xludf.DUMMYFUNCTION("""COMPUTED_VALUE"""),"Neighbourhood")</f>
        <v>Neighbourhood</v>
      </c>
      <c r="D13812" s="2" t="str">
        <f ca="1">IFERROR(__xludf.DUMMYFUNCTION("""COMPUTED_VALUE"""),"Dubai&gt;Palm Jumeirah&gt;Signature Villas Palm Jumeirah&gt;Signature Villas Frond H")</f>
        <v>Dubai&gt;Palm Jumeirah&gt;Signature Villas Palm Jumeirah&gt;Signature Villas Frond H</v>
      </c>
      <c r="E13812" s="2"/>
      <c r="F13812" s="2"/>
      <c r="G13812" s="2"/>
      <c r="H13812" s="2"/>
      <c r="I13812" s="2"/>
      <c r="J13812" s="2"/>
      <c r="K13812" s="2"/>
      <c r="L13812" s="2"/>
      <c r="M13812" s="2"/>
      <c r="N13812" s="2"/>
      <c r="O13812" s="2"/>
      <c r="P13812" s="2"/>
      <c r="Q13812" s="2"/>
      <c r="R13812" s="2"/>
      <c r="S13812" s="2"/>
      <c r="T13812" s="2"/>
      <c r="U13812" s="2"/>
      <c r="V13812" s="2"/>
      <c r="W13812" s="2"/>
      <c r="X13812" s="2"/>
      <c r="Y13812" s="2"/>
      <c r="Z13812" s="2"/>
    </row>
    <row r="13813" spans="1:26" ht="16.5" x14ac:dyDescent="0.35">
      <c r="A13813" s="2" t="str">
        <f ca="1">IFERROR(__xludf.DUMMYFUNCTION("""COMPUTED_VALUE"""),"Dubai")</f>
        <v>Dubai</v>
      </c>
      <c r="B13813" s="2" t="str">
        <f ca="1">IFERROR(__xludf.DUMMYFUNCTION("""COMPUTED_VALUE"""),"Kempinski Palm Residence")</f>
        <v>Kempinski Palm Residence</v>
      </c>
      <c r="C13813" s="2" t="str">
        <f ca="1">IFERROR(__xludf.DUMMYFUNCTION("""COMPUTED_VALUE"""),"Building")</f>
        <v>Building</v>
      </c>
      <c r="D13813" s="2" t="str">
        <f ca="1">IFERROR(__xludf.DUMMYFUNCTION("""COMPUTED_VALUE"""),"Dubai&gt;Palm Jumeirah&gt;The Crescent&gt;Kempinski Palm Residence")</f>
        <v>Dubai&gt;Palm Jumeirah&gt;The Crescent&gt;Kempinski Palm Residence</v>
      </c>
      <c r="E13813" s="2"/>
      <c r="F13813" s="2"/>
      <c r="G13813" s="2"/>
      <c r="H13813" s="2"/>
      <c r="I13813" s="2"/>
      <c r="J13813" s="2"/>
      <c r="K13813" s="2"/>
      <c r="L13813" s="2"/>
      <c r="M13813" s="2"/>
      <c r="N13813" s="2"/>
      <c r="O13813" s="2"/>
      <c r="P13813" s="2"/>
      <c r="Q13813" s="2"/>
      <c r="R13813" s="2"/>
      <c r="S13813" s="2"/>
      <c r="T13813" s="2"/>
      <c r="U13813" s="2"/>
      <c r="V13813" s="2"/>
      <c r="W13813" s="2"/>
      <c r="X13813" s="2"/>
      <c r="Y13813" s="2"/>
      <c r="Z13813" s="2"/>
    </row>
    <row r="13814" spans="1:26" ht="16.5" x14ac:dyDescent="0.35">
      <c r="A13814" s="2" t="str">
        <f ca="1">IFERROR(__xludf.DUMMYFUNCTION("""COMPUTED_VALUE"""),"Dubai")</f>
        <v>Dubai</v>
      </c>
      <c r="B13814" s="2" t="str">
        <f ca="1">IFERROR(__xludf.DUMMYFUNCTION("""COMPUTED_VALUE"""),"Garden Homes Frond N")</f>
        <v>Garden Homes Frond N</v>
      </c>
      <c r="C13814" s="2" t="str">
        <f ca="1">IFERROR(__xludf.DUMMYFUNCTION("""COMPUTED_VALUE"""),"Neighbourhood")</f>
        <v>Neighbourhood</v>
      </c>
      <c r="D13814" s="2" t="str">
        <f ca="1">IFERROR(__xludf.DUMMYFUNCTION("""COMPUTED_VALUE"""),"Dubai&gt;Palm Jumeirah&gt;Garden Homes Palm Jumeirah&gt;Garden Homes Frond N")</f>
        <v>Dubai&gt;Palm Jumeirah&gt;Garden Homes Palm Jumeirah&gt;Garden Homes Frond N</v>
      </c>
      <c r="E13814" s="2"/>
      <c r="F13814" s="2"/>
      <c r="G13814" s="2"/>
      <c r="H13814" s="2"/>
      <c r="I13814" s="2"/>
      <c r="J13814" s="2"/>
      <c r="K13814" s="2"/>
      <c r="L13814" s="2"/>
      <c r="M13814" s="2"/>
      <c r="N13814" s="2"/>
      <c r="O13814" s="2"/>
      <c r="P13814" s="2"/>
      <c r="Q13814" s="2"/>
      <c r="R13814" s="2"/>
      <c r="S13814" s="2"/>
      <c r="T13814" s="2"/>
      <c r="U13814" s="2"/>
      <c r="V13814" s="2"/>
      <c r="W13814" s="2"/>
      <c r="X13814" s="2"/>
      <c r="Y13814" s="2"/>
      <c r="Z13814" s="2"/>
    </row>
    <row r="13815" spans="1:26" ht="16.5" x14ac:dyDescent="0.35">
      <c r="A13815" s="2" t="str">
        <f ca="1">IFERROR(__xludf.DUMMYFUNCTION("""COMPUTED_VALUE"""),"Dubai")</f>
        <v>Dubai</v>
      </c>
      <c r="B13815" s="2" t="str">
        <f ca="1">IFERROR(__xludf.DUMMYFUNCTION("""COMPUTED_VALUE"""),"Serenia Living")</f>
        <v>Serenia Living</v>
      </c>
      <c r="C13815" s="2" t="str">
        <f ca="1">IFERROR(__xludf.DUMMYFUNCTION("""COMPUTED_VALUE"""),"Cluster")</f>
        <v>Cluster</v>
      </c>
      <c r="D13815" s="2" t="str">
        <f ca="1">IFERROR(__xludf.DUMMYFUNCTION("""COMPUTED_VALUE"""),"Dubai&gt;Palm Jumeirah&gt;Serenia Living")</f>
        <v>Dubai&gt;Palm Jumeirah&gt;Serenia Living</v>
      </c>
      <c r="E13815" s="2"/>
      <c r="F13815" s="2"/>
      <c r="G13815" s="2"/>
      <c r="H13815" s="2"/>
      <c r="I13815" s="2"/>
      <c r="J13815" s="2"/>
      <c r="K13815" s="2"/>
      <c r="L13815" s="2"/>
      <c r="M13815" s="2"/>
      <c r="N13815" s="2"/>
      <c r="O13815" s="2"/>
      <c r="P13815" s="2"/>
      <c r="Q13815" s="2"/>
      <c r="R13815" s="2"/>
      <c r="S13815" s="2"/>
      <c r="T13815" s="2"/>
      <c r="U13815" s="2"/>
      <c r="V13815" s="2"/>
      <c r="W13815" s="2"/>
      <c r="X13815" s="2"/>
      <c r="Y13815" s="2"/>
      <c r="Z13815" s="2"/>
    </row>
    <row r="13816" spans="1:26" ht="16.5" x14ac:dyDescent="0.35">
      <c r="A13816" s="2" t="str">
        <f ca="1">IFERROR(__xludf.DUMMYFUNCTION("""COMPUTED_VALUE"""),"Dubai")</f>
        <v>Dubai</v>
      </c>
      <c r="B13816" s="2" t="str">
        <f ca="1">IFERROR(__xludf.DUMMYFUNCTION("""COMPUTED_VALUE"""),"The Retreat Palm Dubai by Sofitel")</f>
        <v>The Retreat Palm Dubai by Sofitel</v>
      </c>
      <c r="C13816" s="2" t="str">
        <f ca="1">IFERROR(__xludf.DUMMYFUNCTION("""COMPUTED_VALUE"""),"Building")</f>
        <v>Building</v>
      </c>
      <c r="D13816" s="2" t="str">
        <f ca="1">IFERROR(__xludf.DUMMYFUNCTION("""COMPUTED_VALUE"""),"Dubai&gt;Palm Jumeirah&gt;The Retreat Palm Dubai by Sofitel")</f>
        <v>Dubai&gt;Palm Jumeirah&gt;The Retreat Palm Dubai by Sofitel</v>
      </c>
      <c r="E13816" s="2"/>
      <c r="F13816" s="2"/>
      <c r="G13816" s="2"/>
      <c r="H13816" s="2"/>
      <c r="I13816" s="2"/>
      <c r="J13816" s="2"/>
      <c r="K13816" s="2"/>
      <c r="L13816" s="2"/>
      <c r="M13816" s="2"/>
      <c r="N13816" s="2"/>
      <c r="O13816" s="2"/>
      <c r="P13816" s="2"/>
      <c r="Q13816" s="2"/>
      <c r="R13816" s="2"/>
      <c r="S13816" s="2"/>
      <c r="T13816" s="2"/>
      <c r="U13816" s="2"/>
      <c r="V13816" s="2"/>
      <c r="W13816" s="2"/>
      <c r="X13816" s="2"/>
      <c r="Y13816" s="2"/>
      <c r="Z13816" s="2"/>
    </row>
    <row r="13817" spans="1:26" ht="16.5" x14ac:dyDescent="0.35">
      <c r="A13817" s="2" t="str">
        <f ca="1">IFERROR(__xludf.DUMMYFUNCTION("""COMPUTED_VALUE"""),"Dubai")</f>
        <v>Dubai</v>
      </c>
      <c r="B13817" s="2" t="str">
        <f ca="1">IFERROR(__xludf.DUMMYFUNCTION("""COMPUTED_VALUE"""),"Occidental Al Jaddaf")</f>
        <v>Occidental Al Jaddaf</v>
      </c>
      <c r="C13817" s="2" t="str">
        <f ca="1">IFERROR(__xludf.DUMMYFUNCTION("""COMPUTED_VALUE"""),"Building")</f>
        <v>Building</v>
      </c>
      <c r="D13817" s="2" t="str">
        <f ca="1">IFERROR(__xludf.DUMMYFUNCTION("""COMPUTED_VALUE"""),"Dubai&gt;Al Jaddaf&gt;Occidental Al Jaddaf")</f>
        <v>Dubai&gt;Al Jaddaf&gt;Occidental Al Jaddaf</v>
      </c>
      <c r="E13817" s="2"/>
      <c r="F13817" s="2"/>
      <c r="G13817" s="2"/>
      <c r="H13817" s="2"/>
      <c r="I13817" s="2"/>
      <c r="J13817" s="2"/>
      <c r="K13817" s="2"/>
      <c r="L13817" s="2"/>
      <c r="M13817" s="2"/>
      <c r="N13817" s="2"/>
      <c r="O13817" s="2"/>
      <c r="P13817" s="2"/>
      <c r="Q13817" s="2"/>
      <c r="R13817" s="2"/>
      <c r="S13817" s="2"/>
      <c r="T13817" s="2"/>
      <c r="U13817" s="2"/>
      <c r="V13817" s="2"/>
      <c r="W13817" s="2"/>
      <c r="X13817" s="2"/>
      <c r="Y13817" s="2"/>
      <c r="Z13817" s="2"/>
    </row>
    <row r="13818" spans="1:26" ht="16.5" x14ac:dyDescent="0.35">
      <c r="A13818" s="2" t="str">
        <f ca="1">IFERROR(__xludf.DUMMYFUNCTION("""COMPUTED_VALUE"""),"Dubai")</f>
        <v>Dubai</v>
      </c>
      <c r="B13818" s="2" t="str">
        <f ca="1">IFERROR(__xludf.DUMMYFUNCTION("""COMPUTED_VALUE"""),"Al Jaddaf Residence")</f>
        <v>Al Jaddaf Residence</v>
      </c>
      <c r="C13818" s="2" t="str">
        <f ca="1">IFERROR(__xludf.DUMMYFUNCTION("""COMPUTED_VALUE"""),"Building")</f>
        <v>Building</v>
      </c>
      <c r="D13818" s="2" t="str">
        <f ca="1">IFERROR(__xludf.DUMMYFUNCTION("""COMPUTED_VALUE"""),"Dubai&gt;Al Jaddaf&gt;Al Jaddaf Residence")</f>
        <v>Dubai&gt;Al Jaddaf&gt;Al Jaddaf Residence</v>
      </c>
      <c r="E13818" s="2"/>
      <c r="F13818" s="2"/>
      <c r="G13818" s="2"/>
      <c r="H13818" s="2"/>
      <c r="I13818" s="2"/>
      <c r="J13818" s="2"/>
      <c r="K13818" s="2"/>
      <c r="L13818" s="2"/>
      <c r="M13818" s="2"/>
      <c r="N13818" s="2"/>
      <c r="O13818" s="2"/>
      <c r="P13818" s="2"/>
      <c r="Q13818" s="2"/>
      <c r="R13818" s="2"/>
      <c r="S13818" s="2"/>
      <c r="T13818" s="2"/>
      <c r="U13818" s="2"/>
      <c r="V13818" s="2"/>
      <c r="W13818" s="2"/>
      <c r="X13818" s="2"/>
      <c r="Y13818" s="2"/>
      <c r="Z13818" s="2"/>
    </row>
    <row r="13819" spans="1:26" ht="16.5" x14ac:dyDescent="0.35">
      <c r="A13819" s="2" t="str">
        <f ca="1">IFERROR(__xludf.DUMMYFUNCTION("""COMPUTED_VALUE"""),"Dubai")</f>
        <v>Dubai</v>
      </c>
      <c r="B13819" s="2" t="str">
        <f ca="1">IFERROR(__xludf.DUMMYFUNCTION("""COMPUTED_VALUE"""),"Jaddaf Star Building")</f>
        <v>Jaddaf Star Building</v>
      </c>
      <c r="C13819" s="2" t="str">
        <f ca="1">IFERROR(__xludf.DUMMYFUNCTION("""COMPUTED_VALUE"""),"Building")</f>
        <v>Building</v>
      </c>
      <c r="D13819" s="2" t="str">
        <f ca="1">IFERROR(__xludf.DUMMYFUNCTION("""COMPUTED_VALUE"""),"Dubai&gt;Al Jaddaf&gt;Jaddaf Star Building")</f>
        <v>Dubai&gt;Al Jaddaf&gt;Jaddaf Star Building</v>
      </c>
      <c r="E13819" s="2"/>
      <c r="F13819" s="2"/>
      <c r="G13819" s="2"/>
      <c r="H13819" s="2"/>
      <c r="I13819" s="2"/>
      <c r="J13819" s="2"/>
      <c r="K13819" s="2"/>
      <c r="L13819" s="2"/>
      <c r="M13819" s="2"/>
      <c r="N13819" s="2"/>
      <c r="O13819" s="2"/>
      <c r="P13819" s="2"/>
      <c r="Q13819" s="2"/>
      <c r="R13819" s="2"/>
      <c r="S13819" s="2"/>
      <c r="T13819" s="2"/>
      <c r="U13819" s="2"/>
      <c r="V13819" s="2"/>
      <c r="W13819" s="2"/>
      <c r="X13819" s="2"/>
      <c r="Y13819" s="2"/>
      <c r="Z13819" s="2"/>
    </row>
    <row r="13820" spans="1:26" ht="16.5" x14ac:dyDescent="0.35">
      <c r="A13820" s="2" t="str">
        <f ca="1">IFERROR(__xludf.DUMMYFUNCTION("""COMPUTED_VALUE"""),"Dubai")</f>
        <v>Dubai</v>
      </c>
      <c r="B13820" s="2" t="str">
        <f ca="1">IFERROR(__xludf.DUMMYFUNCTION("""COMPUTED_VALUE"""),"Garden Homes Palm Jabel Ali")</f>
        <v>Garden Homes Palm Jabel Ali</v>
      </c>
      <c r="C13820" s="2" t="str">
        <f ca="1">IFERROR(__xludf.DUMMYFUNCTION("""COMPUTED_VALUE"""),"Neighbourhood")</f>
        <v>Neighbourhood</v>
      </c>
      <c r="D13820" s="2" t="str">
        <f ca="1">IFERROR(__xludf.DUMMYFUNCTION("""COMPUTED_VALUE"""),"Dubai&gt;Palm Jebel Ali&gt;Garden Homes Palm Jabel Ali")</f>
        <v>Dubai&gt;Palm Jebel Ali&gt;Garden Homes Palm Jabel Ali</v>
      </c>
      <c r="E13820" s="2"/>
      <c r="F13820" s="2"/>
      <c r="G13820" s="2"/>
      <c r="H13820" s="2"/>
      <c r="I13820" s="2"/>
      <c r="J13820" s="2"/>
      <c r="K13820" s="2"/>
      <c r="L13820" s="2"/>
      <c r="M13820" s="2"/>
      <c r="N13820" s="2"/>
      <c r="O13820" s="2"/>
      <c r="P13820" s="2"/>
      <c r="Q13820" s="2"/>
      <c r="R13820" s="2"/>
      <c r="S13820" s="2"/>
      <c r="T13820" s="2"/>
      <c r="U13820" s="2"/>
      <c r="V13820" s="2"/>
      <c r="W13820" s="2"/>
      <c r="X13820" s="2"/>
      <c r="Y13820" s="2"/>
      <c r="Z13820" s="2"/>
    </row>
    <row r="13821" spans="1:26" ht="16.5" x14ac:dyDescent="0.35">
      <c r="A13821" s="2" t="str">
        <f ca="1">IFERROR(__xludf.DUMMYFUNCTION("""COMPUTED_VALUE"""),"Dubai")</f>
        <v>Dubai</v>
      </c>
      <c r="B13821" s="2" t="str">
        <f ca="1">IFERROR(__xludf.DUMMYFUNCTION("""COMPUTED_VALUE"""),"Repton Al Barsha")</f>
        <v>Repton Al Barsha</v>
      </c>
      <c r="C13821" s="2" t="str">
        <f ca="1">IFERROR(__xludf.DUMMYFUNCTION("""COMPUTED_VALUE"""),"School")</f>
        <v>School</v>
      </c>
      <c r="D13821" s="2" t="str">
        <f ca="1">IFERROR(__xludf.DUMMYFUNCTION("""COMPUTED_VALUE"""),"Dubai&gt;Dubai Science Park&gt;Repton Al Barsha")</f>
        <v>Dubai&gt;Dubai Science Park&gt;Repton Al Barsha</v>
      </c>
      <c r="E13821" s="2"/>
      <c r="F13821" s="2"/>
      <c r="G13821" s="2"/>
      <c r="H13821" s="2"/>
      <c r="I13821" s="2"/>
      <c r="J13821" s="2"/>
      <c r="K13821" s="2"/>
      <c r="L13821" s="2"/>
      <c r="M13821" s="2"/>
      <c r="N13821" s="2"/>
      <c r="O13821" s="2"/>
      <c r="P13821" s="2"/>
      <c r="Q13821" s="2"/>
      <c r="R13821" s="2"/>
      <c r="S13821" s="2"/>
      <c r="T13821" s="2"/>
      <c r="U13821" s="2"/>
      <c r="V13821" s="2"/>
      <c r="W13821" s="2"/>
      <c r="X13821" s="2"/>
      <c r="Y13821" s="2"/>
      <c r="Z13821" s="2"/>
    </row>
    <row r="13822" spans="1:26" ht="16.5" x14ac:dyDescent="0.35">
      <c r="A13822" s="2" t="str">
        <f ca="1">IFERROR(__xludf.DUMMYFUNCTION("""COMPUTED_VALUE"""),"Dubai")</f>
        <v>Dubai</v>
      </c>
      <c r="B13822" s="2" t="str">
        <f ca="1">IFERROR(__xludf.DUMMYFUNCTION("""COMPUTED_VALUE"""),"Empire Livings")</f>
        <v>Empire Livings</v>
      </c>
      <c r="C13822" s="2" t="str">
        <f ca="1">IFERROR(__xludf.DUMMYFUNCTION("""COMPUTED_VALUE"""),"Building")</f>
        <v>Building</v>
      </c>
      <c r="D13822" s="2" t="str">
        <f ca="1">IFERROR(__xludf.DUMMYFUNCTION("""COMPUTED_VALUE"""),"Dubai&gt;Dubai Science Park&gt;Empire Livings")</f>
        <v>Dubai&gt;Dubai Science Park&gt;Empire Livings</v>
      </c>
      <c r="E13822" s="2"/>
      <c r="F13822" s="2"/>
      <c r="G13822" s="2"/>
      <c r="H13822" s="2"/>
      <c r="I13822" s="2"/>
      <c r="J13822" s="2"/>
      <c r="K13822" s="2"/>
      <c r="L13822" s="2"/>
      <c r="M13822" s="2"/>
      <c r="N13822" s="2"/>
      <c r="O13822" s="2"/>
      <c r="P13822" s="2"/>
      <c r="Q13822" s="2"/>
      <c r="R13822" s="2"/>
      <c r="S13822" s="2"/>
      <c r="T13822" s="2"/>
      <c r="U13822" s="2"/>
      <c r="V13822" s="2"/>
      <c r="W13822" s="2"/>
      <c r="X13822" s="2"/>
      <c r="Y13822" s="2"/>
      <c r="Z13822" s="2"/>
    </row>
    <row r="13823" spans="1:26" ht="16.5" x14ac:dyDescent="0.35">
      <c r="A13823" s="2" t="str">
        <f ca="1">IFERROR(__xludf.DUMMYFUNCTION("""COMPUTED_VALUE"""),"Dubai")</f>
        <v>Dubai</v>
      </c>
      <c r="B13823" s="2" t="str">
        <f ca="1">IFERROR(__xludf.DUMMYFUNCTION("""COMPUTED_VALUE"""),"Nujoom Al Awir Building")</f>
        <v>Nujoom Al Awir Building</v>
      </c>
      <c r="C13823" s="2" t="str">
        <f ca="1">IFERROR(__xludf.DUMMYFUNCTION("""COMPUTED_VALUE"""),"Building")</f>
        <v>Building</v>
      </c>
      <c r="D13823" s="2" t="str">
        <f ca="1">IFERROR(__xludf.DUMMYFUNCTION("""COMPUTED_VALUE"""),"Dubai&gt;Al Ruwayyah&gt;Al Naboodah Residential Complex&gt;Nujoom Al Awir Building")</f>
        <v>Dubai&gt;Al Ruwayyah&gt;Al Naboodah Residential Complex&gt;Nujoom Al Awir Building</v>
      </c>
      <c r="E13823" s="2"/>
      <c r="F13823" s="2"/>
      <c r="G13823" s="2"/>
      <c r="H13823" s="2"/>
      <c r="I13823" s="2"/>
      <c r="J13823" s="2"/>
      <c r="K13823" s="2"/>
      <c r="L13823" s="2"/>
      <c r="M13823" s="2"/>
      <c r="N13823" s="2"/>
      <c r="O13823" s="2"/>
      <c r="P13823" s="2"/>
      <c r="Q13823" s="2"/>
      <c r="R13823" s="2"/>
      <c r="S13823" s="2"/>
      <c r="T13823" s="2"/>
      <c r="U13823" s="2"/>
      <c r="V13823" s="2"/>
      <c r="W13823" s="2"/>
      <c r="X13823" s="2"/>
      <c r="Y13823" s="2"/>
      <c r="Z13823" s="2"/>
    </row>
    <row r="13824" spans="1:26" ht="16.5" x14ac:dyDescent="0.35">
      <c r="A13824" s="2" t="str">
        <f ca="1">IFERROR(__xludf.DUMMYFUNCTION("""COMPUTED_VALUE"""),"Dubai")</f>
        <v>Dubai</v>
      </c>
      <c r="B13824" s="2" t="str">
        <f ca="1">IFERROR(__xludf.DUMMYFUNCTION("""COMPUTED_VALUE"""),"Hills Views")</f>
        <v>Hills Views</v>
      </c>
      <c r="C13824" s="2" t="str">
        <f ca="1">IFERROR(__xludf.DUMMYFUNCTION("""COMPUTED_VALUE"""),"Building")</f>
        <v>Building</v>
      </c>
      <c r="D13824" s="2" t="str">
        <f ca="1">IFERROR(__xludf.DUMMYFUNCTION("""COMPUTED_VALUE"""),"Dubai&gt;Wasl Gate&gt;Hills Views")</f>
        <v>Dubai&gt;Wasl Gate&gt;Hills Views</v>
      </c>
      <c r="E13824" s="2"/>
      <c r="F13824" s="2"/>
      <c r="G13824" s="2"/>
      <c r="H13824" s="2"/>
      <c r="I13824" s="2"/>
      <c r="J13824" s="2"/>
      <c r="K13824" s="2"/>
      <c r="L13824" s="2"/>
      <c r="M13824" s="2"/>
      <c r="N13824" s="2"/>
      <c r="O13824" s="2"/>
      <c r="P13824" s="2"/>
      <c r="Q13824" s="2"/>
      <c r="R13824" s="2"/>
      <c r="S13824" s="2"/>
      <c r="T13824" s="2"/>
      <c r="U13824" s="2"/>
      <c r="V13824" s="2"/>
      <c r="W13824" s="2"/>
      <c r="X13824" s="2"/>
      <c r="Y13824" s="2"/>
      <c r="Z13824" s="2"/>
    </row>
    <row r="13825" spans="1:26" ht="16.5" x14ac:dyDescent="0.35">
      <c r="A13825" s="2" t="str">
        <f ca="1">IFERROR(__xludf.DUMMYFUNCTION("""COMPUTED_VALUE"""),"Dubai")</f>
        <v>Dubai</v>
      </c>
      <c r="B13825" s="2" t="str">
        <f ca="1">IFERROR(__xludf.DUMMYFUNCTION("""COMPUTED_VALUE"""),"Sukoon by Nuri")</f>
        <v>Sukoon by Nuri</v>
      </c>
      <c r="C13825" s="2" t="str">
        <f ca="1">IFERROR(__xludf.DUMMYFUNCTION("""COMPUTED_VALUE"""),"Building")</f>
        <v>Building</v>
      </c>
      <c r="D13825" s="2" t="str">
        <f ca="1">IFERROR(__xludf.DUMMYFUNCTION("""COMPUTED_VALUE"""),"Dubai&gt;Nad Al Sheba&gt;Nad Al Sheba 1&gt;Sukoon by Nuri")</f>
        <v>Dubai&gt;Nad Al Sheba&gt;Nad Al Sheba 1&gt;Sukoon by Nuri</v>
      </c>
      <c r="E13825" s="2"/>
      <c r="F13825" s="2"/>
      <c r="G13825" s="2"/>
      <c r="H13825" s="2"/>
      <c r="I13825" s="2"/>
      <c r="J13825" s="2"/>
      <c r="K13825" s="2"/>
      <c r="L13825" s="2"/>
      <c r="M13825" s="2"/>
      <c r="N13825" s="2"/>
      <c r="O13825" s="2"/>
      <c r="P13825" s="2"/>
      <c r="Q13825" s="2"/>
      <c r="R13825" s="2"/>
      <c r="S13825" s="2"/>
      <c r="T13825" s="2"/>
      <c r="U13825" s="2"/>
      <c r="V13825" s="2"/>
      <c r="W13825" s="2"/>
      <c r="X13825" s="2"/>
      <c r="Y13825" s="2"/>
      <c r="Z13825" s="2"/>
    </row>
    <row r="13826" spans="1:26" ht="16.5" x14ac:dyDescent="0.35">
      <c r="A13826" s="2" t="str">
        <f ca="1">IFERROR(__xludf.DUMMYFUNCTION("""COMPUTED_VALUE"""),"Dubai")</f>
        <v>Dubai</v>
      </c>
      <c r="B13826" s="2" t="str">
        <f ca="1">IFERROR(__xludf.DUMMYFUNCTION("""COMPUTED_VALUE"""),"Zee Tower")</f>
        <v>Zee Tower</v>
      </c>
      <c r="C13826" s="2" t="str">
        <f ca="1">IFERROR(__xludf.DUMMYFUNCTION("""COMPUTED_VALUE"""),"Building")</f>
        <v>Building</v>
      </c>
      <c r="D13826" s="2" t="str">
        <f ca="1">IFERROR(__xludf.DUMMYFUNCTION("""COMPUTED_VALUE"""),"Dubai&gt;Dubai Internet City&gt;Zee Tower")</f>
        <v>Dubai&gt;Dubai Internet City&gt;Zee Tower</v>
      </c>
      <c r="E13826" s="2"/>
      <c r="F13826" s="2"/>
      <c r="G13826" s="2"/>
      <c r="H13826" s="2"/>
      <c r="I13826" s="2"/>
      <c r="J13826" s="2"/>
      <c r="K13826" s="2"/>
      <c r="L13826" s="2"/>
      <c r="M13826" s="2"/>
      <c r="N13826" s="2"/>
      <c r="O13826" s="2"/>
      <c r="P13826" s="2"/>
      <c r="Q13826" s="2"/>
      <c r="R13826" s="2"/>
      <c r="S13826" s="2"/>
      <c r="T13826" s="2"/>
      <c r="U13826" s="2"/>
      <c r="V13826" s="2"/>
      <c r="W13826" s="2"/>
      <c r="X13826" s="2"/>
      <c r="Y13826" s="2"/>
      <c r="Z13826" s="2"/>
    </row>
    <row r="13827" spans="1:26" ht="16.5" x14ac:dyDescent="0.35">
      <c r="A13827" s="2" t="str">
        <f ca="1">IFERROR(__xludf.DUMMYFUNCTION("""COMPUTED_VALUE"""),"Dubai")</f>
        <v>Dubai</v>
      </c>
      <c r="B13827" s="2" t="str">
        <f ca="1">IFERROR(__xludf.DUMMYFUNCTION("""COMPUTED_VALUE"""),"Grand Plaza By Movenpick")</f>
        <v>Grand Plaza By Movenpick</v>
      </c>
      <c r="C13827" s="2" t="str">
        <f ca="1">IFERROR(__xludf.DUMMYFUNCTION("""COMPUTED_VALUE"""),"Building")</f>
        <v>Building</v>
      </c>
      <c r="D13827" s="2" t="str">
        <f ca="1">IFERROR(__xludf.DUMMYFUNCTION("""COMPUTED_VALUE"""),"Dubai&gt;Dubai Internet City&gt;Grand Plaza By Movenpick")</f>
        <v>Dubai&gt;Dubai Internet City&gt;Grand Plaza By Movenpick</v>
      </c>
      <c r="E13827" s="2"/>
      <c r="F13827" s="2"/>
      <c r="G13827" s="2"/>
      <c r="H13827" s="2"/>
      <c r="I13827" s="2"/>
      <c r="J13827" s="2"/>
      <c r="K13827" s="2"/>
      <c r="L13827" s="2"/>
      <c r="M13827" s="2"/>
      <c r="N13827" s="2"/>
      <c r="O13827" s="2"/>
      <c r="P13827" s="2"/>
      <c r="Q13827" s="2"/>
      <c r="R13827" s="2"/>
      <c r="S13827" s="2"/>
      <c r="T13827" s="2"/>
      <c r="U13827" s="2"/>
      <c r="V13827" s="2"/>
      <c r="W13827" s="2"/>
      <c r="X13827" s="2"/>
      <c r="Y13827" s="2"/>
      <c r="Z13827" s="2"/>
    </row>
    <row r="13828" spans="1:26" ht="16.5" x14ac:dyDescent="0.35">
      <c r="A13828" s="2" t="str">
        <f ca="1">IFERROR(__xludf.DUMMYFUNCTION("""COMPUTED_VALUE"""),"Dubai")</f>
        <v>Dubai</v>
      </c>
      <c r="B13828" s="2" t="str">
        <f ca="1">IFERROR(__xludf.DUMMYFUNCTION("""COMPUTED_VALUE"""),"Sirdhana Building 3")</f>
        <v>Sirdhana Building 3</v>
      </c>
      <c r="C13828" s="2" t="str">
        <f ca="1">IFERROR(__xludf.DUMMYFUNCTION("""COMPUTED_VALUE"""),"Building")</f>
        <v>Building</v>
      </c>
      <c r="D13828" s="2" t="str">
        <f ca="1">IFERROR(__xludf.DUMMYFUNCTION("""COMPUTED_VALUE"""),"Dubai&gt;Mina Rashid&gt;Sirdhana&gt;Sirdhana Building 3")</f>
        <v>Dubai&gt;Mina Rashid&gt;Sirdhana&gt;Sirdhana Building 3</v>
      </c>
      <c r="E13828" s="2"/>
      <c r="F13828" s="2"/>
      <c r="G13828" s="2"/>
      <c r="H13828" s="2"/>
      <c r="I13828" s="2"/>
      <c r="J13828" s="2"/>
      <c r="K13828" s="2"/>
      <c r="L13828" s="2"/>
      <c r="M13828" s="2"/>
      <c r="N13828" s="2"/>
      <c r="O13828" s="2"/>
      <c r="P13828" s="2"/>
      <c r="Q13828" s="2"/>
      <c r="R13828" s="2"/>
      <c r="S13828" s="2"/>
      <c r="T13828" s="2"/>
      <c r="U13828" s="2"/>
      <c r="V13828" s="2"/>
      <c r="W13828" s="2"/>
      <c r="X13828" s="2"/>
      <c r="Y13828" s="2"/>
      <c r="Z13828" s="2"/>
    </row>
    <row r="13829" spans="1:26" ht="16.5" x14ac:dyDescent="0.35">
      <c r="A13829" s="2" t="str">
        <f ca="1">IFERROR(__xludf.DUMMYFUNCTION("""COMPUTED_VALUE"""),"Dubai")</f>
        <v>Dubai</v>
      </c>
      <c r="B13829" s="2" t="str">
        <f ca="1">IFERROR(__xludf.DUMMYFUNCTION("""COMPUTED_VALUE"""),"Pier Point")</f>
        <v>Pier Point</v>
      </c>
      <c r="C13829" s="2" t="str">
        <f ca="1">IFERROR(__xludf.DUMMYFUNCTION("""COMPUTED_VALUE"""),"Cluster")</f>
        <v>Cluster</v>
      </c>
      <c r="D13829" s="2" t="str">
        <f ca="1">IFERROR(__xludf.DUMMYFUNCTION("""COMPUTED_VALUE"""),"Dubai&gt;Mina Rashid&gt;Pier Point")</f>
        <v>Dubai&gt;Mina Rashid&gt;Pier Point</v>
      </c>
      <c r="E13829" s="2"/>
      <c r="F13829" s="2"/>
      <c r="G13829" s="2"/>
      <c r="H13829" s="2"/>
      <c r="I13829" s="2"/>
      <c r="J13829" s="2"/>
      <c r="K13829" s="2"/>
      <c r="L13829" s="2"/>
      <c r="M13829" s="2"/>
      <c r="N13829" s="2"/>
      <c r="O13829" s="2"/>
      <c r="P13829" s="2"/>
      <c r="Q13829" s="2"/>
      <c r="R13829" s="2"/>
      <c r="S13829" s="2"/>
      <c r="T13829" s="2"/>
      <c r="U13829" s="2"/>
      <c r="V13829" s="2"/>
      <c r="W13829" s="2"/>
      <c r="X13829" s="2"/>
      <c r="Y13829" s="2"/>
      <c r="Z13829" s="2"/>
    </row>
    <row r="13830" spans="1:26" ht="16.5" x14ac:dyDescent="0.35">
      <c r="A13830" s="2" t="str">
        <f ca="1">IFERROR(__xludf.DUMMYFUNCTION("""COMPUTED_VALUE"""),"Dubai")</f>
        <v>Dubai</v>
      </c>
      <c r="B13830" s="2" t="str">
        <f ca="1">IFERROR(__xludf.DUMMYFUNCTION("""COMPUTED_VALUE"""),"Murqquab")</f>
        <v>Murqquab</v>
      </c>
      <c r="C13830" s="2" t="str">
        <f ca="1">IFERROR(__xludf.DUMMYFUNCTION("""COMPUTED_VALUE"""),"Neighbourhood")</f>
        <v>Neighbourhood</v>
      </c>
      <c r="D13830" s="2" t="str">
        <f ca="1">IFERROR(__xludf.DUMMYFUNCTION("""COMPUTED_VALUE"""),"Dubai&gt;Murqquab")</f>
        <v>Dubai&gt;Murqquab</v>
      </c>
      <c r="E13830" s="2"/>
      <c r="F13830" s="2"/>
      <c r="G13830" s="2"/>
      <c r="H13830" s="2"/>
      <c r="I13830" s="2"/>
      <c r="J13830" s="2"/>
      <c r="K13830" s="2"/>
      <c r="L13830" s="2"/>
      <c r="M13830" s="2"/>
      <c r="N13830" s="2"/>
      <c r="O13830" s="2"/>
      <c r="P13830" s="2"/>
      <c r="Q13830" s="2"/>
      <c r="R13830" s="2"/>
      <c r="S13830" s="2"/>
      <c r="T13830" s="2"/>
      <c r="U13830" s="2"/>
      <c r="V13830" s="2"/>
      <c r="W13830" s="2"/>
      <c r="X13830" s="2"/>
      <c r="Y13830" s="2"/>
      <c r="Z13830" s="2"/>
    </row>
    <row r="13831" spans="1:26" ht="16.5" x14ac:dyDescent="0.35">
      <c r="A13831" s="2" t="str">
        <f ca="1">IFERROR(__xludf.DUMMYFUNCTION("""COMPUTED_VALUE"""),"Dubai")</f>
        <v>Dubai</v>
      </c>
      <c r="B13831" s="2" t="str">
        <f ca="1">IFERROR(__xludf.DUMMYFUNCTION("""COMPUTED_VALUE"""),"Alvorada")</f>
        <v>Alvorada</v>
      </c>
      <c r="C13831" s="2" t="str">
        <f ca="1">IFERROR(__xludf.DUMMYFUNCTION("""COMPUTED_VALUE"""),"Neighbourhood")</f>
        <v>Neighbourhood</v>
      </c>
      <c r="D13831" s="2" t="str">
        <f ca="1">IFERROR(__xludf.DUMMYFUNCTION("""COMPUTED_VALUE"""),"Dubai&gt;Arabian Ranches&gt;Alvorada")</f>
        <v>Dubai&gt;Arabian Ranches&gt;Alvorada</v>
      </c>
      <c r="E13831" s="2"/>
      <c r="F13831" s="2"/>
      <c r="G13831" s="2"/>
      <c r="H13831" s="2"/>
      <c r="I13831" s="2"/>
      <c r="J13831" s="2"/>
      <c r="K13831" s="2"/>
      <c r="L13831" s="2"/>
      <c r="M13831" s="2"/>
      <c r="N13831" s="2"/>
      <c r="O13831" s="2"/>
      <c r="P13831" s="2"/>
      <c r="Q13831" s="2"/>
      <c r="R13831" s="2"/>
      <c r="S13831" s="2"/>
      <c r="T13831" s="2"/>
      <c r="U13831" s="2"/>
      <c r="V13831" s="2"/>
      <c r="W13831" s="2"/>
      <c r="X13831" s="2"/>
      <c r="Y13831" s="2"/>
      <c r="Z13831" s="2"/>
    </row>
    <row r="13832" spans="1:26" ht="16.5" x14ac:dyDescent="0.35">
      <c r="A13832" s="2" t="str">
        <f ca="1">IFERROR(__xludf.DUMMYFUNCTION("""COMPUTED_VALUE"""),"Dubai")</f>
        <v>Dubai</v>
      </c>
      <c r="B13832" s="2" t="str">
        <f ca="1">IFERROR(__xludf.DUMMYFUNCTION("""COMPUTED_VALUE"""),"Mirador La Colleccion")</f>
        <v>Mirador La Colleccion</v>
      </c>
      <c r="C13832" s="2" t="str">
        <f ca="1">IFERROR(__xludf.DUMMYFUNCTION("""COMPUTED_VALUE"""),"Neighbourhood")</f>
        <v>Neighbourhood</v>
      </c>
      <c r="D13832" s="2" t="str">
        <f ca="1">IFERROR(__xludf.DUMMYFUNCTION("""COMPUTED_VALUE"""),"Dubai&gt;Arabian Ranches&gt;Mirador La Colleccion")</f>
        <v>Dubai&gt;Arabian Ranches&gt;Mirador La Colleccion</v>
      </c>
      <c r="E13832" s="2"/>
      <c r="F13832" s="2"/>
      <c r="G13832" s="2"/>
      <c r="H13832" s="2"/>
      <c r="I13832" s="2"/>
      <c r="J13832" s="2"/>
      <c r="K13832" s="2"/>
      <c r="L13832" s="2"/>
      <c r="M13832" s="2"/>
      <c r="N13832" s="2"/>
      <c r="O13832" s="2"/>
      <c r="P13832" s="2"/>
      <c r="Q13832" s="2"/>
      <c r="R13832" s="2"/>
      <c r="S13832" s="2"/>
      <c r="T13832" s="2"/>
      <c r="U13832" s="2"/>
      <c r="V13832" s="2"/>
      <c r="W13832" s="2"/>
      <c r="X13832" s="2"/>
      <c r="Y13832" s="2"/>
      <c r="Z13832" s="2"/>
    </row>
    <row r="13833" spans="1:26" ht="16.5" x14ac:dyDescent="0.35">
      <c r="A13833" s="2" t="str">
        <f ca="1">IFERROR(__xludf.DUMMYFUNCTION("""COMPUTED_VALUE"""),"Dubai")</f>
        <v>Dubai</v>
      </c>
      <c r="B13833" s="2" t="str">
        <f ca="1">IFERROR(__xludf.DUMMYFUNCTION("""COMPUTED_VALUE"""),"The Gardens Building 88")</f>
        <v>The Gardens Building 88</v>
      </c>
      <c r="C13833" s="2" t="str">
        <f ca="1">IFERROR(__xludf.DUMMYFUNCTION("""COMPUTED_VALUE"""),"Building")</f>
        <v>Building</v>
      </c>
      <c r="D13833" s="2" t="str">
        <f ca="1">IFERROR(__xludf.DUMMYFUNCTION("""COMPUTED_VALUE"""),"Dubai&gt;The Gardens&gt;The Gardens Building 88")</f>
        <v>Dubai&gt;The Gardens&gt;The Gardens Building 88</v>
      </c>
      <c r="E13833" s="2"/>
      <c r="F13833" s="2"/>
      <c r="G13833" s="2"/>
      <c r="H13833" s="2"/>
      <c r="I13833" s="2"/>
      <c r="J13833" s="2"/>
      <c r="K13833" s="2"/>
      <c r="L13833" s="2"/>
      <c r="M13833" s="2"/>
      <c r="N13833" s="2"/>
      <c r="O13833" s="2"/>
      <c r="P13833" s="2"/>
      <c r="Q13833" s="2"/>
      <c r="R13833" s="2"/>
      <c r="S13833" s="2"/>
      <c r="T13833" s="2"/>
      <c r="U13833" s="2"/>
      <c r="V13833" s="2"/>
      <c r="W13833" s="2"/>
      <c r="X13833" s="2"/>
      <c r="Y13833" s="2"/>
      <c r="Z13833" s="2"/>
    </row>
    <row r="13834" spans="1:26" ht="16.5" x14ac:dyDescent="0.35">
      <c r="A13834" s="2" t="str">
        <f ca="1">IFERROR(__xludf.DUMMYFUNCTION("""COMPUTED_VALUE"""),"Dubai")</f>
        <v>Dubai</v>
      </c>
      <c r="B13834" s="2" t="str">
        <f ca="1">IFERROR(__xludf.DUMMYFUNCTION("""COMPUTED_VALUE"""),"The Gardens Building 123")</f>
        <v>The Gardens Building 123</v>
      </c>
      <c r="C13834" s="2" t="str">
        <f ca="1">IFERROR(__xludf.DUMMYFUNCTION("""COMPUTED_VALUE"""),"Building")</f>
        <v>Building</v>
      </c>
      <c r="D13834" s="2" t="str">
        <f ca="1">IFERROR(__xludf.DUMMYFUNCTION("""COMPUTED_VALUE"""),"Dubai&gt;The Gardens&gt;The Gardens Building 123")</f>
        <v>Dubai&gt;The Gardens&gt;The Gardens Building 123</v>
      </c>
      <c r="E13834" s="2"/>
      <c r="F13834" s="2"/>
      <c r="G13834" s="2"/>
      <c r="H13834" s="2"/>
      <c r="I13834" s="2"/>
      <c r="J13834" s="2"/>
      <c r="K13834" s="2"/>
      <c r="L13834" s="2"/>
      <c r="M13834" s="2"/>
      <c r="N13834" s="2"/>
      <c r="O13834" s="2"/>
      <c r="P13834" s="2"/>
      <c r="Q13834" s="2"/>
      <c r="R13834" s="2"/>
      <c r="S13834" s="2"/>
      <c r="T13834" s="2"/>
      <c r="U13834" s="2"/>
      <c r="V13834" s="2"/>
      <c r="W13834" s="2"/>
      <c r="X13834" s="2"/>
      <c r="Y13834" s="2"/>
      <c r="Z13834" s="2"/>
    </row>
    <row r="13835" spans="1:26" ht="16.5" x14ac:dyDescent="0.35">
      <c r="A13835" s="2" t="str">
        <f ca="1">IFERROR(__xludf.DUMMYFUNCTION("""COMPUTED_VALUE"""),"Dubai")</f>
        <v>Dubai</v>
      </c>
      <c r="B13835" s="2" t="str">
        <f ca="1">IFERROR(__xludf.DUMMYFUNCTION("""COMPUTED_VALUE"""),"The Gardens Building 6")</f>
        <v>The Gardens Building 6</v>
      </c>
      <c r="C13835" s="2" t="str">
        <f ca="1">IFERROR(__xludf.DUMMYFUNCTION("""COMPUTED_VALUE"""),"Building")</f>
        <v>Building</v>
      </c>
      <c r="D13835" s="2" t="str">
        <f ca="1">IFERROR(__xludf.DUMMYFUNCTION("""COMPUTED_VALUE"""),"Dubai&gt;The Gardens&gt;The Gardens Building 6")</f>
        <v>Dubai&gt;The Gardens&gt;The Gardens Building 6</v>
      </c>
      <c r="E13835" s="2"/>
      <c r="F13835" s="2"/>
      <c r="G13835" s="2"/>
      <c r="H13835" s="2"/>
      <c r="I13835" s="2"/>
      <c r="J13835" s="2"/>
      <c r="K13835" s="2"/>
      <c r="L13835" s="2"/>
      <c r="M13835" s="2"/>
      <c r="N13835" s="2"/>
      <c r="O13835" s="2"/>
      <c r="P13835" s="2"/>
      <c r="Q13835" s="2"/>
      <c r="R13835" s="2"/>
      <c r="S13835" s="2"/>
      <c r="T13835" s="2"/>
      <c r="U13835" s="2"/>
      <c r="V13835" s="2"/>
      <c r="W13835" s="2"/>
      <c r="X13835" s="2"/>
      <c r="Y13835" s="2"/>
      <c r="Z13835" s="2"/>
    </row>
    <row r="13836" spans="1:26" ht="16.5" x14ac:dyDescent="0.35">
      <c r="A13836" s="2" t="str">
        <f ca="1">IFERROR(__xludf.DUMMYFUNCTION("""COMPUTED_VALUE"""),"Dubai")</f>
        <v>Dubai</v>
      </c>
      <c r="B13836" s="2" t="str">
        <f ca="1">IFERROR(__xludf.DUMMYFUNCTION("""COMPUTED_VALUE"""),"The Gardens Building 47")</f>
        <v>The Gardens Building 47</v>
      </c>
      <c r="C13836" s="2" t="str">
        <f ca="1">IFERROR(__xludf.DUMMYFUNCTION("""COMPUTED_VALUE"""),"Building")</f>
        <v>Building</v>
      </c>
      <c r="D13836" s="2" t="str">
        <f ca="1">IFERROR(__xludf.DUMMYFUNCTION("""COMPUTED_VALUE"""),"Dubai&gt;The Gardens&gt;The Gardens Building 47")</f>
        <v>Dubai&gt;The Gardens&gt;The Gardens Building 47</v>
      </c>
      <c r="E13836" s="2"/>
      <c r="F13836" s="2"/>
      <c r="G13836" s="2"/>
      <c r="H13836" s="2"/>
      <c r="I13836" s="2"/>
      <c r="J13836" s="2"/>
      <c r="K13836" s="2"/>
      <c r="L13836" s="2"/>
      <c r="M13836" s="2"/>
      <c r="N13836" s="2"/>
      <c r="O13836" s="2"/>
      <c r="P13836" s="2"/>
      <c r="Q13836" s="2"/>
      <c r="R13836" s="2"/>
      <c r="S13836" s="2"/>
      <c r="T13836" s="2"/>
      <c r="U13836" s="2"/>
      <c r="V13836" s="2"/>
      <c r="W13836" s="2"/>
      <c r="X13836" s="2"/>
      <c r="Y13836" s="2"/>
      <c r="Z13836" s="2"/>
    </row>
    <row r="13837" spans="1:26" ht="16.5" x14ac:dyDescent="0.35">
      <c r="A13837" s="2" t="str">
        <f ca="1">IFERROR(__xludf.DUMMYFUNCTION("""COMPUTED_VALUE"""),"Dubai")</f>
        <v>Dubai</v>
      </c>
      <c r="B13837" s="2" t="str">
        <f ca="1">IFERROR(__xludf.DUMMYFUNCTION("""COMPUTED_VALUE"""),"Seven Solaire")</f>
        <v>Seven Solaire</v>
      </c>
      <c r="C13837" s="2" t="str">
        <f ca="1">IFERROR(__xludf.DUMMYFUNCTION("""COMPUTED_VALUE"""),"Building")</f>
        <v>Building</v>
      </c>
      <c r="D13837" s="2" t="str">
        <f ca="1">IFERROR(__xludf.DUMMYFUNCTION("""COMPUTED_VALUE"""),"Dubai&gt;Al Mamzar&gt;Seven Solaire")</f>
        <v>Dubai&gt;Al Mamzar&gt;Seven Solaire</v>
      </c>
      <c r="E13837" s="2"/>
      <c r="F13837" s="2"/>
      <c r="G13837" s="2"/>
      <c r="H13837" s="2"/>
      <c r="I13837" s="2"/>
      <c r="J13837" s="2"/>
      <c r="K13837" s="2"/>
      <c r="L13837" s="2"/>
      <c r="M13837" s="2"/>
      <c r="N13837" s="2"/>
      <c r="O13837" s="2"/>
      <c r="P13837" s="2"/>
      <c r="Q13837" s="2"/>
      <c r="R13837" s="2"/>
      <c r="S13837" s="2"/>
      <c r="T13837" s="2"/>
      <c r="U13837" s="2"/>
      <c r="V13837" s="2"/>
      <c r="W13837" s="2"/>
      <c r="X13837" s="2"/>
      <c r="Y13837" s="2"/>
      <c r="Z13837" s="2"/>
    </row>
    <row r="13838" spans="1:26" ht="16.5" x14ac:dyDescent="0.35">
      <c r="A13838" s="2" t="str">
        <f ca="1">IFERROR(__xludf.DUMMYFUNCTION("""COMPUTED_VALUE"""),"Dubai")</f>
        <v>Dubai</v>
      </c>
      <c r="B13838" s="2" t="str">
        <f ca="1">IFERROR(__xludf.DUMMYFUNCTION("""COMPUTED_VALUE"""),"Bluewaters Residences 4")</f>
        <v>Bluewaters Residences 4</v>
      </c>
      <c r="C13838" s="2" t="str">
        <f ca="1">IFERROR(__xludf.DUMMYFUNCTION("""COMPUTED_VALUE"""),"Building")</f>
        <v>Building</v>
      </c>
      <c r="D13838" s="2" t="str">
        <f ca="1">IFERROR(__xludf.DUMMYFUNCTION("""COMPUTED_VALUE"""),"Dubai&gt;Bluewaters Island&gt;Bluewaters Residences&gt;Bluewaters Residences 4")</f>
        <v>Dubai&gt;Bluewaters Island&gt;Bluewaters Residences&gt;Bluewaters Residences 4</v>
      </c>
      <c r="E13838" s="2"/>
      <c r="F13838" s="2"/>
      <c r="G13838" s="2"/>
      <c r="H13838" s="2"/>
      <c r="I13838" s="2"/>
      <c r="J13838" s="2"/>
      <c r="K13838" s="2"/>
      <c r="L13838" s="2"/>
      <c r="M13838" s="2"/>
      <c r="N13838" s="2"/>
      <c r="O13838" s="2"/>
      <c r="P13838" s="2"/>
      <c r="Q13838" s="2"/>
      <c r="R13838" s="2"/>
      <c r="S13838" s="2"/>
      <c r="T13838" s="2"/>
      <c r="U13838" s="2"/>
      <c r="V13838" s="2"/>
      <c r="W13838" s="2"/>
      <c r="X13838" s="2"/>
      <c r="Y13838" s="2"/>
      <c r="Z13838" s="2"/>
    </row>
    <row r="13839" spans="1:26" ht="16.5" x14ac:dyDescent="0.35">
      <c r="A13839" s="2" t="str">
        <f ca="1">IFERROR(__xludf.DUMMYFUNCTION("""COMPUTED_VALUE"""),"Dubai")</f>
        <v>Dubai</v>
      </c>
      <c r="B13839" s="2" t="str">
        <f ca="1">IFERROR(__xludf.DUMMYFUNCTION("""COMPUTED_VALUE"""),"Al Wasl Building R453 Block 5")</f>
        <v>Al Wasl Building R453 Block 5</v>
      </c>
      <c r="C13839" s="2" t="str">
        <f ca="1">IFERROR(__xludf.DUMMYFUNCTION("""COMPUTED_VALUE"""),"Building")</f>
        <v>Building</v>
      </c>
      <c r="D13839" s="2" t="str">
        <f ca="1">IFERROR(__xludf.DUMMYFUNCTION("""COMPUTED_VALUE"""),"Dubai&gt;Muhaisnah&gt;Muhaisnah 4&gt;Al Wasl R453&gt;Al Wasl Building R453 Block 5")</f>
        <v>Dubai&gt;Muhaisnah&gt;Muhaisnah 4&gt;Al Wasl R453&gt;Al Wasl Building R453 Block 5</v>
      </c>
      <c r="E13839" s="2"/>
      <c r="F13839" s="2"/>
      <c r="G13839" s="2"/>
      <c r="H13839" s="2"/>
      <c r="I13839" s="2"/>
      <c r="J13839" s="2"/>
      <c r="K13839" s="2"/>
      <c r="L13839" s="2"/>
      <c r="M13839" s="2"/>
      <c r="N13839" s="2"/>
      <c r="O13839" s="2"/>
      <c r="P13839" s="2"/>
      <c r="Q13839" s="2"/>
      <c r="R13839" s="2"/>
      <c r="S13839" s="2"/>
      <c r="T13839" s="2"/>
      <c r="U13839" s="2"/>
      <c r="V13839" s="2"/>
      <c r="W13839" s="2"/>
      <c r="X13839" s="2"/>
      <c r="Y13839" s="2"/>
      <c r="Z13839" s="2"/>
    </row>
    <row r="13840" spans="1:26" ht="16.5" x14ac:dyDescent="0.35">
      <c r="A13840" s="2" t="str">
        <f ca="1">IFERROR(__xludf.DUMMYFUNCTION("""COMPUTED_VALUE"""),"Dubai")</f>
        <v>Dubai</v>
      </c>
      <c r="B13840" s="2" t="str">
        <f ca="1">IFERROR(__xludf.DUMMYFUNCTION("""COMPUTED_VALUE"""),"Qamar 4")</f>
        <v>Qamar 4</v>
      </c>
      <c r="C13840" s="2" t="str">
        <f ca="1">IFERROR(__xludf.DUMMYFUNCTION("""COMPUTED_VALUE"""),"Building")</f>
        <v>Building</v>
      </c>
      <c r="D13840" s="2" t="str">
        <f ca="1">IFERROR(__xludf.DUMMYFUNCTION("""COMPUTED_VALUE"""),"Dubai&gt;Muhaisnah&gt;Muhaisnah 1&gt;Madinat Badr&gt;Qamar 4")</f>
        <v>Dubai&gt;Muhaisnah&gt;Muhaisnah 1&gt;Madinat Badr&gt;Qamar 4</v>
      </c>
      <c r="E13840" s="2"/>
      <c r="F13840" s="2"/>
      <c r="G13840" s="2"/>
      <c r="H13840" s="2"/>
      <c r="I13840" s="2"/>
      <c r="J13840" s="2"/>
      <c r="K13840" s="2"/>
      <c r="L13840" s="2"/>
      <c r="M13840" s="2"/>
      <c r="N13840" s="2"/>
      <c r="O13840" s="2"/>
      <c r="P13840" s="2"/>
      <c r="Q13840" s="2"/>
      <c r="R13840" s="2"/>
      <c r="S13840" s="2"/>
      <c r="T13840" s="2"/>
      <c r="U13840" s="2"/>
      <c r="V13840" s="2"/>
      <c r="W13840" s="2"/>
      <c r="X13840" s="2"/>
      <c r="Y13840" s="2"/>
      <c r="Z13840" s="2"/>
    </row>
    <row r="13841" spans="1:26" ht="16.5" x14ac:dyDescent="0.35">
      <c r="A13841" s="2" t="str">
        <f ca="1">IFERROR(__xludf.DUMMYFUNCTION("""COMPUTED_VALUE"""),"Dubai")</f>
        <v>Dubai</v>
      </c>
      <c r="B13841" s="2" t="str">
        <f ca="1">IFERROR(__xludf.DUMMYFUNCTION("""COMPUTED_VALUE"""),"Ibri House")</f>
        <v>Ibri House</v>
      </c>
      <c r="C13841" s="2" t="str">
        <f ca="1">IFERROR(__xludf.DUMMYFUNCTION("""COMPUTED_VALUE"""),"Building")</f>
        <v>Building</v>
      </c>
      <c r="D13841" s="2" t="str">
        <f ca="1">IFERROR(__xludf.DUMMYFUNCTION("""COMPUTED_VALUE"""),"Dubai&gt;Sheikh Zayed Road&gt;Ibri House")</f>
        <v>Dubai&gt;Sheikh Zayed Road&gt;Ibri House</v>
      </c>
      <c r="E13841" s="2"/>
      <c r="F13841" s="2"/>
      <c r="G13841" s="2"/>
      <c r="H13841" s="2"/>
      <c r="I13841" s="2"/>
      <c r="J13841" s="2"/>
      <c r="K13841" s="2"/>
      <c r="L13841" s="2"/>
      <c r="M13841" s="2"/>
      <c r="N13841" s="2"/>
      <c r="O13841" s="2"/>
      <c r="P13841" s="2"/>
      <c r="Q13841" s="2"/>
      <c r="R13841" s="2"/>
      <c r="S13841" s="2"/>
      <c r="T13841" s="2"/>
      <c r="U13841" s="2"/>
      <c r="V13841" s="2"/>
      <c r="W13841" s="2"/>
      <c r="X13841" s="2"/>
      <c r="Y13841" s="2"/>
      <c r="Z13841" s="2"/>
    </row>
    <row r="13842" spans="1:26" ht="16.5" x14ac:dyDescent="0.35">
      <c r="A13842" s="2" t="str">
        <f ca="1">IFERROR(__xludf.DUMMYFUNCTION("""COMPUTED_VALUE"""),"Dubai")</f>
        <v>Dubai</v>
      </c>
      <c r="B13842" s="2" t="str">
        <f ca="1">IFERROR(__xludf.DUMMYFUNCTION("""COMPUTED_VALUE"""),"Aspin Tower")</f>
        <v>Aspin Tower</v>
      </c>
      <c r="C13842" s="2" t="str">
        <f ca="1">IFERROR(__xludf.DUMMYFUNCTION("""COMPUTED_VALUE"""),"Building")</f>
        <v>Building</v>
      </c>
      <c r="D13842" s="2" t="str">
        <f ca="1">IFERROR(__xludf.DUMMYFUNCTION("""COMPUTED_VALUE"""),"Dubai&gt;Sheikh Zayed Road&gt;Aspin Tower")</f>
        <v>Dubai&gt;Sheikh Zayed Road&gt;Aspin Tower</v>
      </c>
      <c r="E13842" s="2"/>
      <c r="F13842" s="2"/>
      <c r="G13842" s="2"/>
      <c r="H13842" s="2"/>
      <c r="I13842" s="2"/>
      <c r="J13842" s="2"/>
      <c r="K13842" s="2"/>
      <c r="L13842" s="2"/>
      <c r="M13842" s="2"/>
      <c r="N13842" s="2"/>
      <c r="O13842" s="2"/>
      <c r="P13842" s="2"/>
      <c r="Q13842" s="2"/>
      <c r="R13842" s="2"/>
      <c r="S13842" s="2"/>
      <c r="T13842" s="2"/>
      <c r="U13842" s="2"/>
      <c r="V13842" s="2"/>
      <c r="W13842" s="2"/>
      <c r="X13842" s="2"/>
      <c r="Y13842" s="2"/>
      <c r="Z13842" s="2"/>
    </row>
    <row r="13843" spans="1:26" ht="16.5" x14ac:dyDescent="0.35">
      <c r="A13843" s="2" t="str">
        <f ca="1">IFERROR(__xludf.DUMMYFUNCTION("""COMPUTED_VALUE"""),"Dubai")</f>
        <v>Dubai</v>
      </c>
      <c r="B13843" s="2" t="str">
        <f ca="1">IFERROR(__xludf.DUMMYFUNCTION("""COMPUTED_VALUE"""),"Ascott Park Place Dubai")</f>
        <v>Ascott Park Place Dubai</v>
      </c>
      <c r="C13843" s="2" t="str">
        <f ca="1">IFERROR(__xludf.DUMMYFUNCTION("""COMPUTED_VALUE"""),"Building")</f>
        <v>Building</v>
      </c>
      <c r="D13843" s="2" t="str">
        <f ca="1">IFERROR(__xludf.DUMMYFUNCTION("""COMPUTED_VALUE"""),"Dubai&gt;Sheikh Zayed Road&gt;Ascott Park Place Dubai")</f>
        <v>Dubai&gt;Sheikh Zayed Road&gt;Ascott Park Place Dubai</v>
      </c>
      <c r="E13843" s="2"/>
      <c r="F13843" s="2"/>
      <c r="G13843" s="2"/>
      <c r="H13843" s="2"/>
      <c r="I13843" s="2"/>
      <c r="J13843" s="2"/>
      <c r="K13843" s="2"/>
      <c r="L13843" s="2"/>
      <c r="M13843" s="2"/>
      <c r="N13843" s="2"/>
      <c r="O13843" s="2"/>
      <c r="P13843" s="2"/>
      <c r="Q13843" s="2"/>
      <c r="R13843" s="2"/>
      <c r="S13843" s="2"/>
      <c r="T13843" s="2"/>
      <c r="U13843" s="2"/>
      <c r="V13843" s="2"/>
      <c r="W13843" s="2"/>
      <c r="X13843" s="2"/>
      <c r="Y13843" s="2"/>
      <c r="Z13843" s="2"/>
    </row>
    <row r="13844" spans="1:26" ht="16.5" x14ac:dyDescent="0.35">
      <c r="A13844" s="2" t="str">
        <f ca="1">IFERROR(__xludf.DUMMYFUNCTION("""COMPUTED_VALUE"""),"Dubai")</f>
        <v>Dubai</v>
      </c>
      <c r="B13844" s="2" t="str">
        <f ca="1">IFERROR(__xludf.DUMMYFUNCTION("""COMPUTED_VALUE"""),"Grosvenor House Commercial Tower")</f>
        <v>Grosvenor House Commercial Tower</v>
      </c>
      <c r="C13844" s="2" t="str">
        <f ca="1">IFERROR(__xludf.DUMMYFUNCTION("""COMPUTED_VALUE"""),"Building")</f>
        <v>Building</v>
      </c>
      <c r="D13844" s="2" t="str">
        <f ca="1">IFERROR(__xludf.DUMMYFUNCTION("""COMPUTED_VALUE"""),"Dubai&gt;Sheikh Zayed Road&gt;Grosvenor House Commercial Tower")</f>
        <v>Dubai&gt;Sheikh Zayed Road&gt;Grosvenor House Commercial Tower</v>
      </c>
      <c r="E13844" s="2"/>
      <c r="F13844" s="2"/>
      <c r="G13844" s="2"/>
      <c r="H13844" s="2"/>
      <c r="I13844" s="2"/>
      <c r="J13844" s="2"/>
      <c r="K13844" s="2"/>
      <c r="L13844" s="2"/>
      <c r="M13844" s="2"/>
      <c r="N13844" s="2"/>
      <c r="O13844" s="2"/>
      <c r="P13844" s="2"/>
      <c r="Q13844" s="2"/>
      <c r="R13844" s="2"/>
      <c r="S13844" s="2"/>
      <c r="T13844" s="2"/>
      <c r="U13844" s="2"/>
      <c r="V13844" s="2"/>
      <c r="W13844" s="2"/>
      <c r="X13844" s="2"/>
      <c r="Y13844" s="2"/>
      <c r="Z13844" s="2"/>
    </row>
    <row r="13845" spans="1:26" ht="16.5" x14ac:dyDescent="0.35">
      <c r="A13845" s="2" t="str">
        <f ca="1">IFERROR(__xludf.DUMMYFUNCTION("""COMPUTED_VALUE"""),"Dubai")</f>
        <v>Dubai</v>
      </c>
      <c r="B13845" s="2" t="str">
        <f ca="1">IFERROR(__xludf.DUMMYFUNCTION("""COMPUTED_VALUE"""),"Wasl Ivory")</f>
        <v>Wasl Ivory</v>
      </c>
      <c r="C13845" s="2" t="str">
        <f ca="1">IFERROR(__xludf.DUMMYFUNCTION("""COMPUTED_VALUE"""),"Building")</f>
        <v>Building</v>
      </c>
      <c r="D13845" s="2" t="str">
        <f ca="1">IFERROR(__xludf.DUMMYFUNCTION("""COMPUTED_VALUE"""),"Dubai&gt;Al Karama&gt;Wasl Ivory")</f>
        <v>Dubai&gt;Al Karama&gt;Wasl Ivory</v>
      </c>
      <c r="E13845" s="2"/>
      <c r="F13845" s="2"/>
      <c r="G13845" s="2"/>
      <c r="H13845" s="2"/>
      <c r="I13845" s="2"/>
      <c r="J13845" s="2"/>
      <c r="K13845" s="2"/>
      <c r="L13845" s="2"/>
      <c r="M13845" s="2"/>
      <c r="N13845" s="2"/>
      <c r="O13845" s="2"/>
      <c r="P13845" s="2"/>
      <c r="Q13845" s="2"/>
      <c r="R13845" s="2"/>
      <c r="S13845" s="2"/>
      <c r="T13845" s="2"/>
      <c r="U13845" s="2"/>
      <c r="V13845" s="2"/>
      <c r="W13845" s="2"/>
      <c r="X13845" s="2"/>
      <c r="Y13845" s="2"/>
      <c r="Z13845" s="2"/>
    </row>
    <row r="13846" spans="1:26" ht="16.5" x14ac:dyDescent="0.35">
      <c r="A13846" s="2" t="str">
        <f ca="1">IFERROR(__xludf.DUMMYFUNCTION("""COMPUTED_VALUE"""),"Dubai")</f>
        <v>Dubai</v>
      </c>
      <c r="B13846" s="2" t="str">
        <f ca="1">IFERROR(__xludf.DUMMYFUNCTION("""COMPUTED_VALUE"""),"Building 16")</f>
        <v>Building 16</v>
      </c>
      <c r="C13846" s="2" t="str">
        <f ca="1">IFERROR(__xludf.DUMMYFUNCTION("""COMPUTED_VALUE"""),"Building")</f>
        <v>Building</v>
      </c>
      <c r="D13846" s="2" t="str">
        <f ca="1">IFERROR(__xludf.DUMMYFUNCTION("""COMPUTED_VALUE"""),"Dubai&gt;Al Karama&gt;Karam Pioneer Buildings&gt;Building 16")</f>
        <v>Dubai&gt;Al Karama&gt;Karam Pioneer Buildings&gt;Building 16</v>
      </c>
      <c r="E13846" s="2"/>
      <c r="F13846" s="2"/>
      <c r="G13846" s="2"/>
      <c r="H13846" s="2"/>
      <c r="I13846" s="2"/>
      <c r="J13846" s="2"/>
      <c r="K13846" s="2"/>
      <c r="L13846" s="2"/>
      <c r="M13846" s="2"/>
      <c r="N13846" s="2"/>
      <c r="O13846" s="2"/>
      <c r="P13846" s="2"/>
      <c r="Q13846" s="2"/>
      <c r="R13846" s="2"/>
      <c r="S13846" s="2"/>
      <c r="T13846" s="2"/>
      <c r="U13846" s="2"/>
      <c r="V13846" s="2"/>
      <c r="W13846" s="2"/>
      <c r="X13846" s="2"/>
      <c r="Y13846" s="2"/>
      <c r="Z13846" s="2"/>
    </row>
    <row r="13847" spans="1:26" ht="16.5" x14ac:dyDescent="0.35">
      <c r="A13847" s="2" t="str">
        <f ca="1">IFERROR(__xludf.DUMMYFUNCTION("""COMPUTED_VALUE"""),"Dubai")</f>
        <v>Dubai</v>
      </c>
      <c r="B13847" s="2" t="str">
        <f ca="1">IFERROR(__xludf.DUMMYFUNCTION("""COMPUTED_VALUE"""),"Building 48")</f>
        <v>Building 48</v>
      </c>
      <c r="C13847" s="2" t="str">
        <f ca="1">IFERROR(__xludf.DUMMYFUNCTION("""COMPUTED_VALUE"""),"Building")</f>
        <v>Building</v>
      </c>
      <c r="D13847" s="2" t="str">
        <f ca="1">IFERROR(__xludf.DUMMYFUNCTION("""COMPUTED_VALUE"""),"Dubai&gt;Al Karama&gt;Karam Pioneer Buildings&gt;Building 48")</f>
        <v>Dubai&gt;Al Karama&gt;Karam Pioneer Buildings&gt;Building 48</v>
      </c>
      <c r="E13847" s="2"/>
      <c r="F13847" s="2"/>
      <c r="G13847" s="2"/>
      <c r="H13847" s="2"/>
      <c r="I13847" s="2"/>
      <c r="J13847" s="2"/>
      <c r="K13847" s="2"/>
      <c r="L13847" s="2"/>
      <c r="M13847" s="2"/>
      <c r="N13847" s="2"/>
      <c r="O13847" s="2"/>
      <c r="P13847" s="2"/>
      <c r="Q13847" s="2"/>
      <c r="R13847" s="2"/>
      <c r="S13847" s="2"/>
      <c r="T13847" s="2"/>
      <c r="U13847" s="2"/>
      <c r="V13847" s="2"/>
      <c r="W13847" s="2"/>
      <c r="X13847" s="2"/>
      <c r="Y13847" s="2"/>
      <c r="Z13847" s="2"/>
    </row>
    <row r="13848" spans="1:26" ht="16.5" x14ac:dyDescent="0.35">
      <c r="A13848" s="2" t="str">
        <f ca="1">IFERROR(__xludf.DUMMYFUNCTION("""COMPUTED_VALUE"""),"Dubai")</f>
        <v>Dubai</v>
      </c>
      <c r="B13848" s="2" t="str">
        <f ca="1">IFERROR(__xludf.DUMMYFUNCTION("""COMPUTED_VALUE"""),"Al Rais Building")</f>
        <v>Al Rais Building</v>
      </c>
      <c r="C13848" s="2" t="str">
        <f ca="1">IFERROR(__xludf.DUMMYFUNCTION("""COMPUTED_VALUE"""),"Building")</f>
        <v>Building</v>
      </c>
      <c r="D13848" s="2" t="str">
        <f ca="1">IFERROR(__xludf.DUMMYFUNCTION("""COMPUTED_VALUE"""),"Dubai&gt;Al Karama&gt;Al Rais Building")</f>
        <v>Dubai&gt;Al Karama&gt;Al Rais Building</v>
      </c>
      <c r="E13848" s="2"/>
      <c r="F13848" s="2"/>
      <c r="G13848" s="2"/>
      <c r="H13848" s="2"/>
      <c r="I13848" s="2"/>
      <c r="J13848" s="2"/>
      <c r="K13848" s="2"/>
      <c r="L13848" s="2"/>
      <c r="M13848" s="2"/>
      <c r="N13848" s="2"/>
      <c r="O13848" s="2"/>
      <c r="P13848" s="2"/>
      <c r="Q13848" s="2"/>
      <c r="R13848" s="2"/>
      <c r="S13848" s="2"/>
      <c r="T13848" s="2"/>
      <c r="U13848" s="2"/>
      <c r="V13848" s="2"/>
      <c r="W13848" s="2"/>
      <c r="X13848" s="2"/>
      <c r="Y13848" s="2"/>
      <c r="Z13848" s="2"/>
    </row>
    <row r="13849" spans="1:26" ht="16.5" x14ac:dyDescent="0.35">
      <c r="A13849" s="2" t="str">
        <f ca="1">IFERROR(__xludf.DUMMYFUNCTION("""COMPUTED_VALUE"""),"Dubai")</f>
        <v>Dubai</v>
      </c>
      <c r="B13849" s="2" t="str">
        <f ca="1">IFERROR(__xludf.DUMMYFUNCTION("""COMPUTED_VALUE"""),"Mohammed Saeed Hareb Building")</f>
        <v>Mohammed Saeed Hareb Building</v>
      </c>
      <c r="C13849" s="2" t="str">
        <f ca="1">IFERROR(__xludf.DUMMYFUNCTION("""COMPUTED_VALUE"""),"Building")</f>
        <v>Building</v>
      </c>
      <c r="D13849" s="2" t="str">
        <f ca="1">IFERROR(__xludf.DUMMYFUNCTION("""COMPUTED_VALUE"""),"Dubai&gt;Al Karama&gt;Mohammed Saeed Hareb Building")</f>
        <v>Dubai&gt;Al Karama&gt;Mohammed Saeed Hareb Building</v>
      </c>
      <c r="E13849" s="2"/>
      <c r="F13849" s="2"/>
      <c r="G13849" s="2"/>
      <c r="H13849" s="2"/>
      <c r="I13849" s="2"/>
      <c r="J13849" s="2"/>
      <c r="K13849" s="2"/>
      <c r="L13849" s="2"/>
      <c r="M13849" s="2"/>
      <c r="N13849" s="2"/>
      <c r="O13849" s="2"/>
      <c r="P13849" s="2"/>
      <c r="Q13849" s="2"/>
      <c r="R13849" s="2"/>
      <c r="S13849" s="2"/>
      <c r="T13849" s="2"/>
      <c r="U13849" s="2"/>
      <c r="V13849" s="2"/>
      <c r="W13849" s="2"/>
      <c r="X13849" s="2"/>
      <c r="Y13849" s="2"/>
      <c r="Z13849" s="2"/>
    </row>
    <row r="13850" spans="1:26" ht="16.5" x14ac:dyDescent="0.35">
      <c r="A13850" s="2" t="str">
        <f ca="1">IFERROR(__xludf.DUMMYFUNCTION("""COMPUTED_VALUE"""),"Dubai")</f>
        <v>Dubai</v>
      </c>
      <c r="B13850" s="2" t="str">
        <f ca="1">IFERROR(__xludf.DUMMYFUNCTION("""COMPUTED_VALUE"""),"Ghanem Khalfan Building")</f>
        <v>Ghanem Khalfan Building</v>
      </c>
      <c r="C13850" s="2" t="str">
        <f ca="1">IFERROR(__xludf.DUMMYFUNCTION("""COMPUTED_VALUE"""),"Building")</f>
        <v>Building</v>
      </c>
      <c r="D13850" s="2" t="str">
        <f ca="1">IFERROR(__xludf.DUMMYFUNCTION("""COMPUTED_VALUE"""),"Dubai&gt;Al Karama&gt;Ghanem Khalfan Building")</f>
        <v>Dubai&gt;Al Karama&gt;Ghanem Khalfan Building</v>
      </c>
      <c r="E13850" s="2"/>
      <c r="F13850" s="2"/>
      <c r="G13850" s="2"/>
      <c r="H13850" s="2"/>
      <c r="I13850" s="2"/>
      <c r="J13850" s="2"/>
      <c r="K13850" s="2"/>
      <c r="L13850" s="2"/>
      <c r="M13850" s="2"/>
      <c r="N13850" s="2"/>
      <c r="O13850" s="2"/>
      <c r="P13850" s="2"/>
      <c r="Q13850" s="2"/>
      <c r="R13850" s="2"/>
      <c r="S13850" s="2"/>
      <c r="T13850" s="2"/>
      <c r="U13850" s="2"/>
      <c r="V13850" s="2"/>
      <c r="W13850" s="2"/>
      <c r="X13850" s="2"/>
      <c r="Y13850" s="2"/>
      <c r="Z13850" s="2"/>
    </row>
    <row r="13851" spans="1:26" ht="16.5" x14ac:dyDescent="0.35">
      <c r="A13851" s="2" t="str">
        <f ca="1">IFERROR(__xludf.DUMMYFUNCTION("""COMPUTED_VALUE"""),"Dubai")</f>
        <v>Dubai</v>
      </c>
      <c r="B13851" s="2" t="str">
        <f ca="1">IFERROR(__xludf.DUMMYFUNCTION("""COMPUTED_VALUE"""),"Al Sherouq")</f>
        <v>Al Sherouq</v>
      </c>
      <c r="C13851" s="2" t="str">
        <f ca="1">IFERROR(__xludf.DUMMYFUNCTION("""COMPUTED_VALUE"""),"Building")</f>
        <v>Building</v>
      </c>
      <c r="D13851" s="2" t="str">
        <f ca="1">IFERROR(__xludf.DUMMYFUNCTION("""COMPUTED_VALUE"""),"Dubai&gt;Al Karama&gt;Al Sherouq")</f>
        <v>Dubai&gt;Al Karama&gt;Al Sherouq</v>
      </c>
      <c r="E13851" s="2"/>
      <c r="F13851" s="2"/>
      <c r="G13851" s="2"/>
      <c r="H13851" s="2"/>
      <c r="I13851" s="2"/>
      <c r="J13851" s="2"/>
      <c r="K13851" s="2"/>
      <c r="L13851" s="2"/>
      <c r="M13851" s="2"/>
      <c r="N13851" s="2"/>
      <c r="O13851" s="2"/>
      <c r="P13851" s="2"/>
      <c r="Q13851" s="2"/>
      <c r="R13851" s="2"/>
      <c r="S13851" s="2"/>
      <c r="T13851" s="2"/>
      <c r="U13851" s="2"/>
      <c r="V13851" s="2"/>
      <c r="W13851" s="2"/>
      <c r="X13851" s="2"/>
      <c r="Y13851" s="2"/>
      <c r="Z13851" s="2"/>
    </row>
    <row r="13852" spans="1:26" ht="16.5" x14ac:dyDescent="0.35">
      <c r="A13852" s="2" t="str">
        <f ca="1">IFERROR(__xludf.DUMMYFUNCTION("""COMPUTED_VALUE"""),"Dubai")</f>
        <v>Dubai</v>
      </c>
      <c r="B13852" s="2" t="str">
        <f ca="1">IFERROR(__xludf.DUMMYFUNCTION("""COMPUTED_VALUE"""),"Radiant Bin Lahej Building")</f>
        <v>Radiant Bin Lahej Building</v>
      </c>
      <c r="C13852" s="2" t="str">
        <f ca="1">IFERROR(__xludf.DUMMYFUNCTION("""COMPUTED_VALUE"""),"Building")</f>
        <v>Building</v>
      </c>
      <c r="D13852" s="2" t="str">
        <f ca="1">IFERROR(__xludf.DUMMYFUNCTION("""COMPUTED_VALUE"""),"Dubai&gt;Al Karama&gt;Radiant Bin Lahej Building")</f>
        <v>Dubai&gt;Al Karama&gt;Radiant Bin Lahej Building</v>
      </c>
      <c r="E13852" s="2"/>
      <c r="F13852" s="2"/>
      <c r="G13852" s="2"/>
      <c r="H13852" s="2"/>
      <c r="I13852" s="2"/>
      <c r="J13852" s="2"/>
      <c r="K13852" s="2"/>
      <c r="L13852" s="2"/>
      <c r="M13852" s="2"/>
      <c r="N13852" s="2"/>
      <c r="O13852" s="2"/>
      <c r="P13852" s="2"/>
      <c r="Q13852" s="2"/>
      <c r="R13852" s="2"/>
      <c r="S13852" s="2"/>
      <c r="T13852" s="2"/>
      <c r="U13852" s="2"/>
      <c r="V13852" s="2"/>
      <c r="W13852" s="2"/>
      <c r="X13852" s="2"/>
      <c r="Y13852" s="2"/>
      <c r="Z13852" s="2"/>
    </row>
    <row r="13853" spans="1:26" ht="16.5" x14ac:dyDescent="0.35">
      <c r="A13853" s="2" t="str">
        <f ca="1">IFERROR(__xludf.DUMMYFUNCTION("""COMPUTED_VALUE"""),"Dubai")</f>
        <v>Dubai</v>
      </c>
      <c r="B13853" s="2" t="str">
        <f ca="1">IFERROR(__xludf.DUMMYFUNCTION("""COMPUTED_VALUE"""),"Zaroni Building")</f>
        <v>Zaroni Building</v>
      </c>
      <c r="C13853" s="2" t="str">
        <f ca="1">IFERROR(__xludf.DUMMYFUNCTION("""COMPUTED_VALUE"""),"Building")</f>
        <v>Building</v>
      </c>
      <c r="D13853" s="2" t="str">
        <f ca="1">IFERROR(__xludf.DUMMYFUNCTION("""COMPUTED_VALUE"""),"Dubai&gt;Al Karama&gt;Zaroni Building")</f>
        <v>Dubai&gt;Al Karama&gt;Zaroni Building</v>
      </c>
      <c r="E13853" s="2"/>
      <c r="F13853" s="2"/>
      <c r="G13853" s="2"/>
      <c r="H13853" s="2"/>
      <c r="I13853" s="2"/>
      <c r="J13853" s="2"/>
      <c r="K13853" s="2"/>
      <c r="L13853" s="2"/>
      <c r="M13853" s="2"/>
      <c r="N13853" s="2"/>
      <c r="O13853" s="2"/>
      <c r="P13853" s="2"/>
      <c r="Q13853" s="2"/>
      <c r="R13853" s="2"/>
      <c r="S13853" s="2"/>
      <c r="T13853" s="2"/>
      <c r="U13853" s="2"/>
      <c r="V13853" s="2"/>
      <c r="W13853" s="2"/>
      <c r="X13853" s="2"/>
      <c r="Y13853" s="2"/>
      <c r="Z13853" s="2"/>
    </row>
    <row r="13854" spans="1:26" ht="16.5" x14ac:dyDescent="0.35">
      <c r="A13854" s="2" t="str">
        <f ca="1">IFERROR(__xludf.DUMMYFUNCTION("""COMPUTED_VALUE"""),"Dubai")</f>
        <v>Dubai</v>
      </c>
      <c r="B13854" s="2" t="str">
        <f ca="1">IFERROR(__xludf.DUMMYFUNCTION("""COMPUTED_VALUE"""),"Hitoof")</f>
        <v>Hitoof</v>
      </c>
      <c r="C13854" s="2" t="str">
        <f ca="1">IFERROR(__xludf.DUMMYFUNCTION("""COMPUTED_VALUE"""),"Building")</f>
        <v>Building</v>
      </c>
      <c r="D13854" s="2" t="str">
        <f ca="1">IFERROR(__xludf.DUMMYFUNCTION("""COMPUTED_VALUE"""),"Dubai&gt;Al Karama&gt;Hitoof")</f>
        <v>Dubai&gt;Al Karama&gt;Hitoof</v>
      </c>
      <c r="E13854" s="2"/>
      <c r="F13854" s="2"/>
      <c r="G13854" s="2"/>
      <c r="H13854" s="2"/>
      <c r="I13854" s="2"/>
      <c r="J13854" s="2"/>
      <c r="K13854" s="2"/>
      <c r="L13854" s="2"/>
      <c r="M13854" s="2"/>
      <c r="N13854" s="2"/>
      <c r="O13854" s="2"/>
      <c r="P13854" s="2"/>
      <c r="Q13854" s="2"/>
      <c r="R13854" s="2"/>
      <c r="S13854" s="2"/>
      <c r="T13854" s="2"/>
      <c r="U13854" s="2"/>
      <c r="V13854" s="2"/>
      <c r="W13854" s="2"/>
      <c r="X13854" s="2"/>
      <c r="Y13854" s="2"/>
      <c r="Z13854" s="2"/>
    </row>
    <row r="13855" spans="1:26" ht="16.5" x14ac:dyDescent="0.35">
      <c r="A13855" s="2" t="str">
        <f ca="1">IFERROR(__xludf.DUMMYFUNCTION("""COMPUTED_VALUE"""),"Dubai")</f>
        <v>Dubai</v>
      </c>
      <c r="B13855" s="2" t="str">
        <f ca="1">IFERROR(__xludf.DUMMYFUNCTION("""COMPUTED_VALUE"""),"Sakhar Building")</f>
        <v>Sakhar Building</v>
      </c>
      <c r="C13855" s="2" t="str">
        <f ca="1">IFERROR(__xludf.DUMMYFUNCTION("""COMPUTED_VALUE"""),"Building")</f>
        <v>Building</v>
      </c>
      <c r="D13855" s="2" t="str">
        <f ca="1">IFERROR(__xludf.DUMMYFUNCTION("""COMPUTED_VALUE"""),"Dubai&gt;Al Karama&gt;Sakhar Building")</f>
        <v>Dubai&gt;Al Karama&gt;Sakhar Building</v>
      </c>
      <c r="E13855" s="2"/>
      <c r="F13855" s="2"/>
      <c r="G13855" s="2"/>
      <c r="H13855" s="2"/>
      <c r="I13855" s="2"/>
      <c r="J13855" s="2"/>
      <c r="K13855" s="2"/>
      <c r="L13855" s="2"/>
      <c r="M13855" s="2"/>
      <c r="N13855" s="2"/>
      <c r="O13855" s="2"/>
      <c r="P13855" s="2"/>
      <c r="Q13855" s="2"/>
      <c r="R13855" s="2"/>
      <c r="S13855" s="2"/>
      <c r="T13855" s="2"/>
      <c r="U13855" s="2"/>
      <c r="V13855" s="2"/>
      <c r="W13855" s="2"/>
      <c r="X13855" s="2"/>
      <c r="Y13855" s="2"/>
      <c r="Z13855" s="2"/>
    </row>
    <row r="13856" spans="1:26" ht="16.5" x14ac:dyDescent="0.35">
      <c r="A13856" s="2" t="str">
        <f ca="1">IFERROR(__xludf.DUMMYFUNCTION("""COMPUTED_VALUE"""),"Dubai")</f>
        <v>Dubai</v>
      </c>
      <c r="B13856" s="2" t="str">
        <f ca="1">IFERROR(__xludf.DUMMYFUNCTION("""COMPUTED_VALUE"""),"Ali Khalifa Belaisha Bin Belaisha Alketbi Building")</f>
        <v>Ali Khalifa Belaisha Bin Belaisha Alketbi Building</v>
      </c>
      <c r="C13856" s="2" t="str">
        <f ca="1">IFERROR(__xludf.DUMMYFUNCTION("""COMPUTED_VALUE"""),"Building")</f>
        <v>Building</v>
      </c>
      <c r="D13856" s="2" t="str">
        <f ca="1">IFERROR(__xludf.DUMMYFUNCTION("""COMPUTED_VALUE"""),"Dubai&gt;Al Karama&gt;Ali Khalifa Belaisha Bin Belaisha Alketbi Building")</f>
        <v>Dubai&gt;Al Karama&gt;Ali Khalifa Belaisha Bin Belaisha Alketbi Building</v>
      </c>
      <c r="E13856" s="2"/>
      <c r="F13856" s="2"/>
      <c r="G13856" s="2"/>
      <c r="H13856" s="2"/>
      <c r="I13856" s="2"/>
      <c r="J13856" s="2"/>
      <c r="K13856" s="2"/>
      <c r="L13856" s="2"/>
      <c r="M13856" s="2"/>
      <c r="N13856" s="2"/>
      <c r="O13856" s="2"/>
      <c r="P13856" s="2"/>
      <c r="Q13856" s="2"/>
      <c r="R13856" s="2"/>
      <c r="S13856" s="2"/>
      <c r="T13856" s="2"/>
      <c r="U13856" s="2"/>
      <c r="V13856" s="2"/>
      <c r="W13856" s="2"/>
      <c r="X13856" s="2"/>
      <c r="Y13856" s="2"/>
      <c r="Z13856" s="2"/>
    </row>
    <row r="13857" spans="1:26" ht="16.5" x14ac:dyDescent="0.35">
      <c r="A13857" s="2" t="str">
        <f ca="1">IFERROR(__xludf.DUMMYFUNCTION("""COMPUTED_VALUE"""),"Dubai")</f>
        <v>Dubai</v>
      </c>
      <c r="B13857" s="2" t="str">
        <f ca="1">IFERROR(__xludf.DUMMYFUNCTION("""COMPUTED_VALUE"""),"Kingsgate Canal Hotel")</f>
        <v>Kingsgate Canal Hotel</v>
      </c>
      <c r="C13857" s="2" t="str">
        <f ca="1">IFERROR(__xludf.DUMMYFUNCTION("""COMPUTED_VALUE"""),"Building")</f>
        <v>Building</v>
      </c>
      <c r="D13857" s="2" t="str">
        <f ca="1">IFERROR(__xludf.DUMMYFUNCTION("""COMPUTED_VALUE"""),"Dubai&gt;Culture Village (Jaddaf Waterfront)&gt;Courtyard by Marriott Culture Village&gt;Kingsgate Canal Hotel")</f>
        <v>Dubai&gt;Culture Village (Jaddaf Waterfront)&gt;Courtyard by Marriott Culture Village&gt;Kingsgate Canal Hotel</v>
      </c>
      <c r="E13857" s="2"/>
      <c r="F13857" s="2"/>
      <c r="G13857" s="2"/>
      <c r="H13857" s="2"/>
      <c r="I13857" s="2"/>
      <c r="J13857" s="2"/>
      <c r="K13857" s="2"/>
      <c r="L13857" s="2"/>
      <c r="M13857" s="2"/>
      <c r="N13857" s="2"/>
      <c r="O13857" s="2"/>
      <c r="P13857" s="2"/>
      <c r="Q13857" s="2"/>
      <c r="R13857" s="2"/>
      <c r="S13857" s="2"/>
      <c r="T13857" s="2"/>
      <c r="U13857" s="2"/>
      <c r="V13857" s="2"/>
      <c r="W13857" s="2"/>
      <c r="X13857" s="2"/>
      <c r="Y13857" s="2"/>
      <c r="Z13857" s="2"/>
    </row>
    <row r="13858" spans="1:26" ht="16.5" x14ac:dyDescent="0.35">
      <c r="A13858" s="2" t="str">
        <f ca="1">IFERROR(__xludf.DUMMYFUNCTION("""COMPUTED_VALUE"""),"Dubai")</f>
        <v>Dubai</v>
      </c>
      <c r="B13858" s="2" t="str">
        <f ca="1">IFERROR(__xludf.DUMMYFUNCTION("""COMPUTED_VALUE"""),"Raffles Nursery Umm Suqeim")</f>
        <v>Raffles Nursery Umm Suqeim</v>
      </c>
      <c r="C13858" s="2" t="str">
        <f ca="1">IFERROR(__xludf.DUMMYFUNCTION("""COMPUTED_VALUE"""),"Nursery")</f>
        <v>Nursery</v>
      </c>
      <c r="D13858" s="2" t="str">
        <f ca="1">IFERROR(__xludf.DUMMYFUNCTION("""COMPUTED_VALUE"""),"Dubai&gt;Umm Suqeim&gt;Umm Suqeim 3&gt;Raffles Nursery Umm Suqeim")</f>
        <v>Dubai&gt;Umm Suqeim&gt;Umm Suqeim 3&gt;Raffles Nursery Umm Suqeim</v>
      </c>
      <c r="E13858" s="2"/>
      <c r="F13858" s="2"/>
      <c r="G13858" s="2"/>
      <c r="H13858" s="2"/>
      <c r="I13858" s="2"/>
      <c r="J13858" s="2"/>
      <c r="K13858" s="2"/>
      <c r="L13858" s="2"/>
      <c r="M13858" s="2"/>
      <c r="N13858" s="2"/>
      <c r="O13858" s="2"/>
      <c r="P13858" s="2"/>
      <c r="Q13858" s="2"/>
      <c r="R13858" s="2"/>
      <c r="S13858" s="2"/>
      <c r="T13858" s="2"/>
      <c r="U13858" s="2"/>
      <c r="V13858" s="2"/>
      <c r="W13858" s="2"/>
      <c r="X13858" s="2"/>
      <c r="Y13858" s="2"/>
      <c r="Z13858" s="2"/>
    </row>
    <row r="13859" spans="1:26" ht="16.5" x14ac:dyDescent="0.35">
      <c r="A13859" s="2" t="str">
        <f ca="1">IFERROR(__xludf.DUMMYFUNCTION("""COMPUTED_VALUE"""),"Dubai")</f>
        <v>Dubai</v>
      </c>
      <c r="B13859" s="2" t="str">
        <f ca="1">IFERROR(__xludf.DUMMYFUNCTION("""COMPUTED_VALUE"""),"Lamaa Building 4")</f>
        <v>Lamaa Building 4</v>
      </c>
      <c r="C13859" s="2" t="str">
        <f ca="1">IFERROR(__xludf.DUMMYFUNCTION("""COMPUTED_VALUE"""),"Building")</f>
        <v>Building</v>
      </c>
      <c r="D13859" s="2" t="str">
        <f ca="1">IFERROR(__xludf.DUMMYFUNCTION("""COMPUTED_VALUE"""),"Dubai&gt;Umm Suqeim&gt;Madinat Jumeirah Living&gt;Lamaa&gt;Lamaa Building 4")</f>
        <v>Dubai&gt;Umm Suqeim&gt;Madinat Jumeirah Living&gt;Lamaa&gt;Lamaa Building 4</v>
      </c>
      <c r="E13859" s="2"/>
      <c r="F13859" s="2"/>
      <c r="G13859" s="2"/>
      <c r="H13859" s="2"/>
      <c r="I13859" s="2"/>
      <c r="J13859" s="2"/>
      <c r="K13859" s="2"/>
      <c r="L13859" s="2"/>
      <c r="M13859" s="2"/>
      <c r="N13859" s="2"/>
      <c r="O13859" s="2"/>
      <c r="P13859" s="2"/>
      <c r="Q13859" s="2"/>
      <c r="R13859" s="2"/>
      <c r="S13859" s="2"/>
      <c r="T13859" s="2"/>
      <c r="U13859" s="2"/>
      <c r="V13859" s="2"/>
      <c r="W13859" s="2"/>
      <c r="X13859" s="2"/>
      <c r="Y13859" s="2"/>
      <c r="Z13859" s="2"/>
    </row>
    <row r="13860" spans="1:26" ht="16.5" x14ac:dyDescent="0.35">
      <c r="A13860" s="2" t="str">
        <f ca="1">IFERROR(__xludf.DUMMYFUNCTION("""COMPUTED_VALUE"""),"Dubai")</f>
        <v>Dubai</v>
      </c>
      <c r="B13860" s="2" t="str">
        <f ca="1">IFERROR(__xludf.DUMMYFUNCTION("""COMPUTED_VALUE"""),"Sidra Village")</f>
        <v>Sidra Village</v>
      </c>
      <c r="C13860" s="2" t="str">
        <f ca="1">IFERROR(__xludf.DUMMYFUNCTION("""COMPUTED_VALUE"""),"Neighbourhood")</f>
        <v>Neighbourhood</v>
      </c>
      <c r="D13860" s="2" t="str">
        <f ca="1">IFERROR(__xludf.DUMMYFUNCTION("""COMPUTED_VALUE"""),"Dubai&gt;Umm Suqeim&gt;Umm Suqeim 2&gt;Sidra Village")</f>
        <v>Dubai&gt;Umm Suqeim&gt;Umm Suqeim 2&gt;Sidra Village</v>
      </c>
      <c r="E13860" s="2"/>
      <c r="F13860" s="2"/>
      <c r="G13860" s="2"/>
      <c r="H13860" s="2"/>
      <c r="I13860" s="2"/>
      <c r="J13860" s="2"/>
      <c r="K13860" s="2"/>
      <c r="L13860" s="2"/>
      <c r="M13860" s="2"/>
      <c r="N13860" s="2"/>
      <c r="O13860" s="2"/>
      <c r="P13860" s="2"/>
      <c r="Q13860" s="2"/>
      <c r="R13860" s="2"/>
      <c r="S13860" s="2"/>
      <c r="T13860" s="2"/>
      <c r="U13860" s="2"/>
      <c r="V13860" s="2"/>
      <c r="W13860" s="2"/>
      <c r="X13860" s="2"/>
      <c r="Y13860" s="2"/>
      <c r="Z13860" s="2"/>
    </row>
    <row r="13861" spans="1:26" ht="16.5" x14ac:dyDescent="0.35">
      <c r="A13861" s="2" t="str">
        <f ca="1">IFERROR(__xludf.DUMMYFUNCTION("""COMPUTED_VALUE"""),"Dubai")</f>
        <v>Dubai</v>
      </c>
      <c r="B13861" s="2" t="str">
        <f ca="1">IFERROR(__xludf.DUMMYFUNCTION("""COMPUTED_VALUE"""),"Azizi Milan 28")</f>
        <v>Azizi Milan 28</v>
      </c>
      <c r="C13861" s="2" t="str">
        <f ca="1">IFERROR(__xludf.DUMMYFUNCTION("""COMPUTED_VALUE"""),"Building")</f>
        <v>Building</v>
      </c>
      <c r="D13861" s="2" t="str">
        <f ca="1">IFERROR(__xludf.DUMMYFUNCTION("""COMPUTED_VALUE"""),"Dubai&gt;City of Arabia&gt;Azizi Milan&gt;Azizi Milan 28")</f>
        <v>Dubai&gt;City of Arabia&gt;Azizi Milan&gt;Azizi Milan 28</v>
      </c>
      <c r="E13861" s="2"/>
      <c r="F13861" s="2"/>
      <c r="G13861" s="2"/>
      <c r="H13861" s="2"/>
      <c r="I13861" s="2"/>
      <c r="J13861" s="2"/>
      <c r="K13861" s="2"/>
      <c r="L13861" s="2"/>
      <c r="M13861" s="2"/>
      <c r="N13861" s="2"/>
      <c r="O13861" s="2"/>
      <c r="P13861" s="2"/>
      <c r="Q13861" s="2"/>
      <c r="R13861" s="2"/>
      <c r="S13861" s="2"/>
      <c r="T13861" s="2"/>
      <c r="U13861" s="2"/>
      <c r="V13861" s="2"/>
      <c r="W13861" s="2"/>
      <c r="X13861" s="2"/>
      <c r="Y13861" s="2"/>
      <c r="Z13861" s="2"/>
    </row>
    <row r="13862" spans="1:26" ht="16.5" x14ac:dyDescent="0.35">
      <c r="A13862" s="2" t="str">
        <f ca="1">IFERROR(__xludf.DUMMYFUNCTION("""COMPUTED_VALUE"""),"Dubai")</f>
        <v>Dubai</v>
      </c>
      <c r="B13862" s="2" t="str">
        <f ca="1">IFERROR(__xludf.DUMMYFUNCTION("""COMPUTED_VALUE"""),"Manila Building")</f>
        <v>Manila Building</v>
      </c>
      <c r="C13862" s="2" t="str">
        <f ca="1">IFERROR(__xludf.DUMMYFUNCTION("""COMPUTED_VALUE"""),"Building")</f>
        <v>Building</v>
      </c>
      <c r="D13862" s="2" t="str">
        <f ca="1">IFERROR(__xludf.DUMMYFUNCTION("""COMPUTED_VALUE"""),"Dubai&gt;Al Badaa&gt;Manila Building")</f>
        <v>Dubai&gt;Al Badaa&gt;Manila Building</v>
      </c>
      <c r="E13862" s="2"/>
      <c r="F13862" s="2"/>
      <c r="G13862" s="2"/>
      <c r="H13862" s="2"/>
      <c r="I13862" s="2"/>
      <c r="J13862" s="2"/>
      <c r="K13862" s="2"/>
      <c r="L13862" s="2"/>
      <c r="M13862" s="2"/>
      <c r="N13862" s="2"/>
      <c r="O13862" s="2"/>
      <c r="P13862" s="2"/>
      <c r="Q13862" s="2"/>
      <c r="R13862" s="2"/>
      <c r="S13862" s="2"/>
      <c r="T13862" s="2"/>
      <c r="U13862" s="2"/>
      <c r="V13862" s="2"/>
      <c r="W13862" s="2"/>
      <c r="X13862" s="2"/>
      <c r="Y13862" s="2"/>
      <c r="Z13862" s="2"/>
    </row>
    <row r="13863" spans="1:26" ht="16.5" x14ac:dyDescent="0.35">
      <c r="A13863" s="2" t="str">
        <f ca="1">IFERROR(__xludf.DUMMYFUNCTION("""COMPUTED_VALUE"""),"Dubai")</f>
        <v>Dubai</v>
      </c>
      <c r="B13863" s="2" t="str">
        <f ca="1">IFERROR(__xludf.DUMMYFUNCTION("""COMPUTED_VALUE"""),"Salim Bin Butty Bin Sohel Building")</f>
        <v>Salim Bin Butty Bin Sohel Building</v>
      </c>
      <c r="C13863" s="2" t="str">
        <f ca="1">IFERROR(__xludf.DUMMYFUNCTION("""COMPUTED_VALUE"""),"Building")</f>
        <v>Building</v>
      </c>
      <c r="D13863" s="2" t="str">
        <f ca="1">IFERROR(__xludf.DUMMYFUNCTION("""COMPUTED_VALUE"""),"Dubai&gt;Al Badaa&gt;Salim Bin Butty Bin Sohel Building")</f>
        <v>Dubai&gt;Al Badaa&gt;Salim Bin Butty Bin Sohel Building</v>
      </c>
      <c r="E13863" s="2"/>
      <c r="F13863" s="2"/>
      <c r="G13863" s="2"/>
      <c r="H13863" s="2"/>
      <c r="I13863" s="2"/>
      <c r="J13863" s="2"/>
      <c r="K13863" s="2"/>
      <c r="L13863" s="2"/>
      <c r="M13863" s="2"/>
      <c r="N13863" s="2"/>
      <c r="O13863" s="2"/>
      <c r="P13863" s="2"/>
      <c r="Q13863" s="2"/>
      <c r="R13863" s="2"/>
      <c r="S13863" s="2"/>
      <c r="T13863" s="2"/>
      <c r="U13863" s="2"/>
      <c r="V13863" s="2"/>
      <c r="W13863" s="2"/>
      <c r="X13863" s="2"/>
      <c r="Y13863" s="2"/>
      <c r="Z13863" s="2"/>
    </row>
    <row r="13864" spans="1:26" ht="16.5" x14ac:dyDescent="0.35">
      <c r="A13864" s="2" t="str">
        <f ca="1">IFERROR(__xludf.DUMMYFUNCTION("""COMPUTED_VALUE"""),"Dubai")</f>
        <v>Dubai</v>
      </c>
      <c r="B13864" s="2" t="str">
        <f ca="1">IFERROR(__xludf.DUMMYFUNCTION("""COMPUTED_VALUE"""),"Manara 4")</f>
        <v>Manara 4</v>
      </c>
      <c r="C13864" s="2" t="str">
        <f ca="1">IFERROR(__xludf.DUMMYFUNCTION("""COMPUTED_VALUE"""),"Building")</f>
        <v>Building</v>
      </c>
      <c r="D13864" s="2" t="str">
        <f ca="1">IFERROR(__xludf.DUMMYFUNCTION("""COMPUTED_VALUE"""),"Dubai&gt;Dubai Waterfront&gt;Badrah&gt;Manara&gt;Manara 4")</f>
        <v>Dubai&gt;Dubai Waterfront&gt;Badrah&gt;Manara&gt;Manara 4</v>
      </c>
      <c r="E13864" s="2"/>
      <c r="F13864" s="2"/>
      <c r="G13864" s="2"/>
      <c r="H13864" s="2"/>
      <c r="I13864" s="2"/>
      <c r="J13864" s="2"/>
      <c r="K13864" s="2"/>
      <c r="L13864" s="2"/>
      <c r="M13864" s="2"/>
      <c r="N13864" s="2"/>
      <c r="O13864" s="2"/>
      <c r="P13864" s="2"/>
      <c r="Q13864" s="2"/>
      <c r="R13864" s="2"/>
      <c r="S13864" s="2"/>
      <c r="T13864" s="2"/>
      <c r="U13864" s="2"/>
      <c r="V13864" s="2"/>
      <c r="W13864" s="2"/>
      <c r="X13864" s="2"/>
      <c r="Y13864" s="2"/>
      <c r="Z13864" s="2"/>
    </row>
    <row r="13865" spans="1:26" ht="16.5" x14ac:dyDescent="0.35">
      <c r="A13865" s="2" t="str">
        <f ca="1">IFERROR(__xludf.DUMMYFUNCTION("""COMPUTED_VALUE"""),"Dubai")</f>
        <v>Dubai</v>
      </c>
      <c r="B13865" s="2" t="str">
        <f ca="1">IFERROR(__xludf.DUMMYFUNCTION("""COMPUTED_VALUE"""),"Building 7")</f>
        <v>Building 7</v>
      </c>
      <c r="C13865" s="2" t="str">
        <f ca="1">IFERROR(__xludf.DUMMYFUNCTION("""COMPUTED_VALUE"""),"Building")</f>
        <v>Building</v>
      </c>
      <c r="D13865" s="2" t="str">
        <f ca="1">IFERROR(__xludf.DUMMYFUNCTION("""COMPUTED_VALUE"""),"Dubai&gt;Academic City&gt;Dubai Outsource City&gt;Building 7")</f>
        <v>Dubai&gt;Academic City&gt;Dubai Outsource City&gt;Building 7</v>
      </c>
      <c r="E13865" s="2"/>
      <c r="F13865" s="2"/>
      <c r="G13865" s="2"/>
      <c r="H13865" s="2"/>
      <c r="I13865" s="2"/>
      <c r="J13865" s="2"/>
      <c r="K13865" s="2"/>
      <c r="L13865" s="2"/>
      <c r="M13865" s="2"/>
      <c r="N13865" s="2"/>
      <c r="O13865" s="2"/>
      <c r="P13865" s="2"/>
      <c r="Q13865" s="2"/>
      <c r="R13865" s="2"/>
      <c r="S13865" s="2"/>
      <c r="T13865" s="2"/>
      <c r="U13865" s="2"/>
      <c r="V13865" s="2"/>
      <c r="W13865" s="2"/>
      <c r="X13865" s="2"/>
      <c r="Y13865" s="2"/>
      <c r="Z13865" s="2"/>
    </row>
    <row r="13866" spans="1:26" ht="16.5" x14ac:dyDescent="0.35">
      <c r="A13866" s="2" t="str">
        <f ca="1">IFERROR(__xludf.DUMMYFUNCTION("""COMPUTED_VALUE"""),"Dubai")</f>
        <v>Dubai</v>
      </c>
      <c r="B13866" s="2" t="str">
        <f ca="1">IFERROR(__xludf.DUMMYFUNCTION("""COMPUTED_VALUE"""),"Atelis at D3")</f>
        <v>Atelis at D3</v>
      </c>
      <c r="C13866" s="2" t="str">
        <f ca="1">IFERROR(__xludf.DUMMYFUNCTION("""COMPUTED_VALUE"""),"Building")</f>
        <v>Building</v>
      </c>
      <c r="D13866" s="2" t="str">
        <f ca="1">IFERROR(__xludf.DUMMYFUNCTION("""COMPUTED_VALUE"""),"Dubai&gt;Dubai Design District&gt;Atelis at D3")</f>
        <v>Dubai&gt;Dubai Design District&gt;Atelis at D3</v>
      </c>
      <c r="E13866" s="2"/>
      <c r="F13866" s="2"/>
      <c r="G13866" s="2"/>
      <c r="H13866" s="2"/>
      <c r="I13866" s="2"/>
      <c r="J13866" s="2"/>
      <c r="K13866" s="2"/>
      <c r="L13866" s="2"/>
      <c r="M13866" s="2"/>
      <c r="N13866" s="2"/>
      <c r="O13866" s="2"/>
      <c r="P13866" s="2"/>
      <c r="Q13866" s="2"/>
      <c r="R13866" s="2"/>
      <c r="S13866" s="2"/>
      <c r="T13866" s="2"/>
      <c r="U13866" s="2"/>
      <c r="V13866" s="2"/>
      <c r="W13866" s="2"/>
      <c r="X13866" s="2"/>
      <c r="Y13866" s="2"/>
      <c r="Z13866" s="2"/>
    </row>
    <row r="13867" spans="1:26" ht="16.5" x14ac:dyDescent="0.35">
      <c r="A13867" s="2" t="str">
        <f ca="1">IFERROR(__xludf.DUMMYFUNCTION("""COMPUTED_VALUE"""),"Dubai")</f>
        <v>Dubai</v>
      </c>
      <c r="B13867" s="2" t="str">
        <f ca="1">IFERROR(__xludf.DUMMYFUNCTION("""COMPUTED_VALUE"""),"Nasser Khamis Block B")</f>
        <v>Nasser Khamis Block B</v>
      </c>
      <c r="C13867" s="2" t="str">
        <f ca="1">IFERROR(__xludf.DUMMYFUNCTION("""COMPUTED_VALUE"""),"Building")</f>
        <v>Building</v>
      </c>
      <c r="D13867" s="2" t="str">
        <f ca="1">IFERROR(__xludf.DUMMYFUNCTION("""COMPUTED_VALUE"""),"Dubai&gt;Al Hudaiba&gt;Nasser Khamis Blocks&gt;Nasser Khamis Block B")</f>
        <v>Dubai&gt;Al Hudaiba&gt;Nasser Khamis Blocks&gt;Nasser Khamis Block B</v>
      </c>
      <c r="E13867" s="2"/>
      <c r="F13867" s="2"/>
      <c r="G13867" s="2"/>
      <c r="H13867" s="2"/>
      <c r="I13867" s="2"/>
      <c r="J13867" s="2"/>
      <c r="K13867" s="2"/>
      <c r="L13867" s="2"/>
      <c r="M13867" s="2"/>
      <c r="N13867" s="2"/>
      <c r="O13867" s="2"/>
      <c r="P13867" s="2"/>
      <c r="Q13867" s="2"/>
      <c r="R13867" s="2"/>
      <c r="S13867" s="2"/>
      <c r="T13867" s="2"/>
      <c r="U13867" s="2"/>
      <c r="V13867" s="2"/>
      <c r="W13867" s="2"/>
      <c r="X13867" s="2"/>
      <c r="Y13867" s="2"/>
      <c r="Z13867" s="2"/>
    </row>
    <row r="13868" spans="1:26" ht="16.5" x14ac:dyDescent="0.35">
      <c r="A13868" s="2" t="str">
        <f ca="1">IFERROR(__xludf.DUMMYFUNCTION("""COMPUTED_VALUE"""),"Dubai")</f>
        <v>Dubai</v>
      </c>
      <c r="B13868" s="2" t="str">
        <f ca="1">IFERROR(__xludf.DUMMYFUNCTION("""COMPUTED_VALUE"""),"Al Wasl Building")</f>
        <v>Al Wasl Building</v>
      </c>
      <c r="C13868" s="2" t="str">
        <f ca="1">IFERROR(__xludf.DUMMYFUNCTION("""COMPUTED_VALUE"""),"Building")</f>
        <v>Building</v>
      </c>
      <c r="D13868" s="2" t="str">
        <f ca="1">IFERROR(__xludf.DUMMYFUNCTION("""COMPUTED_VALUE"""),"Dubai&gt;Jumeirah&gt;Jumeirah 1&gt;Al Wasl Building")</f>
        <v>Dubai&gt;Jumeirah&gt;Jumeirah 1&gt;Al Wasl Building</v>
      </c>
      <c r="E13868" s="2"/>
      <c r="F13868" s="2"/>
      <c r="G13868" s="2"/>
      <c r="H13868" s="2"/>
      <c r="I13868" s="2"/>
      <c r="J13868" s="2"/>
      <c r="K13868" s="2"/>
      <c r="L13868" s="2"/>
      <c r="M13868" s="2"/>
      <c r="N13868" s="2"/>
      <c r="O13868" s="2"/>
      <c r="P13868" s="2"/>
      <c r="Q13868" s="2"/>
      <c r="R13868" s="2"/>
      <c r="S13868" s="2"/>
      <c r="T13868" s="2"/>
      <c r="U13868" s="2"/>
      <c r="V13868" s="2"/>
      <c r="W13868" s="2"/>
      <c r="X13868" s="2"/>
      <c r="Y13868" s="2"/>
      <c r="Z13868" s="2"/>
    </row>
    <row r="13869" spans="1:26" ht="16.5" x14ac:dyDescent="0.35">
      <c r="A13869" s="2" t="str">
        <f ca="1">IFERROR(__xludf.DUMMYFUNCTION("""COMPUTED_VALUE"""),"Dubai")</f>
        <v>Dubai</v>
      </c>
      <c r="B13869" s="2" t="str">
        <f ca="1">IFERROR(__xludf.DUMMYFUNCTION("""COMPUTED_VALUE"""),"Bulgari Residence 5")</f>
        <v>Bulgari Residence 5</v>
      </c>
      <c r="C13869" s="2" t="str">
        <f ca="1">IFERROR(__xludf.DUMMYFUNCTION("""COMPUTED_VALUE"""),"Building")</f>
        <v>Building</v>
      </c>
      <c r="D13869" s="2" t="str">
        <f ca="1">IFERROR(__xludf.DUMMYFUNCTION("""COMPUTED_VALUE"""),"Dubai&gt;Jumeirah&gt;Jumeirah Bay Islands&gt;Bulgari Residences&gt;Bulgari Residence 5")</f>
        <v>Dubai&gt;Jumeirah&gt;Jumeirah Bay Islands&gt;Bulgari Residences&gt;Bulgari Residence 5</v>
      </c>
      <c r="E13869" s="2"/>
      <c r="F13869" s="2"/>
      <c r="G13869" s="2"/>
      <c r="H13869" s="2"/>
      <c r="I13869" s="2"/>
      <c r="J13869" s="2"/>
      <c r="K13869" s="2"/>
      <c r="L13869" s="2"/>
      <c r="M13869" s="2"/>
      <c r="N13869" s="2"/>
      <c r="O13869" s="2"/>
      <c r="P13869" s="2"/>
      <c r="Q13869" s="2"/>
      <c r="R13869" s="2"/>
      <c r="S13869" s="2"/>
      <c r="T13869" s="2"/>
      <c r="U13869" s="2"/>
      <c r="V13869" s="2"/>
      <c r="W13869" s="2"/>
      <c r="X13869" s="2"/>
      <c r="Y13869" s="2"/>
      <c r="Z13869" s="2"/>
    </row>
    <row r="13870" spans="1:26" ht="16.5" x14ac:dyDescent="0.35">
      <c r="A13870" s="2" t="str">
        <f ca="1">IFERROR(__xludf.DUMMYFUNCTION("""COMPUTED_VALUE"""),"Dubai")</f>
        <v>Dubai</v>
      </c>
      <c r="B13870" s="2" t="str">
        <f ca="1">IFERROR(__xludf.DUMMYFUNCTION("""COMPUTED_VALUE"""),"Sur La Mer")</f>
        <v>Sur La Mer</v>
      </c>
      <c r="C13870" s="2" t="str">
        <f ca="1">IFERROR(__xludf.DUMMYFUNCTION("""COMPUTED_VALUE"""),"Neighbourhood")</f>
        <v>Neighbourhood</v>
      </c>
      <c r="D13870" s="2" t="str">
        <f ca="1">IFERROR(__xludf.DUMMYFUNCTION("""COMPUTED_VALUE"""),"Dubai&gt;Jumeirah&gt;La Mer&gt;Port de La Mer&gt;Sur La Mer")</f>
        <v>Dubai&gt;Jumeirah&gt;La Mer&gt;Port de La Mer&gt;Sur La Mer</v>
      </c>
      <c r="E13870" s="2"/>
      <c r="F13870" s="2"/>
      <c r="G13870" s="2"/>
      <c r="H13870" s="2"/>
      <c r="I13870" s="2"/>
      <c r="J13870" s="2"/>
      <c r="K13870" s="2"/>
      <c r="L13870" s="2"/>
      <c r="M13870" s="2"/>
      <c r="N13870" s="2"/>
      <c r="O13870" s="2"/>
      <c r="P13870" s="2"/>
      <c r="Q13870" s="2"/>
      <c r="R13870" s="2"/>
      <c r="S13870" s="2"/>
      <c r="T13870" s="2"/>
      <c r="U13870" s="2"/>
      <c r="V13870" s="2"/>
      <c r="W13870" s="2"/>
      <c r="X13870" s="2"/>
      <c r="Y13870" s="2"/>
      <c r="Z13870" s="2"/>
    </row>
    <row r="13871" spans="1:26" ht="16.5" x14ac:dyDescent="0.35">
      <c r="A13871" s="2" t="str">
        <f ca="1">IFERROR(__xludf.DUMMYFUNCTION("""COMPUTED_VALUE"""),"Dubai")</f>
        <v>Dubai</v>
      </c>
      <c r="B13871" s="2" t="str">
        <f ca="1">IFERROR(__xludf.DUMMYFUNCTION("""COMPUTED_VALUE"""),"Solaya")</f>
        <v>Solaya</v>
      </c>
      <c r="C13871" s="2" t="str">
        <f ca="1">IFERROR(__xludf.DUMMYFUNCTION("""COMPUTED_VALUE"""),"Cluster")</f>
        <v>Cluster</v>
      </c>
      <c r="D13871" s="2" t="str">
        <f ca="1">IFERROR(__xludf.DUMMYFUNCTION("""COMPUTED_VALUE"""),"Dubai&gt;Jumeirah&gt;La Mer&gt;Solaya")</f>
        <v>Dubai&gt;Jumeirah&gt;La Mer&gt;Solaya</v>
      </c>
      <c r="E13871" s="2"/>
      <c r="F13871" s="2"/>
      <c r="G13871" s="2"/>
      <c r="H13871" s="2"/>
      <c r="I13871" s="2"/>
      <c r="J13871" s="2"/>
      <c r="K13871" s="2"/>
      <c r="L13871" s="2"/>
      <c r="M13871" s="2"/>
      <c r="N13871" s="2"/>
      <c r="O13871" s="2"/>
      <c r="P13871" s="2"/>
      <c r="Q13871" s="2"/>
      <c r="R13871" s="2"/>
      <c r="S13871" s="2"/>
      <c r="T13871" s="2"/>
      <c r="U13871" s="2"/>
      <c r="V13871" s="2"/>
      <c r="W13871" s="2"/>
      <c r="X13871" s="2"/>
      <c r="Y13871" s="2"/>
      <c r="Z13871" s="2"/>
    </row>
    <row r="13872" spans="1:26" ht="16.5" x14ac:dyDescent="0.35">
      <c r="A13872" s="2" t="str">
        <f ca="1">IFERROR(__xludf.DUMMYFUNCTION("""COMPUTED_VALUE"""),"Dubai")</f>
        <v>Dubai</v>
      </c>
      <c r="B13872" s="2" t="str">
        <f ca="1">IFERROR(__xludf.DUMMYFUNCTION("""COMPUTED_VALUE"""),"Creek Rise Podium")</f>
        <v>Creek Rise Podium</v>
      </c>
      <c r="C13872" s="2" t="str">
        <f ca="1">IFERROR(__xludf.DUMMYFUNCTION("""COMPUTED_VALUE"""),"Building")</f>
        <v>Building</v>
      </c>
      <c r="D13872" s="2" t="str">
        <f ca="1">IFERROR(__xludf.DUMMYFUNCTION("""COMPUTED_VALUE"""),"Dubai&gt;Dubai Creek Harbour&gt;Creek Rise&gt;Creek Rise Podium")</f>
        <v>Dubai&gt;Dubai Creek Harbour&gt;Creek Rise&gt;Creek Rise Podium</v>
      </c>
      <c r="E13872" s="2"/>
      <c r="F13872" s="2"/>
      <c r="G13872" s="2"/>
      <c r="H13872" s="2"/>
      <c r="I13872" s="2"/>
      <c r="J13872" s="2"/>
      <c r="K13872" s="2"/>
      <c r="L13872" s="2"/>
      <c r="M13872" s="2"/>
      <c r="N13872" s="2"/>
      <c r="O13872" s="2"/>
      <c r="P13872" s="2"/>
      <c r="Q13872" s="2"/>
      <c r="R13872" s="2"/>
      <c r="S13872" s="2"/>
      <c r="T13872" s="2"/>
      <c r="U13872" s="2"/>
      <c r="V13872" s="2"/>
      <c r="W13872" s="2"/>
      <c r="X13872" s="2"/>
      <c r="Y13872" s="2"/>
      <c r="Z13872" s="2"/>
    </row>
    <row r="13873" spans="1:26" ht="16.5" x14ac:dyDescent="0.35">
      <c r="A13873" s="2" t="str">
        <f ca="1">IFERROR(__xludf.DUMMYFUNCTION("""COMPUTED_VALUE"""),"Dubai")</f>
        <v>Dubai</v>
      </c>
      <c r="B13873" s="2" t="str">
        <f ca="1">IFERROR(__xludf.DUMMYFUNCTION("""COMPUTED_VALUE"""),"Surf 1")</f>
        <v>Surf 1</v>
      </c>
      <c r="C13873" s="2" t="str">
        <f ca="1">IFERROR(__xludf.DUMMYFUNCTION("""COMPUTED_VALUE"""),"Building")</f>
        <v>Building</v>
      </c>
      <c r="D13873" s="2" t="str">
        <f ca="1">IFERROR(__xludf.DUMMYFUNCTION("""COMPUTED_VALUE"""),"Dubai&gt;Dubai Creek Harbour&gt;Surf at Creek Beach&gt;Surf 1")</f>
        <v>Dubai&gt;Dubai Creek Harbour&gt;Surf at Creek Beach&gt;Surf 1</v>
      </c>
      <c r="E13873" s="2"/>
      <c r="F13873" s="2"/>
      <c r="G13873" s="2"/>
      <c r="H13873" s="2"/>
      <c r="I13873" s="2"/>
      <c r="J13873" s="2"/>
      <c r="K13873" s="2"/>
      <c r="L13873" s="2"/>
      <c r="M13873" s="2"/>
      <c r="N13873" s="2"/>
      <c r="O13873" s="2"/>
      <c r="P13873" s="2"/>
      <c r="Q13873" s="2"/>
      <c r="R13873" s="2"/>
      <c r="S13873" s="2"/>
      <c r="T13873" s="2"/>
      <c r="U13873" s="2"/>
      <c r="V13873" s="2"/>
      <c r="W13873" s="2"/>
      <c r="X13873" s="2"/>
      <c r="Y13873" s="2"/>
      <c r="Z13873" s="2"/>
    </row>
    <row r="13874" spans="1:26" ht="16.5" x14ac:dyDescent="0.35">
      <c r="A13874" s="2" t="str">
        <f ca="1">IFERROR(__xludf.DUMMYFUNCTION("""COMPUTED_VALUE"""),"Dubai")</f>
        <v>Dubai</v>
      </c>
      <c r="B13874" s="2" t="str">
        <f ca="1">IFERROR(__xludf.DUMMYFUNCTION("""COMPUTED_VALUE"""),"The Cove II Building 6")</f>
        <v>The Cove II Building 6</v>
      </c>
      <c r="C13874" s="2" t="str">
        <f ca="1">IFERROR(__xludf.DUMMYFUNCTION("""COMPUTED_VALUE"""),"Building")</f>
        <v>Building</v>
      </c>
      <c r="D13874" s="2" t="str">
        <f ca="1">IFERROR(__xludf.DUMMYFUNCTION("""COMPUTED_VALUE"""),"Dubai&gt;Dubai Creek Harbour&gt;The Cove II&gt;The Cove II Building 6")</f>
        <v>Dubai&gt;Dubai Creek Harbour&gt;The Cove II&gt;The Cove II Building 6</v>
      </c>
      <c r="E13874" s="2"/>
      <c r="F13874" s="2"/>
      <c r="G13874" s="2"/>
      <c r="H13874" s="2"/>
      <c r="I13874" s="2"/>
      <c r="J13874" s="2"/>
      <c r="K13874" s="2"/>
      <c r="L13874" s="2"/>
      <c r="M13874" s="2"/>
      <c r="N13874" s="2"/>
      <c r="O13874" s="2"/>
      <c r="P13874" s="2"/>
      <c r="Q13874" s="2"/>
      <c r="R13874" s="2"/>
      <c r="S13874" s="2"/>
      <c r="T13874" s="2"/>
      <c r="U13874" s="2"/>
      <c r="V13874" s="2"/>
      <c r="W13874" s="2"/>
      <c r="X13874" s="2"/>
      <c r="Y13874" s="2"/>
      <c r="Z13874" s="2"/>
    </row>
    <row r="13875" spans="1:26" ht="16.5" x14ac:dyDescent="0.35">
      <c r="A13875" s="2" t="str">
        <f ca="1">IFERROR(__xludf.DUMMYFUNCTION("""COMPUTED_VALUE"""),"Dubai")</f>
        <v>Dubai</v>
      </c>
      <c r="B13875" s="2" t="str">
        <f ca="1">IFERROR(__xludf.DUMMYFUNCTION("""COMPUTED_VALUE"""),"Canopy at Creek Beach")</f>
        <v>Canopy at Creek Beach</v>
      </c>
      <c r="C13875" s="2" t="str">
        <f ca="1">IFERROR(__xludf.DUMMYFUNCTION("""COMPUTED_VALUE"""),"Cluster")</f>
        <v>Cluster</v>
      </c>
      <c r="D13875" s="2" t="str">
        <f ca="1">IFERROR(__xludf.DUMMYFUNCTION("""COMPUTED_VALUE"""),"Dubai&gt;Dubai Creek Harbour&gt;Canopy at Creek Beach")</f>
        <v>Dubai&gt;Dubai Creek Harbour&gt;Canopy at Creek Beach</v>
      </c>
      <c r="E13875" s="2"/>
      <c r="F13875" s="2"/>
      <c r="G13875" s="2"/>
      <c r="H13875" s="2"/>
      <c r="I13875" s="2"/>
      <c r="J13875" s="2"/>
      <c r="K13875" s="2"/>
      <c r="L13875" s="2"/>
      <c r="M13875" s="2"/>
      <c r="N13875" s="2"/>
      <c r="O13875" s="2"/>
      <c r="P13875" s="2"/>
      <c r="Q13875" s="2"/>
      <c r="R13875" s="2"/>
      <c r="S13875" s="2"/>
      <c r="T13875" s="2"/>
      <c r="U13875" s="2"/>
      <c r="V13875" s="2"/>
      <c r="W13875" s="2"/>
      <c r="X13875" s="2"/>
      <c r="Y13875" s="2"/>
      <c r="Z13875" s="2"/>
    </row>
    <row r="13876" spans="1:26" ht="16.5" x14ac:dyDescent="0.35">
      <c r="A13876" s="2" t="str">
        <f ca="1">IFERROR(__xludf.DUMMYFUNCTION("""COMPUTED_VALUE"""),"Dubai")</f>
        <v>Dubai</v>
      </c>
      <c r="B13876" s="2" t="str">
        <f ca="1">IFERROR(__xludf.DUMMYFUNCTION("""COMPUTED_VALUE"""),"Chubby Cheeks Al Barsha")</f>
        <v>Chubby Cheeks Al Barsha</v>
      </c>
      <c r="C13876" s="2" t="str">
        <f ca="1">IFERROR(__xludf.DUMMYFUNCTION("""COMPUTED_VALUE"""),"Nursery")</f>
        <v>Nursery</v>
      </c>
      <c r="D13876" s="2" t="str">
        <f ca="1">IFERROR(__xludf.DUMMYFUNCTION("""COMPUTED_VALUE"""),"Dubai&gt;Barsha Heights (Tecom)&gt;Chubby Cheeks Al Barsha")</f>
        <v>Dubai&gt;Barsha Heights (Tecom)&gt;Chubby Cheeks Al Barsha</v>
      </c>
      <c r="E13876" s="2"/>
      <c r="F13876" s="2"/>
      <c r="G13876" s="2"/>
      <c r="H13876" s="2"/>
      <c r="I13876" s="2"/>
      <c r="J13876" s="2"/>
      <c r="K13876" s="2"/>
      <c r="L13876" s="2"/>
      <c r="M13876" s="2"/>
      <c r="N13876" s="2"/>
      <c r="O13876" s="2"/>
      <c r="P13876" s="2"/>
      <c r="Q13876" s="2"/>
      <c r="R13876" s="2"/>
      <c r="S13876" s="2"/>
      <c r="T13876" s="2"/>
      <c r="U13876" s="2"/>
      <c r="V13876" s="2"/>
      <c r="W13876" s="2"/>
      <c r="X13876" s="2"/>
      <c r="Y13876" s="2"/>
      <c r="Z13876" s="2"/>
    </row>
    <row r="13877" spans="1:26" ht="16.5" x14ac:dyDescent="0.35">
      <c r="A13877" s="2" t="str">
        <f ca="1">IFERROR(__xludf.DUMMYFUNCTION("""COMPUTED_VALUE"""),"Dubai")</f>
        <v>Dubai</v>
      </c>
      <c r="B13877" s="2" t="str">
        <f ca="1">IFERROR(__xludf.DUMMYFUNCTION("""COMPUTED_VALUE"""),"Warsan Tower")</f>
        <v>Warsan Tower</v>
      </c>
      <c r="C13877" s="2" t="str">
        <f ca="1">IFERROR(__xludf.DUMMYFUNCTION("""COMPUTED_VALUE"""),"Building")</f>
        <v>Building</v>
      </c>
      <c r="D13877" s="2" t="str">
        <f ca="1">IFERROR(__xludf.DUMMYFUNCTION("""COMPUTED_VALUE"""),"Dubai&gt;Barsha Heights (Tecom)&gt;Warsan Tower")</f>
        <v>Dubai&gt;Barsha Heights (Tecom)&gt;Warsan Tower</v>
      </c>
      <c r="E13877" s="2"/>
      <c r="F13877" s="2"/>
      <c r="G13877" s="2"/>
      <c r="H13877" s="2"/>
      <c r="I13877" s="2"/>
      <c r="J13877" s="2"/>
      <c r="K13877" s="2"/>
      <c r="L13877" s="2"/>
      <c r="M13877" s="2"/>
      <c r="N13877" s="2"/>
      <c r="O13877" s="2"/>
      <c r="P13877" s="2"/>
      <c r="Q13877" s="2"/>
      <c r="R13877" s="2"/>
      <c r="S13877" s="2"/>
      <c r="T13877" s="2"/>
      <c r="U13877" s="2"/>
      <c r="V13877" s="2"/>
      <c r="W13877" s="2"/>
      <c r="X13877" s="2"/>
      <c r="Y13877" s="2"/>
      <c r="Z13877" s="2"/>
    </row>
    <row r="13878" spans="1:26" ht="16.5" x14ac:dyDescent="0.35">
      <c r="A13878" s="2" t="str">
        <f ca="1">IFERROR(__xludf.DUMMYFUNCTION("""COMPUTED_VALUE"""),"Dubai")</f>
        <v>Dubai</v>
      </c>
      <c r="B13878" s="2" t="str">
        <f ca="1">IFERROR(__xludf.DUMMYFUNCTION("""COMPUTED_VALUE"""),"Al Meer Tower")</f>
        <v>Al Meer Tower</v>
      </c>
      <c r="C13878" s="2" t="str">
        <f ca="1">IFERROR(__xludf.DUMMYFUNCTION("""COMPUTED_VALUE"""),"Building")</f>
        <v>Building</v>
      </c>
      <c r="D13878" s="2" t="str">
        <f ca="1">IFERROR(__xludf.DUMMYFUNCTION("""COMPUTED_VALUE"""),"Dubai&gt;Barsha Heights (Tecom)&gt;Al Meer Tower")</f>
        <v>Dubai&gt;Barsha Heights (Tecom)&gt;Al Meer Tower</v>
      </c>
      <c r="E13878" s="2"/>
      <c r="F13878" s="2"/>
      <c r="G13878" s="2"/>
      <c r="H13878" s="2"/>
      <c r="I13878" s="2"/>
      <c r="J13878" s="2"/>
      <c r="K13878" s="2"/>
      <c r="L13878" s="2"/>
      <c r="M13878" s="2"/>
      <c r="N13878" s="2"/>
      <c r="O13878" s="2"/>
      <c r="P13878" s="2"/>
      <c r="Q13878" s="2"/>
      <c r="R13878" s="2"/>
      <c r="S13878" s="2"/>
      <c r="T13878" s="2"/>
      <c r="U13878" s="2"/>
      <c r="V13878" s="2"/>
      <c r="W13878" s="2"/>
      <c r="X13878" s="2"/>
      <c r="Y13878" s="2"/>
      <c r="Z13878" s="2"/>
    </row>
    <row r="13879" spans="1:26" ht="16.5" x14ac:dyDescent="0.35">
      <c r="A13879" s="2" t="str">
        <f ca="1">IFERROR(__xludf.DUMMYFUNCTION("""COMPUTED_VALUE"""),"Dubai")</f>
        <v>Dubai</v>
      </c>
      <c r="B13879" s="2" t="str">
        <f ca="1">IFERROR(__xludf.DUMMYFUNCTION("""COMPUTED_VALUE"""),"Allure Suites")</f>
        <v>Allure Suites</v>
      </c>
      <c r="C13879" s="2" t="str">
        <f ca="1">IFERROR(__xludf.DUMMYFUNCTION("""COMPUTED_VALUE"""),"Building")</f>
        <v>Building</v>
      </c>
      <c r="D13879" s="2" t="str">
        <f ca="1">IFERROR(__xludf.DUMMYFUNCTION("""COMPUTED_VALUE"""),"Dubai&gt;Barsha Heights (Tecom)&gt;Allure Suites")</f>
        <v>Dubai&gt;Barsha Heights (Tecom)&gt;Allure Suites</v>
      </c>
      <c r="E13879" s="2"/>
      <c r="F13879" s="2"/>
      <c r="G13879" s="2"/>
      <c r="H13879" s="2"/>
      <c r="I13879" s="2"/>
      <c r="J13879" s="2"/>
      <c r="K13879" s="2"/>
      <c r="L13879" s="2"/>
      <c r="M13879" s="2"/>
      <c r="N13879" s="2"/>
      <c r="O13879" s="2"/>
      <c r="P13879" s="2"/>
      <c r="Q13879" s="2"/>
      <c r="R13879" s="2"/>
      <c r="S13879" s="2"/>
      <c r="T13879" s="2"/>
      <c r="U13879" s="2"/>
      <c r="V13879" s="2"/>
      <c r="W13879" s="2"/>
      <c r="X13879" s="2"/>
      <c r="Y13879" s="2"/>
      <c r="Z13879" s="2"/>
    </row>
    <row r="13880" spans="1:26" ht="16.5" x14ac:dyDescent="0.35">
      <c r="A13880" s="2" t="str">
        <f ca="1">IFERROR(__xludf.DUMMYFUNCTION("""COMPUTED_VALUE"""),"Dubai")</f>
        <v>Dubai</v>
      </c>
      <c r="B13880" s="2" t="str">
        <f ca="1">IFERROR(__xludf.DUMMYFUNCTION("""COMPUTED_VALUE"""),"Eden Apartments Block A")</f>
        <v>Eden Apartments Block A</v>
      </c>
      <c r="C13880" s="2" t="str">
        <f ca="1">IFERROR(__xludf.DUMMYFUNCTION("""COMPUTED_VALUE"""),"Building")</f>
        <v>Building</v>
      </c>
      <c r="D13880" s="2" t="str">
        <f ca="1">IFERROR(__xludf.DUMMYFUNCTION("""COMPUTED_VALUE"""),"Dubai&gt;Motor City&gt;Eden Apartments&gt;Eden Apartments Block A")</f>
        <v>Dubai&gt;Motor City&gt;Eden Apartments&gt;Eden Apartments Block A</v>
      </c>
      <c r="E13880" s="2"/>
      <c r="F13880" s="2"/>
      <c r="G13880" s="2"/>
      <c r="H13880" s="2"/>
      <c r="I13880" s="2"/>
      <c r="J13880" s="2"/>
      <c r="K13880" s="2"/>
      <c r="L13880" s="2"/>
      <c r="M13880" s="2"/>
      <c r="N13880" s="2"/>
      <c r="O13880" s="2"/>
      <c r="P13880" s="2"/>
      <c r="Q13880" s="2"/>
      <c r="R13880" s="2"/>
      <c r="S13880" s="2"/>
      <c r="T13880" s="2"/>
      <c r="U13880" s="2"/>
      <c r="V13880" s="2"/>
      <c r="W13880" s="2"/>
      <c r="X13880" s="2"/>
      <c r="Y13880" s="2"/>
      <c r="Z13880" s="2"/>
    </row>
    <row r="13881" spans="1:26" ht="16.5" x14ac:dyDescent="0.35">
      <c r="A13881" s="2" t="str">
        <f ca="1">IFERROR(__xludf.DUMMYFUNCTION("""COMPUTED_VALUE"""),"Dubai")</f>
        <v>Dubai</v>
      </c>
      <c r="B13881" s="2" t="str">
        <f ca="1">IFERROR(__xludf.DUMMYFUNCTION("""COMPUTED_VALUE"""),"Regent House 1")</f>
        <v>Regent House 1</v>
      </c>
      <c r="C13881" s="2" t="str">
        <f ca="1">IFERROR(__xludf.DUMMYFUNCTION("""COMPUTED_VALUE"""),"Building")</f>
        <v>Building</v>
      </c>
      <c r="D13881" s="2" t="str">
        <f ca="1">IFERROR(__xludf.DUMMYFUNCTION("""COMPUTED_VALUE"""),"Dubai&gt;Motor City&gt;Uptown Motor City&gt;Regent House&gt;Regent House 1")</f>
        <v>Dubai&gt;Motor City&gt;Uptown Motor City&gt;Regent House&gt;Regent House 1</v>
      </c>
      <c r="E13881" s="2"/>
      <c r="F13881" s="2"/>
      <c r="G13881" s="2"/>
      <c r="H13881" s="2"/>
      <c r="I13881" s="2"/>
      <c r="J13881" s="2"/>
      <c r="K13881" s="2"/>
      <c r="L13881" s="2"/>
      <c r="M13881" s="2"/>
      <c r="N13881" s="2"/>
      <c r="O13881" s="2"/>
      <c r="P13881" s="2"/>
      <c r="Q13881" s="2"/>
      <c r="R13881" s="2"/>
      <c r="S13881" s="2"/>
      <c r="T13881" s="2"/>
      <c r="U13881" s="2"/>
      <c r="V13881" s="2"/>
      <c r="W13881" s="2"/>
      <c r="X13881" s="2"/>
      <c r="Y13881" s="2"/>
      <c r="Z13881" s="2"/>
    </row>
    <row r="13882" spans="1:26" ht="16.5" x14ac:dyDescent="0.35">
      <c r="A13882" s="2" t="str">
        <f ca="1">IFERROR(__xludf.DUMMYFUNCTION("""COMPUTED_VALUE"""),"Dubai")</f>
        <v>Dubai</v>
      </c>
      <c r="B13882" s="2" t="str">
        <f ca="1">IFERROR(__xludf.DUMMYFUNCTION("""COMPUTED_VALUE"""),"Fox Hill")</f>
        <v>Fox Hill</v>
      </c>
      <c r="C13882" s="2" t="str">
        <f ca="1">IFERROR(__xludf.DUMMYFUNCTION("""COMPUTED_VALUE"""),"Cluster")</f>
        <v>Cluster</v>
      </c>
      <c r="D13882" s="2" t="str">
        <f ca="1">IFERROR(__xludf.DUMMYFUNCTION("""COMPUTED_VALUE"""),"Dubai&gt;Motor City&gt;Uptown Motor City&gt;Fox Hill")</f>
        <v>Dubai&gt;Motor City&gt;Uptown Motor City&gt;Fox Hill</v>
      </c>
      <c r="E13882" s="2"/>
      <c r="F13882" s="2"/>
      <c r="G13882" s="2"/>
      <c r="H13882" s="2"/>
      <c r="I13882" s="2"/>
      <c r="J13882" s="2"/>
      <c r="K13882" s="2"/>
      <c r="L13882" s="2"/>
      <c r="M13882" s="2"/>
      <c r="N13882" s="2"/>
      <c r="O13882" s="2"/>
      <c r="P13882" s="2"/>
      <c r="Q13882" s="2"/>
      <c r="R13882" s="2"/>
      <c r="S13882" s="2"/>
      <c r="T13882" s="2"/>
      <c r="U13882" s="2"/>
      <c r="V13882" s="2"/>
      <c r="W13882" s="2"/>
      <c r="X13882" s="2"/>
      <c r="Y13882" s="2"/>
      <c r="Z13882" s="2"/>
    </row>
    <row r="13883" spans="1:26" ht="16.5" x14ac:dyDescent="0.35">
      <c r="A13883" s="2" t="str">
        <f ca="1">IFERROR(__xludf.DUMMYFUNCTION("""COMPUTED_VALUE"""),"Dubai")</f>
        <v>Dubai</v>
      </c>
      <c r="B13883" s="2" t="str">
        <f ca="1">IFERROR(__xludf.DUMMYFUNCTION("""COMPUTED_VALUE"""),"Daytona House")</f>
        <v>Daytona House</v>
      </c>
      <c r="C13883" s="2" t="str">
        <f ca="1">IFERROR(__xludf.DUMMYFUNCTION("""COMPUTED_VALUE"""),"Building")</f>
        <v>Building</v>
      </c>
      <c r="D13883" s="2" t="str">
        <f ca="1">IFERROR(__xludf.DUMMYFUNCTION("""COMPUTED_VALUE"""),"Dubai&gt;Motor City&gt;Daytona House")</f>
        <v>Dubai&gt;Motor City&gt;Daytona House</v>
      </c>
      <c r="E13883" s="2"/>
      <c r="F13883" s="2"/>
      <c r="G13883" s="2"/>
      <c r="H13883" s="2"/>
      <c r="I13883" s="2"/>
      <c r="J13883" s="2"/>
      <c r="K13883" s="2"/>
      <c r="L13883" s="2"/>
      <c r="M13883" s="2"/>
      <c r="N13883" s="2"/>
      <c r="O13883" s="2"/>
      <c r="P13883" s="2"/>
      <c r="Q13883" s="2"/>
      <c r="R13883" s="2"/>
      <c r="S13883" s="2"/>
      <c r="T13883" s="2"/>
      <c r="U13883" s="2"/>
      <c r="V13883" s="2"/>
      <c r="W13883" s="2"/>
      <c r="X13883" s="2"/>
      <c r="Y13883" s="2"/>
      <c r="Z13883" s="2"/>
    </row>
    <row r="13884" spans="1:26" ht="16.5" x14ac:dyDescent="0.35">
      <c r="A13884" s="2" t="str">
        <f ca="1">IFERROR(__xludf.DUMMYFUNCTION("""COMPUTED_VALUE"""),"Dubai")</f>
        <v>Dubai</v>
      </c>
      <c r="B13884" s="2" t="str">
        <f ca="1">IFERROR(__xludf.DUMMYFUNCTION("""COMPUTED_VALUE"""),"Velos Residence")</f>
        <v>Velos Residence</v>
      </c>
      <c r="C13884" s="2" t="str">
        <f ca="1">IFERROR(__xludf.DUMMYFUNCTION("""COMPUTED_VALUE"""),"Building")</f>
        <v>Building</v>
      </c>
      <c r="D13884" s="2" t="str">
        <f ca="1">IFERROR(__xludf.DUMMYFUNCTION("""COMPUTED_VALUE"""),"Dubai&gt;Motor City&gt;Velos Residence")</f>
        <v>Dubai&gt;Motor City&gt;Velos Residence</v>
      </c>
      <c r="E13884" s="2"/>
      <c r="F13884" s="2"/>
      <c r="G13884" s="2"/>
      <c r="H13884" s="2"/>
      <c r="I13884" s="2"/>
      <c r="J13884" s="2"/>
      <c r="K13884" s="2"/>
      <c r="L13884" s="2"/>
      <c r="M13884" s="2"/>
      <c r="N13884" s="2"/>
      <c r="O13884" s="2"/>
      <c r="P13884" s="2"/>
      <c r="Q13884" s="2"/>
      <c r="R13884" s="2"/>
      <c r="S13884" s="2"/>
      <c r="T13884" s="2"/>
      <c r="U13884" s="2"/>
      <c r="V13884" s="2"/>
      <c r="W13884" s="2"/>
      <c r="X13884" s="2"/>
      <c r="Y13884" s="2"/>
      <c r="Z13884" s="2"/>
    </row>
    <row r="13885" spans="1:26" ht="16.5" x14ac:dyDescent="0.35">
      <c r="A13885" s="2" t="str">
        <f ca="1">IFERROR(__xludf.DUMMYFUNCTION("""COMPUTED_VALUE"""),"Dubai")</f>
        <v>Dubai</v>
      </c>
      <c r="B13885" s="2" t="str">
        <f ca="1">IFERROR(__xludf.DUMMYFUNCTION("""COMPUTED_VALUE"""),"Al Sarfa Villas")</f>
        <v>Al Sarfa Villas</v>
      </c>
      <c r="C13885" s="2" t="str">
        <f ca="1">IFERROR(__xludf.DUMMYFUNCTION("""COMPUTED_VALUE"""),"Neighbourhood")</f>
        <v>Neighbourhood</v>
      </c>
      <c r="D13885" s="2" t="str">
        <f ca="1">IFERROR(__xludf.DUMMYFUNCTION("""COMPUTED_VALUE"""),"Dubai&gt;Al Sufouh&gt;Al Sufouh 1&gt;Al Sarfa Villas")</f>
        <v>Dubai&gt;Al Sufouh&gt;Al Sufouh 1&gt;Al Sarfa Villas</v>
      </c>
      <c r="E13885" s="2"/>
      <c r="F13885" s="2"/>
      <c r="G13885" s="2"/>
      <c r="H13885" s="2"/>
      <c r="I13885" s="2"/>
      <c r="J13885" s="2"/>
      <c r="K13885" s="2"/>
      <c r="L13885" s="2"/>
      <c r="M13885" s="2"/>
      <c r="N13885" s="2"/>
      <c r="O13885" s="2"/>
      <c r="P13885" s="2"/>
      <c r="Q13885" s="2"/>
      <c r="R13885" s="2"/>
      <c r="S13885" s="2"/>
      <c r="T13885" s="2"/>
      <c r="U13885" s="2"/>
      <c r="V13885" s="2"/>
      <c r="W13885" s="2"/>
      <c r="X13885" s="2"/>
      <c r="Y13885" s="2"/>
      <c r="Z13885" s="2"/>
    </row>
    <row r="13886" spans="1:26" ht="16.5" x14ac:dyDescent="0.35">
      <c r="A13886" s="2" t="str">
        <f ca="1">IFERROR(__xludf.DUMMYFUNCTION("""COMPUTED_VALUE"""),"Dubai")</f>
        <v>Dubai</v>
      </c>
      <c r="B13886" s="2" t="str">
        <f ca="1">IFERROR(__xludf.DUMMYFUNCTION("""COMPUTED_VALUE"""),"Boutique Office 5")</f>
        <v>Boutique Office 5</v>
      </c>
      <c r="C13886" s="2" t="str">
        <f ca="1">IFERROR(__xludf.DUMMYFUNCTION("""COMPUTED_VALUE"""),"Building")</f>
        <v>Building</v>
      </c>
      <c r="D13886" s="2" t="str">
        <f ca="1">IFERROR(__xludf.DUMMYFUNCTION("""COMPUTED_VALUE"""),"Dubai&gt;Al Sufouh&gt;Al Sufouh 2&gt;Boutique Offices&gt;Boutique Office 5")</f>
        <v>Dubai&gt;Al Sufouh&gt;Al Sufouh 2&gt;Boutique Offices&gt;Boutique Office 5</v>
      </c>
      <c r="E13886" s="2"/>
      <c r="F13886" s="2"/>
      <c r="G13886" s="2"/>
      <c r="H13886" s="2"/>
      <c r="I13886" s="2"/>
      <c r="J13886" s="2"/>
      <c r="K13886" s="2"/>
      <c r="L13886" s="2"/>
      <c r="M13886" s="2"/>
      <c r="N13886" s="2"/>
      <c r="O13886" s="2"/>
      <c r="P13886" s="2"/>
      <c r="Q13886" s="2"/>
      <c r="R13886" s="2"/>
      <c r="S13886" s="2"/>
      <c r="T13886" s="2"/>
      <c r="U13886" s="2"/>
      <c r="V13886" s="2"/>
      <c r="W13886" s="2"/>
      <c r="X13886" s="2"/>
      <c r="Y13886" s="2"/>
      <c r="Z13886" s="2"/>
    </row>
    <row r="13887" spans="1:26" ht="16.5" x14ac:dyDescent="0.35">
      <c r="A13887" s="2" t="str">
        <f ca="1">IFERROR(__xludf.DUMMYFUNCTION("""COMPUTED_VALUE"""),"Dubai")</f>
        <v>Dubai</v>
      </c>
      <c r="B13887" s="2" t="str">
        <f ca="1">IFERROR(__xludf.DUMMYFUNCTION("""COMPUTED_VALUE"""),"Al Badia Condo 1")</f>
        <v>Al Badia Condo 1</v>
      </c>
      <c r="C13887" s="2" t="str">
        <f ca="1">IFERROR(__xludf.DUMMYFUNCTION("""COMPUTED_VALUE"""),"Building")</f>
        <v>Building</v>
      </c>
      <c r="D13887" s="2" t="str">
        <f ca="1">IFERROR(__xludf.DUMMYFUNCTION("""COMPUTED_VALUE"""),"Dubai&gt;Dubai Festival City&gt;Al Badia Hillside Village&gt;Al Badia Condo 1")</f>
        <v>Dubai&gt;Dubai Festival City&gt;Al Badia Hillside Village&gt;Al Badia Condo 1</v>
      </c>
      <c r="E13887" s="2"/>
      <c r="F13887" s="2"/>
      <c r="G13887" s="2"/>
      <c r="H13887" s="2"/>
      <c r="I13887" s="2"/>
      <c r="J13887" s="2"/>
      <c r="K13887" s="2"/>
      <c r="L13887" s="2"/>
      <c r="M13887" s="2"/>
      <c r="N13887" s="2"/>
      <c r="O13887" s="2"/>
      <c r="P13887" s="2"/>
      <c r="Q13887" s="2"/>
      <c r="R13887" s="2"/>
      <c r="S13887" s="2"/>
      <c r="T13887" s="2"/>
      <c r="U13887" s="2"/>
      <c r="V13887" s="2"/>
      <c r="W13887" s="2"/>
      <c r="X13887" s="2"/>
      <c r="Y13887" s="2"/>
      <c r="Z13887" s="2"/>
    </row>
    <row r="13888" spans="1:26" ht="16.5" x14ac:dyDescent="0.35">
      <c r="A13888" s="2" t="str">
        <f ca="1">IFERROR(__xludf.DUMMYFUNCTION("""COMPUTED_VALUE"""),"Dubai")</f>
        <v>Dubai</v>
      </c>
      <c r="B13888" s="2" t="str">
        <f ca="1">IFERROR(__xludf.DUMMYFUNCTION("""COMPUTED_VALUE"""),"Golf Panorama")</f>
        <v>Golf Panorama</v>
      </c>
      <c r="C13888" s="2" t="str">
        <f ca="1">IFERROR(__xludf.DUMMYFUNCTION("""COMPUTED_VALUE"""),"Cluster")</f>
        <v>Cluster</v>
      </c>
      <c r="D13888" s="2" t="str">
        <f ca="1">IFERROR(__xludf.DUMMYFUNCTION("""COMPUTED_VALUE"""),"Dubai&gt;DAMAC Hills&gt;Golf Town&gt;Golf Panorama")</f>
        <v>Dubai&gt;DAMAC Hills&gt;Golf Town&gt;Golf Panorama</v>
      </c>
      <c r="E13888" s="2"/>
      <c r="F13888" s="2"/>
      <c r="G13888" s="2"/>
      <c r="H13888" s="2"/>
      <c r="I13888" s="2"/>
      <c r="J13888" s="2"/>
      <c r="K13888" s="2"/>
      <c r="L13888" s="2"/>
      <c r="M13888" s="2"/>
      <c r="N13888" s="2"/>
      <c r="O13888" s="2"/>
      <c r="P13888" s="2"/>
      <c r="Q13888" s="2"/>
      <c r="R13888" s="2"/>
      <c r="S13888" s="2"/>
      <c r="T13888" s="2"/>
      <c r="U13888" s="2"/>
      <c r="V13888" s="2"/>
      <c r="W13888" s="2"/>
      <c r="X13888" s="2"/>
      <c r="Y13888" s="2"/>
      <c r="Z13888" s="2"/>
    </row>
    <row r="13889" spans="1:26" ht="16.5" x14ac:dyDescent="0.35">
      <c r="A13889" s="2" t="str">
        <f ca="1">IFERROR(__xludf.DUMMYFUNCTION("""COMPUTED_VALUE"""),"Dubai")</f>
        <v>Dubai</v>
      </c>
      <c r="B13889" s="2" t="str">
        <f ca="1">IFERROR(__xludf.DUMMYFUNCTION("""COMPUTED_VALUE"""),"Pelham")</f>
        <v>Pelham</v>
      </c>
      <c r="C13889" s="2" t="str">
        <f ca="1">IFERROR(__xludf.DUMMYFUNCTION("""COMPUTED_VALUE"""),"Neighbourhood")</f>
        <v>Neighbourhood</v>
      </c>
      <c r="D13889" s="2" t="str">
        <f ca="1">IFERROR(__xludf.DUMMYFUNCTION("""COMPUTED_VALUE"""),"Dubai&gt;DAMAC Hills&gt;The Park Villas&gt;Pelham")</f>
        <v>Dubai&gt;DAMAC Hills&gt;The Park Villas&gt;Pelham</v>
      </c>
      <c r="E13889" s="2"/>
      <c r="F13889" s="2"/>
      <c r="G13889" s="2"/>
      <c r="H13889" s="2"/>
      <c r="I13889" s="2"/>
      <c r="J13889" s="2"/>
      <c r="K13889" s="2"/>
      <c r="L13889" s="2"/>
      <c r="M13889" s="2"/>
      <c r="N13889" s="2"/>
      <c r="O13889" s="2"/>
      <c r="P13889" s="2"/>
      <c r="Q13889" s="2"/>
      <c r="R13889" s="2"/>
      <c r="S13889" s="2"/>
      <c r="T13889" s="2"/>
      <c r="U13889" s="2"/>
      <c r="V13889" s="2"/>
      <c r="W13889" s="2"/>
      <c r="X13889" s="2"/>
      <c r="Y13889" s="2"/>
      <c r="Z13889" s="2"/>
    </row>
    <row r="13890" spans="1:26" ht="16.5" x14ac:dyDescent="0.35">
      <c r="A13890" s="2" t="str">
        <f ca="1">IFERROR(__xludf.DUMMYFUNCTION("""COMPUTED_VALUE"""),"Dubai")</f>
        <v>Dubai</v>
      </c>
      <c r="B13890" s="2" t="str">
        <f ca="1">IFERROR(__xludf.DUMMYFUNCTION("""COMPUTED_VALUE"""),"Loreto")</f>
        <v>Loreto</v>
      </c>
      <c r="C13890" s="2" t="str">
        <f ca="1">IFERROR(__xludf.DUMMYFUNCTION("""COMPUTED_VALUE"""),"Cluster")</f>
        <v>Cluster</v>
      </c>
      <c r="D13890" s="2" t="str">
        <f ca="1">IFERROR(__xludf.DUMMYFUNCTION("""COMPUTED_VALUE"""),"Dubai&gt;DAMAC Hills&gt;Loreto")</f>
        <v>Dubai&gt;DAMAC Hills&gt;Loreto</v>
      </c>
      <c r="E13890" s="2"/>
      <c r="F13890" s="2"/>
      <c r="G13890" s="2"/>
      <c r="H13890" s="2"/>
      <c r="I13890" s="2"/>
      <c r="J13890" s="2"/>
      <c r="K13890" s="2"/>
      <c r="L13890" s="2"/>
      <c r="M13890" s="2"/>
      <c r="N13890" s="2"/>
      <c r="O13890" s="2"/>
      <c r="P13890" s="2"/>
      <c r="Q13890" s="2"/>
      <c r="R13890" s="2"/>
      <c r="S13890" s="2"/>
      <c r="T13890" s="2"/>
      <c r="U13890" s="2"/>
      <c r="V13890" s="2"/>
      <c r="W13890" s="2"/>
      <c r="X13890" s="2"/>
      <c r="Y13890" s="2"/>
      <c r="Z13890" s="2"/>
    </row>
    <row r="13891" spans="1:26" ht="16.5" x14ac:dyDescent="0.35">
      <c r="A13891" s="2" t="str">
        <f ca="1">IFERROR(__xludf.DUMMYFUNCTION("""COMPUTED_VALUE"""),"Dubai")</f>
        <v>Dubai</v>
      </c>
      <c r="B13891" s="2" t="str">
        <f ca="1">IFERROR(__xludf.DUMMYFUNCTION("""COMPUTED_VALUE"""),"Ivory")</f>
        <v>Ivory</v>
      </c>
      <c r="C13891" s="2" t="str">
        <f ca="1">IFERROR(__xludf.DUMMYFUNCTION("""COMPUTED_VALUE"""),"Neighbourhood")</f>
        <v>Neighbourhood</v>
      </c>
      <c r="D13891" s="2" t="str">
        <f ca="1">IFERROR(__xludf.DUMMYFUNCTION("""COMPUTED_VALUE"""),"Dubai&gt;DAMAC Hills&gt;Ivory")</f>
        <v>Dubai&gt;DAMAC Hills&gt;Ivory</v>
      </c>
      <c r="E13891" s="2"/>
      <c r="F13891" s="2"/>
      <c r="G13891" s="2"/>
      <c r="H13891" s="2"/>
      <c r="I13891" s="2"/>
      <c r="J13891" s="2"/>
      <c r="K13891" s="2"/>
      <c r="L13891" s="2"/>
      <c r="M13891" s="2"/>
      <c r="N13891" s="2"/>
      <c r="O13891" s="2"/>
      <c r="P13891" s="2"/>
      <c r="Q13891" s="2"/>
      <c r="R13891" s="2"/>
      <c r="S13891" s="2"/>
      <c r="T13891" s="2"/>
      <c r="U13891" s="2"/>
      <c r="V13891" s="2"/>
      <c r="W13891" s="2"/>
      <c r="X13891" s="2"/>
      <c r="Y13891" s="2"/>
      <c r="Z13891" s="2"/>
    </row>
    <row r="13892" spans="1:26" ht="16.5" x14ac:dyDescent="0.35">
      <c r="A13892" s="2" t="str">
        <f ca="1">IFERROR(__xludf.DUMMYFUNCTION("""COMPUTED_VALUE"""),"Dubai")</f>
        <v>Dubai</v>
      </c>
      <c r="B13892" s="2" t="str">
        <f ca="1">IFERROR(__xludf.DUMMYFUNCTION("""COMPUTED_VALUE"""),"Al Ketbi Building")</f>
        <v>Al Ketbi Building</v>
      </c>
      <c r="C13892" s="2" t="str">
        <f ca="1">IFERROR(__xludf.DUMMYFUNCTION("""COMPUTED_VALUE"""),"Building")</f>
        <v>Building</v>
      </c>
      <c r="D13892" s="2" t="str">
        <f ca="1">IFERROR(__xludf.DUMMYFUNCTION("""COMPUTED_VALUE"""),"Dubai&gt;Al Mina&gt;Al Ketbi Building")</f>
        <v>Dubai&gt;Al Mina&gt;Al Ketbi Building</v>
      </c>
      <c r="E13892" s="2"/>
      <c r="F13892" s="2"/>
      <c r="G13892" s="2"/>
      <c r="H13892" s="2"/>
      <c r="I13892" s="2"/>
      <c r="J13892" s="2"/>
      <c r="K13892" s="2"/>
      <c r="L13892" s="2"/>
      <c r="M13892" s="2"/>
      <c r="N13892" s="2"/>
      <c r="O13892" s="2"/>
      <c r="P13892" s="2"/>
      <c r="Q13892" s="2"/>
      <c r="R13892" s="2"/>
      <c r="S13892" s="2"/>
      <c r="T13892" s="2"/>
      <c r="U13892" s="2"/>
      <c r="V13892" s="2"/>
      <c r="W13892" s="2"/>
      <c r="X13892" s="2"/>
      <c r="Y13892" s="2"/>
      <c r="Z13892" s="2"/>
    </row>
    <row r="13893" spans="1:26" ht="16.5" x14ac:dyDescent="0.35">
      <c r="A13893" s="2" t="str">
        <f ca="1">IFERROR(__xludf.DUMMYFUNCTION("""COMPUTED_VALUE"""),"Dubai")</f>
        <v>Dubai</v>
      </c>
      <c r="B13893" s="2" t="str">
        <f ca="1">IFERROR(__xludf.DUMMYFUNCTION("""COMPUTED_VALUE"""),"Chelsea Residences by DAMAC Tower 2")</f>
        <v>Chelsea Residences by DAMAC Tower 2</v>
      </c>
      <c r="C13893" s="2" t="str">
        <f ca="1">IFERROR(__xludf.DUMMYFUNCTION("""COMPUTED_VALUE"""),"Building")</f>
        <v>Building</v>
      </c>
      <c r="D13893" s="2" t="str">
        <f ca="1">IFERROR(__xludf.DUMMYFUNCTION("""COMPUTED_VALUE"""),"Dubai&gt;Dubai Maritime City&gt;Chelsea Residences by DAMAC&gt;Chelsea Residences by DAMAC Tower 2")</f>
        <v>Dubai&gt;Dubai Maritime City&gt;Chelsea Residences by DAMAC&gt;Chelsea Residences by DAMAC Tower 2</v>
      </c>
      <c r="E13893" s="2"/>
      <c r="F13893" s="2"/>
      <c r="G13893" s="2"/>
      <c r="H13893" s="2"/>
      <c r="I13893" s="2"/>
      <c r="J13893" s="2"/>
      <c r="K13893" s="2"/>
      <c r="L13893" s="2"/>
      <c r="M13893" s="2"/>
      <c r="N13893" s="2"/>
      <c r="O13893" s="2"/>
      <c r="P13893" s="2"/>
      <c r="Q13893" s="2"/>
      <c r="R13893" s="2"/>
      <c r="S13893" s="2"/>
      <c r="T13893" s="2"/>
      <c r="U13893" s="2"/>
      <c r="V13893" s="2"/>
      <c r="W13893" s="2"/>
      <c r="X13893" s="2"/>
      <c r="Y13893" s="2"/>
      <c r="Z13893" s="2"/>
    </row>
    <row r="13894" spans="1:26" ht="16.5" x14ac:dyDescent="0.35">
      <c r="A13894" s="2" t="str">
        <f ca="1">IFERROR(__xludf.DUMMYFUNCTION("""COMPUTED_VALUE"""),"Dubai")</f>
        <v>Dubai</v>
      </c>
      <c r="B13894" s="2" t="str">
        <f ca="1">IFERROR(__xludf.DUMMYFUNCTION("""COMPUTED_VALUE"""),"Golf Tower 1")</f>
        <v>Golf Tower 1</v>
      </c>
      <c r="C13894" s="2" t="str">
        <f ca="1">IFERROR(__xludf.DUMMYFUNCTION("""COMPUTED_VALUE"""),"Building")</f>
        <v>Building</v>
      </c>
      <c r="D13894" s="2" t="str">
        <f ca="1">IFERROR(__xludf.DUMMYFUNCTION("""COMPUTED_VALUE"""),"Dubai&gt;The Views&gt;Golf Tower&gt;Golf Tower 1")</f>
        <v>Dubai&gt;The Views&gt;Golf Tower&gt;Golf Tower 1</v>
      </c>
      <c r="E13894" s="2"/>
      <c r="F13894" s="2"/>
      <c r="G13894" s="2"/>
      <c r="H13894" s="2"/>
      <c r="I13894" s="2"/>
      <c r="J13894" s="2"/>
      <c r="K13894" s="2"/>
      <c r="L13894" s="2"/>
      <c r="M13894" s="2"/>
      <c r="N13894" s="2"/>
      <c r="O13894" s="2"/>
      <c r="P13894" s="2"/>
      <c r="Q13894" s="2"/>
      <c r="R13894" s="2"/>
      <c r="S13894" s="2"/>
      <c r="T13894" s="2"/>
      <c r="U13894" s="2"/>
      <c r="V13894" s="2"/>
      <c r="W13894" s="2"/>
      <c r="X13894" s="2"/>
      <c r="Y13894" s="2"/>
      <c r="Z13894" s="2"/>
    </row>
    <row r="13895" spans="1:26" ht="16.5" x14ac:dyDescent="0.35">
      <c r="A13895" s="2" t="str">
        <f ca="1">IFERROR(__xludf.DUMMYFUNCTION("""COMPUTED_VALUE"""),"Dubai")</f>
        <v>Dubai</v>
      </c>
      <c r="B13895" s="2" t="str">
        <f ca="1">IFERROR(__xludf.DUMMYFUNCTION("""COMPUTED_VALUE"""),"Lycee Francais Jean Mermoz")</f>
        <v>Lycee Francais Jean Mermoz</v>
      </c>
      <c r="C13895" s="2" t="str">
        <f ca="1">IFERROR(__xludf.DUMMYFUNCTION("""COMPUTED_VALUE"""),"School")</f>
        <v>School</v>
      </c>
      <c r="D13895" s="2" t="str">
        <f ca="1">IFERROR(__xludf.DUMMYFUNCTION("""COMPUTED_VALUE"""),"Dubai&gt;Al Quoz&gt;Al Quoz 1&gt;Lycee Francais Jean Mermoz")</f>
        <v>Dubai&gt;Al Quoz&gt;Al Quoz 1&gt;Lycee Francais Jean Mermoz</v>
      </c>
      <c r="E13895" s="2"/>
      <c r="F13895" s="2"/>
      <c r="G13895" s="2"/>
      <c r="H13895" s="2"/>
      <c r="I13895" s="2"/>
      <c r="J13895" s="2"/>
      <c r="K13895" s="2"/>
      <c r="L13895" s="2"/>
      <c r="M13895" s="2"/>
      <c r="N13895" s="2"/>
      <c r="O13895" s="2"/>
      <c r="P13895" s="2"/>
      <c r="Q13895" s="2"/>
      <c r="R13895" s="2"/>
      <c r="S13895" s="2"/>
      <c r="T13895" s="2"/>
      <c r="U13895" s="2"/>
      <c r="V13895" s="2"/>
      <c r="W13895" s="2"/>
      <c r="X13895" s="2"/>
      <c r="Y13895" s="2"/>
      <c r="Z13895" s="2"/>
    </row>
    <row r="13896" spans="1:26" ht="16.5" x14ac:dyDescent="0.35">
      <c r="A13896" s="2" t="str">
        <f ca="1">IFERROR(__xludf.DUMMYFUNCTION("""COMPUTED_VALUE"""),"Dubai")</f>
        <v>Dubai</v>
      </c>
      <c r="B13896" s="2" t="str">
        <f ca="1">IFERROR(__xludf.DUMMYFUNCTION("""COMPUTED_VALUE"""),"Rawabeh Building")</f>
        <v>Rawabeh Building</v>
      </c>
      <c r="C13896" s="2" t="str">
        <f ca="1">IFERROR(__xludf.DUMMYFUNCTION("""COMPUTED_VALUE"""),"Building")</f>
        <v>Building</v>
      </c>
      <c r="D13896" s="2" t="str">
        <f ca="1">IFERROR(__xludf.DUMMYFUNCTION("""COMPUTED_VALUE"""),"Dubai&gt;Al Quoz&gt;Al Quoz Industrial Area&gt;Al Quoz Industrial Area 1&gt;Rawabeh Building")</f>
        <v>Dubai&gt;Al Quoz&gt;Al Quoz Industrial Area&gt;Al Quoz Industrial Area 1&gt;Rawabeh Building</v>
      </c>
      <c r="E13896" s="2"/>
      <c r="F13896" s="2"/>
      <c r="G13896" s="2"/>
      <c r="H13896" s="2"/>
      <c r="I13896" s="2"/>
      <c r="J13896" s="2"/>
      <c r="K13896" s="2"/>
      <c r="L13896" s="2"/>
      <c r="M13896" s="2"/>
      <c r="N13896" s="2"/>
      <c r="O13896" s="2"/>
      <c r="P13896" s="2"/>
      <c r="Q13896" s="2"/>
      <c r="R13896" s="2"/>
      <c r="S13896" s="2"/>
      <c r="T13896" s="2"/>
      <c r="U13896" s="2"/>
      <c r="V13896" s="2"/>
      <c r="W13896" s="2"/>
      <c r="X13896" s="2"/>
      <c r="Y13896" s="2"/>
      <c r="Z13896" s="2"/>
    </row>
    <row r="13897" spans="1:26" ht="16.5" x14ac:dyDescent="0.35">
      <c r="A13897" s="2" t="str">
        <f ca="1">IFERROR(__xludf.DUMMYFUNCTION("""COMPUTED_VALUE"""),"Dubai")</f>
        <v>Dubai</v>
      </c>
      <c r="B13897" s="2" t="str">
        <f ca="1">IFERROR(__xludf.DUMMYFUNCTION("""COMPUTED_VALUE"""),"Al Khail Heights Building 4B")</f>
        <v>Al Khail Heights Building 4B</v>
      </c>
      <c r="C13897" s="2" t="str">
        <f ca="1">IFERROR(__xludf.DUMMYFUNCTION("""COMPUTED_VALUE"""),"Building")</f>
        <v>Building</v>
      </c>
      <c r="D13897" s="2" t="str">
        <f ca="1">IFERROR(__xludf.DUMMYFUNCTION("""COMPUTED_VALUE"""),"Dubai&gt;Al Quoz&gt;Al Quoz 4&gt;Al Khail Heights&gt;Al Khail Heights Building 4B")</f>
        <v>Dubai&gt;Al Quoz&gt;Al Quoz 4&gt;Al Khail Heights&gt;Al Khail Heights Building 4B</v>
      </c>
      <c r="E13897" s="2"/>
      <c r="F13897" s="2"/>
      <c r="G13897" s="2"/>
      <c r="H13897" s="2"/>
      <c r="I13897" s="2"/>
      <c r="J13897" s="2"/>
      <c r="K13897" s="2"/>
      <c r="L13897" s="2"/>
      <c r="M13897" s="2"/>
      <c r="N13897" s="2"/>
      <c r="O13897" s="2"/>
      <c r="P13897" s="2"/>
      <c r="Q13897" s="2"/>
      <c r="R13897" s="2"/>
      <c r="S13897" s="2"/>
      <c r="T13897" s="2"/>
      <c r="U13897" s="2"/>
      <c r="V13897" s="2"/>
      <c r="W13897" s="2"/>
      <c r="X13897" s="2"/>
      <c r="Y13897" s="2"/>
      <c r="Z13897" s="2"/>
    </row>
    <row r="13898" spans="1:26" ht="16.5" x14ac:dyDescent="0.35">
      <c r="A13898" s="2" t="str">
        <f ca="1">IFERROR(__xludf.DUMMYFUNCTION("""COMPUTED_VALUE"""),"Dubai")</f>
        <v>Dubai</v>
      </c>
      <c r="B13898" s="2" t="str">
        <f ca="1">IFERROR(__xludf.DUMMYFUNCTION("""COMPUTED_VALUE"""),"Cordoba Palace")</f>
        <v>Cordoba Palace</v>
      </c>
      <c r="C13898" s="2" t="str">
        <f ca="1">IFERROR(__xludf.DUMMYFUNCTION("""COMPUTED_VALUE"""),"Building")</f>
        <v>Building</v>
      </c>
      <c r="D13898" s="2" t="str">
        <f ca="1">IFERROR(__xludf.DUMMYFUNCTION("""COMPUTED_VALUE"""),"Dubai&gt;Dubai Silicon Oasis (DSO)&gt;Cordoba Palace")</f>
        <v>Dubai&gt;Dubai Silicon Oasis (DSO)&gt;Cordoba Palace</v>
      </c>
      <c r="E13898" s="2"/>
      <c r="F13898" s="2"/>
      <c r="G13898" s="2"/>
      <c r="H13898" s="2"/>
      <c r="I13898" s="2"/>
      <c r="J13898" s="2"/>
      <c r="K13898" s="2"/>
      <c r="L13898" s="2"/>
      <c r="M13898" s="2"/>
      <c r="N13898" s="2"/>
      <c r="O13898" s="2"/>
      <c r="P13898" s="2"/>
      <c r="Q13898" s="2"/>
      <c r="R13898" s="2"/>
      <c r="S13898" s="2"/>
      <c r="T13898" s="2"/>
      <c r="U13898" s="2"/>
      <c r="V13898" s="2"/>
      <c r="W13898" s="2"/>
      <c r="X13898" s="2"/>
      <c r="Y13898" s="2"/>
      <c r="Z13898" s="2"/>
    </row>
    <row r="13899" spans="1:26" ht="16.5" x14ac:dyDescent="0.35">
      <c r="A13899" s="2" t="str">
        <f ca="1">IFERROR(__xludf.DUMMYFUNCTION("""COMPUTED_VALUE"""),"Dubai")</f>
        <v>Dubai</v>
      </c>
      <c r="B13899" s="2" t="str">
        <f ca="1">IFERROR(__xludf.DUMMYFUNCTION("""COMPUTED_VALUE"""),"SP Oasis")</f>
        <v>SP Oasis</v>
      </c>
      <c r="C13899" s="2" t="str">
        <f ca="1">IFERROR(__xludf.DUMMYFUNCTION("""COMPUTED_VALUE"""),"Building")</f>
        <v>Building</v>
      </c>
      <c r="D13899" s="2" t="str">
        <f ca="1">IFERROR(__xludf.DUMMYFUNCTION("""COMPUTED_VALUE"""),"Dubai&gt;Dubai Silicon Oasis (DSO)&gt;SP Oasis")</f>
        <v>Dubai&gt;Dubai Silicon Oasis (DSO)&gt;SP Oasis</v>
      </c>
      <c r="E13899" s="2"/>
      <c r="F13899" s="2"/>
      <c r="G13899" s="2"/>
      <c r="H13899" s="2"/>
      <c r="I13899" s="2"/>
      <c r="J13899" s="2"/>
      <c r="K13899" s="2"/>
      <c r="L13899" s="2"/>
      <c r="M13899" s="2"/>
      <c r="N13899" s="2"/>
      <c r="O13899" s="2"/>
      <c r="P13899" s="2"/>
      <c r="Q13899" s="2"/>
      <c r="R13899" s="2"/>
      <c r="S13899" s="2"/>
      <c r="T13899" s="2"/>
      <c r="U13899" s="2"/>
      <c r="V13899" s="2"/>
      <c r="W13899" s="2"/>
      <c r="X13899" s="2"/>
      <c r="Y13899" s="2"/>
      <c r="Z13899" s="2"/>
    </row>
    <row r="13900" spans="1:26" ht="16.5" x14ac:dyDescent="0.35">
      <c r="A13900" s="2" t="str">
        <f ca="1">IFERROR(__xludf.DUMMYFUNCTION("""COMPUTED_VALUE"""),"Dubai")</f>
        <v>Dubai</v>
      </c>
      <c r="B13900" s="2" t="str">
        <f ca="1">IFERROR(__xludf.DUMMYFUNCTION("""COMPUTED_VALUE"""),"Radisson RED Hotel")</f>
        <v>Radisson RED Hotel</v>
      </c>
      <c r="C13900" s="2" t="str">
        <f ca="1">IFERROR(__xludf.DUMMYFUNCTION("""COMPUTED_VALUE"""),"Building")</f>
        <v>Building</v>
      </c>
      <c r="D13900" s="2" t="str">
        <f ca="1">IFERROR(__xludf.DUMMYFUNCTION("""COMPUTED_VALUE"""),"Dubai&gt;Dubai Silicon Oasis (DSO)&gt;Radisson RED Hotel")</f>
        <v>Dubai&gt;Dubai Silicon Oasis (DSO)&gt;Radisson RED Hotel</v>
      </c>
      <c r="E13900" s="2"/>
      <c r="F13900" s="2"/>
      <c r="G13900" s="2"/>
      <c r="H13900" s="2"/>
      <c r="I13900" s="2"/>
      <c r="J13900" s="2"/>
      <c r="K13900" s="2"/>
      <c r="L13900" s="2"/>
      <c r="M13900" s="2"/>
      <c r="N13900" s="2"/>
      <c r="O13900" s="2"/>
      <c r="P13900" s="2"/>
      <c r="Q13900" s="2"/>
      <c r="R13900" s="2"/>
      <c r="S13900" s="2"/>
      <c r="T13900" s="2"/>
      <c r="U13900" s="2"/>
      <c r="V13900" s="2"/>
      <c r="W13900" s="2"/>
      <c r="X13900" s="2"/>
      <c r="Y13900" s="2"/>
      <c r="Z13900" s="2"/>
    </row>
    <row r="13901" spans="1:26" ht="16.5" x14ac:dyDescent="0.35">
      <c r="A13901" s="2" t="str">
        <f ca="1">IFERROR(__xludf.DUMMYFUNCTION("""COMPUTED_VALUE"""),"Dubai")</f>
        <v>Dubai</v>
      </c>
      <c r="B13901" s="2" t="str">
        <f ca="1">IFERROR(__xludf.DUMMYFUNCTION("""COMPUTED_VALUE"""),"Semmer Villas")</f>
        <v>Semmer Villas</v>
      </c>
      <c r="C13901" s="2" t="str">
        <f ca="1">IFERROR(__xludf.DUMMYFUNCTION("""COMPUTED_VALUE"""),"Neighbourhood")</f>
        <v>Neighbourhood</v>
      </c>
      <c r="D13901" s="2" t="str">
        <f ca="1">IFERROR(__xludf.DUMMYFUNCTION("""COMPUTED_VALUE"""),"Dubai&gt;Dubai Silicon Oasis (DSO)&gt;Semmer Villas")</f>
        <v>Dubai&gt;Dubai Silicon Oasis (DSO)&gt;Semmer Villas</v>
      </c>
      <c r="E13901" s="2"/>
      <c r="F13901" s="2"/>
      <c r="G13901" s="2"/>
      <c r="H13901" s="2"/>
      <c r="I13901" s="2"/>
      <c r="J13901" s="2"/>
      <c r="K13901" s="2"/>
      <c r="L13901" s="2"/>
      <c r="M13901" s="2"/>
      <c r="N13901" s="2"/>
      <c r="O13901" s="2"/>
      <c r="P13901" s="2"/>
      <c r="Q13901" s="2"/>
      <c r="R13901" s="2"/>
      <c r="S13901" s="2"/>
      <c r="T13901" s="2"/>
      <c r="U13901" s="2"/>
      <c r="V13901" s="2"/>
      <c r="W13901" s="2"/>
      <c r="X13901" s="2"/>
      <c r="Y13901" s="2"/>
      <c r="Z13901" s="2"/>
    </row>
    <row r="13902" spans="1:26" ht="16.5" x14ac:dyDescent="0.35">
      <c r="A13902" s="2" t="str">
        <f ca="1">IFERROR(__xludf.DUMMYFUNCTION("""COMPUTED_VALUE"""),"Dubai")</f>
        <v>Dubai</v>
      </c>
      <c r="B13902" s="2" t="str">
        <f ca="1">IFERROR(__xludf.DUMMYFUNCTION("""COMPUTED_VALUE"""),"Palace Tower 1")</f>
        <v>Palace Tower 1</v>
      </c>
      <c r="C13902" s="2" t="str">
        <f ca="1">IFERROR(__xludf.DUMMYFUNCTION("""COMPUTED_VALUE"""),"Building")</f>
        <v>Building</v>
      </c>
      <c r="D13902" s="2" t="str">
        <f ca="1">IFERROR(__xludf.DUMMYFUNCTION("""COMPUTED_VALUE"""),"Dubai&gt;Dubai Silicon Oasis (DSO)&gt;Palace Towers&gt;Palace Tower 1")</f>
        <v>Dubai&gt;Dubai Silicon Oasis (DSO)&gt;Palace Towers&gt;Palace Tower 1</v>
      </c>
      <c r="E13902" s="2"/>
      <c r="F13902" s="2"/>
      <c r="G13902" s="2"/>
      <c r="H13902" s="2"/>
      <c r="I13902" s="2"/>
      <c r="J13902" s="2"/>
      <c r="K13902" s="2"/>
      <c r="L13902" s="2"/>
      <c r="M13902" s="2"/>
      <c r="N13902" s="2"/>
      <c r="O13902" s="2"/>
      <c r="P13902" s="2"/>
      <c r="Q13902" s="2"/>
      <c r="R13902" s="2"/>
      <c r="S13902" s="2"/>
      <c r="T13902" s="2"/>
      <c r="U13902" s="2"/>
      <c r="V13902" s="2"/>
      <c r="W13902" s="2"/>
      <c r="X13902" s="2"/>
      <c r="Y13902" s="2"/>
      <c r="Z13902" s="2"/>
    </row>
    <row r="13903" spans="1:26" ht="16.5" x14ac:dyDescent="0.35">
      <c r="A13903" s="2" t="str">
        <f ca="1">IFERROR(__xludf.DUMMYFUNCTION("""COMPUTED_VALUE"""),"Dubai")</f>
        <v>Dubai</v>
      </c>
      <c r="B13903" s="2" t="str">
        <f ca="1">IFERROR(__xludf.DUMMYFUNCTION("""COMPUTED_VALUE"""),"Azure Residence")</f>
        <v>Azure Residence</v>
      </c>
      <c r="C13903" s="2" t="str">
        <f ca="1">IFERROR(__xludf.DUMMYFUNCTION("""COMPUTED_VALUE"""),"Building")</f>
        <v>Building</v>
      </c>
      <c r="D13903" s="2" t="str">
        <f ca="1">IFERROR(__xludf.DUMMYFUNCTION("""COMPUTED_VALUE"""),"Dubai&gt;Dubai Silicon Oasis (DSO)&gt;Azure Residence")</f>
        <v>Dubai&gt;Dubai Silicon Oasis (DSO)&gt;Azure Residence</v>
      </c>
      <c r="E13903" s="2"/>
      <c r="F13903" s="2"/>
      <c r="G13903" s="2"/>
      <c r="H13903" s="2"/>
      <c r="I13903" s="2"/>
      <c r="J13903" s="2"/>
      <c r="K13903" s="2"/>
      <c r="L13903" s="2"/>
      <c r="M13903" s="2"/>
      <c r="N13903" s="2"/>
      <c r="O13903" s="2"/>
      <c r="P13903" s="2"/>
      <c r="Q13903" s="2"/>
      <c r="R13903" s="2"/>
      <c r="S13903" s="2"/>
      <c r="T13903" s="2"/>
      <c r="U13903" s="2"/>
      <c r="V13903" s="2"/>
      <c r="W13903" s="2"/>
      <c r="X13903" s="2"/>
      <c r="Y13903" s="2"/>
      <c r="Z13903" s="2"/>
    </row>
    <row r="13904" spans="1:26" ht="16.5" x14ac:dyDescent="0.35">
      <c r="A13904" s="2" t="str">
        <f ca="1">IFERROR(__xludf.DUMMYFUNCTION("""COMPUTED_VALUE"""),"Dubai")</f>
        <v>Dubai</v>
      </c>
      <c r="B13904" s="2" t="str">
        <f ca="1">IFERROR(__xludf.DUMMYFUNCTION("""COMPUTED_VALUE"""),"The Hillgate Tower A")</f>
        <v>The Hillgate Tower A</v>
      </c>
      <c r="C13904" s="2" t="str">
        <f ca="1">IFERROR(__xludf.DUMMYFUNCTION("""COMPUTED_VALUE"""),"Building")</f>
        <v>Building</v>
      </c>
      <c r="D13904" s="2" t="str">
        <f ca="1">IFERROR(__xludf.DUMMYFUNCTION("""COMPUTED_VALUE"""),"Dubai&gt;Dubai Silicon Oasis (DSO)&gt;The Hillgate&gt;The Hillgate Tower A")</f>
        <v>Dubai&gt;Dubai Silicon Oasis (DSO)&gt;The Hillgate&gt;The Hillgate Tower A</v>
      </c>
      <c r="E13904" s="2"/>
      <c r="F13904" s="2"/>
      <c r="G13904" s="2"/>
      <c r="H13904" s="2"/>
      <c r="I13904" s="2"/>
      <c r="J13904" s="2"/>
      <c r="K13904" s="2"/>
      <c r="L13904" s="2"/>
      <c r="M13904" s="2"/>
      <c r="N13904" s="2"/>
      <c r="O13904" s="2"/>
      <c r="P13904" s="2"/>
      <c r="Q13904" s="2"/>
      <c r="R13904" s="2"/>
      <c r="S13904" s="2"/>
      <c r="T13904" s="2"/>
      <c r="U13904" s="2"/>
      <c r="V13904" s="2"/>
      <c r="W13904" s="2"/>
      <c r="X13904" s="2"/>
      <c r="Y13904" s="2"/>
      <c r="Z13904" s="2"/>
    </row>
    <row r="13905" spans="1:26" ht="16.5" x14ac:dyDescent="0.35">
      <c r="A13905" s="2" t="str">
        <f ca="1">IFERROR(__xludf.DUMMYFUNCTION("""COMPUTED_VALUE"""),"Dubai")</f>
        <v>Dubai</v>
      </c>
      <c r="B13905" s="2" t="str">
        <f ca="1">IFERROR(__xludf.DUMMYFUNCTION("""COMPUTED_VALUE"""),"Les 8")</f>
        <v>Les 8</v>
      </c>
      <c r="C13905" s="2" t="str">
        <f ca="1">IFERROR(__xludf.DUMMYFUNCTION("""COMPUTED_VALUE"""),"Neighbourhood")</f>
        <v>Neighbourhood</v>
      </c>
      <c r="D13905" s="2" t="str">
        <f ca="1">IFERROR(__xludf.DUMMYFUNCTION("""COMPUTED_VALUE"""),"Dubai&gt;Al Barari&gt;Les 8")</f>
        <v>Dubai&gt;Al Barari&gt;Les 8</v>
      </c>
      <c r="E13905" s="2"/>
      <c r="F13905" s="2"/>
      <c r="G13905" s="2"/>
      <c r="H13905" s="2"/>
      <c r="I13905" s="2"/>
      <c r="J13905" s="2"/>
      <c r="K13905" s="2"/>
      <c r="L13905" s="2"/>
      <c r="M13905" s="2"/>
      <c r="N13905" s="2"/>
      <c r="O13905" s="2"/>
      <c r="P13905" s="2"/>
      <c r="Q13905" s="2"/>
      <c r="R13905" s="2"/>
      <c r="S13905" s="2"/>
      <c r="T13905" s="2"/>
      <c r="U13905" s="2"/>
      <c r="V13905" s="2"/>
      <c r="W13905" s="2"/>
      <c r="X13905" s="2"/>
      <c r="Y13905" s="2"/>
      <c r="Z13905" s="2"/>
    </row>
    <row r="13906" spans="1:26" ht="16.5" x14ac:dyDescent="0.35">
      <c r="A13906" s="2" t="str">
        <f ca="1">IFERROR(__xludf.DUMMYFUNCTION("""COMPUTED_VALUE"""),"Dubai")</f>
        <v>Dubai</v>
      </c>
      <c r="B13906" s="2" t="str">
        <f ca="1">IFERROR(__xludf.DUMMYFUNCTION("""COMPUTED_VALUE"""),"MAG City")</f>
        <v>MAG City</v>
      </c>
      <c r="C13906" s="2" t="str">
        <f ca="1">IFERROR(__xludf.DUMMYFUNCTION("""COMPUTED_VALUE"""),"Neighbourhood")</f>
        <v>Neighbourhood</v>
      </c>
      <c r="D13906" s="2" t="str">
        <f ca="1">IFERROR(__xludf.DUMMYFUNCTION("""COMPUTED_VALUE"""),"Dubai&gt;Mohammed Bin Rashid City&gt;District 7&gt;MAG City")</f>
        <v>Dubai&gt;Mohammed Bin Rashid City&gt;District 7&gt;MAG City</v>
      </c>
      <c r="E13906" s="2"/>
      <c r="F13906" s="2"/>
      <c r="G13906" s="2"/>
      <c r="H13906" s="2"/>
      <c r="I13906" s="2"/>
      <c r="J13906" s="2"/>
      <c r="K13906" s="2"/>
      <c r="L13906" s="2"/>
      <c r="M13906" s="2"/>
      <c r="N13906" s="2"/>
      <c r="O13906" s="2"/>
      <c r="P13906" s="2"/>
      <c r="Q13906" s="2"/>
      <c r="R13906" s="2"/>
      <c r="S13906" s="2"/>
      <c r="T13906" s="2"/>
      <c r="U13906" s="2"/>
      <c r="V13906" s="2"/>
      <c r="W13906" s="2"/>
      <c r="X13906" s="2"/>
      <c r="Y13906" s="2"/>
      <c r="Z13906" s="2"/>
    </row>
    <row r="13907" spans="1:26" ht="16.5" x14ac:dyDescent="0.35">
      <c r="A13907" s="2" t="str">
        <f ca="1">IFERROR(__xludf.DUMMYFUNCTION("""COMPUTED_VALUE"""),"Dubai")</f>
        <v>Dubai</v>
      </c>
      <c r="B13907" s="2" t="str">
        <f ca="1">IFERROR(__xludf.DUMMYFUNCTION("""COMPUTED_VALUE"""),"Wadi Villas")</f>
        <v>Wadi Villas</v>
      </c>
      <c r="C13907" s="2" t="str">
        <f ca="1">IFERROR(__xludf.DUMMYFUNCTION("""COMPUTED_VALUE"""),"Neighbourhood")</f>
        <v>Neighbourhood</v>
      </c>
      <c r="D13907" s="2" t="str">
        <f ca="1">IFERROR(__xludf.DUMMYFUNCTION("""COMPUTED_VALUE"""),"Dubai&gt;Mohammed Bin Rashid City&gt;District 11&gt;Wadi Villas")</f>
        <v>Dubai&gt;Mohammed Bin Rashid City&gt;District 11&gt;Wadi Villas</v>
      </c>
      <c r="E13907" s="2"/>
      <c r="F13907" s="2"/>
      <c r="G13907" s="2"/>
      <c r="H13907" s="2"/>
      <c r="I13907" s="2"/>
      <c r="J13907" s="2"/>
      <c r="K13907" s="2"/>
      <c r="L13907" s="2"/>
      <c r="M13907" s="2"/>
      <c r="N13907" s="2"/>
      <c r="O13907" s="2"/>
      <c r="P13907" s="2"/>
      <c r="Q13907" s="2"/>
      <c r="R13907" s="2"/>
      <c r="S13907" s="2"/>
      <c r="T13907" s="2"/>
      <c r="U13907" s="2"/>
      <c r="V13907" s="2"/>
      <c r="W13907" s="2"/>
      <c r="X13907" s="2"/>
      <c r="Y13907" s="2"/>
      <c r="Z13907" s="2"/>
    </row>
    <row r="13908" spans="1:26" ht="16.5" x14ac:dyDescent="0.35">
      <c r="A13908" s="2" t="str">
        <f ca="1">IFERROR(__xludf.DUMMYFUNCTION("""COMPUTED_VALUE"""),"Dubai")</f>
        <v>Dubai</v>
      </c>
      <c r="B13908" s="2" t="str">
        <f ca="1">IFERROR(__xludf.DUMMYFUNCTION("""COMPUTED_VALUE"""),"Residences 16")</f>
        <v>Residences 16</v>
      </c>
      <c r="C13908" s="2" t="str">
        <f ca="1">IFERROR(__xludf.DUMMYFUNCTION("""COMPUTED_VALUE"""),"Building")</f>
        <v>Building</v>
      </c>
      <c r="D13908" s="2" t="str">
        <f ca="1">IFERROR(__xludf.DUMMYFUNCTION("""COMPUTED_VALUE"""),"Dubai&gt;Mohammed Bin Rashid City&gt;District One&gt;The Residences at District One&gt;Residences 16")</f>
        <v>Dubai&gt;Mohammed Bin Rashid City&gt;District One&gt;The Residences at District One&gt;Residences 16</v>
      </c>
      <c r="E13908" s="2"/>
      <c r="F13908" s="2"/>
      <c r="G13908" s="2"/>
      <c r="H13908" s="2"/>
      <c r="I13908" s="2"/>
      <c r="J13908" s="2"/>
      <c r="K13908" s="2"/>
      <c r="L13908" s="2"/>
      <c r="M13908" s="2"/>
      <c r="N13908" s="2"/>
      <c r="O13908" s="2"/>
      <c r="P13908" s="2"/>
      <c r="Q13908" s="2"/>
      <c r="R13908" s="2"/>
      <c r="S13908" s="2"/>
      <c r="T13908" s="2"/>
      <c r="U13908" s="2"/>
      <c r="V13908" s="2"/>
      <c r="W13908" s="2"/>
      <c r="X13908" s="2"/>
      <c r="Y13908" s="2"/>
      <c r="Z13908" s="2"/>
    </row>
    <row r="13909" spans="1:26" ht="16.5" x14ac:dyDescent="0.35">
      <c r="A13909" s="2" t="str">
        <f ca="1">IFERROR(__xludf.DUMMYFUNCTION("""COMPUTED_VALUE"""),"Dubai")</f>
        <v>Dubai</v>
      </c>
      <c r="B13909" s="2" t="str">
        <f ca="1">IFERROR(__xludf.DUMMYFUNCTION("""COMPUTED_VALUE"""),"Naya at District One")</f>
        <v>Naya at District One</v>
      </c>
      <c r="C13909" s="2" t="str">
        <f ca="1">IFERROR(__xludf.DUMMYFUNCTION("""COMPUTED_VALUE"""),"Building")</f>
        <v>Building</v>
      </c>
      <c r="D13909" s="2" t="str">
        <f ca="1">IFERROR(__xludf.DUMMYFUNCTION("""COMPUTED_VALUE"""),"Dubai&gt;Mohammed Bin Rashid City&gt;District One&gt;Naya at District One")</f>
        <v>Dubai&gt;Mohammed Bin Rashid City&gt;District One&gt;Naya at District One</v>
      </c>
      <c r="E13909" s="2"/>
      <c r="F13909" s="2"/>
      <c r="G13909" s="2"/>
      <c r="H13909" s="2"/>
      <c r="I13909" s="2"/>
      <c r="J13909" s="2"/>
      <c r="K13909" s="2"/>
      <c r="L13909" s="2"/>
      <c r="M13909" s="2"/>
      <c r="N13909" s="2"/>
      <c r="O13909" s="2"/>
      <c r="P13909" s="2"/>
      <c r="Q13909" s="2"/>
      <c r="R13909" s="2"/>
      <c r="S13909" s="2"/>
      <c r="T13909" s="2"/>
      <c r="U13909" s="2"/>
      <c r="V13909" s="2"/>
      <c r="W13909" s="2"/>
      <c r="X13909" s="2"/>
      <c r="Y13909" s="2"/>
      <c r="Z13909" s="2"/>
    </row>
    <row r="13910" spans="1:26" ht="16.5" x14ac:dyDescent="0.35">
      <c r="A13910" s="2" t="str">
        <f ca="1">IFERROR(__xludf.DUMMYFUNCTION("""COMPUTED_VALUE"""),"Dubai")</f>
        <v>Dubai</v>
      </c>
      <c r="B13910" s="2" t="str">
        <f ca="1">IFERROR(__xludf.DUMMYFUNCTION("""COMPUTED_VALUE"""),"Parklane Views")</f>
        <v>Parklane Views</v>
      </c>
      <c r="C13910" s="2" t="str">
        <f ca="1">IFERROR(__xludf.DUMMYFUNCTION("""COMPUTED_VALUE"""),"Building")</f>
        <v>Building</v>
      </c>
      <c r="D13910" s="2" t="str">
        <f ca="1">IFERROR(__xludf.DUMMYFUNCTION("""COMPUTED_VALUE"""),"Dubai&gt;Dubai South&gt;Residential District&gt;The Pulse&gt;The Pulse Villas 2&gt;Parklane Views")</f>
        <v>Dubai&gt;Dubai South&gt;Residential District&gt;The Pulse&gt;The Pulse Villas 2&gt;Parklane Views</v>
      </c>
      <c r="E13910" s="2"/>
      <c r="F13910" s="2"/>
      <c r="G13910" s="2"/>
      <c r="H13910" s="2"/>
      <c r="I13910" s="2"/>
      <c r="J13910" s="2"/>
      <c r="K13910" s="2"/>
      <c r="L13910" s="2"/>
      <c r="M13910" s="2"/>
      <c r="N13910" s="2"/>
      <c r="O13910" s="2"/>
      <c r="P13910" s="2"/>
      <c r="Q13910" s="2"/>
      <c r="R13910" s="2"/>
      <c r="S13910" s="2"/>
      <c r="T13910" s="2"/>
      <c r="U13910" s="2"/>
      <c r="V13910" s="2"/>
      <c r="W13910" s="2"/>
      <c r="X13910" s="2"/>
      <c r="Y13910" s="2"/>
      <c r="Z13910" s="2"/>
    </row>
    <row r="13911" spans="1:26" ht="16.5" x14ac:dyDescent="0.35">
      <c r="A13911" s="2" t="str">
        <f ca="1">IFERROR(__xludf.DUMMYFUNCTION("""COMPUTED_VALUE"""),"Dubai")</f>
        <v>Dubai</v>
      </c>
      <c r="B13911" s="2" t="str">
        <f ca="1">IFERROR(__xludf.DUMMYFUNCTION("""COMPUTED_VALUE"""),"South Bay 1")</f>
        <v>South Bay 1</v>
      </c>
      <c r="C13911" s="2" t="str">
        <f ca="1">IFERROR(__xludf.DUMMYFUNCTION("""COMPUTED_VALUE"""),"Neighbourhood")</f>
        <v>Neighbourhood</v>
      </c>
      <c r="D13911" s="2" t="str">
        <f ca="1">IFERROR(__xludf.DUMMYFUNCTION("""COMPUTED_VALUE"""),"Dubai&gt;Dubai South&gt;Residential District&gt;South Bay&gt;South Bay 1")</f>
        <v>Dubai&gt;Dubai South&gt;Residential District&gt;South Bay&gt;South Bay 1</v>
      </c>
      <c r="E13911" s="2"/>
      <c r="F13911" s="2"/>
      <c r="G13911" s="2"/>
      <c r="H13911" s="2"/>
      <c r="I13911" s="2"/>
      <c r="J13911" s="2"/>
      <c r="K13911" s="2"/>
      <c r="L13911" s="2"/>
      <c r="M13911" s="2"/>
      <c r="N13911" s="2"/>
      <c r="O13911" s="2"/>
      <c r="P13911" s="2"/>
      <c r="Q13911" s="2"/>
      <c r="R13911" s="2"/>
      <c r="S13911" s="2"/>
      <c r="T13911" s="2"/>
      <c r="U13911" s="2"/>
      <c r="V13911" s="2"/>
      <c r="W13911" s="2"/>
      <c r="X13911" s="2"/>
      <c r="Y13911" s="2"/>
      <c r="Z13911" s="2"/>
    </row>
    <row r="13912" spans="1:26" ht="16.5" x14ac:dyDescent="0.35">
      <c r="A13912" s="2" t="str">
        <f ca="1">IFERROR(__xludf.DUMMYFUNCTION("""COMPUTED_VALUE"""),"Dubai")</f>
        <v>Dubai</v>
      </c>
      <c r="B13912" s="2" t="str">
        <f ca="1">IFERROR(__xludf.DUMMYFUNCTION("""COMPUTED_VALUE"""),"Al Jaberi DS-1 Building")</f>
        <v>Al Jaberi DS-1 Building</v>
      </c>
      <c r="C13912" s="2" t="str">
        <f ca="1">IFERROR(__xludf.DUMMYFUNCTION("""COMPUTED_VALUE"""),"Building")</f>
        <v>Building</v>
      </c>
      <c r="D13912" s="2" t="str">
        <f ca="1">IFERROR(__xludf.DUMMYFUNCTION("""COMPUTED_VALUE"""),"Dubai&gt;Dubai South&gt;Residential District&gt;Al Jaberi DS-1 Building")</f>
        <v>Dubai&gt;Dubai South&gt;Residential District&gt;Al Jaberi DS-1 Building</v>
      </c>
      <c r="E13912" s="2"/>
      <c r="F13912" s="2"/>
      <c r="G13912" s="2"/>
      <c r="H13912" s="2"/>
      <c r="I13912" s="2"/>
      <c r="J13912" s="2"/>
      <c r="K13912" s="2"/>
      <c r="L13912" s="2"/>
      <c r="M13912" s="2"/>
      <c r="N13912" s="2"/>
      <c r="O13912" s="2"/>
      <c r="P13912" s="2"/>
      <c r="Q13912" s="2"/>
      <c r="R13912" s="2"/>
      <c r="S13912" s="2"/>
      <c r="T13912" s="2"/>
      <c r="U13912" s="2"/>
      <c r="V13912" s="2"/>
      <c r="W13912" s="2"/>
      <c r="X13912" s="2"/>
      <c r="Y13912" s="2"/>
      <c r="Z13912" s="2"/>
    </row>
    <row r="13913" spans="1:26" ht="16.5" x14ac:dyDescent="0.35">
      <c r="A13913" s="2" t="str">
        <f ca="1">IFERROR(__xludf.DUMMYFUNCTION("""COMPUTED_VALUE"""),"Dubai")</f>
        <v>Dubai</v>
      </c>
      <c r="B13913" s="2" t="str">
        <f ca="1">IFERROR(__xludf.DUMMYFUNCTION("""COMPUTED_VALUE"""),"Myra Residences")</f>
        <v>Myra Residences</v>
      </c>
      <c r="C13913" s="2" t="str">
        <f ca="1">IFERROR(__xludf.DUMMYFUNCTION("""COMPUTED_VALUE"""),"Building")</f>
        <v>Building</v>
      </c>
      <c r="D13913" s="2" t="str">
        <f ca="1">IFERROR(__xludf.DUMMYFUNCTION("""COMPUTED_VALUE"""),"Dubai&gt;Dubai South&gt;Residential District&gt;Myra Residences")</f>
        <v>Dubai&gt;Dubai South&gt;Residential District&gt;Myra Residences</v>
      </c>
      <c r="E13913" s="2"/>
      <c r="F13913" s="2"/>
      <c r="G13913" s="2"/>
      <c r="H13913" s="2"/>
      <c r="I13913" s="2"/>
      <c r="J13913" s="2"/>
      <c r="K13913" s="2"/>
      <c r="L13913" s="2"/>
      <c r="M13913" s="2"/>
      <c r="N13913" s="2"/>
      <c r="O13913" s="2"/>
      <c r="P13913" s="2"/>
      <c r="Q13913" s="2"/>
      <c r="R13913" s="2"/>
      <c r="S13913" s="2"/>
      <c r="T13913" s="2"/>
      <c r="U13913" s="2"/>
      <c r="V13913" s="2"/>
      <c r="W13913" s="2"/>
      <c r="X13913" s="2"/>
      <c r="Y13913" s="2"/>
      <c r="Z13913" s="2"/>
    </row>
    <row r="13914" spans="1:26" ht="16.5" x14ac:dyDescent="0.35">
      <c r="A13914" s="2" t="str">
        <f ca="1">IFERROR(__xludf.DUMMYFUNCTION("""COMPUTED_VALUE"""),"Dubai")</f>
        <v>Dubai</v>
      </c>
      <c r="B13914" s="2" t="str">
        <f ca="1">IFERROR(__xludf.DUMMYFUNCTION("""COMPUTED_VALUE"""),"Golf Point")</f>
        <v>Golf Point</v>
      </c>
      <c r="C13914" s="2" t="str">
        <f ca="1">IFERROR(__xludf.DUMMYFUNCTION("""COMPUTED_VALUE"""),"Cluster")</f>
        <v>Cluster</v>
      </c>
      <c r="D13914" s="2" t="str">
        <f ca="1">IFERROR(__xludf.DUMMYFUNCTION("""COMPUTED_VALUE"""),"Dubai&gt;Dubai South&gt;Emaar South&gt;Golf Point")</f>
        <v>Dubai&gt;Dubai South&gt;Emaar South&gt;Golf Point</v>
      </c>
      <c r="E13914" s="2"/>
      <c r="F13914" s="2"/>
      <c r="G13914" s="2"/>
      <c r="H13914" s="2"/>
      <c r="I13914" s="2"/>
      <c r="J13914" s="2"/>
      <c r="K13914" s="2"/>
      <c r="L13914" s="2"/>
      <c r="M13914" s="2"/>
      <c r="N13914" s="2"/>
      <c r="O13914" s="2"/>
      <c r="P13914" s="2"/>
      <c r="Q13914" s="2"/>
      <c r="R13914" s="2"/>
      <c r="S13914" s="2"/>
      <c r="T13914" s="2"/>
      <c r="U13914" s="2"/>
      <c r="V13914" s="2"/>
      <c r="W13914" s="2"/>
      <c r="X13914" s="2"/>
      <c r="Y13914" s="2"/>
      <c r="Z13914" s="2"/>
    </row>
    <row r="13915" spans="1:26" ht="16.5" x14ac:dyDescent="0.35">
      <c r="A13915" s="2" t="str">
        <f ca="1">IFERROR(__xludf.DUMMYFUNCTION("""COMPUTED_VALUE"""),"Dubai")</f>
        <v>Dubai</v>
      </c>
      <c r="B13915" s="2" t="str">
        <f ca="1">IFERROR(__xludf.DUMMYFUNCTION("""COMPUTED_VALUE"""),"Al Wasl Building R453 Block 2")</f>
        <v>Al Wasl Building R453 Block 2</v>
      </c>
      <c r="C13915" s="2" t="str">
        <f ca="1">IFERROR(__xludf.DUMMYFUNCTION("""COMPUTED_VALUE"""),"Building")</f>
        <v>Building</v>
      </c>
      <c r="D13915" s="2" t="str">
        <f ca="1">IFERROR(__xludf.DUMMYFUNCTION("""COMPUTED_VALUE"""),"Dubai&gt;Muhaisnah&gt;Muhaisnah 4&gt;Al Wasl R453&gt;Al Wasl Building R453 Block 2")</f>
        <v>Dubai&gt;Muhaisnah&gt;Muhaisnah 4&gt;Al Wasl R453&gt;Al Wasl Building R453 Block 2</v>
      </c>
      <c r="E13915" s="2"/>
      <c r="F13915" s="2"/>
      <c r="G13915" s="2"/>
      <c r="H13915" s="2"/>
      <c r="I13915" s="2"/>
      <c r="J13915" s="2"/>
      <c r="K13915" s="2"/>
      <c r="L13915" s="2"/>
      <c r="M13915" s="2"/>
      <c r="N13915" s="2"/>
      <c r="O13915" s="2"/>
      <c r="P13915" s="2"/>
      <c r="Q13915" s="2"/>
      <c r="R13915" s="2"/>
      <c r="S13915" s="2"/>
      <c r="T13915" s="2"/>
      <c r="U13915" s="2"/>
      <c r="V13915" s="2"/>
      <c r="W13915" s="2"/>
      <c r="X13915" s="2"/>
      <c r="Y13915" s="2"/>
      <c r="Z13915" s="2"/>
    </row>
    <row r="13916" spans="1:26" ht="16.5" x14ac:dyDescent="0.35">
      <c r="A13916" s="2" t="str">
        <f ca="1">IFERROR(__xludf.DUMMYFUNCTION("""COMPUTED_VALUE"""),"Dubai")</f>
        <v>Dubai</v>
      </c>
      <c r="B13916" s="2" t="str">
        <f ca="1">IFERROR(__xludf.DUMMYFUNCTION("""COMPUTED_VALUE"""),"Madinat Badr")</f>
        <v>Madinat Badr</v>
      </c>
      <c r="C13916" s="2" t="str">
        <f ca="1">IFERROR(__xludf.DUMMYFUNCTION("""COMPUTED_VALUE"""),"Neighbourhood")</f>
        <v>Neighbourhood</v>
      </c>
      <c r="D13916" s="2" t="str">
        <f ca="1">IFERROR(__xludf.DUMMYFUNCTION("""COMPUTED_VALUE"""),"Dubai&gt;Muhaisnah&gt;Muhaisnah 1&gt;Madinat Badr")</f>
        <v>Dubai&gt;Muhaisnah&gt;Muhaisnah 1&gt;Madinat Badr</v>
      </c>
      <c r="E13916" s="2"/>
      <c r="F13916" s="2"/>
      <c r="G13916" s="2"/>
      <c r="H13916" s="2"/>
      <c r="I13916" s="2"/>
      <c r="J13916" s="2"/>
      <c r="K13916" s="2"/>
      <c r="L13916" s="2"/>
      <c r="M13916" s="2"/>
      <c r="N13916" s="2"/>
      <c r="O13916" s="2"/>
      <c r="P13916" s="2"/>
      <c r="Q13916" s="2"/>
      <c r="R13916" s="2"/>
      <c r="S13916" s="2"/>
      <c r="T13916" s="2"/>
      <c r="U13916" s="2"/>
      <c r="V13916" s="2"/>
      <c r="W13916" s="2"/>
      <c r="X13916" s="2"/>
      <c r="Y13916" s="2"/>
      <c r="Z13916" s="2"/>
    </row>
    <row r="13917" spans="1:26" ht="16.5" x14ac:dyDescent="0.35">
      <c r="A13917" s="2" t="str">
        <f ca="1">IFERROR(__xludf.DUMMYFUNCTION("""COMPUTED_VALUE"""),"Dubai")</f>
        <v>Dubai</v>
      </c>
      <c r="B13917" s="2" t="str">
        <f ca="1">IFERROR(__xludf.DUMMYFUNCTION("""COMPUTED_VALUE"""),"Emaar Business Park Building 2")</f>
        <v>Emaar Business Park Building 2</v>
      </c>
      <c r="C13917" s="2" t="str">
        <f ca="1">IFERROR(__xludf.DUMMYFUNCTION("""COMPUTED_VALUE"""),"Building")</f>
        <v>Building</v>
      </c>
      <c r="D13917" s="2" t="str">
        <f ca="1">IFERROR(__xludf.DUMMYFUNCTION("""COMPUTED_VALUE"""),"Dubai&gt;Sheikh Zayed Road&gt;Emaar Business Park&gt;Emaar Business Park Building 2")</f>
        <v>Dubai&gt;Sheikh Zayed Road&gt;Emaar Business Park&gt;Emaar Business Park Building 2</v>
      </c>
      <c r="E13917" s="2"/>
      <c r="F13917" s="2"/>
      <c r="G13917" s="2"/>
      <c r="H13917" s="2"/>
      <c r="I13917" s="2"/>
      <c r="J13917" s="2"/>
      <c r="K13917" s="2"/>
      <c r="L13917" s="2"/>
      <c r="M13917" s="2"/>
      <c r="N13917" s="2"/>
      <c r="O13917" s="2"/>
      <c r="P13917" s="2"/>
      <c r="Q13917" s="2"/>
      <c r="R13917" s="2"/>
      <c r="S13917" s="2"/>
      <c r="T13917" s="2"/>
      <c r="U13917" s="2"/>
      <c r="V13917" s="2"/>
      <c r="W13917" s="2"/>
      <c r="X13917" s="2"/>
      <c r="Y13917" s="2"/>
      <c r="Z13917" s="2"/>
    </row>
    <row r="13918" spans="1:26" ht="16.5" x14ac:dyDescent="0.35">
      <c r="A13918" s="2" t="str">
        <f ca="1">IFERROR(__xludf.DUMMYFUNCTION("""COMPUTED_VALUE"""),"Dubai")</f>
        <v>Dubai</v>
      </c>
      <c r="B13918" s="2" t="str">
        <f ca="1">IFERROR(__xludf.DUMMYFUNCTION("""COMPUTED_VALUE"""),"Residence Inn by Marriott")</f>
        <v>Residence Inn by Marriott</v>
      </c>
      <c r="C13918" s="2" t="str">
        <f ca="1">IFERROR(__xludf.DUMMYFUNCTION("""COMPUTED_VALUE"""),"Building")</f>
        <v>Building</v>
      </c>
      <c r="D13918" s="2" t="str">
        <f ca="1">IFERROR(__xludf.DUMMYFUNCTION("""COMPUTED_VALUE"""),"Dubai&gt;Sheikh Zayed Road&gt;Residence Inn by Marriott")</f>
        <v>Dubai&gt;Sheikh Zayed Road&gt;Residence Inn by Marriott</v>
      </c>
      <c r="E13918" s="2"/>
      <c r="F13918" s="2"/>
      <c r="G13918" s="2"/>
      <c r="H13918" s="2"/>
      <c r="I13918" s="2"/>
      <c r="J13918" s="2"/>
      <c r="K13918" s="2"/>
      <c r="L13918" s="2"/>
      <c r="M13918" s="2"/>
      <c r="N13918" s="2"/>
      <c r="O13918" s="2"/>
      <c r="P13918" s="2"/>
      <c r="Q13918" s="2"/>
      <c r="R13918" s="2"/>
      <c r="S13918" s="2"/>
      <c r="T13918" s="2"/>
      <c r="U13918" s="2"/>
      <c r="V13918" s="2"/>
      <c r="W13918" s="2"/>
      <c r="X13918" s="2"/>
      <c r="Y13918" s="2"/>
      <c r="Z13918" s="2"/>
    </row>
    <row r="13919" spans="1:26" ht="16.5" x14ac:dyDescent="0.35">
      <c r="A13919" s="2" t="str">
        <f ca="1">IFERROR(__xludf.DUMMYFUNCTION("""COMPUTED_VALUE"""),"Dubai")</f>
        <v>Dubai</v>
      </c>
      <c r="B13919" s="2" t="str">
        <f ca="1">IFERROR(__xludf.DUMMYFUNCTION("""COMPUTED_VALUE"""),"Al Wasl Tower")</f>
        <v>Al Wasl Tower</v>
      </c>
      <c r="C13919" s="2" t="str">
        <f ca="1">IFERROR(__xludf.DUMMYFUNCTION("""COMPUTED_VALUE"""),"Building")</f>
        <v>Building</v>
      </c>
      <c r="D13919" s="2" t="str">
        <f ca="1">IFERROR(__xludf.DUMMYFUNCTION("""COMPUTED_VALUE"""),"Dubai&gt;Sheikh Zayed Road&gt;Al Wasl Tower")</f>
        <v>Dubai&gt;Sheikh Zayed Road&gt;Al Wasl Tower</v>
      </c>
      <c r="E13919" s="2"/>
      <c r="F13919" s="2"/>
      <c r="G13919" s="2"/>
      <c r="H13919" s="2"/>
      <c r="I13919" s="2"/>
      <c r="J13919" s="2"/>
      <c r="K13919" s="2"/>
      <c r="L13919" s="2"/>
      <c r="M13919" s="2"/>
      <c r="N13919" s="2"/>
      <c r="O13919" s="2"/>
      <c r="P13919" s="2"/>
      <c r="Q13919" s="2"/>
      <c r="R13919" s="2"/>
      <c r="S13919" s="2"/>
      <c r="T13919" s="2"/>
      <c r="U13919" s="2"/>
      <c r="V13919" s="2"/>
      <c r="W13919" s="2"/>
      <c r="X13919" s="2"/>
      <c r="Y13919" s="2"/>
      <c r="Z13919" s="2"/>
    </row>
    <row r="13920" spans="1:26" ht="16.5" x14ac:dyDescent="0.35">
      <c r="A13920" s="2" t="str">
        <f ca="1">IFERROR(__xludf.DUMMYFUNCTION("""COMPUTED_VALUE"""),"Dubai")</f>
        <v>Dubai</v>
      </c>
      <c r="B13920" s="2" t="str">
        <f ca="1">IFERROR(__xludf.DUMMYFUNCTION("""COMPUTED_VALUE"""),"Addiyar Building")</f>
        <v>Addiyar Building</v>
      </c>
      <c r="C13920" s="2" t="str">
        <f ca="1">IFERROR(__xludf.DUMMYFUNCTION("""COMPUTED_VALUE"""),"Building")</f>
        <v>Building</v>
      </c>
      <c r="D13920" s="2" t="str">
        <f ca="1">IFERROR(__xludf.DUMMYFUNCTION("""COMPUTED_VALUE"""),"Dubai&gt;Sheikh Zayed Road&gt;Addiyar Building")</f>
        <v>Dubai&gt;Sheikh Zayed Road&gt;Addiyar Building</v>
      </c>
      <c r="E13920" s="2"/>
      <c r="F13920" s="2"/>
      <c r="G13920" s="2"/>
      <c r="H13920" s="2"/>
      <c r="I13920" s="2"/>
      <c r="J13920" s="2"/>
      <c r="K13920" s="2"/>
      <c r="L13920" s="2"/>
      <c r="M13920" s="2"/>
      <c r="N13920" s="2"/>
      <c r="O13920" s="2"/>
      <c r="P13920" s="2"/>
      <c r="Q13920" s="2"/>
      <c r="R13920" s="2"/>
      <c r="S13920" s="2"/>
      <c r="T13920" s="2"/>
      <c r="U13920" s="2"/>
      <c r="V13920" s="2"/>
      <c r="W13920" s="2"/>
      <c r="X13920" s="2"/>
      <c r="Y13920" s="2"/>
      <c r="Z13920" s="2"/>
    </row>
    <row r="13921" spans="1:26" ht="16.5" x14ac:dyDescent="0.35">
      <c r="A13921" s="2" t="str">
        <f ca="1">IFERROR(__xludf.DUMMYFUNCTION("""COMPUTED_VALUE"""),"Dubai")</f>
        <v>Dubai</v>
      </c>
      <c r="B13921" s="2" t="str">
        <f ca="1">IFERROR(__xludf.DUMMYFUNCTION("""COMPUTED_VALUE"""),"Al Yousuf Building")</f>
        <v>Al Yousuf Building</v>
      </c>
      <c r="C13921" s="2" t="str">
        <f ca="1">IFERROR(__xludf.DUMMYFUNCTION("""COMPUTED_VALUE"""),"Building")</f>
        <v>Building</v>
      </c>
      <c r="D13921" s="2" t="str">
        <f ca="1">IFERROR(__xludf.DUMMYFUNCTION("""COMPUTED_VALUE"""),"Dubai&gt;Al Karama&gt;Al Yousuf Building")</f>
        <v>Dubai&gt;Al Karama&gt;Al Yousuf Building</v>
      </c>
      <c r="E13921" s="2"/>
      <c r="F13921" s="2"/>
      <c r="G13921" s="2"/>
      <c r="H13921" s="2"/>
      <c r="I13921" s="2"/>
      <c r="J13921" s="2"/>
      <c r="K13921" s="2"/>
      <c r="L13921" s="2"/>
      <c r="M13921" s="2"/>
      <c r="N13921" s="2"/>
      <c r="O13921" s="2"/>
      <c r="P13921" s="2"/>
      <c r="Q13921" s="2"/>
      <c r="R13921" s="2"/>
      <c r="S13921" s="2"/>
      <c r="T13921" s="2"/>
      <c r="U13921" s="2"/>
      <c r="V13921" s="2"/>
      <c r="W13921" s="2"/>
      <c r="X13921" s="2"/>
      <c r="Y13921" s="2"/>
      <c r="Z13921" s="2"/>
    </row>
    <row r="13922" spans="1:26" ht="16.5" x14ac:dyDescent="0.35">
      <c r="A13922" s="2" t="str">
        <f ca="1">IFERROR(__xludf.DUMMYFUNCTION("""COMPUTED_VALUE"""),"Dubai")</f>
        <v>Dubai</v>
      </c>
      <c r="B13922" s="2" t="str">
        <f ca="1">IFERROR(__xludf.DUMMYFUNCTION("""COMPUTED_VALUE"""),"Building 13")</f>
        <v>Building 13</v>
      </c>
      <c r="C13922" s="2" t="str">
        <f ca="1">IFERROR(__xludf.DUMMYFUNCTION("""COMPUTED_VALUE"""),"Building")</f>
        <v>Building</v>
      </c>
      <c r="D13922" s="2" t="str">
        <f ca="1">IFERROR(__xludf.DUMMYFUNCTION("""COMPUTED_VALUE"""),"Dubai&gt;Al Karama&gt;Karam Pioneer Buildings&gt;Building 13")</f>
        <v>Dubai&gt;Al Karama&gt;Karam Pioneer Buildings&gt;Building 13</v>
      </c>
      <c r="E13922" s="2"/>
      <c r="F13922" s="2"/>
      <c r="G13922" s="2"/>
      <c r="H13922" s="2"/>
      <c r="I13922" s="2"/>
      <c r="J13922" s="2"/>
      <c r="K13922" s="2"/>
      <c r="L13922" s="2"/>
      <c r="M13922" s="2"/>
      <c r="N13922" s="2"/>
      <c r="O13922" s="2"/>
      <c r="P13922" s="2"/>
      <c r="Q13922" s="2"/>
      <c r="R13922" s="2"/>
      <c r="S13922" s="2"/>
      <c r="T13922" s="2"/>
      <c r="U13922" s="2"/>
      <c r="V13922" s="2"/>
      <c r="W13922" s="2"/>
      <c r="X13922" s="2"/>
      <c r="Y13922" s="2"/>
      <c r="Z13922" s="2"/>
    </row>
    <row r="13923" spans="1:26" ht="16.5" x14ac:dyDescent="0.35">
      <c r="A13923" s="2" t="str">
        <f ca="1">IFERROR(__xludf.DUMMYFUNCTION("""COMPUTED_VALUE"""),"Dubai")</f>
        <v>Dubai</v>
      </c>
      <c r="B13923" s="2" t="str">
        <f ca="1">IFERROR(__xludf.DUMMYFUNCTION("""COMPUTED_VALUE"""),"Building 45")</f>
        <v>Building 45</v>
      </c>
      <c r="C13923" s="2" t="str">
        <f ca="1">IFERROR(__xludf.DUMMYFUNCTION("""COMPUTED_VALUE"""),"Building")</f>
        <v>Building</v>
      </c>
      <c r="D13923" s="2" t="str">
        <f ca="1">IFERROR(__xludf.DUMMYFUNCTION("""COMPUTED_VALUE"""),"Dubai&gt;Al Karama&gt;Karam Pioneer Buildings&gt;Building 45")</f>
        <v>Dubai&gt;Al Karama&gt;Karam Pioneer Buildings&gt;Building 45</v>
      </c>
      <c r="E13923" s="2"/>
      <c r="F13923" s="2"/>
      <c r="G13923" s="2"/>
      <c r="H13923" s="2"/>
      <c r="I13923" s="2"/>
      <c r="J13923" s="2"/>
      <c r="K13923" s="2"/>
      <c r="L13923" s="2"/>
      <c r="M13923" s="2"/>
      <c r="N13923" s="2"/>
      <c r="O13923" s="2"/>
      <c r="P13923" s="2"/>
      <c r="Q13923" s="2"/>
      <c r="R13923" s="2"/>
      <c r="S13923" s="2"/>
      <c r="T13923" s="2"/>
      <c r="U13923" s="2"/>
      <c r="V13923" s="2"/>
      <c r="W13923" s="2"/>
      <c r="X13923" s="2"/>
      <c r="Y13923" s="2"/>
      <c r="Z13923" s="2"/>
    </row>
    <row r="13924" spans="1:26" ht="16.5" x14ac:dyDescent="0.35">
      <c r="A13924" s="2" t="str">
        <f ca="1">IFERROR(__xludf.DUMMYFUNCTION("""COMPUTED_VALUE"""),"Dubai")</f>
        <v>Dubai</v>
      </c>
      <c r="B13924" s="2" t="str">
        <f ca="1">IFERROR(__xludf.DUMMYFUNCTION("""COMPUTED_VALUE"""),"Wasl Quartz")</f>
        <v>Wasl Quartz</v>
      </c>
      <c r="C13924" s="2" t="str">
        <f ca="1">IFERROR(__xludf.DUMMYFUNCTION("""COMPUTED_VALUE"""),"Building")</f>
        <v>Building</v>
      </c>
      <c r="D13924" s="2" t="str">
        <f ca="1">IFERROR(__xludf.DUMMYFUNCTION("""COMPUTED_VALUE"""),"Dubai&gt;Al Karama&gt;Wasl Quartz")</f>
        <v>Dubai&gt;Al Karama&gt;Wasl Quartz</v>
      </c>
      <c r="E13924" s="2"/>
      <c r="F13924" s="2"/>
      <c r="G13924" s="2"/>
      <c r="H13924" s="2"/>
      <c r="I13924" s="2"/>
      <c r="J13924" s="2"/>
      <c r="K13924" s="2"/>
      <c r="L13924" s="2"/>
      <c r="M13924" s="2"/>
      <c r="N13924" s="2"/>
      <c r="O13924" s="2"/>
      <c r="P13924" s="2"/>
      <c r="Q13924" s="2"/>
      <c r="R13924" s="2"/>
      <c r="S13924" s="2"/>
      <c r="T13924" s="2"/>
      <c r="U13924" s="2"/>
      <c r="V13924" s="2"/>
      <c r="W13924" s="2"/>
      <c r="X13924" s="2"/>
      <c r="Y13924" s="2"/>
      <c r="Z13924" s="2"/>
    </row>
    <row r="13925" spans="1:26" ht="16.5" x14ac:dyDescent="0.35">
      <c r="A13925" s="2" t="str">
        <f ca="1">IFERROR(__xludf.DUMMYFUNCTION("""COMPUTED_VALUE"""),"Dubai")</f>
        <v>Dubai</v>
      </c>
      <c r="B13925" s="2" t="str">
        <f ca="1">IFERROR(__xludf.DUMMYFUNCTION("""COMPUTED_VALUE"""),"Hussain Nasser Lootah Building")</f>
        <v>Hussain Nasser Lootah Building</v>
      </c>
      <c r="C13925" s="2" t="str">
        <f ca="1">IFERROR(__xludf.DUMMYFUNCTION("""COMPUTED_VALUE"""),"Building")</f>
        <v>Building</v>
      </c>
      <c r="D13925" s="2" t="str">
        <f ca="1">IFERROR(__xludf.DUMMYFUNCTION("""COMPUTED_VALUE"""),"Dubai&gt;Al Karama&gt;Hussain Nasser Lootah Building")</f>
        <v>Dubai&gt;Al Karama&gt;Hussain Nasser Lootah Building</v>
      </c>
      <c r="E13925" s="2"/>
      <c r="F13925" s="2"/>
      <c r="G13925" s="2"/>
      <c r="H13925" s="2"/>
      <c r="I13925" s="2"/>
      <c r="J13925" s="2"/>
      <c r="K13925" s="2"/>
      <c r="L13925" s="2"/>
      <c r="M13925" s="2"/>
      <c r="N13925" s="2"/>
      <c r="O13925" s="2"/>
      <c r="P13925" s="2"/>
      <c r="Q13925" s="2"/>
      <c r="R13925" s="2"/>
      <c r="S13925" s="2"/>
      <c r="T13925" s="2"/>
      <c r="U13925" s="2"/>
      <c r="V13925" s="2"/>
      <c r="W13925" s="2"/>
      <c r="X13925" s="2"/>
      <c r="Y13925" s="2"/>
      <c r="Z13925" s="2"/>
    </row>
    <row r="13926" spans="1:26" ht="16.5" x14ac:dyDescent="0.35">
      <c r="A13926" s="2" t="str">
        <f ca="1">IFERROR(__xludf.DUMMYFUNCTION("""COMPUTED_VALUE"""),"Dubai")</f>
        <v>Dubai</v>
      </c>
      <c r="B13926" s="2" t="str">
        <f ca="1">IFERROR(__xludf.DUMMYFUNCTION("""COMPUTED_VALUE"""),"Makati Building")</f>
        <v>Makati Building</v>
      </c>
      <c r="C13926" s="2" t="str">
        <f ca="1">IFERROR(__xludf.DUMMYFUNCTION("""COMPUTED_VALUE"""),"Building")</f>
        <v>Building</v>
      </c>
      <c r="D13926" s="2" t="str">
        <f ca="1">IFERROR(__xludf.DUMMYFUNCTION("""COMPUTED_VALUE"""),"Dubai&gt;Al Karama&gt;Makati Building")</f>
        <v>Dubai&gt;Al Karama&gt;Makati Building</v>
      </c>
      <c r="E13926" s="2"/>
      <c r="F13926" s="2"/>
      <c r="G13926" s="2"/>
      <c r="H13926" s="2"/>
      <c r="I13926" s="2"/>
      <c r="J13926" s="2"/>
      <c r="K13926" s="2"/>
      <c r="L13926" s="2"/>
      <c r="M13926" s="2"/>
      <c r="N13926" s="2"/>
      <c r="O13926" s="2"/>
      <c r="P13926" s="2"/>
      <c r="Q13926" s="2"/>
      <c r="R13926" s="2"/>
      <c r="S13926" s="2"/>
      <c r="T13926" s="2"/>
      <c r="U13926" s="2"/>
      <c r="V13926" s="2"/>
      <c r="W13926" s="2"/>
      <c r="X13926" s="2"/>
      <c r="Y13926" s="2"/>
      <c r="Z13926" s="2"/>
    </row>
    <row r="13927" spans="1:26" ht="16.5" x14ac:dyDescent="0.35">
      <c r="A13927" s="2" t="str">
        <f ca="1">IFERROR(__xludf.DUMMYFUNCTION("""COMPUTED_VALUE"""),"Dubai")</f>
        <v>Dubai</v>
      </c>
      <c r="B13927" s="2" t="str">
        <f ca="1">IFERROR(__xludf.DUMMYFUNCTION("""COMPUTED_VALUE"""),"Al Wasl R417 Block D")</f>
        <v>Al Wasl R417 Block D</v>
      </c>
      <c r="C13927" s="2" t="str">
        <f ca="1">IFERROR(__xludf.DUMMYFUNCTION("""COMPUTED_VALUE"""),"Building")</f>
        <v>Building</v>
      </c>
      <c r="D13927" s="2" t="str">
        <f ca="1">IFERROR(__xludf.DUMMYFUNCTION("""COMPUTED_VALUE"""),"Dubai&gt;Al Karama&gt;Al Wasl R417 Block D")</f>
        <v>Dubai&gt;Al Karama&gt;Al Wasl R417 Block D</v>
      </c>
      <c r="E13927" s="2"/>
      <c r="F13927" s="2"/>
      <c r="G13927" s="2"/>
      <c r="H13927" s="2"/>
      <c r="I13927" s="2"/>
      <c r="J13927" s="2"/>
      <c r="K13927" s="2"/>
      <c r="L13927" s="2"/>
      <c r="M13927" s="2"/>
      <c r="N13927" s="2"/>
      <c r="O13927" s="2"/>
      <c r="P13927" s="2"/>
      <c r="Q13927" s="2"/>
      <c r="R13927" s="2"/>
      <c r="S13927" s="2"/>
      <c r="T13927" s="2"/>
      <c r="U13927" s="2"/>
      <c r="V13927" s="2"/>
      <c r="W13927" s="2"/>
      <c r="X13927" s="2"/>
      <c r="Y13927" s="2"/>
      <c r="Z13927" s="2"/>
    </row>
    <row r="13928" spans="1:26" ht="16.5" x14ac:dyDescent="0.35">
      <c r="A13928" s="2" t="str">
        <f ca="1">IFERROR(__xludf.DUMMYFUNCTION("""COMPUTED_VALUE"""),"Dubai")</f>
        <v>Dubai</v>
      </c>
      <c r="B13928" s="2" t="str">
        <f ca="1">IFERROR(__xludf.DUMMYFUNCTION("""COMPUTED_VALUE"""),"Al Rayyan Building")</f>
        <v>Al Rayyan Building</v>
      </c>
      <c r="C13928" s="2" t="str">
        <f ca="1">IFERROR(__xludf.DUMMYFUNCTION("""COMPUTED_VALUE"""),"Building")</f>
        <v>Building</v>
      </c>
      <c r="D13928" s="2" t="str">
        <f ca="1">IFERROR(__xludf.DUMMYFUNCTION("""COMPUTED_VALUE"""),"Dubai&gt;Al Karama&gt;Al Rayyan Building")</f>
        <v>Dubai&gt;Al Karama&gt;Al Rayyan Building</v>
      </c>
      <c r="E13928" s="2"/>
      <c r="F13928" s="2"/>
      <c r="G13928" s="2"/>
      <c r="H13928" s="2"/>
      <c r="I13928" s="2"/>
      <c r="J13928" s="2"/>
      <c r="K13928" s="2"/>
      <c r="L13928" s="2"/>
      <c r="M13928" s="2"/>
      <c r="N13928" s="2"/>
      <c r="O13928" s="2"/>
      <c r="P13928" s="2"/>
      <c r="Q13928" s="2"/>
      <c r="R13928" s="2"/>
      <c r="S13928" s="2"/>
      <c r="T13928" s="2"/>
      <c r="U13928" s="2"/>
      <c r="V13928" s="2"/>
      <c r="W13928" s="2"/>
      <c r="X13928" s="2"/>
      <c r="Y13928" s="2"/>
      <c r="Z13928" s="2"/>
    </row>
    <row r="13929" spans="1:26" ht="16.5" x14ac:dyDescent="0.35">
      <c r="A13929" s="2" t="str">
        <f ca="1">IFERROR(__xludf.DUMMYFUNCTION("""COMPUTED_VALUE"""),"Dubai")</f>
        <v>Dubai</v>
      </c>
      <c r="B13929" s="2" t="str">
        <f ca="1">IFERROR(__xludf.DUMMYFUNCTION("""COMPUTED_VALUE"""),"Fathima Al Owais Building")</f>
        <v>Fathima Al Owais Building</v>
      </c>
      <c r="C13929" s="2" t="str">
        <f ca="1">IFERROR(__xludf.DUMMYFUNCTION("""COMPUTED_VALUE"""),"Building")</f>
        <v>Building</v>
      </c>
      <c r="D13929" s="2" t="str">
        <f ca="1">IFERROR(__xludf.DUMMYFUNCTION("""COMPUTED_VALUE"""),"Dubai&gt;Al Karama&gt;Fathima Al Owais Building")</f>
        <v>Dubai&gt;Al Karama&gt;Fathima Al Owais Building</v>
      </c>
      <c r="E13929" s="2"/>
      <c r="F13929" s="2"/>
      <c r="G13929" s="2"/>
      <c r="H13929" s="2"/>
      <c r="I13929" s="2"/>
      <c r="J13929" s="2"/>
      <c r="K13929" s="2"/>
      <c r="L13929" s="2"/>
      <c r="M13929" s="2"/>
      <c r="N13929" s="2"/>
      <c r="O13929" s="2"/>
      <c r="P13929" s="2"/>
      <c r="Q13929" s="2"/>
      <c r="R13929" s="2"/>
      <c r="S13929" s="2"/>
      <c r="T13929" s="2"/>
      <c r="U13929" s="2"/>
      <c r="V13929" s="2"/>
      <c r="W13929" s="2"/>
      <c r="X13929" s="2"/>
      <c r="Y13929" s="2"/>
      <c r="Z13929" s="2"/>
    </row>
    <row r="13930" spans="1:26" ht="16.5" x14ac:dyDescent="0.35">
      <c r="A13930" s="2" t="str">
        <f ca="1">IFERROR(__xludf.DUMMYFUNCTION("""COMPUTED_VALUE"""),"Dubai")</f>
        <v>Dubai</v>
      </c>
      <c r="B13930" s="2" t="str">
        <f ca="1">IFERROR(__xludf.DUMMYFUNCTION("""COMPUTED_VALUE"""),"Al Maskan Block A")</f>
        <v>Al Maskan Block A</v>
      </c>
      <c r="C13930" s="2" t="str">
        <f ca="1">IFERROR(__xludf.DUMMYFUNCTION("""COMPUTED_VALUE"""),"Building")</f>
        <v>Building</v>
      </c>
      <c r="D13930" s="2" t="str">
        <f ca="1">IFERROR(__xludf.DUMMYFUNCTION("""COMPUTED_VALUE"""),"Dubai&gt;Al Karama&gt;Al Maskan Apartments&gt;Al Maskan Block A")</f>
        <v>Dubai&gt;Al Karama&gt;Al Maskan Apartments&gt;Al Maskan Block A</v>
      </c>
      <c r="E13930" s="2"/>
      <c r="F13930" s="2"/>
      <c r="G13930" s="2"/>
      <c r="H13930" s="2"/>
      <c r="I13930" s="2"/>
      <c r="J13930" s="2"/>
      <c r="K13930" s="2"/>
      <c r="L13930" s="2"/>
      <c r="M13930" s="2"/>
      <c r="N13930" s="2"/>
      <c r="O13930" s="2"/>
      <c r="P13930" s="2"/>
      <c r="Q13930" s="2"/>
      <c r="R13930" s="2"/>
      <c r="S13930" s="2"/>
      <c r="T13930" s="2"/>
      <c r="U13930" s="2"/>
      <c r="V13930" s="2"/>
      <c r="W13930" s="2"/>
      <c r="X13930" s="2"/>
      <c r="Y13930" s="2"/>
      <c r="Z13930" s="2"/>
    </row>
    <row r="13931" spans="1:26" ht="16.5" x14ac:dyDescent="0.35">
      <c r="A13931" s="2" t="str">
        <f ca="1">IFERROR(__xludf.DUMMYFUNCTION("""COMPUTED_VALUE"""),"Dubai")</f>
        <v>Dubai</v>
      </c>
      <c r="B13931" s="2" t="str">
        <f ca="1">IFERROR(__xludf.DUMMYFUNCTION("""COMPUTED_VALUE"""),"A-15 Building")</f>
        <v>A-15 Building</v>
      </c>
      <c r="C13931" s="2" t="str">
        <f ca="1">IFERROR(__xludf.DUMMYFUNCTION("""COMPUTED_VALUE"""),"Building")</f>
        <v>Building</v>
      </c>
      <c r="D13931" s="2" t="str">
        <f ca="1">IFERROR(__xludf.DUMMYFUNCTION("""COMPUTED_VALUE"""),"Dubai&gt;Al Karama&gt;A-15 Building")</f>
        <v>Dubai&gt;Al Karama&gt;A-15 Building</v>
      </c>
      <c r="E13931" s="2"/>
      <c r="F13931" s="2"/>
      <c r="G13931" s="2"/>
      <c r="H13931" s="2"/>
      <c r="I13931" s="2"/>
      <c r="J13931" s="2"/>
      <c r="K13931" s="2"/>
      <c r="L13931" s="2"/>
      <c r="M13931" s="2"/>
      <c r="N13931" s="2"/>
      <c r="O13931" s="2"/>
      <c r="P13931" s="2"/>
      <c r="Q13931" s="2"/>
      <c r="R13931" s="2"/>
      <c r="S13931" s="2"/>
      <c r="T13931" s="2"/>
      <c r="U13931" s="2"/>
      <c r="V13931" s="2"/>
      <c r="W13931" s="2"/>
      <c r="X13931" s="2"/>
      <c r="Y13931" s="2"/>
      <c r="Z13931" s="2"/>
    </row>
    <row r="13932" spans="1:26" ht="16.5" x14ac:dyDescent="0.35">
      <c r="A13932" s="2" t="str">
        <f ca="1">IFERROR(__xludf.DUMMYFUNCTION("""COMPUTED_VALUE"""),"Dubai")</f>
        <v>Dubai</v>
      </c>
      <c r="B13932" s="2" t="str">
        <f ca="1">IFERROR(__xludf.DUMMYFUNCTION("""COMPUTED_VALUE"""),"Abdelrahim Galadari Building")</f>
        <v>Abdelrahim Galadari Building</v>
      </c>
      <c r="C13932" s="2" t="str">
        <f ca="1">IFERROR(__xludf.DUMMYFUNCTION("""COMPUTED_VALUE"""),"Building")</f>
        <v>Building</v>
      </c>
      <c r="D13932" s="2" t="str">
        <f ca="1">IFERROR(__xludf.DUMMYFUNCTION("""COMPUTED_VALUE"""),"Dubai&gt;Al Karama&gt;Abdelrahim Galadari Building")</f>
        <v>Dubai&gt;Al Karama&gt;Abdelrahim Galadari Building</v>
      </c>
      <c r="E13932" s="2"/>
      <c r="F13932" s="2"/>
      <c r="G13932" s="2"/>
      <c r="H13932" s="2"/>
      <c r="I13932" s="2"/>
      <c r="J13932" s="2"/>
      <c r="K13932" s="2"/>
      <c r="L13932" s="2"/>
      <c r="M13932" s="2"/>
      <c r="N13932" s="2"/>
      <c r="O13932" s="2"/>
      <c r="P13932" s="2"/>
      <c r="Q13932" s="2"/>
      <c r="R13932" s="2"/>
      <c r="S13932" s="2"/>
      <c r="T13932" s="2"/>
      <c r="U13932" s="2"/>
      <c r="V13932" s="2"/>
      <c r="W13932" s="2"/>
      <c r="X13932" s="2"/>
      <c r="Y13932" s="2"/>
      <c r="Z13932" s="2"/>
    </row>
    <row r="13933" spans="1:26" ht="16.5" x14ac:dyDescent="0.35">
      <c r="A13933" s="2" t="str">
        <f ca="1">IFERROR(__xludf.DUMMYFUNCTION("""COMPUTED_VALUE"""),"Dubai")</f>
        <v>Dubai</v>
      </c>
      <c r="B13933" s="2" t="str">
        <f ca="1">IFERROR(__xludf.DUMMYFUNCTION("""COMPUTED_VALUE"""),"Amrico Residence")</f>
        <v>Amrico Residence</v>
      </c>
      <c r="C13933" s="2" t="str">
        <f ca="1">IFERROR(__xludf.DUMMYFUNCTION("""COMPUTED_VALUE"""),"Building")</f>
        <v>Building</v>
      </c>
      <c r="D13933" s="2" t="str">
        <f ca="1">IFERROR(__xludf.DUMMYFUNCTION("""COMPUTED_VALUE"""),"Dubai&gt;Culture Village (Jaddaf Waterfront)&gt;Amrico Residence")</f>
        <v>Dubai&gt;Culture Village (Jaddaf Waterfront)&gt;Amrico Residence</v>
      </c>
      <c r="E13933" s="2"/>
      <c r="F13933" s="2"/>
      <c r="G13933" s="2"/>
      <c r="H13933" s="2"/>
      <c r="I13933" s="2"/>
      <c r="J13933" s="2"/>
      <c r="K13933" s="2"/>
      <c r="L13933" s="2"/>
      <c r="M13933" s="2"/>
      <c r="N13933" s="2"/>
      <c r="O13933" s="2"/>
      <c r="P13933" s="2"/>
      <c r="Q13933" s="2"/>
      <c r="R13933" s="2"/>
      <c r="S13933" s="2"/>
      <c r="T13933" s="2"/>
      <c r="U13933" s="2"/>
      <c r="V13933" s="2"/>
      <c r="W13933" s="2"/>
      <c r="X13933" s="2"/>
      <c r="Y13933" s="2"/>
      <c r="Z13933" s="2"/>
    </row>
    <row r="13934" spans="1:26" ht="16.5" x14ac:dyDescent="0.35">
      <c r="A13934" s="2" t="str">
        <f ca="1">IFERROR(__xludf.DUMMYFUNCTION("""COMPUTED_VALUE"""),"Dubai")</f>
        <v>Dubai</v>
      </c>
      <c r="B13934" s="2" t="str">
        <f ca="1">IFERROR(__xludf.DUMMYFUNCTION("""COMPUTED_VALUE"""),"Raffles World Academy")</f>
        <v>Raffles World Academy</v>
      </c>
      <c r="C13934" s="2" t="str">
        <f ca="1">IFERROR(__xludf.DUMMYFUNCTION("""COMPUTED_VALUE"""),"School")</f>
        <v>School</v>
      </c>
      <c r="D13934" s="2" t="str">
        <f ca="1">IFERROR(__xludf.DUMMYFUNCTION("""COMPUTED_VALUE"""),"Dubai&gt;Umm Suqeim&gt;Umm Suqeim 3&gt;Raffles World Academy")</f>
        <v>Dubai&gt;Umm Suqeim&gt;Umm Suqeim 3&gt;Raffles World Academy</v>
      </c>
      <c r="E13934" s="2"/>
      <c r="F13934" s="2"/>
      <c r="G13934" s="2"/>
      <c r="H13934" s="2"/>
      <c r="I13934" s="2"/>
      <c r="J13934" s="2"/>
      <c r="K13934" s="2"/>
      <c r="L13934" s="2"/>
      <c r="M13934" s="2"/>
      <c r="N13934" s="2"/>
      <c r="O13934" s="2"/>
      <c r="P13934" s="2"/>
      <c r="Q13934" s="2"/>
      <c r="R13934" s="2"/>
      <c r="S13934" s="2"/>
      <c r="T13934" s="2"/>
      <c r="U13934" s="2"/>
      <c r="V13934" s="2"/>
      <c r="W13934" s="2"/>
      <c r="X13934" s="2"/>
      <c r="Y13934" s="2"/>
      <c r="Z13934" s="2"/>
    </row>
    <row r="13935" spans="1:26" ht="16.5" x14ac:dyDescent="0.35">
      <c r="A13935" s="2" t="str">
        <f ca="1">IFERROR(__xludf.DUMMYFUNCTION("""COMPUTED_VALUE"""),"Dubai")</f>
        <v>Dubai</v>
      </c>
      <c r="B13935" s="2" t="str">
        <f ca="1">IFERROR(__xludf.DUMMYFUNCTION("""COMPUTED_VALUE"""),"Lamaa Building 1")</f>
        <v>Lamaa Building 1</v>
      </c>
      <c r="C13935" s="2" t="str">
        <f ca="1">IFERROR(__xludf.DUMMYFUNCTION("""COMPUTED_VALUE"""),"Building")</f>
        <v>Building</v>
      </c>
      <c r="D13935" s="2" t="str">
        <f ca="1">IFERROR(__xludf.DUMMYFUNCTION("""COMPUTED_VALUE"""),"Dubai&gt;Umm Suqeim&gt;Madinat Jumeirah Living&gt;Lamaa&gt;Lamaa Building 1")</f>
        <v>Dubai&gt;Umm Suqeim&gt;Madinat Jumeirah Living&gt;Lamaa&gt;Lamaa Building 1</v>
      </c>
      <c r="E13935" s="2"/>
      <c r="F13935" s="2"/>
      <c r="G13935" s="2"/>
      <c r="H13935" s="2"/>
      <c r="I13935" s="2"/>
      <c r="J13935" s="2"/>
      <c r="K13935" s="2"/>
      <c r="L13935" s="2"/>
      <c r="M13935" s="2"/>
      <c r="N13935" s="2"/>
      <c r="O13935" s="2"/>
      <c r="P13935" s="2"/>
      <c r="Q13935" s="2"/>
      <c r="R13935" s="2"/>
      <c r="S13935" s="2"/>
      <c r="T13935" s="2"/>
      <c r="U13935" s="2"/>
      <c r="V13935" s="2"/>
      <c r="W13935" s="2"/>
      <c r="X13935" s="2"/>
      <c r="Y13935" s="2"/>
      <c r="Z13935" s="2"/>
    </row>
    <row r="13936" spans="1:26" ht="16.5" x14ac:dyDescent="0.35">
      <c r="A13936" s="2" t="str">
        <f ca="1">IFERROR(__xludf.DUMMYFUNCTION("""COMPUTED_VALUE"""),"Dubai")</f>
        <v>Dubai</v>
      </c>
      <c r="B13936" s="2" t="str">
        <f ca="1">IFERROR(__xludf.DUMMYFUNCTION("""COMPUTED_VALUE"""),"Al Manara Village")</f>
        <v>Al Manara Village</v>
      </c>
      <c r="C13936" s="2" t="str">
        <f ca="1">IFERROR(__xludf.DUMMYFUNCTION("""COMPUTED_VALUE"""),"Neighbourhood")</f>
        <v>Neighbourhood</v>
      </c>
      <c r="D13936" s="2" t="str">
        <f ca="1">IFERROR(__xludf.DUMMYFUNCTION("""COMPUTED_VALUE"""),"Dubai&gt;Umm Suqeim&gt;Umm Suqeim 2&gt;Al Manara Village")</f>
        <v>Dubai&gt;Umm Suqeim&gt;Umm Suqeim 2&gt;Al Manara Village</v>
      </c>
      <c r="E13936" s="2"/>
      <c r="F13936" s="2"/>
      <c r="G13936" s="2"/>
      <c r="H13936" s="2"/>
      <c r="I13936" s="2"/>
      <c r="J13936" s="2"/>
      <c r="K13936" s="2"/>
      <c r="L13936" s="2"/>
      <c r="M13936" s="2"/>
      <c r="N13936" s="2"/>
      <c r="O13936" s="2"/>
      <c r="P13936" s="2"/>
      <c r="Q13936" s="2"/>
      <c r="R13936" s="2"/>
      <c r="S13936" s="2"/>
      <c r="T13936" s="2"/>
      <c r="U13936" s="2"/>
      <c r="V13936" s="2"/>
      <c r="W13936" s="2"/>
      <c r="X13936" s="2"/>
      <c r="Y13936" s="2"/>
      <c r="Z13936" s="2"/>
    </row>
    <row r="13937" spans="1:26" ht="16.5" x14ac:dyDescent="0.35">
      <c r="A13937" s="2" t="str">
        <f ca="1">IFERROR(__xludf.DUMMYFUNCTION("""COMPUTED_VALUE"""),"Dubai")</f>
        <v>Dubai</v>
      </c>
      <c r="B13937" s="2" t="str">
        <f ca="1">IFERROR(__xludf.DUMMYFUNCTION("""COMPUTED_VALUE"""),"Azizi Milan 55")</f>
        <v>Azizi Milan 55</v>
      </c>
      <c r="C13937" s="2" t="str">
        <f ca="1">IFERROR(__xludf.DUMMYFUNCTION("""COMPUTED_VALUE"""),"Building")</f>
        <v>Building</v>
      </c>
      <c r="D13937" s="2" t="str">
        <f ca="1">IFERROR(__xludf.DUMMYFUNCTION("""COMPUTED_VALUE"""),"Dubai&gt;City of Arabia&gt;Azizi Milan&gt;Azizi Milan 55")</f>
        <v>Dubai&gt;City of Arabia&gt;Azizi Milan&gt;Azizi Milan 55</v>
      </c>
      <c r="E13937" s="2"/>
      <c r="F13937" s="2"/>
      <c r="G13937" s="2"/>
      <c r="H13937" s="2"/>
      <c r="I13937" s="2"/>
      <c r="J13937" s="2"/>
      <c r="K13937" s="2"/>
      <c r="L13937" s="2"/>
      <c r="M13937" s="2"/>
      <c r="N13937" s="2"/>
      <c r="O13937" s="2"/>
      <c r="P13937" s="2"/>
      <c r="Q13937" s="2"/>
      <c r="R13937" s="2"/>
      <c r="S13937" s="2"/>
      <c r="T13937" s="2"/>
      <c r="U13937" s="2"/>
      <c r="V13937" s="2"/>
      <c r="W13937" s="2"/>
      <c r="X13937" s="2"/>
      <c r="Y13937" s="2"/>
      <c r="Z13937" s="2"/>
    </row>
    <row r="13938" spans="1:26" ht="16.5" x14ac:dyDescent="0.35">
      <c r="A13938" s="2" t="str">
        <f ca="1">IFERROR(__xludf.DUMMYFUNCTION("""COMPUTED_VALUE"""),"Dubai")</f>
        <v>Dubai</v>
      </c>
      <c r="B13938" s="2" t="str">
        <f ca="1">IFERROR(__xludf.DUMMYFUNCTION("""COMPUTED_VALUE"""),"Al Diyafah Centre")</f>
        <v>Al Diyafah Centre</v>
      </c>
      <c r="C13938" s="2" t="str">
        <f ca="1">IFERROR(__xludf.DUMMYFUNCTION("""COMPUTED_VALUE"""),"Building")</f>
        <v>Building</v>
      </c>
      <c r="D13938" s="2" t="str">
        <f ca="1">IFERROR(__xludf.DUMMYFUNCTION("""COMPUTED_VALUE"""),"Dubai&gt;Al Badaa&gt;Al Diyafah Centre")</f>
        <v>Dubai&gt;Al Badaa&gt;Al Diyafah Centre</v>
      </c>
      <c r="E13938" s="2"/>
      <c r="F13938" s="2"/>
      <c r="G13938" s="2"/>
      <c r="H13938" s="2"/>
      <c r="I13938" s="2"/>
      <c r="J13938" s="2"/>
      <c r="K13938" s="2"/>
      <c r="L13938" s="2"/>
      <c r="M13938" s="2"/>
      <c r="N13938" s="2"/>
      <c r="O13938" s="2"/>
      <c r="P13938" s="2"/>
      <c r="Q13938" s="2"/>
      <c r="R13938" s="2"/>
      <c r="S13938" s="2"/>
      <c r="T13938" s="2"/>
      <c r="U13938" s="2"/>
      <c r="V13938" s="2"/>
      <c r="W13938" s="2"/>
      <c r="X13938" s="2"/>
      <c r="Y13938" s="2"/>
      <c r="Z13938" s="2"/>
    </row>
    <row r="13939" spans="1:26" ht="16.5" x14ac:dyDescent="0.35">
      <c r="A13939" s="2" t="str">
        <f ca="1">IFERROR(__xludf.DUMMYFUNCTION("""COMPUTED_VALUE"""),"Dubai")</f>
        <v>Dubai</v>
      </c>
      <c r="B13939" s="2" t="str">
        <f ca="1">IFERROR(__xludf.DUMMYFUNCTION("""COMPUTED_VALUE"""),"Ibrahim Saif Kalbar Building")</f>
        <v>Ibrahim Saif Kalbar Building</v>
      </c>
      <c r="C13939" s="2" t="str">
        <f ca="1">IFERROR(__xludf.DUMMYFUNCTION("""COMPUTED_VALUE"""),"Building")</f>
        <v>Building</v>
      </c>
      <c r="D13939" s="2" t="str">
        <f ca="1">IFERROR(__xludf.DUMMYFUNCTION("""COMPUTED_VALUE"""),"Dubai&gt;Al Badaa&gt;Ibrahim Saif Kalbar Building")</f>
        <v>Dubai&gt;Al Badaa&gt;Ibrahim Saif Kalbar Building</v>
      </c>
      <c r="E13939" s="2"/>
      <c r="F13939" s="2"/>
      <c r="G13939" s="2"/>
      <c r="H13939" s="2"/>
      <c r="I13939" s="2"/>
      <c r="J13939" s="2"/>
      <c r="K13939" s="2"/>
      <c r="L13939" s="2"/>
      <c r="M13939" s="2"/>
      <c r="N13939" s="2"/>
      <c r="O13939" s="2"/>
      <c r="P13939" s="2"/>
      <c r="Q13939" s="2"/>
      <c r="R13939" s="2"/>
      <c r="S13939" s="2"/>
      <c r="T13939" s="2"/>
      <c r="U13939" s="2"/>
      <c r="V13939" s="2"/>
      <c r="W13939" s="2"/>
      <c r="X13939" s="2"/>
      <c r="Y13939" s="2"/>
      <c r="Z13939" s="2"/>
    </row>
    <row r="13940" spans="1:26" ht="16.5" x14ac:dyDescent="0.35">
      <c r="A13940" s="2" t="str">
        <f ca="1">IFERROR(__xludf.DUMMYFUNCTION("""COMPUTED_VALUE"""),"Dubai")</f>
        <v>Dubai</v>
      </c>
      <c r="B13940" s="2" t="str">
        <f ca="1">IFERROR(__xludf.DUMMYFUNCTION("""COMPUTED_VALUE"""),"Manara 1")</f>
        <v>Manara 1</v>
      </c>
      <c r="C13940" s="2" t="str">
        <f ca="1">IFERROR(__xludf.DUMMYFUNCTION("""COMPUTED_VALUE"""),"Building")</f>
        <v>Building</v>
      </c>
      <c r="D13940" s="2" t="str">
        <f ca="1">IFERROR(__xludf.DUMMYFUNCTION("""COMPUTED_VALUE"""),"Dubai&gt;Dubai Waterfront&gt;Badrah&gt;Manara&gt;Manara 1")</f>
        <v>Dubai&gt;Dubai Waterfront&gt;Badrah&gt;Manara&gt;Manara 1</v>
      </c>
      <c r="E13940" s="2"/>
      <c r="F13940" s="2"/>
      <c r="G13940" s="2"/>
      <c r="H13940" s="2"/>
      <c r="I13940" s="2"/>
      <c r="J13940" s="2"/>
      <c r="K13940" s="2"/>
      <c r="L13940" s="2"/>
      <c r="M13940" s="2"/>
      <c r="N13940" s="2"/>
      <c r="O13940" s="2"/>
      <c r="P13940" s="2"/>
      <c r="Q13940" s="2"/>
      <c r="R13940" s="2"/>
      <c r="S13940" s="2"/>
      <c r="T13940" s="2"/>
      <c r="U13940" s="2"/>
      <c r="V13940" s="2"/>
      <c r="W13940" s="2"/>
      <c r="X13940" s="2"/>
      <c r="Y13940" s="2"/>
      <c r="Z13940" s="2"/>
    </row>
    <row r="13941" spans="1:26" ht="16.5" x14ac:dyDescent="0.35">
      <c r="A13941" s="2" t="str">
        <f ca="1">IFERROR(__xludf.DUMMYFUNCTION("""COMPUTED_VALUE"""),"Dubai")</f>
        <v>Dubai</v>
      </c>
      <c r="B13941" s="2" t="str">
        <f ca="1">IFERROR(__xludf.DUMMYFUNCTION("""COMPUTED_VALUE"""),"Building 4")</f>
        <v>Building 4</v>
      </c>
      <c r="C13941" s="2" t="str">
        <f ca="1">IFERROR(__xludf.DUMMYFUNCTION("""COMPUTED_VALUE"""),"Building")</f>
        <v>Building</v>
      </c>
      <c r="D13941" s="2" t="str">
        <f ca="1">IFERROR(__xludf.DUMMYFUNCTION("""COMPUTED_VALUE"""),"Dubai&gt;Academic City&gt;Dubai Outsource City&gt;Building 4")</f>
        <v>Dubai&gt;Academic City&gt;Dubai Outsource City&gt;Building 4</v>
      </c>
      <c r="E13941" s="2"/>
      <c r="F13941" s="2"/>
      <c r="G13941" s="2"/>
      <c r="H13941" s="2"/>
      <c r="I13941" s="2"/>
      <c r="J13941" s="2"/>
      <c r="K13941" s="2"/>
      <c r="L13941" s="2"/>
      <c r="M13941" s="2"/>
      <c r="N13941" s="2"/>
      <c r="O13941" s="2"/>
      <c r="P13941" s="2"/>
      <c r="Q13941" s="2"/>
      <c r="R13941" s="2"/>
      <c r="S13941" s="2"/>
      <c r="T13941" s="2"/>
      <c r="U13941" s="2"/>
      <c r="V13941" s="2"/>
      <c r="W13941" s="2"/>
      <c r="X13941" s="2"/>
      <c r="Y13941" s="2"/>
      <c r="Z13941" s="2"/>
    </row>
    <row r="13942" spans="1:26" ht="16.5" x14ac:dyDescent="0.35">
      <c r="A13942" s="2" t="str">
        <f ca="1">IFERROR(__xludf.DUMMYFUNCTION("""COMPUTED_VALUE"""),"Dubai")</f>
        <v>Dubai</v>
      </c>
      <c r="B13942" s="2" t="str">
        <f ca="1">IFERROR(__xludf.DUMMYFUNCTION("""COMPUTED_VALUE"""),"Design Quarter Office Building A3")</f>
        <v>Design Quarter Office Building A3</v>
      </c>
      <c r="C13942" s="2" t="str">
        <f ca="1">IFERROR(__xludf.DUMMYFUNCTION("""COMPUTED_VALUE"""),"Building")</f>
        <v>Building</v>
      </c>
      <c r="D13942" s="2" t="str">
        <f ca="1">IFERROR(__xludf.DUMMYFUNCTION("""COMPUTED_VALUE"""),"Dubai&gt;Dubai Design District&gt;Design Quarter&gt;Design Quarter Office Building A3")</f>
        <v>Dubai&gt;Dubai Design District&gt;Design Quarter&gt;Design Quarter Office Building A3</v>
      </c>
      <c r="E13942" s="2"/>
      <c r="F13942" s="2"/>
      <c r="G13942" s="2"/>
      <c r="H13942" s="2"/>
      <c r="I13942" s="2"/>
      <c r="J13942" s="2"/>
      <c r="K13942" s="2"/>
      <c r="L13942" s="2"/>
      <c r="M13942" s="2"/>
      <c r="N13942" s="2"/>
      <c r="O13942" s="2"/>
      <c r="P13942" s="2"/>
      <c r="Q13942" s="2"/>
      <c r="R13942" s="2"/>
      <c r="S13942" s="2"/>
      <c r="T13942" s="2"/>
      <c r="U13942" s="2"/>
      <c r="V13942" s="2"/>
      <c r="W13942" s="2"/>
      <c r="X13942" s="2"/>
      <c r="Y13942" s="2"/>
      <c r="Z13942" s="2"/>
    </row>
    <row r="13943" spans="1:26" ht="16.5" x14ac:dyDescent="0.35">
      <c r="A13943" s="2" t="str">
        <f ca="1">IFERROR(__xludf.DUMMYFUNCTION("""COMPUTED_VALUE"""),"Dubai")</f>
        <v>Dubai</v>
      </c>
      <c r="B13943" s="2" t="str">
        <f ca="1">IFERROR(__xludf.DUMMYFUNCTION("""COMPUTED_VALUE"""),"Al Wasl PR 401 Block F4")</f>
        <v>Al Wasl PR 401 Block F4</v>
      </c>
      <c r="C13943" s="2" t="str">
        <f ca="1">IFERROR(__xludf.DUMMYFUNCTION("""COMPUTED_VALUE"""),"Building")</f>
        <v>Building</v>
      </c>
      <c r="D13943" s="2" t="str">
        <f ca="1">IFERROR(__xludf.DUMMYFUNCTION("""COMPUTED_VALUE"""),"Dubai&gt;Al Hudaiba&gt;Al Wasl PR 401 Block F4")</f>
        <v>Dubai&gt;Al Hudaiba&gt;Al Wasl PR 401 Block F4</v>
      </c>
      <c r="E13943" s="2"/>
      <c r="F13943" s="2"/>
      <c r="G13943" s="2"/>
      <c r="H13943" s="2"/>
      <c r="I13943" s="2"/>
      <c r="J13943" s="2"/>
      <c r="K13943" s="2"/>
      <c r="L13943" s="2"/>
      <c r="M13943" s="2"/>
      <c r="N13943" s="2"/>
      <c r="O13943" s="2"/>
      <c r="P13943" s="2"/>
      <c r="Q13943" s="2"/>
      <c r="R13943" s="2"/>
      <c r="S13943" s="2"/>
      <c r="T13943" s="2"/>
      <c r="U13943" s="2"/>
      <c r="V13943" s="2"/>
      <c r="W13943" s="2"/>
      <c r="X13943" s="2"/>
      <c r="Y13943" s="2"/>
      <c r="Z13943" s="2"/>
    </row>
    <row r="13944" spans="1:26" ht="16.5" x14ac:dyDescent="0.35">
      <c r="A13944" s="2" t="str">
        <f ca="1">IFERROR(__xludf.DUMMYFUNCTION("""COMPUTED_VALUE"""),"Dubai")</f>
        <v>Dubai</v>
      </c>
      <c r="B13944" s="2" t="str">
        <f ca="1">IFERROR(__xludf.DUMMYFUNCTION("""COMPUTED_VALUE"""),"Wasl Vita")</f>
        <v>Wasl Vita</v>
      </c>
      <c r="C13944" s="2" t="str">
        <f ca="1">IFERROR(__xludf.DUMMYFUNCTION("""COMPUTED_VALUE"""),"Building")</f>
        <v>Building</v>
      </c>
      <c r="D13944" s="2" t="str">
        <f ca="1">IFERROR(__xludf.DUMMYFUNCTION("""COMPUTED_VALUE"""),"Dubai&gt;Jumeirah&gt;Jumeirah 1&gt;Wasl Vita")</f>
        <v>Dubai&gt;Jumeirah&gt;Jumeirah 1&gt;Wasl Vita</v>
      </c>
      <c r="E13944" s="2"/>
      <c r="F13944" s="2"/>
      <c r="G13944" s="2"/>
      <c r="H13944" s="2"/>
      <c r="I13944" s="2"/>
      <c r="J13944" s="2"/>
      <c r="K13944" s="2"/>
      <c r="L13944" s="2"/>
      <c r="M13944" s="2"/>
      <c r="N13944" s="2"/>
      <c r="O13944" s="2"/>
      <c r="P13944" s="2"/>
      <c r="Q13944" s="2"/>
      <c r="R13944" s="2"/>
      <c r="S13944" s="2"/>
      <c r="T13944" s="2"/>
      <c r="U13944" s="2"/>
      <c r="V13944" s="2"/>
      <c r="W13944" s="2"/>
      <c r="X13944" s="2"/>
      <c r="Y13944" s="2"/>
      <c r="Z13944" s="2"/>
    </row>
    <row r="13945" spans="1:26" ht="16.5" x14ac:dyDescent="0.35">
      <c r="A13945" s="2" t="str">
        <f ca="1">IFERROR(__xludf.DUMMYFUNCTION("""COMPUTED_VALUE"""),"Dubai")</f>
        <v>Dubai</v>
      </c>
      <c r="B13945" s="2" t="str">
        <f ca="1">IFERROR(__xludf.DUMMYFUNCTION("""COMPUTED_VALUE"""),"Bulgari Residence 2")</f>
        <v>Bulgari Residence 2</v>
      </c>
      <c r="C13945" s="2" t="str">
        <f ca="1">IFERROR(__xludf.DUMMYFUNCTION("""COMPUTED_VALUE"""),"Building")</f>
        <v>Building</v>
      </c>
      <c r="D13945" s="2" t="str">
        <f ca="1">IFERROR(__xludf.DUMMYFUNCTION("""COMPUTED_VALUE"""),"Dubai&gt;Jumeirah&gt;Jumeirah Bay Islands&gt;Bulgari Residences&gt;Bulgari Residence 2")</f>
        <v>Dubai&gt;Jumeirah&gt;Jumeirah Bay Islands&gt;Bulgari Residences&gt;Bulgari Residence 2</v>
      </c>
      <c r="E13945" s="2"/>
      <c r="F13945" s="2"/>
      <c r="G13945" s="2"/>
      <c r="H13945" s="2"/>
      <c r="I13945" s="2"/>
      <c r="J13945" s="2"/>
      <c r="K13945" s="2"/>
      <c r="L13945" s="2"/>
      <c r="M13945" s="2"/>
      <c r="N13945" s="2"/>
      <c r="O13945" s="2"/>
      <c r="P13945" s="2"/>
      <c r="Q13945" s="2"/>
      <c r="R13945" s="2"/>
      <c r="S13945" s="2"/>
      <c r="T13945" s="2"/>
      <c r="U13945" s="2"/>
      <c r="V13945" s="2"/>
      <c r="W13945" s="2"/>
      <c r="X13945" s="2"/>
      <c r="Y13945" s="2"/>
      <c r="Z13945" s="2"/>
    </row>
    <row r="13946" spans="1:26" ht="16.5" x14ac:dyDescent="0.35">
      <c r="A13946" s="2" t="str">
        <f ca="1">IFERROR(__xludf.DUMMYFUNCTION("""COMPUTED_VALUE"""),"Dubai")</f>
        <v>Dubai</v>
      </c>
      <c r="B13946" s="2" t="str">
        <f ca="1">IFERROR(__xludf.DUMMYFUNCTION("""COMPUTED_VALUE"""),"La Voile 1")</f>
        <v>La Voile 1</v>
      </c>
      <c r="C13946" s="2" t="str">
        <f ca="1">IFERROR(__xludf.DUMMYFUNCTION("""COMPUTED_VALUE"""),"Building")</f>
        <v>Building</v>
      </c>
      <c r="D13946" s="2" t="str">
        <f ca="1">IFERROR(__xludf.DUMMYFUNCTION("""COMPUTED_VALUE"""),"Dubai&gt;Jumeirah&gt;La Mer&gt;Port de La Mer&gt;La Voile&gt;La Voile 1")</f>
        <v>Dubai&gt;Jumeirah&gt;La Mer&gt;Port de La Mer&gt;La Voile&gt;La Voile 1</v>
      </c>
      <c r="E13946" s="2"/>
      <c r="F13946" s="2"/>
      <c r="G13946" s="2"/>
      <c r="H13946" s="2"/>
      <c r="I13946" s="2"/>
      <c r="J13946" s="2"/>
      <c r="K13946" s="2"/>
      <c r="L13946" s="2"/>
      <c r="M13946" s="2"/>
      <c r="N13946" s="2"/>
      <c r="O13946" s="2"/>
      <c r="P13946" s="2"/>
      <c r="Q13946" s="2"/>
      <c r="R13946" s="2"/>
      <c r="S13946" s="2"/>
      <c r="T13946" s="2"/>
      <c r="U13946" s="2"/>
      <c r="V13946" s="2"/>
      <c r="W13946" s="2"/>
      <c r="X13946" s="2"/>
      <c r="Y13946" s="2"/>
      <c r="Z13946" s="2"/>
    </row>
    <row r="13947" spans="1:26" ht="16.5" x14ac:dyDescent="0.35">
      <c r="A13947" s="2" t="str">
        <f ca="1">IFERROR(__xludf.DUMMYFUNCTION("""COMPUTED_VALUE"""),"Dubai")</f>
        <v>Dubai</v>
      </c>
      <c r="B13947" s="2" t="str">
        <f ca="1">IFERROR(__xludf.DUMMYFUNCTION("""COMPUTED_VALUE"""),"La Mer Maisons")</f>
        <v>La Mer Maisons</v>
      </c>
      <c r="C13947" s="2" t="str">
        <f ca="1">IFERROR(__xludf.DUMMYFUNCTION("""COMPUTED_VALUE"""),"Neighbourhood")</f>
        <v>Neighbourhood</v>
      </c>
      <c r="D13947" s="2" t="str">
        <f ca="1">IFERROR(__xludf.DUMMYFUNCTION("""COMPUTED_VALUE"""),"Dubai&gt;Jumeirah&gt;La Mer&gt;La Mer Maisons")</f>
        <v>Dubai&gt;Jumeirah&gt;La Mer&gt;La Mer Maisons</v>
      </c>
      <c r="E13947" s="2"/>
      <c r="F13947" s="2"/>
      <c r="G13947" s="2"/>
      <c r="H13947" s="2"/>
      <c r="I13947" s="2"/>
      <c r="J13947" s="2"/>
      <c r="K13947" s="2"/>
      <c r="L13947" s="2"/>
      <c r="M13947" s="2"/>
      <c r="N13947" s="2"/>
      <c r="O13947" s="2"/>
      <c r="P13947" s="2"/>
      <c r="Q13947" s="2"/>
      <c r="R13947" s="2"/>
      <c r="S13947" s="2"/>
      <c r="T13947" s="2"/>
      <c r="U13947" s="2"/>
      <c r="V13947" s="2"/>
      <c r="W13947" s="2"/>
      <c r="X13947" s="2"/>
      <c r="Y13947" s="2"/>
      <c r="Z13947" s="2"/>
    </row>
    <row r="13948" spans="1:26" ht="16.5" x14ac:dyDescent="0.35">
      <c r="A13948" s="2" t="str">
        <f ca="1">IFERROR(__xludf.DUMMYFUNCTION("""COMPUTED_VALUE"""),"Dubai")</f>
        <v>Dubai</v>
      </c>
      <c r="B13948" s="2" t="str">
        <f ca="1">IFERROR(__xludf.DUMMYFUNCTION("""COMPUTED_VALUE"""),"Creek Rise")</f>
        <v>Creek Rise</v>
      </c>
      <c r="C13948" s="2" t="str">
        <f ca="1">IFERROR(__xludf.DUMMYFUNCTION("""COMPUTED_VALUE"""),"Cluster")</f>
        <v>Cluster</v>
      </c>
      <c r="D13948" s="2" t="str">
        <f ca="1">IFERROR(__xludf.DUMMYFUNCTION("""COMPUTED_VALUE"""),"Dubai&gt;Dubai Creek Harbour&gt;Creek Rise")</f>
        <v>Dubai&gt;Dubai Creek Harbour&gt;Creek Rise</v>
      </c>
      <c r="E13948" s="2"/>
      <c r="F13948" s="2"/>
      <c r="G13948" s="2"/>
      <c r="H13948" s="2"/>
      <c r="I13948" s="2"/>
      <c r="J13948" s="2"/>
      <c r="K13948" s="2"/>
      <c r="L13948" s="2"/>
      <c r="M13948" s="2"/>
      <c r="N13948" s="2"/>
      <c r="O13948" s="2"/>
      <c r="P13948" s="2"/>
      <c r="Q13948" s="2"/>
      <c r="R13948" s="2"/>
      <c r="S13948" s="2"/>
      <c r="T13948" s="2"/>
      <c r="U13948" s="2"/>
      <c r="V13948" s="2"/>
      <c r="W13948" s="2"/>
      <c r="X13948" s="2"/>
      <c r="Y13948" s="2"/>
      <c r="Z13948" s="2"/>
    </row>
    <row r="13949" spans="1:26" ht="16.5" x14ac:dyDescent="0.35">
      <c r="A13949" s="2" t="str">
        <f ca="1">IFERROR(__xludf.DUMMYFUNCTION("""COMPUTED_VALUE"""),"Dubai")</f>
        <v>Dubai</v>
      </c>
      <c r="B13949" s="2" t="str">
        <f ca="1">IFERROR(__xludf.DUMMYFUNCTION("""COMPUTED_VALUE"""),"Summer 3")</f>
        <v>Summer 3</v>
      </c>
      <c r="C13949" s="2" t="str">
        <f ca="1">IFERROR(__xludf.DUMMYFUNCTION("""COMPUTED_VALUE"""),"Building")</f>
        <v>Building</v>
      </c>
      <c r="D13949" s="2" t="str">
        <f ca="1">IFERROR(__xludf.DUMMYFUNCTION("""COMPUTED_VALUE"""),"Dubai&gt;Dubai Creek Harbour&gt;Summer at Creek Beach&gt;Summer 3")</f>
        <v>Dubai&gt;Dubai Creek Harbour&gt;Summer at Creek Beach&gt;Summer 3</v>
      </c>
      <c r="E13949" s="2"/>
      <c r="F13949" s="2"/>
      <c r="G13949" s="2"/>
      <c r="H13949" s="2"/>
      <c r="I13949" s="2"/>
      <c r="J13949" s="2"/>
      <c r="K13949" s="2"/>
      <c r="L13949" s="2"/>
      <c r="M13949" s="2"/>
      <c r="N13949" s="2"/>
      <c r="O13949" s="2"/>
      <c r="P13949" s="2"/>
      <c r="Q13949" s="2"/>
      <c r="R13949" s="2"/>
      <c r="S13949" s="2"/>
      <c r="T13949" s="2"/>
      <c r="U13949" s="2"/>
      <c r="V13949" s="2"/>
      <c r="W13949" s="2"/>
      <c r="X13949" s="2"/>
      <c r="Y13949" s="2"/>
      <c r="Z13949" s="2"/>
    </row>
    <row r="13950" spans="1:26" ht="16.5" x14ac:dyDescent="0.35">
      <c r="A13950" s="2" t="str">
        <f ca="1">IFERROR(__xludf.DUMMYFUNCTION("""COMPUTED_VALUE"""),"Dubai")</f>
        <v>Dubai</v>
      </c>
      <c r="B13950" s="2" t="str">
        <f ca="1">IFERROR(__xludf.DUMMYFUNCTION("""COMPUTED_VALUE"""),"The Dubai Creek Residences South Podium")</f>
        <v>The Dubai Creek Residences South Podium</v>
      </c>
      <c r="C13950" s="2" t="str">
        <f ca="1">IFERROR(__xludf.DUMMYFUNCTION("""COMPUTED_VALUE"""),"Building")</f>
        <v>Building</v>
      </c>
      <c r="D13950" s="2" t="str">
        <f ca="1">IFERROR(__xludf.DUMMYFUNCTION("""COMPUTED_VALUE"""),"Dubai&gt;Dubai Creek Harbour&gt;Dubai Creek Residences&gt;The Dubai Creek Residences South Podium")</f>
        <v>Dubai&gt;Dubai Creek Harbour&gt;Dubai Creek Residences&gt;The Dubai Creek Residences South Podium</v>
      </c>
      <c r="E13950" s="2"/>
      <c r="F13950" s="2"/>
      <c r="G13950" s="2"/>
      <c r="H13950" s="2"/>
      <c r="I13950" s="2"/>
      <c r="J13950" s="2"/>
      <c r="K13950" s="2"/>
      <c r="L13950" s="2"/>
      <c r="M13950" s="2"/>
      <c r="N13950" s="2"/>
      <c r="O13950" s="2"/>
      <c r="P13950" s="2"/>
      <c r="Q13950" s="2"/>
      <c r="R13950" s="2"/>
      <c r="S13950" s="2"/>
      <c r="T13950" s="2"/>
      <c r="U13950" s="2"/>
      <c r="V13950" s="2"/>
      <c r="W13950" s="2"/>
      <c r="X13950" s="2"/>
      <c r="Y13950" s="2"/>
      <c r="Z13950" s="2"/>
    </row>
    <row r="13951" spans="1:26" ht="16.5" x14ac:dyDescent="0.35">
      <c r="A13951" s="2" t="str">
        <f ca="1">IFERROR(__xludf.DUMMYFUNCTION("""COMPUTED_VALUE"""),"Dubai")</f>
        <v>Dubai</v>
      </c>
      <c r="B13951" s="2" t="str">
        <f ca="1">IFERROR(__xludf.DUMMYFUNCTION("""COMPUTED_VALUE"""),"Mangrove Building 1")</f>
        <v>Mangrove Building 1</v>
      </c>
      <c r="C13951" s="2" t="str">
        <f ca="1">IFERROR(__xludf.DUMMYFUNCTION("""COMPUTED_VALUE"""),"Building")</f>
        <v>Building</v>
      </c>
      <c r="D13951" s="2" t="str">
        <f ca="1">IFERROR(__xludf.DUMMYFUNCTION("""COMPUTED_VALUE"""),"Dubai&gt;Dubai Creek Harbour&gt;Mangrove at Creek Beach&gt;Mangrove Building 1")</f>
        <v>Dubai&gt;Dubai Creek Harbour&gt;Mangrove at Creek Beach&gt;Mangrove Building 1</v>
      </c>
      <c r="E13951" s="2"/>
      <c r="F13951" s="2"/>
      <c r="G13951" s="2"/>
      <c r="H13951" s="2"/>
      <c r="I13951" s="2"/>
      <c r="J13951" s="2"/>
      <c r="K13951" s="2"/>
      <c r="L13951" s="2"/>
      <c r="M13951" s="2"/>
      <c r="N13951" s="2"/>
      <c r="O13951" s="2"/>
      <c r="P13951" s="2"/>
      <c r="Q13951" s="2"/>
      <c r="R13951" s="2"/>
      <c r="S13951" s="2"/>
      <c r="T13951" s="2"/>
      <c r="U13951" s="2"/>
      <c r="V13951" s="2"/>
      <c r="W13951" s="2"/>
      <c r="X13951" s="2"/>
      <c r="Y13951" s="2"/>
      <c r="Z13951" s="2"/>
    </row>
    <row r="13952" spans="1:26" ht="16.5" x14ac:dyDescent="0.35">
      <c r="A13952" s="2" t="str">
        <f ca="1">IFERROR(__xludf.DUMMYFUNCTION("""COMPUTED_VALUE"""),"Dubai")</f>
        <v>Dubai</v>
      </c>
      <c r="B13952" s="2" t="str">
        <f ca="1">IFERROR(__xludf.DUMMYFUNCTION("""COMPUTED_VALUE"""),"The Ponderosa")</f>
        <v>The Ponderosa</v>
      </c>
      <c r="C13952" s="2" t="str">
        <f ca="1">IFERROR(__xludf.DUMMYFUNCTION("""COMPUTED_VALUE"""),"Neighbourhood")</f>
        <v>Neighbourhood</v>
      </c>
      <c r="D13952" s="2" t="str">
        <f ca="1">IFERROR(__xludf.DUMMYFUNCTION("""COMPUTED_VALUE"""),"Dubai&gt;The Villa&gt;The Ponderosa")</f>
        <v>Dubai&gt;The Villa&gt;The Ponderosa</v>
      </c>
      <c r="E13952" s="2"/>
      <c r="F13952" s="2"/>
      <c r="G13952" s="2"/>
      <c r="H13952" s="2"/>
      <c r="I13952" s="2"/>
      <c r="J13952" s="2"/>
      <c r="K13952" s="2"/>
      <c r="L13952" s="2"/>
      <c r="M13952" s="2"/>
      <c r="N13952" s="2"/>
      <c r="O13952" s="2"/>
      <c r="P13952" s="2"/>
      <c r="Q13952" s="2"/>
      <c r="R13952" s="2"/>
      <c r="S13952" s="2"/>
      <c r="T13952" s="2"/>
      <c r="U13952" s="2"/>
      <c r="V13952" s="2"/>
      <c r="W13952" s="2"/>
      <c r="X13952" s="2"/>
      <c r="Y13952" s="2"/>
      <c r="Z13952" s="2"/>
    </row>
    <row r="13953" spans="1:26" ht="16.5" x14ac:dyDescent="0.35">
      <c r="A13953" s="2" t="str">
        <f ca="1">IFERROR(__xludf.DUMMYFUNCTION("""COMPUTED_VALUE"""),"Dubai")</f>
        <v>Dubai</v>
      </c>
      <c r="B13953" s="2" t="str">
        <f ca="1">IFERROR(__xludf.DUMMYFUNCTION("""COMPUTED_VALUE"""),"Time Oak Hotel &amp; Suites")</f>
        <v>Time Oak Hotel &amp; Suites</v>
      </c>
      <c r="C13953" s="2" t="str">
        <f ca="1">IFERROR(__xludf.DUMMYFUNCTION("""COMPUTED_VALUE"""),"Building")</f>
        <v>Building</v>
      </c>
      <c r="D13953" s="2" t="str">
        <f ca="1">IFERROR(__xludf.DUMMYFUNCTION("""COMPUTED_VALUE"""),"Dubai&gt;Barsha Heights (Tecom)&gt;Time Oak Hotel &amp; Suites")</f>
        <v>Dubai&gt;Barsha Heights (Tecom)&gt;Time Oak Hotel &amp; Suites</v>
      </c>
      <c r="E13953" s="2"/>
      <c r="F13953" s="2"/>
      <c r="G13953" s="2"/>
      <c r="H13953" s="2"/>
      <c r="I13953" s="2"/>
      <c r="J13953" s="2"/>
      <c r="K13953" s="2"/>
      <c r="L13953" s="2"/>
      <c r="M13953" s="2"/>
      <c r="N13953" s="2"/>
      <c r="O13953" s="2"/>
      <c r="P13953" s="2"/>
      <c r="Q13953" s="2"/>
      <c r="R13953" s="2"/>
      <c r="S13953" s="2"/>
      <c r="T13953" s="2"/>
      <c r="U13953" s="2"/>
      <c r="V13953" s="2"/>
      <c r="W13953" s="2"/>
      <c r="X13953" s="2"/>
      <c r="Y13953" s="2"/>
      <c r="Z13953" s="2"/>
    </row>
    <row r="13954" spans="1:26" ht="16.5" x14ac:dyDescent="0.35">
      <c r="A13954" s="2" t="str">
        <f ca="1">IFERROR(__xludf.DUMMYFUNCTION("""COMPUTED_VALUE"""),"Dubai")</f>
        <v>Dubai</v>
      </c>
      <c r="B13954" s="2" t="str">
        <f ca="1">IFERROR(__xludf.DUMMYFUNCTION("""COMPUTED_VALUE"""),"Tecom 2 Building")</f>
        <v>Tecom 2 Building</v>
      </c>
      <c r="C13954" s="2" t="str">
        <f ca="1">IFERROR(__xludf.DUMMYFUNCTION("""COMPUTED_VALUE"""),"Building")</f>
        <v>Building</v>
      </c>
      <c r="D13954" s="2" t="str">
        <f ca="1">IFERROR(__xludf.DUMMYFUNCTION("""COMPUTED_VALUE"""),"Dubai&gt;Barsha Heights (Tecom)&gt;Tecom 2 Building")</f>
        <v>Dubai&gt;Barsha Heights (Tecom)&gt;Tecom 2 Building</v>
      </c>
      <c r="E13954" s="2"/>
      <c r="F13954" s="2"/>
      <c r="G13954" s="2"/>
      <c r="H13954" s="2"/>
      <c r="I13954" s="2"/>
      <c r="J13954" s="2"/>
      <c r="K13954" s="2"/>
      <c r="L13954" s="2"/>
      <c r="M13954" s="2"/>
      <c r="N13954" s="2"/>
      <c r="O13954" s="2"/>
      <c r="P13954" s="2"/>
      <c r="Q13954" s="2"/>
      <c r="R13954" s="2"/>
      <c r="S13954" s="2"/>
      <c r="T13954" s="2"/>
      <c r="U13954" s="2"/>
      <c r="V13954" s="2"/>
      <c r="W13954" s="2"/>
      <c r="X13954" s="2"/>
      <c r="Y13954" s="2"/>
      <c r="Z13954" s="2"/>
    </row>
    <row r="13955" spans="1:26" ht="16.5" x14ac:dyDescent="0.35">
      <c r="A13955" s="2" t="str">
        <f ca="1">IFERROR(__xludf.DUMMYFUNCTION("""COMPUTED_VALUE"""),"Dubai")</f>
        <v>Dubai</v>
      </c>
      <c r="B13955" s="2" t="str">
        <f ca="1">IFERROR(__xludf.DUMMYFUNCTION("""COMPUTED_VALUE"""),"Millennium Place Barsha Heights Hotel")</f>
        <v>Millennium Place Barsha Heights Hotel</v>
      </c>
      <c r="C13955" s="2" t="str">
        <f ca="1">IFERROR(__xludf.DUMMYFUNCTION("""COMPUTED_VALUE"""),"Building")</f>
        <v>Building</v>
      </c>
      <c r="D13955" s="2" t="str">
        <f ca="1">IFERROR(__xludf.DUMMYFUNCTION("""COMPUTED_VALUE"""),"Dubai&gt;Barsha Heights (Tecom)&gt;Millennium Place Barsha Heights Hotel")</f>
        <v>Dubai&gt;Barsha Heights (Tecom)&gt;Millennium Place Barsha Heights Hotel</v>
      </c>
      <c r="E13955" s="2"/>
      <c r="F13955" s="2"/>
      <c r="G13955" s="2"/>
      <c r="H13955" s="2"/>
      <c r="I13955" s="2"/>
      <c r="J13955" s="2"/>
      <c r="K13955" s="2"/>
      <c r="L13955" s="2"/>
      <c r="M13955" s="2"/>
      <c r="N13955" s="2"/>
      <c r="O13955" s="2"/>
      <c r="P13955" s="2"/>
      <c r="Q13955" s="2"/>
      <c r="R13955" s="2"/>
      <c r="S13955" s="2"/>
      <c r="T13955" s="2"/>
      <c r="U13955" s="2"/>
      <c r="V13955" s="2"/>
      <c r="W13955" s="2"/>
      <c r="X13955" s="2"/>
      <c r="Y13955" s="2"/>
      <c r="Z13955" s="2"/>
    </row>
    <row r="13956" spans="1:26" ht="16.5" x14ac:dyDescent="0.35">
      <c r="A13956" s="2" t="str">
        <f ca="1">IFERROR(__xludf.DUMMYFUNCTION("""COMPUTED_VALUE"""),"Dubai")</f>
        <v>Dubai</v>
      </c>
      <c r="B13956" s="2" t="str">
        <f ca="1">IFERROR(__xludf.DUMMYFUNCTION("""COMPUTED_VALUE"""),"Weston Court 2")</f>
        <v>Weston Court 2</v>
      </c>
      <c r="C13956" s="2" t="str">
        <f ca="1">IFERROR(__xludf.DUMMYFUNCTION("""COMPUTED_VALUE"""),"Building")</f>
        <v>Building</v>
      </c>
      <c r="D13956" s="2" t="str">
        <f ca="1">IFERROR(__xludf.DUMMYFUNCTION("""COMPUTED_VALUE"""),"Dubai&gt;Motor City&gt;Weston Court&gt;Weston Court 2")</f>
        <v>Dubai&gt;Motor City&gt;Weston Court&gt;Weston Court 2</v>
      </c>
      <c r="E13956" s="2"/>
      <c r="F13956" s="2"/>
      <c r="G13956" s="2"/>
      <c r="H13956" s="2"/>
      <c r="I13956" s="2"/>
      <c r="J13956" s="2"/>
      <c r="K13956" s="2"/>
      <c r="L13956" s="2"/>
      <c r="M13956" s="2"/>
      <c r="N13956" s="2"/>
      <c r="O13956" s="2"/>
      <c r="P13956" s="2"/>
      <c r="Q13956" s="2"/>
      <c r="R13956" s="2"/>
      <c r="S13956" s="2"/>
      <c r="T13956" s="2"/>
      <c r="U13956" s="2"/>
      <c r="V13956" s="2"/>
      <c r="W13956" s="2"/>
      <c r="X13956" s="2"/>
      <c r="Y13956" s="2"/>
      <c r="Z13956" s="2"/>
    </row>
    <row r="13957" spans="1:26" ht="16.5" x14ac:dyDescent="0.35">
      <c r="A13957" s="2" t="str">
        <f ca="1">IFERROR(__xludf.DUMMYFUNCTION("""COMPUTED_VALUE"""),"Dubai")</f>
        <v>Dubai</v>
      </c>
      <c r="B13957" s="2" t="str">
        <f ca="1">IFERROR(__xludf.DUMMYFUNCTION("""COMPUTED_VALUE"""),"GEMS Metropole School")</f>
        <v>GEMS Metropole School</v>
      </c>
      <c r="C13957" s="2" t="str">
        <f ca="1">IFERROR(__xludf.DUMMYFUNCTION("""COMPUTED_VALUE"""),"School")</f>
        <v>School</v>
      </c>
      <c r="D13957" s="2" t="str">
        <f ca="1">IFERROR(__xludf.DUMMYFUNCTION("""COMPUTED_VALUE"""),"Dubai&gt;Motor City&gt;Uptown Motor City&gt;GEMS Metropole School")</f>
        <v>Dubai&gt;Motor City&gt;Uptown Motor City&gt;GEMS Metropole School</v>
      </c>
      <c r="E13957" s="2"/>
      <c r="F13957" s="2"/>
      <c r="G13957" s="2"/>
      <c r="H13957" s="2"/>
      <c r="I13957" s="2"/>
      <c r="J13957" s="2"/>
      <c r="K13957" s="2"/>
      <c r="L13957" s="2"/>
      <c r="M13957" s="2"/>
      <c r="N13957" s="2"/>
      <c r="O13957" s="2"/>
      <c r="P13957" s="2"/>
      <c r="Q13957" s="2"/>
      <c r="R13957" s="2"/>
      <c r="S13957" s="2"/>
      <c r="T13957" s="2"/>
      <c r="U13957" s="2"/>
      <c r="V13957" s="2"/>
      <c r="W13957" s="2"/>
      <c r="X13957" s="2"/>
      <c r="Y13957" s="2"/>
      <c r="Z13957" s="2"/>
    </row>
    <row r="13958" spans="1:26" ht="16.5" x14ac:dyDescent="0.35">
      <c r="A13958" s="2" t="str">
        <f ca="1">IFERROR(__xludf.DUMMYFUNCTION("""COMPUTED_VALUE"""),"Dubai")</f>
        <v>Dubai</v>
      </c>
      <c r="B13958" s="2" t="str">
        <f ca="1">IFERROR(__xludf.DUMMYFUNCTION("""COMPUTED_VALUE"""),"Marlowe House")</f>
        <v>Marlowe House</v>
      </c>
      <c r="C13958" s="2" t="str">
        <f ca="1">IFERROR(__xludf.DUMMYFUNCTION("""COMPUTED_VALUE"""),"Cluster")</f>
        <v>Cluster</v>
      </c>
      <c r="D13958" s="2" t="str">
        <f ca="1">IFERROR(__xludf.DUMMYFUNCTION("""COMPUTED_VALUE"""),"Dubai&gt;Motor City&gt;Uptown Motor City&gt;Marlowe House")</f>
        <v>Dubai&gt;Motor City&gt;Uptown Motor City&gt;Marlowe House</v>
      </c>
      <c r="E13958" s="2"/>
      <c r="F13958" s="2"/>
      <c r="G13958" s="2"/>
      <c r="H13958" s="2"/>
      <c r="I13958" s="2"/>
      <c r="J13958" s="2"/>
      <c r="K13958" s="2"/>
      <c r="L13958" s="2"/>
      <c r="M13958" s="2"/>
      <c r="N13958" s="2"/>
      <c r="O13958" s="2"/>
      <c r="P13958" s="2"/>
      <c r="Q13958" s="2"/>
      <c r="R13958" s="2"/>
      <c r="S13958" s="2"/>
      <c r="T13958" s="2"/>
      <c r="U13958" s="2"/>
      <c r="V13958" s="2"/>
      <c r="W13958" s="2"/>
      <c r="X13958" s="2"/>
      <c r="Y13958" s="2"/>
      <c r="Z13958" s="2"/>
    </row>
    <row r="13959" spans="1:26" ht="16.5" x14ac:dyDescent="0.35">
      <c r="A13959" s="2" t="str">
        <f ca="1">IFERROR(__xludf.DUMMYFUNCTION("""COMPUTED_VALUE"""),"Dubai")</f>
        <v>Dubai</v>
      </c>
      <c r="B13959" s="2" t="str">
        <f ca="1">IFERROR(__xludf.DUMMYFUNCTION("""COMPUTED_VALUE"""),"Widcombe House 2")</f>
        <v>Widcombe House 2</v>
      </c>
      <c r="C13959" s="2" t="str">
        <f ca="1">IFERROR(__xludf.DUMMYFUNCTION("""COMPUTED_VALUE"""),"Building")</f>
        <v>Building</v>
      </c>
      <c r="D13959" s="2" t="str">
        <f ca="1">IFERROR(__xludf.DUMMYFUNCTION("""COMPUTED_VALUE"""),"Dubai&gt;Motor City&gt;Uptown Motor City&gt;Widcombe House&gt;Widcombe House 2")</f>
        <v>Dubai&gt;Motor City&gt;Uptown Motor City&gt;Widcombe House&gt;Widcombe House 2</v>
      </c>
      <c r="E13959" s="2"/>
      <c r="F13959" s="2"/>
      <c r="G13959" s="2"/>
      <c r="H13959" s="2"/>
      <c r="I13959" s="2"/>
      <c r="J13959" s="2"/>
      <c r="K13959" s="2"/>
      <c r="L13959" s="2"/>
      <c r="M13959" s="2"/>
      <c r="N13959" s="2"/>
      <c r="O13959" s="2"/>
      <c r="P13959" s="2"/>
      <c r="Q13959" s="2"/>
      <c r="R13959" s="2"/>
      <c r="S13959" s="2"/>
      <c r="T13959" s="2"/>
      <c r="U13959" s="2"/>
      <c r="V13959" s="2"/>
      <c r="W13959" s="2"/>
      <c r="X13959" s="2"/>
      <c r="Y13959" s="2"/>
      <c r="Z13959" s="2"/>
    </row>
    <row r="13960" spans="1:26" ht="16.5" x14ac:dyDescent="0.35">
      <c r="A13960" s="2" t="str">
        <f ca="1">IFERROR(__xludf.DUMMYFUNCTION("""COMPUTED_VALUE"""),"Dubai")</f>
        <v>Dubai</v>
      </c>
      <c r="B13960" s="2" t="str">
        <f ca="1">IFERROR(__xludf.DUMMYFUNCTION("""COMPUTED_VALUE"""),"Monarch")</f>
        <v>Monarch</v>
      </c>
      <c r="C13960" s="2" t="str">
        <f ca="1">IFERROR(__xludf.DUMMYFUNCTION("""COMPUTED_VALUE"""),"Building")</f>
        <v>Building</v>
      </c>
      <c r="D13960" s="2" t="str">
        <f ca="1">IFERROR(__xludf.DUMMYFUNCTION("""COMPUTED_VALUE"""),"Dubai&gt;Motor City&gt;Monarch")</f>
        <v>Dubai&gt;Motor City&gt;Monarch</v>
      </c>
      <c r="E13960" s="2"/>
      <c r="F13960" s="2"/>
      <c r="G13960" s="2"/>
      <c r="H13960" s="2"/>
      <c r="I13960" s="2"/>
      <c r="J13960" s="2"/>
      <c r="K13960" s="2"/>
      <c r="L13960" s="2"/>
      <c r="M13960" s="2"/>
      <c r="N13960" s="2"/>
      <c r="O13960" s="2"/>
      <c r="P13960" s="2"/>
      <c r="Q13960" s="2"/>
      <c r="R13960" s="2"/>
      <c r="S13960" s="2"/>
      <c r="T13960" s="2"/>
      <c r="U13960" s="2"/>
      <c r="V13960" s="2"/>
      <c r="W13960" s="2"/>
      <c r="X13960" s="2"/>
      <c r="Y13960" s="2"/>
      <c r="Z13960" s="2"/>
    </row>
    <row r="13961" spans="1:26" ht="16.5" x14ac:dyDescent="0.35">
      <c r="A13961" s="2" t="str">
        <f ca="1">IFERROR(__xludf.DUMMYFUNCTION("""COMPUTED_VALUE"""),"Dubai")</f>
        <v>Dubai</v>
      </c>
      <c r="B13961" s="2" t="str">
        <f ca="1">IFERROR(__xludf.DUMMYFUNCTION("""COMPUTED_VALUE"""),"Jumanah Residence")</f>
        <v>Jumanah Residence</v>
      </c>
      <c r="C13961" s="2" t="str">
        <f ca="1">IFERROR(__xludf.DUMMYFUNCTION("""COMPUTED_VALUE"""),"Building")</f>
        <v>Building</v>
      </c>
      <c r="D13961" s="2" t="str">
        <f ca="1">IFERROR(__xludf.DUMMYFUNCTION("""COMPUTED_VALUE"""),"Dubai&gt;Al Sufouh&gt;Al Sufouh 1&gt;Jumanah Residence")</f>
        <v>Dubai&gt;Al Sufouh&gt;Al Sufouh 1&gt;Jumanah Residence</v>
      </c>
      <c r="E13961" s="2"/>
      <c r="F13961" s="2"/>
      <c r="G13961" s="2"/>
      <c r="H13961" s="2"/>
      <c r="I13961" s="2"/>
      <c r="J13961" s="2"/>
      <c r="K13961" s="2"/>
      <c r="L13961" s="2"/>
      <c r="M13961" s="2"/>
      <c r="N13961" s="2"/>
      <c r="O13961" s="2"/>
      <c r="P13961" s="2"/>
      <c r="Q13961" s="2"/>
      <c r="R13961" s="2"/>
      <c r="S13961" s="2"/>
      <c r="T13961" s="2"/>
      <c r="U13961" s="2"/>
      <c r="V13961" s="2"/>
      <c r="W13961" s="2"/>
      <c r="X13961" s="2"/>
      <c r="Y13961" s="2"/>
      <c r="Z13961" s="2"/>
    </row>
    <row r="13962" spans="1:26" ht="16.5" x14ac:dyDescent="0.35">
      <c r="A13962" s="2" t="str">
        <f ca="1">IFERROR(__xludf.DUMMYFUNCTION("""COMPUTED_VALUE"""),"Dubai")</f>
        <v>Dubai</v>
      </c>
      <c r="B13962" s="2" t="str">
        <f ca="1">IFERROR(__xludf.DUMMYFUNCTION("""COMPUTED_VALUE"""),"Boutique Office 23")</f>
        <v>Boutique Office 23</v>
      </c>
      <c r="C13962" s="2" t="str">
        <f ca="1">IFERROR(__xludf.DUMMYFUNCTION("""COMPUTED_VALUE"""),"Building")</f>
        <v>Building</v>
      </c>
      <c r="D13962" s="2" t="str">
        <f ca="1">IFERROR(__xludf.DUMMYFUNCTION("""COMPUTED_VALUE"""),"Dubai&gt;Al Sufouh&gt;Al Sufouh 2&gt;Boutique Offices&gt;Boutique Office 23")</f>
        <v>Dubai&gt;Al Sufouh&gt;Al Sufouh 2&gt;Boutique Offices&gt;Boutique Office 23</v>
      </c>
      <c r="E13962" s="2"/>
      <c r="F13962" s="2"/>
      <c r="G13962" s="2"/>
      <c r="H13962" s="2"/>
      <c r="I13962" s="2"/>
      <c r="J13962" s="2"/>
      <c r="K13962" s="2"/>
      <c r="L13962" s="2"/>
      <c r="M13962" s="2"/>
      <c r="N13962" s="2"/>
      <c r="O13962" s="2"/>
      <c r="P13962" s="2"/>
      <c r="Q13962" s="2"/>
      <c r="R13962" s="2"/>
      <c r="S13962" s="2"/>
      <c r="T13962" s="2"/>
      <c r="U13962" s="2"/>
      <c r="V13962" s="2"/>
      <c r="W13962" s="2"/>
      <c r="X13962" s="2"/>
      <c r="Y13962" s="2"/>
      <c r="Z13962" s="2"/>
    </row>
    <row r="13963" spans="1:26" ht="16.5" x14ac:dyDescent="0.35">
      <c r="A13963" s="2" t="str">
        <f ca="1">IFERROR(__xludf.DUMMYFUNCTION("""COMPUTED_VALUE"""),"Dubai")</f>
        <v>Dubai</v>
      </c>
      <c r="B13963" s="2" t="str">
        <f ca="1">IFERROR(__xludf.DUMMYFUNCTION("""COMPUTED_VALUE"""),"Al Badia Hillside Village")</f>
        <v>Al Badia Hillside Village</v>
      </c>
      <c r="C13963" s="2" t="str">
        <f ca="1">IFERROR(__xludf.DUMMYFUNCTION("""COMPUTED_VALUE"""),"Cluster")</f>
        <v>Cluster</v>
      </c>
      <c r="D13963" s="2" t="str">
        <f ca="1">IFERROR(__xludf.DUMMYFUNCTION("""COMPUTED_VALUE"""),"Dubai&gt;Dubai Festival City&gt;Al Badia Hillside Village")</f>
        <v>Dubai&gt;Dubai Festival City&gt;Al Badia Hillside Village</v>
      </c>
      <c r="E13963" s="2"/>
      <c r="F13963" s="2"/>
      <c r="G13963" s="2"/>
      <c r="H13963" s="2"/>
      <c r="I13963" s="2"/>
      <c r="J13963" s="2"/>
      <c r="K13963" s="2"/>
      <c r="L13963" s="2"/>
      <c r="M13963" s="2"/>
      <c r="N13963" s="2"/>
      <c r="O13963" s="2"/>
      <c r="P13963" s="2"/>
      <c r="Q13963" s="2"/>
      <c r="R13963" s="2"/>
      <c r="S13963" s="2"/>
      <c r="T13963" s="2"/>
      <c r="U13963" s="2"/>
      <c r="V13963" s="2"/>
      <c r="W13963" s="2"/>
      <c r="X13963" s="2"/>
      <c r="Y13963" s="2"/>
      <c r="Z13963" s="2"/>
    </row>
    <row r="13964" spans="1:26" ht="16.5" x14ac:dyDescent="0.35">
      <c r="A13964" s="2" t="str">
        <f ca="1">IFERROR(__xludf.DUMMYFUNCTION("""COMPUTED_VALUE"""),"Dubai")</f>
        <v>Dubai</v>
      </c>
      <c r="B13964" s="2" t="str">
        <f ca="1">IFERROR(__xludf.DUMMYFUNCTION("""COMPUTED_VALUE"""),"Golf Vista")</f>
        <v>Golf Vista</v>
      </c>
      <c r="C13964" s="2" t="str">
        <f ca="1">IFERROR(__xludf.DUMMYFUNCTION("""COMPUTED_VALUE"""),"Cluster")</f>
        <v>Cluster</v>
      </c>
      <c r="D13964" s="2" t="str">
        <f ca="1">IFERROR(__xludf.DUMMYFUNCTION("""COMPUTED_VALUE"""),"Dubai&gt;DAMAC Hills&gt;Golf Town&gt;Golf Vista")</f>
        <v>Dubai&gt;DAMAC Hills&gt;Golf Town&gt;Golf Vista</v>
      </c>
      <c r="E13964" s="2"/>
      <c r="F13964" s="2"/>
      <c r="G13964" s="2"/>
      <c r="H13964" s="2"/>
      <c r="I13964" s="2"/>
      <c r="J13964" s="2"/>
      <c r="K13964" s="2"/>
      <c r="L13964" s="2"/>
      <c r="M13964" s="2"/>
      <c r="N13964" s="2"/>
      <c r="O13964" s="2"/>
      <c r="P13964" s="2"/>
      <c r="Q13964" s="2"/>
      <c r="R13964" s="2"/>
      <c r="S13964" s="2"/>
      <c r="T13964" s="2"/>
      <c r="U13964" s="2"/>
      <c r="V13964" s="2"/>
      <c r="W13964" s="2"/>
      <c r="X13964" s="2"/>
      <c r="Y13964" s="2"/>
      <c r="Z13964" s="2"/>
    </row>
    <row r="13965" spans="1:26" ht="16.5" x14ac:dyDescent="0.35">
      <c r="A13965" s="2" t="str">
        <f ca="1">IFERROR(__xludf.DUMMYFUNCTION("""COMPUTED_VALUE"""),"Dubai")</f>
        <v>Dubai</v>
      </c>
      <c r="B13965" s="2" t="str">
        <f ca="1">IFERROR(__xludf.DUMMYFUNCTION("""COMPUTED_VALUE"""),"Artesia C")</f>
        <v>Artesia C</v>
      </c>
      <c r="C13965" s="2" t="str">
        <f ca="1">IFERROR(__xludf.DUMMYFUNCTION("""COMPUTED_VALUE"""),"Building")</f>
        <v>Building</v>
      </c>
      <c r="D13965" s="2" t="str">
        <f ca="1">IFERROR(__xludf.DUMMYFUNCTION("""COMPUTED_VALUE"""),"Dubai&gt;DAMAC Hills&gt;Artesia&gt;Artesia C")</f>
        <v>Dubai&gt;DAMAC Hills&gt;Artesia&gt;Artesia C</v>
      </c>
      <c r="E13965" s="2"/>
      <c r="F13965" s="2"/>
      <c r="G13965" s="2"/>
      <c r="H13965" s="2"/>
      <c r="I13965" s="2"/>
      <c r="J13965" s="2"/>
      <c r="K13965" s="2"/>
      <c r="L13965" s="2"/>
      <c r="M13965" s="2"/>
      <c r="N13965" s="2"/>
      <c r="O13965" s="2"/>
      <c r="P13965" s="2"/>
      <c r="Q13965" s="2"/>
      <c r="R13965" s="2"/>
      <c r="S13965" s="2"/>
      <c r="T13965" s="2"/>
      <c r="U13965" s="2"/>
      <c r="V13965" s="2"/>
      <c r="W13965" s="2"/>
      <c r="X13965" s="2"/>
      <c r="Y13965" s="2"/>
      <c r="Z13965" s="2"/>
    </row>
    <row r="13966" spans="1:26" ht="16.5" x14ac:dyDescent="0.35">
      <c r="A13966" s="2" t="str">
        <f ca="1">IFERROR(__xludf.DUMMYFUNCTION("""COMPUTED_VALUE"""),"Dubai")</f>
        <v>Dubai</v>
      </c>
      <c r="B13966" s="2" t="str">
        <f ca="1">IFERROR(__xludf.DUMMYFUNCTION("""COMPUTED_VALUE"""),"Jasmine A")</f>
        <v>Jasmine A</v>
      </c>
      <c r="C13966" s="2" t="str">
        <f ca="1">IFERROR(__xludf.DUMMYFUNCTION("""COMPUTED_VALUE"""),"Building")</f>
        <v>Building</v>
      </c>
      <c r="D13966" s="2" t="str">
        <f ca="1">IFERROR(__xludf.DUMMYFUNCTION("""COMPUTED_VALUE"""),"Dubai&gt;DAMAC Hills&gt;Jasmine&gt;Jasmine A")</f>
        <v>Dubai&gt;DAMAC Hills&gt;Jasmine&gt;Jasmine A</v>
      </c>
      <c r="E13966" s="2"/>
      <c r="F13966" s="2"/>
      <c r="G13966" s="2"/>
      <c r="H13966" s="2"/>
      <c r="I13966" s="2"/>
      <c r="J13966" s="2"/>
      <c r="K13966" s="2"/>
      <c r="L13966" s="2"/>
      <c r="M13966" s="2"/>
      <c r="N13966" s="2"/>
      <c r="O13966" s="2"/>
      <c r="P13966" s="2"/>
      <c r="Q13966" s="2"/>
      <c r="R13966" s="2"/>
      <c r="S13966" s="2"/>
      <c r="T13966" s="2"/>
      <c r="U13966" s="2"/>
      <c r="V13966" s="2"/>
      <c r="W13966" s="2"/>
      <c r="X13966" s="2"/>
      <c r="Y13966" s="2"/>
      <c r="Z13966" s="2"/>
    </row>
    <row r="13967" spans="1:26" ht="16.5" x14ac:dyDescent="0.35">
      <c r="A13967" s="2" t="str">
        <f ca="1">IFERROR(__xludf.DUMMYFUNCTION("""COMPUTED_VALUE"""),"Dubai")</f>
        <v>Dubai</v>
      </c>
      <c r="B13967" s="2" t="str">
        <f ca="1">IFERROR(__xludf.DUMMYFUNCTION("""COMPUTED_VALUE"""),"DAMAC District Tower A")</f>
        <v>DAMAC District Tower A</v>
      </c>
      <c r="C13967" s="2" t="str">
        <f ca="1">IFERROR(__xludf.DUMMYFUNCTION("""COMPUTED_VALUE"""),"Building")</f>
        <v>Building</v>
      </c>
      <c r="D13967" s="2" t="str">
        <f ca="1">IFERROR(__xludf.DUMMYFUNCTION("""COMPUTED_VALUE"""),"Dubai&gt;DAMAC Hills&gt;DAMAC District&gt;DAMAC District Tower A")</f>
        <v>Dubai&gt;DAMAC Hills&gt;DAMAC District&gt;DAMAC District Tower A</v>
      </c>
      <c r="E13967" s="2"/>
      <c r="F13967" s="2"/>
      <c r="G13967" s="2"/>
      <c r="H13967" s="2"/>
      <c r="I13967" s="2"/>
      <c r="J13967" s="2"/>
      <c r="K13967" s="2"/>
      <c r="L13967" s="2"/>
      <c r="M13967" s="2"/>
      <c r="N13967" s="2"/>
      <c r="O13967" s="2"/>
      <c r="P13967" s="2"/>
      <c r="Q13967" s="2"/>
      <c r="R13967" s="2"/>
      <c r="S13967" s="2"/>
      <c r="T13967" s="2"/>
      <c r="U13967" s="2"/>
      <c r="V13967" s="2"/>
      <c r="W13967" s="2"/>
      <c r="X13967" s="2"/>
      <c r="Y13967" s="2"/>
      <c r="Z13967" s="2"/>
    </row>
    <row r="13968" spans="1:26" ht="16.5" x14ac:dyDescent="0.35">
      <c r="A13968" s="2" t="str">
        <f ca="1">IFERROR(__xludf.DUMMYFUNCTION("""COMPUTED_VALUE"""),"Dubai")</f>
        <v>Dubai</v>
      </c>
      <c r="B13968" s="2" t="str">
        <f ca="1">IFERROR(__xludf.DUMMYFUNCTION("""COMPUTED_VALUE"""),"Jumeirah Palms Residence")</f>
        <v>Jumeirah Palms Residence</v>
      </c>
      <c r="C13968" s="2" t="str">
        <f ca="1">IFERROR(__xludf.DUMMYFUNCTION("""COMPUTED_VALUE"""),"Building")</f>
        <v>Building</v>
      </c>
      <c r="D13968" s="2" t="str">
        <f ca="1">IFERROR(__xludf.DUMMYFUNCTION("""COMPUTED_VALUE"""),"Dubai&gt;Al Mina&gt;Jumeirah Palms Residence")</f>
        <v>Dubai&gt;Al Mina&gt;Jumeirah Palms Residence</v>
      </c>
      <c r="E13968" s="2"/>
      <c r="F13968" s="2"/>
      <c r="G13968" s="2"/>
      <c r="H13968" s="2"/>
      <c r="I13968" s="2"/>
      <c r="J13968" s="2"/>
      <c r="K13968" s="2"/>
      <c r="L13968" s="2"/>
      <c r="M13968" s="2"/>
      <c r="N13968" s="2"/>
      <c r="O13968" s="2"/>
      <c r="P13968" s="2"/>
      <c r="Q13968" s="2"/>
      <c r="R13968" s="2"/>
      <c r="S13968" s="2"/>
      <c r="T13968" s="2"/>
      <c r="U13968" s="2"/>
      <c r="V13968" s="2"/>
      <c r="W13968" s="2"/>
      <c r="X13968" s="2"/>
      <c r="Y13968" s="2"/>
      <c r="Z13968" s="2"/>
    </row>
    <row r="13969" spans="1:26" ht="16.5" x14ac:dyDescent="0.35">
      <c r="A13969" s="2" t="str">
        <f ca="1">IFERROR(__xludf.DUMMYFUNCTION("""COMPUTED_VALUE"""),"Dubai")</f>
        <v>Dubai</v>
      </c>
      <c r="B13969" s="2" t="str">
        <f ca="1">IFERROR(__xludf.DUMMYFUNCTION("""COMPUTED_VALUE"""),"The Mural")</f>
        <v>The Mural</v>
      </c>
      <c r="C13969" s="2" t="str">
        <f ca="1">IFERROR(__xludf.DUMMYFUNCTION("""COMPUTED_VALUE"""),"Building")</f>
        <v>Building</v>
      </c>
      <c r="D13969" s="2" t="str">
        <f ca="1">IFERROR(__xludf.DUMMYFUNCTION("""COMPUTED_VALUE"""),"Dubai&gt;Dubai Maritime City&gt;The Mural")</f>
        <v>Dubai&gt;Dubai Maritime City&gt;The Mural</v>
      </c>
      <c r="E13969" s="2"/>
      <c r="F13969" s="2"/>
      <c r="G13969" s="2"/>
      <c r="H13969" s="2"/>
      <c r="I13969" s="2"/>
      <c r="J13969" s="2"/>
      <c r="K13969" s="2"/>
      <c r="L13969" s="2"/>
      <c r="M13969" s="2"/>
      <c r="N13969" s="2"/>
      <c r="O13969" s="2"/>
      <c r="P13969" s="2"/>
      <c r="Q13969" s="2"/>
      <c r="R13969" s="2"/>
      <c r="S13969" s="2"/>
      <c r="T13969" s="2"/>
      <c r="U13969" s="2"/>
      <c r="V13969" s="2"/>
      <c r="W13969" s="2"/>
      <c r="X13969" s="2"/>
      <c r="Y13969" s="2"/>
      <c r="Z13969" s="2"/>
    </row>
    <row r="13970" spans="1:26" ht="16.5" x14ac:dyDescent="0.35">
      <c r="A13970" s="2" t="str">
        <f ca="1">IFERROR(__xludf.DUMMYFUNCTION("""COMPUTED_VALUE"""),"Dubai")</f>
        <v>Dubai</v>
      </c>
      <c r="B13970" s="2" t="str">
        <f ca="1">IFERROR(__xludf.DUMMYFUNCTION("""COMPUTED_VALUE"""),"Dutco Greens Residential")</f>
        <v>Dutco Greens Residential</v>
      </c>
      <c r="C13970" s="2" t="str">
        <f ca="1">IFERROR(__xludf.DUMMYFUNCTION("""COMPUTED_VALUE"""),"Building")</f>
        <v>Building</v>
      </c>
      <c r="D13970" s="2" t="str">
        <f ca="1">IFERROR(__xludf.DUMMYFUNCTION("""COMPUTED_VALUE"""),"Dubai&gt;The Views&gt;Dutco Greens Residential")</f>
        <v>Dubai&gt;The Views&gt;Dutco Greens Residential</v>
      </c>
      <c r="E13970" s="2"/>
      <c r="F13970" s="2"/>
      <c r="G13970" s="2"/>
      <c r="H13970" s="2"/>
      <c r="I13970" s="2"/>
      <c r="J13970" s="2"/>
      <c r="K13970" s="2"/>
      <c r="L13970" s="2"/>
      <c r="M13970" s="2"/>
      <c r="N13970" s="2"/>
      <c r="O13970" s="2"/>
      <c r="P13970" s="2"/>
      <c r="Q13970" s="2"/>
      <c r="R13970" s="2"/>
      <c r="S13970" s="2"/>
      <c r="T13970" s="2"/>
      <c r="U13970" s="2"/>
      <c r="V13970" s="2"/>
      <c r="W13970" s="2"/>
      <c r="X13970" s="2"/>
      <c r="Y13970" s="2"/>
      <c r="Z13970" s="2"/>
    </row>
    <row r="13971" spans="1:26" ht="16.5" x14ac:dyDescent="0.35">
      <c r="A13971" s="2" t="str">
        <f ca="1">IFERROR(__xludf.DUMMYFUNCTION("""COMPUTED_VALUE"""),"Dubai")</f>
        <v>Dubai</v>
      </c>
      <c r="B13971" s="2" t="str">
        <f ca="1">IFERROR(__xludf.DUMMYFUNCTION("""COMPUTED_VALUE"""),"Clarion School, Al Quoz")</f>
        <v>Clarion School, Al Quoz</v>
      </c>
      <c r="C13971" s="2" t="str">
        <f ca="1">IFERROR(__xludf.DUMMYFUNCTION("""COMPUTED_VALUE"""),"School")</f>
        <v>School</v>
      </c>
      <c r="D13971" s="2" t="str">
        <f ca="1">IFERROR(__xludf.DUMMYFUNCTION("""COMPUTED_VALUE"""),"Dubai&gt;Al Quoz&gt;Al Quoz 1&gt;Clarion School, Al Quoz")</f>
        <v>Dubai&gt;Al Quoz&gt;Al Quoz 1&gt;Clarion School, Al Quoz</v>
      </c>
      <c r="E13971" s="2"/>
      <c r="F13971" s="2"/>
      <c r="G13971" s="2"/>
      <c r="H13971" s="2"/>
      <c r="I13971" s="2"/>
      <c r="J13971" s="2"/>
      <c r="K13971" s="2"/>
      <c r="L13971" s="2"/>
      <c r="M13971" s="2"/>
      <c r="N13971" s="2"/>
      <c r="O13971" s="2"/>
      <c r="P13971" s="2"/>
      <c r="Q13971" s="2"/>
      <c r="R13971" s="2"/>
      <c r="S13971" s="2"/>
      <c r="T13971" s="2"/>
      <c r="U13971" s="2"/>
      <c r="V13971" s="2"/>
      <c r="W13971" s="2"/>
      <c r="X13971" s="2"/>
      <c r="Y13971" s="2"/>
      <c r="Z13971" s="2"/>
    </row>
    <row r="13972" spans="1:26" ht="16.5" x14ac:dyDescent="0.35">
      <c r="A13972" s="2" t="str">
        <f ca="1">IFERROR(__xludf.DUMMYFUNCTION("""COMPUTED_VALUE"""),"Dubai")</f>
        <v>Dubai</v>
      </c>
      <c r="B13972" s="2" t="str">
        <f ca="1">IFERROR(__xludf.DUMMYFUNCTION("""COMPUTED_VALUE"""),"Gold and Diamond Park Building 3")</f>
        <v>Gold and Diamond Park Building 3</v>
      </c>
      <c r="C13972" s="2" t="str">
        <f ca="1">IFERROR(__xludf.DUMMYFUNCTION("""COMPUTED_VALUE"""),"Building")</f>
        <v>Building</v>
      </c>
      <c r="D13972" s="2" t="str">
        <f ca="1">IFERROR(__xludf.DUMMYFUNCTION("""COMPUTED_VALUE"""),"Dubai&gt;Al Quoz&gt;Al Quoz Industrial Area&gt;Al Quoz Industrial Area 3&gt;Gold and Diamond Park&gt;Gold and Diamond Park Building 3")</f>
        <v>Dubai&gt;Al Quoz&gt;Al Quoz Industrial Area&gt;Al Quoz Industrial Area 3&gt;Gold and Diamond Park&gt;Gold and Diamond Park Building 3</v>
      </c>
      <c r="E13972" s="2"/>
      <c r="F13972" s="2"/>
      <c r="G13972" s="2"/>
      <c r="H13972" s="2"/>
      <c r="I13972" s="2"/>
      <c r="J13972" s="2"/>
      <c r="K13972" s="2"/>
      <c r="L13972" s="2"/>
      <c r="M13972" s="2"/>
      <c r="N13972" s="2"/>
      <c r="O13972" s="2"/>
      <c r="P13972" s="2"/>
      <c r="Q13972" s="2"/>
      <c r="R13972" s="2"/>
      <c r="S13972" s="2"/>
      <c r="T13972" s="2"/>
      <c r="U13972" s="2"/>
      <c r="V13972" s="2"/>
      <c r="W13972" s="2"/>
      <c r="X13972" s="2"/>
      <c r="Y13972" s="2"/>
      <c r="Z13972" s="2"/>
    </row>
    <row r="13973" spans="1:26" ht="16.5" x14ac:dyDescent="0.35">
      <c r="A13973" s="2" t="str">
        <f ca="1">IFERROR(__xludf.DUMMYFUNCTION("""COMPUTED_VALUE"""),"Dubai")</f>
        <v>Dubai</v>
      </c>
      <c r="B13973" s="2" t="str">
        <f ca="1">IFERROR(__xludf.DUMMYFUNCTION("""COMPUTED_VALUE"""),"Al Khail Heights Building 3A")</f>
        <v>Al Khail Heights Building 3A</v>
      </c>
      <c r="C13973" s="2" t="str">
        <f ca="1">IFERROR(__xludf.DUMMYFUNCTION("""COMPUTED_VALUE"""),"Building")</f>
        <v>Building</v>
      </c>
      <c r="D13973" s="2" t="str">
        <f ca="1">IFERROR(__xludf.DUMMYFUNCTION("""COMPUTED_VALUE"""),"Dubai&gt;Al Quoz&gt;Al Quoz 4&gt;Al Khail Heights&gt;Al Khail Heights Building 3A")</f>
        <v>Dubai&gt;Al Quoz&gt;Al Quoz 4&gt;Al Khail Heights&gt;Al Khail Heights Building 3A</v>
      </c>
      <c r="E13973" s="2"/>
      <c r="F13973" s="2"/>
      <c r="G13973" s="2"/>
      <c r="H13973" s="2"/>
      <c r="I13973" s="2"/>
      <c r="J13973" s="2"/>
      <c r="K13973" s="2"/>
      <c r="L13973" s="2"/>
      <c r="M13973" s="2"/>
      <c r="N13973" s="2"/>
      <c r="O13973" s="2"/>
      <c r="P13973" s="2"/>
      <c r="Q13973" s="2"/>
      <c r="R13973" s="2"/>
      <c r="S13973" s="2"/>
      <c r="T13973" s="2"/>
      <c r="U13973" s="2"/>
      <c r="V13973" s="2"/>
      <c r="W13973" s="2"/>
      <c r="X13973" s="2"/>
      <c r="Y13973" s="2"/>
      <c r="Z13973" s="2"/>
    </row>
    <row r="13974" spans="1:26" ht="16.5" x14ac:dyDescent="0.35">
      <c r="A13974" s="2" t="str">
        <f ca="1">IFERROR(__xludf.DUMMYFUNCTION("""COMPUTED_VALUE"""),"Dubai")</f>
        <v>Dubai</v>
      </c>
      <c r="B13974" s="2" t="str">
        <f ca="1">IFERROR(__xludf.DUMMYFUNCTION("""COMPUTED_VALUE"""),"Silicon Heights")</f>
        <v>Silicon Heights</v>
      </c>
      <c r="C13974" s="2" t="str">
        <f ca="1">IFERROR(__xludf.DUMMYFUNCTION("""COMPUTED_VALUE"""),"Cluster")</f>
        <v>Cluster</v>
      </c>
      <c r="D13974" s="2" t="str">
        <f ca="1">IFERROR(__xludf.DUMMYFUNCTION("""COMPUTED_VALUE"""),"Dubai&gt;Dubai Silicon Oasis (DSO)&gt;Silicon Heights")</f>
        <v>Dubai&gt;Dubai Silicon Oasis (DSO)&gt;Silicon Heights</v>
      </c>
      <c r="E13974" s="2"/>
      <c r="F13974" s="2"/>
      <c r="G13974" s="2"/>
      <c r="H13974" s="2"/>
      <c r="I13974" s="2"/>
      <c r="J13974" s="2"/>
      <c r="K13974" s="2"/>
      <c r="L13974" s="2"/>
      <c r="M13974" s="2"/>
      <c r="N13974" s="2"/>
      <c r="O13974" s="2"/>
      <c r="P13974" s="2"/>
      <c r="Q13974" s="2"/>
      <c r="R13974" s="2"/>
      <c r="S13974" s="2"/>
      <c r="T13974" s="2"/>
      <c r="U13974" s="2"/>
      <c r="V13974" s="2"/>
      <c r="W13974" s="2"/>
      <c r="X13974" s="2"/>
      <c r="Y13974" s="2"/>
      <c r="Z13974" s="2"/>
    </row>
    <row r="13975" spans="1:26" ht="16.5" x14ac:dyDescent="0.35">
      <c r="A13975" s="2" t="str">
        <f ca="1">IFERROR(__xludf.DUMMYFUNCTION("""COMPUTED_VALUE"""),"Dubai")</f>
        <v>Dubai</v>
      </c>
      <c r="B13975" s="2" t="str">
        <f ca="1">IFERROR(__xludf.DUMMYFUNCTION("""COMPUTED_VALUE"""),"Binghatti Point")</f>
        <v>Binghatti Point</v>
      </c>
      <c r="C13975" s="2" t="str">
        <f ca="1">IFERROR(__xludf.DUMMYFUNCTION("""COMPUTED_VALUE"""),"Building")</f>
        <v>Building</v>
      </c>
      <c r="D13975" s="2" t="str">
        <f ca="1">IFERROR(__xludf.DUMMYFUNCTION("""COMPUTED_VALUE"""),"Dubai&gt;Dubai Silicon Oasis (DSO)&gt;Binghatti Point")</f>
        <v>Dubai&gt;Dubai Silicon Oasis (DSO)&gt;Binghatti Point</v>
      </c>
      <c r="E13975" s="2"/>
      <c r="F13975" s="2"/>
      <c r="G13975" s="2"/>
      <c r="H13975" s="2"/>
      <c r="I13975" s="2"/>
      <c r="J13975" s="2"/>
      <c r="K13975" s="2"/>
      <c r="L13975" s="2"/>
      <c r="M13975" s="2"/>
      <c r="N13975" s="2"/>
      <c r="O13975" s="2"/>
      <c r="P13975" s="2"/>
      <c r="Q13975" s="2"/>
      <c r="R13975" s="2"/>
      <c r="S13975" s="2"/>
      <c r="T13975" s="2"/>
      <c r="U13975" s="2"/>
      <c r="V13975" s="2"/>
      <c r="W13975" s="2"/>
      <c r="X13975" s="2"/>
      <c r="Y13975" s="2"/>
      <c r="Z13975" s="2"/>
    </row>
    <row r="13976" spans="1:26" ht="16.5" x14ac:dyDescent="0.35">
      <c r="A13976" s="2" t="str">
        <f ca="1">IFERROR(__xludf.DUMMYFUNCTION("""COMPUTED_VALUE"""),"Dubai")</f>
        <v>Dubai</v>
      </c>
      <c r="B13976" s="2" t="str">
        <f ca="1">IFERROR(__xludf.DUMMYFUNCTION("""COMPUTED_VALUE"""),"Dubai Silicon Oasis Head Quarters Complex")</f>
        <v>Dubai Silicon Oasis Head Quarters Complex</v>
      </c>
      <c r="C13976" s="2" t="str">
        <f ca="1">IFERROR(__xludf.DUMMYFUNCTION("""COMPUTED_VALUE"""),"Building")</f>
        <v>Building</v>
      </c>
      <c r="D13976" s="2" t="str">
        <f ca="1">IFERROR(__xludf.DUMMYFUNCTION("""COMPUTED_VALUE"""),"Dubai&gt;Dubai Silicon Oasis (DSO)&gt;Dubai Silicon Oasis Head Quarters Complex")</f>
        <v>Dubai&gt;Dubai Silicon Oasis (DSO)&gt;Dubai Silicon Oasis Head Quarters Complex</v>
      </c>
      <c r="E13976" s="2"/>
      <c r="F13976" s="2"/>
      <c r="G13976" s="2"/>
      <c r="H13976" s="2"/>
      <c r="I13976" s="2"/>
      <c r="J13976" s="2"/>
      <c r="K13976" s="2"/>
      <c r="L13976" s="2"/>
      <c r="M13976" s="2"/>
      <c r="N13976" s="2"/>
      <c r="O13976" s="2"/>
      <c r="P13976" s="2"/>
      <c r="Q13976" s="2"/>
      <c r="R13976" s="2"/>
      <c r="S13976" s="2"/>
      <c r="T13976" s="2"/>
      <c r="U13976" s="2"/>
      <c r="V13976" s="2"/>
      <c r="W13976" s="2"/>
      <c r="X13976" s="2"/>
      <c r="Y13976" s="2"/>
      <c r="Z13976" s="2"/>
    </row>
    <row r="13977" spans="1:26" ht="16.5" x14ac:dyDescent="0.35">
      <c r="A13977" s="2" t="str">
        <f ca="1">IFERROR(__xludf.DUMMYFUNCTION("""COMPUTED_VALUE"""),"Dubai")</f>
        <v>Dubai</v>
      </c>
      <c r="B13977" s="2" t="str">
        <f ca="1">IFERROR(__xludf.DUMMYFUNCTION("""COMPUTED_VALUE"""),"Mirage Residence")</f>
        <v>Mirage Residence</v>
      </c>
      <c r="C13977" s="2" t="str">
        <f ca="1">IFERROR(__xludf.DUMMYFUNCTION("""COMPUTED_VALUE"""),"Building")</f>
        <v>Building</v>
      </c>
      <c r="D13977" s="2" t="str">
        <f ca="1">IFERROR(__xludf.DUMMYFUNCTION("""COMPUTED_VALUE"""),"Dubai&gt;Dubai Silicon Oasis (DSO)&gt;Mirage Residence")</f>
        <v>Dubai&gt;Dubai Silicon Oasis (DSO)&gt;Mirage Residence</v>
      </c>
      <c r="E13977" s="2"/>
      <c r="F13977" s="2"/>
      <c r="G13977" s="2"/>
      <c r="H13977" s="2"/>
      <c r="I13977" s="2"/>
      <c r="J13977" s="2"/>
      <c r="K13977" s="2"/>
      <c r="L13977" s="2"/>
      <c r="M13977" s="2"/>
      <c r="N13977" s="2"/>
      <c r="O13977" s="2"/>
      <c r="P13977" s="2"/>
      <c r="Q13977" s="2"/>
      <c r="R13977" s="2"/>
      <c r="S13977" s="2"/>
      <c r="T13977" s="2"/>
      <c r="U13977" s="2"/>
      <c r="V13977" s="2"/>
      <c r="W13977" s="2"/>
      <c r="X13977" s="2"/>
      <c r="Y13977" s="2"/>
      <c r="Z13977" s="2"/>
    </row>
    <row r="13978" spans="1:26" ht="16.5" x14ac:dyDescent="0.35">
      <c r="A13978" s="2" t="str">
        <f ca="1">IFERROR(__xludf.DUMMYFUNCTION("""COMPUTED_VALUE"""),"Dubai")</f>
        <v>Dubai</v>
      </c>
      <c r="B13978" s="2" t="str">
        <f ca="1">IFERROR(__xludf.DUMMYFUNCTION("""COMPUTED_VALUE"""),"ASB Tower")</f>
        <v>ASB Tower</v>
      </c>
      <c r="C13978" s="2" t="str">
        <f ca="1">IFERROR(__xludf.DUMMYFUNCTION("""COMPUTED_VALUE"""),"Building")</f>
        <v>Building</v>
      </c>
      <c r="D13978" s="2" t="str">
        <f ca="1">IFERROR(__xludf.DUMMYFUNCTION("""COMPUTED_VALUE"""),"Dubai&gt;Dubai Silicon Oasis (DSO)&gt;ASB Tower")</f>
        <v>Dubai&gt;Dubai Silicon Oasis (DSO)&gt;ASB Tower</v>
      </c>
      <c r="E13978" s="2"/>
      <c r="F13978" s="2"/>
      <c r="G13978" s="2"/>
      <c r="H13978" s="2"/>
      <c r="I13978" s="2"/>
      <c r="J13978" s="2"/>
      <c r="K13978" s="2"/>
      <c r="L13978" s="2"/>
      <c r="M13978" s="2"/>
      <c r="N13978" s="2"/>
      <c r="O13978" s="2"/>
      <c r="P13978" s="2"/>
      <c r="Q13978" s="2"/>
      <c r="R13978" s="2"/>
      <c r="S13978" s="2"/>
      <c r="T13978" s="2"/>
      <c r="U13978" s="2"/>
      <c r="V13978" s="2"/>
      <c r="W13978" s="2"/>
      <c r="X13978" s="2"/>
      <c r="Y13978" s="2"/>
      <c r="Z13978" s="2"/>
    </row>
    <row r="13979" spans="1:26" ht="16.5" x14ac:dyDescent="0.35">
      <c r="A13979" s="2" t="str">
        <f ca="1">IFERROR(__xludf.DUMMYFUNCTION("""COMPUTED_VALUE"""),"Dubai")</f>
        <v>Dubai</v>
      </c>
      <c r="B13979" s="2" t="str">
        <f ca="1">IFERROR(__xludf.DUMMYFUNCTION("""COMPUTED_VALUE"""),"MM Tower 2")</f>
        <v>MM Tower 2</v>
      </c>
      <c r="C13979" s="2" t="str">
        <f ca="1">IFERROR(__xludf.DUMMYFUNCTION("""COMPUTED_VALUE"""),"Building")</f>
        <v>Building</v>
      </c>
      <c r="D13979" s="2" t="str">
        <f ca="1">IFERROR(__xludf.DUMMYFUNCTION("""COMPUTED_VALUE"""),"Dubai&gt;Dubai Silicon Oasis (DSO)&gt;MM Towers&gt;MM Tower 2")</f>
        <v>Dubai&gt;Dubai Silicon Oasis (DSO)&gt;MM Towers&gt;MM Tower 2</v>
      </c>
      <c r="E13979" s="2"/>
      <c r="F13979" s="2"/>
      <c r="G13979" s="2"/>
      <c r="H13979" s="2"/>
      <c r="I13979" s="2"/>
      <c r="J13979" s="2"/>
      <c r="K13979" s="2"/>
      <c r="L13979" s="2"/>
      <c r="M13979" s="2"/>
      <c r="N13979" s="2"/>
      <c r="O13979" s="2"/>
      <c r="P13979" s="2"/>
      <c r="Q13979" s="2"/>
      <c r="R13979" s="2"/>
      <c r="S13979" s="2"/>
      <c r="T13979" s="2"/>
      <c r="U13979" s="2"/>
      <c r="V13979" s="2"/>
      <c r="W13979" s="2"/>
      <c r="X13979" s="2"/>
      <c r="Y13979" s="2"/>
      <c r="Z13979" s="2"/>
    </row>
    <row r="13980" spans="1:26" ht="16.5" x14ac:dyDescent="0.35">
      <c r="A13980" s="2" t="str">
        <f ca="1">IFERROR(__xludf.DUMMYFUNCTION("""COMPUTED_VALUE"""),"Dubai")</f>
        <v>Dubai</v>
      </c>
      <c r="B13980" s="2" t="str">
        <f ca="1">IFERROR(__xludf.DUMMYFUNCTION("""COMPUTED_VALUE"""),"University View Block C")</f>
        <v>University View Block C</v>
      </c>
      <c r="C13980" s="2" t="str">
        <f ca="1">IFERROR(__xludf.DUMMYFUNCTION("""COMPUTED_VALUE"""),"Building")</f>
        <v>Building</v>
      </c>
      <c r="D13980" s="2" t="str">
        <f ca="1">IFERROR(__xludf.DUMMYFUNCTION("""COMPUTED_VALUE"""),"Dubai&gt;Dubai Silicon Oasis (DSO)&gt;University View&gt;University View Block C")</f>
        <v>Dubai&gt;Dubai Silicon Oasis (DSO)&gt;University View&gt;University View Block C</v>
      </c>
      <c r="E13980" s="2"/>
      <c r="F13980" s="2"/>
      <c r="G13980" s="2"/>
      <c r="H13980" s="2"/>
      <c r="I13980" s="2"/>
      <c r="J13980" s="2"/>
      <c r="K13980" s="2"/>
      <c r="L13980" s="2"/>
      <c r="M13980" s="2"/>
      <c r="N13980" s="2"/>
      <c r="O13980" s="2"/>
      <c r="P13980" s="2"/>
      <c r="Q13980" s="2"/>
      <c r="R13980" s="2"/>
      <c r="S13980" s="2"/>
      <c r="T13980" s="2"/>
      <c r="U13980" s="2"/>
      <c r="V13980" s="2"/>
      <c r="W13980" s="2"/>
      <c r="X13980" s="2"/>
      <c r="Y13980" s="2"/>
      <c r="Z13980" s="2"/>
    </row>
    <row r="13981" spans="1:26" ht="16.5" x14ac:dyDescent="0.35">
      <c r="A13981" s="2" t="str">
        <f ca="1">IFERROR(__xludf.DUMMYFUNCTION("""COMPUTED_VALUE"""),"Dubai")</f>
        <v>Dubai</v>
      </c>
      <c r="B13981" s="2" t="str">
        <f ca="1">IFERROR(__xludf.DUMMYFUNCTION("""COMPUTED_VALUE"""),"The Neighbourhood C3")</f>
        <v>The Neighbourhood C3</v>
      </c>
      <c r="C13981" s="2" t="str">
        <f ca="1">IFERROR(__xludf.DUMMYFUNCTION("""COMPUTED_VALUE"""),"Building")</f>
        <v>Building</v>
      </c>
      <c r="D13981" s="2" t="str">
        <f ca="1">IFERROR(__xludf.DUMMYFUNCTION("""COMPUTED_VALUE"""),"Dubai&gt;Al Barari&gt;The Neighbourhood&gt;The Neighbourhood C3")</f>
        <v>Dubai&gt;Al Barari&gt;The Neighbourhood&gt;The Neighbourhood C3</v>
      </c>
      <c r="E13981" s="2"/>
      <c r="F13981" s="2"/>
      <c r="G13981" s="2"/>
      <c r="H13981" s="2"/>
      <c r="I13981" s="2"/>
      <c r="J13981" s="2"/>
      <c r="K13981" s="2"/>
      <c r="L13981" s="2"/>
      <c r="M13981" s="2"/>
      <c r="N13981" s="2"/>
      <c r="O13981" s="2"/>
      <c r="P13981" s="2"/>
      <c r="Q13981" s="2"/>
      <c r="R13981" s="2"/>
      <c r="S13981" s="2"/>
      <c r="T13981" s="2"/>
      <c r="U13981" s="2"/>
      <c r="V13981" s="2"/>
      <c r="W13981" s="2"/>
      <c r="X13981" s="2"/>
      <c r="Y13981" s="2"/>
      <c r="Z13981" s="2"/>
    </row>
    <row r="13982" spans="1:26" ht="16.5" x14ac:dyDescent="0.35">
      <c r="A13982" s="2" t="str">
        <f ca="1">IFERROR(__xludf.DUMMYFUNCTION("""COMPUTED_VALUE"""),"Dubai")</f>
        <v>Dubai</v>
      </c>
      <c r="B13982" s="2" t="str">
        <f ca="1">IFERROR(__xludf.DUMMYFUNCTION("""COMPUTED_VALUE"""),"Mohammed Bin Rashid City")</f>
        <v>Mohammed Bin Rashid City</v>
      </c>
      <c r="C13982" s="2" t="str">
        <f ca="1">IFERROR(__xludf.DUMMYFUNCTION("""COMPUTED_VALUE"""),"Neighbourhood")</f>
        <v>Neighbourhood</v>
      </c>
      <c r="D13982" s="2" t="str">
        <f ca="1">IFERROR(__xludf.DUMMYFUNCTION("""COMPUTED_VALUE"""),"Dubai&gt;Mohammed Bin Rashid City")</f>
        <v>Dubai&gt;Mohammed Bin Rashid City</v>
      </c>
      <c r="E13982" s="2"/>
      <c r="F13982" s="2"/>
      <c r="G13982" s="2"/>
      <c r="H13982" s="2"/>
      <c r="I13982" s="2"/>
      <c r="J13982" s="2"/>
      <c r="K13982" s="2"/>
      <c r="L13982" s="2"/>
      <c r="M13982" s="2"/>
      <c r="N13982" s="2"/>
      <c r="O13982" s="2"/>
      <c r="P13982" s="2"/>
      <c r="Q13982" s="2"/>
      <c r="R13982" s="2"/>
      <c r="S13982" s="2"/>
      <c r="T13982" s="2"/>
      <c r="U13982" s="2"/>
      <c r="V13982" s="2"/>
      <c r="W13982" s="2"/>
      <c r="X13982" s="2"/>
      <c r="Y13982" s="2"/>
      <c r="Z13982" s="2"/>
    </row>
    <row r="13983" spans="1:26" ht="16.5" x14ac:dyDescent="0.35">
      <c r="A13983" s="2" t="str">
        <f ca="1">IFERROR(__xludf.DUMMYFUNCTION("""COMPUTED_VALUE"""),"Dubai")</f>
        <v>Dubai</v>
      </c>
      <c r="B13983" s="2" t="str">
        <f ca="1">IFERROR(__xludf.DUMMYFUNCTION("""COMPUTED_VALUE"""),"The Woodland Residences")</f>
        <v>The Woodland Residences</v>
      </c>
      <c r="C13983" s="2" t="str">
        <f ca="1">IFERROR(__xludf.DUMMYFUNCTION("""COMPUTED_VALUE"""),"Neighbourhood")</f>
        <v>Neighbourhood</v>
      </c>
      <c r="D13983" s="2" t="str">
        <f ca="1">IFERROR(__xludf.DUMMYFUNCTION("""COMPUTED_VALUE"""),"Dubai&gt;Mohammed Bin Rashid City&gt;District 11&gt;The Woodland Residences")</f>
        <v>Dubai&gt;Mohammed Bin Rashid City&gt;District 11&gt;The Woodland Residences</v>
      </c>
      <c r="E13983" s="2"/>
      <c r="F13983" s="2"/>
      <c r="G13983" s="2"/>
      <c r="H13983" s="2"/>
      <c r="I13983" s="2"/>
      <c r="J13983" s="2"/>
      <c r="K13983" s="2"/>
      <c r="L13983" s="2"/>
      <c r="M13983" s="2"/>
      <c r="N13983" s="2"/>
      <c r="O13983" s="2"/>
      <c r="P13983" s="2"/>
      <c r="Q13983" s="2"/>
      <c r="R13983" s="2"/>
      <c r="S13983" s="2"/>
      <c r="T13983" s="2"/>
      <c r="U13983" s="2"/>
      <c r="V13983" s="2"/>
      <c r="W13983" s="2"/>
      <c r="X13983" s="2"/>
      <c r="Y13983" s="2"/>
      <c r="Z13983" s="2"/>
    </row>
    <row r="13984" spans="1:26" ht="16.5" x14ac:dyDescent="0.35">
      <c r="A13984" s="2" t="str">
        <f ca="1">IFERROR(__xludf.DUMMYFUNCTION("""COMPUTED_VALUE"""),"Dubai")</f>
        <v>Dubai</v>
      </c>
      <c r="B13984" s="2" t="str">
        <f ca="1">IFERROR(__xludf.DUMMYFUNCTION("""COMPUTED_VALUE"""),"District One")</f>
        <v>District One</v>
      </c>
      <c r="C13984" s="2" t="str">
        <f ca="1">IFERROR(__xludf.DUMMYFUNCTION("""COMPUTED_VALUE"""),"Neighbourhood")</f>
        <v>Neighbourhood</v>
      </c>
      <c r="D13984" s="2" t="str">
        <f ca="1">IFERROR(__xludf.DUMMYFUNCTION("""COMPUTED_VALUE"""),"Dubai&gt;Mohammed Bin Rashid City&gt;District One")</f>
        <v>Dubai&gt;Mohammed Bin Rashid City&gt;District One</v>
      </c>
      <c r="E13984" s="2"/>
      <c r="F13984" s="2"/>
      <c r="G13984" s="2"/>
      <c r="H13984" s="2"/>
      <c r="I13984" s="2"/>
      <c r="J13984" s="2"/>
      <c r="K13984" s="2"/>
      <c r="L13984" s="2"/>
      <c r="M13984" s="2"/>
      <c r="N13984" s="2"/>
      <c r="O13984" s="2"/>
      <c r="P13984" s="2"/>
      <c r="Q13984" s="2"/>
      <c r="R13984" s="2"/>
      <c r="S13984" s="2"/>
      <c r="T13984" s="2"/>
      <c r="U13984" s="2"/>
      <c r="V13984" s="2"/>
      <c r="W13984" s="2"/>
      <c r="X13984" s="2"/>
      <c r="Y13984" s="2"/>
      <c r="Z13984" s="2"/>
    </row>
    <row r="13985" spans="1:26" ht="16.5" x14ac:dyDescent="0.35">
      <c r="A13985" s="2" t="str">
        <f ca="1">IFERROR(__xludf.DUMMYFUNCTION("""COMPUTED_VALUE"""),"Dubai")</f>
        <v>Dubai</v>
      </c>
      <c r="B13985" s="2" t="str">
        <f ca="1">IFERROR(__xludf.DUMMYFUNCTION("""COMPUTED_VALUE"""),"District One Mansions")</f>
        <v>District One Mansions</v>
      </c>
      <c r="C13985" s="2" t="str">
        <f ca="1">IFERROR(__xludf.DUMMYFUNCTION("""COMPUTED_VALUE"""),"Neighbourhood")</f>
        <v>Neighbourhood</v>
      </c>
      <c r="D13985" s="2" t="str">
        <f ca="1">IFERROR(__xludf.DUMMYFUNCTION("""COMPUTED_VALUE"""),"Dubai&gt;Mohammed Bin Rashid City&gt;District One&gt;District One Mansions")</f>
        <v>Dubai&gt;Mohammed Bin Rashid City&gt;District One&gt;District One Mansions</v>
      </c>
      <c r="E13985" s="2"/>
      <c r="F13985" s="2"/>
      <c r="G13985" s="2"/>
      <c r="H13985" s="2"/>
      <c r="I13985" s="2"/>
      <c r="J13985" s="2"/>
      <c r="K13985" s="2"/>
      <c r="L13985" s="2"/>
      <c r="M13985" s="2"/>
      <c r="N13985" s="2"/>
      <c r="O13985" s="2"/>
      <c r="P13985" s="2"/>
      <c r="Q13985" s="2"/>
      <c r="R13985" s="2"/>
      <c r="S13985" s="2"/>
      <c r="T13985" s="2"/>
      <c r="U13985" s="2"/>
      <c r="V13985" s="2"/>
      <c r="W13985" s="2"/>
      <c r="X13985" s="2"/>
      <c r="Y13985" s="2"/>
      <c r="Z13985" s="2"/>
    </row>
    <row r="13986" spans="1:26" ht="16.5" x14ac:dyDescent="0.35">
      <c r="A13986" s="2" t="str">
        <f ca="1">IFERROR(__xludf.DUMMYFUNCTION("""COMPUTED_VALUE"""),"Dubai")</f>
        <v>Dubai</v>
      </c>
      <c r="B13986" s="2" t="str">
        <f ca="1">IFERROR(__xludf.DUMMYFUNCTION("""COMPUTED_VALUE"""),"Parklane Residence 2")</f>
        <v>Parklane Residence 2</v>
      </c>
      <c r="C13986" s="2" t="str">
        <f ca="1">IFERROR(__xludf.DUMMYFUNCTION("""COMPUTED_VALUE"""),"Building")</f>
        <v>Building</v>
      </c>
      <c r="D13986" s="2" t="str">
        <f ca="1">IFERROR(__xludf.DUMMYFUNCTION("""COMPUTED_VALUE"""),"Dubai&gt;Dubai South&gt;Residential District&gt;The Pulse&gt;The Pulse Villas 2&gt;Parklane Residence")</f>
        <v>Dubai&gt;Dubai South&gt;Residential District&gt;The Pulse&gt;The Pulse Villas 2&gt;Parklane Residence</v>
      </c>
      <c r="E13986" s="2"/>
      <c r="F13986" s="2"/>
      <c r="G13986" s="2"/>
      <c r="H13986" s="2"/>
      <c r="I13986" s="2"/>
      <c r="J13986" s="2"/>
      <c r="K13986" s="2"/>
      <c r="L13986" s="2"/>
      <c r="M13986" s="2"/>
      <c r="N13986" s="2"/>
      <c r="O13986" s="2"/>
      <c r="P13986" s="2"/>
      <c r="Q13986" s="2"/>
      <c r="R13986" s="2"/>
      <c r="S13986" s="2"/>
      <c r="T13986" s="2"/>
      <c r="U13986" s="2"/>
      <c r="V13986" s="2"/>
      <c r="W13986" s="2"/>
      <c r="X13986" s="2"/>
      <c r="Y13986" s="2"/>
      <c r="Z13986" s="2"/>
    </row>
    <row r="13987" spans="1:26" ht="16.5" x14ac:dyDescent="0.35">
      <c r="A13987" s="2" t="str">
        <f ca="1">IFERROR(__xludf.DUMMYFUNCTION("""COMPUTED_VALUE"""),"Dubai")</f>
        <v>Dubai</v>
      </c>
      <c r="B13987" s="2" t="str">
        <f ca="1">IFERROR(__xludf.DUMMYFUNCTION("""COMPUTED_VALUE"""),"South Residence 1")</f>
        <v>South Residence 1</v>
      </c>
      <c r="C13987" s="2" t="str">
        <f ca="1">IFERROR(__xludf.DUMMYFUNCTION("""COMPUTED_VALUE"""),"Building")</f>
        <v>Building</v>
      </c>
      <c r="D13987" s="2" t="str">
        <f ca="1">IFERROR(__xludf.DUMMYFUNCTION("""COMPUTED_VALUE"""),"Dubai&gt;Dubai South&gt;Residential District&gt;South Residence 1")</f>
        <v>Dubai&gt;Dubai South&gt;Residential District&gt;South Residence 1</v>
      </c>
      <c r="E13987" s="2"/>
      <c r="F13987" s="2"/>
      <c r="G13987" s="2"/>
      <c r="H13987" s="2"/>
      <c r="I13987" s="2"/>
      <c r="J13987" s="2"/>
      <c r="K13987" s="2"/>
      <c r="L13987" s="2"/>
      <c r="M13987" s="2"/>
      <c r="N13987" s="2"/>
      <c r="O13987" s="2"/>
      <c r="P13987" s="2"/>
      <c r="Q13987" s="2"/>
      <c r="R13987" s="2"/>
      <c r="S13987" s="2"/>
      <c r="T13987" s="2"/>
      <c r="U13987" s="2"/>
      <c r="V13987" s="2"/>
      <c r="W13987" s="2"/>
      <c r="X13987" s="2"/>
      <c r="Y13987" s="2"/>
      <c r="Z13987" s="2"/>
    </row>
    <row r="13988" spans="1:26" ht="16.5" x14ac:dyDescent="0.35">
      <c r="A13988" s="2" t="str">
        <f ca="1">IFERROR(__xludf.DUMMYFUNCTION("""COMPUTED_VALUE"""),"Dubai")</f>
        <v>Dubai</v>
      </c>
      <c r="B13988" s="2" t="str">
        <f ca="1">IFERROR(__xludf.DUMMYFUNCTION("""COMPUTED_VALUE"""),"The Eighty Three")</f>
        <v>The Eighty Three</v>
      </c>
      <c r="C13988" s="2" t="str">
        <f ca="1">IFERROR(__xludf.DUMMYFUNCTION("""COMPUTED_VALUE"""),"Building")</f>
        <v>Building</v>
      </c>
      <c r="D13988" s="2" t="str">
        <f ca="1">IFERROR(__xludf.DUMMYFUNCTION("""COMPUTED_VALUE"""),"Dubai&gt;Dubai South&gt;Residential District&gt;The Eighty Three")</f>
        <v>Dubai&gt;Dubai South&gt;Residential District&gt;The Eighty Three</v>
      </c>
      <c r="E13988" s="2"/>
      <c r="F13988" s="2"/>
      <c r="G13988" s="2"/>
      <c r="H13988" s="2"/>
      <c r="I13988" s="2"/>
      <c r="J13988" s="2"/>
      <c r="K13988" s="2"/>
      <c r="L13988" s="2"/>
      <c r="M13988" s="2"/>
      <c r="N13988" s="2"/>
      <c r="O13988" s="2"/>
      <c r="P13988" s="2"/>
      <c r="Q13988" s="2"/>
      <c r="R13988" s="2"/>
      <c r="S13988" s="2"/>
      <c r="T13988" s="2"/>
      <c r="U13988" s="2"/>
      <c r="V13988" s="2"/>
      <c r="W13988" s="2"/>
      <c r="X13988" s="2"/>
      <c r="Y13988" s="2"/>
      <c r="Z13988" s="2"/>
    </row>
    <row r="13989" spans="1:26" ht="16.5" x14ac:dyDescent="0.35">
      <c r="A13989" s="2" t="str">
        <f ca="1">IFERROR(__xludf.DUMMYFUNCTION("""COMPUTED_VALUE"""),"Dubai")</f>
        <v>Dubai</v>
      </c>
      <c r="B13989" s="2" t="str">
        <f ca="1">IFERROR(__xludf.DUMMYFUNCTION("""COMPUTED_VALUE"""),"Dubai South Business Park A4")</f>
        <v>Dubai South Business Park A4</v>
      </c>
      <c r="C13989" s="2" t="str">
        <f ca="1">IFERROR(__xludf.DUMMYFUNCTION("""COMPUTED_VALUE"""),"Building")</f>
        <v>Building</v>
      </c>
      <c r="D13989" s="2" t="str">
        <f ca="1">IFERROR(__xludf.DUMMYFUNCTION("""COMPUTED_VALUE"""),"Dubai&gt;Dubai South&gt;Logistics City&gt;The Avenue&gt;Dubai South Business Park A4")</f>
        <v>Dubai&gt;Dubai South&gt;Logistics City&gt;The Avenue&gt;Dubai South Business Park A4</v>
      </c>
      <c r="E13989" s="2"/>
      <c r="F13989" s="2"/>
      <c r="G13989" s="2"/>
      <c r="H13989" s="2"/>
      <c r="I13989" s="2"/>
      <c r="J13989" s="2"/>
      <c r="K13989" s="2"/>
      <c r="L13989" s="2"/>
      <c r="M13989" s="2"/>
      <c r="N13989" s="2"/>
      <c r="O13989" s="2"/>
      <c r="P13989" s="2"/>
      <c r="Q13989" s="2"/>
      <c r="R13989" s="2"/>
      <c r="S13989" s="2"/>
      <c r="T13989" s="2"/>
      <c r="U13989" s="2"/>
      <c r="V13989" s="2"/>
      <c r="W13989" s="2"/>
      <c r="X13989" s="2"/>
      <c r="Y13989" s="2"/>
      <c r="Z13989" s="2"/>
    </row>
    <row r="13990" spans="1:26" ht="16.5" x14ac:dyDescent="0.35">
      <c r="A13990" s="2" t="str">
        <f ca="1">IFERROR(__xludf.DUMMYFUNCTION("""COMPUTED_VALUE"""),"Dubai")</f>
        <v>Dubai</v>
      </c>
      <c r="B13990" s="2" t="str">
        <f ca="1">IFERROR(__xludf.DUMMYFUNCTION("""COMPUTED_VALUE"""),"Azizi Venice 5 Building B")</f>
        <v>Azizi Venice 5 Building B</v>
      </c>
      <c r="C13990" s="2" t="str">
        <f ca="1">IFERROR(__xludf.DUMMYFUNCTION("""COMPUTED_VALUE"""),"Building")</f>
        <v>Building</v>
      </c>
      <c r="D13990" s="2" t="str">
        <f ca="1">IFERROR(__xludf.DUMMYFUNCTION("""COMPUTED_VALUE"""),"Dubai&gt;Dubai South&gt;Azizi Venice&gt;Azizi Venice 5&gt;Azizi Venice 5 Building B")</f>
        <v>Dubai&gt;Dubai South&gt;Azizi Venice&gt;Azizi Venice 5&gt;Azizi Venice 5 Building B</v>
      </c>
      <c r="E13990" s="2"/>
      <c r="F13990" s="2"/>
      <c r="G13990" s="2"/>
      <c r="H13990" s="2"/>
      <c r="I13990" s="2"/>
      <c r="J13990" s="2"/>
      <c r="K13990" s="2"/>
      <c r="L13990" s="2"/>
      <c r="M13990" s="2"/>
      <c r="N13990" s="2"/>
      <c r="O13990" s="2"/>
      <c r="P13990" s="2"/>
      <c r="Q13990" s="2"/>
      <c r="R13990" s="2"/>
      <c r="S13990" s="2"/>
      <c r="T13990" s="2"/>
      <c r="U13990" s="2"/>
      <c r="V13990" s="2"/>
      <c r="W13990" s="2"/>
      <c r="X13990" s="2"/>
      <c r="Y13990" s="2"/>
      <c r="Z13990" s="2"/>
    </row>
    <row r="13991" spans="1:26" ht="16.5" x14ac:dyDescent="0.35">
      <c r="A13991" s="2" t="str">
        <f ca="1">IFERROR(__xludf.DUMMYFUNCTION("""COMPUTED_VALUE"""),"Dubai")</f>
        <v>Dubai</v>
      </c>
      <c r="B13991" s="2" t="str">
        <f ca="1">IFERROR(__xludf.DUMMYFUNCTION("""COMPUTED_VALUE"""),"Monaco Mansions")</f>
        <v>Monaco Mansions</v>
      </c>
      <c r="C13991" s="2" t="str">
        <f ca="1">IFERROR(__xludf.DUMMYFUNCTION("""COMPUTED_VALUE"""),"Neighbourhood")</f>
        <v>Neighbourhood</v>
      </c>
      <c r="D13991" s="2" t="str">
        <f ca="1">IFERROR(__xludf.DUMMYFUNCTION("""COMPUTED_VALUE"""),"Dubai&gt;Dubai South&gt;Azizi Venice&gt;Monaco Mansions")</f>
        <v>Dubai&gt;Dubai South&gt;Azizi Venice&gt;Monaco Mansions</v>
      </c>
      <c r="E13991" s="2"/>
      <c r="F13991" s="2"/>
      <c r="G13991" s="2"/>
      <c r="H13991" s="2"/>
      <c r="I13991" s="2"/>
      <c r="J13991" s="2"/>
      <c r="K13991" s="2"/>
      <c r="L13991" s="2"/>
      <c r="M13991" s="2"/>
      <c r="N13991" s="2"/>
      <c r="O13991" s="2"/>
      <c r="P13991" s="2"/>
      <c r="Q13991" s="2"/>
      <c r="R13991" s="2"/>
      <c r="S13991" s="2"/>
      <c r="T13991" s="2"/>
      <c r="U13991" s="2"/>
      <c r="V13991" s="2"/>
      <c r="W13991" s="2"/>
      <c r="X13991" s="2"/>
      <c r="Y13991" s="2"/>
      <c r="Z13991" s="2"/>
    </row>
    <row r="13992" spans="1:26" ht="16.5" x14ac:dyDescent="0.35">
      <c r="A13992" s="2" t="str">
        <f ca="1">IFERROR(__xludf.DUMMYFUNCTION("""COMPUTED_VALUE"""),"Dubai")</f>
        <v>Dubai</v>
      </c>
      <c r="B13992" s="2" t="str">
        <f ca="1">IFERROR(__xludf.DUMMYFUNCTION("""COMPUTED_VALUE"""),"The Meadows Souq")</f>
        <v>The Meadows Souq</v>
      </c>
      <c r="C13992" s="2" t="str">
        <f ca="1">IFERROR(__xludf.DUMMYFUNCTION("""COMPUTED_VALUE"""),"Building")</f>
        <v>Building</v>
      </c>
      <c r="D13992" s="2" t="str">
        <f ca="1">IFERROR(__xludf.DUMMYFUNCTION("""COMPUTED_VALUE"""),"Dubai&gt;The Meadows&gt;The Meadows Souq")</f>
        <v>Dubai&gt;The Meadows&gt;The Meadows Souq</v>
      </c>
      <c r="E13992" s="2"/>
      <c r="F13992" s="2"/>
      <c r="G13992" s="2"/>
      <c r="H13992" s="2"/>
      <c r="I13992" s="2"/>
      <c r="J13992" s="2"/>
      <c r="K13992" s="2"/>
      <c r="L13992" s="2"/>
      <c r="M13992" s="2"/>
      <c r="N13992" s="2"/>
      <c r="O13992" s="2"/>
      <c r="P13992" s="2"/>
      <c r="Q13992" s="2"/>
      <c r="R13992" s="2"/>
      <c r="S13992" s="2"/>
      <c r="T13992" s="2"/>
      <c r="U13992" s="2"/>
      <c r="V13992" s="2"/>
      <c r="W13992" s="2"/>
      <c r="X13992" s="2"/>
      <c r="Y13992" s="2"/>
      <c r="Z13992" s="2"/>
    </row>
    <row r="13993" spans="1:26" ht="16.5" x14ac:dyDescent="0.35">
      <c r="A13993" s="2" t="str">
        <f ca="1">IFERROR(__xludf.DUMMYFUNCTION("""COMPUTED_VALUE"""),"Dubai")</f>
        <v>Dubai</v>
      </c>
      <c r="B13993" s="2" t="str">
        <f ca="1">IFERROR(__xludf.DUMMYFUNCTION("""COMPUTED_VALUE"""),"Sultan Business Center")</f>
        <v>Sultan Business Center</v>
      </c>
      <c r="C13993" s="2" t="str">
        <f ca="1">IFERROR(__xludf.DUMMYFUNCTION("""COMPUTED_VALUE"""),"Building")</f>
        <v>Building</v>
      </c>
      <c r="D13993" s="2" t="str">
        <f ca="1">IFERROR(__xludf.DUMMYFUNCTION("""COMPUTED_VALUE"""),"Dubai&gt;Bur Dubai&gt;Oud Metha&gt;Sultan Business Center")</f>
        <v>Dubai&gt;Bur Dubai&gt;Oud Metha&gt;Sultan Business Center</v>
      </c>
      <c r="E13993" s="2"/>
      <c r="F13993" s="2"/>
      <c r="G13993" s="2"/>
      <c r="H13993" s="2"/>
      <c r="I13993" s="2"/>
      <c r="J13993" s="2"/>
      <c r="K13993" s="2"/>
      <c r="L13993" s="2"/>
      <c r="M13993" s="2"/>
      <c r="N13993" s="2"/>
      <c r="O13993" s="2"/>
      <c r="P13993" s="2"/>
      <c r="Q13993" s="2"/>
      <c r="R13993" s="2"/>
      <c r="S13993" s="2"/>
      <c r="T13993" s="2"/>
      <c r="U13993" s="2"/>
      <c r="V13993" s="2"/>
      <c r="W13993" s="2"/>
      <c r="X13993" s="2"/>
      <c r="Y13993" s="2"/>
      <c r="Z13993" s="2"/>
    </row>
    <row r="13994" spans="1:26" ht="16.5" x14ac:dyDescent="0.35">
      <c r="A13994" s="2" t="str">
        <f ca="1">IFERROR(__xludf.DUMMYFUNCTION("""COMPUTED_VALUE"""),"Dubai")</f>
        <v>Dubai</v>
      </c>
      <c r="B13994" s="2" t="str">
        <f ca="1">IFERROR(__xludf.DUMMYFUNCTION("""COMPUTED_VALUE"""),"Lahej Building")</f>
        <v>Lahej Building</v>
      </c>
      <c r="C13994" s="2" t="str">
        <f ca="1">IFERROR(__xludf.DUMMYFUNCTION("""COMPUTED_VALUE"""),"Building")</f>
        <v>Building</v>
      </c>
      <c r="D13994" s="2" t="str">
        <f ca="1">IFERROR(__xludf.DUMMYFUNCTION("""COMPUTED_VALUE"""),"Dubai&gt;Bur Dubai&gt;Oud Metha&gt;Lahej Building")</f>
        <v>Dubai&gt;Bur Dubai&gt;Oud Metha&gt;Lahej Building</v>
      </c>
      <c r="E13994" s="2"/>
      <c r="F13994" s="2"/>
      <c r="G13994" s="2"/>
      <c r="H13994" s="2"/>
      <c r="I13994" s="2"/>
      <c r="J13994" s="2"/>
      <c r="K13994" s="2"/>
      <c r="L13994" s="2"/>
      <c r="M13994" s="2"/>
      <c r="N13994" s="2"/>
      <c r="O13994" s="2"/>
      <c r="P13994" s="2"/>
      <c r="Q13994" s="2"/>
      <c r="R13994" s="2"/>
      <c r="S13994" s="2"/>
      <c r="T13994" s="2"/>
      <c r="U13994" s="2"/>
      <c r="V13994" s="2"/>
      <c r="W13994" s="2"/>
      <c r="X13994" s="2"/>
      <c r="Y13994" s="2"/>
      <c r="Z13994" s="2"/>
    </row>
    <row r="13995" spans="1:26" ht="16.5" x14ac:dyDescent="0.35">
      <c r="A13995" s="2" t="str">
        <f ca="1">IFERROR(__xludf.DUMMYFUNCTION("""COMPUTED_VALUE"""),"Dubai")</f>
        <v>Dubai</v>
      </c>
      <c r="B13995" s="2" t="str">
        <f ca="1">IFERROR(__xludf.DUMMYFUNCTION("""COMPUTED_VALUE"""),"Al Karbash Building")</f>
        <v>Al Karbash Building</v>
      </c>
      <c r="C13995" s="2" t="str">
        <f ca="1">IFERROR(__xludf.DUMMYFUNCTION("""COMPUTED_VALUE"""),"Building")</f>
        <v>Building</v>
      </c>
      <c r="D13995" s="2" t="str">
        <f ca="1">IFERROR(__xludf.DUMMYFUNCTION("""COMPUTED_VALUE"""),"Dubai&gt;Bur Dubai&gt;Al Raffa&gt;Al Karbash Building")</f>
        <v>Dubai&gt;Bur Dubai&gt;Al Raffa&gt;Al Karbash Building</v>
      </c>
      <c r="E13995" s="2"/>
      <c r="F13995" s="2"/>
      <c r="G13995" s="2"/>
      <c r="H13995" s="2"/>
      <c r="I13995" s="2"/>
      <c r="J13995" s="2"/>
      <c r="K13995" s="2"/>
      <c r="L13995" s="2"/>
      <c r="M13995" s="2"/>
      <c r="N13995" s="2"/>
      <c r="O13995" s="2"/>
      <c r="P13995" s="2"/>
      <c r="Q13995" s="2"/>
      <c r="R13995" s="2"/>
      <c r="S13995" s="2"/>
      <c r="T13995" s="2"/>
      <c r="U13995" s="2"/>
      <c r="V13995" s="2"/>
      <c r="W13995" s="2"/>
      <c r="X13995" s="2"/>
      <c r="Y13995" s="2"/>
      <c r="Z13995" s="2"/>
    </row>
    <row r="13996" spans="1:26" ht="16.5" x14ac:dyDescent="0.35">
      <c r="A13996" s="2" t="str">
        <f ca="1">IFERROR(__xludf.DUMMYFUNCTION("""COMPUTED_VALUE"""),"Dubai")</f>
        <v>Dubai</v>
      </c>
      <c r="B13996" s="2" t="str">
        <f ca="1">IFERROR(__xludf.DUMMYFUNCTION("""COMPUTED_VALUE"""),"Nashwan Building")</f>
        <v>Nashwan Building</v>
      </c>
      <c r="C13996" s="2" t="str">
        <f ca="1">IFERROR(__xludf.DUMMYFUNCTION("""COMPUTED_VALUE"""),"Building")</f>
        <v>Building</v>
      </c>
      <c r="D13996" s="2" t="str">
        <f ca="1">IFERROR(__xludf.DUMMYFUNCTION("""COMPUTED_VALUE"""),"Dubai&gt;Bur Dubai&gt;Al Raffa&gt;Nashwan Building")</f>
        <v>Dubai&gt;Bur Dubai&gt;Al Raffa&gt;Nashwan Building</v>
      </c>
      <c r="E13996" s="2"/>
      <c r="F13996" s="2"/>
      <c r="G13996" s="2"/>
      <c r="H13996" s="2"/>
      <c r="I13996" s="2"/>
      <c r="J13996" s="2"/>
      <c r="K13996" s="2"/>
      <c r="L13996" s="2"/>
      <c r="M13996" s="2"/>
      <c r="N13996" s="2"/>
      <c r="O13996" s="2"/>
      <c r="P13996" s="2"/>
      <c r="Q13996" s="2"/>
      <c r="R13996" s="2"/>
      <c r="S13996" s="2"/>
      <c r="T13996" s="2"/>
      <c r="U13996" s="2"/>
      <c r="V13996" s="2"/>
      <c r="W13996" s="2"/>
      <c r="X13996" s="2"/>
      <c r="Y13996" s="2"/>
      <c r="Z13996" s="2"/>
    </row>
    <row r="13997" spans="1:26" ht="16.5" x14ac:dyDescent="0.35">
      <c r="A13997" s="2" t="str">
        <f ca="1">IFERROR(__xludf.DUMMYFUNCTION("""COMPUTED_VALUE"""),"Dubai")</f>
        <v>Dubai</v>
      </c>
      <c r="B13997" s="2" t="str">
        <f ca="1">IFERROR(__xludf.DUMMYFUNCTION("""COMPUTED_VALUE"""),"Al Baha Building")</f>
        <v>Al Baha Building</v>
      </c>
      <c r="C13997" s="2" t="str">
        <f ca="1">IFERROR(__xludf.DUMMYFUNCTION("""COMPUTED_VALUE"""),"Building")</f>
        <v>Building</v>
      </c>
      <c r="D13997" s="2" t="str">
        <f ca="1">IFERROR(__xludf.DUMMYFUNCTION("""COMPUTED_VALUE"""),"Dubai&gt;Bur Dubai&gt;Al Mankhool&gt;Al Baha Building")</f>
        <v>Dubai&gt;Bur Dubai&gt;Al Mankhool&gt;Al Baha Building</v>
      </c>
      <c r="E13997" s="2"/>
      <c r="F13997" s="2"/>
      <c r="G13997" s="2"/>
      <c r="H13997" s="2"/>
      <c r="I13997" s="2"/>
      <c r="J13997" s="2"/>
      <c r="K13997" s="2"/>
      <c r="L13997" s="2"/>
      <c r="M13997" s="2"/>
      <c r="N13997" s="2"/>
      <c r="O13997" s="2"/>
      <c r="P13997" s="2"/>
      <c r="Q13997" s="2"/>
      <c r="R13997" s="2"/>
      <c r="S13997" s="2"/>
      <c r="T13997" s="2"/>
      <c r="U13997" s="2"/>
      <c r="V13997" s="2"/>
      <c r="W13997" s="2"/>
      <c r="X13997" s="2"/>
      <c r="Y13997" s="2"/>
      <c r="Z13997" s="2"/>
    </row>
    <row r="13998" spans="1:26" ht="16.5" x14ac:dyDescent="0.35">
      <c r="A13998" s="2" t="str">
        <f ca="1">IFERROR(__xludf.DUMMYFUNCTION("""COMPUTED_VALUE"""),"Dubai")</f>
        <v>Dubai</v>
      </c>
      <c r="B13998" s="2" t="str">
        <f ca="1">IFERROR(__xludf.DUMMYFUNCTION("""COMPUTED_VALUE"""),"Liwa Building")</f>
        <v>Liwa Building</v>
      </c>
      <c r="C13998" s="2" t="str">
        <f ca="1">IFERROR(__xludf.DUMMYFUNCTION("""COMPUTED_VALUE"""),"Building")</f>
        <v>Building</v>
      </c>
      <c r="D13998" s="2" t="str">
        <f ca="1">IFERROR(__xludf.DUMMYFUNCTION("""COMPUTED_VALUE"""),"Dubai&gt;Bur Dubai&gt;Al Mankhool&gt;Liwa Building")</f>
        <v>Dubai&gt;Bur Dubai&gt;Al Mankhool&gt;Liwa Building</v>
      </c>
      <c r="E13998" s="2"/>
      <c r="F13998" s="2"/>
      <c r="G13998" s="2"/>
      <c r="H13998" s="2"/>
      <c r="I13998" s="2"/>
      <c r="J13998" s="2"/>
      <c r="K13998" s="2"/>
      <c r="L13998" s="2"/>
      <c r="M13998" s="2"/>
      <c r="N13998" s="2"/>
      <c r="O13998" s="2"/>
      <c r="P13998" s="2"/>
      <c r="Q13998" s="2"/>
      <c r="R13998" s="2"/>
      <c r="S13998" s="2"/>
      <c r="T13998" s="2"/>
      <c r="U13998" s="2"/>
      <c r="V13998" s="2"/>
      <c r="W13998" s="2"/>
      <c r="X13998" s="2"/>
      <c r="Y13998" s="2"/>
      <c r="Z13998" s="2"/>
    </row>
    <row r="13999" spans="1:26" ht="16.5" x14ac:dyDescent="0.35">
      <c r="A13999" s="2" t="str">
        <f ca="1">IFERROR(__xludf.DUMMYFUNCTION("""COMPUTED_VALUE"""),"Dubai")</f>
        <v>Dubai</v>
      </c>
      <c r="B13999" s="2" t="str">
        <f ca="1">IFERROR(__xludf.DUMMYFUNCTION("""COMPUTED_VALUE"""),"Emerald 1")</f>
        <v>Emerald 1</v>
      </c>
      <c r="C13999" s="2" t="str">
        <f ca="1">IFERROR(__xludf.DUMMYFUNCTION("""COMPUTED_VALUE"""),"Building")</f>
        <v>Building</v>
      </c>
      <c r="D13999" s="2" t="str">
        <f ca="1">IFERROR(__xludf.DUMMYFUNCTION("""COMPUTED_VALUE"""),"Dubai&gt;Bur Dubai&gt;Al Mankhool&gt;Emerald 1")</f>
        <v>Dubai&gt;Bur Dubai&gt;Al Mankhool&gt;Emerald 1</v>
      </c>
      <c r="E13999" s="2"/>
      <c r="F13999" s="2"/>
      <c r="G13999" s="2"/>
      <c r="H13999" s="2"/>
      <c r="I13999" s="2"/>
      <c r="J13999" s="2"/>
      <c r="K13999" s="2"/>
      <c r="L13999" s="2"/>
      <c r="M13999" s="2"/>
      <c r="N13999" s="2"/>
      <c r="O13999" s="2"/>
      <c r="P13999" s="2"/>
      <c r="Q13999" s="2"/>
      <c r="R13999" s="2"/>
      <c r="S13999" s="2"/>
      <c r="T13999" s="2"/>
      <c r="U13999" s="2"/>
      <c r="V13999" s="2"/>
      <c r="W13999" s="2"/>
      <c r="X13999" s="2"/>
      <c r="Y13999" s="2"/>
      <c r="Z13999" s="2"/>
    </row>
    <row r="14000" spans="1:26" ht="16.5" x14ac:dyDescent="0.35">
      <c r="A14000" s="2" t="str">
        <f ca="1">IFERROR(__xludf.DUMMYFUNCTION("""COMPUTED_VALUE"""),"Dubai")</f>
        <v>Dubai</v>
      </c>
      <c r="B14000" s="2" t="str">
        <f ca="1">IFERROR(__xludf.DUMMYFUNCTION("""COMPUTED_VALUE"""),"St. Mary Catholic High School Dubai")</f>
        <v>St. Mary Catholic High School Dubai</v>
      </c>
      <c r="C14000" s="2" t="str">
        <f ca="1">IFERROR(__xludf.DUMMYFUNCTION("""COMPUTED_VALUE"""),"School")</f>
        <v>School</v>
      </c>
      <c r="D14000" s="2" t="str">
        <f ca="1">IFERROR(__xludf.DUMMYFUNCTION("""COMPUTED_VALUE"""),"Dubai&gt;Bur Dubai&gt;Umm Hurair&gt;Umm Hurair 2&gt;St. Mary Catholic High School Dubai")</f>
        <v>Dubai&gt;Bur Dubai&gt;Umm Hurair&gt;Umm Hurair 2&gt;St. Mary Catholic High School Dubai</v>
      </c>
      <c r="E14000" s="2"/>
      <c r="F14000" s="2"/>
      <c r="G14000" s="2"/>
      <c r="H14000" s="2"/>
      <c r="I14000" s="2"/>
      <c r="J14000" s="2"/>
      <c r="K14000" s="2"/>
      <c r="L14000" s="2"/>
      <c r="M14000" s="2"/>
      <c r="N14000" s="2"/>
      <c r="O14000" s="2"/>
      <c r="P14000" s="2"/>
      <c r="Q14000" s="2"/>
      <c r="R14000" s="2"/>
      <c r="S14000" s="2"/>
      <c r="T14000" s="2"/>
      <c r="U14000" s="2"/>
      <c r="V14000" s="2"/>
      <c r="W14000" s="2"/>
      <c r="X14000" s="2"/>
      <c r="Y14000" s="2"/>
      <c r="Z14000" s="2"/>
    </row>
    <row r="14001" spans="1:26" ht="16.5" x14ac:dyDescent="0.35">
      <c r="A14001" s="2" t="str">
        <f ca="1">IFERROR(__xludf.DUMMYFUNCTION("""COMPUTED_VALUE"""),"Dubai")</f>
        <v>Dubai</v>
      </c>
      <c r="B14001" s="2" t="str">
        <f ca="1">IFERROR(__xludf.DUMMYFUNCTION("""COMPUTED_VALUE"""),"Bait Al Waleed")</f>
        <v>Bait Al Waleed</v>
      </c>
      <c r="C14001" s="2" t="str">
        <f ca="1">IFERROR(__xludf.DUMMYFUNCTION("""COMPUTED_VALUE"""),"Building")</f>
        <v>Building</v>
      </c>
      <c r="D14001" s="2" t="str">
        <f ca="1">IFERROR(__xludf.DUMMYFUNCTION("""COMPUTED_VALUE"""),"Dubai&gt;Bur Dubai&gt;Al Souk Al Kabeer (Al Fahidi)&gt;Bait Al Waleed")</f>
        <v>Dubai&gt;Bur Dubai&gt;Al Souk Al Kabeer (Al Fahidi)&gt;Bait Al Waleed</v>
      </c>
      <c r="E14001" s="2"/>
      <c r="F14001" s="2"/>
      <c r="G14001" s="2"/>
      <c r="H14001" s="2"/>
      <c r="I14001" s="2"/>
      <c r="J14001" s="2"/>
      <c r="K14001" s="2"/>
      <c r="L14001" s="2"/>
      <c r="M14001" s="2"/>
      <c r="N14001" s="2"/>
      <c r="O14001" s="2"/>
      <c r="P14001" s="2"/>
      <c r="Q14001" s="2"/>
      <c r="R14001" s="2"/>
      <c r="S14001" s="2"/>
      <c r="T14001" s="2"/>
      <c r="U14001" s="2"/>
      <c r="V14001" s="2"/>
      <c r="W14001" s="2"/>
      <c r="X14001" s="2"/>
      <c r="Y14001" s="2"/>
      <c r="Z14001" s="2"/>
    </row>
    <row r="14002" spans="1:26" ht="16.5" x14ac:dyDescent="0.35">
      <c r="A14002" s="2" t="str">
        <f ca="1">IFERROR(__xludf.DUMMYFUNCTION("""COMPUTED_VALUE"""),"Dubai")</f>
        <v>Dubai</v>
      </c>
      <c r="B14002" s="2" t="str">
        <f ca="1">IFERROR(__xludf.DUMMYFUNCTION("""COMPUTED_VALUE"""),"Canon Building")</f>
        <v>Canon Building</v>
      </c>
      <c r="C14002" s="2" t="str">
        <f ca="1">IFERROR(__xludf.DUMMYFUNCTION("""COMPUTED_VALUE"""),"Building")</f>
        <v>Building</v>
      </c>
      <c r="D14002" s="2" t="str">
        <f ca="1">IFERROR(__xludf.DUMMYFUNCTION("""COMPUTED_VALUE"""),"Dubai&gt;Bur Dubai&gt;Al Hamriya&gt;Canon Building")</f>
        <v>Dubai&gt;Bur Dubai&gt;Al Hamriya&gt;Canon Building</v>
      </c>
      <c r="E14002" s="2"/>
      <c r="F14002" s="2"/>
      <c r="G14002" s="2"/>
      <c r="H14002" s="2"/>
      <c r="I14002" s="2"/>
      <c r="J14002" s="2"/>
      <c r="K14002" s="2"/>
      <c r="L14002" s="2"/>
      <c r="M14002" s="2"/>
      <c r="N14002" s="2"/>
      <c r="O14002" s="2"/>
      <c r="P14002" s="2"/>
      <c r="Q14002" s="2"/>
      <c r="R14002" s="2"/>
      <c r="S14002" s="2"/>
      <c r="T14002" s="2"/>
      <c r="U14002" s="2"/>
      <c r="V14002" s="2"/>
      <c r="W14002" s="2"/>
      <c r="X14002" s="2"/>
      <c r="Y14002" s="2"/>
      <c r="Z14002" s="2"/>
    </row>
    <row r="14003" spans="1:26" ht="16.5" x14ac:dyDescent="0.35">
      <c r="A14003" s="2" t="str">
        <f ca="1">IFERROR(__xludf.DUMMYFUNCTION("""COMPUTED_VALUE"""),"Dubai")</f>
        <v>Dubai</v>
      </c>
      <c r="B14003" s="2" t="str">
        <f ca="1">IFERROR(__xludf.DUMMYFUNCTION("""COMPUTED_VALUE"""),"Building 52")</f>
        <v>Building 52</v>
      </c>
      <c r="C14003" s="2" t="str">
        <f ca="1">IFERROR(__xludf.DUMMYFUNCTION("""COMPUTED_VALUE"""),"Building")</f>
        <v>Building</v>
      </c>
      <c r="D14003" s="2" t="str">
        <f ca="1">IFERROR(__xludf.DUMMYFUNCTION("""COMPUTED_VALUE"""),"Dubai&gt;Bur Dubai&gt;Dubai Healthcare City&gt;Building 52")</f>
        <v>Dubai&gt;Bur Dubai&gt;Dubai Healthcare City&gt;Building 52</v>
      </c>
      <c r="E14003" s="2"/>
      <c r="F14003" s="2"/>
      <c r="G14003" s="2"/>
      <c r="H14003" s="2"/>
      <c r="I14003" s="2"/>
      <c r="J14003" s="2"/>
      <c r="K14003" s="2"/>
      <c r="L14003" s="2"/>
      <c r="M14003" s="2"/>
      <c r="N14003" s="2"/>
      <c r="O14003" s="2"/>
      <c r="P14003" s="2"/>
      <c r="Q14003" s="2"/>
      <c r="R14003" s="2"/>
      <c r="S14003" s="2"/>
      <c r="T14003" s="2"/>
      <c r="U14003" s="2"/>
      <c r="V14003" s="2"/>
      <c r="W14003" s="2"/>
      <c r="X14003" s="2"/>
      <c r="Y14003" s="2"/>
      <c r="Z14003" s="2"/>
    </row>
    <row r="14004" spans="1:26" ht="16.5" x14ac:dyDescent="0.35">
      <c r="A14004" s="2" t="str">
        <f ca="1">IFERROR(__xludf.DUMMYFUNCTION("""COMPUTED_VALUE"""),"Dubai")</f>
        <v>Dubai</v>
      </c>
      <c r="B14004" s="2" t="str">
        <f ca="1">IFERROR(__xludf.DUMMYFUNCTION("""COMPUTED_VALUE"""),"Al Andalus")</f>
        <v>Al Andalus</v>
      </c>
      <c r="C14004" s="2" t="str">
        <f ca="1">IFERROR(__xludf.DUMMYFUNCTION("""COMPUTED_VALUE"""),"Cluster")</f>
        <v>Cluster</v>
      </c>
      <c r="D14004" s="2" t="str">
        <f ca="1">IFERROR(__xludf.DUMMYFUNCTION("""COMPUTED_VALUE"""),"Dubai&gt;Jumeirah Golf Estates&gt;Al Andalus")</f>
        <v>Dubai&gt;Jumeirah Golf Estates&gt;Al Andalus</v>
      </c>
      <c r="E14004" s="2"/>
      <c r="F14004" s="2"/>
      <c r="G14004" s="2"/>
      <c r="H14004" s="2"/>
      <c r="I14004" s="2"/>
      <c r="J14004" s="2"/>
      <c r="K14004" s="2"/>
      <c r="L14004" s="2"/>
      <c r="M14004" s="2"/>
      <c r="N14004" s="2"/>
      <c r="O14004" s="2"/>
      <c r="P14004" s="2"/>
      <c r="Q14004" s="2"/>
      <c r="R14004" s="2"/>
      <c r="S14004" s="2"/>
      <c r="T14004" s="2"/>
      <c r="U14004" s="2"/>
      <c r="V14004" s="2"/>
      <c r="W14004" s="2"/>
      <c r="X14004" s="2"/>
      <c r="Y14004" s="2"/>
      <c r="Z14004" s="2"/>
    </row>
    <row r="14005" spans="1:26" ht="16.5" x14ac:dyDescent="0.35">
      <c r="A14005" s="2" t="str">
        <f ca="1">IFERROR(__xludf.DUMMYFUNCTION("""COMPUTED_VALUE"""),"Dubai")</f>
        <v>Dubai</v>
      </c>
      <c r="B14005" s="2" t="str">
        <f ca="1">IFERROR(__xludf.DUMMYFUNCTION("""COMPUTED_VALUE"""),"Dubai Harbour")</f>
        <v>Dubai Harbour</v>
      </c>
      <c r="C14005" s="2" t="str">
        <f ca="1">IFERROR(__xludf.DUMMYFUNCTION("""COMPUTED_VALUE"""),"Neighbourhood")</f>
        <v>Neighbourhood</v>
      </c>
      <c r="D14005" s="2" t="str">
        <f ca="1">IFERROR(__xludf.DUMMYFUNCTION("""COMPUTED_VALUE"""),"Dubai&gt;Dubai Harbour")</f>
        <v>Dubai&gt;Dubai Harbour</v>
      </c>
      <c r="E14005" s="2"/>
      <c r="F14005" s="2"/>
      <c r="G14005" s="2"/>
      <c r="H14005" s="2"/>
      <c r="I14005" s="2"/>
      <c r="J14005" s="2"/>
      <c r="K14005" s="2"/>
      <c r="L14005" s="2"/>
      <c r="M14005" s="2"/>
      <c r="N14005" s="2"/>
      <c r="O14005" s="2"/>
      <c r="P14005" s="2"/>
      <c r="Q14005" s="2"/>
      <c r="R14005" s="2"/>
      <c r="S14005" s="2"/>
      <c r="T14005" s="2"/>
      <c r="U14005" s="2"/>
      <c r="V14005" s="2"/>
      <c r="W14005" s="2"/>
      <c r="X14005" s="2"/>
      <c r="Y14005" s="2"/>
      <c r="Z14005" s="2"/>
    </row>
    <row r="14006" spans="1:26" ht="16.5" x14ac:dyDescent="0.35">
      <c r="A14006" s="2" t="str">
        <f ca="1">IFERROR(__xludf.DUMMYFUNCTION("""COMPUTED_VALUE"""),"Dubai")</f>
        <v>Dubai</v>
      </c>
      <c r="B14006" s="2" t="str">
        <f ca="1">IFERROR(__xludf.DUMMYFUNCTION("""COMPUTED_VALUE"""),"Bayview by Address Resort")</f>
        <v>Bayview by Address Resort</v>
      </c>
      <c r="C14006" s="2" t="str">
        <f ca="1">IFERROR(__xludf.DUMMYFUNCTION("""COMPUTED_VALUE"""),"Cluster")</f>
        <v>Cluster</v>
      </c>
      <c r="D14006" s="2" t="str">
        <f ca="1">IFERROR(__xludf.DUMMYFUNCTION("""COMPUTED_VALUE"""),"Dubai&gt;Dubai Harbour&gt;Emaar Beachfront&gt;Bayview by Address Resort")</f>
        <v>Dubai&gt;Dubai Harbour&gt;Emaar Beachfront&gt;Bayview by Address Resort</v>
      </c>
      <c r="E14006" s="2"/>
      <c r="F14006" s="2"/>
      <c r="G14006" s="2"/>
      <c r="H14006" s="2"/>
      <c r="I14006" s="2"/>
      <c r="J14006" s="2"/>
      <c r="K14006" s="2"/>
      <c r="L14006" s="2"/>
      <c r="M14006" s="2"/>
      <c r="N14006" s="2"/>
      <c r="O14006" s="2"/>
      <c r="P14006" s="2"/>
      <c r="Q14006" s="2"/>
      <c r="R14006" s="2"/>
      <c r="S14006" s="2"/>
      <c r="T14006" s="2"/>
      <c r="U14006" s="2"/>
      <c r="V14006" s="2"/>
      <c r="W14006" s="2"/>
      <c r="X14006" s="2"/>
      <c r="Y14006" s="2"/>
      <c r="Z14006" s="2"/>
    </row>
    <row r="14007" spans="1:26" ht="16.5" x14ac:dyDescent="0.35">
      <c r="A14007" s="2" t="str">
        <f ca="1">IFERROR(__xludf.DUMMYFUNCTION("""COMPUTED_VALUE"""),"Dubai")</f>
        <v>Dubai</v>
      </c>
      <c r="B14007" s="2" t="str">
        <f ca="1">IFERROR(__xludf.DUMMYFUNCTION("""COMPUTED_VALUE"""),"Paloverde")</f>
        <v>Paloverde</v>
      </c>
      <c r="C14007" s="2" t="str">
        <f ca="1">IFERROR(__xludf.DUMMYFUNCTION("""COMPUTED_VALUE"""),"Neighbourhood")</f>
        <v>Neighbourhood</v>
      </c>
      <c r="D14007" s="2" t="str">
        <f ca="1">IFERROR(__xludf.DUMMYFUNCTION("""COMPUTED_VALUE"""),"Dubai&gt;DAMAC Hills 2 (Akoya by DAMAC)&gt;Paloverde")</f>
        <v>Dubai&gt;DAMAC Hills 2 (Akoya by DAMAC)&gt;Paloverde</v>
      </c>
      <c r="E14007" s="2"/>
      <c r="F14007" s="2"/>
      <c r="G14007" s="2"/>
      <c r="H14007" s="2"/>
      <c r="I14007" s="2"/>
      <c r="J14007" s="2"/>
      <c r="K14007" s="2"/>
      <c r="L14007" s="2"/>
      <c r="M14007" s="2"/>
      <c r="N14007" s="2"/>
      <c r="O14007" s="2"/>
      <c r="P14007" s="2"/>
      <c r="Q14007" s="2"/>
      <c r="R14007" s="2"/>
      <c r="S14007" s="2"/>
      <c r="T14007" s="2"/>
      <c r="U14007" s="2"/>
      <c r="V14007" s="2"/>
      <c r="W14007" s="2"/>
      <c r="X14007" s="2"/>
      <c r="Y14007" s="2"/>
      <c r="Z14007" s="2"/>
    </row>
    <row r="14008" spans="1:26" ht="16.5" x14ac:dyDescent="0.35">
      <c r="A14008" s="2" t="str">
        <f ca="1">IFERROR(__xludf.DUMMYFUNCTION("""COMPUTED_VALUE"""),"Dubai")</f>
        <v>Dubai</v>
      </c>
      <c r="B14008" s="2" t="str">
        <f ca="1">IFERROR(__xludf.DUMMYFUNCTION("""COMPUTED_VALUE"""),"Violet 4")</f>
        <v>Violet 4</v>
      </c>
      <c r="C14008" s="2" t="str">
        <f ca="1">IFERROR(__xludf.DUMMYFUNCTION("""COMPUTED_VALUE"""),"Neighbourhood")</f>
        <v>Neighbourhood</v>
      </c>
      <c r="D14008" s="2" t="str">
        <f ca="1">IFERROR(__xludf.DUMMYFUNCTION("""COMPUTED_VALUE"""),"Dubai&gt;DAMAC Hills 2 (Akoya by DAMAC)&gt;Violet 4")</f>
        <v>Dubai&gt;DAMAC Hills 2 (Akoya by DAMAC)&gt;Violet 4</v>
      </c>
      <c r="E14008" s="2"/>
      <c r="F14008" s="2"/>
      <c r="G14008" s="2"/>
      <c r="H14008" s="2"/>
      <c r="I14008" s="2"/>
      <c r="J14008" s="2"/>
      <c r="K14008" s="2"/>
      <c r="L14008" s="2"/>
      <c r="M14008" s="2"/>
      <c r="N14008" s="2"/>
      <c r="O14008" s="2"/>
      <c r="P14008" s="2"/>
      <c r="Q14008" s="2"/>
      <c r="R14008" s="2"/>
      <c r="S14008" s="2"/>
      <c r="T14008" s="2"/>
      <c r="U14008" s="2"/>
      <c r="V14008" s="2"/>
      <c r="W14008" s="2"/>
      <c r="X14008" s="2"/>
      <c r="Y14008" s="2"/>
      <c r="Z14008" s="2"/>
    </row>
    <row r="14009" spans="1:26" ht="16.5" x14ac:dyDescent="0.35">
      <c r="A14009" s="2" t="str">
        <f ca="1">IFERROR(__xludf.DUMMYFUNCTION("""COMPUTED_VALUE"""),"Dubai")</f>
        <v>Dubai</v>
      </c>
      <c r="B14009" s="2" t="str">
        <f ca="1">IFERROR(__xludf.DUMMYFUNCTION("""COMPUTED_VALUE"""),"I-16")</f>
        <v>I-16</v>
      </c>
      <c r="C14009" s="2" t="str">
        <f ca="1">IFERROR(__xludf.DUMMYFUNCTION("""COMPUTED_VALUE"""),"Building")</f>
        <v>Building</v>
      </c>
      <c r="D14009" s="2" t="str">
        <f ca="1">IFERROR(__xludf.DUMMYFUNCTION("""COMPUTED_VALUE"""),"Dubai&gt;International City&gt;Morocco Cluster&gt;I-16")</f>
        <v>Dubai&gt;International City&gt;Morocco Cluster&gt;I-16</v>
      </c>
      <c r="E14009" s="2"/>
      <c r="F14009" s="2"/>
      <c r="G14009" s="2"/>
      <c r="H14009" s="2"/>
      <c r="I14009" s="2"/>
      <c r="J14009" s="2"/>
      <c r="K14009" s="2"/>
      <c r="L14009" s="2"/>
      <c r="M14009" s="2"/>
      <c r="N14009" s="2"/>
      <c r="O14009" s="2"/>
      <c r="P14009" s="2"/>
      <c r="Q14009" s="2"/>
      <c r="R14009" s="2"/>
      <c r="S14009" s="2"/>
      <c r="T14009" s="2"/>
      <c r="U14009" s="2"/>
      <c r="V14009" s="2"/>
      <c r="W14009" s="2"/>
      <c r="X14009" s="2"/>
      <c r="Y14009" s="2"/>
      <c r="Z14009" s="2"/>
    </row>
    <row r="14010" spans="1:26" ht="16.5" x14ac:dyDescent="0.35">
      <c r="A14010" s="2" t="str">
        <f ca="1">IFERROR(__xludf.DUMMYFUNCTION("""COMPUTED_VALUE"""),"Dubai")</f>
        <v>Dubai</v>
      </c>
      <c r="B14010" s="2" t="str">
        <f ca="1">IFERROR(__xludf.DUMMYFUNCTION("""COMPUTED_VALUE"""),"Dragon View Building")</f>
        <v>Dragon View Building</v>
      </c>
      <c r="C14010" s="2" t="str">
        <f ca="1">IFERROR(__xludf.DUMMYFUNCTION("""COMPUTED_VALUE"""),"Building")</f>
        <v>Building</v>
      </c>
      <c r="D14010" s="2" t="str">
        <f ca="1">IFERROR(__xludf.DUMMYFUNCTION("""COMPUTED_VALUE"""),"Dubai&gt;International City&gt;China Cluster&gt;Dragon View Building")</f>
        <v>Dubai&gt;International City&gt;China Cluster&gt;Dragon View Building</v>
      </c>
      <c r="E14010" s="2"/>
      <c r="F14010" s="2"/>
      <c r="G14010" s="2"/>
      <c r="H14010" s="2"/>
      <c r="I14010" s="2"/>
      <c r="J14010" s="2"/>
      <c r="K14010" s="2"/>
      <c r="L14010" s="2"/>
      <c r="M14010" s="2"/>
      <c r="N14010" s="2"/>
      <c r="O14010" s="2"/>
      <c r="P14010" s="2"/>
      <c r="Q14010" s="2"/>
      <c r="R14010" s="2"/>
      <c r="S14010" s="2"/>
      <c r="T14010" s="2"/>
      <c r="U14010" s="2"/>
      <c r="V14010" s="2"/>
      <c r="W14010" s="2"/>
      <c r="X14010" s="2"/>
      <c r="Y14010" s="2"/>
      <c r="Z14010" s="2"/>
    </row>
    <row r="14011" spans="1:26" ht="16.5" x14ac:dyDescent="0.35">
      <c r="A14011" s="2" t="str">
        <f ca="1">IFERROR(__xludf.DUMMYFUNCTION("""COMPUTED_VALUE"""),"Dubai")</f>
        <v>Dubai</v>
      </c>
      <c r="B14011" s="2" t="str">
        <f ca="1">IFERROR(__xludf.DUMMYFUNCTION("""COMPUTED_VALUE"""),"B-12")</f>
        <v>B-12</v>
      </c>
      <c r="C14011" s="2" t="str">
        <f ca="1">IFERROR(__xludf.DUMMYFUNCTION("""COMPUTED_VALUE"""),"Building")</f>
        <v>Building</v>
      </c>
      <c r="D14011" s="2" t="str">
        <f ca="1">IFERROR(__xludf.DUMMYFUNCTION("""COMPUTED_VALUE"""),"Dubai&gt;International City&gt;China Cluster&gt;B-12")</f>
        <v>Dubai&gt;International City&gt;China Cluster&gt;B-12</v>
      </c>
      <c r="E14011" s="2"/>
      <c r="F14011" s="2"/>
      <c r="G14011" s="2"/>
      <c r="H14011" s="2"/>
      <c r="I14011" s="2"/>
      <c r="J14011" s="2"/>
      <c r="K14011" s="2"/>
      <c r="L14011" s="2"/>
      <c r="M14011" s="2"/>
      <c r="N14011" s="2"/>
      <c r="O14011" s="2"/>
      <c r="P14011" s="2"/>
      <c r="Q14011" s="2"/>
      <c r="R14011" s="2"/>
      <c r="S14011" s="2"/>
      <c r="T14011" s="2"/>
      <c r="U14011" s="2"/>
      <c r="V14011" s="2"/>
      <c r="W14011" s="2"/>
      <c r="X14011" s="2"/>
      <c r="Y14011" s="2"/>
      <c r="Z14011" s="2"/>
    </row>
    <row r="14012" spans="1:26" ht="16.5" x14ac:dyDescent="0.35">
      <c r="A14012" s="2" t="str">
        <f ca="1">IFERROR(__xludf.DUMMYFUNCTION("""COMPUTED_VALUE"""),"Dubai")</f>
        <v>Dubai</v>
      </c>
      <c r="B14012" s="2" t="str">
        <f ca="1">IFERROR(__xludf.DUMMYFUNCTION("""COMPUTED_VALUE"""),"F-05")</f>
        <v>F-05</v>
      </c>
      <c r="C14012" s="2" t="str">
        <f ca="1">IFERROR(__xludf.DUMMYFUNCTION("""COMPUTED_VALUE"""),"Building")</f>
        <v>Building</v>
      </c>
      <c r="D14012" s="2" t="str">
        <f ca="1">IFERROR(__xludf.DUMMYFUNCTION("""COMPUTED_VALUE"""),"Dubai&gt;International City&gt;China Cluster&gt;F-05")</f>
        <v>Dubai&gt;International City&gt;China Cluster&gt;F-05</v>
      </c>
      <c r="E14012" s="2"/>
      <c r="F14012" s="2"/>
      <c r="G14012" s="2"/>
      <c r="H14012" s="2"/>
      <c r="I14012" s="2"/>
      <c r="J14012" s="2"/>
      <c r="K14012" s="2"/>
      <c r="L14012" s="2"/>
      <c r="M14012" s="2"/>
      <c r="N14012" s="2"/>
      <c r="O14012" s="2"/>
      <c r="P14012" s="2"/>
      <c r="Q14012" s="2"/>
      <c r="R14012" s="2"/>
      <c r="S14012" s="2"/>
      <c r="T14012" s="2"/>
      <c r="U14012" s="2"/>
      <c r="V14012" s="2"/>
      <c r="W14012" s="2"/>
      <c r="X14012" s="2"/>
      <c r="Y14012" s="2"/>
      <c r="Z14012" s="2"/>
    </row>
    <row r="14013" spans="1:26" ht="16.5" x14ac:dyDescent="0.35">
      <c r="A14013" s="2" t="str">
        <f ca="1">IFERROR(__xludf.DUMMYFUNCTION("""COMPUTED_VALUE"""),"Dubai")</f>
        <v>Dubai</v>
      </c>
      <c r="B14013" s="2" t="str">
        <f ca="1">IFERROR(__xludf.DUMMYFUNCTION("""COMPUTED_VALUE"""),"S-02")</f>
        <v>S-02</v>
      </c>
      <c r="C14013" s="2" t="str">
        <f ca="1">IFERROR(__xludf.DUMMYFUNCTION("""COMPUTED_VALUE"""),"Building")</f>
        <v>Building</v>
      </c>
      <c r="D14013" s="2" t="str">
        <f ca="1">IFERROR(__xludf.DUMMYFUNCTION("""COMPUTED_VALUE"""),"Dubai&gt;International City&gt;Spain Cluster&gt;S-02")</f>
        <v>Dubai&gt;International City&gt;Spain Cluster&gt;S-02</v>
      </c>
      <c r="E14013" s="2"/>
      <c r="F14013" s="2"/>
      <c r="G14013" s="2"/>
      <c r="H14013" s="2"/>
      <c r="I14013" s="2"/>
      <c r="J14013" s="2"/>
      <c r="K14013" s="2"/>
      <c r="L14013" s="2"/>
      <c r="M14013" s="2"/>
      <c r="N14013" s="2"/>
      <c r="O14013" s="2"/>
      <c r="P14013" s="2"/>
      <c r="Q14013" s="2"/>
      <c r="R14013" s="2"/>
      <c r="S14013" s="2"/>
      <c r="T14013" s="2"/>
      <c r="U14013" s="2"/>
      <c r="V14013" s="2"/>
      <c r="W14013" s="2"/>
      <c r="X14013" s="2"/>
      <c r="Y14013" s="2"/>
      <c r="Z14013" s="2"/>
    </row>
    <row r="14014" spans="1:26" ht="16.5" x14ac:dyDescent="0.35">
      <c r="A14014" s="2" t="str">
        <f ca="1">IFERROR(__xludf.DUMMYFUNCTION("""COMPUTED_VALUE"""),"Dubai")</f>
        <v>Dubai</v>
      </c>
      <c r="B14014" s="2" t="str">
        <f ca="1">IFERROR(__xludf.DUMMYFUNCTION("""COMPUTED_VALUE"""),"U-03")</f>
        <v>U-03</v>
      </c>
      <c r="C14014" s="2" t="str">
        <f ca="1">IFERROR(__xludf.DUMMYFUNCTION("""COMPUTED_VALUE"""),"Building")</f>
        <v>Building</v>
      </c>
      <c r="D14014" s="2" t="str">
        <f ca="1">IFERROR(__xludf.DUMMYFUNCTION("""COMPUTED_VALUE"""),"Dubai&gt;International City&gt;Italy Cluster&gt;U-03")</f>
        <v>Dubai&gt;International City&gt;Italy Cluster&gt;U-03</v>
      </c>
      <c r="E14014" s="2"/>
      <c r="F14014" s="2"/>
      <c r="G14014" s="2"/>
      <c r="H14014" s="2"/>
      <c r="I14014" s="2"/>
      <c r="J14014" s="2"/>
      <c r="K14014" s="2"/>
      <c r="L14014" s="2"/>
      <c r="M14014" s="2"/>
      <c r="N14014" s="2"/>
      <c r="O14014" s="2"/>
      <c r="P14014" s="2"/>
      <c r="Q14014" s="2"/>
      <c r="R14014" s="2"/>
      <c r="S14014" s="2"/>
      <c r="T14014" s="2"/>
      <c r="U14014" s="2"/>
      <c r="V14014" s="2"/>
      <c r="W14014" s="2"/>
      <c r="X14014" s="2"/>
      <c r="Y14014" s="2"/>
      <c r="Z14014" s="2"/>
    </row>
    <row r="14015" spans="1:26" ht="16.5" x14ac:dyDescent="0.35">
      <c r="A14015" s="2" t="str">
        <f ca="1">IFERROR(__xludf.DUMMYFUNCTION("""COMPUTED_VALUE"""),"Dubai")</f>
        <v>Dubai</v>
      </c>
      <c r="B14015" s="2" t="str">
        <f ca="1">IFERROR(__xludf.DUMMYFUNCTION("""COMPUTED_VALUE"""),"V-07")</f>
        <v>V-07</v>
      </c>
      <c r="C14015" s="2" t="str">
        <f ca="1">IFERROR(__xludf.DUMMYFUNCTION("""COMPUTED_VALUE"""),"Building")</f>
        <v>Building</v>
      </c>
      <c r="D14015" s="2" t="str">
        <f ca="1">IFERROR(__xludf.DUMMYFUNCTION("""COMPUTED_VALUE"""),"Dubai&gt;International City&gt;Russia Cluster&gt;V-07")</f>
        <v>Dubai&gt;International City&gt;Russia Cluster&gt;V-07</v>
      </c>
      <c r="E14015" s="2"/>
      <c r="F14015" s="2"/>
      <c r="G14015" s="2"/>
      <c r="H14015" s="2"/>
      <c r="I14015" s="2"/>
      <c r="J14015" s="2"/>
      <c r="K14015" s="2"/>
      <c r="L14015" s="2"/>
      <c r="M14015" s="2"/>
      <c r="N14015" s="2"/>
      <c r="O14015" s="2"/>
      <c r="P14015" s="2"/>
      <c r="Q14015" s="2"/>
      <c r="R14015" s="2"/>
      <c r="S14015" s="2"/>
      <c r="T14015" s="2"/>
      <c r="U14015" s="2"/>
      <c r="V14015" s="2"/>
      <c r="W14015" s="2"/>
      <c r="X14015" s="2"/>
      <c r="Y14015" s="2"/>
      <c r="Z14015" s="2"/>
    </row>
    <row r="14016" spans="1:26" ht="16.5" x14ac:dyDescent="0.35">
      <c r="A14016" s="2" t="str">
        <f ca="1">IFERROR(__xludf.DUMMYFUNCTION("""COMPUTED_VALUE"""),"Dubai")</f>
        <v>Dubai</v>
      </c>
      <c r="B14016" s="2" t="str">
        <f ca="1">IFERROR(__xludf.DUMMYFUNCTION("""COMPUTED_VALUE"""),"N-03")</f>
        <v>N-03</v>
      </c>
      <c r="C14016" s="2" t="str">
        <f ca="1">IFERROR(__xludf.DUMMYFUNCTION("""COMPUTED_VALUE"""),"Building")</f>
        <v>Building</v>
      </c>
      <c r="D14016" s="2" t="str">
        <f ca="1">IFERROR(__xludf.DUMMYFUNCTION("""COMPUTED_VALUE"""),"Dubai&gt;International City&gt;Persia Cluster&gt;N-03")</f>
        <v>Dubai&gt;International City&gt;Persia Cluster&gt;N-03</v>
      </c>
      <c r="E14016" s="2"/>
      <c r="F14016" s="2"/>
      <c r="G14016" s="2"/>
      <c r="H14016" s="2"/>
      <c r="I14016" s="2"/>
      <c r="J14016" s="2"/>
      <c r="K14016" s="2"/>
      <c r="L14016" s="2"/>
      <c r="M14016" s="2"/>
      <c r="N14016" s="2"/>
      <c r="O14016" s="2"/>
      <c r="P14016" s="2"/>
      <c r="Q14016" s="2"/>
      <c r="R14016" s="2"/>
      <c r="S14016" s="2"/>
      <c r="T14016" s="2"/>
      <c r="U14016" s="2"/>
      <c r="V14016" s="2"/>
      <c r="W14016" s="2"/>
      <c r="X14016" s="2"/>
      <c r="Y14016" s="2"/>
      <c r="Z14016" s="2"/>
    </row>
    <row r="14017" spans="1:26" ht="16.5" x14ac:dyDescent="0.35">
      <c r="A14017" s="2" t="str">
        <f ca="1">IFERROR(__xludf.DUMMYFUNCTION("""COMPUTED_VALUE"""),"Dubai")</f>
        <v>Dubai</v>
      </c>
      <c r="B14017" s="2" t="str">
        <f ca="1">IFERROR(__xludf.DUMMYFUNCTION("""COMPUTED_VALUE"""),"EMR-17")</f>
        <v>EMR-17</v>
      </c>
      <c r="C14017" s="2" t="str">
        <f ca="1">IFERROR(__xludf.DUMMYFUNCTION("""COMPUTED_VALUE"""),"Building")</f>
        <v>Building</v>
      </c>
      <c r="D14017" s="2" t="str">
        <f ca="1">IFERROR(__xludf.DUMMYFUNCTION("""COMPUTED_VALUE"""),"Dubai&gt;International City&gt;Emirates Cluster&gt;EMR-17")</f>
        <v>Dubai&gt;International City&gt;Emirates Cluster&gt;EMR-17</v>
      </c>
      <c r="E14017" s="2"/>
      <c r="F14017" s="2"/>
      <c r="G14017" s="2"/>
      <c r="H14017" s="2"/>
      <c r="I14017" s="2"/>
      <c r="J14017" s="2"/>
      <c r="K14017" s="2"/>
      <c r="L14017" s="2"/>
      <c r="M14017" s="2"/>
      <c r="N14017" s="2"/>
      <c r="O14017" s="2"/>
      <c r="P14017" s="2"/>
      <c r="Q14017" s="2"/>
      <c r="R14017" s="2"/>
      <c r="S14017" s="2"/>
      <c r="T14017" s="2"/>
      <c r="U14017" s="2"/>
      <c r="V14017" s="2"/>
      <c r="W14017" s="2"/>
      <c r="X14017" s="2"/>
      <c r="Y14017" s="2"/>
      <c r="Z14017" s="2"/>
    </row>
    <row r="14018" spans="1:26" ht="16.5" x14ac:dyDescent="0.35">
      <c r="A14018" s="2" t="str">
        <f ca="1">IFERROR(__xludf.DUMMYFUNCTION("""COMPUTED_VALUE"""),"Dubai")</f>
        <v>Dubai</v>
      </c>
      <c r="B14018" s="2" t="str">
        <f ca="1">IFERROR(__xludf.DUMMYFUNCTION("""COMPUTED_VALUE"""),"X-07")</f>
        <v>X-07</v>
      </c>
      <c r="C14018" s="2" t="str">
        <f ca="1">IFERROR(__xludf.DUMMYFUNCTION("""COMPUTED_VALUE"""),"Building")</f>
        <v>Building</v>
      </c>
      <c r="D14018" s="2" t="str">
        <f ca="1">IFERROR(__xludf.DUMMYFUNCTION("""COMPUTED_VALUE"""),"Dubai&gt;International City&gt;England Cluster&gt;X-07")</f>
        <v>Dubai&gt;International City&gt;England Cluster&gt;X-07</v>
      </c>
      <c r="E14018" s="2"/>
      <c r="F14018" s="2"/>
      <c r="G14018" s="2"/>
      <c r="H14018" s="2"/>
      <c r="I14018" s="2"/>
      <c r="J14018" s="2"/>
      <c r="K14018" s="2"/>
      <c r="L14018" s="2"/>
      <c r="M14018" s="2"/>
      <c r="N14018" s="2"/>
      <c r="O14018" s="2"/>
      <c r="P14018" s="2"/>
      <c r="Q14018" s="2"/>
      <c r="R14018" s="2"/>
      <c r="S14018" s="2"/>
      <c r="T14018" s="2"/>
      <c r="U14018" s="2"/>
      <c r="V14018" s="2"/>
      <c r="W14018" s="2"/>
      <c r="X14018" s="2"/>
      <c r="Y14018" s="2"/>
      <c r="Z14018" s="2"/>
    </row>
    <row r="14019" spans="1:26" ht="16.5" x14ac:dyDescent="0.35">
      <c r="A14019" s="2" t="str">
        <f ca="1">IFERROR(__xludf.DUMMYFUNCTION("""COMPUTED_VALUE"""),"Dubai")</f>
        <v>Dubai</v>
      </c>
      <c r="B14019" s="2" t="str">
        <f ca="1">IFERROR(__xludf.DUMMYFUNCTION("""COMPUTED_VALUE"""),"Y-13")</f>
        <v>Y-13</v>
      </c>
      <c r="C14019" s="2" t="str">
        <f ca="1">IFERROR(__xludf.DUMMYFUNCTION("""COMPUTED_VALUE"""),"Building")</f>
        <v>Building</v>
      </c>
      <c r="D14019" s="2" t="str">
        <f ca="1">IFERROR(__xludf.DUMMYFUNCTION("""COMPUTED_VALUE"""),"Dubai&gt;International City&gt;England Cluster&gt;Y-13")</f>
        <v>Dubai&gt;International City&gt;England Cluster&gt;Y-13</v>
      </c>
      <c r="E14019" s="2"/>
      <c r="F14019" s="2"/>
      <c r="G14019" s="2"/>
      <c r="H14019" s="2"/>
      <c r="I14019" s="2"/>
      <c r="J14019" s="2"/>
      <c r="K14019" s="2"/>
      <c r="L14019" s="2"/>
      <c r="M14019" s="2"/>
      <c r="N14019" s="2"/>
      <c r="O14019" s="2"/>
      <c r="P14019" s="2"/>
      <c r="Q14019" s="2"/>
      <c r="R14019" s="2"/>
      <c r="S14019" s="2"/>
      <c r="T14019" s="2"/>
      <c r="U14019" s="2"/>
      <c r="V14019" s="2"/>
      <c r="W14019" s="2"/>
      <c r="X14019" s="2"/>
      <c r="Y14019" s="2"/>
      <c r="Z14019" s="2"/>
    </row>
    <row r="14020" spans="1:26" ht="16.5" x14ac:dyDescent="0.35">
      <c r="A14020" s="2" t="str">
        <f ca="1">IFERROR(__xludf.DUMMYFUNCTION("""COMPUTED_VALUE"""),"Dubai")</f>
        <v>Dubai</v>
      </c>
      <c r="B14020" s="2" t="str">
        <f ca="1">IFERROR(__xludf.DUMMYFUNCTION("""COMPUTED_VALUE"""),"Jeera 4")</f>
        <v>Jeera 4</v>
      </c>
      <c r="C14020" s="2" t="str">
        <f ca="1">IFERROR(__xludf.DUMMYFUNCTION("""COMPUTED_VALUE"""),"Building")</f>
        <v>Building</v>
      </c>
      <c r="D14020" s="2" t="str">
        <f ca="1">IFERROR(__xludf.DUMMYFUNCTION("""COMPUTED_VALUE"""),"Dubai&gt;International City&gt;International City Phase 2 (Warsan 4)&gt;Jeera 4")</f>
        <v>Dubai&gt;International City&gt;International City Phase 2 (Warsan 4)&gt;Jeera 4</v>
      </c>
      <c r="E14020" s="2"/>
      <c r="F14020" s="2"/>
      <c r="G14020" s="2"/>
      <c r="H14020" s="2"/>
      <c r="I14020" s="2"/>
      <c r="J14020" s="2"/>
      <c r="K14020" s="2"/>
      <c r="L14020" s="2"/>
      <c r="M14020" s="2"/>
      <c r="N14020" s="2"/>
      <c r="O14020" s="2"/>
      <c r="P14020" s="2"/>
      <c r="Q14020" s="2"/>
      <c r="R14020" s="2"/>
      <c r="S14020" s="2"/>
      <c r="T14020" s="2"/>
      <c r="U14020" s="2"/>
      <c r="V14020" s="2"/>
      <c r="W14020" s="2"/>
      <c r="X14020" s="2"/>
      <c r="Y14020" s="2"/>
      <c r="Z14020" s="2"/>
    </row>
    <row r="14021" spans="1:26" ht="16.5" x14ac:dyDescent="0.35">
      <c r="A14021" s="2" t="str">
        <f ca="1">IFERROR(__xludf.DUMMYFUNCTION("""COMPUTED_VALUE"""),"Dubai")</f>
        <v>Dubai</v>
      </c>
      <c r="B14021" s="2" t="str">
        <f ca="1">IFERROR(__xludf.DUMMYFUNCTION("""COMPUTED_VALUE"""),"Basra Tower")</f>
        <v>Basra Tower</v>
      </c>
      <c r="C14021" s="2" t="str">
        <f ca="1">IFERROR(__xludf.DUMMYFUNCTION("""COMPUTED_VALUE"""),"Building")</f>
        <v>Building</v>
      </c>
      <c r="D14021" s="2" t="str">
        <f ca="1">IFERROR(__xludf.DUMMYFUNCTION("""COMPUTED_VALUE"""),"Dubai&gt;International City&gt;International City Phase 2 (Warsan 4)&gt;Basra Tower")</f>
        <v>Dubai&gt;International City&gt;International City Phase 2 (Warsan 4)&gt;Basra Tower</v>
      </c>
      <c r="E14021" s="2"/>
      <c r="F14021" s="2"/>
      <c r="G14021" s="2"/>
      <c r="H14021" s="2"/>
      <c r="I14021" s="2"/>
      <c r="J14021" s="2"/>
      <c r="K14021" s="2"/>
      <c r="L14021" s="2"/>
      <c r="M14021" s="2"/>
      <c r="N14021" s="2"/>
      <c r="O14021" s="2"/>
      <c r="P14021" s="2"/>
      <c r="Q14021" s="2"/>
      <c r="R14021" s="2"/>
      <c r="S14021" s="2"/>
      <c r="T14021" s="2"/>
      <c r="U14021" s="2"/>
      <c r="V14021" s="2"/>
      <c r="W14021" s="2"/>
      <c r="X14021" s="2"/>
      <c r="Y14021" s="2"/>
      <c r="Z14021" s="2"/>
    </row>
    <row r="14022" spans="1:26" ht="16.5" x14ac:dyDescent="0.35">
      <c r="A14022" s="2" t="str">
        <f ca="1">IFERROR(__xludf.DUMMYFUNCTION("""COMPUTED_VALUE"""),"Dubai")</f>
        <v>Dubai</v>
      </c>
      <c r="B14022" s="2" t="str">
        <f ca="1">IFERROR(__xludf.DUMMYFUNCTION("""COMPUTED_VALUE"""),"Le Bistrot")</f>
        <v>Le Bistrot</v>
      </c>
      <c r="C14022" s="2" t="str">
        <f ca="1">IFERROR(__xludf.DUMMYFUNCTION("""COMPUTED_VALUE"""),"Building")</f>
        <v>Building</v>
      </c>
      <c r="D14022" s="2" t="str">
        <f ca="1">IFERROR(__xludf.DUMMYFUNCTION("""COMPUTED_VALUE"""),"Dubai&gt;International City&gt;International City Phase 2 (Warsan 4)&gt;Le Bistrot")</f>
        <v>Dubai&gt;International City&gt;International City Phase 2 (Warsan 4)&gt;Le Bistrot</v>
      </c>
      <c r="E14022" s="2"/>
      <c r="F14022" s="2"/>
      <c r="G14022" s="2"/>
      <c r="H14022" s="2"/>
      <c r="I14022" s="2"/>
      <c r="J14022" s="2"/>
      <c r="K14022" s="2"/>
      <c r="L14022" s="2"/>
      <c r="M14022" s="2"/>
      <c r="N14022" s="2"/>
      <c r="O14022" s="2"/>
      <c r="P14022" s="2"/>
      <c r="Q14022" s="2"/>
      <c r="R14022" s="2"/>
      <c r="S14022" s="2"/>
      <c r="T14022" s="2"/>
      <c r="U14022" s="2"/>
      <c r="V14022" s="2"/>
      <c r="W14022" s="2"/>
      <c r="X14022" s="2"/>
      <c r="Y14022" s="2"/>
      <c r="Z14022" s="2"/>
    </row>
    <row r="14023" spans="1:26" ht="16.5" x14ac:dyDescent="0.35">
      <c r="A14023" s="2" t="str">
        <f ca="1">IFERROR(__xludf.DUMMYFUNCTION("""COMPUTED_VALUE"""),"Dubai")</f>
        <v>Dubai</v>
      </c>
      <c r="B14023" s="2" t="str">
        <f ca="1">IFERROR(__xludf.DUMMYFUNCTION("""COMPUTED_VALUE"""),"Al Amir Hamad Building")</f>
        <v>Al Amir Hamad Building</v>
      </c>
      <c r="C14023" s="2" t="str">
        <f ca="1">IFERROR(__xludf.DUMMYFUNCTION("""COMPUTED_VALUE"""),"Building")</f>
        <v>Building</v>
      </c>
      <c r="D14023" s="2" t="str">
        <f ca="1">IFERROR(__xludf.DUMMYFUNCTION("""COMPUTED_VALUE"""),"Dubai&gt;International City&gt;International City Phase 2 (Warsan 4)&gt;Al Amir Hamad Building")</f>
        <v>Dubai&gt;International City&gt;International City Phase 2 (Warsan 4)&gt;Al Amir Hamad Building</v>
      </c>
      <c r="E14023" s="2"/>
      <c r="F14023" s="2"/>
      <c r="G14023" s="2"/>
      <c r="H14023" s="2"/>
      <c r="I14023" s="2"/>
      <c r="J14023" s="2"/>
      <c r="K14023" s="2"/>
      <c r="L14023" s="2"/>
      <c r="M14023" s="2"/>
      <c r="N14023" s="2"/>
      <c r="O14023" s="2"/>
      <c r="P14023" s="2"/>
      <c r="Q14023" s="2"/>
      <c r="R14023" s="2"/>
      <c r="S14023" s="2"/>
      <c r="T14023" s="2"/>
      <c r="U14023" s="2"/>
      <c r="V14023" s="2"/>
      <c r="W14023" s="2"/>
      <c r="X14023" s="2"/>
      <c r="Y14023" s="2"/>
      <c r="Z14023" s="2"/>
    </row>
    <row r="14024" spans="1:26" ht="16.5" x14ac:dyDescent="0.35">
      <c r="A14024" s="2" t="str">
        <f ca="1">IFERROR(__xludf.DUMMYFUNCTION("""COMPUTED_VALUE"""),"Dubai")</f>
        <v>Dubai</v>
      </c>
      <c r="B14024" s="2" t="str">
        <f ca="1">IFERROR(__xludf.DUMMYFUNCTION("""COMPUTED_VALUE"""),"Friends Residency")</f>
        <v>Friends Residency</v>
      </c>
      <c r="C14024" s="2" t="str">
        <f ca="1">IFERROR(__xludf.DUMMYFUNCTION("""COMPUTED_VALUE"""),"Building")</f>
        <v>Building</v>
      </c>
      <c r="D14024" s="2" t="str">
        <f ca="1">IFERROR(__xludf.DUMMYFUNCTION("""COMPUTED_VALUE"""),"Dubai&gt;International City&gt;International City Phase 2 (Warsan 4)&gt;Friends Residency")</f>
        <v>Dubai&gt;International City&gt;International City Phase 2 (Warsan 4)&gt;Friends Residency</v>
      </c>
      <c r="E14024" s="2"/>
      <c r="F14024" s="2"/>
      <c r="G14024" s="2"/>
      <c r="H14024" s="2"/>
      <c r="I14024" s="2"/>
      <c r="J14024" s="2"/>
      <c r="K14024" s="2"/>
      <c r="L14024" s="2"/>
      <c r="M14024" s="2"/>
      <c r="N14024" s="2"/>
      <c r="O14024" s="2"/>
      <c r="P14024" s="2"/>
      <c r="Q14024" s="2"/>
      <c r="R14024" s="2"/>
      <c r="S14024" s="2"/>
      <c r="T14024" s="2"/>
      <c r="U14024" s="2"/>
      <c r="V14024" s="2"/>
      <c r="W14024" s="2"/>
      <c r="X14024" s="2"/>
      <c r="Y14024" s="2"/>
      <c r="Z14024" s="2"/>
    </row>
    <row r="14025" spans="1:26" ht="16.5" x14ac:dyDescent="0.35">
      <c r="A14025" s="2" t="str">
        <f ca="1">IFERROR(__xludf.DUMMYFUNCTION("""COMPUTED_VALUE"""),"Dubai")</f>
        <v>Dubai</v>
      </c>
      <c r="B14025" s="2" t="str">
        <f ca="1">IFERROR(__xludf.DUMMYFUNCTION("""COMPUTED_VALUE"""),"L-13")</f>
        <v>L-13</v>
      </c>
      <c r="C14025" s="2" t="str">
        <f ca="1">IFERROR(__xludf.DUMMYFUNCTION("""COMPUTED_VALUE"""),"Building")</f>
        <v>Building</v>
      </c>
      <c r="D14025" s="2" t="str">
        <f ca="1">IFERROR(__xludf.DUMMYFUNCTION("""COMPUTED_VALUE"""),"Dubai&gt;International City&gt;Greece Cluster&gt;L-13")</f>
        <v>Dubai&gt;International City&gt;Greece Cluster&gt;L-13</v>
      </c>
      <c r="E14025" s="2"/>
      <c r="F14025" s="2"/>
      <c r="G14025" s="2"/>
      <c r="H14025" s="2"/>
      <c r="I14025" s="2"/>
      <c r="J14025" s="2"/>
      <c r="K14025" s="2"/>
      <c r="L14025" s="2"/>
      <c r="M14025" s="2"/>
      <c r="N14025" s="2"/>
      <c r="O14025" s="2"/>
      <c r="P14025" s="2"/>
      <c r="Q14025" s="2"/>
      <c r="R14025" s="2"/>
      <c r="S14025" s="2"/>
      <c r="T14025" s="2"/>
      <c r="U14025" s="2"/>
      <c r="V14025" s="2"/>
      <c r="W14025" s="2"/>
      <c r="X14025" s="2"/>
      <c r="Y14025" s="2"/>
      <c r="Z14025" s="2"/>
    </row>
    <row r="14026" spans="1:26" ht="16.5" x14ac:dyDescent="0.35">
      <c r="A14026" s="2" t="str">
        <f ca="1">IFERROR(__xludf.DUMMYFUNCTION("""COMPUTED_VALUE"""),"Dubai")</f>
        <v>Dubai</v>
      </c>
      <c r="B14026" s="2" t="str">
        <f ca="1">IFERROR(__xludf.DUMMYFUNCTION("""COMPUTED_VALUE"""),"P-03")</f>
        <v>P-03</v>
      </c>
      <c r="C14026" s="2" t="str">
        <f ca="1">IFERROR(__xludf.DUMMYFUNCTION("""COMPUTED_VALUE"""),"Building")</f>
        <v>Building</v>
      </c>
      <c r="D14026" s="2" t="str">
        <f ca="1">IFERROR(__xludf.DUMMYFUNCTION("""COMPUTED_VALUE"""),"Dubai&gt;International City&gt;France Cluster&gt;P-03")</f>
        <v>Dubai&gt;International City&gt;France Cluster&gt;P-03</v>
      </c>
      <c r="E14026" s="2"/>
      <c r="F14026" s="2"/>
      <c r="G14026" s="2"/>
      <c r="H14026" s="2"/>
      <c r="I14026" s="2"/>
      <c r="J14026" s="2"/>
      <c r="K14026" s="2"/>
      <c r="L14026" s="2"/>
      <c r="M14026" s="2"/>
      <c r="N14026" s="2"/>
      <c r="O14026" s="2"/>
      <c r="P14026" s="2"/>
      <c r="Q14026" s="2"/>
      <c r="R14026" s="2"/>
      <c r="S14026" s="2"/>
      <c r="T14026" s="2"/>
      <c r="U14026" s="2"/>
      <c r="V14026" s="2"/>
      <c r="W14026" s="2"/>
      <c r="X14026" s="2"/>
      <c r="Y14026" s="2"/>
      <c r="Z14026" s="2"/>
    </row>
    <row r="14027" spans="1:26" ht="16.5" x14ac:dyDescent="0.35">
      <c r="A14027" s="2" t="str">
        <f ca="1">IFERROR(__xludf.DUMMYFUNCTION("""COMPUTED_VALUE"""),"Dubai")</f>
        <v>Dubai</v>
      </c>
      <c r="B14027" s="2" t="str">
        <f ca="1">IFERROR(__xludf.DUMMYFUNCTION("""COMPUTED_VALUE"""),"R-25")</f>
        <v>R-25</v>
      </c>
      <c r="C14027" s="2" t="str">
        <f ca="1">IFERROR(__xludf.DUMMYFUNCTION("""COMPUTED_VALUE"""),"Building")</f>
        <v>Building</v>
      </c>
      <c r="D14027" s="2" t="str">
        <f ca="1">IFERROR(__xludf.DUMMYFUNCTION("""COMPUTED_VALUE"""),"Dubai&gt;International City&gt;France Cluster&gt;R-25")</f>
        <v>Dubai&gt;International City&gt;France Cluster&gt;R-25</v>
      </c>
      <c r="E14027" s="2"/>
      <c r="F14027" s="2"/>
      <c r="G14027" s="2"/>
      <c r="H14027" s="2"/>
      <c r="I14027" s="2"/>
      <c r="J14027" s="2"/>
      <c r="K14027" s="2"/>
      <c r="L14027" s="2"/>
      <c r="M14027" s="2"/>
      <c r="N14027" s="2"/>
      <c r="O14027" s="2"/>
      <c r="P14027" s="2"/>
      <c r="Q14027" s="2"/>
      <c r="R14027" s="2"/>
      <c r="S14027" s="2"/>
      <c r="T14027" s="2"/>
      <c r="U14027" s="2"/>
      <c r="V14027" s="2"/>
      <c r="W14027" s="2"/>
      <c r="X14027" s="2"/>
      <c r="Y14027" s="2"/>
      <c r="Z14027" s="2"/>
    </row>
    <row r="14028" spans="1:26" ht="16.5" x14ac:dyDescent="0.35">
      <c r="A14028" s="2" t="str">
        <f ca="1">IFERROR(__xludf.DUMMYFUNCTION("""COMPUTED_VALUE"""),"Dubai")</f>
        <v>Dubai</v>
      </c>
      <c r="B14028" s="2" t="str">
        <f ca="1">IFERROR(__xludf.DUMMYFUNCTION("""COMPUTED_VALUE"""),"Supreme Residency")</f>
        <v>Supreme Residency</v>
      </c>
      <c r="C14028" s="2" t="str">
        <f ca="1">IFERROR(__xludf.DUMMYFUNCTION("""COMPUTED_VALUE"""),"Building")</f>
        <v>Building</v>
      </c>
      <c r="D14028" s="2" t="str">
        <f ca="1">IFERROR(__xludf.DUMMYFUNCTION("""COMPUTED_VALUE"""),"Dubai&gt;International City&gt;Central Business District&gt;Supreme Residency")</f>
        <v>Dubai&gt;International City&gt;Central Business District&gt;Supreme Residency</v>
      </c>
      <c r="E14028" s="2"/>
      <c r="F14028" s="2"/>
      <c r="G14028" s="2"/>
      <c r="H14028" s="2"/>
      <c r="I14028" s="2"/>
      <c r="J14028" s="2"/>
      <c r="K14028" s="2"/>
      <c r="L14028" s="2"/>
      <c r="M14028" s="2"/>
      <c r="N14028" s="2"/>
      <c r="O14028" s="2"/>
      <c r="P14028" s="2"/>
      <c r="Q14028" s="2"/>
      <c r="R14028" s="2"/>
      <c r="S14028" s="2"/>
      <c r="T14028" s="2"/>
      <c r="U14028" s="2"/>
      <c r="V14028" s="2"/>
      <c r="W14028" s="2"/>
      <c r="X14028" s="2"/>
      <c r="Y14028" s="2"/>
      <c r="Z14028" s="2"/>
    </row>
    <row r="14029" spans="1:26" ht="16.5" x14ac:dyDescent="0.35">
      <c r="A14029" s="2" t="str">
        <f ca="1">IFERROR(__xludf.DUMMYFUNCTION("""COMPUTED_VALUE"""),"Dubai")</f>
        <v>Dubai</v>
      </c>
      <c r="B14029" s="2" t="str">
        <f ca="1">IFERROR(__xludf.DUMMYFUNCTION("""COMPUTED_VALUE"""),"Al Refaee Residence 4")</f>
        <v>Al Refaee Residence 4</v>
      </c>
      <c r="C14029" s="2" t="str">
        <f ca="1">IFERROR(__xludf.DUMMYFUNCTION("""COMPUTED_VALUE"""),"Building")</f>
        <v>Building</v>
      </c>
      <c r="D14029" s="2" t="str">
        <f ca="1">IFERROR(__xludf.DUMMYFUNCTION("""COMPUTED_VALUE"""),"Dubai&gt;International City&gt;Al Refaee Residence 4")</f>
        <v>Dubai&gt;International City&gt;Al Refaee Residence 4</v>
      </c>
      <c r="E14029" s="2"/>
      <c r="F14029" s="2"/>
      <c r="G14029" s="2"/>
      <c r="H14029" s="2"/>
      <c r="I14029" s="2"/>
      <c r="J14029" s="2"/>
      <c r="K14029" s="2"/>
      <c r="L14029" s="2"/>
      <c r="M14029" s="2"/>
      <c r="N14029" s="2"/>
      <c r="O14029" s="2"/>
      <c r="P14029" s="2"/>
      <c r="Q14029" s="2"/>
      <c r="R14029" s="2"/>
      <c r="S14029" s="2"/>
      <c r="T14029" s="2"/>
      <c r="U14029" s="2"/>
      <c r="V14029" s="2"/>
      <c r="W14029" s="2"/>
      <c r="X14029" s="2"/>
      <c r="Y14029" s="2"/>
      <c r="Z14029" s="2"/>
    </row>
    <row r="14030" spans="1:26" ht="16.5" x14ac:dyDescent="0.35">
      <c r="A14030" s="2" t="str">
        <f ca="1">IFERROR(__xludf.DUMMYFUNCTION("""COMPUTED_VALUE"""),"Dubai")</f>
        <v>Dubai</v>
      </c>
      <c r="B14030" s="2" t="str">
        <f ca="1">IFERROR(__xludf.DUMMYFUNCTION("""COMPUTED_VALUE"""),"Continental Tower")</f>
        <v>Continental Tower</v>
      </c>
      <c r="C14030" s="2" t="str">
        <f ca="1">IFERROR(__xludf.DUMMYFUNCTION("""COMPUTED_VALUE"""),"Building")</f>
        <v>Building</v>
      </c>
      <c r="D14030" s="2" t="str">
        <f ca="1">IFERROR(__xludf.DUMMYFUNCTION("""COMPUTED_VALUE"""),"Dubai&gt;Dubai Marina&gt;Continental Tower")</f>
        <v>Dubai&gt;Dubai Marina&gt;Continental Tower</v>
      </c>
      <c r="E14030" s="2"/>
      <c r="F14030" s="2"/>
      <c r="G14030" s="2"/>
      <c r="H14030" s="2"/>
      <c r="I14030" s="2"/>
      <c r="J14030" s="2"/>
      <c r="K14030" s="2"/>
      <c r="L14030" s="2"/>
      <c r="M14030" s="2"/>
      <c r="N14030" s="2"/>
      <c r="O14030" s="2"/>
      <c r="P14030" s="2"/>
      <c r="Q14030" s="2"/>
      <c r="R14030" s="2"/>
      <c r="S14030" s="2"/>
      <c r="T14030" s="2"/>
      <c r="U14030" s="2"/>
      <c r="V14030" s="2"/>
      <c r="W14030" s="2"/>
      <c r="X14030" s="2"/>
      <c r="Y14030" s="2"/>
      <c r="Z14030" s="2"/>
    </row>
    <row r="14031" spans="1:26" ht="16.5" x14ac:dyDescent="0.35">
      <c r="A14031" s="2" t="str">
        <f ca="1">IFERROR(__xludf.DUMMYFUNCTION("""COMPUTED_VALUE"""),"Dubai")</f>
        <v>Dubai</v>
      </c>
      <c r="B14031" s="2" t="str">
        <f ca="1">IFERROR(__xludf.DUMMYFUNCTION("""COMPUTED_VALUE"""),"Marina Quays East")</f>
        <v>Marina Quays East</v>
      </c>
      <c r="C14031" s="2" t="str">
        <f ca="1">IFERROR(__xludf.DUMMYFUNCTION("""COMPUTED_VALUE"""),"Building")</f>
        <v>Building</v>
      </c>
      <c r="D14031" s="2" t="str">
        <f ca="1">IFERROR(__xludf.DUMMYFUNCTION("""COMPUTED_VALUE"""),"Dubai&gt;Dubai Marina&gt;Marina Quays&gt;Marina Quays East")</f>
        <v>Dubai&gt;Dubai Marina&gt;Marina Quays&gt;Marina Quays East</v>
      </c>
      <c r="E14031" s="2"/>
      <c r="F14031" s="2"/>
      <c r="G14031" s="2"/>
      <c r="H14031" s="2"/>
      <c r="I14031" s="2"/>
      <c r="J14031" s="2"/>
      <c r="K14031" s="2"/>
      <c r="L14031" s="2"/>
      <c r="M14031" s="2"/>
      <c r="N14031" s="2"/>
      <c r="O14031" s="2"/>
      <c r="P14031" s="2"/>
      <c r="Q14031" s="2"/>
      <c r="R14031" s="2"/>
      <c r="S14031" s="2"/>
      <c r="T14031" s="2"/>
      <c r="U14031" s="2"/>
      <c r="V14031" s="2"/>
      <c r="W14031" s="2"/>
      <c r="X14031" s="2"/>
      <c r="Y14031" s="2"/>
      <c r="Z14031" s="2"/>
    </row>
    <row r="14032" spans="1:26" ht="16.5" x14ac:dyDescent="0.35">
      <c r="A14032" s="2" t="str">
        <f ca="1">IFERROR(__xludf.DUMMYFUNCTION("""COMPUTED_VALUE"""),"Dubai")</f>
        <v>Dubai</v>
      </c>
      <c r="B14032" s="2" t="str">
        <f ca="1">IFERROR(__xludf.DUMMYFUNCTION("""COMPUTED_VALUE"""),"Sukoon Tower")</f>
        <v>Sukoon Tower</v>
      </c>
      <c r="C14032" s="2" t="str">
        <f ca="1">IFERROR(__xludf.DUMMYFUNCTION("""COMPUTED_VALUE"""),"Building")</f>
        <v>Building</v>
      </c>
      <c r="D14032" s="2" t="str">
        <f ca="1">IFERROR(__xludf.DUMMYFUNCTION("""COMPUTED_VALUE"""),"Dubai&gt;Dubai Marina&gt;Sukoon Tower")</f>
        <v>Dubai&gt;Dubai Marina&gt;Sukoon Tower</v>
      </c>
      <c r="E14032" s="2"/>
      <c r="F14032" s="2"/>
      <c r="G14032" s="2"/>
      <c r="H14032" s="2"/>
      <c r="I14032" s="2"/>
      <c r="J14032" s="2"/>
      <c r="K14032" s="2"/>
      <c r="L14032" s="2"/>
      <c r="M14032" s="2"/>
      <c r="N14032" s="2"/>
      <c r="O14032" s="2"/>
      <c r="P14032" s="2"/>
      <c r="Q14032" s="2"/>
      <c r="R14032" s="2"/>
      <c r="S14032" s="2"/>
      <c r="T14032" s="2"/>
      <c r="U14032" s="2"/>
      <c r="V14032" s="2"/>
      <c r="W14032" s="2"/>
      <c r="X14032" s="2"/>
      <c r="Y14032" s="2"/>
      <c r="Z14032" s="2"/>
    </row>
    <row r="14033" spans="1:26" ht="16.5" x14ac:dyDescent="0.35">
      <c r="A14033" s="2" t="str">
        <f ca="1">IFERROR(__xludf.DUMMYFUNCTION("""COMPUTED_VALUE"""),"Dubai")</f>
        <v>Dubai</v>
      </c>
      <c r="B14033" s="2" t="str">
        <f ca="1">IFERROR(__xludf.DUMMYFUNCTION("""COMPUTED_VALUE"""),"Dubai Marriott Harbour Hotel &amp; Suites")</f>
        <v>Dubai Marriott Harbour Hotel &amp; Suites</v>
      </c>
      <c r="C14033" s="2" t="str">
        <f ca="1">IFERROR(__xludf.DUMMYFUNCTION("""COMPUTED_VALUE"""),"Building")</f>
        <v>Building</v>
      </c>
      <c r="D14033" s="2" t="str">
        <f ca="1">IFERROR(__xludf.DUMMYFUNCTION("""COMPUTED_VALUE"""),"Dubai&gt;Dubai Marina&gt;Dubai Marriott Harbour Hotel &amp; Suites")</f>
        <v>Dubai&gt;Dubai Marina&gt;Dubai Marriott Harbour Hotel &amp; Suites</v>
      </c>
      <c r="E14033" s="2"/>
      <c r="F14033" s="2"/>
      <c r="G14033" s="2"/>
      <c r="H14033" s="2"/>
      <c r="I14033" s="2"/>
      <c r="J14033" s="2"/>
      <c r="K14033" s="2"/>
      <c r="L14033" s="2"/>
      <c r="M14033" s="2"/>
      <c r="N14033" s="2"/>
      <c r="O14033" s="2"/>
      <c r="P14033" s="2"/>
      <c r="Q14033" s="2"/>
      <c r="R14033" s="2"/>
      <c r="S14033" s="2"/>
      <c r="T14033" s="2"/>
      <c r="U14033" s="2"/>
      <c r="V14033" s="2"/>
      <c r="W14033" s="2"/>
      <c r="X14033" s="2"/>
      <c r="Y14033" s="2"/>
      <c r="Z14033" s="2"/>
    </row>
    <row r="14034" spans="1:26" ht="16.5" x14ac:dyDescent="0.35">
      <c r="A14034" s="2" t="str">
        <f ca="1">IFERROR(__xludf.DUMMYFUNCTION("""COMPUTED_VALUE"""),"Dubai")</f>
        <v>Dubai</v>
      </c>
      <c r="B14034" s="2" t="str">
        <f ca="1">IFERROR(__xludf.DUMMYFUNCTION("""COMPUTED_VALUE"""),"Orra Marina")</f>
        <v>Orra Marina</v>
      </c>
      <c r="C14034" s="2" t="str">
        <f ca="1">IFERROR(__xludf.DUMMYFUNCTION("""COMPUTED_VALUE"""),"Building")</f>
        <v>Building</v>
      </c>
      <c r="D14034" s="2" t="str">
        <f ca="1">IFERROR(__xludf.DUMMYFUNCTION("""COMPUTED_VALUE"""),"Dubai&gt;Dubai Marina&gt;Orra Marina")</f>
        <v>Dubai&gt;Dubai Marina&gt;Orra Marina</v>
      </c>
      <c r="E14034" s="2"/>
      <c r="F14034" s="2"/>
      <c r="G14034" s="2"/>
      <c r="H14034" s="2"/>
      <c r="I14034" s="2"/>
      <c r="J14034" s="2"/>
      <c r="K14034" s="2"/>
      <c r="L14034" s="2"/>
      <c r="M14034" s="2"/>
      <c r="N14034" s="2"/>
      <c r="O14034" s="2"/>
      <c r="P14034" s="2"/>
      <c r="Q14034" s="2"/>
      <c r="R14034" s="2"/>
      <c r="S14034" s="2"/>
      <c r="T14034" s="2"/>
      <c r="U14034" s="2"/>
      <c r="V14034" s="2"/>
      <c r="W14034" s="2"/>
      <c r="X14034" s="2"/>
      <c r="Y14034" s="2"/>
      <c r="Z14034" s="2"/>
    </row>
    <row r="14035" spans="1:26" ht="16.5" x14ac:dyDescent="0.35">
      <c r="A14035" s="2" t="str">
        <f ca="1">IFERROR(__xludf.DUMMYFUNCTION("""COMPUTED_VALUE"""),"Dubai")</f>
        <v>Dubai</v>
      </c>
      <c r="B14035" s="2" t="str">
        <f ca="1">IFERROR(__xludf.DUMMYFUNCTION("""COMPUTED_VALUE"""),"Marina Gate 1")</f>
        <v>Marina Gate 1</v>
      </c>
      <c r="C14035" s="2" t="str">
        <f ca="1">IFERROR(__xludf.DUMMYFUNCTION("""COMPUTED_VALUE"""),"Building")</f>
        <v>Building</v>
      </c>
      <c r="D14035" s="2" t="str">
        <f ca="1">IFERROR(__xludf.DUMMYFUNCTION("""COMPUTED_VALUE"""),"Dubai&gt;Dubai Marina&gt;Marina Gate&gt;Marina Gate 1")</f>
        <v>Dubai&gt;Dubai Marina&gt;Marina Gate&gt;Marina Gate 1</v>
      </c>
      <c r="E14035" s="2"/>
      <c r="F14035" s="2"/>
      <c r="G14035" s="2"/>
      <c r="H14035" s="2"/>
      <c r="I14035" s="2"/>
      <c r="J14035" s="2"/>
      <c r="K14035" s="2"/>
      <c r="L14035" s="2"/>
      <c r="M14035" s="2"/>
      <c r="N14035" s="2"/>
      <c r="O14035" s="2"/>
      <c r="P14035" s="2"/>
      <c r="Q14035" s="2"/>
      <c r="R14035" s="2"/>
      <c r="S14035" s="2"/>
      <c r="T14035" s="2"/>
      <c r="U14035" s="2"/>
      <c r="V14035" s="2"/>
      <c r="W14035" s="2"/>
      <c r="X14035" s="2"/>
      <c r="Y14035" s="2"/>
      <c r="Z14035" s="2"/>
    </row>
    <row r="14036" spans="1:26" ht="16.5" x14ac:dyDescent="0.35">
      <c r="A14036" s="2" t="str">
        <f ca="1">IFERROR(__xludf.DUMMYFUNCTION("""COMPUTED_VALUE"""),"Dubai")</f>
        <v>Dubai</v>
      </c>
      <c r="B14036" s="2" t="str">
        <f ca="1">IFERROR(__xludf.DUMMYFUNCTION("""COMPUTED_VALUE"""),"Al Habtoor Grand Resort Autograph Collection")</f>
        <v>Al Habtoor Grand Resort Autograph Collection</v>
      </c>
      <c r="C14036" s="2" t="str">
        <f ca="1">IFERROR(__xludf.DUMMYFUNCTION("""COMPUTED_VALUE"""),"Building")</f>
        <v>Building</v>
      </c>
      <c r="D14036" s="2" t="str">
        <f ca="1">IFERROR(__xludf.DUMMYFUNCTION("""COMPUTED_VALUE"""),"Dubai&gt;Dubai Marina&gt;Al Habtoor Grand Resort Autograph Collection")</f>
        <v>Dubai&gt;Dubai Marina&gt;Al Habtoor Grand Resort Autograph Collection</v>
      </c>
      <c r="E14036" s="2"/>
      <c r="F14036" s="2"/>
      <c r="G14036" s="2"/>
      <c r="H14036" s="2"/>
      <c r="I14036" s="2"/>
      <c r="J14036" s="2"/>
      <c r="K14036" s="2"/>
      <c r="L14036" s="2"/>
      <c r="M14036" s="2"/>
      <c r="N14036" s="2"/>
      <c r="O14036" s="2"/>
      <c r="P14036" s="2"/>
      <c r="Q14036" s="2"/>
      <c r="R14036" s="2"/>
      <c r="S14036" s="2"/>
      <c r="T14036" s="2"/>
      <c r="U14036" s="2"/>
      <c r="V14036" s="2"/>
      <c r="W14036" s="2"/>
      <c r="X14036" s="2"/>
      <c r="Y14036" s="2"/>
      <c r="Z14036" s="2"/>
    </row>
    <row r="14037" spans="1:26" ht="16.5" x14ac:dyDescent="0.35">
      <c r="A14037" s="2" t="str">
        <f ca="1">IFERROR(__xludf.DUMMYFUNCTION("""COMPUTED_VALUE"""),"Dubai")</f>
        <v>Dubai</v>
      </c>
      <c r="B14037" s="2" t="str">
        <f ca="1">IFERROR(__xludf.DUMMYFUNCTION("""COMPUTED_VALUE"""),"Safi Apartments")</f>
        <v>Safi Apartments</v>
      </c>
      <c r="C14037" s="2" t="str">
        <f ca="1">IFERROR(__xludf.DUMMYFUNCTION("""COMPUTED_VALUE"""),"Cluster")</f>
        <v>Cluster</v>
      </c>
      <c r="D14037" s="2" t="str">
        <f ca="1">IFERROR(__xludf.DUMMYFUNCTION("""COMPUTED_VALUE"""),"Dubai&gt;Town Square&gt;Safi Apartments")</f>
        <v>Dubai&gt;Town Square&gt;Safi Apartments</v>
      </c>
      <c r="E14037" s="2"/>
      <c r="F14037" s="2"/>
      <c r="G14037" s="2"/>
      <c r="H14037" s="2"/>
      <c r="I14037" s="2"/>
      <c r="J14037" s="2"/>
      <c r="K14037" s="2"/>
      <c r="L14037" s="2"/>
      <c r="M14037" s="2"/>
      <c r="N14037" s="2"/>
      <c r="O14037" s="2"/>
      <c r="P14037" s="2"/>
      <c r="Q14037" s="2"/>
      <c r="R14037" s="2"/>
      <c r="S14037" s="2"/>
      <c r="T14037" s="2"/>
      <c r="U14037" s="2"/>
      <c r="V14037" s="2"/>
      <c r="W14037" s="2"/>
      <c r="X14037" s="2"/>
      <c r="Y14037" s="2"/>
      <c r="Z14037" s="2"/>
    </row>
    <row r="14038" spans="1:26" ht="16.5" x14ac:dyDescent="0.35">
      <c r="A14038" s="2" t="str">
        <f ca="1">IFERROR(__xludf.DUMMYFUNCTION("""COMPUTED_VALUE"""),"Dubai")</f>
        <v>Dubai</v>
      </c>
      <c r="B14038" s="2" t="str">
        <f ca="1">IFERROR(__xludf.DUMMYFUNCTION("""COMPUTED_VALUE"""),"Liva")</f>
        <v>Liva</v>
      </c>
      <c r="C14038" s="2" t="str">
        <f ca="1">IFERROR(__xludf.DUMMYFUNCTION("""COMPUTED_VALUE"""),"Building")</f>
        <v>Building</v>
      </c>
      <c r="D14038" s="2" t="str">
        <f ca="1">IFERROR(__xludf.DUMMYFUNCTION("""COMPUTED_VALUE"""),"Dubai&gt;Town Square&gt;Liva")</f>
        <v>Dubai&gt;Town Square&gt;Liva</v>
      </c>
      <c r="E14038" s="2"/>
      <c r="F14038" s="2"/>
      <c r="G14038" s="2"/>
      <c r="H14038" s="2"/>
      <c r="I14038" s="2"/>
      <c r="J14038" s="2"/>
      <c r="K14038" s="2"/>
      <c r="L14038" s="2"/>
      <c r="M14038" s="2"/>
      <c r="N14038" s="2"/>
      <c r="O14038" s="2"/>
      <c r="P14038" s="2"/>
      <c r="Q14038" s="2"/>
      <c r="R14038" s="2"/>
      <c r="S14038" s="2"/>
      <c r="T14038" s="2"/>
      <c r="U14038" s="2"/>
      <c r="V14038" s="2"/>
      <c r="W14038" s="2"/>
      <c r="X14038" s="2"/>
      <c r="Y14038" s="2"/>
      <c r="Z14038" s="2"/>
    </row>
    <row r="14039" spans="1:26" ht="16.5" x14ac:dyDescent="0.35">
      <c r="A14039" s="2" t="str">
        <f ca="1">IFERROR(__xludf.DUMMYFUNCTION("""COMPUTED_VALUE"""),"Dubai")</f>
        <v>Dubai</v>
      </c>
      <c r="B14039" s="2" t="str">
        <f ca="1">IFERROR(__xludf.DUMMYFUNCTION("""COMPUTED_VALUE"""),"Ellison")</f>
        <v>Ellison</v>
      </c>
      <c r="C14039" s="2" t="str">
        <f ca="1">IFERROR(__xludf.DUMMYFUNCTION("""COMPUTED_VALUE"""),"Building")</f>
        <v>Building</v>
      </c>
      <c r="D14039" s="2" t="str">
        <f ca="1">IFERROR(__xludf.DUMMYFUNCTION("""COMPUTED_VALUE"""),"Dubai&gt;Town Square&gt;Ellison")</f>
        <v>Dubai&gt;Town Square&gt;Ellison</v>
      </c>
      <c r="E14039" s="2"/>
      <c r="F14039" s="2"/>
      <c r="G14039" s="2"/>
      <c r="H14039" s="2"/>
      <c r="I14039" s="2"/>
      <c r="J14039" s="2"/>
      <c r="K14039" s="2"/>
      <c r="L14039" s="2"/>
      <c r="M14039" s="2"/>
      <c r="N14039" s="2"/>
      <c r="O14039" s="2"/>
      <c r="P14039" s="2"/>
      <c r="Q14039" s="2"/>
      <c r="R14039" s="2"/>
      <c r="S14039" s="2"/>
      <c r="T14039" s="2"/>
      <c r="U14039" s="2"/>
      <c r="V14039" s="2"/>
      <c r="W14039" s="2"/>
      <c r="X14039" s="2"/>
      <c r="Y14039" s="2"/>
      <c r="Z14039" s="2"/>
    </row>
    <row r="14040" spans="1:26" ht="16.5" x14ac:dyDescent="0.35">
      <c r="A14040" s="2" t="str">
        <f ca="1">IFERROR(__xludf.DUMMYFUNCTION("""COMPUTED_VALUE"""),"Dubai")</f>
        <v>Dubai</v>
      </c>
      <c r="B14040" s="2" t="str">
        <f ca="1">IFERROR(__xludf.DUMMYFUNCTION("""COMPUTED_VALUE"""),"Azizi Iris")</f>
        <v>Azizi Iris</v>
      </c>
      <c r="C14040" s="2" t="str">
        <f ca="1">IFERROR(__xludf.DUMMYFUNCTION("""COMPUTED_VALUE"""),"Building")</f>
        <v>Building</v>
      </c>
      <c r="D14040" s="2" t="str">
        <f ca="1">IFERROR(__xludf.DUMMYFUNCTION("""COMPUTED_VALUE"""),"Dubai&gt;Al Furjan&gt;Azizi Iris")</f>
        <v>Dubai&gt;Al Furjan&gt;Azizi Iris</v>
      </c>
      <c r="E14040" s="2"/>
      <c r="F14040" s="2"/>
      <c r="G14040" s="2"/>
      <c r="H14040" s="2"/>
      <c r="I14040" s="2"/>
      <c r="J14040" s="2"/>
      <c r="K14040" s="2"/>
      <c r="L14040" s="2"/>
      <c r="M14040" s="2"/>
      <c r="N14040" s="2"/>
      <c r="O14040" s="2"/>
      <c r="P14040" s="2"/>
      <c r="Q14040" s="2"/>
      <c r="R14040" s="2"/>
      <c r="S14040" s="2"/>
      <c r="T14040" s="2"/>
      <c r="U14040" s="2"/>
      <c r="V14040" s="2"/>
      <c r="W14040" s="2"/>
      <c r="X14040" s="2"/>
      <c r="Y14040" s="2"/>
      <c r="Z14040" s="2"/>
    </row>
    <row r="14041" spans="1:26" ht="16.5" x14ac:dyDescent="0.35">
      <c r="A14041" s="2" t="str">
        <f ca="1">IFERROR(__xludf.DUMMYFUNCTION("""COMPUTED_VALUE"""),"Dubai")</f>
        <v>Dubai</v>
      </c>
      <c r="B14041" s="2" t="str">
        <f ca="1">IFERROR(__xludf.DUMMYFUNCTION("""COMPUTED_VALUE"""),"Shadaab Noor Tower")</f>
        <v>Shadaab Noor Tower</v>
      </c>
      <c r="C14041" s="2" t="str">
        <f ca="1">IFERROR(__xludf.DUMMYFUNCTION("""COMPUTED_VALUE"""),"Building")</f>
        <v>Building</v>
      </c>
      <c r="D14041" s="2" t="str">
        <f ca="1">IFERROR(__xludf.DUMMYFUNCTION("""COMPUTED_VALUE"""),"Dubai&gt;Al Furjan&gt;Shadaab Noor Tower")</f>
        <v>Dubai&gt;Al Furjan&gt;Shadaab Noor Tower</v>
      </c>
      <c r="E14041" s="2"/>
      <c r="F14041" s="2"/>
      <c r="G14041" s="2"/>
      <c r="H14041" s="2"/>
      <c r="I14041" s="2"/>
      <c r="J14041" s="2"/>
      <c r="K14041" s="2"/>
      <c r="L14041" s="2"/>
      <c r="M14041" s="2"/>
      <c r="N14041" s="2"/>
      <c r="O14041" s="2"/>
      <c r="P14041" s="2"/>
      <c r="Q14041" s="2"/>
      <c r="R14041" s="2"/>
      <c r="S14041" s="2"/>
      <c r="T14041" s="2"/>
      <c r="U14041" s="2"/>
      <c r="V14041" s="2"/>
      <c r="W14041" s="2"/>
      <c r="X14041" s="2"/>
      <c r="Y14041" s="2"/>
      <c r="Z14041" s="2"/>
    </row>
    <row r="14042" spans="1:26" ht="16.5" x14ac:dyDescent="0.35">
      <c r="A14042" s="2" t="str">
        <f ca="1">IFERROR(__xludf.DUMMYFUNCTION("""COMPUTED_VALUE"""),"Dubai")</f>
        <v>Dubai</v>
      </c>
      <c r="B14042" s="2" t="str">
        <f ca="1">IFERROR(__xludf.DUMMYFUNCTION("""COMPUTED_VALUE"""),"Masakin Al Furjan Block F")</f>
        <v>Masakin Al Furjan Block F</v>
      </c>
      <c r="C14042" s="2" t="str">
        <f ca="1">IFERROR(__xludf.DUMMYFUNCTION("""COMPUTED_VALUE"""),"Building")</f>
        <v>Building</v>
      </c>
      <c r="D14042" s="2" t="str">
        <f ca="1">IFERROR(__xludf.DUMMYFUNCTION("""COMPUTED_VALUE"""),"Dubai&gt;Al Furjan&gt;Masakin Al Furjan&gt;Masakin Al Furjan Block F")</f>
        <v>Dubai&gt;Al Furjan&gt;Masakin Al Furjan&gt;Masakin Al Furjan Block F</v>
      </c>
      <c r="E14042" s="2"/>
      <c r="F14042" s="2"/>
      <c r="G14042" s="2"/>
      <c r="H14042" s="2"/>
      <c r="I14042" s="2"/>
      <c r="J14042" s="2"/>
      <c r="K14042" s="2"/>
      <c r="L14042" s="2"/>
      <c r="M14042" s="2"/>
      <c r="N14042" s="2"/>
      <c r="O14042" s="2"/>
      <c r="P14042" s="2"/>
      <c r="Q14042" s="2"/>
      <c r="R14042" s="2"/>
      <c r="S14042" s="2"/>
      <c r="T14042" s="2"/>
      <c r="U14042" s="2"/>
      <c r="V14042" s="2"/>
      <c r="W14042" s="2"/>
      <c r="X14042" s="2"/>
      <c r="Y14042" s="2"/>
      <c r="Z14042" s="2"/>
    </row>
    <row r="14043" spans="1:26" ht="16.5" x14ac:dyDescent="0.35">
      <c r="A14043" s="2" t="str">
        <f ca="1">IFERROR(__xludf.DUMMYFUNCTION("""COMPUTED_VALUE"""),"Dubai")</f>
        <v>Dubai</v>
      </c>
      <c r="B14043" s="2" t="str">
        <f ca="1">IFERROR(__xludf.DUMMYFUNCTION("""COMPUTED_VALUE"""),"Equiti Home B")</f>
        <v>Equiti Home B</v>
      </c>
      <c r="C14043" s="2" t="str">
        <f ca="1">IFERROR(__xludf.DUMMYFUNCTION("""COMPUTED_VALUE"""),"Building")</f>
        <v>Building</v>
      </c>
      <c r="D14043" s="2" t="str">
        <f ca="1">IFERROR(__xludf.DUMMYFUNCTION("""COMPUTED_VALUE"""),"Dubai&gt;Al Furjan&gt;Equiti Home&gt;Equiti Home B")</f>
        <v>Dubai&gt;Al Furjan&gt;Equiti Home&gt;Equiti Home B</v>
      </c>
      <c r="E14043" s="2"/>
      <c r="F14043" s="2"/>
      <c r="G14043" s="2"/>
      <c r="H14043" s="2"/>
      <c r="I14043" s="2"/>
      <c r="J14043" s="2"/>
      <c r="K14043" s="2"/>
      <c r="L14043" s="2"/>
      <c r="M14043" s="2"/>
      <c r="N14043" s="2"/>
      <c r="O14043" s="2"/>
      <c r="P14043" s="2"/>
      <c r="Q14043" s="2"/>
      <c r="R14043" s="2"/>
      <c r="S14043" s="2"/>
      <c r="T14043" s="2"/>
      <c r="U14043" s="2"/>
      <c r="V14043" s="2"/>
      <c r="W14043" s="2"/>
      <c r="X14043" s="2"/>
      <c r="Y14043" s="2"/>
      <c r="Z14043" s="2"/>
    </row>
    <row r="14044" spans="1:26" ht="16.5" x14ac:dyDescent="0.35">
      <c r="A14044" s="2" t="str">
        <f ca="1">IFERROR(__xludf.DUMMYFUNCTION("""COMPUTED_VALUE"""),"Dubai")</f>
        <v>Dubai</v>
      </c>
      <c r="B14044" s="2" t="str">
        <f ca="1">IFERROR(__xludf.DUMMYFUNCTION("""COMPUTED_VALUE"""),"Almaara Residences")</f>
        <v>Almaara Residences</v>
      </c>
      <c r="C14044" s="2" t="str">
        <f ca="1">IFERROR(__xludf.DUMMYFUNCTION("""COMPUTED_VALUE"""),"Building")</f>
        <v>Building</v>
      </c>
      <c r="D14044" s="2" t="str">
        <f ca="1">IFERROR(__xludf.DUMMYFUNCTION("""COMPUTED_VALUE"""),"Dubai&gt;Al Furjan&gt;Almaara Residences")</f>
        <v>Dubai&gt;Al Furjan&gt;Almaara Residences</v>
      </c>
      <c r="E14044" s="2"/>
      <c r="F14044" s="2"/>
      <c r="G14044" s="2"/>
      <c r="H14044" s="2"/>
      <c r="I14044" s="2"/>
      <c r="J14044" s="2"/>
      <c r="K14044" s="2"/>
      <c r="L14044" s="2"/>
      <c r="M14044" s="2"/>
      <c r="N14044" s="2"/>
      <c r="O14044" s="2"/>
      <c r="P14044" s="2"/>
      <c r="Q14044" s="2"/>
      <c r="R14044" s="2"/>
      <c r="S14044" s="2"/>
      <c r="T14044" s="2"/>
      <c r="U14044" s="2"/>
      <c r="V14044" s="2"/>
      <c r="W14044" s="2"/>
      <c r="X14044" s="2"/>
      <c r="Y14044" s="2"/>
      <c r="Z14044" s="2"/>
    </row>
    <row r="14045" spans="1:26" ht="16.5" x14ac:dyDescent="0.35">
      <c r="A14045" s="2" t="str">
        <f ca="1">IFERROR(__xludf.DUMMYFUNCTION("""COMPUTED_VALUE"""),"Dubai")</f>
        <v>Dubai</v>
      </c>
      <c r="B14045" s="2" t="str">
        <f ca="1">IFERROR(__xludf.DUMMYFUNCTION("""COMPUTED_VALUE"""),"The Derby Residence 3")</f>
        <v>The Derby Residence 3</v>
      </c>
      <c r="C14045" s="2" t="str">
        <f ca="1">IFERROR(__xludf.DUMMYFUNCTION("""COMPUTED_VALUE"""),"Building")</f>
        <v>Building</v>
      </c>
      <c r="D14045" s="2" t="str">
        <f ca="1">IFERROR(__xludf.DUMMYFUNCTION("""COMPUTED_VALUE"""),"Dubai&gt;Meydan City&gt;The Derby Residences&gt;The Derby Residence 3")</f>
        <v>Dubai&gt;Meydan City&gt;The Derby Residences&gt;The Derby Residence 3</v>
      </c>
      <c r="E14045" s="2"/>
      <c r="F14045" s="2"/>
      <c r="G14045" s="2"/>
      <c r="H14045" s="2"/>
      <c r="I14045" s="2"/>
      <c r="J14045" s="2"/>
      <c r="K14045" s="2"/>
      <c r="L14045" s="2"/>
      <c r="M14045" s="2"/>
      <c r="N14045" s="2"/>
      <c r="O14045" s="2"/>
      <c r="P14045" s="2"/>
      <c r="Q14045" s="2"/>
      <c r="R14045" s="2"/>
      <c r="S14045" s="2"/>
      <c r="T14045" s="2"/>
      <c r="U14045" s="2"/>
      <c r="V14045" s="2"/>
      <c r="W14045" s="2"/>
      <c r="X14045" s="2"/>
      <c r="Y14045" s="2"/>
      <c r="Z14045" s="2"/>
    </row>
    <row r="14046" spans="1:26" ht="16.5" x14ac:dyDescent="0.35">
      <c r="A14046" s="2" t="str">
        <f ca="1">IFERROR(__xludf.DUMMYFUNCTION("""COMPUTED_VALUE"""),"Dubai")</f>
        <v>Dubai</v>
      </c>
      <c r="B14046" s="2" t="str">
        <f ca="1">IFERROR(__xludf.DUMMYFUNCTION("""COMPUTED_VALUE"""),"Azizi Riviera 6")</f>
        <v>Azizi Riviera 6</v>
      </c>
      <c r="C14046" s="2" t="str">
        <f ca="1">IFERROR(__xludf.DUMMYFUNCTION("""COMPUTED_VALUE"""),"Building")</f>
        <v>Building</v>
      </c>
      <c r="D14046" s="2" t="str">
        <f ca="1">IFERROR(__xludf.DUMMYFUNCTION("""COMPUTED_VALUE"""),"Dubai&gt;Meydan City&gt;Meydan One&gt;Azizi Riviera&gt;Azizi Riviera 6")</f>
        <v>Dubai&gt;Meydan City&gt;Meydan One&gt;Azizi Riviera&gt;Azizi Riviera 6</v>
      </c>
      <c r="E14046" s="2"/>
      <c r="F14046" s="2"/>
      <c r="G14046" s="2"/>
      <c r="H14046" s="2"/>
      <c r="I14046" s="2"/>
      <c r="J14046" s="2"/>
      <c r="K14046" s="2"/>
      <c r="L14046" s="2"/>
      <c r="M14046" s="2"/>
      <c r="N14046" s="2"/>
      <c r="O14046" s="2"/>
      <c r="P14046" s="2"/>
      <c r="Q14046" s="2"/>
      <c r="R14046" s="2"/>
      <c r="S14046" s="2"/>
      <c r="T14046" s="2"/>
      <c r="U14046" s="2"/>
      <c r="V14046" s="2"/>
      <c r="W14046" s="2"/>
      <c r="X14046" s="2"/>
      <c r="Y14046" s="2"/>
      <c r="Z14046" s="2"/>
    </row>
    <row r="14047" spans="1:26" ht="16.5" x14ac:dyDescent="0.35">
      <c r="A14047" s="2" t="str">
        <f ca="1">IFERROR(__xludf.DUMMYFUNCTION("""COMPUTED_VALUE"""),"Dubai")</f>
        <v>Dubai</v>
      </c>
      <c r="B14047" s="2" t="str">
        <f ca="1">IFERROR(__xludf.DUMMYFUNCTION("""COMPUTED_VALUE"""),"Azizi Riviera 65")</f>
        <v>Azizi Riviera 65</v>
      </c>
      <c r="C14047" s="2" t="str">
        <f ca="1">IFERROR(__xludf.DUMMYFUNCTION("""COMPUTED_VALUE"""),"Building")</f>
        <v>Building</v>
      </c>
      <c r="D14047" s="2" t="str">
        <f ca="1">IFERROR(__xludf.DUMMYFUNCTION("""COMPUTED_VALUE"""),"Dubai&gt;Meydan City&gt;Meydan One&gt;Azizi Riviera&gt;Azizi Riviera 65")</f>
        <v>Dubai&gt;Meydan City&gt;Meydan One&gt;Azizi Riviera&gt;Azizi Riviera 65</v>
      </c>
      <c r="E14047" s="2"/>
      <c r="F14047" s="2"/>
      <c r="G14047" s="2"/>
      <c r="H14047" s="2"/>
      <c r="I14047" s="2"/>
      <c r="J14047" s="2"/>
      <c r="K14047" s="2"/>
      <c r="L14047" s="2"/>
      <c r="M14047" s="2"/>
      <c r="N14047" s="2"/>
      <c r="O14047" s="2"/>
      <c r="P14047" s="2"/>
      <c r="Q14047" s="2"/>
      <c r="R14047" s="2"/>
      <c r="S14047" s="2"/>
      <c r="T14047" s="2"/>
      <c r="U14047" s="2"/>
      <c r="V14047" s="2"/>
      <c r="W14047" s="2"/>
      <c r="X14047" s="2"/>
      <c r="Y14047" s="2"/>
      <c r="Z14047" s="2"/>
    </row>
    <row r="14048" spans="1:26" ht="16.5" x14ac:dyDescent="0.35">
      <c r="A14048" s="2" t="str">
        <f ca="1">IFERROR(__xludf.DUMMYFUNCTION("""COMPUTED_VALUE"""),"Dubai")</f>
        <v>Dubai</v>
      </c>
      <c r="B14048" s="2" t="str">
        <f ca="1">IFERROR(__xludf.DUMMYFUNCTION("""COMPUTED_VALUE"""),"Polo Residence A1")</f>
        <v>Polo Residence A1</v>
      </c>
      <c r="C14048" s="2" t="str">
        <f ca="1">IFERROR(__xludf.DUMMYFUNCTION("""COMPUTED_VALUE"""),"Building")</f>
        <v>Building</v>
      </c>
      <c r="D14048" s="2" t="str">
        <f ca="1">IFERROR(__xludf.DUMMYFUNCTION("""COMPUTED_VALUE"""),"Dubai&gt;Meydan City&gt;Meydan Avenue&gt;Polo Residence&gt;Polo Residence A1")</f>
        <v>Dubai&gt;Meydan City&gt;Meydan Avenue&gt;Polo Residence&gt;Polo Residence A1</v>
      </c>
      <c r="E14048" s="2"/>
      <c r="F14048" s="2"/>
      <c r="G14048" s="2"/>
      <c r="H14048" s="2"/>
      <c r="I14048" s="2"/>
      <c r="J14048" s="2"/>
      <c r="K14048" s="2"/>
      <c r="L14048" s="2"/>
      <c r="M14048" s="2"/>
      <c r="N14048" s="2"/>
      <c r="O14048" s="2"/>
      <c r="P14048" s="2"/>
      <c r="Q14048" s="2"/>
      <c r="R14048" s="2"/>
      <c r="S14048" s="2"/>
      <c r="T14048" s="2"/>
      <c r="U14048" s="2"/>
      <c r="V14048" s="2"/>
      <c r="W14048" s="2"/>
      <c r="X14048" s="2"/>
      <c r="Y14048" s="2"/>
      <c r="Z14048" s="2"/>
    </row>
    <row r="14049" spans="1:26" ht="16.5" x14ac:dyDescent="0.35">
      <c r="A14049" s="2" t="str">
        <f ca="1">IFERROR(__xludf.DUMMYFUNCTION("""COMPUTED_VALUE"""),"Dubai")</f>
        <v>Dubai</v>
      </c>
      <c r="B14049" s="2" t="str">
        <f ca="1">IFERROR(__xludf.DUMMYFUNCTION("""COMPUTED_VALUE"""),"Flamingo Residence")</f>
        <v>Flamingo Residence</v>
      </c>
      <c r="C14049" s="2" t="str">
        <f ca="1">IFERROR(__xludf.DUMMYFUNCTION("""COMPUTED_VALUE"""),"Building")</f>
        <v>Building</v>
      </c>
      <c r="D14049" s="2" t="str">
        <f ca="1">IFERROR(__xludf.DUMMYFUNCTION("""COMPUTED_VALUE"""),"Dubai&gt;Meydan City&gt;Meydan Avenue&gt;Flamingo Residence")</f>
        <v>Dubai&gt;Meydan City&gt;Meydan Avenue&gt;Flamingo Residence</v>
      </c>
      <c r="E14049" s="2"/>
      <c r="F14049" s="2"/>
      <c r="G14049" s="2"/>
      <c r="H14049" s="2"/>
      <c r="I14049" s="2"/>
      <c r="J14049" s="2"/>
      <c r="K14049" s="2"/>
      <c r="L14049" s="2"/>
      <c r="M14049" s="2"/>
      <c r="N14049" s="2"/>
      <c r="O14049" s="2"/>
      <c r="P14049" s="2"/>
      <c r="Q14049" s="2"/>
      <c r="R14049" s="2"/>
      <c r="S14049" s="2"/>
      <c r="T14049" s="2"/>
      <c r="U14049" s="2"/>
      <c r="V14049" s="2"/>
      <c r="W14049" s="2"/>
      <c r="X14049" s="2"/>
      <c r="Y14049" s="2"/>
      <c r="Z14049" s="2"/>
    </row>
    <row r="14050" spans="1:26" ht="16.5" x14ac:dyDescent="0.35">
      <c r="A14050" s="2" t="str">
        <f ca="1">IFERROR(__xludf.DUMMYFUNCTION("""COMPUTED_VALUE"""),"Dubai")</f>
        <v>Dubai</v>
      </c>
      <c r="B14050" s="2" t="str">
        <f ca="1">IFERROR(__xludf.DUMMYFUNCTION("""COMPUTED_VALUE"""),"Emerge Residences")</f>
        <v>Emerge Residences</v>
      </c>
      <c r="C14050" s="2" t="str">
        <f ca="1">IFERROR(__xludf.DUMMYFUNCTION("""COMPUTED_VALUE"""),"Building")</f>
        <v>Building</v>
      </c>
      <c r="D14050" s="2" t="str">
        <f ca="1">IFERROR(__xludf.DUMMYFUNCTION("""COMPUTED_VALUE"""),"Dubai&gt;Meydan City&gt;Emerge Residences")</f>
        <v>Dubai&gt;Meydan City&gt;Emerge Residences</v>
      </c>
      <c r="E14050" s="2"/>
      <c r="F14050" s="2"/>
      <c r="G14050" s="2"/>
      <c r="H14050" s="2"/>
      <c r="I14050" s="2"/>
      <c r="J14050" s="2"/>
      <c r="K14050" s="2"/>
      <c r="L14050" s="2"/>
      <c r="M14050" s="2"/>
      <c r="N14050" s="2"/>
      <c r="O14050" s="2"/>
      <c r="P14050" s="2"/>
      <c r="Q14050" s="2"/>
      <c r="R14050" s="2"/>
      <c r="S14050" s="2"/>
      <c r="T14050" s="2"/>
      <c r="U14050" s="2"/>
      <c r="V14050" s="2"/>
      <c r="W14050" s="2"/>
      <c r="X14050" s="2"/>
      <c r="Y14050" s="2"/>
      <c r="Z14050" s="2"/>
    </row>
    <row r="14051" spans="1:26" ht="16.5" x14ac:dyDescent="0.35">
      <c r="A14051" s="2" t="str">
        <f ca="1">IFERROR(__xludf.DUMMYFUNCTION("""COMPUTED_VALUE"""),"Dubai")</f>
        <v>Dubai</v>
      </c>
      <c r="B14051" s="2" t="str">
        <f ca="1">IFERROR(__xludf.DUMMYFUNCTION("""COMPUTED_VALUE"""),"Al Jaz")</f>
        <v>Al Jaz</v>
      </c>
      <c r="C14051" s="2" t="str">
        <f ca="1">IFERROR(__xludf.DUMMYFUNCTION("""COMPUTED_VALUE"""),"Cluster")</f>
        <v>Cluster</v>
      </c>
      <c r="D14051" s="2" t="str">
        <f ca="1">IFERROR(__xludf.DUMMYFUNCTION("""COMPUTED_VALUE"""),"Dubai&gt;The Greens&gt;Al Jaz")</f>
        <v>Dubai&gt;The Greens&gt;Al Jaz</v>
      </c>
      <c r="E14051" s="2"/>
      <c r="F14051" s="2"/>
      <c r="G14051" s="2"/>
      <c r="H14051" s="2"/>
      <c r="I14051" s="2"/>
      <c r="J14051" s="2"/>
      <c r="K14051" s="2"/>
      <c r="L14051" s="2"/>
      <c r="M14051" s="2"/>
      <c r="N14051" s="2"/>
      <c r="O14051" s="2"/>
      <c r="P14051" s="2"/>
      <c r="Q14051" s="2"/>
      <c r="R14051" s="2"/>
      <c r="S14051" s="2"/>
      <c r="T14051" s="2"/>
      <c r="U14051" s="2"/>
      <c r="V14051" s="2"/>
      <c r="W14051" s="2"/>
      <c r="X14051" s="2"/>
      <c r="Y14051" s="2"/>
      <c r="Z14051" s="2"/>
    </row>
    <row r="14052" spans="1:26" ht="16.5" x14ac:dyDescent="0.35">
      <c r="A14052" s="2" t="str">
        <f ca="1">IFERROR(__xludf.DUMMYFUNCTION("""COMPUTED_VALUE"""),"Dubai")</f>
        <v>Dubai</v>
      </c>
      <c r="B14052" s="2" t="str">
        <f ca="1">IFERROR(__xludf.DUMMYFUNCTION("""COMPUTED_VALUE"""),"Galadari Office Building B17")</f>
        <v>Galadari Office Building B17</v>
      </c>
      <c r="C14052" s="2" t="str">
        <f ca="1">IFERROR(__xludf.DUMMYFUNCTION("""COMPUTED_VALUE"""),"Building")</f>
        <v>Building</v>
      </c>
      <c r="D14052" s="2" t="str">
        <f ca="1">IFERROR(__xludf.DUMMYFUNCTION("""COMPUTED_VALUE"""),"Dubai&gt;Dubai Production City (IMPZ)&gt;Galadari Office Building B17")</f>
        <v>Dubai&gt;Dubai Production City (IMPZ)&gt;Galadari Office Building B17</v>
      </c>
      <c r="E14052" s="2"/>
      <c r="F14052" s="2"/>
      <c r="G14052" s="2"/>
      <c r="H14052" s="2"/>
      <c r="I14052" s="2"/>
      <c r="J14052" s="2"/>
      <c r="K14052" s="2"/>
      <c r="L14052" s="2"/>
      <c r="M14052" s="2"/>
      <c r="N14052" s="2"/>
      <c r="O14052" s="2"/>
      <c r="P14052" s="2"/>
      <c r="Q14052" s="2"/>
      <c r="R14052" s="2"/>
      <c r="S14052" s="2"/>
      <c r="T14052" s="2"/>
      <c r="U14052" s="2"/>
      <c r="V14052" s="2"/>
      <c r="W14052" s="2"/>
      <c r="X14052" s="2"/>
      <c r="Y14052" s="2"/>
      <c r="Z14052" s="2"/>
    </row>
    <row r="14053" spans="1:26" ht="16.5" x14ac:dyDescent="0.35">
      <c r="A14053" s="2" t="str">
        <f ca="1">IFERROR(__xludf.DUMMYFUNCTION("""COMPUTED_VALUE"""),"Dubai")</f>
        <v>Dubai</v>
      </c>
      <c r="B14053" s="2" t="str">
        <f ca="1">IFERROR(__xludf.DUMMYFUNCTION("""COMPUTED_VALUE"""),"Dania 2")</f>
        <v>Dania 2</v>
      </c>
      <c r="C14053" s="2" t="str">
        <f ca="1">IFERROR(__xludf.DUMMYFUNCTION("""COMPUTED_VALUE"""),"Building")</f>
        <v>Building</v>
      </c>
      <c r="D14053" s="2" t="str">
        <f ca="1">IFERROR(__xludf.DUMMYFUNCTION("""COMPUTED_VALUE"""),"Dubai&gt;Dubai Production City (IMPZ)&gt;Midtown&gt;Dania District&gt;Dania 2")</f>
        <v>Dubai&gt;Dubai Production City (IMPZ)&gt;Midtown&gt;Dania District&gt;Dania 2</v>
      </c>
      <c r="E14053" s="2"/>
      <c r="F14053" s="2"/>
      <c r="G14053" s="2"/>
      <c r="H14053" s="2"/>
      <c r="I14053" s="2"/>
      <c r="J14053" s="2"/>
      <c r="K14053" s="2"/>
      <c r="L14053" s="2"/>
      <c r="M14053" s="2"/>
      <c r="N14053" s="2"/>
      <c r="O14053" s="2"/>
      <c r="P14053" s="2"/>
      <c r="Q14053" s="2"/>
      <c r="R14053" s="2"/>
      <c r="S14053" s="2"/>
      <c r="T14053" s="2"/>
      <c r="U14053" s="2"/>
      <c r="V14053" s="2"/>
      <c r="W14053" s="2"/>
      <c r="X14053" s="2"/>
      <c r="Y14053" s="2"/>
      <c r="Z14053" s="2"/>
    </row>
    <row r="14054" spans="1:26" ht="16.5" x14ac:dyDescent="0.35">
      <c r="A14054" s="2" t="str">
        <f ca="1">IFERROR(__xludf.DUMMYFUNCTION("""COMPUTED_VALUE"""),"Dubai")</f>
        <v>Dubai</v>
      </c>
      <c r="B14054" s="2" t="str">
        <f ca="1">IFERROR(__xludf.DUMMYFUNCTION("""COMPUTED_VALUE"""),"Qasr Sabah 1")</f>
        <v>Qasr Sabah 1</v>
      </c>
      <c r="C14054" s="2" t="str">
        <f ca="1">IFERROR(__xludf.DUMMYFUNCTION("""COMPUTED_VALUE"""),"Building")</f>
        <v>Building</v>
      </c>
      <c r="D14054" s="2" t="str">
        <f ca="1">IFERROR(__xludf.DUMMYFUNCTION("""COMPUTED_VALUE"""),"Dubai&gt;Dubai Production City (IMPZ)&gt;Qasr Sabah&gt;Qasr Sabah 1")</f>
        <v>Dubai&gt;Dubai Production City (IMPZ)&gt;Qasr Sabah&gt;Qasr Sabah 1</v>
      </c>
      <c r="E14054" s="2"/>
      <c r="F14054" s="2"/>
      <c r="G14054" s="2"/>
      <c r="H14054" s="2"/>
      <c r="I14054" s="2"/>
      <c r="J14054" s="2"/>
      <c r="K14054" s="2"/>
      <c r="L14054" s="2"/>
      <c r="M14054" s="2"/>
      <c r="N14054" s="2"/>
      <c r="O14054" s="2"/>
      <c r="P14054" s="2"/>
      <c r="Q14054" s="2"/>
      <c r="R14054" s="2"/>
      <c r="S14054" s="2"/>
      <c r="T14054" s="2"/>
      <c r="U14054" s="2"/>
      <c r="V14054" s="2"/>
      <c r="W14054" s="2"/>
      <c r="X14054" s="2"/>
      <c r="Y14054" s="2"/>
      <c r="Z14054" s="2"/>
    </row>
    <row r="14055" spans="1:26" ht="16.5" x14ac:dyDescent="0.35">
      <c r="A14055" s="2" t="str">
        <f ca="1">IFERROR(__xludf.DUMMYFUNCTION("""COMPUTED_VALUE"""),"Dubai")</f>
        <v>Dubai</v>
      </c>
      <c r="B14055" s="2" t="str">
        <f ca="1">IFERROR(__xludf.DUMMYFUNCTION("""COMPUTED_VALUE"""),"Viera Residences")</f>
        <v>Viera Residences</v>
      </c>
      <c r="C14055" s="2" t="str">
        <f ca="1">IFERROR(__xludf.DUMMYFUNCTION("""COMPUTED_VALUE"""),"Building")</f>
        <v>Building</v>
      </c>
      <c r="D14055" s="2" t="str">
        <f ca="1">IFERROR(__xludf.DUMMYFUNCTION("""COMPUTED_VALUE"""),"Dubai&gt;Dubai Production City (IMPZ)&gt;Viera Residences")</f>
        <v>Dubai&gt;Dubai Production City (IMPZ)&gt;Viera Residences</v>
      </c>
      <c r="E14055" s="2"/>
      <c r="F14055" s="2"/>
      <c r="G14055" s="2"/>
      <c r="H14055" s="2"/>
      <c r="I14055" s="2"/>
      <c r="J14055" s="2"/>
      <c r="K14055" s="2"/>
      <c r="L14055" s="2"/>
      <c r="M14055" s="2"/>
      <c r="N14055" s="2"/>
      <c r="O14055" s="2"/>
      <c r="P14055" s="2"/>
      <c r="Q14055" s="2"/>
      <c r="R14055" s="2"/>
      <c r="S14055" s="2"/>
      <c r="T14055" s="2"/>
      <c r="U14055" s="2"/>
      <c r="V14055" s="2"/>
      <c r="W14055" s="2"/>
      <c r="X14055" s="2"/>
      <c r="Y14055" s="2"/>
      <c r="Z14055" s="2"/>
    </row>
    <row r="14056" spans="1:26" ht="16.5" x14ac:dyDescent="0.35">
      <c r="A14056" s="2" t="str">
        <f ca="1">IFERROR(__xludf.DUMMYFUNCTION("""COMPUTED_VALUE"""),"Dubai")</f>
        <v>Dubai</v>
      </c>
      <c r="B14056" s="2" t="str">
        <f ca="1">IFERROR(__xludf.DUMMYFUNCTION("""COMPUTED_VALUE"""),"Sahara Meadows 2")</f>
        <v>Sahara Meadows 2</v>
      </c>
      <c r="C14056" s="2" t="str">
        <f ca="1">IFERROR(__xludf.DUMMYFUNCTION("""COMPUTED_VALUE"""),"Neighbourhood")</f>
        <v>Neighbourhood</v>
      </c>
      <c r="D14056" s="2" t="str">
        <f ca="1">IFERROR(__xludf.DUMMYFUNCTION("""COMPUTED_VALUE"""),"Dubai&gt;Dubai Industrial City&gt;Sahara Meadows&gt;Sahara Meadows 2")</f>
        <v>Dubai&gt;Dubai Industrial City&gt;Sahara Meadows&gt;Sahara Meadows 2</v>
      </c>
      <c r="E14056" s="2"/>
      <c r="F14056" s="2"/>
      <c r="G14056" s="2"/>
      <c r="H14056" s="2"/>
      <c r="I14056" s="2"/>
      <c r="J14056" s="2"/>
      <c r="K14056" s="2"/>
      <c r="L14056" s="2"/>
      <c r="M14056" s="2"/>
      <c r="N14056" s="2"/>
      <c r="O14056" s="2"/>
      <c r="P14056" s="2"/>
      <c r="Q14056" s="2"/>
      <c r="R14056" s="2"/>
      <c r="S14056" s="2"/>
      <c r="T14056" s="2"/>
      <c r="U14056" s="2"/>
      <c r="V14056" s="2"/>
      <c r="W14056" s="2"/>
      <c r="X14056" s="2"/>
      <c r="Y14056" s="2"/>
      <c r="Z14056" s="2"/>
    </row>
    <row r="14057" spans="1:26" ht="16.5" x14ac:dyDescent="0.35">
      <c r="A14057" s="2" t="str">
        <f ca="1">IFERROR(__xludf.DUMMYFUNCTION("""COMPUTED_VALUE"""),"Dubai")</f>
        <v>Dubai</v>
      </c>
      <c r="B14057" s="2" t="str">
        <f ca="1">IFERROR(__xludf.DUMMYFUNCTION("""COMPUTED_VALUE"""),"Samana Hills South Tower B")</f>
        <v>Samana Hills South Tower B</v>
      </c>
      <c r="C14057" s="2" t="str">
        <f ca="1">IFERROR(__xludf.DUMMYFUNCTION("""COMPUTED_VALUE"""),"Building")</f>
        <v>Building</v>
      </c>
      <c r="D14057" s="2" t="str">
        <f ca="1">IFERROR(__xludf.DUMMYFUNCTION("""COMPUTED_VALUE"""),"Dubai&gt;Dubai Industrial City&gt;Samana Hills South&gt;Samana Hills South Tower B")</f>
        <v>Dubai&gt;Dubai Industrial City&gt;Samana Hills South&gt;Samana Hills South Tower B</v>
      </c>
      <c r="E14057" s="2"/>
      <c r="F14057" s="2"/>
      <c r="G14057" s="2"/>
      <c r="H14057" s="2"/>
      <c r="I14057" s="2"/>
      <c r="J14057" s="2"/>
      <c r="K14057" s="2"/>
      <c r="L14057" s="2"/>
      <c r="M14057" s="2"/>
      <c r="N14057" s="2"/>
      <c r="O14057" s="2"/>
      <c r="P14057" s="2"/>
      <c r="Q14057" s="2"/>
      <c r="R14057" s="2"/>
      <c r="S14057" s="2"/>
      <c r="T14057" s="2"/>
      <c r="U14057" s="2"/>
      <c r="V14057" s="2"/>
      <c r="W14057" s="2"/>
      <c r="X14057" s="2"/>
      <c r="Y14057" s="2"/>
      <c r="Z14057" s="2"/>
    </row>
    <row r="14058" spans="1:26" ht="16.5" x14ac:dyDescent="0.35">
      <c r="A14058" s="2" t="str">
        <f ca="1">IFERROR(__xludf.DUMMYFUNCTION("""COMPUTED_VALUE"""),"Dubai")</f>
        <v>Dubai</v>
      </c>
      <c r="B14058" s="2" t="str">
        <f ca="1">IFERROR(__xludf.DUMMYFUNCTION("""COMPUTED_VALUE"""),"Alaya")</f>
        <v>Alaya</v>
      </c>
      <c r="C14058" s="2" t="str">
        <f ca="1">IFERROR(__xludf.DUMMYFUNCTION("""COMPUTED_VALUE"""),"Neighbourhood")</f>
        <v>Neighbourhood</v>
      </c>
      <c r="D14058" s="2" t="str">
        <f ca="1">IFERROR(__xludf.DUMMYFUNCTION("""COMPUTED_VALUE"""),"Dubai&gt;Tilal Al Ghaf&gt;Alaya")</f>
        <v>Dubai&gt;Tilal Al Ghaf&gt;Alaya</v>
      </c>
      <c r="E14058" s="2"/>
      <c r="F14058" s="2"/>
      <c r="G14058" s="2"/>
      <c r="H14058" s="2"/>
      <c r="I14058" s="2"/>
      <c r="J14058" s="2"/>
      <c r="K14058" s="2"/>
      <c r="L14058" s="2"/>
      <c r="M14058" s="2"/>
      <c r="N14058" s="2"/>
      <c r="O14058" s="2"/>
      <c r="P14058" s="2"/>
      <c r="Q14058" s="2"/>
      <c r="R14058" s="2"/>
      <c r="S14058" s="2"/>
      <c r="T14058" s="2"/>
      <c r="U14058" s="2"/>
      <c r="V14058" s="2"/>
      <c r="W14058" s="2"/>
      <c r="X14058" s="2"/>
      <c r="Y14058" s="2"/>
      <c r="Z14058" s="2"/>
    </row>
    <row r="14059" spans="1:26" ht="16.5" x14ac:dyDescent="0.35">
      <c r="A14059" s="2" t="str">
        <f ca="1">IFERROR(__xludf.DUMMYFUNCTION("""COMPUTED_VALUE"""),"Dubai")</f>
        <v>Dubai</v>
      </c>
      <c r="B14059" s="2" t="str">
        <f ca="1">IFERROR(__xludf.DUMMYFUNCTION("""COMPUTED_VALUE"""),"Ocean Pearl by SD")</f>
        <v>Ocean Pearl by SD</v>
      </c>
      <c r="C14059" s="2" t="str">
        <f ca="1">IFERROR(__xludf.DUMMYFUNCTION("""COMPUTED_VALUE"""),"Building")</f>
        <v>Building</v>
      </c>
      <c r="D14059" s="2" t="str">
        <f ca="1">IFERROR(__xludf.DUMMYFUNCTION("""COMPUTED_VALUE"""),"Dubai&gt;Dubai Islands&gt;Ocean Pearl by SD")</f>
        <v>Dubai&gt;Dubai Islands&gt;Ocean Pearl by SD</v>
      </c>
      <c r="E14059" s="2"/>
      <c r="F14059" s="2"/>
      <c r="G14059" s="2"/>
      <c r="H14059" s="2"/>
      <c r="I14059" s="2"/>
      <c r="J14059" s="2"/>
      <c r="K14059" s="2"/>
      <c r="L14059" s="2"/>
      <c r="M14059" s="2"/>
      <c r="N14059" s="2"/>
      <c r="O14059" s="2"/>
      <c r="P14059" s="2"/>
      <c r="Q14059" s="2"/>
      <c r="R14059" s="2"/>
      <c r="S14059" s="2"/>
      <c r="T14059" s="2"/>
      <c r="U14059" s="2"/>
      <c r="V14059" s="2"/>
      <c r="W14059" s="2"/>
      <c r="X14059" s="2"/>
      <c r="Y14059" s="2"/>
      <c r="Z14059" s="2"/>
    </row>
    <row r="14060" spans="1:26" ht="16.5" x14ac:dyDescent="0.35">
      <c r="A14060" s="2" t="str">
        <f ca="1">IFERROR(__xludf.DUMMYFUNCTION("""COMPUTED_VALUE"""),"Dubai")</f>
        <v>Dubai</v>
      </c>
      <c r="B14060" s="2" t="str">
        <f ca="1">IFERROR(__xludf.DUMMYFUNCTION("""COMPUTED_VALUE"""),"Villa del DIVOS")</f>
        <v>Villa del DIVOS</v>
      </c>
      <c r="C14060" s="2" t="str">
        <f ca="1">IFERROR(__xludf.DUMMYFUNCTION("""COMPUTED_VALUE"""),"Building")</f>
        <v>Building</v>
      </c>
      <c r="D14060" s="2" t="str">
        <f ca="1">IFERROR(__xludf.DUMMYFUNCTION("""COMPUTED_VALUE"""),"Dubai&gt;Dubai Islands&gt;Villa del DIVOS")</f>
        <v>Dubai&gt;Dubai Islands&gt;Villa del DIVOS</v>
      </c>
      <c r="E14060" s="2"/>
      <c r="F14060" s="2"/>
      <c r="G14060" s="2"/>
      <c r="H14060" s="2"/>
      <c r="I14060" s="2"/>
      <c r="J14060" s="2"/>
      <c r="K14060" s="2"/>
      <c r="L14060" s="2"/>
      <c r="M14060" s="2"/>
      <c r="N14060" s="2"/>
      <c r="O14060" s="2"/>
      <c r="P14060" s="2"/>
      <c r="Q14060" s="2"/>
      <c r="R14060" s="2"/>
      <c r="S14060" s="2"/>
      <c r="T14060" s="2"/>
      <c r="U14060" s="2"/>
      <c r="V14060" s="2"/>
      <c r="W14060" s="2"/>
      <c r="X14060" s="2"/>
      <c r="Y14060" s="2"/>
      <c r="Z14060" s="2"/>
    </row>
    <row r="14061" spans="1:26" ht="16.5" x14ac:dyDescent="0.35">
      <c r="A14061" s="2" t="str">
        <f ca="1">IFERROR(__xludf.DUMMYFUNCTION("""COMPUTED_VALUE"""),"Dubai")</f>
        <v>Dubai</v>
      </c>
      <c r="B14061" s="2" t="str">
        <f ca="1">IFERROR(__xludf.DUMMYFUNCTION("""COMPUTED_VALUE"""),"Arya Residences")</f>
        <v>Arya Residences</v>
      </c>
      <c r="C14061" s="2" t="str">
        <f ca="1">IFERROR(__xludf.DUMMYFUNCTION("""COMPUTED_VALUE"""),"Building")</f>
        <v>Building</v>
      </c>
      <c r="D14061" s="2" t="str">
        <f ca="1">IFERROR(__xludf.DUMMYFUNCTION("""COMPUTED_VALUE"""),"Dubai&gt;Dubai Islands&gt;Arya Residences")</f>
        <v>Dubai&gt;Dubai Islands&gt;Arya Residences</v>
      </c>
      <c r="E14061" s="2"/>
      <c r="F14061" s="2"/>
      <c r="G14061" s="2"/>
      <c r="H14061" s="2"/>
      <c r="I14061" s="2"/>
      <c r="J14061" s="2"/>
      <c r="K14061" s="2"/>
      <c r="L14061" s="2"/>
      <c r="M14061" s="2"/>
      <c r="N14061" s="2"/>
      <c r="O14061" s="2"/>
      <c r="P14061" s="2"/>
      <c r="Q14061" s="2"/>
      <c r="R14061" s="2"/>
      <c r="S14061" s="2"/>
      <c r="T14061" s="2"/>
      <c r="U14061" s="2"/>
      <c r="V14061" s="2"/>
      <c r="W14061" s="2"/>
      <c r="X14061" s="2"/>
      <c r="Y14061" s="2"/>
      <c r="Z14061" s="2"/>
    </row>
    <row r="14062" spans="1:26" ht="16.5" x14ac:dyDescent="0.35">
      <c r="A14062" s="2" t="str">
        <f ca="1">IFERROR(__xludf.DUMMYFUNCTION("""COMPUTED_VALUE"""),"Dubai")</f>
        <v>Dubai</v>
      </c>
      <c r="B14062" s="2" t="str">
        <f ca="1">IFERROR(__xludf.DUMMYFUNCTION("""COMPUTED_VALUE"""),"Allegro Park")</f>
        <v>Allegro Park</v>
      </c>
      <c r="C14062" s="2" t="str">
        <f ca="1">IFERROR(__xludf.DUMMYFUNCTION("""COMPUTED_VALUE"""),"Building")</f>
        <v>Building</v>
      </c>
      <c r="D14062" s="2" t="str">
        <f ca="1">IFERROR(__xludf.DUMMYFUNCTION("""COMPUTED_VALUE"""),"Dubai&gt;Dubai Islands&gt;Allegro Park")</f>
        <v>Dubai&gt;Dubai Islands&gt;Allegro Park</v>
      </c>
      <c r="E14062" s="2"/>
      <c r="F14062" s="2"/>
      <c r="G14062" s="2"/>
      <c r="H14062" s="2"/>
      <c r="I14062" s="2"/>
      <c r="J14062" s="2"/>
      <c r="K14062" s="2"/>
      <c r="L14062" s="2"/>
      <c r="M14062" s="2"/>
      <c r="N14062" s="2"/>
      <c r="O14062" s="2"/>
      <c r="P14062" s="2"/>
      <c r="Q14062" s="2"/>
      <c r="R14062" s="2"/>
      <c r="S14062" s="2"/>
      <c r="T14062" s="2"/>
      <c r="U14062" s="2"/>
      <c r="V14062" s="2"/>
      <c r="W14062" s="2"/>
      <c r="X14062" s="2"/>
      <c r="Y14062" s="2"/>
      <c r="Z14062" s="2"/>
    </row>
    <row r="14063" spans="1:26" ht="16.5" x14ac:dyDescent="0.35">
      <c r="A14063" s="2" t="str">
        <f ca="1">IFERROR(__xludf.DUMMYFUNCTION("""COMPUTED_VALUE"""),"Dubai")</f>
        <v>Dubai</v>
      </c>
      <c r="B14063" s="2" t="str">
        <f ca="1">IFERROR(__xludf.DUMMYFUNCTION("""COMPUTED_VALUE"""),"La Crystal")</f>
        <v>La Crystal</v>
      </c>
      <c r="C14063" s="2" t="str">
        <f ca="1">IFERROR(__xludf.DUMMYFUNCTION("""COMPUTED_VALUE"""),"Building")</f>
        <v>Building</v>
      </c>
      <c r="D14063" s="2" t="str">
        <f ca="1">IFERROR(__xludf.DUMMYFUNCTION("""COMPUTED_VALUE"""),"Dubai&gt;Dubai Islands&gt;La Crystal")</f>
        <v>Dubai&gt;Dubai Islands&gt;La Crystal</v>
      </c>
      <c r="E14063" s="2"/>
      <c r="F14063" s="2"/>
      <c r="G14063" s="2"/>
      <c r="H14063" s="2"/>
      <c r="I14063" s="2"/>
      <c r="J14063" s="2"/>
      <c r="K14063" s="2"/>
      <c r="L14063" s="2"/>
      <c r="M14063" s="2"/>
      <c r="N14063" s="2"/>
      <c r="O14063" s="2"/>
      <c r="P14063" s="2"/>
      <c r="Q14063" s="2"/>
      <c r="R14063" s="2"/>
      <c r="S14063" s="2"/>
      <c r="T14063" s="2"/>
      <c r="U14063" s="2"/>
      <c r="V14063" s="2"/>
      <c r="W14063" s="2"/>
      <c r="X14063" s="2"/>
      <c r="Y14063" s="2"/>
      <c r="Z14063" s="2"/>
    </row>
    <row r="14064" spans="1:26" ht="16.5" x14ac:dyDescent="0.35">
      <c r="A14064" s="2" t="str">
        <f ca="1">IFERROR(__xludf.DUMMYFUNCTION("""COMPUTED_VALUE"""),"Dubai")</f>
        <v>Dubai</v>
      </c>
      <c r="B14064" s="2" t="str">
        <f ca="1">IFERROR(__xludf.DUMMYFUNCTION("""COMPUTED_VALUE"""),"La Rosa")</f>
        <v>La Rosa</v>
      </c>
      <c r="C14064" s="2" t="str">
        <f ca="1">IFERROR(__xludf.DUMMYFUNCTION("""COMPUTED_VALUE"""),"Neighbourhood")</f>
        <v>Neighbourhood</v>
      </c>
      <c r="D14064" s="2" t="str">
        <f ca="1">IFERROR(__xludf.DUMMYFUNCTION("""COMPUTED_VALUE"""),"Dubai&gt;Dubailand&gt;Villanova&gt;La Rosa")</f>
        <v>Dubai&gt;Dubailand&gt;Villanova&gt;La Rosa</v>
      </c>
      <c r="E14064" s="2"/>
      <c r="F14064" s="2"/>
      <c r="G14064" s="2"/>
      <c r="H14064" s="2"/>
      <c r="I14064" s="2"/>
      <c r="J14064" s="2"/>
      <c r="K14064" s="2"/>
      <c r="L14064" s="2"/>
      <c r="M14064" s="2"/>
      <c r="N14064" s="2"/>
      <c r="O14064" s="2"/>
      <c r="P14064" s="2"/>
      <c r="Q14064" s="2"/>
      <c r="R14064" s="2"/>
      <c r="S14064" s="2"/>
      <c r="T14064" s="2"/>
      <c r="U14064" s="2"/>
      <c r="V14064" s="2"/>
      <c r="W14064" s="2"/>
      <c r="X14064" s="2"/>
      <c r="Y14064" s="2"/>
      <c r="Z14064" s="2"/>
    </row>
    <row r="14065" spans="1:26" ht="16.5" x14ac:dyDescent="0.35">
      <c r="A14065" s="2" t="str">
        <f ca="1">IFERROR(__xludf.DUMMYFUNCTION("""COMPUTED_VALUE"""),"Dubai")</f>
        <v>Dubai</v>
      </c>
      <c r="B14065" s="2" t="str">
        <f ca="1">IFERROR(__xludf.DUMMYFUNCTION("""COMPUTED_VALUE"""),"R. Hills")</f>
        <v>R. Hills</v>
      </c>
      <c r="C14065" s="2" t="str">
        <f ca="1">IFERROR(__xludf.DUMMYFUNCTION("""COMPUTED_VALUE"""),"Neighbourhood")</f>
        <v>Neighbourhood</v>
      </c>
      <c r="D14065" s="2" t="str">
        <f ca="1">IFERROR(__xludf.DUMMYFUNCTION("""COMPUTED_VALUE"""),"Dubai&gt;Dubailand&gt;R. Hills")</f>
        <v>Dubai&gt;Dubailand&gt;R. Hills</v>
      </c>
      <c r="E14065" s="2"/>
      <c r="F14065" s="2"/>
      <c r="G14065" s="2"/>
      <c r="H14065" s="2"/>
      <c r="I14065" s="2"/>
      <c r="J14065" s="2"/>
      <c r="K14065" s="2"/>
      <c r="L14065" s="2"/>
      <c r="M14065" s="2"/>
      <c r="N14065" s="2"/>
      <c r="O14065" s="2"/>
      <c r="P14065" s="2"/>
      <c r="Q14065" s="2"/>
      <c r="R14065" s="2"/>
      <c r="S14065" s="2"/>
      <c r="T14065" s="2"/>
      <c r="U14065" s="2"/>
      <c r="V14065" s="2"/>
      <c r="W14065" s="2"/>
      <c r="X14065" s="2"/>
      <c r="Y14065" s="2"/>
      <c r="Z14065" s="2"/>
    </row>
    <row r="14066" spans="1:26" ht="16.5" x14ac:dyDescent="0.35">
      <c r="A14066" s="2" t="str">
        <f ca="1">IFERROR(__xludf.DUMMYFUNCTION("""COMPUTED_VALUE"""),"Dubai")</f>
        <v>Dubai</v>
      </c>
      <c r="B14066" s="2" t="str">
        <f ca="1">IFERROR(__xludf.DUMMYFUNCTION("""COMPUTED_VALUE"""),"B Villas")</f>
        <v>B Villas</v>
      </c>
      <c r="C14066" s="2" t="str">
        <f ca="1">IFERROR(__xludf.DUMMYFUNCTION("""COMPUTED_VALUE"""),"Neighbourhood")</f>
        <v>Neighbourhood</v>
      </c>
      <c r="D14066" s="2" t="str">
        <f ca="1">IFERROR(__xludf.DUMMYFUNCTION("""COMPUTED_VALUE"""),"Dubai&gt;Living Legends&gt;B Villas")</f>
        <v>Dubai&gt;Living Legends&gt;B Villas</v>
      </c>
      <c r="E14066" s="2"/>
      <c r="F14066" s="2"/>
      <c r="G14066" s="2"/>
      <c r="H14066" s="2"/>
      <c r="I14066" s="2"/>
      <c r="J14066" s="2"/>
      <c r="K14066" s="2"/>
      <c r="L14066" s="2"/>
      <c r="M14066" s="2"/>
      <c r="N14066" s="2"/>
      <c r="O14066" s="2"/>
      <c r="P14066" s="2"/>
      <c r="Q14066" s="2"/>
      <c r="R14066" s="2"/>
      <c r="S14066" s="2"/>
      <c r="T14066" s="2"/>
      <c r="U14066" s="2"/>
      <c r="V14066" s="2"/>
      <c r="W14066" s="2"/>
      <c r="X14066" s="2"/>
      <c r="Y14066" s="2"/>
      <c r="Z14066" s="2"/>
    </row>
    <row r="14067" spans="1:26" ht="16.5" x14ac:dyDescent="0.35">
      <c r="A14067" s="2" t="str">
        <f ca="1">IFERROR(__xludf.DUMMYFUNCTION("""COMPUTED_VALUE"""),"Dubai")</f>
        <v>Dubai</v>
      </c>
      <c r="B14067" s="2" t="str">
        <f ca="1">IFERROR(__xludf.DUMMYFUNCTION("""COMPUTED_VALUE"""),"Arzoo Building")</f>
        <v>Arzoo Building</v>
      </c>
      <c r="C14067" s="2" t="str">
        <f ca="1">IFERROR(__xludf.DUMMYFUNCTION("""COMPUTED_VALUE"""),"Building")</f>
        <v>Building</v>
      </c>
      <c r="D14067" s="2" t="str">
        <f ca="1">IFERROR(__xludf.DUMMYFUNCTION("""COMPUTED_VALUE"""),"Dubai&gt;Al Qusais&gt;Al Qusais Residential Area&gt;Al Qusais 2&gt;Arzoo Building")</f>
        <v>Dubai&gt;Al Qusais&gt;Al Qusais Residential Area&gt;Al Qusais 2&gt;Arzoo Building</v>
      </c>
      <c r="E14067" s="2"/>
      <c r="F14067" s="2"/>
      <c r="G14067" s="2"/>
      <c r="H14067" s="2"/>
      <c r="I14067" s="2"/>
      <c r="J14067" s="2"/>
      <c r="K14067" s="2"/>
      <c r="L14067" s="2"/>
      <c r="M14067" s="2"/>
      <c r="N14067" s="2"/>
      <c r="O14067" s="2"/>
      <c r="P14067" s="2"/>
      <c r="Q14067" s="2"/>
      <c r="R14067" s="2"/>
      <c r="S14067" s="2"/>
      <c r="T14067" s="2"/>
      <c r="U14067" s="2"/>
      <c r="V14067" s="2"/>
      <c r="W14067" s="2"/>
      <c r="X14067" s="2"/>
      <c r="Y14067" s="2"/>
      <c r="Z14067" s="2"/>
    </row>
    <row r="14068" spans="1:26" ht="16.5" x14ac:dyDescent="0.35">
      <c r="A14068" s="2" t="str">
        <f ca="1">IFERROR(__xludf.DUMMYFUNCTION("""COMPUTED_VALUE"""),"Dubai")</f>
        <v>Dubai</v>
      </c>
      <c r="B14068" s="2" t="str">
        <f ca="1">IFERROR(__xludf.DUMMYFUNCTION("""COMPUTED_VALUE"""),"Windsor House II Building A")</f>
        <v>Windsor House II Building A</v>
      </c>
      <c r="C14068" s="2" t="str">
        <f ca="1">IFERROR(__xludf.DUMMYFUNCTION("""COMPUTED_VALUE"""),"Building")</f>
        <v>Building</v>
      </c>
      <c r="D14068" s="2" t="str">
        <f ca="1">IFERROR(__xludf.DUMMYFUNCTION("""COMPUTED_VALUE"""),"Dubai&gt;Dubai South&gt;Residential District&gt;Windsor House II&gt;Windsor House II Building A")</f>
        <v>Dubai&gt;Dubai South&gt;Residential District&gt;Windsor House II&gt;Windsor House II Building A</v>
      </c>
      <c r="E14068" s="2"/>
      <c r="F14068" s="2"/>
      <c r="G14068" s="2"/>
      <c r="H14068" s="2"/>
      <c r="I14068" s="2"/>
      <c r="J14068" s="2"/>
      <c r="K14068" s="2"/>
      <c r="L14068" s="2"/>
      <c r="M14068" s="2"/>
      <c r="N14068" s="2"/>
      <c r="O14068" s="2"/>
      <c r="P14068" s="2"/>
      <c r="Q14068" s="2"/>
      <c r="R14068" s="2"/>
      <c r="S14068" s="2"/>
      <c r="T14068" s="2"/>
      <c r="U14068" s="2"/>
      <c r="V14068" s="2"/>
      <c r="W14068" s="2"/>
      <c r="X14068" s="2"/>
      <c r="Y14068" s="2"/>
      <c r="Z14068" s="2"/>
    </row>
    <row r="14069" spans="1:26" ht="16.5" x14ac:dyDescent="0.35">
      <c r="A14069" s="2" t="str">
        <f ca="1">IFERROR(__xludf.DUMMYFUNCTION("""COMPUTED_VALUE"""),"Dubai")</f>
        <v>Dubai</v>
      </c>
      <c r="B14069" s="2" t="str">
        <f ca="1">IFERROR(__xludf.DUMMYFUNCTION("""COMPUTED_VALUE"""),"Greenway")</f>
        <v>Greenway</v>
      </c>
      <c r="C14069" s="2" t="str">
        <f ca="1">IFERROR(__xludf.DUMMYFUNCTION("""COMPUTED_VALUE"""),"Neighbourhood")</f>
        <v>Neighbourhood</v>
      </c>
      <c r="D14069" s="2" t="str">
        <f ca="1">IFERROR(__xludf.DUMMYFUNCTION("""COMPUTED_VALUE"""),"Dubai&gt;Dubai South&gt;Emaar South&gt;Greenway")</f>
        <v>Dubai&gt;Dubai South&gt;Emaar South&gt;Greenway</v>
      </c>
      <c r="E14069" s="2"/>
      <c r="F14069" s="2"/>
      <c r="G14069" s="2"/>
      <c r="H14069" s="2"/>
      <c r="I14069" s="2"/>
      <c r="J14069" s="2"/>
      <c r="K14069" s="2"/>
      <c r="L14069" s="2"/>
      <c r="M14069" s="2"/>
      <c r="N14069" s="2"/>
      <c r="O14069" s="2"/>
      <c r="P14069" s="2"/>
      <c r="Q14069" s="2"/>
      <c r="R14069" s="2"/>
      <c r="S14069" s="2"/>
      <c r="T14069" s="2"/>
      <c r="U14069" s="2"/>
      <c r="V14069" s="2"/>
      <c r="W14069" s="2"/>
      <c r="X14069" s="2"/>
      <c r="Y14069" s="2"/>
      <c r="Z14069" s="2"/>
    </row>
    <row r="14070" spans="1:26" ht="16.5" x14ac:dyDescent="0.35">
      <c r="A14070" s="2" t="str">
        <f ca="1">IFERROR(__xludf.DUMMYFUNCTION("""COMPUTED_VALUE"""),"Dubai")</f>
        <v>Dubai</v>
      </c>
      <c r="B14070" s="2" t="str">
        <f ca="1">IFERROR(__xludf.DUMMYFUNCTION("""COMPUTED_VALUE"""),"Dubai South Business Park A1")</f>
        <v>Dubai South Business Park A1</v>
      </c>
      <c r="C14070" s="2" t="str">
        <f ca="1">IFERROR(__xludf.DUMMYFUNCTION("""COMPUTED_VALUE"""),"Building")</f>
        <v>Building</v>
      </c>
      <c r="D14070" s="2" t="str">
        <f ca="1">IFERROR(__xludf.DUMMYFUNCTION("""COMPUTED_VALUE"""),"Dubai&gt;Dubai South&gt;Logistics City&gt;The Avenue&gt;Dubai South Business Park A1")</f>
        <v>Dubai&gt;Dubai South&gt;Logistics City&gt;The Avenue&gt;Dubai South Business Park A1</v>
      </c>
      <c r="E14070" s="2"/>
      <c r="F14070" s="2"/>
      <c r="G14070" s="2"/>
      <c r="H14070" s="2"/>
      <c r="I14070" s="2"/>
      <c r="J14070" s="2"/>
      <c r="K14070" s="2"/>
      <c r="L14070" s="2"/>
      <c r="M14070" s="2"/>
      <c r="N14070" s="2"/>
      <c r="O14070" s="2"/>
      <c r="P14070" s="2"/>
      <c r="Q14070" s="2"/>
      <c r="R14070" s="2"/>
      <c r="S14070" s="2"/>
      <c r="T14070" s="2"/>
      <c r="U14070" s="2"/>
      <c r="V14070" s="2"/>
      <c r="W14070" s="2"/>
      <c r="X14070" s="2"/>
      <c r="Y14070" s="2"/>
      <c r="Z14070" s="2"/>
    </row>
    <row r="14071" spans="1:26" ht="16.5" x14ac:dyDescent="0.35">
      <c r="A14071" s="2" t="str">
        <f ca="1">IFERROR(__xludf.DUMMYFUNCTION("""COMPUTED_VALUE"""),"Dubai")</f>
        <v>Dubai</v>
      </c>
      <c r="B14071" s="2" t="str">
        <f ca="1">IFERROR(__xludf.DUMMYFUNCTION("""COMPUTED_VALUE"""),"Azizi Venice 4 Podium")</f>
        <v>Azizi Venice 4 Podium</v>
      </c>
      <c r="C14071" s="2" t="str">
        <f ca="1">IFERROR(__xludf.DUMMYFUNCTION("""COMPUTED_VALUE"""),"Building")</f>
        <v>Building</v>
      </c>
      <c r="D14071" s="2" t="str">
        <f ca="1">IFERROR(__xludf.DUMMYFUNCTION("""COMPUTED_VALUE"""),"Dubai&gt;Dubai South&gt;Azizi Venice&gt;Azizi Venice 4&gt;Azizi Venice 4 Podium")</f>
        <v>Dubai&gt;Dubai South&gt;Azizi Venice&gt;Azizi Venice 4&gt;Azizi Venice 4 Podium</v>
      </c>
      <c r="E14071" s="2"/>
      <c r="F14071" s="2"/>
      <c r="G14071" s="2"/>
      <c r="H14071" s="2"/>
      <c r="I14071" s="2"/>
      <c r="J14071" s="2"/>
      <c r="K14071" s="2"/>
      <c r="L14071" s="2"/>
      <c r="M14071" s="2"/>
      <c r="N14071" s="2"/>
      <c r="O14071" s="2"/>
      <c r="P14071" s="2"/>
      <c r="Q14071" s="2"/>
      <c r="R14071" s="2"/>
      <c r="S14071" s="2"/>
      <c r="T14071" s="2"/>
      <c r="U14071" s="2"/>
      <c r="V14071" s="2"/>
      <c r="W14071" s="2"/>
      <c r="X14071" s="2"/>
      <c r="Y14071" s="2"/>
      <c r="Z14071" s="2"/>
    </row>
    <row r="14072" spans="1:26" ht="16.5" x14ac:dyDescent="0.35">
      <c r="A14072" s="2" t="str">
        <f ca="1">IFERROR(__xludf.DUMMYFUNCTION("""COMPUTED_VALUE"""),"Dubai")</f>
        <v>Dubai</v>
      </c>
      <c r="B14072" s="2" t="str">
        <f ca="1">IFERROR(__xludf.DUMMYFUNCTION("""COMPUTED_VALUE"""),"Azizi Venice 13")</f>
        <v>Azizi Venice 13</v>
      </c>
      <c r="C14072" s="2" t="str">
        <f ca="1">IFERROR(__xludf.DUMMYFUNCTION("""COMPUTED_VALUE"""),"Cluster")</f>
        <v>Cluster</v>
      </c>
      <c r="D14072" s="2" t="str">
        <f ca="1">IFERROR(__xludf.DUMMYFUNCTION("""COMPUTED_VALUE"""),"Dubai&gt;Dubai South&gt;Azizi Venice&gt;Azizi Venice 13")</f>
        <v>Dubai&gt;Dubai South&gt;Azizi Venice&gt;Azizi Venice 13</v>
      </c>
      <c r="E14072" s="2"/>
      <c r="F14072" s="2"/>
      <c r="G14072" s="2"/>
      <c r="H14072" s="2"/>
      <c r="I14072" s="2"/>
      <c r="J14072" s="2"/>
      <c r="K14072" s="2"/>
      <c r="L14072" s="2"/>
      <c r="M14072" s="2"/>
      <c r="N14072" s="2"/>
      <c r="O14072" s="2"/>
      <c r="P14072" s="2"/>
      <c r="Q14072" s="2"/>
      <c r="R14072" s="2"/>
      <c r="S14072" s="2"/>
      <c r="T14072" s="2"/>
      <c r="U14072" s="2"/>
      <c r="V14072" s="2"/>
      <c r="W14072" s="2"/>
      <c r="X14072" s="2"/>
      <c r="Y14072" s="2"/>
      <c r="Z14072" s="2"/>
    </row>
    <row r="14073" spans="1:26" ht="16.5" x14ac:dyDescent="0.35">
      <c r="A14073" s="2" t="str">
        <f ca="1">IFERROR(__xludf.DUMMYFUNCTION("""COMPUTED_VALUE"""),"Dubai")</f>
        <v>Dubai</v>
      </c>
      <c r="B14073" s="2" t="str">
        <f ca="1">IFERROR(__xludf.DUMMYFUNCTION("""COMPUTED_VALUE"""),"The Meadows 4")</f>
        <v>The Meadows 4</v>
      </c>
      <c r="C14073" s="2" t="str">
        <f ca="1">IFERROR(__xludf.DUMMYFUNCTION("""COMPUTED_VALUE"""),"Neighbourhood")</f>
        <v>Neighbourhood</v>
      </c>
      <c r="D14073" s="2" t="str">
        <f ca="1">IFERROR(__xludf.DUMMYFUNCTION("""COMPUTED_VALUE"""),"Dubai&gt;The Meadows&gt;The Meadows 4")</f>
        <v>Dubai&gt;The Meadows&gt;The Meadows 4</v>
      </c>
      <c r="E14073" s="2"/>
      <c r="F14073" s="2"/>
      <c r="G14073" s="2"/>
      <c r="H14073" s="2"/>
      <c r="I14073" s="2"/>
      <c r="J14073" s="2"/>
      <c r="K14073" s="2"/>
      <c r="L14073" s="2"/>
      <c r="M14073" s="2"/>
      <c r="N14073" s="2"/>
      <c r="O14073" s="2"/>
      <c r="P14073" s="2"/>
      <c r="Q14073" s="2"/>
      <c r="R14073" s="2"/>
      <c r="S14073" s="2"/>
      <c r="T14073" s="2"/>
      <c r="U14073" s="2"/>
      <c r="V14073" s="2"/>
      <c r="W14073" s="2"/>
      <c r="X14073" s="2"/>
      <c r="Y14073" s="2"/>
      <c r="Z14073" s="2"/>
    </row>
    <row r="14074" spans="1:26" ht="16.5" x14ac:dyDescent="0.35">
      <c r="A14074" s="2" t="str">
        <f ca="1">IFERROR(__xludf.DUMMYFUNCTION("""COMPUTED_VALUE"""),"Dubai")</f>
        <v>Dubai</v>
      </c>
      <c r="B14074" s="2" t="str">
        <f ca="1">IFERROR(__xludf.DUMMYFUNCTION("""COMPUTED_VALUE"""),"Al Fajer Complex Residence Block B")</f>
        <v>Al Fajer Complex Residence Block B</v>
      </c>
      <c r="C14074" s="2" t="str">
        <f ca="1">IFERROR(__xludf.DUMMYFUNCTION("""COMPUTED_VALUE"""),"Building")</f>
        <v>Building</v>
      </c>
      <c r="D14074" s="2" t="str">
        <f ca="1">IFERROR(__xludf.DUMMYFUNCTION("""COMPUTED_VALUE"""),"Dubai&gt;Bur Dubai&gt;Oud Metha&gt;Al Fajer Complex&gt;Al Fajer Complex Residence Block B")</f>
        <v>Dubai&gt;Bur Dubai&gt;Oud Metha&gt;Al Fajer Complex&gt;Al Fajer Complex Residence Block B</v>
      </c>
      <c r="E14074" s="2"/>
      <c r="F14074" s="2"/>
      <c r="G14074" s="2"/>
      <c r="H14074" s="2"/>
      <c r="I14074" s="2"/>
      <c r="J14074" s="2"/>
      <c r="K14074" s="2"/>
      <c r="L14074" s="2"/>
      <c r="M14074" s="2"/>
      <c r="N14074" s="2"/>
      <c r="O14074" s="2"/>
      <c r="P14074" s="2"/>
      <c r="Q14074" s="2"/>
      <c r="R14074" s="2"/>
      <c r="S14074" s="2"/>
      <c r="T14074" s="2"/>
      <c r="U14074" s="2"/>
      <c r="V14074" s="2"/>
      <c r="W14074" s="2"/>
      <c r="X14074" s="2"/>
      <c r="Y14074" s="2"/>
      <c r="Z14074" s="2"/>
    </row>
    <row r="14075" spans="1:26" ht="16.5" x14ac:dyDescent="0.35">
      <c r="A14075" s="2" t="str">
        <f ca="1">IFERROR(__xludf.DUMMYFUNCTION("""COMPUTED_VALUE"""),"Dubai")</f>
        <v>Dubai</v>
      </c>
      <c r="B14075" s="2" t="str">
        <f ca="1">IFERROR(__xludf.DUMMYFUNCTION("""COMPUTED_VALUE"""),"Al Nasr Plaza Offices")</f>
        <v>Al Nasr Plaza Offices</v>
      </c>
      <c r="C14075" s="2" t="str">
        <f ca="1">IFERROR(__xludf.DUMMYFUNCTION("""COMPUTED_VALUE"""),"Building")</f>
        <v>Building</v>
      </c>
      <c r="D14075" s="2" t="str">
        <f ca="1">IFERROR(__xludf.DUMMYFUNCTION("""COMPUTED_VALUE"""),"Dubai&gt;Bur Dubai&gt;Oud Metha&gt;Al Nasr Plaza Offices")</f>
        <v>Dubai&gt;Bur Dubai&gt;Oud Metha&gt;Al Nasr Plaza Offices</v>
      </c>
      <c r="E14075" s="2"/>
      <c r="F14075" s="2"/>
      <c r="G14075" s="2"/>
      <c r="H14075" s="2"/>
      <c r="I14075" s="2"/>
      <c r="J14075" s="2"/>
      <c r="K14075" s="2"/>
      <c r="L14075" s="2"/>
      <c r="M14075" s="2"/>
      <c r="N14075" s="2"/>
      <c r="O14075" s="2"/>
      <c r="P14075" s="2"/>
      <c r="Q14075" s="2"/>
      <c r="R14075" s="2"/>
      <c r="S14075" s="2"/>
      <c r="T14075" s="2"/>
      <c r="U14075" s="2"/>
      <c r="V14075" s="2"/>
      <c r="W14075" s="2"/>
      <c r="X14075" s="2"/>
      <c r="Y14075" s="2"/>
      <c r="Z14075" s="2"/>
    </row>
    <row r="14076" spans="1:26" ht="16.5" x14ac:dyDescent="0.35">
      <c r="A14076" s="2" t="str">
        <f ca="1">IFERROR(__xludf.DUMMYFUNCTION("""COMPUTED_VALUE"""),"Dubai")</f>
        <v>Dubai</v>
      </c>
      <c r="B14076" s="2" t="str">
        <f ca="1">IFERROR(__xludf.DUMMYFUNCTION("""COMPUTED_VALUE"""),"Raffa Residency")</f>
        <v>Raffa Residency</v>
      </c>
      <c r="C14076" s="2" t="str">
        <f ca="1">IFERROR(__xludf.DUMMYFUNCTION("""COMPUTED_VALUE"""),"Building")</f>
        <v>Building</v>
      </c>
      <c r="D14076" s="2" t="str">
        <f ca="1">IFERROR(__xludf.DUMMYFUNCTION("""COMPUTED_VALUE"""),"Dubai&gt;Bur Dubai&gt;Al Raffa&gt;Raffa Residency")</f>
        <v>Dubai&gt;Bur Dubai&gt;Al Raffa&gt;Raffa Residency</v>
      </c>
      <c r="E14076" s="2"/>
      <c r="F14076" s="2"/>
      <c r="G14076" s="2"/>
      <c r="H14076" s="2"/>
      <c r="I14076" s="2"/>
      <c r="J14076" s="2"/>
      <c r="K14076" s="2"/>
      <c r="L14076" s="2"/>
      <c r="M14076" s="2"/>
      <c r="N14076" s="2"/>
      <c r="O14076" s="2"/>
      <c r="P14076" s="2"/>
      <c r="Q14076" s="2"/>
      <c r="R14076" s="2"/>
      <c r="S14076" s="2"/>
      <c r="T14076" s="2"/>
      <c r="U14076" s="2"/>
      <c r="V14076" s="2"/>
      <c r="W14076" s="2"/>
      <c r="X14076" s="2"/>
      <c r="Y14076" s="2"/>
      <c r="Z14076" s="2"/>
    </row>
    <row r="14077" spans="1:26" ht="16.5" x14ac:dyDescent="0.35">
      <c r="A14077" s="2" t="str">
        <f ca="1">IFERROR(__xludf.DUMMYFUNCTION("""COMPUTED_VALUE"""),"Dubai")</f>
        <v>Dubai</v>
      </c>
      <c r="B14077" s="2" t="str">
        <f ca="1">IFERROR(__xludf.DUMMYFUNCTION("""COMPUTED_VALUE"""),"Mohd Rafi Qasimi &amp; Mohd Saleh Ahmed 2 Building")</f>
        <v>Mohd Rafi Qasimi &amp; Mohd Saleh Ahmed 2 Building</v>
      </c>
      <c r="C14077" s="2" t="str">
        <f ca="1">IFERROR(__xludf.DUMMYFUNCTION("""COMPUTED_VALUE"""),"Building")</f>
        <v>Building</v>
      </c>
      <c r="D14077" s="2" t="str">
        <f ca="1">IFERROR(__xludf.DUMMYFUNCTION("""COMPUTED_VALUE"""),"Dubai&gt;Bur Dubai&gt;Al Raffa&gt;Mohd Rafi Qasimi &amp; Mohd Saleh Ahmed 2 Building")</f>
        <v>Dubai&gt;Bur Dubai&gt;Al Raffa&gt;Mohd Rafi Qasimi &amp; Mohd Saleh Ahmed 2 Building</v>
      </c>
      <c r="E14077" s="2"/>
      <c r="F14077" s="2"/>
      <c r="G14077" s="2"/>
      <c r="H14077" s="2"/>
      <c r="I14077" s="2"/>
      <c r="J14077" s="2"/>
      <c r="K14077" s="2"/>
      <c r="L14077" s="2"/>
      <c r="M14077" s="2"/>
      <c r="N14077" s="2"/>
      <c r="O14077" s="2"/>
      <c r="P14077" s="2"/>
      <c r="Q14077" s="2"/>
      <c r="R14077" s="2"/>
      <c r="S14077" s="2"/>
      <c r="T14077" s="2"/>
      <c r="U14077" s="2"/>
      <c r="V14077" s="2"/>
      <c r="W14077" s="2"/>
      <c r="X14077" s="2"/>
      <c r="Y14077" s="2"/>
      <c r="Z14077" s="2"/>
    </row>
    <row r="14078" spans="1:26" ht="16.5" x14ac:dyDescent="0.35">
      <c r="A14078" s="2" t="str">
        <f ca="1">IFERROR(__xludf.DUMMYFUNCTION("""COMPUTED_VALUE"""),"Dubai")</f>
        <v>Dubai</v>
      </c>
      <c r="B14078" s="2" t="str">
        <f ca="1">IFERROR(__xludf.DUMMYFUNCTION("""COMPUTED_VALUE"""),"Bank Street Building")</f>
        <v>Bank Street Building</v>
      </c>
      <c r="C14078" s="2" t="str">
        <f ca="1">IFERROR(__xludf.DUMMYFUNCTION("""COMPUTED_VALUE"""),"Building")</f>
        <v>Building</v>
      </c>
      <c r="D14078" s="2" t="str">
        <f ca="1">IFERROR(__xludf.DUMMYFUNCTION("""COMPUTED_VALUE"""),"Dubai&gt;Bur Dubai&gt;Al Mankhool&gt;Bank Street Building")</f>
        <v>Dubai&gt;Bur Dubai&gt;Al Mankhool&gt;Bank Street Building</v>
      </c>
      <c r="E14078" s="2"/>
      <c r="F14078" s="2"/>
      <c r="G14078" s="2"/>
      <c r="H14078" s="2"/>
      <c r="I14078" s="2"/>
      <c r="J14078" s="2"/>
      <c r="K14078" s="2"/>
      <c r="L14078" s="2"/>
      <c r="M14078" s="2"/>
      <c r="N14078" s="2"/>
      <c r="O14078" s="2"/>
      <c r="P14078" s="2"/>
      <c r="Q14078" s="2"/>
      <c r="R14078" s="2"/>
      <c r="S14078" s="2"/>
      <c r="T14078" s="2"/>
      <c r="U14078" s="2"/>
      <c r="V14078" s="2"/>
      <c r="W14078" s="2"/>
      <c r="X14078" s="2"/>
      <c r="Y14078" s="2"/>
      <c r="Z14078" s="2"/>
    </row>
    <row r="14079" spans="1:26" ht="16.5" x14ac:dyDescent="0.35">
      <c r="A14079" s="2" t="str">
        <f ca="1">IFERROR(__xludf.DUMMYFUNCTION("""COMPUTED_VALUE"""),"Dubai")</f>
        <v>Dubai</v>
      </c>
      <c r="B14079" s="2" t="str">
        <f ca="1">IFERROR(__xludf.DUMMYFUNCTION("""COMPUTED_VALUE"""),"Sunshine Building")</f>
        <v>Sunshine Building</v>
      </c>
      <c r="C14079" s="2" t="str">
        <f ca="1">IFERROR(__xludf.DUMMYFUNCTION("""COMPUTED_VALUE"""),"Building")</f>
        <v>Building</v>
      </c>
      <c r="D14079" s="2" t="str">
        <f ca="1">IFERROR(__xludf.DUMMYFUNCTION("""COMPUTED_VALUE"""),"Dubai&gt;Bur Dubai&gt;Al Mankhool&gt;Sunshine Building")</f>
        <v>Dubai&gt;Bur Dubai&gt;Al Mankhool&gt;Sunshine Building</v>
      </c>
      <c r="E14079" s="2"/>
      <c r="F14079" s="2"/>
      <c r="G14079" s="2"/>
      <c r="H14079" s="2"/>
      <c r="I14079" s="2"/>
      <c r="J14079" s="2"/>
      <c r="K14079" s="2"/>
      <c r="L14079" s="2"/>
      <c r="M14079" s="2"/>
      <c r="N14079" s="2"/>
      <c r="O14079" s="2"/>
      <c r="P14079" s="2"/>
      <c r="Q14079" s="2"/>
      <c r="R14079" s="2"/>
      <c r="S14079" s="2"/>
      <c r="T14079" s="2"/>
      <c r="U14079" s="2"/>
      <c r="V14079" s="2"/>
      <c r="W14079" s="2"/>
      <c r="X14079" s="2"/>
      <c r="Y14079" s="2"/>
      <c r="Z14079" s="2"/>
    </row>
    <row r="14080" spans="1:26" ht="16.5" x14ac:dyDescent="0.35">
      <c r="A14080" s="2" t="str">
        <f ca="1">IFERROR(__xludf.DUMMYFUNCTION("""COMPUTED_VALUE"""),"Dubai")</f>
        <v>Dubai</v>
      </c>
      <c r="B14080" s="2" t="str">
        <f ca="1">IFERROR(__xludf.DUMMYFUNCTION("""COMPUTED_VALUE"""),"Mohd Saeed Hareb Makati 5 Building")</f>
        <v>Mohd Saeed Hareb Makati 5 Building</v>
      </c>
      <c r="C14080" s="2" t="str">
        <f ca="1">IFERROR(__xludf.DUMMYFUNCTION("""COMPUTED_VALUE"""),"Building")</f>
        <v>Building</v>
      </c>
      <c r="D14080" s="2" t="str">
        <f ca="1">IFERROR(__xludf.DUMMYFUNCTION("""COMPUTED_VALUE"""),"Dubai&gt;Bur Dubai&gt;Al Mankhool&gt;Mohd Saeed Hareb Makati 5 Building")</f>
        <v>Dubai&gt;Bur Dubai&gt;Al Mankhool&gt;Mohd Saeed Hareb Makati 5 Building</v>
      </c>
      <c r="E14080" s="2"/>
      <c r="F14080" s="2"/>
      <c r="G14080" s="2"/>
      <c r="H14080" s="2"/>
      <c r="I14080" s="2"/>
      <c r="J14080" s="2"/>
      <c r="K14080" s="2"/>
      <c r="L14080" s="2"/>
      <c r="M14080" s="2"/>
      <c r="N14080" s="2"/>
      <c r="O14080" s="2"/>
      <c r="P14080" s="2"/>
      <c r="Q14080" s="2"/>
      <c r="R14080" s="2"/>
      <c r="S14080" s="2"/>
      <c r="T14080" s="2"/>
      <c r="U14080" s="2"/>
      <c r="V14080" s="2"/>
      <c r="W14080" s="2"/>
      <c r="X14080" s="2"/>
      <c r="Y14080" s="2"/>
      <c r="Z14080" s="2"/>
    </row>
    <row r="14081" spans="1:26" ht="16.5" x14ac:dyDescent="0.35">
      <c r="A14081" s="2" t="str">
        <f ca="1">IFERROR(__xludf.DUMMYFUNCTION("""COMPUTED_VALUE"""),"Dubai")</f>
        <v>Dubai</v>
      </c>
      <c r="B14081" s="2" t="str">
        <f ca="1">IFERROR(__xludf.DUMMYFUNCTION("""COMPUTED_VALUE"""),"English Language Private School, Oud Metha")</f>
        <v>English Language Private School, Oud Metha</v>
      </c>
      <c r="C14081" s="2" t="str">
        <f ca="1">IFERROR(__xludf.DUMMYFUNCTION("""COMPUTED_VALUE"""),"School")</f>
        <v>School</v>
      </c>
      <c r="D14081" s="2" t="str">
        <f ca="1">IFERROR(__xludf.DUMMYFUNCTION("""COMPUTED_VALUE"""),"Dubai&gt;Bur Dubai&gt;Umm Hurair&gt;Umm Hurair 2&gt;English Language Private School, Oud Metha")</f>
        <v>Dubai&gt;Bur Dubai&gt;Umm Hurair&gt;Umm Hurair 2&gt;English Language Private School, Oud Metha</v>
      </c>
      <c r="E14081" s="2"/>
      <c r="F14081" s="2"/>
      <c r="G14081" s="2"/>
      <c r="H14081" s="2"/>
      <c r="I14081" s="2"/>
      <c r="J14081" s="2"/>
      <c r="K14081" s="2"/>
      <c r="L14081" s="2"/>
      <c r="M14081" s="2"/>
      <c r="N14081" s="2"/>
      <c r="O14081" s="2"/>
      <c r="P14081" s="2"/>
      <c r="Q14081" s="2"/>
      <c r="R14081" s="2"/>
      <c r="S14081" s="2"/>
      <c r="T14081" s="2"/>
      <c r="U14081" s="2"/>
      <c r="V14081" s="2"/>
      <c r="W14081" s="2"/>
      <c r="X14081" s="2"/>
      <c r="Y14081" s="2"/>
      <c r="Z14081" s="2"/>
    </row>
    <row r="14082" spans="1:26" ht="16.5" x14ac:dyDescent="0.35">
      <c r="A14082" s="2" t="str">
        <f ca="1">IFERROR(__xludf.DUMMYFUNCTION("""COMPUTED_VALUE"""),"Dubai")</f>
        <v>Dubai</v>
      </c>
      <c r="B14082" s="2" t="str">
        <f ca="1">IFERROR(__xludf.DUMMYFUNCTION("""COMPUTED_VALUE"""),"Abdullah Abbas Building")</f>
        <v>Abdullah Abbas Building</v>
      </c>
      <c r="C14082" s="2" t="str">
        <f ca="1">IFERROR(__xludf.DUMMYFUNCTION("""COMPUTED_VALUE"""),"Building")</f>
        <v>Building</v>
      </c>
      <c r="D14082" s="2" t="str">
        <f ca="1">IFERROR(__xludf.DUMMYFUNCTION("""COMPUTED_VALUE"""),"Dubai&gt;Bur Dubai&gt;Al Souk Al Kabeer (Al Fahidi)&gt;Abdullah Abbas Building")</f>
        <v>Dubai&gt;Bur Dubai&gt;Al Souk Al Kabeer (Al Fahidi)&gt;Abdullah Abbas Building</v>
      </c>
      <c r="E14082" s="2"/>
      <c r="F14082" s="2"/>
      <c r="G14082" s="2"/>
      <c r="H14082" s="2"/>
      <c r="I14082" s="2"/>
      <c r="J14082" s="2"/>
      <c r="K14082" s="2"/>
      <c r="L14082" s="2"/>
      <c r="M14082" s="2"/>
      <c r="N14082" s="2"/>
      <c r="O14082" s="2"/>
      <c r="P14082" s="2"/>
      <c r="Q14082" s="2"/>
      <c r="R14082" s="2"/>
      <c r="S14082" s="2"/>
      <c r="T14082" s="2"/>
      <c r="U14082" s="2"/>
      <c r="V14082" s="2"/>
      <c r="W14082" s="2"/>
      <c r="X14082" s="2"/>
      <c r="Y14082" s="2"/>
      <c r="Z14082" s="2"/>
    </row>
    <row r="14083" spans="1:26" ht="16.5" x14ac:dyDescent="0.35">
      <c r="A14083" s="2" t="str">
        <f ca="1">IFERROR(__xludf.DUMMYFUNCTION("""COMPUTED_VALUE"""),"Dubai")</f>
        <v>Dubai</v>
      </c>
      <c r="B14083" s="2" t="str">
        <f ca="1">IFERROR(__xludf.DUMMYFUNCTION("""COMPUTED_VALUE"""),"Hana and Maryam Obaid Al Helo Building")</f>
        <v>Hana and Maryam Obaid Al Helo Building</v>
      </c>
      <c r="C14083" s="2" t="str">
        <f ca="1">IFERROR(__xludf.DUMMYFUNCTION("""COMPUTED_VALUE"""),"Building")</f>
        <v>Building</v>
      </c>
      <c r="D14083" s="2" t="str">
        <f ca="1">IFERROR(__xludf.DUMMYFUNCTION("""COMPUTED_VALUE"""),"Dubai&gt;Bur Dubai&gt;Hana and Maryam Obaid Al Helo Building")</f>
        <v>Dubai&gt;Bur Dubai&gt;Hana and Maryam Obaid Al Helo Building</v>
      </c>
      <c r="E14083" s="2"/>
      <c r="F14083" s="2"/>
      <c r="G14083" s="2"/>
      <c r="H14083" s="2"/>
      <c r="I14083" s="2"/>
      <c r="J14083" s="2"/>
      <c r="K14083" s="2"/>
      <c r="L14083" s="2"/>
      <c r="M14083" s="2"/>
      <c r="N14083" s="2"/>
      <c r="O14083" s="2"/>
      <c r="P14083" s="2"/>
      <c r="Q14083" s="2"/>
      <c r="R14083" s="2"/>
      <c r="S14083" s="2"/>
      <c r="T14083" s="2"/>
      <c r="U14083" s="2"/>
      <c r="V14083" s="2"/>
      <c r="W14083" s="2"/>
      <c r="X14083" s="2"/>
      <c r="Y14083" s="2"/>
      <c r="Z14083" s="2"/>
    </row>
    <row r="14084" spans="1:26" ht="16.5" x14ac:dyDescent="0.35">
      <c r="A14084" s="2" t="str">
        <f ca="1">IFERROR(__xludf.DUMMYFUNCTION("""COMPUTED_VALUE"""),"Dubai")</f>
        <v>Dubai</v>
      </c>
      <c r="B14084" s="2" t="str">
        <f ca="1">IFERROR(__xludf.DUMMYFUNCTION("""COMPUTED_VALUE"""),"Abdul Rahman Bukash &amp; Hafsa Bukash Building")</f>
        <v>Abdul Rahman Bukash &amp; Hafsa Bukash Building</v>
      </c>
      <c r="C14084" s="2" t="str">
        <f ca="1">IFERROR(__xludf.DUMMYFUNCTION("""COMPUTED_VALUE"""),"Building")</f>
        <v>Building</v>
      </c>
      <c r="D14084" s="2" t="str">
        <f ca="1">IFERROR(__xludf.DUMMYFUNCTION("""COMPUTED_VALUE"""),"Dubai&gt;Bur Dubai&gt;Al Hamriya&gt;Abdul Rahman Bukash &amp; Hafsa Bukash Building")</f>
        <v>Dubai&gt;Bur Dubai&gt;Al Hamriya&gt;Abdul Rahman Bukash &amp; Hafsa Bukash Building</v>
      </c>
      <c r="E14084" s="2"/>
      <c r="F14084" s="2"/>
      <c r="G14084" s="2"/>
      <c r="H14084" s="2"/>
      <c r="I14084" s="2"/>
      <c r="J14084" s="2"/>
      <c r="K14084" s="2"/>
      <c r="L14084" s="2"/>
      <c r="M14084" s="2"/>
      <c r="N14084" s="2"/>
      <c r="O14084" s="2"/>
      <c r="P14084" s="2"/>
      <c r="Q14084" s="2"/>
      <c r="R14084" s="2"/>
      <c r="S14084" s="2"/>
      <c r="T14084" s="2"/>
      <c r="U14084" s="2"/>
      <c r="V14084" s="2"/>
      <c r="W14084" s="2"/>
      <c r="X14084" s="2"/>
      <c r="Y14084" s="2"/>
      <c r="Z14084" s="2"/>
    </row>
    <row r="14085" spans="1:26" ht="16.5" x14ac:dyDescent="0.35">
      <c r="A14085" s="2" t="str">
        <f ca="1">IFERROR(__xludf.DUMMYFUNCTION("""COMPUTED_VALUE"""),"Dubai")</f>
        <v>Dubai</v>
      </c>
      <c r="B14085" s="2" t="str">
        <f ca="1">IFERROR(__xludf.DUMMYFUNCTION("""COMPUTED_VALUE"""),"Sienna Lakes")</f>
        <v>Sienna Lakes</v>
      </c>
      <c r="C14085" s="2" t="str">
        <f ca="1">IFERROR(__xludf.DUMMYFUNCTION("""COMPUTED_VALUE"""),"Neighbourhood")</f>
        <v>Neighbourhood</v>
      </c>
      <c r="D14085" s="2" t="str">
        <f ca="1">IFERROR(__xludf.DUMMYFUNCTION("""COMPUTED_VALUE"""),"Dubai&gt;Jumeirah Golf Estates&gt;Sienna Lakes")</f>
        <v>Dubai&gt;Jumeirah Golf Estates&gt;Sienna Lakes</v>
      </c>
      <c r="E14085" s="2"/>
      <c r="F14085" s="2"/>
      <c r="G14085" s="2"/>
      <c r="H14085" s="2"/>
      <c r="I14085" s="2"/>
      <c r="J14085" s="2"/>
      <c r="K14085" s="2"/>
      <c r="L14085" s="2"/>
      <c r="M14085" s="2"/>
      <c r="N14085" s="2"/>
      <c r="O14085" s="2"/>
      <c r="P14085" s="2"/>
      <c r="Q14085" s="2"/>
      <c r="R14085" s="2"/>
      <c r="S14085" s="2"/>
      <c r="T14085" s="2"/>
      <c r="U14085" s="2"/>
      <c r="V14085" s="2"/>
      <c r="W14085" s="2"/>
      <c r="X14085" s="2"/>
      <c r="Y14085" s="2"/>
      <c r="Z14085" s="2"/>
    </row>
    <row r="14086" spans="1:26" ht="16.5" x14ac:dyDescent="0.35">
      <c r="A14086" s="2" t="str">
        <f ca="1">IFERROR(__xludf.DUMMYFUNCTION("""COMPUTED_VALUE"""),"Dubai")</f>
        <v>Dubai</v>
      </c>
      <c r="B14086" s="2" t="str">
        <f ca="1">IFERROR(__xludf.DUMMYFUNCTION("""COMPUTED_VALUE"""),"The Next Chapter")</f>
        <v>The Next Chapter</v>
      </c>
      <c r="C14086" s="2" t="str">
        <f ca="1">IFERROR(__xludf.DUMMYFUNCTION("""COMPUTED_VALUE"""),"Neighbourhood")</f>
        <v>Neighbourhood</v>
      </c>
      <c r="D14086" s="2" t="str">
        <f ca="1">IFERROR(__xludf.DUMMYFUNCTION("""COMPUTED_VALUE"""),"Dubai&gt;Jumeirah Golf Estates&gt;The Next Chapter")</f>
        <v>Dubai&gt;Jumeirah Golf Estates&gt;The Next Chapter</v>
      </c>
      <c r="E14086" s="2"/>
      <c r="F14086" s="2"/>
      <c r="G14086" s="2"/>
      <c r="H14086" s="2"/>
      <c r="I14086" s="2"/>
      <c r="J14086" s="2"/>
      <c r="K14086" s="2"/>
      <c r="L14086" s="2"/>
      <c r="M14086" s="2"/>
      <c r="N14086" s="2"/>
      <c r="O14086" s="2"/>
      <c r="P14086" s="2"/>
      <c r="Q14086" s="2"/>
      <c r="R14086" s="2"/>
      <c r="S14086" s="2"/>
      <c r="T14086" s="2"/>
      <c r="U14086" s="2"/>
      <c r="V14086" s="2"/>
      <c r="W14086" s="2"/>
      <c r="X14086" s="2"/>
      <c r="Y14086" s="2"/>
      <c r="Z14086" s="2"/>
    </row>
    <row r="14087" spans="1:26" ht="16.5" x14ac:dyDescent="0.35">
      <c r="A14087" s="2" t="str">
        <f ca="1">IFERROR(__xludf.DUMMYFUNCTION("""COMPUTED_VALUE"""),"Dubai")</f>
        <v>Dubai</v>
      </c>
      <c r="B14087" s="2" t="str">
        <f ca="1">IFERROR(__xludf.DUMMYFUNCTION("""COMPUTED_VALUE"""),"Seapoint")</f>
        <v>Seapoint</v>
      </c>
      <c r="C14087" s="2" t="str">
        <f ca="1">IFERROR(__xludf.DUMMYFUNCTION("""COMPUTED_VALUE"""),"Cluster")</f>
        <v>Cluster</v>
      </c>
      <c r="D14087" s="2" t="str">
        <f ca="1">IFERROR(__xludf.DUMMYFUNCTION("""COMPUTED_VALUE"""),"Dubai&gt;Dubai Harbour&gt;Emaar Beachfront&gt;Seapoint")</f>
        <v>Dubai&gt;Dubai Harbour&gt;Emaar Beachfront&gt;Seapoint</v>
      </c>
      <c r="E14087" s="2"/>
      <c r="F14087" s="2"/>
      <c r="G14087" s="2"/>
      <c r="H14087" s="2"/>
      <c r="I14087" s="2"/>
      <c r="J14087" s="2"/>
      <c r="K14087" s="2"/>
      <c r="L14087" s="2"/>
      <c r="M14087" s="2"/>
      <c r="N14087" s="2"/>
      <c r="O14087" s="2"/>
      <c r="P14087" s="2"/>
      <c r="Q14087" s="2"/>
      <c r="R14087" s="2"/>
      <c r="S14087" s="2"/>
      <c r="T14087" s="2"/>
      <c r="U14087" s="2"/>
      <c r="V14087" s="2"/>
      <c r="W14087" s="2"/>
      <c r="X14087" s="2"/>
      <c r="Y14087" s="2"/>
      <c r="Z14087" s="2"/>
    </row>
    <row r="14088" spans="1:26" ht="16.5" x14ac:dyDescent="0.35">
      <c r="A14088" s="2" t="str">
        <f ca="1">IFERROR(__xludf.DUMMYFUNCTION("""COMPUTED_VALUE"""),"Dubai")</f>
        <v>Dubai</v>
      </c>
      <c r="B14088" s="2" t="str">
        <f ca="1">IFERROR(__xludf.DUMMYFUNCTION("""COMPUTED_VALUE"""),"Claret")</f>
        <v>Claret</v>
      </c>
      <c r="C14088" s="2" t="str">
        <f ca="1">IFERROR(__xludf.DUMMYFUNCTION("""COMPUTED_VALUE"""),"Neighbourhood")</f>
        <v>Neighbourhood</v>
      </c>
      <c r="D14088" s="2" t="str">
        <f ca="1">IFERROR(__xludf.DUMMYFUNCTION("""COMPUTED_VALUE"""),"Dubai&gt;DAMAC Hills 2 (Akoya by DAMAC)&gt;Claret")</f>
        <v>Dubai&gt;DAMAC Hills 2 (Akoya by DAMAC)&gt;Claret</v>
      </c>
      <c r="E14088" s="2"/>
      <c r="F14088" s="2"/>
      <c r="G14088" s="2"/>
      <c r="H14088" s="2"/>
      <c r="I14088" s="2"/>
      <c r="J14088" s="2"/>
      <c r="K14088" s="2"/>
      <c r="L14088" s="2"/>
      <c r="M14088" s="2"/>
      <c r="N14088" s="2"/>
      <c r="O14088" s="2"/>
      <c r="P14088" s="2"/>
      <c r="Q14088" s="2"/>
      <c r="R14088" s="2"/>
      <c r="S14088" s="2"/>
      <c r="T14088" s="2"/>
      <c r="U14088" s="2"/>
      <c r="V14088" s="2"/>
      <c r="W14088" s="2"/>
      <c r="X14088" s="2"/>
      <c r="Y14088" s="2"/>
      <c r="Z14088" s="2"/>
    </row>
    <row r="14089" spans="1:26" ht="16.5" x14ac:dyDescent="0.35">
      <c r="A14089" s="2" t="str">
        <f ca="1">IFERROR(__xludf.DUMMYFUNCTION("""COMPUTED_VALUE"""),"Dubai")</f>
        <v>Dubai</v>
      </c>
      <c r="B14089" s="2" t="str">
        <f ca="1">IFERROR(__xludf.DUMMYFUNCTION("""COMPUTED_VALUE"""),"Evergreens")</f>
        <v>Evergreens</v>
      </c>
      <c r="C14089" s="2" t="str">
        <f ca="1">IFERROR(__xludf.DUMMYFUNCTION("""COMPUTED_VALUE"""),"Building")</f>
        <v>Building</v>
      </c>
      <c r="D14089" s="2" t="str">
        <f ca="1">IFERROR(__xludf.DUMMYFUNCTION("""COMPUTED_VALUE"""),"Dubai&gt;DAMAC Hills 2 (Akoya by DAMAC)&gt;Evergreens")</f>
        <v>Dubai&gt;DAMAC Hills 2 (Akoya by DAMAC)&gt;Evergreens</v>
      </c>
      <c r="E14089" s="2"/>
      <c r="F14089" s="2"/>
      <c r="G14089" s="2"/>
      <c r="H14089" s="2"/>
      <c r="I14089" s="2"/>
      <c r="J14089" s="2"/>
      <c r="K14089" s="2"/>
      <c r="L14089" s="2"/>
      <c r="M14089" s="2"/>
      <c r="N14089" s="2"/>
      <c r="O14089" s="2"/>
      <c r="P14089" s="2"/>
      <c r="Q14089" s="2"/>
      <c r="R14089" s="2"/>
      <c r="S14089" s="2"/>
      <c r="T14089" s="2"/>
      <c r="U14089" s="2"/>
      <c r="V14089" s="2"/>
      <c r="W14089" s="2"/>
      <c r="X14089" s="2"/>
      <c r="Y14089" s="2"/>
      <c r="Z14089" s="2"/>
    </row>
    <row r="14090" spans="1:26" ht="16.5" x14ac:dyDescent="0.35">
      <c r="A14090" s="2" t="str">
        <f ca="1">IFERROR(__xludf.DUMMYFUNCTION("""COMPUTED_VALUE"""),"Dubai")</f>
        <v>Dubai</v>
      </c>
      <c r="B14090" s="2" t="str">
        <f ca="1">IFERROR(__xludf.DUMMYFUNCTION("""COMPUTED_VALUE"""),"I-05")</f>
        <v>I-05</v>
      </c>
      <c r="C14090" s="2" t="str">
        <f ca="1">IFERROR(__xludf.DUMMYFUNCTION("""COMPUTED_VALUE"""),"Building")</f>
        <v>Building</v>
      </c>
      <c r="D14090" s="2" t="str">
        <f ca="1">IFERROR(__xludf.DUMMYFUNCTION("""COMPUTED_VALUE"""),"Dubai&gt;International City&gt;Morocco Cluster&gt;I-05")</f>
        <v>Dubai&gt;International City&gt;Morocco Cluster&gt;I-05</v>
      </c>
      <c r="E14090" s="2"/>
      <c r="F14090" s="2"/>
      <c r="G14090" s="2"/>
      <c r="H14090" s="2"/>
      <c r="I14090" s="2"/>
      <c r="J14090" s="2"/>
      <c r="K14090" s="2"/>
      <c r="L14090" s="2"/>
      <c r="M14090" s="2"/>
      <c r="N14090" s="2"/>
      <c r="O14090" s="2"/>
      <c r="P14090" s="2"/>
      <c r="Q14090" s="2"/>
      <c r="R14090" s="2"/>
      <c r="S14090" s="2"/>
      <c r="T14090" s="2"/>
      <c r="U14090" s="2"/>
      <c r="V14090" s="2"/>
      <c r="W14090" s="2"/>
      <c r="X14090" s="2"/>
      <c r="Y14090" s="2"/>
      <c r="Z14090" s="2"/>
    </row>
    <row r="14091" spans="1:26" ht="16.5" x14ac:dyDescent="0.35">
      <c r="A14091" s="2" t="str">
        <f ca="1">IFERROR(__xludf.DUMMYFUNCTION("""COMPUTED_VALUE"""),"Dubai")</f>
        <v>Dubai</v>
      </c>
      <c r="B14091" s="2" t="str">
        <f ca="1">IFERROR(__xludf.DUMMYFUNCTION("""COMPUTED_VALUE"""),"China Cluster")</f>
        <v>China Cluster</v>
      </c>
      <c r="C14091" s="2" t="str">
        <f ca="1">IFERROR(__xludf.DUMMYFUNCTION("""COMPUTED_VALUE"""),"Neighbourhood")</f>
        <v>Neighbourhood</v>
      </c>
      <c r="D14091" s="2" t="str">
        <f ca="1">IFERROR(__xludf.DUMMYFUNCTION("""COMPUTED_VALUE"""),"Dubai&gt;International City&gt;China Cluster")</f>
        <v>Dubai&gt;International City&gt;China Cluster</v>
      </c>
      <c r="E14091" s="2"/>
      <c r="F14091" s="2"/>
      <c r="G14091" s="2"/>
      <c r="H14091" s="2"/>
      <c r="I14091" s="2"/>
      <c r="J14091" s="2"/>
      <c r="K14091" s="2"/>
      <c r="L14091" s="2"/>
      <c r="M14091" s="2"/>
      <c r="N14091" s="2"/>
      <c r="O14091" s="2"/>
      <c r="P14091" s="2"/>
      <c r="Q14091" s="2"/>
      <c r="R14091" s="2"/>
      <c r="S14091" s="2"/>
      <c r="T14091" s="2"/>
      <c r="U14091" s="2"/>
      <c r="V14091" s="2"/>
      <c r="W14091" s="2"/>
      <c r="X14091" s="2"/>
      <c r="Y14091" s="2"/>
      <c r="Z14091" s="2"/>
    </row>
    <row r="14092" spans="1:26" ht="16.5" x14ac:dyDescent="0.35">
      <c r="A14092" s="2" t="str">
        <f ca="1">IFERROR(__xludf.DUMMYFUNCTION("""COMPUTED_VALUE"""),"Dubai")</f>
        <v>Dubai</v>
      </c>
      <c r="B14092" s="2" t="str">
        <f ca="1">IFERROR(__xludf.DUMMYFUNCTION("""COMPUTED_VALUE"""),"B-09")</f>
        <v>B-09</v>
      </c>
      <c r="C14092" s="2" t="str">
        <f ca="1">IFERROR(__xludf.DUMMYFUNCTION("""COMPUTED_VALUE"""),"Building")</f>
        <v>Building</v>
      </c>
      <c r="D14092" s="2" t="str">
        <f ca="1">IFERROR(__xludf.DUMMYFUNCTION("""COMPUTED_VALUE"""),"Dubai&gt;International City&gt;China Cluster&gt;B-09")</f>
        <v>Dubai&gt;International City&gt;China Cluster&gt;B-09</v>
      </c>
      <c r="E14092" s="2"/>
      <c r="F14092" s="2"/>
      <c r="G14092" s="2"/>
      <c r="H14092" s="2"/>
      <c r="I14092" s="2"/>
      <c r="J14092" s="2"/>
      <c r="K14092" s="2"/>
      <c r="L14092" s="2"/>
      <c r="M14092" s="2"/>
      <c r="N14092" s="2"/>
      <c r="O14092" s="2"/>
      <c r="P14092" s="2"/>
      <c r="Q14092" s="2"/>
      <c r="R14092" s="2"/>
      <c r="S14092" s="2"/>
      <c r="T14092" s="2"/>
      <c r="U14092" s="2"/>
      <c r="V14092" s="2"/>
      <c r="W14092" s="2"/>
      <c r="X14092" s="2"/>
      <c r="Y14092" s="2"/>
      <c r="Z14092" s="2"/>
    </row>
    <row r="14093" spans="1:26" ht="16.5" x14ac:dyDescent="0.35">
      <c r="A14093" s="2" t="str">
        <f ca="1">IFERROR(__xludf.DUMMYFUNCTION("""COMPUTED_VALUE"""),"Dubai")</f>
        <v>Dubai</v>
      </c>
      <c r="B14093" s="2" t="str">
        <f ca="1">IFERROR(__xludf.DUMMYFUNCTION("""COMPUTED_VALUE"""),"F-02")</f>
        <v>F-02</v>
      </c>
      <c r="C14093" s="2" t="str">
        <f ca="1">IFERROR(__xludf.DUMMYFUNCTION("""COMPUTED_VALUE"""),"Building")</f>
        <v>Building</v>
      </c>
      <c r="D14093" s="2" t="str">
        <f ca="1">IFERROR(__xludf.DUMMYFUNCTION("""COMPUTED_VALUE"""),"Dubai&gt;International City&gt;China Cluster&gt;F-02")</f>
        <v>Dubai&gt;International City&gt;China Cluster&gt;F-02</v>
      </c>
      <c r="E14093" s="2"/>
      <c r="F14093" s="2"/>
      <c r="G14093" s="2"/>
      <c r="H14093" s="2"/>
      <c r="I14093" s="2"/>
      <c r="J14093" s="2"/>
      <c r="K14093" s="2"/>
      <c r="L14093" s="2"/>
      <c r="M14093" s="2"/>
      <c r="N14093" s="2"/>
      <c r="O14093" s="2"/>
      <c r="P14093" s="2"/>
      <c r="Q14093" s="2"/>
      <c r="R14093" s="2"/>
      <c r="S14093" s="2"/>
      <c r="T14093" s="2"/>
      <c r="U14093" s="2"/>
      <c r="V14093" s="2"/>
      <c r="W14093" s="2"/>
      <c r="X14093" s="2"/>
      <c r="Y14093" s="2"/>
      <c r="Z14093" s="2"/>
    </row>
    <row r="14094" spans="1:26" ht="16.5" x14ac:dyDescent="0.35">
      <c r="A14094" s="2" t="str">
        <f ca="1">IFERROR(__xludf.DUMMYFUNCTION("""COMPUTED_VALUE"""),"Dubai")</f>
        <v>Dubai</v>
      </c>
      <c r="B14094" s="2" t="str">
        <f ca="1">IFERROR(__xludf.DUMMYFUNCTION("""COMPUTED_VALUE"""),"S-09")</f>
        <v>S-09</v>
      </c>
      <c r="C14094" s="2" t="str">
        <f ca="1">IFERROR(__xludf.DUMMYFUNCTION("""COMPUTED_VALUE"""),"Building")</f>
        <v>Building</v>
      </c>
      <c r="D14094" s="2" t="str">
        <f ca="1">IFERROR(__xludf.DUMMYFUNCTION("""COMPUTED_VALUE"""),"Dubai&gt;International City&gt;Spain Cluster&gt;S-09")</f>
        <v>Dubai&gt;International City&gt;Spain Cluster&gt;S-09</v>
      </c>
      <c r="E14094" s="2"/>
      <c r="F14094" s="2"/>
      <c r="G14094" s="2"/>
      <c r="H14094" s="2"/>
      <c r="I14094" s="2"/>
      <c r="J14094" s="2"/>
      <c r="K14094" s="2"/>
      <c r="L14094" s="2"/>
      <c r="M14094" s="2"/>
      <c r="N14094" s="2"/>
      <c r="O14094" s="2"/>
      <c r="P14094" s="2"/>
      <c r="Q14094" s="2"/>
      <c r="R14094" s="2"/>
      <c r="S14094" s="2"/>
      <c r="T14094" s="2"/>
      <c r="U14094" s="2"/>
      <c r="V14094" s="2"/>
      <c r="W14094" s="2"/>
      <c r="X14094" s="2"/>
      <c r="Y14094" s="2"/>
      <c r="Z14094" s="2"/>
    </row>
    <row r="14095" spans="1:26" ht="16.5" x14ac:dyDescent="0.35">
      <c r="A14095" s="2" t="str">
        <f ca="1">IFERROR(__xludf.DUMMYFUNCTION("""COMPUTED_VALUE"""),"Dubai")</f>
        <v>Dubai</v>
      </c>
      <c r="B14095" s="2" t="str">
        <f ca="1">IFERROR(__xludf.DUMMYFUNCTION("""COMPUTED_VALUE"""),"Italy Cluster")</f>
        <v>Italy Cluster</v>
      </c>
      <c r="C14095" s="2" t="str">
        <f ca="1">IFERROR(__xludf.DUMMYFUNCTION("""COMPUTED_VALUE"""),"Neighbourhood")</f>
        <v>Neighbourhood</v>
      </c>
      <c r="D14095" s="2" t="str">
        <f ca="1">IFERROR(__xludf.DUMMYFUNCTION("""COMPUTED_VALUE"""),"Dubai&gt;International City&gt;Italy Cluster")</f>
        <v>Dubai&gt;International City&gt;Italy Cluster</v>
      </c>
      <c r="E14095" s="2"/>
      <c r="F14095" s="2"/>
      <c r="G14095" s="2"/>
      <c r="H14095" s="2"/>
      <c r="I14095" s="2"/>
      <c r="J14095" s="2"/>
      <c r="K14095" s="2"/>
      <c r="L14095" s="2"/>
      <c r="M14095" s="2"/>
      <c r="N14095" s="2"/>
      <c r="O14095" s="2"/>
      <c r="P14095" s="2"/>
      <c r="Q14095" s="2"/>
      <c r="R14095" s="2"/>
      <c r="S14095" s="2"/>
      <c r="T14095" s="2"/>
      <c r="U14095" s="2"/>
      <c r="V14095" s="2"/>
      <c r="W14095" s="2"/>
      <c r="X14095" s="2"/>
      <c r="Y14095" s="2"/>
      <c r="Z14095" s="2"/>
    </row>
    <row r="14096" spans="1:26" ht="16.5" x14ac:dyDescent="0.35">
      <c r="A14096" s="2" t="str">
        <f ca="1">IFERROR(__xludf.DUMMYFUNCTION("""COMPUTED_VALUE"""),"Dubai")</f>
        <v>Dubai</v>
      </c>
      <c r="B14096" s="2" t="str">
        <f ca="1">IFERROR(__xludf.DUMMYFUNCTION("""COMPUTED_VALUE"""),"V-04")</f>
        <v>V-04</v>
      </c>
      <c r="C14096" s="2" t="str">
        <f ca="1">IFERROR(__xludf.DUMMYFUNCTION("""COMPUTED_VALUE"""),"Building")</f>
        <v>Building</v>
      </c>
      <c r="D14096" s="2" t="str">
        <f ca="1">IFERROR(__xludf.DUMMYFUNCTION("""COMPUTED_VALUE"""),"Dubai&gt;International City&gt;Russia Cluster&gt;V-04")</f>
        <v>Dubai&gt;International City&gt;Russia Cluster&gt;V-04</v>
      </c>
      <c r="E14096" s="2"/>
      <c r="F14096" s="2"/>
      <c r="G14096" s="2"/>
      <c r="H14096" s="2"/>
      <c r="I14096" s="2"/>
      <c r="J14096" s="2"/>
      <c r="K14096" s="2"/>
      <c r="L14096" s="2"/>
      <c r="M14096" s="2"/>
      <c r="N14096" s="2"/>
      <c r="O14096" s="2"/>
      <c r="P14096" s="2"/>
      <c r="Q14096" s="2"/>
      <c r="R14096" s="2"/>
      <c r="S14096" s="2"/>
      <c r="T14096" s="2"/>
      <c r="U14096" s="2"/>
      <c r="V14096" s="2"/>
      <c r="W14096" s="2"/>
      <c r="X14096" s="2"/>
      <c r="Y14096" s="2"/>
      <c r="Z14096" s="2"/>
    </row>
    <row r="14097" spans="1:26" ht="16.5" x14ac:dyDescent="0.35">
      <c r="A14097" s="2" t="str">
        <f ca="1">IFERROR(__xludf.DUMMYFUNCTION("""COMPUTED_VALUE"""),"Dubai")</f>
        <v>Dubai</v>
      </c>
      <c r="B14097" s="2" t="str">
        <f ca="1">IFERROR(__xludf.DUMMYFUNCTION("""COMPUTED_VALUE"""),"Textile City")</f>
        <v>Textile City</v>
      </c>
      <c r="C14097" s="2" t="str">
        <f ca="1">IFERROR(__xludf.DUMMYFUNCTION("""COMPUTED_VALUE"""),"Neighbourhood")</f>
        <v>Neighbourhood</v>
      </c>
      <c r="D14097" s="2" t="str">
        <f ca="1">IFERROR(__xludf.DUMMYFUNCTION("""COMPUTED_VALUE"""),"Dubai&gt;International City&gt;Textile City")</f>
        <v>Dubai&gt;International City&gt;Textile City</v>
      </c>
      <c r="E14097" s="2"/>
      <c r="F14097" s="2"/>
      <c r="G14097" s="2"/>
      <c r="H14097" s="2"/>
      <c r="I14097" s="2"/>
      <c r="J14097" s="2"/>
      <c r="K14097" s="2"/>
      <c r="L14097" s="2"/>
      <c r="M14097" s="2"/>
      <c r="N14097" s="2"/>
      <c r="O14097" s="2"/>
      <c r="P14097" s="2"/>
      <c r="Q14097" s="2"/>
      <c r="R14097" s="2"/>
      <c r="S14097" s="2"/>
      <c r="T14097" s="2"/>
      <c r="U14097" s="2"/>
      <c r="V14097" s="2"/>
      <c r="W14097" s="2"/>
      <c r="X14097" s="2"/>
      <c r="Y14097" s="2"/>
      <c r="Z14097" s="2"/>
    </row>
    <row r="14098" spans="1:26" ht="16.5" x14ac:dyDescent="0.35">
      <c r="A14098" s="2" t="str">
        <f ca="1">IFERROR(__xludf.DUMMYFUNCTION("""COMPUTED_VALUE"""),"Dubai")</f>
        <v>Dubai</v>
      </c>
      <c r="B14098" s="2" t="str">
        <f ca="1">IFERROR(__xludf.DUMMYFUNCTION("""COMPUTED_VALUE"""),"Forbidden City")</f>
        <v>Forbidden City</v>
      </c>
      <c r="C14098" s="2" t="str">
        <f ca="1">IFERROR(__xludf.DUMMYFUNCTION("""COMPUTED_VALUE"""),"Building")</f>
        <v>Building</v>
      </c>
      <c r="D14098" s="2" t="str">
        <f ca="1">IFERROR(__xludf.DUMMYFUNCTION("""COMPUTED_VALUE"""),"Dubai&gt;International City&gt;Forbidden City")</f>
        <v>Dubai&gt;International City&gt;Forbidden City</v>
      </c>
      <c r="E14098" s="2"/>
      <c r="F14098" s="2"/>
      <c r="G14098" s="2"/>
      <c r="H14098" s="2"/>
      <c r="I14098" s="2"/>
      <c r="J14098" s="2"/>
      <c r="K14098" s="2"/>
      <c r="L14098" s="2"/>
      <c r="M14098" s="2"/>
      <c r="N14098" s="2"/>
      <c r="O14098" s="2"/>
      <c r="P14098" s="2"/>
      <c r="Q14098" s="2"/>
      <c r="R14098" s="2"/>
      <c r="S14098" s="2"/>
      <c r="T14098" s="2"/>
      <c r="U14098" s="2"/>
      <c r="V14098" s="2"/>
      <c r="W14098" s="2"/>
      <c r="X14098" s="2"/>
      <c r="Y14098" s="2"/>
      <c r="Z14098" s="2"/>
    </row>
    <row r="14099" spans="1:26" ht="16.5" x14ac:dyDescent="0.35">
      <c r="A14099" s="2" t="str">
        <f ca="1">IFERROR(__xludf.DUMMYFUNCTION("""COMPUTED_VALUE"""),"Dubai")</f>
        <v>Dubai</v>
      </c>
      <c r="B14099" s="2" t="str">
        <f ca="1">IFERROR(__xludf.DUMMYFUNCTION("""COMPUTED_VALUE"""),"X-04")</f>
        <v>X-04</v>
      </c>
      <c r="C14099" s="2" t="str">
        <f ca="1">IFERROR(__xludf.DUMMYFUNCTION("""COMPUTED_VALUE"""),"Building")</f>
        <v>Building</v>
      </c>
      <c r="D14099" s="2" t="str">
        <f ca="1">IFERROR(__xludf.DUMMYFUNCTION("""COMPUTED_VALUE"""),"Dubai&gt;International City&gt;England Cluster&gt;X-04")</f>
        <v>Dubai&gt;International City&gt;England Cluster&gt;X-04</v>
      </c>
      <c r="E14099" s="2"/>
      <c r="F14099" s="2"/>
      <c r="G14099" s="2"/>
      <c r="H14099" s="2"/>
      <c r="I14099" s="2"/>
      <c r="J14099" s="2"/>
      <c r="K14099" s="2"/>
      <c r="L14099" s="2"/>
      <c r="M14099" s="2"/>
      <c r="N14099" s="2"/>
      <c r="O14099" s="2"/>
      <c r="P14099" s="2"/>
      <c r="Q14099" s="2"/>
      <c r="R14099" s="2"/>
      <c r="S14099" s="2"/>
      <c r="T14099" s="2"/>
      <c r="U14099" s="2"/>
      <c r="V14099" s="2"/>
      <c r="W14099" s="2"/>
      <c r="X14099" s="2"/>
      <c r="Y14099" s="2"/>
      <c r="Z14099" s="2"/>
    </row>
    <row r="14100" spans="1:26" ht="16.5" x14ac:dyDescent="0.35">
      <c r="A14100" s="2" t="str">
        <f ca="1">IFERROR(__xludf.DUMMYFUNCTION("""COMPUTED_VALUE"""),"Dubai")</f>
        <v>Dubai</v>
      </c>
      <c r="B14100" s="2" t="str">
        <f ca="1">IFERROR(__xludf.DUMMYFUNCTION("""COMPUTED_VALUE"""),"Y-10")</f>
        <v>Y-10</v>
      </c>
      <c r="C14100" s="2" t="str">
        <f ca="1">IFERROR(__xludf.DUMMYFUNCTION("""COMPUTED_VALUE"""),"Building")</f>
        <v>Building</v>
      </c>
      <c r="D14100" s="2" t="str">
        <f ca="1">IFERROR(__xludf.DUMMYFUNCTION("""COMPUTED_VALUE"""),"Dubai&gt;International City&gt;England Cluster&gt;Y-10")</f>
        <v>Dubai&gt;International City&gt;England Cluster&gt;Y-10</v>
      </c>
      <c r="E14100" s="2"/>
      <c r="F14100" s="2"/>
      <c r="G14100" s="2"/>
      <c r="H14100" s="2"/>
      <c r="I14100" s="2"/>
      <c r="J14100" s="2"/>
      <c r="K14100" s="2"/>
      <c r="L14100" s="2"/>
      <c r="M14100" s="2"/>
      <c r="N14100" s="2"/>
      <c r="O14100" s="2"/>
      <c r="P14100" s="2"/>
      <c r="Q14100" s="2"/>
      <c r="R14100" s="2"/>
      <c r="S14100" s="2"/>
      <c r="T14100" s="2"/>
      <c r="U14100" s="2"/>
      <c r="V14100" s="2"/>
      <c r="W14100" s="2"/>
      <c r="X14100" s="2"/>
      <c r="Y14100" s="2"/>
      <c r="Z14100" s="2"/>
    </row>
    <row r="14101" spans="1:26" ht="16.5" x14ac:dyDescent="0.35">
      <c r="A14101" s="2" t="str">
        <f ca="1">IFERROR(__xludf.DUMMYFUNCTION("""COMPUTED_VALUE"""),"Dubai")</f>
        <v>Dubai</v>
      </c>
      <c r="B14101" s="2" t="str">
        <f ca="1">IFERROR(__xludf.DUMMYFUNCTION("""COMPUTED_VALUE"""),"Mansour Building")</f>
        <v>Mansour Building</v>
      </c>
      <c r="C14101" s="2" t="str">
        <f ca="1">IFERROR(__xludf.DUMMYFUNCTION("""COMPUTED_VALUE"""),"Building")</f>
        <v>Building</v>
      </c>
      <c r="D14101" s="2" t="str">
        <f ca="1">IFERROR(__xludf.DUMMYFUNCTION("""COMPUTED_VALUE"""),"Dubai&gt;International City&gt;International City Phase 2 (Warsan 4)&gt;Mansour Building")</f>
        <v>Dubai&gt;International City&gt;International City Phase 2 (Warsan 4)&gt;Mansour Building</v>
      </c>
      <c r="E14101" s="2"/>
      <c r="F14101" s="2"/>
      <c r="G14101" s="2"/>
      <c r="H14101" s="2"/>
      <c r="I14101" s="2"/>
      <c r="J14101" s="2"/>
      <c r="K14101" s="2"/>
      <c r="L14101" s="2"/>
      <c r="M14101" s="2"/>
      <c r="N14101" s="2"/>
      <c r="O14101" s="2"/>
      <c r="P14101" s="2"/>
      <c r="Q14101" s="2"/>
      <c r="R14101" s="2"/>
      <c r="S14101" s="2"/>
      <c r="T14101" s="2"/>
      <c r="U14101" s="2"/>
      <c r="V14101" s="2"/>
      <c r="W14101" s="2"/>
      <c r="X14101" s="2"/>
      <c r="Y14101" s="2"/>
      <c r="Z14101" s="2"/>
    </row>
    <row r="14102" spans="1:26" ht="16.5" x14ac:dyDescent="0.35">
      <c r="A14102" s="2" t="str">
        <f ca="1">IFERROR(__xludf.DUMMYFUNCTION("""COMPUTED_VALUE"""),"Dubai")</f>
        <v>Dubai</v>
      </c>
      <c r="B14102" s="2" t="str">
        <f ca="1">IFERROR(__xludf.DUMMYFUNCTION("""COMPUTED_VALUE"""),"Skyline 2")</f>
        <v>Skyline 2</v>
      </c>
      <c r="C14102" s="2" t="str">
        <f ca="1">IFERROR(__xludf.DUMMYFUNCTION("""COMPUTED_VALUE"""),"Building")</f>
        <v>Building</v>
      </c>
      <c r="D14102" s="2" t="str">
        <f ca="1">IFERROR(__xludf.DUMMYFUNCTION("""COMPUTED_VALUE"""),"Dubai&gt;International City&gt;International City Phase 2 (Warsan 4)&gt;Skyline 2")</f>
        <v>Dubai&gt;International City&gt;International City Phase 2 (Warsan 4)&gt;Skyline 2</v>
      </c>
      <c r="E14102" s="2"/>
      <c r="F14102" s="2"/>
      <c r="G14102" s="2"/>
      <c r="H14102" s="2"/>
      <c r="I14102" s="2"/>
      <c r="J14102" s="2"/>
      <c r="K14102" s="2"/>
      <c r="L14102" s="2"/>
      <c r="M14102" s="2"/>
      <c r="N14102" s="2"/>
      <c r="O14102" s="2"/>
      <c r="P14102" s="2"/>
      <c r="Q14102" s="2"/>
      <c r="R14102" s="2"/>
      <c r="S14102" s="2"/>
      <c r="T14102" s="2"/>
      <c r="U14102" s="2"/>
      <c r="V14102" s="2"/>
      <c r="W14102" s="2"/>
      <c r="X14102" s="2"/>
      <c r="Y14102" s="2"/>
      <c r="Z14102" s="2"/>
    </row>
    <row r="14103" spans="1:26" ht="16.5" x14ac:dyDescent="0.35">
      <c r="A14103" s="2" t="str">
        <f ca="1">IFERROR(__xludf.DUMMYFUNCTION("""COMPUTED_VALUE"""),"Dubai")</f>
        <v>Dubai</v>
      </c>
      <c r="B14103" s="2" t="str">
        <f ca="1">IFERROR(__xludf.DUMMYFUNCTION("""COMPUTED_VALUE"""),"HL Residency 2")</f>
        <v>HL Residency 2</v>
      </c>
      <c r="C14103" s="2" t="str">
        <f ca="1">IFERROR(__xludf.DUMMYFUNCTION("""COMPUTED_VALUE"""),"Building")</f>
        <v>Building</v>
      </c>
      <c r="D14103" s="2" t="str">
        <f ca="1">IFERROR(__xludf.DUMMYFUNCTION("""COMPUTED_VALUE"""),"Dubai&gt;International City&gt;International City Phase 2 (Warsan 4)&gt;HL Residency 2")</f>
        <v>Dubai&gt;International City&gt;International City Phase 2 (Warsan 4)&gt;HL Residency 2</v>
      </c>
      <c r="E14103" s="2"/>
      <c r="F14103" s="2"/>
      <c r="G14103" s="2"/>
      <c r="H14103" s="2"/>
      <c r="I14103" s="2"/>
      <c r="J14103" s="2"/>
      <c r="K14103" s="2"/>
      <c r="L14103" s="2"/>
      <c r="M14103" s="2"/>
      <c r="N14103" s="2"/>
      <c r="O14103" s="2"/>
      <c r="P14103" s="2"/>
      <c r="Q14103" s="2"/>
      <c r="R14103" s="2"/>
      <c r="S14103" s="2"/>
      <c r="T14103" s="2"/>
      <c r="U14103" s="2"/>
      <c r="V14103" s="2"/>
      <c r="W14103" s="2"/>
      <c r="X14103" s="2"/>
      <c r="Y14103" s="2"/>
      <c r="Z14103" s="2"/>
    </row>
    <row r="14104" spans="1:26" ht="16.5" x14ac:dyDescent="0.35">
      <c r="A14104" s="2" t="str">
        <f ca="1">IFERROR(__xludf.DUMMYFUNCTION("""COMPUTED_VALUE"""),"Dubai")</f>
        <v>Dubai</v>
      </c>
      <c r="B14104" s="2" t="str">
        <f ca="1">IFERROR(__xludf.DUMMYFUNCTION("""COMPUTED_VALUE"""),"Prestige Building")</f>
        <v>Prestige Building</v>
      </c>
      <c r="C14104" s="2" t="str">
        <f ca="1">IFERROR(__xludf.DUMMYFUNCTION("""COMPUTED_VALUE"""),"Building")</f>
        <v>Building</v>
      </c>
      <c r="D14104" s="2" t="str">
        <f ca="1">IFERROR(__xludf.DUMMYFUNCTION("""COMPUTED_VALUE"""),"Dubai&gt;International City&gt;International City Phase 2 (Warsan 4)&gt;Prestige Building")</f>
        <v>Dubai&gt;International City&gt;International City Phase 2 (Warsan 4)&gt;Prestige Building</v>
      </c>
      <c r="E14104" s="2"/>
      <c r="F14104" s="2"/>
      <c r="G14104" s="2"/>
      <c r="H14104" s="2"/>
      <c r="I14104" s="2"/>
      <c r="J14104" s="2"/>
      <c r="K14104" s="2"/>
      <c r="L14104" s="2"/>
      <c r="M14104" s="2"/>
      <c r="N14104" s="2"/>
      <c r="O14104" s="2"/>
      <c r="P14104" s="2"/>
      <c r="Q14104" s="2"/>
      <c r="R14104" s="2"/>
      <c r="S14104" s="2"/>
      <c r="T14104" s="2"/>
      <c r="U14104" s="2"/>
      <c r="V14104" s="2"/>
      <c r="W14104" s="2"/>
      <c r="X14104" s="2"/>
      <c r="Y14104" s="2"/>
      <c r="Z14104" s="2"/>
    </row>
    <row r="14105" spans="1:26" ht="16.5" x14ac:dyDescent="0.35">
      <c r="A14105" s="2" t="str">
        <f ca="1">IFERROR(__xludf.DUMMYFUNCTION("""COMPUTED_VALUE"""),"Dubai")</f>
        <v>Dubai</v>
      </c>
      <c r="B14105" s="2" t="str">
        <f ca="1">IFERROR(__xludf.DUMMYFUNCTION("""COMPUTED_VALUE"""),"Elevia Residences")</f>
        <v>Elevia Residences</v>
      </c>
      <c r="C14105" s="2" t="str">
        <f ca="1">IFERROR(__xludf.DUMMYFUNCTION("""COMPUTED_VALUE"""),"Building")</f>
        <v>Building</v>
      </c>
      <c r="D14105" s="2" t="str">
        <f ca="1">IFERROR(__xludf.DUMMYFUNCTION("""COMPUTED_VALUE"""),"Dubai&gt;International City&gt;International City Phase 2 (Warsan 4)&gt;Elevia Residences")</f>
        <v>Dubai&gt;International City&gt;International City Phase 2 (Warsan 4)&gt;Elevia Residences</v>
      </c>
      <c r="E14105" s="2"/>
      <c r="F14105" s="2"/>
      <c r="G14105" s="2"/>
      <c r="H14105" s="2"/>
      <c r="I14105" s="2"/>
      <c r="J14105" s="2"/>
      <c r="K14105" s="2"/>
      <c r="L14105" s="2"/>
      <c r="M14105" s="2"/>
      <c r="N14105" s="2"/>
      <c r="O14105" s="2"/>
      <c r="P14105" s="2"/>
      <c r="Q14105" s="2"/>
      <c r="R14105" s="2"/>
      <c r="S14105" s="2"/>
      <c r="T14105" s="2"/>
      <c r="U14105" s="2"/>
      <c r="V14105" s="2"/>
      <c r="W14105" s="2"/>
      <c r="X14105" s="2"/>
      <c r="Y14105" s="2"/>
      <c r="Z14105" s="2"/>
    </row>
    <row r="14106" spans="1:26" ht="16.5" x14ac:dyDescent="0.35">
      <c r="A14106" s="2" t="str">
        <f ca="1">IFERROR(__xludf.DUMMYFUNCTION("""COMPUTED_VALUE"""),"Dubai")</f>
        <v>Dubai</v>
      </c>
      <c r="B14106" s="2" t="str">
        <f ca="1">IFERROR(__xludf.DUMMYFUNCTION("""COMPUTED_VALUE"""),"K-09")</f>
        <v>K-09</v>
      </c>
      <c r="C14106" s="2" t="str">
        <f ca="1">IFERROR(__xludf.DUMMYFUNCTION("""COMPUTED_VALUE"""),"Building")</f>
        <v>Building</v>
      </c>
      <c r="D14106" s="2" t="str">
        <f ca="1">IFERROR(__xludf.DUMMYFUNCTION("""COMPUTED_VALUE"""),"Dubai&gt;International City&gt;Greece Cluster&gt;K-09")</f>
        <v>Dubai&gt;International City&gt;Greece Cluster&gt;K-09</v>
      </c>
      <c r="E14106" s="2"/>
      <c r="F14106" s="2"/>
      <c r="G14106" s="2"/>
      <c r="H14106" s="2"/>
      <c r="I14106" s="2"/>
      <c r="J14106" s="2"/>
      <c r="K14106" s="2"/>
      <c r="L14106" s="2"/>
      <c r="M14106" s="2"/>
      <c r="N14106" s="2"/>
      <c r="O14106" s="2"/>
      <c r="P14106" s="2"/>
      <c r="Q14106" s="2"/>
      <c r="R14106" s="2"/>
      <c r="S14106" s="2"/>
      <c r="T14106" s="2"/>
      <c r="U14106" s="2"/>
      <c r="V14106" s="2"/>
      <c r="W14106" s="2"/>
      <c r="X14106" s="2"/>
      <c r="Y14106" s="2"/>
      <c r="Z14106" s="2"/>
    </row>
    <row r="14107" spans="1:26" ht="16.5" x14ac:dyDescent="0.35">
      <c r="A14107" s="2" t="str">
        <f ca="1">IFERROR(__xludf.DUMMYFUNCTION("""COMPUTED_VALUE"""),"Dubai")</f>
        <v>Dubai</v>
      </c>
      <c r="B14107" s="2" t="str">
        <f ca="1">IFERROR(__xludf.DUMMYFUNCTION("""COMPUTED_VALUE"""),"P-15")</f>
        <v>P-15</v>
      </c>
      <c r="C14107" s="2" t="str">
        <f ca="1">IFERROR(__xludf.DUMMYFUNCTION("""COMPUTED_VALUE"""),"Building")</f>
        <v>Building</v>
      </c>
      <c r="D14107" s="2" t="str">
        <f ca="1">IFERROR(__xludf.DUMMYFUNCTION("""COMPUTED_VALUE"""),"Dubai&gt;International City&gt;France Cluster&gt;P-15")</f>
        <v>Dubai&gt;International City&gt;France Cluster&gt;P-15</v>
      </c>
      <c r="E14107" s="2"/>
      <c r="F14107" s="2"/>
      <c r="G14107" s="2"/>
      <c r="H14107" s="2"/>
      <c r="I14107" s="2"/>
      <c r="J14107" s="2"/>
      <c r="K14107" s="2"/>
      <c r="L14107" s="2"/>
      <c r="M14107" s="2"/>
      <c r="N14107" s="2"/>
      <c r="O14107" s="2"/>
      <c r="P14107" s="2"/>
      <c r="Q14107" s="2"/>
      <c r="R14107" s="2"/>
      <c r="S14107" s="2"/>
      <c r="T14107" s="2"/>
      <c r="U14107" s="2"/>
      <c r="V14107" s="2"/>
      <c r="W14107" s="2"/>
      <c r="X14107" s="2"/>
      <c r="Y14107" s="2"/>
      <c r="Z14107" s="2"/>
    </row>
    <row r="14108" spans="1:26" ht="16.5" x14ac:dyDescent="0.35">
      <c r="A14108" s="2" t="str">
        <f ca="1">IFERROR(__xludf.DUMMYFUNCTION("""COMPUTED_VALUE"""),"Dubai")</f>
        <v>Dubai</v>
      </c>
      <c r="B14108" s="2" t="str">
        <f ca="1">IFERROR(__xludf.DUMMYFUNCTION("""COMPUTED_VALUE"""),"R-22")</f>
        <v>R-22</v>
      </c>
      <c r="C14108" s="2" t="str">
        <f ca="1">IFERROR(__xludf.DUMMYFUNCTION("""COMPUTED_VALUE"""),"Building")</f>
        <v>Building</v>
      </c>
      <c r="D14108" s="2" t="str">
        <f ca="1">IFERROR(__xludf.DUMMYFUNCTION("""COMPUTED_VALUE"""),"Dubai&gt;International City&gt;France Cluster&gt;R-22")</f>
        <v>Dubai&gt;International City&gt;France Cluster&gt;R-22</v>
      </c>
      <c r="E14108" s="2"/>
      <c r="F14108" s="2"/>
      <c r="G14108" s="2"/>
      <c r="H14108" s="2"/>
      <c r="I14108" s="2"/>
      <c r="J14108" s="2"/>
      <c r="K14108" s="2"/>
      <c r="L14108" s="2"/>
      <c r="M14108" s="2"/>
      <c r="N14108" s="2"/>
      <c r="O14108" s="2"/>
      <c r="P14108" s="2"/>
      <c r="Q14108" s="2"/>
      <c r="R14108" s="2"/>
      <c r="S14108" s="2"/>
      <c r="T14108" s="2"/>
      <c r="U14108" s="2"/>
      <c r="V14108" s="2"/>
      <c r="W14108" s="2"/>
      <c r="X14108" s="2"/>
      <c r="Y14108" s="2"/>
      <c r="Z14108" s="2"/>
    </row>
    <row r="14109" spans="1:26" ht="16.5" x14ac:dyDescent="0.35">
      <c r="A14109" s="2" t="str">
        <f ca="1">IFERROR(__xludf.DUMMYFUNCTION("""COMPUTED_VALUE"""),"Dubai")</f>
        <v>Dubai</v>
      </c>
      <c r="B14109" s="2" t="str">
        <f ca="1">IFERROR(__xludf.DUMMYFUNCTION("""COMPUTED_VALUE"""),"CBD-C06")</f>
        <v>CBD-C06</v>
      </c>
      <c r="C14109" s="2" t="str">
        <f ca="1">IFERROR(__xludf.DUMMYFUNCTION("""COMPUTED_VALUE"""),"Building")</f>
        <v>Building</v>
      </c>
      <c r="D14109" s="2" t="str">
        <f ca="1">IFERROR(__xludf.DUMMYFUNCTION("""COMPUTED_VALUE"""),"Dubai&gt;International City&gt;Central Business District&gt;CBD-C06")</f>
        <v>Dubai&gt;International City&gt;Central Business District&gt;CBD-C06</v>
      </c>
      <c r="E14109" s="2"/>
      <c r="F14109" s="2"/>
      <c r="G14109" s="2"/>
      <c r="H14109" s="2"/>
      <c r="I14109" s="2"/>
      <c r="J14109" s="2"/>
      <c r="K14109" s="2"/>
      <c r="L14109" s="2"/>
      <c r="M14109" s="2"/>
      <c r="N14109" s="2"/>
      <c r="O14109" s="2"/>
      <c r="P14109" s="2"/>
      <c r="Q14109" s="2"/>
      <c r="R14109" s="2"/>
      <c r="S14109" s="2"/>
      <c r="T14109" s="2"/>
      <c r="U14109" s="2"/>
      <c r="V14109" s="2"/>
      <c r="W14109" s="2"/>
      <c r="X14109" s="2"/>
      <c r="Y14109" s="2"/>
      <c r="Z14109" s="2"/>
    </row>
    <row r="14110" spans="1:26" ht="16.5" x14ac:dyDescent="0.35">
      <c r="A14110" s="2" t="str">
        <f ca="1">IFERROR(__xludf.DUMMYFUNCTION("""COMPUTED_VALUE"""),"Dubai")</f>
        <v>Dubai</v>
      </c>
      <c r="B14110" s="2" t="str">
        <f ca="1">IFERROR(__xludf.DUMMYFUNCTION("""COMPUTED_VALUE"""),"Mubarak Building")</f>
        <v>Mubarak Building</v>
      </c>
      <c r="C14110" s="2" t="str">
        <f ca="1">IFERROR(__xludf.DUMMYFUNCTION("""COMPUTED_VALUE"""),"Building")</f>
        <v>Building</v>
      </c>
      <c r="D14110" s="2" t="str">
        <f ca="1">IFERROR(__xludf.DUMMYFUNCTION("""COMPUTED_VALUE"""),"Dubai&gt;International City&gt;Mubarak Building")</f>
        <v>Dubai&gt;International City&gt;Mubarak Building</v>
      </c>
      <c r="E14110" s="2"/>
      <c r="F14110" s="2"/>
      <c r="G14110" s="2"/>
      <c r="H14110" s="2"/>
      <c r="I14110" s="2"/>
      <c r="J14110" s="2"/>
      <c r="K14110" s="2"/>
      <c r="L14110" s="2"/>
      <c r="M14110" s="2"/>
      <c r="N14110" s="2"/>
      <c r="O14110" s="2"/>
      <c r="P14110" s="2"/>
      <c r="Q14110" s="2"/>
      <c r="R14110" s="2"/>
      <c r="S14110" s="2"/>
      <c r="T14110" s="2"/>
      <c r="U14110" s="2"/>
      <c r="V14110" s="2"/>
      <c r="W14110" s="2"/>
      <c r="X14110" s="2"/>
      <c r="Y14110" s="2"/>
      <c r="Z14110" s="2"/>
    </row>
    <row r="14111" spans="1:26" ht="16.5" x14ac:dyDescent="0.35">
      <c r="A14111" s="2" t="str">
        <f ca="1">IFERROR(__xludf.DUMMYFUNCTION("""COMPUTED_VALUE"""),"Dubai")</f>
        <v>Dubai</v>
      </c>
      <c r="B14111" s="2" t="str">
        <f ca="1">IFERROR(__xludf.DUMMYFUNCTION("""COMPUTED_VALUE"""),"Le Reve")</f>
        <v>Le Reve</v>
      </c>
      <c r="C14111" s="2" t="str">
        <f ca="1">IFERROR(__xludf.DUMMYFUNCTION("""COMPUTED_VALUE"""),"Building")</f>
        <v>Building</v>
      </c>
      <c r="D14111" s="2" t="str">
        <f ca="1">IFERROR(__xludf.DUMMYFUNCTION("""COMPUTED_VALUE"""),"Dubai&gt;Dubai Marina&gt;Le Reve")</f>
        <v>Dubai&gt;Dubai Marina&gt;Le Reve</v>
      </c>
      <c r="E14111" s="2"/>
      <c r="F14111" s="2"/>
      <c r="G14111" s="2"/>
      <c r="H14111" s="2"/>
      <c r="I14111" s="2"/>
      <c r="J14111" s="2"/>
      <c r="K14111" s="2"/>
      <c r="L14111" s="2"/>
      <c r="M14111" s="2"/>
      <c r="N14111" s="2"/>
      <c r="O14111" s="2"/>
      <c r="P14111" s="2"/>
      <c r="Q14111" s="2"/>
      <c r="R14111" s="2"/>
      <c r="S14111" s="2"/>
      <c r="T14111" s="2"/>
      <c r="U14111" s="2"/>
      <c r="V14111" s="2"/>
      <c r="W14111" s="2"/>
      <c r="X14111" s="2"/>
      <c r="Y14111" s="2"/>
      <c r="Z14111" s="2"/>
    </row>
    <row r="14112" spans="1:26" ht="16.5" x14ac:dyDescent="0.35">
      <c r="A14112" s="2" t="str">
        <f ca="1">IFERROR(__xludf.DUMMYFUNCTION("""COMPUTED_VALUE"""),"Dubai")</f>
        <v>Dubai</v>
      </c>
      <c r="B14112" s="2" t="str">
        <f ca="1">IFERROR(__xludf.DUMMYFUNCTION("""COMPUTED_VALUE"""),"Al Majara 1")</f>
        <v>Al Majara 1</v>
      </c>
      <c r="C14112" s="2" t="str">
        <f ca="1">IFERROR(__xludf.DUMMYFUNCTION("""COMPUTED_VALUE"""),"Building")</f>
        <v>Building</v>
      </c>
      <c r="D14112" s="2" t="str">
        <f ca="1">IFERROR(__xludf.DUMMYFUNCTION("""COMPUTED_VALUE"""),"Dubai&gt;Dubai Marina&gt;Al Majara&gt;Al Majara 1")</f>
        <v>Dubai&gt;Dubai Marina&gt;Al Majara&gt;Al Majara 1</v>
      </c>
      <c r="E14112" s="2"/>
      <c r="F14112" s="2"/>
      <c r="G14112" s="2"/>
      <c r="H14112" s="2"/>
      <c r="I14112" s="2"/>
      <c r="J14112" s="2"/>
      <c r="K14112" s="2"/>
      <c r="L14112" s="2"/>
      <c r="M14112" s="2"/>
      <c r="N14112" s="2"/>
      <c r="O14112" s="2"/>
      <c r="P14112" s="2"/>
      <c r="Q14112" s="2"/>
      <c r="R14112" s="2"/>
      <c r="S14112" s="2"/>
      <c r="T14112" s="2"/>
      <c r="U14112" s="2"/>
      <c r="V14112" s="2"/>
      <c r="W14112" s="2"/>
      <c r="X14112" s="2"/>
      <c r="Y14112" s="2"/>
      <c r="Z14112" s="2"/>
    </row>
    <row r="14113" spans="1:26" ht="16.5" x14ac:dyDescent="0.35">
      <c r="A14113" s="2" t="str">
        <f ca="1">IFERROR(__xludf.DUMMYFUNCTION("""COMPUTED_VALUE"""),"Dubai")</f>
        <v>Dubai</v>
      </c>
      <c r="B14113" s="2" t="str">
        <f ca="1">IFERROR(__xludf.DUMMYFUNCTION("""COMPUTED_VALUE"""),"Trident Marinascape Avant Tower")</f>
        <v>Trident Marinascape Avant Tower</v>
      </c>
      <c r="C14113" s="2" t="str">
        <f ca="1">IFERROR(__xludf.DUMMYFUNCTION("""COMPUTED_VALUE"""),"Building")</f>
        <v>Building</v>
      </c>
      <c r="D14113" s="2" t="str">
        <f ca="1">IFERROR(__xludf.DUMMYFUNCTION("""COMPUTED_VALUE"""),"Dubai&gt;Dubai Marina&gt;Trident Marinascape&gt;Trident Marinascape Avant Tower")</f>
        <v>Dubai&gt;Dubai Marina&gt;Trident Marinascape&gt;Trident Marinascape Avant Tower</v>
      </c>
      <c r="E14113" s="2"/>
      <c r="F14113" s="2"/>
      <c r="G14113" s="2"/>
      <c r="H14113" s="2"/>
      <c r="I14113" s="2"/>
      <c r="J14113" s="2"/>
      <c r="K14113" s="2"/>
      <c r="L14113" s="2"/>
      <c r="M14113" s="2"/>
      <c r="N14113" s="2"/>
      <c r="O14113" s="2"/>
      <c r="P14113" s="2"/>
      <c r="Q14113" s="2"/>
      <c r="R14113" s="2"/>
      <c r="S14113" s="2"/>
      <c r="T14113" s="2"/>
      <c r="U14113" s="2"/>
      <c r="V14113" s="2"/>
      <c r="W14113" s="2"/>
      <c r="X14113" s="2"/>
      <c r="Y14113" s="2"/>
      <c r="Z14113" s="2"/>
    </row>
    <row r="14114" spans="1:26" ht="16.5" x14ac:dyDescent="0.35">
      <c r="A14114" s="2" t="str">
        <f ca="1">IFERROR(__xludf.DUMMYFUNCTION("""COMPUTED_VALUE"""),"Dubai")</f>
        <v>Dubai</v>
      </c>
      <c r="B14114" s="2" t="str">
        <f ca="1">IFERROR(__xludf.DUMMYFUNCTION("""COMPUTED_VALUE"""),"LIV Residence")</f>
        <v>LIV Residence</v>
      </c>
      <c r="C14114" s="2" t="str">
        <f ca="1">IFERROR(__xludf.DUMMYFUNCTION("""COMPUTED_VALUE"""),"Building")</f>
        <v>Building</v>
      </c>
      <c r="D14114" s="2" t="str">
        <f ca="1">IFERROR(__xludf.DUMMYFUNCTION("""COMPUTED_VALUE"""),"Dubai&gt;Dubai Marina&gt;LIV Residence")</f>
        <v>Dubai&gt;Dubai Marina&gt;LIV Residence</v>
      </c>
      <c r="E14114" s="2"/>
      <c r="F14114" s="2"/>
      <c r="G14114" s="2"/>
      <c r="H14114" s="2"/>
      <c r="I14114" s="2"/>
      <c r="J14114" s="2"/>
      <c r="K14114" s="2"/>
      <c r="L14114" s="2"/>
      <c r="M14114" s="2"/>
      <c r="N14114" s="2"/>
      <c r="O14114" s="2"/>
      <c r="P14114" s="2"/>
      <c r="Q14114" s="2"/>
      <c r="R14114" s="2"/>
      <c r="S14114" s="2"/>
      <c r="T14114" s="2"/>
      <c r="U14114" s="2"/>
      <c r="V14114" s="2"/>
      <c r="W14114" s="2"/>
      <c r="X14114" s="2"/>
      <c r="Y14114" s="2"/>
      <c r="Z14114" s="2"/>
    </row>
    <row r="14115" spans="1:26" ht="16.5" x14ac:dyDescent="0.35">
      <c r="A14115" s="2" t="str">
        <f ca="1">IFERROR(__xludf.DUMMYFUNCTION("""COMPUTED_VALUE"""),"Dubai")</f>
        <v>Dubai</v>
      </c>
      <c r="B14115" s="2" t="str">
        <f ca="1">IFERROR(__xludf.DUMMYFUNCTION("""COMPUTED_VALUE"""),"Al Sheebani Building")</f>
        <v>Al Sheebani Building</v>
      </c>
      <c r="C14115" s="2" t="str">
        <f ca="1">IFERROR(__xludf.DUMMYFUNCTION("""COMPUTED_VALUE"""),"Building")</f>
        <v>Building</v>
      </c>
      <c r="D14115" s="2" t="str">
        <f ca="1">IFERROR(__xludf.DUMMYFUNCTION("""COMPUTED_VALUE"""),"Dubai&gt;Dubai Marina&gt;Al Sheebani Building")</f>
        <v>Dubai&gt;Dubai Marina&gt;Al Sheebani Building</v>
      </c>
      <c r="E14115" s="2"/>
      <c r="F14115" s="2"/>
      <c r="G14115" s="2"/>
      <c r="H14115" s="2"/>
      <c r="I14115" s="2"/>
      <c r="J14115" s="2"/>
      <c r="K14115" s="2"/>
      <c r="L14115" s="2"/>
      <c r="M14115" s="2"/>
      <c r="N14115" s="2"/>
      <c r="O14115" s="2"/>
      <c r="P14115" s="2"/>
      <c r="Q14115" s="2"/>
      <c r="R14115" s="2"/>
      <c r="S14115" s="2"/>
      <c r="T14115" s="2"/>
      <c r="U14115" s="2"/>
      <c r="V14115" s="2"/>
      <c r="W14115" s="2"/>
      <c r="X14115" s="2"/>
      <c r="Y14115" s="2"/>
      <c r="Z14115" s="2"/>
    </row>
    <row r="14116" spans="1:26" ht="16.5" x14ac:dyDescent="0.35">
      <c r="A14116" s="2" t="str">
        <f ca="1">IFERROR(__xludf.DUMMYFUNCTION("""COMPUTED_VALUE"""),"Dubai")</f>
        <v>Dubai</v>
      </c>
      <c r="B14116" s="2" t="str">
        <f ca="1">IFERROR(__xludf.DUMMYFUNCTION("""COMPUTED_VALUE"""),"Panoramic")</f>
        <v>Panoramic</v>
      </c>
      <c r="C14116" s="2" t="str">
        <f ca="1">IFERROR(__xludf.DUMMYFUNCTION("""COMPUTED_VALUE"""),"Building")</f>
        <v>Building</v>
      </c>
      <c r="D14116" s="2" t="str">
        <f ca="1">IFERROR(__xludf.DUMMYFUNCTION("""COMPUTED_VALUE"""),"Dubai&gt;Dubai Marina&gt;Panoramic")</f>
        <v>Dubai&gt;Dubai Marina&gt;Panoramic</v>
      </c>
      <c r="E14116" s="2"/>
      <c r="F14116" s="2"/>
      <c r="G14116" s="2"/>
      <c r="H14116" s="2"/>
      <c r="I14116" s="2"/>
      <c r="J14116" s="2"/>
      <c r="K14116" s="2"/>
      <c r="L14116" s="2"/>
      <c r="M14116" s="2"/>
      <c r="N14116" s="2"/>
      <c r="O14116" s="2"/>
      <c r="P14116" s="2"/>
      <c r="Q14116" s="2"/>
      <c r="R14116" s="2"/>
      <c r="S14116" s="2"/>
      <c r="T14116" s="2"/>
      <c r="U14116" s="2"/>
      <c r="V14116" s="2"/>
      <c r="W14116" s="2"/>
      <c r="X14116" s="2"/>
      <c r="Y14116" s="2"/>
      <c r="Z14116" s="2"/>
    </row>
    <row r="14117" spans="1:26" ht="16.5" x14ac:dyDescent="0.35">
      <c r="A14117" s="2" t="str">
        <f ca="1">IFERROR(__xludf.DUMMYFUNCTION("""COMPUTED_VALUE"""),"Dubai")</f>
        <v>Dubai</v>
      </c>
      <c r="B14117" s="2" t="str">
        <f ca="1">IFERROR(__xludf.DUMMYFUNCTION("""COMPUTED_VALUE"""),"Sparkle Tower 1")</f>
        <v>Sparkle Tower 1</v>
      </c>
      <c r="C14117" s="2" t="str">
        <f ca="1">IFERROR(__xludf.DUMMYFUNCTION("""COMPUTED_VALUE"""),"Building")</f>
        <v>Building</v>
      </c>
      <c r="D14117" s="2" t="str">
        <f ca="1">IFERROR(__xludf.DUMMYFUNCTION("""COMPUTED_VALUE"""),"Dubai&gt;Dubai Marina&gt;Sparkle Towers&gt;Sparkle Tower 1")</f>
        <v>Dubai&gt;Dubai Marina&gt;Sparkle Towers&gt;Sparkle Tower 1</v>
      </c>
      <c r="E14117" s="2"/>
      <c r="F14117" s="2"/>
      <c r="G14117" s="2"/>
      <c r="H14117" s="2"/>
      <c r="I14117" s="2"/>
      <c r="J14117" s="2"/>
      <c r="K14117" s="2"/>
      <c r="L14117" s="2"/>
      <c r="M14117" s="2"/>
      <c r="N14117" s="2"/>
      <c r="O14117" s="2"/>
      <c r="P14117" s="2"/>
      <c r="Q14117" s="2"/>
      <c r="R14117" s="2"/>
      <c r="S14117" s="2"/>
      <c r="T14117" s="2"/>
      <c r="U14117" s="2"/>
      <c r="V14117" s="2"/>
      <c r="W14117" s="2"/>
      <c r="X14117" s="2"/>
      <c r="Y14117" s="2"/>
      <c r="Z14117" s="2"/>
    </row>
    <row r="14118" spans="1:26" ht="16.5" x14ac:dyDescent="0.35">
      <c r="A14118" s="2" t="str">
        <f ca="1">IFERROR(__xludf.DUMMYFUNCTION("""COMPUTED_VALUE"""),"Dubai")</f>
        <v>Dubai</v>
      </c>
      <c r="B14118" s="2" t="str">
        <f ca="1">IFERROR(__xludf.DUMMYFUNCTION("""COMPUTED_VALUE"""),"Warda Apartments")</f>
        <v>Warda Apartments</v>
      </c>
      <c r="C14118" s="2" t="str">
        <f ca="1">IFERROR(__xludf.DUMMYFUNCTION("""COMPUTED_VALUE"""),"Cluster")</f>
        <v>Cluster</v>
      </c>
      <c r="D14118" s="2" t="str">
        <f ca="1">IFERROR(__xludf.DUMMYFUNCTION("""COMPUTED_VALUE"""),"Dubai&gt;Town Square&gt;Warda Apartments")</f>
        <v>Dubai&gt;Town Square&gt;Warda Apartments</v>
      </c>
      <c r="E14118" s="2"/>
      <c r="F14118" s="2"/>
      <c r="G14118" s="2"/>
      <c r="H14118" s="2"/>
      <c r="I14118" s="2"/>
      <c r="J14118" s="2"/>
      <c r="K14118" s="2"/>
      <c r="L14118" s="2"/>
      <c r="M14118" s="2"/>
      <c r="N14118" s="2"/>
      <c r="O14118" s="2"/>
      <c r="P14118" s="2"/>
      <c r="Q14118" s="2"/>
      <c r="R14118" s="2"/>
      <c r="S14118" s="2"/>
      <c r="T14118" s="2"/>
      <c r="U14118" s="2"/>
      <c r="V14118" s="2"/>
      <c r="W14118" s="2"/>
      <c r="X14118" s="2"/>
      <c r="Y14118" s="2"/>
      <c r="Z14118" s="2"/>
    </row>
    <row r="14119" spans="1:26" ht="16.5" x14ac:dyDescent="0.35">
      <c r="A14119" s="2" t="str">
        <f ca="1">IFERROR(__xludf.DUMMYFUNCTION("""COMPUTED_VALUE"""),"Dubai")</f>
        <v>Dubai</v>
      </c>
      <c r="B14119" s="2" t="str">
        <f ca="1">IFERROR(__xludf.DUMMYFUNCTION("""COMPUTED_VALUE"""),"Naseem Townhouses")</f>
        <v>Naseem Townhouses</v>
      </c>
      <c r="C14119" s="2" t="str">
        <f ca="1">IFERROR(__xludf.DUMMYFUNCTION("""COMPUTED_VALUE"""),"Neighbourhood")</f>
        <v>Neighbourhood</v>
      </c>
      <c r="D14119" s="2" t="str">
        <f ca="1">IFERROR(__xludf.DUMMYFUNCTION("""COMPUTED_VALUE"""),"Dubai&gt;Town Square&gt;Naseem Townhouses")</f>
        <v>Dubai&gt;Town Square&gt;Naseem Townhouses</v>
      </c>
      <c r="E14119" s="2"/>
      <c r="F14119" s="2"/>
      <c r="G14119" s="2"/>
      <c r="H14119" s="2"/>
      <c r="I14119" s="2"/>
      <c r="J14119" s="2"/>
      <c r="K14119" s="2"/>
      <c r="L14119" s="2"/>
      <c r="M14119" s="2"/>
      <c r="N14119" s="2"/>
      <c r="O14119" s="2"/>
      <c r="P14119" s="2"/>
      <c r="Q14119" s="2"/>
      <c r="R14119" s="2"/>
      <c r="S14119" s="2"/>
      <c r="T14119" s="2"/>
      <c r="U14119" s="2"/>
      <c r="V14119" s="2"/>
      <c r="W14119" s="2"/>
      <c r="X14119" s="2"/>
      <c r="Y14119" s="2"/>
      <c r="Z14119" s="2"/>
    </row>
    <row r="14120" spans="1:26" ht="16.5" x14ac:dyDescent="0.35">
      <c r="A14120" s="2" t="str">
        <f ca="1">IFERROR(__xludf.DUMMYFUNCTION("""COMPUTED_VALUE"""),"Dubai")</f>
        <v>Dubai</v>
      </c>
      <c r="B14120" s="2" t="str">
        <f ca="1">IFERROR(__xludf.DUMMYFUNCTION("""COMPUTED_VALUE"""),"Berkshire Park")</f>
        <v>Berkshire Park</v>
      </c>
      <c r="C14120" s="2" t="str">
        <f ca="1">IFERROR(__xludf.DUMMYFUNCTION("""COMPUTED_VALUE"""),"Building")</f>
        <v>Building</v>
      </c>
      <c r="D14120" s="2" t="str">
        <f ca="1">IFERROR(__xludf.DUMMYFUNCTION("""COMPUTED_VALUE"""),"Dubai&gt;Town Square&gt;Berkshire Park")</f>
        <v>Dubai&gt;Town Square&gt;Berkshire Park</v>
      </c>
      <c r="E14120" s="2"/>
      <c r="F14120" s="2"/>
      <c r="G14120" s="2"/>
      <c r="H14120" s="2"/>
      <c r="I14120" s="2"/>
      <c r="J14120" s="2"/>
      <c r="K14120" s="2"/>
      <c r="L14120" s="2"/>
      <c r="M14120" s="2"/>
      <c r="N14120" s="2"/>
      <c r="O14120" s="2"/>
      <c r="P14120" s="2"/>
      <c r="Q14120" s="2"/>
      <c r="R14120" s="2"/>
      <c r="S14120" s="2"/>
      <c r="T14120" s="2"/>
      <c r="U14120" s="2"/>
      <c r="V14120" s="2"/>
      <c r="W14120" s="2"/>
      <c r="X14120" s="2"/>
      <c r="Y14120" s="2"/>
      <c r="Z14120" s="2"/>
    </row>
    <row r="14121" spans="1:26" ht="16.5" x14ac:dyDescent="0.35">
      <c r="A14121" s="2" t="str">
        <f ca="1">IFERROR(__xludf.DUMMYFUNCTION("""COMPUTED_VALUE"""),"Dubai")</f>
        <v>Dubai</v>
      </c>
      <c r="B14121" s="2" t="str">
        <f ca="1">IFERROR(__xludf.DUMMYFUNCTION("""COMPUTED_VALUE"""),"Murano Residences 1")</f>
        <v>Murano Residences 1</v>
      </c>
      <c r="C14121" s="2" t="str">
        <f ca="1">IFERROR(__xludf.DUMMYFUNCTION("""COMPUTED_VALUE"""),"Building")</f>
        <v>Building</v>
      </c>
      <c r="D14121" s="2" t="str">
        <f ca="1">IFERROR(__xludf.DUMMYFUNCTION("""COMPUTED_VALUE"""),"Dubai&gt;Al Furjan&gt;Murano Residences&gt;Murano Residences 1")</f>
        <v>Dubai&gt;Al Furjan&gt;Murano Residences&gt;Murano Residences 1</v>
      </c>
      <c r="E14121" s="2"/>
      <c r="F14121" s="2"/>
      <c r="G14121" s="2"/>
      <c r="H14121" s="2"/>
      <c r="I14121" s="2"/>
      <c r="J14121" s="2"/>
      <c r="K14121" s="2"/>
      <c r="L14121" s="2"/>
      <c r="M14121" s="2"/>
      <c r="N14121" s="2"/>
      <c r="O14121" s="2"/>
      <c r="P14121" s="2"/>
      <c r="Q14121" s="2"/>
      <c r="R14121" s="2"/>
      <c r="S14121" s="2"/>
      <c r="T14121" s="2"/>
      <c r="U14121" s="2"/>
      <c r="V14121" s="2"/>
      <c r="W14121" s="2"/>
      <c r="X14121" s="2"/>
      <c r="Y14121" s="2"/>
      <c r="Z14121" s="2"/>
    </row>
    <row r="14122" spans="1:26" ht="16.5" x14ac:dyDescent="0.35">
      <c r="A14122" s="2" t="str">
        <f ca="1">IFERROR(__xludf.DUMMYFUNCTION("""COMPUTED_VALUE"""),"Dubai")</f>
        <v>Dubai</v>
      </c>
      <c r="B14122" s="2" t="str">
        <f ca="1">IFERROR(__xludf.DUMMYFUNCTION("""COMPUTED_VALUE"""),"Azizi Freesia")</f>
        <v>Azizi Freesia</v>
      </c>
      <c r="C14122" s="2" t="str">
        <f ca="1">IFERROR(__xludf.DUMMYFUNCTION("""COMPUTED_VALUE"""),"Building")</f>
        <v>Building</v>
      </c>
      <c r="D14122" s="2" t="str">
        <f ca="1">IFERROR(__xludf.DUMMYFUNCTION("""COMPUTED_VALUE"""),"Dubai&gt;Al Furjan&gt;Azizi Freesia")</f>
        <v>Dubai&gt;Al Furjan&gt;Azizi Freesia</v>
      </c>
      <c r="E14122" s="2"/>
      <c r="F14122" s="2"/>
      <c r="G14122" s="2"/>
      <c r="H14122" s="2"/>
      <c r="I14122" s="2"/>
      <c r="J14122" s="2"/>
      <c r="K14122" s="2"/>
      <c r="L14122" s="2"/>
      <c r="M14122" s="2"/>
      <c r="N14122" s="2"/>
      <c r="O14122" s="2"/>
      <c r="P14122" s="2"/>
      <c r="Q14122" s="2"/>
      <c r="R14122" s="2"/>
      <c r="S14122" s="2"/>
      <c r="T14122" s="2"/>
      <c r="U14122" s="2"/>
      <c r="V14122" s="2"/>
      <c r="W14122" s="2"/>
      <c r="X14122" s="2"/>
      <c r="Y14122" s="2"/>
      <c r="Z14122" s="2"/>
    </row>
    <row r="14123" spans="1:26" ht="16.5" x14ac:dyDescent="0.35">
      <c r="A14123" s="2" t="str">
        <f ca="1">IFERROR(__xludf.DUMMYFUNCTION("""COMPUTED_VALUE"""),"Dubai")</f>
        <v>Dubai</v>
      </c>
      <c r="B14123" s="2" t="str">
        <f ca="1">IFERROR(__xludf.DUMMYFUNCTION("""COMPUTED_VALUE"""),"Masakin Al Furjan Block C")</f>
        <v>Masakin Al Furjan Block C</v>
      </c>
      <c r="C14123" s="2" t="str">
        <f ca="1">IFERROR(__xludf.DUMMYFUNCTION("""COMPUTED_VALUE"""),"Building")</f>
        <v>Building</v>
      </c>
      <c r="D14123" s="2" t="str">
        <f ca="1">IFERROR(__xludf.DUMMYFUNCTION("""COMPUTED_VALUE"""),"Dubai&gt;Al Furjan&gt;Masakin Al Furjan&gt;Masakin Al Furjan Block C")</f>
        <v>Dubai&gt;Al Furjan&gt;Masakin Al Furjan&gt;Masakin Al Furjan Block C</v>
      </c>
      <c r="E14123" s="2"/>
      <c r="F14123" s="2"/>
      <c r="G14123" s="2"/>
      <c r="H14123" s="2"/>
      <c r="I14123" s="2"/>
      <c r="J14123" s="2"/>
      <c r="K14123" s="2"/>
      <c r="L14123" s="2"/>
      <c r="M14123" s="2"/>
      <c r="N14123" s="2"/>
      <c r="O14123" s="2"/>
      <c r="P14123" s="2"/>
      <c r="Q14123" s="2"/>
      <c r="R14123" s="2"/>
      <c r="S14123" s="2"/>
      <c r="T14123" s="2"/>
      <c r="U14123" s="2"/>
      <c r="V14123" s="2"/>
      <c r="W14123" s="2"/>
      <c r="X14123" s="2"/>
      <c r="Y14123" s="2"/>
      <c r="Z14123" s="2"/>
    </row>
    <row r="14124" spans="1:26" ht="16.5" x14ac:dyDescent="0.35">
      <c r="A14124" s="2" t="str">
        <f ca="1">IFERROR(__xludf.DUMMYFUNCTION("""COMPUTED_VALUE"""),"Dubai")</f>
        <v>Dubai</v>
      </c>
      <c r="B14124" s="2" t="str">
        <f ca="1">IFERROR(__xludf.DUMMYFUNCTION("""COMPUTED_VALUE"""),"Avenue Residence 6")</f>
        <v>Avenue Residence 6</v>
      </c>
      <c r="C14124" s="2" t="str">
        <f ca="1">IFERROR(__xludf.DUMMYFUNCTION("""COMPUTED_VALUE"""),"Building")</f>
        <v>Building</v>
      </c>
      <c r="D14124" s="2" t="str">
        <f ca="1">IFERROR(__xludf.DUMMYFUNCTION("""COMPUTED_VALUE"""),"Dubai&gt;Al Furjan&gt;Avenue Residence 6")</f>
        <v>Dubai&gt;Al Furjan&gt;Avenue Residence 6</v>
      </c>
      <c r="E14124" s="2"/>
      <c r="F14124" s="2"/>
      <c r="G14124" s="2"/>
      <c r="H14124" s="2"/>
      <c r="I14124" s="2"/>
      <c r="J14124" s="2"/>
      <c r="K14124" s="2"/>
      <c r="L14124" s="2"/>
      <c r="M14124" s="2"/>
      <c r="N14124" s="2"/>
      <c r="O14124" s="2"/>
      <c r="P14124" s="2"/>
      <c r="Q14124" s="2"/>
      <c r="R14124" s="2"/>
      <c r="S14124" s="2"/>
      <c r="T14124" s="2"/>
      <c r="U14124" s="2"/>
      <c r="V14124" s="2"/>
      <c r="W14124" s="2"/>
      <c r="X14124" s="2"/>
      <c r="Y14124" s="2"/>
      <c r="Z14124" s="2"/>
    </row>
    <row r="14125" spans="1:26" ht="16.5" x14ac:dyDescent="0.35">
      <c r="A14125" s="2" t="str">
        <f ca="1">IFERROR(__xludf.DUMMYFUNCTION("""COMPUTED_VALUE"""),"Dubai")</f>
        <v>Dubai</v>
      </c>
      <c r="B14125" s="2" t="str">
        <f ca="1">IFERROR(__xludf.DUMMYFUNCTION("""COMPUTED_VALUE"""),"Orvessa Residences")</f>
        <v>Orvessa Residences</v>
      </c>
      <c r="C14125" s="2" t="str">
        <f ca="1">IFERROR(__xludf.DUMMYFUNCTION("""COMPUTED_VALUE"""),"Building")</f>
        <v>Building</v>
      </c>
      <c r="D14125" s="2" t="str">
        <f ca="1">IFERROR(__xludf.DUMMYFUNCTION("""COMPUTED_VALUE"""),"Dubai&gt;Al Furjan&gt;Orvessa Residences")</f>
        <v>Dubai&gt;Al Furjan&gt;Orvessa Residences</v>
      </c>
      <c r="E14125" s="2"/>
      <c r="F14125" s="2"/>
      <c r="G14125" s="2"/>
      <c r="H14125" s="2"/>
      <c r="I14125" s="2"/>
      <c r="J14125" s="2"/>
      <c r="K14125" s="2"/>
      <c r="L14125" s="2"/>
      <c r="M14125" s="2"/>
      <c r="N14125" s="2"/>
      <c r="O14125" s="2"/>
      <c r="P14125" s="2"/>
      <c r="Q14125" s="2"/>
      <c r="R14125" s="2"/>
      <c r="S14125" s="2"/>
      <c r="T14125" s="2"/>
      <c r="U14125" s="2"/>
      <c r="V14125" s="2"/>
      <c r="W14125" s="2"/>
      <c r="X14125" s="2"/>
      <c r="Y14125" s="2"/>
      <c r="Z14125" s="2"/>
    </row>
    <row r="14126" spans="1:26" ht="16.5" x14ac:dyDescent="0.35">
      <c r="A14126" s="2" t="str">
        <f ca="1">IFERROR(__xludf.DUMMYFUNCTION("""COMPUTED_VALUE"""),"Dubai")</f>
        <v>Dubai</v>
      </c>
      <c r="B14126" s="2" t="str">
        <f ca="1">IFERROR(__xludf.DUMMYFUNCTION("""COMPUTED_VALUE"""),"The Derby Residences")</f>
        <v>The Derby Residences</v>
      </c>
      <c r="C14126" s="2" t="str">
        <f ca="1">IFERROR(__xludf.DUMMYFUNCTION("""COMPUTED_VALUE"""),"Cluster")</f>
        <v>Cluster</v>
      </c>
      <c r="D14126" s="2" t="str">
        <f ca="1">IFERROR(__xludf.DUMMYFUNCTION("""COMPUTED_VALUE"""),"Dubai&gt;Meydan City&gt;The Derby Residences")</f>
        <v>Dubai&gt;Meydan City&gt;The Derby Residences</v>
      </c>
      <c r="E14126" s="2"/>
      <c r="F14126" s="2"/>
      <c r="G14126" s="2"/>
      <c r="H14126" s="2"/>
      <c r="I14126" s="2"/>
      <c r="J14126" s="2"/>
      <c r="K14126" s="2"/>
      <c r="L14126" s="2"/>
      <c r="M14126" s="2"/>
      <c r="N14126" s="2"/>
      <c r="O14126" s="2"/>
      <c r="P14126" s="2"/>
      <c r="Q14126" s="2"/>
      <c r="R14126" s="2"/>
      <c r="S14126" s="2"/>
      <c r="T14126" s="2"/>
      <c r="U14126" s="2"/>
      <c r="V14126" s="2"/>
      <c r="W14126" s="2"/>
      <c r="X14126" s="2"/>
      <c r="Y14126" s="2"/>
      <c r="Z14126" s="2"/>
    </row>
    <row r="14127" spans="1:26" ht="16.5" x14ac:dyDescent="0.35">
      <c r="A14127" s="2" t="str">
        <f ca="1">IFERROR(__xludf.DUMMYFUNCTION("""COMPUTED_VALUE"""),"Dubai")</f>
        <v>Dubai</v>
      </c>
      <c r="B14127" s="2" t="str">
        <f ca="1">IFERROR(__xludf.DUMMYFUNCTION("""COMPUTED_VALUE"""),"Azizi Riviera 1")</f>
        <v>Azizi Riviera 1</v>
      </c>
      <c r="C14127" s="2" t="str">
        <f ca="1">IFERROR(__xludf.DUMMYFUNCTION("""COMPUTED_VALUE"""),"Building")</f>
        <v>Building</v>
      </c>
      <c r="D14127" s="2" t="str">
        <f ca="1">IFERROR(__xludf.DUMMYFUNCTION("""COMPUTED_VALUE"""),"Dubai&gt;Meydan City&gt;Meydan One&gt;Azizi Riviera&gt;Azizi Riviera 1")</f>
        <v>Dubai&gt;Meydan City&gt;Meydan One&gt;Azizi Riviera&gt;Azizi Riviera 1</v>
      </c>
      <c r="E14127" s="2"/>
      <c r="F14127" s="2"/>
      <c r="G14127" s="2"/>
      <c r="H14127" s="2"/>
      <c r="I14127" s="2"/>
      <c r="J14127" s="2"/>
      <c r="K14127" s="2"/>
      <c r="L14127" s="2"/>
      <c r="M14127" s="2"/>
      <c r="N14127" s="2"/>
      <c r="O14127" s="2"/>
      <c r="P14127" s="2"/>
      <c r="Q14127" s="2"/>
      <c r="R14127" s="2"/>
      <c r="S14127" s="2"/>
      <c r="T14127" s="2"/>
      <c r="U14127" s="2"/>
      <c r="V14127" s="2"/>
      <c r="W14127" s="2"/>
      <c r="X14127" s="2"/>
      <c r="Y14127" s="2"/>
      <c r="Z14127" s="2"/>
    </row>
    <row r="14128" spans="1:26" ht="16.5" x14ac:dyDescent="0.35">
      <c r="A14128" s="2" t="str">
        <f ca="1">IFERROR(__xludf.DUMMYFUNCTION("""COMPUTED_VALUE"""),"Dubai")</f>
        <v>Dubai</v>
      </c>
      <c r="B14128" s="2" t="str">
        <f ca="1">IFERROR(__xludf.DUMMYFUNCTION("""COMPUTED_VALUE"""),"Azizi Riviera 59")</f>
        <v>Azizi Riviera 59</v>
      </c>
      <c r="C14128" s="2" t="str">
        <f ca="1">IFERROR(__xludf.DUMMYFUNCTION("""COMPUTED_VALUE"""),"Building")</f>
        <v>Building</v>
      </c>
      <c r="D14128" s="2" t="str">
        <f ca="1">IFERROR(__xludf.DUMMYFUNCTION("""COMPUTED_VALUE"""),"Dubai&gt;Meydan City&gt;Meydan One&gt;Azizi Riviera&gt;Azizi Riviera 59")</f>
        <v>Dubai&gt;Meydan City&gt;Meydan One&gt;Azizi Riviera&gt;Azizi Riviera 59</v>
      </c>
      <c r="E14128" s="2"/>
      <c r="F14128" s="2"/>
      <c r="G14128" s="2"/>
      <c r="H14128" s="2"/>
      <c r="I14128" s="2"/>
      <c r="J14128" s="2"/>
      <c r="K14128" s="2"/>
      <c r="L14128" s="2"/>
      <c r="M14128" s="2"/>
      <c r="N14128" s="2"/>
      <c r="O14128" s="2"/>
      <c r="P14128" s="2"/>
      <c r="Q14128" s="2"/>
      <c r="R14128" s="2"/>
      <c r="S14128" s="2"/>
      <c r="T14128" s="2"/>
      <c r="U14128" s="2"/>
      <c r="V14128" s="2"/>
      <c r="W14128" s="2"/>
      <c r="X14128" s="2"/>
      <c r="Y14128" s="2"/>
      <c r="Z14128" s="2"/>
    </row>
    <row r="14129" spans="1:26" ht="16.5" x14ac:dyDescent="0.35">
      <c r="A14129" s="2" t="str">
        <f ca="1">IFERROR(__xludf.DUMMYFUNCTION("""COMPUTED_VALUE"""),"Dubai")</f>
        <v>Dubai</v>
      </c>
      <c r="B14129" s="2" t="str">
        <f ca="1">IFERROR(__xludf.DUMMYFUNCTION("""COMPUTED_VALUE"""),"Al Mashroom Building")</f>
        <v>Al Mashroom Building</v>
      </c>
      <c r="C14129" s="2" t="str">
        <f ca="1">IFERROR(__xludf.DUMMYFUNCTION("""COMPUTED_VALUE"""),"Building")</f>
        <v>Building</v>
      </c>
      <c r="D14129" s="2" t="str">
        <f ca="1">IFERROR(__xludf.DUMMYFUNCTION("""COMPUTED_VALUE"""),"Dubai&gt;Meydan City&gt;Meydan Avenue&gt;Al Mashroom Building")</f>
        <v>Dubai&gt;Meydan City&gt;Meydan Avenue&gt;Al Mashroom Building</v>
      </c>
      <c r="E14129" s="2"/>
      <c r="F14129" s="2"/>
      <c r="G14129" s="2"/>
      <c r="H14129" s="2"/>
      <c r="I14129" s="2"/>
      <c r="J14129" s="2"/>
      <c r="K14129" s="2"/>
      <c r="L14129" s="2"/>
      <c r="M14129" s="2"/>
      <c r="N14129" s="2"/>
      <c r="O14129" s="2"/>
      <c r="P14129" s="2"/>
      <c r="Q14129" s="2"/>
      <c r="R14129" s="2"/>
      <c r="S14129" s="2"/>
      <c r="T14129" s="2"/>
      <c r="U14129" s="2"/>
      <c r="V14129" s="2"/>
      <c r="W14129" s="2"/>
      <c r="X14129" s="2"/>
      <c r="Y14129" s="2"/>
      <c r="Z14129" s="2"/>
    </row>
    <row r="14130" spans="1:26" ht="16.5" x14ac:dyDescent="0.35">
      <c r="A14130" s="2" t="str">
        <f ca="1">IFERROR(__xludf.DUMMYFUNCTION("""COMPUTED_VALUE"""),"Dubai")</f>
        <v>Dubai</v>
      </c>
      <c r="B14130" s="2" t="str">
        <f ca="1">IFERROR(__xludf.DUMMYFUNCTION("""COMPUTED_VALUE"""),"The Galleries")</f>
        <v>The Galleries</v>
      </c>
      <c r="C14130" s="2" t="str">
        <f ca="1">IFERROR(__xludf.DUMMYFUNCTION("""COMPUTED_VALUE"""),"Building")</f>
        <v>Building</v>
      </c>
      <c r="D14130" s="2" t="str">
        <f ca="1">IFERROR(__xludf.DUMMYFUNCTION("""COMPUTED_VALUE"""),"Dubai&gt;Meydan City&gt;Meydan Avenue&gt;The Galleries")</f>
        <v>Dubai&gt;Meydan City&gt;Meydan Avenue&gt;The Galleries</v>
      </c>
      <c r="E14130" s="2"/>
      <c r="F14130" s="2"/>
      <c r="G14130" s="2"/>
      <c r="H14130" s="2"/>
      <c r="I14130" s="2"/>
      <c r="J14130" s="2"/>
      <c r="K14130" s="2"/>
      <c r="L14130" s="2"/>
      <c r="M14130" s="2"/>
      <c r="N14130" s="2"/>
      <c r="O14130" s="2"/>
      <c r="P14130" s="2"/>
      <c r="Q14130" s="2"/>
      <c r="R14130" s="2"/>
      <c r="S14130" s="2"/>
      <c r="T14130" s="2"/>
      <c r="U14130" s="2"/>
      <c r="V14130" s="2"/>
      <c r="W14130" s="2"/>
      <c r="X14130" s="2"/>
      <c r="Y14130" s="2"/>
      <c r="Z14130" s="2"/>
    </row>
    <row r="14131" spans="1:26" ht="16.5" x14ac:dyDescent="0.35">
      <c r="A14131" s="2" t="str">
        <f ca="1">IFERROR(__xludf.DUMMYFUNCTION("""COMPUTED_VALUE"""),"Dubai")</f>
        <v>Dubai</v>
      </c>
      <c r="B14131" s="2" t="str">
        <f ca="1">IFERROR(__xludf.DUMMYFUNCTION("""COMPUTED_VALUE"""),"Fiorella Residences")</f>
        <v>Fiorella Residences</v>
      </c>
      <c r="C14131" s="2" t="str">
        <f ca="1">IFERROR(__xludf.DUMMYFUNCTION("""COMPUTED_VALUE"""),"Building")</f>
        <v>Building</v>
      </c>
      <c r="D14131" s="2" t="str">
        <f ca="1">IFERROR(__xludf.DUMMYFUNCTION("""COMPUTED_VALUE"""),"Dubai&gt;Meydan City&gt;Fiorella Residences")</f>
        <v>Dubai&gt;Meydan City&gt;Fiorella Residences</v>
      </c>
      <c r="E14131" s="2"/>
      <c r="F14131" s="2"/>
      <c r="G14131" s="2"/>
      <c r="H14131" s="2"/>
      <c r="I14131" s="2"/>
      <c r="J14131" s="2"/>
      <c r="K14131" s="2"/>
      <c r="L14131" s="2"/>
      <c r="M14131" s="2"/>
      <c r="N14131" s="2"/>
      <c r="O14131" s="2"/>
      <c r="P14131" s="2"/>
      <c r="Q14131" s="2"/>
      <c r="R14131" s="2"/>
      <c r="S14131" s="2"/>
      <c r="T14131" s="2"/>
      <c r="U14131" s="2"/>
      <c r="V14131" s="2"/>
      <c r="W14131" s="2"/>
      <c r="X14131" s="2"/>
      <c r="Y14131" s="2"/>
      <c r="Z14131" s="2"/>
    </row>
    <row r="14132" spans="1:26" ht="16.5" x14ac:dyDescent="0.35">
      <c r="A14132" s="2" t="str">
        <f ca="1">IFERROR(__xludf.DUMMYFUNCTION("""COMPUTED_VALUE"""),"Dubai")</f>
        <v>Dubai</v>
      </c>
      <c r="B14132" s="2" t="str">
        <f ca="1">IFERROR(__xludf.DUMMYFUNCTION("""COMPUTED_VALUE"""),"Al Alka 2")</f>
        <v>Al Alka 2</v>
      </c>
      <c r="C14132" s="2" t="str">
        <f ca="1">IFERROR(__xludf.DUMMYFUNCTION("""COMPUTED_VALUE"""),"Building")</f>
        <v>Building</v>
      </c>
      <c r="D14132" s="2" t="str">
        <f ca="1">IFERROR(__xludf.DUMMYFUNCTION("""COMPUTED_VALUE"""),"Dubai&gt;The Greens&gt;Al Alka&gt;Al Alka 2")</f>
        <v>Dubai&gt;The Greens&gt;Al Alka&gt;Al Alka 2</v>
      </c>
      <c r="E14132" s="2"/>
      <c r="F14132" s="2"/>
      <c r="G14132" s="2"/>
      <c r="H14132" s="2"/>
      <c r="I14132" s="2"/>
      <c r="J14132" s="2"/>
      <c r="K14132" s="2"/>
      <c r="L14132" s="2"/>
      <c r="M14132" s="2"/>
      <c r="N14132" s="2"/>
      <c r="O14132" s="2"/>
      <c r="P14132" s="2"/>
      <c r="Q14132" s="2"/>
      <c r="R14132" s="2"/>
      <c r="S14132" s="2"/>
      <c r="T14132" s="2"/>
      <c r="U14132" s="2"/>
      <c r="V14132" s="2"/>
      <c r="W14132" s="2"/>
      <c r="X14132" s="2"/>
      <c r="Y14132" s="2"/>
      <c r="Z14132" s="2"/>
    </row>
    <row r="14133" spans="1:26" ht="16.5" x14ac:dyDescent="0.35">
      <c r="A14133" s="2" t="str">
        <f ca="1">IFERROR(__xludf.DUMMYFUNCTION("""COMPUTED_VALUE"""),"Dubai")</f>
        <v>Dubai</v>
      </c>
      <c r="B14133" s="2" t="str">
        <f ca="1">IFERROR(__xludf.DUMMYFUNCTION("""COMPUTED_VALUE"""),"Element Meaisam")</f>
        <v>Element Meaisam</v>
      </c>
      <c r="C14133" s="2" t="str">
        <f ca="1">IFERROR(__xludf.DUMMYFUNCTION("""COMPUTED_VALUE"""),"Building")</f>
        <v>Building</v>
      </c>
      <c r="D14133" s="2" t="str">
        <f ca="1">IFERROR(__xludf.DUMMYFUNCTION("""COMPUTED_VALUE"""),"Dubai&gt;Dubai Production City (IMPZ)&gt;Element Meaisam")</f>
        <v>Dubai&gt;Dubai Production City (IMPZ)&gt;Element Meaisam</v>
      </c>
      <c r="E14133" s="2"/>
      <c r="F14133" s="2"/>
      <c r="G14133" s="2"/>
      <c r="H14133" s="2"/>
      <c r="I14133" s="2"/>
      <c r="J14133" s="2"/>
      <c r="K14133" s="2"/>
      <c r="L14133" s="2"/>
      <c r="M14133" s="2"/>
      <c r="N14133" s="2"/>
      <c r="O14133" s="2"/>
      <c r="P14133" s="2"/>
      <c r="Q14133" s="2"/>
      <c r="R14133" s="2"/>
      <c r="S14133" s="2"/>
      <c r="T14133" s="2"/>
      <c r="U14133" s="2"/>
      <c r="V14133" s="2"/>
      <c r="W14133" s="2"/>
      <c r="X14133" s="2"/>
      <c r="Y14133" s="2"/>
      <c r="Z14133" s="2"/>
    </row>
    <row r="14134" spans="1:26" ht="16.5" x14ac:dyDescent="0.35">
      <c r="A14134" s="2" t="str">
        <f ca="1">IFERROR(__xludf.DUMMYFUNCTION("""COMPUTED_VALUE"""),"Dubai")</f>
        <v>Dubai</v>
      </c>
      <c r="B14134" s="2" t="str">
        <f ca="1">IFERROR(__xludf.DUMMYFUNCTION("""COMPUTED_VALUE"""),"Afnan 7")</f>
        <v>Afnan 7</v>
      </c>
      <c r="C14134" s="2" t="str">
        <f ca="1">IFERROR(__xludf.DUMMYFUNCTION("""COMPUTED_VALUE"""),"Building")</f>
        <v>Building</v>
      </c>
      <c r="D14134" s="2" t="str">
        <f ca="1">IFERROR(__xludf.DUMMYFUNCTION("""COMPUTED_VALUE"""),"Dubai&gt;Dubai Production City (IMPZ)&gt;Midtown&gt;Afnan District&gt;Afnan 7")</f>
        <v>Dubai&gt;Dubai Production City (IMPZ)&gt;Midtown&gt;Afnan District&gt;Afnan 7</v>
      </c>
      <c r="E14134" s="2"/>
      <c r="F14134" s="2"/>
      <c r="G14134" s="2"/>
      <c r="H14134" s="2"/>
      <c r="I14134" s="2"/>
      <c r="J14134" s="2"/>
      <c r="K14134" s="2"/>
      <c r="L14134" s="2"/>
      <c r="M14134" s="2"/>
      <c r="N14134" s="2"/>
      <c r="O14134" s="2"/>
      <c r="P14134" s="2"/>
      <c r="Q14134" s="2"/>
      <c r="R14134" s="2"/>
      <c r="S14134" s="2"/>
      <c r="T14134" s="2"/>
      <c r="U14134" s="2"/>
      <c r="V14134" s="2"/>
      <c r="W14134" s="2"/>
      <c r="X14134" s="2"/>
      <c r="Y14134" s="2"/>
      <c r="Z14134" s="2"/>
    </row>
    <row r="14135" spans="1:26" ht="16.5" x14ac:dyDescent="0.35">
      <c r="A14135" s="2" t="str">
        <f ca="1">IFERROR(__xludf.DUMMYFUNCTION("""COMPUTED_VALUE"""),"Dubai")</f>
        <v>Dubai</v>
      </c>
      <c r="B14135" s="2" t="str">
        <f ca="1">IFERROR(__xludf.DUMMYFUNCTION("""COMPUTED_VALUE"""),"Vintage Grand Hotel")</f>
        <v>Vintage Grand Hotel</v>
      </c>
      <c r="C14135" s="2" t="str">
        <f ca="1">IFERROR(__xludf.DUMMYFUNCTION("""COMPUTED_VALUE"""),"Building")</f>
        <v>Building</v>
      </c>
      <c r="D14135" s="2" t="str">
        <f ca="1">IFERROR(__xludf.DUMMYFUNCTION("""COMPUTED_VALUE"""),"Dubai&gt;Dubai Production City (IMPZ)&gt;Vintage Grand Hotel")</f>
        <v>Dubai&gt;Dubai Production City (IMPZ)&gt;Vintage Grand Hotel</v>
      </c>
      <c r="E14135" s="2"/>
      <c r="F14135" s="2"/>
      <c r="G14135" s="2"/>
      <c r="H14135" s="2"/>
      <c r="I14135" s="2"/>
      <c r="J14135" s="2"/>
      <c r="K14135" s="2"/>
      <c r="L14135" s="2"/>
      <c r="M14135" s="2"/>
      <c r="N14135" s="2"/>
      <c r="O14135" s="2"/>
      <c r="P14135" s="2"/>
      <c r="Q14135" s="2"/>
      <c r="R14135" s="2"/>
      <c r="S14135" s="2"/>
      <c r="T14135" s="2"/>
      <c r="U14135" s="2"/>
      <c r="V14135" s="2"/>
      <c r="W14135" s="2"/>
      <c r="X14135" s="2"/>
      <c r="Y14135" s="2"/>
      <c r="Z14135" s="2"/>
    </row>
    <row r="14136" spans="1:26" ht="16.5" x14ac:dyDescent="0.35">
      <c r="A14136" s="2" t="str">
        <f ca="1">IFERROR(__xludf.DUMMYFUNCTION("""COMPUTED_VALUE"""),"Dubai")</f>
        <v>Dubai</v>
      </c>
      <c r="B14136" s="2" t="str">
        <f ca="1">IFERROR(__xludf.DUMMYFUNCTION("""COMPUTED_VALUE"""),"Habtoor Hospitality Staff Accommodation")</f>
        <v>Habtoor Hospitality Staff Accommodation</v>
      </c>
      <c r="C14136" s="2" t="str">
        <f ca="1">IFERROR(__xludf.DUMMYFUNCTION("""COMPUTED_VALUE"""),"Building")</f>
        <v>Building</v>
      </c>
      <c r="D14136" s="2" t="str">
        <f ca="1">IFERROR(__xludf.DUMMYFUNCTION("""COMPUTED_VALUE"""),"Dubai&gt;Dubai Production City (IMPZ)&gt;Habtoor Hospitality Staff Accommodation")</f>
        <v>Dubai&gt;Dubai Production City (IMPZ)&gt;Habtoor Hospitality Staff Accommodation</v>
      </c>
      <c r="E14136" s="2"/>
      <c r="F14136" s="2"/>
      <c r="G14136" s="2"/>
      <c r="H14136" s="2"/>
      <c r="I14136" s="2"/>
      <c r="J14136" s="2"/>
      <c r="K14136" s="2"/>
      <c r="L14136" s="2"/>
      <c r="M14136" s="2"/>
      <c r="N14136" s="2"/>
      <c r="O14136" s="2"/>
      <c r="P14136" s="2"/>
      <c r="Q14136" s="2"/>
      <c r="R14136" s="2"/>
      <c r="S14136" s="2"/>
      <c r="T14136" s="2"/>
      <c r="U14136" s="2"/>
      <c r="V14136" s="2"/>
      <c r="W14136" s="2"/>
      <c r="X14136" s="2"/>
      <c r="Y14136" s="2"/>
      <c r="Z14136" s="2"/>
    </row>
    <row r="14137" spans="1:26" ht="16.5" x14ac:dyDescent="0.35">
      <c r="A14137" s="2" t="str">
        <f ca="1">IFERROR(__xludf.DUMMYFUNCTION("""COMPUTED_VALUE"""),"Dubai")</f>
        <v>Dubai</v>
      </c>
      <c r="B14137" s="2" t="str">
        <f ca="1">IFERROR(__xludf.DUMMYFUNCTION("""COMPUTED_VALUE"""),"Industrial Zone")</f>
        <v>Industrial Zone</v>
      </c>
      <c r="C14137" s="2"/>
      <c r="D14137" s="2" t="str">
        <f ca="1">IFERROR(__xludf.DUMMYFUNCTION("""COMPUTED_VALUE"""),"Dubai&gt;Dubai Industrial City&gt;Industrial Zone")</f>
        <v>Dubai&gt;Dubai Industrial City&gt;Industrial Zone</v>
      </c>
      <c r="E14137" s="2"/>
      <c r="F14137" s="2"/>
      <c r="G14137" s="2"/>
      <c r="H14137" s="2"/>
      <c r="I14137" s="2"/>
      <c r="J14137" s="2"/>
      <c r="K14137" s="2"/>
      <c r="L14137" s="2"/>
      <c r="M14137" s="2"/>
      <c r="N14137" s="2"/>
      <c r="O14137" s="2"/>
      <c r="P14137" s="2"/>
      <c r="Q14137" s="2"/>
      <c r="R14137" s="2"/>
      <c r="S14137" s="2"/>
      <c r="T14137" s="2"/>
      <c r="U14137" s="2"/>
      <c r="V14137" s="2"/>
      <c r="W14137" s="2"/>
      <c r="X14137" s="2"/>
      <c r="Y14137" s="2"/>
      <c r="Z14137" s="2"/>
    </row>
    <row r="14138" spans="1:26" ht="16.5" x14ac:dyDescent="0.35">
      <c r="A14138" s="2" t="str">
        <f ca="1">IFERROR(__xludf.DUMMYFUNCTION("""COMPUTED_VALUE"""),"Dubai")</f>
        <v>Dubai</v>
      </c>
      <c r="B14138" s="2" t="str">
        <f ca="1">IFERROR(__xludf.DUMMYFUNCTION("""COMPUTED_VALUE"""),"Hoor 19")</f>
        <v>Hoor 19</v>
      </c>
      <c r="C14138" s="2" t="str">
        <f ca="1">IFERROR(__xludf.DUMMYFUNCTION("""COMPUTED_VALUE"""),"Building")</f>
        <v>Building</v>
      </c>
      <c r="D14138" s="2" t="str">
        <f ca="1">IFERROR(__xludf.DUMMYFUNCTION("""COMPUTED_VALUE"""),"Dubai&gt;Dubai Industrial City&gt;Hoor 19")</f>
        <v>Dubai&gt;Dubai Industrial City&gt;Hoor 19</v>
      </c>
      <c r="E14138" s="2"/>
      <c r="F14138" s="2"/>
      <c r="G14138" s="2"/>
      <c r="H14138" s="2"/>
      <c r="I14138" s="2"/>
      <c r="J14138" s="2"/>
      <c r="K14138" s="2"/>
      <c r="L14138" s="2"/>
      <c r="M14138" s="2"/>
      <c r="N14138" s="2"/>
      <c r="O14138" s="2"/>
      <c r="P14138" s="2"/>
      <c r="Q14138" s="2"/>
      <c r="R14138" s="2"/>
      <c r="S14138" s="2"/>
      <c r="T14138" s="2"/>
      <c r="U14138" s="2"/>
      <c r="V14138" s="2"/>
      <c r="W14138" s="2"/>
      <c r="X14138" s="2"/>
      <c r="Y14138" s="2"/>
      <c r="Z14138" s="2"/>
    </row>
    <row r="14139" spans="1:26" ht="16.5" x14ac:dyDescent="0.35">
      <c r="A14139" s="2" t="str">
        <f ca="1">IFERROR(__xludf.DUMMYFUNCTION("""COMPUTED_VALUE"""),"Dubai")</f>
        <v>Dubai</v>
      </c>
      <c r="B14139" s="2" t="str">
        <f ca="1">IFERROR(__xludf.DUMMYFUNCTION("""COMPUTED_VALUE"""),"Harmony 1")</f>
        <v>Harmony 1</v>
      </c>
      <c r="C14139" s="2" t="str">
        <f ca="1">IFERROR(__xludf.DUMMYFUNCTION("""COMPUTED_VALUE"""),"Neighbourhood")</f>
        <v>Neighbourhood</v>
      </c>
      <c r="D14139" s="2" t="str">
        <f ca="1">IFERROR(__xludf.DUMMYFUNCTION("""COMPUTED_VALUE"""),"Dubai&gt;Tilal Al Ghaf&gt;Harmony&gt;Harmony 1")</f>
        <v>Dubai&gt;Tilal Al Ghaf&gt;Harmony&gt;Harmony 1</v>
      </c>
      <c r="E14139" s="2"/>
      <c r="F14139" s="2"/>
      <c r="G14139" s="2"/>
      <c r="H14139" s="2"/>
      <c r="I14139" s="2"/>
      <c r="J14139" s="2"/>
      <c r="K14139" s="2"/>
      <c r="L14139" s="2"/>
      <c r="M14139" s="2"/>
      <c r="N14139" s="2"/>
      <c r="O14139" s="2"/>
      <c r="P14139" s="2"/>
      <c r="Q14139" s="2"/>
      <c r="R14139" s="2"/>
      <c r="S14139" s="2"/>
      <c r="T14139" s="2"/>
      <c r="U14139" s="2"/>
      <c r="V14139" s="2"/>
      <c r="W14139" s="2"/>
      <c r="X14139" s="2"/>
      <c r="Y14139" s="2"/>
      <c r="Z14139" s="2"/>
    </row>
    <row r="14140" spans="1:26" ht="16.5" x14ac:dyDescent="0.35">
      <c r="A14140" s="2" t="str">
        <f ca="1">IFERROR(__xludf.DUMMYFUNCTION("""COMPUTED_VALUE"""),"Dubai")</f>
        <v>Dubai</v>
      </c>
      <c r="B14140" s="2" t="str">
        <f ca="1">IFERROR(__xludf.DUMMYFUNCTION("""COMPUTED_VALUE"""),"Beach Walk Residences 2")</f>
        <v>Beach Walk Residences 2</v>
      </c>
      <c r="C14140" s="2" t="str">
        <f ca="1">IFERROR(__xludf.DUMMYFUNCTION("""COMPUTED_VALUE"""),"Building")</f>
        <v>Building</v>
      </c>
      <c r="D14140" s="2" t="str">
        <f ca="1">IFERROR(__xludf.DUMMYFUNCTION("""COMPUTED_VALUE"""),"Dubai&gt;Dubai Islands&gt;Beach Walk Residences&gt;Beach Walk Residences 2")</f>
        <v>Dubai&gt;Dubai Islands&gt;Beach Walk Residences&gt;Beach Walk Residences 2</v>
      </c>
      <c r="E14140" s="2"/>
      <c r="F14140" s="2"/>
      <c r="G14140" s="2"/>
      <c r="H14140" s="2"/>
      <c r="I14140" s="2"/>
      <c r="J14140" s="2"/>
      <c r="K14140" s="2"/>
      <c r="L14140" s="2"/>
      <c r="M14140" s="2"/>
      <c r="N14140" s="2"/>
      <c r="O14140" s="2"/>
      <c r="P14140" s="2"/>
      <c r="Q14140" s="2"/>
      <c r="R14140" s="2"/>
      <c r="S14140" s="2"/>
      <c r="T14140" s="2"/>
      <c r="U14140" s="2"/>
      <c r="V14140" s="2"/>
      <c r="W14140" s="2"/>
      <c r="X14140" s="2"/>
      <c r="Y14140" s="2"/>
      <c r="Z14140" s="2"/>
    </row>
    <row r="14141" spans="1:26" ht="16.5" x14ac:dyDescent="0.35">
      <c r="A14141" s="2" t="str">
        <f ca="1">IFERROR(__xludf.DUMMYFUNCTION("""COMPUTED_VALUE"""),"Dubai")</f>
        <v>Dubai</v>
      </c>
      <c r="B14141" s="2" t="str">
        <f ca="1">IFERROR(__xludf.DUMMYFUNCTION("""COMPUTED_VALUE"""),"Ellington Cove")</f>
        <v>Ellington Cove</v>
      </c>
      <c r="C14141" s="2" t="str">
        <f ca="1">IFERROR(__xludf.DUMMYFUNCTION("""COMPUTED_VALUE"""),"Building")</f>
        <v>Building</v>
      </c>
      <c r="D14141" s="2" t="str">
        <f ca="1">IFERROR(__xludf.DUMMYFUNCTION("""COMPUTED_VALUE"""),"Dubai&gt;Dubai Islands&gt;Ellington Cove")</f>
        <v>Dubai&gt;Dubai Islands&gt;Ellington Cove</v>
      </c>
      <c r="E14141" s="2"/>
      <c r="F14141" s="2"/>
      <c r="G14141" s="2"/>
      <c r="H14141" s="2"/>
      <c r="I14141" s="2"/>
      <c r="J14141" s="2"/>
      <c r="K14141" s="2"/>
      <c r="L14141" s="2"/>
      <c r="M14141" s="2"/>
      <c r="N14141" s="2"/>
      <c r="O14141" s="2"/>
      <c r="P14141" s="2"/>
      <c r="Q14141" s="2"/>
      <c r="R14141" s="2"/>
      <c r="S14141" s="2"/>
      <c r="T14141" s="2"/>
      <c r="U14141" s="2"/>
      <c r="V14141" s="2"/>
      <c r="W14141" s="2"/>
      <c r="X14141" s="2"/>
      <c r="Y14141" s="2"/>
      <c r="Z14141" s="2"/>
    </row>
    <row r="14142" spans="1:26" ht="16.5" x14ac:dyDescent="0.35">
      <c r="A14142" s="2" t="str">
        <f ca="1">IFERROR(__xludf.DUMMYFUNCTION("""COMPUTED_VALUE"""),"Dubai")</f>
        <v>Dubai</v>
      </c>
      <c r="B14142" s="2" t="str">
        <f ca="1">IFERROR(__xludf.DUMMYFUNCTION("""COMPUTED_VALUE"""),"Beach Walk 4 by Imtiaz")</f>
        <v>Beach Walk 4 by Imtiaz</v>
      </c>
      <c r="C14142" s="2" t="str">
        <f ca="1">IFERROR(__xludf.DUMMYFUNCTION("""COMPUTED_VALUE"""),"Building")</f>
        <v>Building</v>
      </c>
      <c r="D14142" s="2" t="str">
        <f ca="1">IFERROR(__xludf.DUMMYFUNCTION("""COMPUTED_VALUE"""),"Dubai&gt;Dubai Islands&gt;Beach Walk 4 by Imtiaz")</f>
        <v>Dubai&gt;Dubai Islands&gt;Beach Walk 4 by Imtiaz</v>
      </c>
      <c r="E14142" s="2"/>
      <c r="F14142" s="2"/>
      <c r="G14142" s="2"/>
      <c r="H14142" s="2"/>
      <c r="I14142" s="2"/>
      <c r="J14142" s="2"/>
      <c r="K14142" s="2"/>
      <c r="L14142" s="2"/>
      <c r="M14142" s="2"/>
      <c r="N14142" s="2"/>
      <c r="O14142" s="2"/>
      <c r="P14142" s="2"/>
      <c r="Q14142" s="2"/>
      <c r="R14142" s="2"/>
      <c r="S14142" s="2"/>
      <c r="T14142" s="2"/>
      <c r="U14142" s="2"/>
      <c r="V14142" s="2"/>
      <c r="W14142" s="2"/>
      <c r="X14142" s="2"/>
      <c r="Y14142" s="2"/>
      <c r="Z14142" s="2"/>
    </row>
    <row r="14143" spans="1:26" ht="16.5" x14ac:dyDescent="0.35">
      <c r="A14143" s="2" t="str">
        <f ca="1">IFERROR(__xludf.DUMMYFUNCTION("""COMPUTED_VALUE"""),"Dubai")</f>
        <v>Dubai</v>
      </c>
      <c r="B14143" s="2" t="str">
        <f ca="1">IFERROR(__xludf.DUMMYFUNCTION("""COMPUTED_VALUE"""),"Arka Enclave Residences")</f>
        <v>Arka Enclave Residences</v>
      </c>
      <c r="C14143" s="2" t="str">
        <f ca="1">IFERROR(__xludf.DUMMYFUNCTION("""COMPUTED_VALUE"""),"Building")</f>
        <v>Building</v>
      </c>
      <c r="D14143" s="2" t="str">
        <f ca="1">IFERROR(__xludf.DUMMYFUNCTION("""COMPUTED_VALUE"""),"Dubai&gt;Dubai Islands&gt;Arka Enclave Residences")</f>
        <v>Dubai&gt;Dubai Islands&gt;Arka Enclave Residences</v>
      </c>
      <c r="E14143" s="2"/>
      <c r="F14143" s="2"/>
      <c r="G14143" s="2"/>
      <c r="H14143" s="2"/>
      <c r="I14143" s="2"/>
      <c r="J14143" s="2"/>
      <c r="K14143" s="2"/>
      <c r="L14143" s="2"/>
      <c r="M14143" s="2"/>
      <c r="N14143" s="2"/>
      <c r="O14143" s="2"/>
      <c r="P14143" s="2"/>
      <c r="Q14143" s="2"/>
      <c r="R14143" s="2"/>
      <c r="S14143" s="2"/>
      <c r="T14143" s="2"/>
      <c r="U14143" s="2"/>
      <c r="V14143" s="2"/>
      <c r="W14143" s="2"/>
      <c r="X14143" s="2"/>
      <c r="Y14143" s="2"/>
      <c r="Z14143" s="2"/>
    </row>
    <row r="14144" spans="1:26" ht="16.5" x14ac:dyDescent="0.35">
      <c r="A14144" s="2" t="str">
        <f ca="1">IFERROR(__xludf.DUMMYFUNCTION("""COMPUTED_VALUE"""),"Dubai")</f>
        <v>Dubai</v>
      </c>
      <c r="B14144" s="2" t="str">
        <f ca="1">IFERROR(__xludf.DUMMYFUNCTION("""COMPUTED_VALUE"""),"Al Wasl Building R453 Block 4")</f>
        <v>Al Wasl Building R453 Block 4</v>
      </c>
      <c r="C14144" s="2" t="str">
        <f ca="1">IFERROR(__xludf.DUMMYFUNCTION("""COMPUTED_VALUE"""),"Building")</f>
        <v>Building</v>
      </c>
      <c r="D14144" s="2" t="str">
        <f ca="1">IFERROR(__xludf.DUMMYFUNCTION("""COMPUTED_VALUE"""),"Dubai&gt;Muhaisnah&gt;Muhaisnah 4&gt;Al Wasl R453&gt;Al Wasl Building R453 Block 4")</f>
        <v>Dubai&gt;Muhaisnah&gt;Muhaisnah 4&gt;Al Wasl R453&gt;Al Wasl Building R453 Block 4</v>
      </c>
      <c r="E14144" s="2"/>
      <c r="F14144" s="2"/>
      <c r="G14144" s="2"/>
      <c r="H14144" s="2"/>
      <c r="I14144" s="2"/>
      <c r="J14144" s="2"/>
      <c r="K14144" s="2"/>
      <c r="L14144" s="2"/>
      <c r="M14144" s="2"/>
      <c r="N14144" s="2"/>
      <c r="O14144" s="2"/>
      <c r="P14144" s="2"/>
      <c r="Q14144" s="2"/>
      <c r="R14144" s="2"/>
      <c r="S14144" s="2"/>
      <c r="T14144" s="2"/>
      <c r="U14144" s="2"/>
      <c r="V14144" s="2"/>
      <c r="W14144" s="2"/>
      <c r="X14144" s="2"/>
      <c r="Y14144" s="2"/>
      <c r="Z14144" s="2"/>
    </row>
    <row r="14145" spans="1:26" ht="16.5" x14ac:dyDescent="0.35">
      <c r="A14145" s="2" t="str">
        <f ca="1">IFERROR(__xludf.DUMMYFUNCTION("""COMPUTED_VALUE"""),"Dubai")</f>
        <v>Dubai</v>
      </c>
      <c r="B14145" s="2" t="str">
        <f ca="1">IFERROR(__xludf.DUMMYFUNCTION("""COMPUTED_VALUE"""),"Qamar 11")</f>
        <v>Qamar 11</v>
      </c>
      <c r="C14145" s="2" t="str">
        <f ca="1">IFERROR(__xludf.DUMMYFUNCTION("""COMPUTED_VALUE"""),"Building")</f>
        <v>Building</v>
      </c>
      <c r="D14145" s="2" t="str">
        <f ca="1">IFERROR(__xludf.DUMMYFUNCTION("""COMPUTED_VALUE"""),"Dubai&gt;Muhaisnah&gt;Muhaisnah 1&gt;Madinat Badr&gt;Qamar 11")</f>
        <v>Dubai&gt;Muhaisnah&gt;Muhaisnah 1&gt;Madinat Badr&gt;Qamar 11</v>
      </c>
      <c r="E14145" s="2"/>
      <c r="F14145" s="2"/>
      <c r="G14145" s="2"/>
      <c r="H14145" s="2"/>
      <c r="I14145" s="2"/>
      <c r="J14145" s="2"/>
      <c r="K14145" s="2"/>
      <c r="L14145" s="2"/>
      <c r="M14145" s="2"/>
      <c r="N14145" s="2"/>
      <c r="O14145" s="2"/>
      <c r="P14145" s="2"/>
      <c r="Q14145" s="2"/>
      <c r="R14145" s="2"/>
      <c r="S14145" s="2"/>
      <c r="T14145" s="2"/>
      <c r="U14145" s="2"/>
      <c r="V14145" s="2"/>
      <c r="W14145" s="2"/>
      <c r="X14145" s="2"/>
      <c r="Y14145" s="2"/>
      <c r="Z14145" s="2"/>
    </row>
    <row r="14146" spans="1:26" ht="16.5" x14ac:dyDescent="0.35">
      <c r="A14146" s="2" t="str">
        <f ca="1">IFERROR(__xludf.DUMMYFUNCTION("""COMPUTED_VALUE"""),"Dubai")</f>
        <v>Dubai</v>
      </c>
      <c r="B14146" s="2" t="str">
        <f ca="1">IFERROR(__xludf.DUMMYFUNCTION("""COMPUTED_VALUE"""),"Al Manara Building")</f>
        <v>Al Manara Building</v>
      </c>
      <c r="C14146" s="2" t="str">
        <f ca="1">IFERROR(__xludf.DUMMYFUNCTION("""COMPUTED_VALUE"""),"Building")</f>
        <v>Building</v>
      </c>
      <c r="D14146" s="2" t="str">
        <f ca="1">IFERROR(__xludf.DUMMYFUNCTION("""COMPUTED_VALUE"""),"Dubai&gt;Sheikh Zayed Road&gt;Al Manara Building")</f>
        <v>Dubai&gt;Sheikh Zayed Road&gt;Al Manara Building</v>
      </c>
      <c r="E14146" s="2"/>
      <c r="F14146" s="2"/>
      <c r="G14146" s="2"/>
      <c r="H14146" s="2"/>
      <c r="I14146" s="2"/>
      <c r="J14146" s="2"/>
      <c r="K14146" s="2"/>
      <c r="L14146" s="2"/>
      <c r="M14146" s="2"/>
      <c r="N14146" s="2"/>
      <c r="O14146" s="2"/>
      <c r="P14146" s="2"/>
      <c r="Q14146" s="2"/>
      <c r="R14146" s="2"/>
      <c r="S14146" s="2"/>
      <c r="T14146" s="2"/>
      <c r="U14146" s="2"/>
      <c r="V14146" s="2"/>
      <c r="W14146" s="2"/>
      <c r="X14146" s="2"/>
      <c r="Y14146" s="2"/>
      <c r="Z14146" s="2"/>
    </row>
    <row r="14147" spans="1:26" ht="16.5" x14ac:dyDescent="0.35">
      <c r="A14147" s="2" t="str">
        <f ca="1">IFERROR(__xludf.DUMMYFUNCTION("""COMPUTED_VALUE"""),"Dubai")</f>
        <v>Dubai</v>
      </c>
      <c r="B14147" s="2" t="str">
        <f ca="1">IFERROR(__xludf.DUMMYFUNCTION("""COMPUTED_VALUE"""),"Sky Tower")</f>
        <v>Sky Tower</v>
      </c>
      <c r="C14147" s="2" t="str">
        <f ca="1">IFERROR(__xludf.DUMMYFUNCTION("""COMPUTED_VALUE"""),"Building")</f>
        <v>Building</v>
      </c>
      <c r="D14147" s="2" t="str">
        <f ca="1">IFERROR(__xludf.DUMMYFUNCTION("""COMPUTED_VALUE"""),"Dubai&gt;Sheikh Zayed Road&gt;Sky Tower")</f>
        <v>Dubai&gt;Sheikh Zayed Road&gt;Sky Tower</v>
      </c>
      <c r="E14147" s="2"/>
      <c r="F14147" s="2"/>
      <c r="G14147" s="2"/>
      <c r="H14147" s="2"/>
      <c r="I14147" s="2"/>
      <c r="J14147" s="2"/>
      <c r="K14147" s="2"/>
      <c r="L14147" s="2"/>
      <c r="M14147" s="2"/>
      <c r="N14147" s="2"/>
      <c r="O14147" s="2"/>
      <c r="P14147" s="2"/>
      <c r="Q14147" s="2"/>
      <c r="R14147" s="2"/>
      <c r="S14147" s="2"/>
      <c r="T14147" s="2"/>
      <c r="U14147" s="2"/>
      <c r="V14147" s="2"/>
      <c r="W14147" s="2"/>
      <c r="X14147" s="2"/>
      <c r="Y14147" s="2"/>
      <c r="Z14147" s="2"/>
    </row>
    <row r="14148" spans="1:26" ht="16.5" x14ac:dyDescent="0.35">
      <c r="A14148" s="2" t="str">
        <f ca="1">IFERROR(__xludf.DUMMYFUNCTION("""COMPUTED_VALUE"""),"Dubai")</f>
        <v>Dubai</v>
      </c>
      <c r="B14148" s="2" t="str">
        <f ca="1">IFERROR(__xludf.DUMMYFUNCTION("""COMPUTED_VALUE"""),"Dusit Thani Hotel")</f>
        <v>Dusit Thani Hotel</v>
      </c>
      <c r="C14148" s="2" t="str">
        <f ca="1">IFERROR(__xludf.DUMMYFUNCTION("""COMPUTED_VALUE"""),"Building")</f>
        <v>Building</v>
      </c>
      <c r="D14148" s="2" t="str">
        <f ca="1">IFERROR(__xludf.DUMMYFUNCTION("""COMPUTED_VALUE"""),"Dubai&gt;Sheikh Zayed Road&gt;Dusit Thani Hotel")</f>
        <v>Dubai&gt;Sheikh Zayed Road&gt;Dusit Thani Hotel</v>
      </c>
      <c r="E14148" s="2"/>
      <c r="F14148" s="2"/>
      <c r="G14148" s="2"/>
      <c r="H14148" s="2"/>
      <c r="I14148" s="2"/>
      <c r="J14148" s="2"/>
      <c r="K14148" s="2"/>
      <c r="L14148" s="2"/>
      <c r="M14148" s="2"/>
      <c r="N14148" s="2"/>
      <c r="O14148" s="2"/>
      <c r="P14148" s="2"/>
      <c r="Q14148" s="2"/>
      <c r="R14148" s="2"/>
      <c r="S14148" s="2"/>
      <c r="T14148" s="2"/>
      <c r="U14148" s="2"/>
      <c r="V14148" s="2"/>
      <c r="W14148" s="2"/>
      <c r="X14148" s="2"/>
      <c r="Y14148" s="2"/>
      <c r="Z14148" s="2"/>
    </row>
    <row r="14149" spans="1:26" ht="16.5" x14ac:dyDescent="0.35">
      <c r="A14149" s="2" t="str">
        <f ca="1">IFERROR(__xludf.DUMMYFUNCTION("""COMPUTED_VALUE"""),"Dubai")</f>
        <v>Dubai</v>
      </c>
      <c r="B14149" s="2" t="str">
        <f ca="1">IFERROR(__xludf.DUMMYFUNCTION("""COMPUTED_VALUE"""),"Dnata Building")</f>
        <v>Dnata Building</v>
      </c>
      <c r="C14149" s="2" t="str">
        <f ca="1">IFERROR(__xludf.DUMMYFUNCTION("""COMPUTED_VALUE"""),"Building")</f>
        <v>Building</v>
      </c>
      <c r="D14149" s="2" t="str">
        <f ca="1">IFERROR(__xludf.DUMMYFUNCTION("""COMPUTED_VALUE"""),"Dubai&gt;Sheikh Zayed Road&gt;Dnata Building")</f>
        <v>Dubai&gt;Sheikh Zayed Road&gt;Dnata Building</v>
      </c>
      <c r="E14149" s="2"/>
      <c r="F14149" s="2"/>
      <c r="G14149" s="2"/>
      <c r="H14149" s="2"/>
      <c r="I14149" s="2"/>
      <c r="J14149" s="2"/>
      <c r="K14149" s="2"/>
      <c r="L14149" s="2"/>
      <c r="M14149" s="2"/>
      <c r="N14149" s="2"/>
      <c r="O14149" s="2"/>
      <c r="P14149" s="2"/>
      <c r="Q14149" s="2"/>
      <c r="R14149" s="2"/>
      <c r="S14149" s="2"/>
      <c r="T14149" s="2"/>
      <c r="U14149" s="2"/>
      <c r="V14149" s="2"/>
      <c r="W14149" s="2"/>
      <c r="X14149" s="2"/>
      <c r="Y14149" s="2"/>
      <c r="Z14149" s="2"/>
    </row>
    <row r="14150" spans="1:26" ht="16.5" x14ac:dyDescent="0.35">
      <c r="A14150" s="2" t="str">
        <f ca="1">IFERROR(__xludf.DUMMYFUNCTION("""COMPUTED_VALUE"""),"Dubai")</f>
        <v>Dubai</v>
      </c>
      <c r="B14150" s="2" t="str">
        <f ca="1">IFERROR(__xludf.DUMMYFUNCTION("""COMPUTED_VALUE"""),"Al Attar Business Centre")</f>
        <v>Al Attar Business Centre</v>
      </c>
      <c r="C14150" s="2" t="str">
        <f ca="1">IFERROR(__xludf.DUMMYFUNCTION("""COMPUTED_VALUE"""),"Building")</f>
        <v>Building</v>
      </c>
      <c r="D14150" s="2" t="str">
        <f ca="1">IFERROR(__xludf.DUMMYFUNCTION("""COMPUTED_VALUE"""),"Dubai&gt;Al Karama&gt;Al Attar Business Centre")</f>
        <v>Dubai&gt;Al Karama&gt;Al Attar Business Centre</v>
      </c>
      <c r="E14150" s="2"/>
      <c r="F14150" s="2"/>
      <c r="G14150" s="2"/>
      <c r="H14150" s="2"/>
      <c r="I14150" s="2"/>
      <c r="J14150" s="2"/>
      <c r="K14150" s="2"/>
      <c r="L14150" s="2"/>
      <c r="M14150" s="2"/>
      <c r="N14150" s="2"/>
      <c r="O14150" s="2"/>
      <c r="P14150" s="2"/>
      <c r="Q14150" s="2"/>
      <c r="R14150" s="2"/>
      <c r="S14150" s="2"/>
      <c r="T14150" s="2"/>
      <c r="U14150" s="2"/>
      <c r="V14150" s="2"/>
      <c r="W14150" s="2"/>
      <c r="X14150" s="2"/>
      <c r="Y14150" s="2"/>
      <c r="Z14150" s="2"/>
    </row>
    <row r="14151" spans="1:26" ht="16.5" x14ac:dyDescent="0.35">
      <c r="A14151" s="2" t="str">
        <f ca="1">IFERROR(__xludf.DUMMYFUNCTION("""COMPUTED_VALUE"""),"Dubai")</f>
        <v>Dubai</v>
      </c>
      <c r="B14151" s="2" t="str">
        <f ca="1">IFERROR(__xludf.DUMMYFUNCTION("""COMPUTED_VALUE"""),"Building 15")</f>
        <v>Building 15</v>
      </c>
      <c r="C14151" s="2" t="str">
        <f ca="1">IFERROR(__xludf.DUMMYFUNCTION("""COMPUTED_VALUE"""),"Building")</f>
        <v>Building</v>
      </c>
      <c r="D14151" s="2" t="str">
        <f ca="1">IFERROR(__xludf.DUMMYFUNCTION("""COMPUTED_VALUE"""),"Dubai&gt;Al Karama&gt;Karam Pioneer Buildings&gt;Building 15")</f>
        <v>Dubai&gt;Al Karama&gt;Karam Pioneer Buildings&gt;Building 15</v>
      </c>
      <c r="E14151" s="2"/>
      <c r="F14151" s="2"/>
      <c r="G14151" s="2"/>
      <c r="H14151" s="2"/>
      <c r="I14151" s="2"/>
      <c r="J14151" s="2"/>
      <c r="K14151" s="2"/>
      <c r="L14151" s="2"/>
      <c r="M14151" s="2"/>
      <c r="N14151" s="2"/>
      <c r="O14151" s="2"/>
      <c r="P14151" s="2"/>
      <c r="Q14151" s="2"/>
      <c r="R14151" s="2"/>
      <c r="S14151" s="2"/>
      <c r="T14151" s="2"/>
      <c r="U14151" s="2"/>
      <c r="V14151" s="2"/>
      <c r="W14151" s="2"/>
      <c r="X14151" s="2"/>
      <c r="Y14151" s="2"/>
      <c r="Z14151" s="2"/>
    </row>
    <row r="14152" spans="1:26" ht="16.5" x14ac:dyDescent="0.35">
      <c r="A14152" s="2" t="str">
        <f ca="1">IFERROR(__xludf.DUMMYFUNCTION("""COMPUTED_VALUE"""),"Dubai")</f>
        <v>Dubai</v>
      </c>
      <c r="B14152" s="2" t="str">
        <f ca="1">IFERROR(__xludf.DUMMYFUNCTION("""COMPUTED_VALUE"""),"Building 47")</f>
        <v>Building 47</v>
      </c>
      <c r="C14152" s="2" t="str">
        <f ca="1">IFERROR(__xludf.DUMMYFUNCTION("""COMPUTED_VALUE"""),"Building")</f>
        <v>Building</v>
      </c>
      <c r="D14152" s="2" t="str">
        <f ca="1">IFERROR(__xludf.DUMMYFUNCTION("""COMPUTED_VALUE"""),"Dubai&gt;Al Karama&gt;Karam Pioneer Buildings&gt;Building 47")</f>
        <v>Dubai&gt;Al Karama&gt;Karam Pioneer Buildings&gt;Building 47</v>
      </c>
      <c r="E14152" s="2"/>
      <c r="F14152" s="2"/>
      <c r="G14152" s="2"/>
      <c r="H14152" s="2"/>
      <c r="I14152" s="2"/>
      <c r="J14152" s="2"/>
      <c r="K14152" s="2"/>
      <c r="L14152" s="2"/>
      <c r="M14152" s="2"/>
      <c r="N14152" s="2"/>
      <c r="O14152" s="2"/>
      <c r="P14152" s="2"/>
      <c r="Q14152" s="2"/>
      <c r="R14152" s="2"/>
      <c r="S14152" s="2"/>
      <c r="T14152" s="2"/>
      <c r="U14152" s="2"/>
      <c r="V14152" s="2"/>
      <c r="W14152" s="2"/>
      <c r="X14152" s="2"/>
      <c r="Y14152" s="2"/>
      <c r="Z14152" s="2"/>
    </row>
    <row r="14153" spans="1:26" ht="16.5" x14ac:dyDescent="0.35">
      <c r="A14153" s="2" t="str">
        <f ca="1">IFERROR(__xludf.DUMMYFUNCTION("""COMPUTED_VALUE"""),"Dubai")</f>
        <v>Dubai</v>
      </c>
      <c r="B14153" s="2" t="str">
        <f ca="1">IFERROR(__xludf.DUMMYFUNCTION("""COMPUTED_VALUE"""),"Wasl Duet")</f>
        <v>Wasl Duet</v>
      </c>
      <c r="C14153" s="2" t="str">
        <f ca="1">IFERROR(__xludf.DUMMYFUNCTION("""COMPUTED_VALUE"""),"Building")</f>
        <v>Building</v>
      </c>
      <c r="D14153" s="2" t="str">
        <f ca="1">IFERROR(__xludf.DUMMYFUNCTION("""COMPUTED_VALUE"""),"Dubai&gt;Al Karama&gt;Wasl Duet")</f>
        <v>Dubai&gt;Al Karama&gt;Wasl Duet</v>
      </c>
      <c r="E14153" s="2"/>
      <c r="F14153" s="2"/>
      <c r="G14153" s="2"/>
      <c r="H14153" s="2"/>
      <c r="I14153" s="2"/>
      <c r="J14153" s="2"/>
      <c r="K14153" s="2"/>
      <c r="L14153" s="2"/>
      <c r="M14153" s="2"/>
      <c r="N14153" s="2"/>
      <c r="O14153" s="2"/>
      <c r="P14153" s="2"/>
      <c r="Q14153" s="2"/>
      <c r="R14153" s="2"/>
      <c r="S14153" s="2"/>
      <c r="T14153" s="2"/>
      <c r="U14153" s="2"/>
      <c r="V14153" s="2"/>
      <c r="W14153" s="2"/>
      <c r="X14153" s="2"/>
      <c r="Y14153" s="2"/>
      <c r="Z14153" s="2"/>
    </row>
    <row r="14154" spans="1:26" ht="16.5" x14ac:dyDescent="0.35">
      <c r="A14154" s="2" t="str">
        <f ca="1">IFERROR(__xludf.DUMMYFUNCTION("""COMPUTED_VALUE"""),"Dubai")</f>
        <v>Dubai</v>
      </c>
      <c r="B14154" s="2" t="str">
        <f ca="1">IFERROR(__xludf.DUMMYFUNCTION("""COMPUTED_VALUE"""),"Wasl Emerald")</f>
        <v>Wasl Emerald</v>
      </c>
      <c r="C14154" s="2" t="str">
        <f ca="1">IFERROR(__xludf.DUMMYFUNCTION("""COMPUTED_VALUE"""),"Building")</f>
        <v>Building</v>
      </c>
      <c r="D14154" s="2" t="str">
        <f ca="1">IFERROR(__xludf.DUMMYFUNCTION("""COMPUTED_VALUE"""),"Dubai&gt;Al Karama&gt;Wasl Emerald")</f>
        <v>Dubai&gt;Al Karama&gt;Wasl Emerald</v>
      </c>
      <c r="E14154" s="2"/>
      <c r="F14154" s="2"/>
      <c r="G14154" s="2"/>
      <c r="H14154" s="2"/>
      <c r="I14154" s="2"/>
      <c r="J14154" s="2"/>
      <c r="K14154" s="2"/>
      <c r="L14154" s="2"/>
      <c r="M14154" s="2"/>
      <c r="N14154" s="2"/>
      <c r="O14154" s="2"/>
      <c r="P14154" s="2"/>
      <c r="Q14154" s="2"/>
      <c r="R14154" s="2"/>
      <c r="S14154" s="2"/>
      <c r="T14154" s="2"/>
      <c r="U14154" s="2"/>
      <c r="V14154" s="2"/>
      <c r="W14154" s="2"/>
      <c r="X14154" s="2"/>
      <c r="Y14154" s="2"/>
      <c r="Z14154" s="2"/>
    </row>
    <row r="14155" spans="1:26" ht="16.5" x14ac:dyDescent="0.35">
      <c r="A14155" s="2" t="str">
        <f ca="1">IFERROR(__xludf.DUMMYFUNCTION("""COMPUTED_VALUE"""),"Dubai")</f>
        <v>Dubai</v>
      </c>
      <c r="B14155" s="2" t="str">
        <f ca="1">IFERROR(__xludf.DUMMYFUNCTION("""COMPUTED_VALUE"""),"Lahej Khalifa Al Basti Building")</f>
        <v>Lahej Khalifa Al Basti Building</v>
      </c>
      <c r="C14155" s="2" t="str">
        <f ca="1">IFERROR(__xludf.DUMMYFUNCTION("""COMPUTED_VALUE"""),"Building")</f>
        <v>Building</v>
      </c>
      <c r="D14155" s="2" t="str">
        <f ca="1">IFERROR(__xludf.DUMMYFUNCTION("""COMPUTED_VALUE"""),"Dubai&gt;Al Karama&gt;Lahej Khalifa Al Basti Building")</f>
        <v>Dubai&gt;Al Karama&gt;Lahej Khalifa Al Basti Building</v>
      </c>
      <c r="E14155" s="2"/>
      <c r="F14155" s="2"/>
      <c r="G14155" s="2"/>
      <c r="H14155" s="2"/>
      <c r="I14155" s="2"/>
      <c r="J14155" s="2"/>
      <c r="K14155" s="2"/>
      <c r="L14155" s="2"/>
      <c r="M14155" s="2"/>
      <c r="N14155" s="2"/>
      <c r="O14155" s="2"/>
      <c r="P14155" s="2"/>
      <c r="Q14155" s="2"/>
      <c r="R14155" s="2"/>
      <c r="S14155" s="2"/>
      <c r="T14155" s="2"/>
      <c r="U14155" s="2"/>
      <c r="V14155" s="2"/>
      <c r="W14155" s="2"/>
      <c r="X14155" s="2"/>
      <c r="Y14155" s="2"/>
      <c r="Z14155" s="2"/>
    </row>
    <row r="14156" spans="1:26" ht="16.5" x14ac:dyDescent="0.35">
      <c r="A14156" s="2" t="str">
        <f ca="1">IFERROR(__xludf.DUMMYFUNCTION("""COMPUTED_VALUE"""),"Dubai")</f>
        <v>Dubai</v>
      </c>
      <c r="B14156" s="2" t="str">
        <f ca="1">IFERROR(__xludf.DUMMYFUNCTION("""COMPUTED_VALUE"""),"Zabeel Plaza")</f>
        <v>Zabeel Plaza</v>
      </c>
      <c r="C14156" s="2" t="str">
        <f ca="1">IFERROR(__xludf.DUMMYFUNCTION("""COMPUTED_VALUE"""),"Building")</f>
        <v>Building</v>
      </c>
      <c r="D14156" s="2" t="str">
        <f ca="1">IFERROR(__xludf.DUMMYFUNCTION("""COMPUTED_VALUE"""),"Dubai&gt;Al Karama&gt;Zabeel Plaza")</f>
        <v>Dubai&gt;Al Karama&gt;Zabeel Plaza</v>
      </c>
      <c r="E14156" s="2"/>
      <c r="F14156" s="2"/>
      <c r="G14156" s="2"/>
      <c r="H14156" s="2"/>
      <c r="I14156" s="2"/>
      <c r="J14156" s="2"/>
      <c r="K14156" s="2"/>
      <c r="L14156" s="2"/>
      <c r="M14156" s="2"/>
      <c r="N14156" s="2"/>
      <c r="O14156" s="2"/>
      <c r="P14156" s="2"/>
      <c r="Q14156" s="2"/>
      <c r="R14156" s="2"/>
      <c r="S14156" s="2"/>
      <c r="T14156" s="2"/>
      <c r="U14156" s="2"/>
      <c r="V14156" s="2"/>
      <c r="W14156" s="2"/>
      <c r="X14156" s="2"/>
      <c r="Y14156" s="2"/>
      <c r="Z14156" s="2"/>
    </row>
    <row r="14157" spans="1:26" ht="16.5" x14ac:dyDescent="0.35">
      <c r="A14157" s="2" t="str">
        <f ca="1">IFERROR(__xludf.DUMMYFUNCTION("""COMPUTED_VALUE"""),"Dubai")</f>
        <v>Dubai</v>
      </c>
      <c r="B14157" s="2" t="str">
        <f ca="1">IFERROR(__xludf.DUMMYFUNCTION("""COMPUTED_VALUE"""),"A-2")</f>
        <v>A-2</v>
      </c>
      <c r="C14157" s="2" t="str">
        <f ca="1">IFERROR(__xludf.DUMMYFUNCTION("""COMPUTED_VALUE"""),"Building")</f>
        <v>Building</v>
      </c>
      <c r="D14157" s="2" t="str">
        <f ca="1">IFERROR(__xludf.DUMMYFUNCTION("""COMPUTED_VALUE"""),"Dubai&gt;Al Karama&gt;A-2")</f>
        <v>Dubai&gt;Al Karama&gt;A-2</v>
      </c>
      <c r="E14157" s="2"/>
      <c r="F14157" s="2"/>
      <c r="G14157" s="2"/>
      <c r="H14157" s="2"/>
      <c r="I14157" s="2"/>
      <c r="J14157" s="2"/>
      <c r="K14157" s="2"/>
      <c r="L14157" s="2"/>
      <c r="M14157" s="2"/>
      <c r="N14157" s="2"/>
      <c r="O14157" s="2"/>
      <c r="P14157" s="2"/>
      <c r="Q14157" s="2"/>
      <c r="R14157" s="2"/>
      <c r="S14157" s="2"/>
      <c r="T14157" s="2"/>
      <c r="U14157" s="2"/>
      <c r="V14157" s="2"/>
      <c r="W14157" s="2"/>
      <c r="X14157" s="2"/>
      <c r="Y14157" s="2"/>
      <c r="Z14157" s="2"/>
    </row>
    <row r="14158" spans="1:26" ht="16.5" x14ac:dyDescent="0.35">
      <c r="A14158" s="2" t="str">
        <f ca="1">IFERROR(__xludf.DUMMYFUNCTION("""COMPUTED_VALUE"""),"Dubai")</f>
        <v>Dubai</v>
      </c>
      <c r="B14158" s="2" t="str">
        <f ca="1">IFERROR(__xludf.DUMMYFUNCTION("""COMPUTED_VALUE"""),"Juma Aman Obaid Building 1")</f>
        <v>Juma Aman Obaid Building 1</v>
      </c>
      <c r="C14158" s="2" t="str">
        <f ca="1">IFERROR(__xludf.DUMMYFUNCTION("""COMPUTED_VALUE"""),"Building")</f>
        <v>Building</v>
      </c>
      <c r="D14158" s="2" t="str">
        <f ca="1">IFERROR(__xludf.DUMMYFUNCTION("""COMPUTED_VALUE"""),"Dubai&gt;Al Karama&gt;Juma Aman Obaid Building 1")</f>
        <v>Dubai&gt;Al Karama&gt;Juma Aman Obaid Building 1</v>
      </c>
      <c r="E14158" s="2"/>
      <c r="F14158" s="2"/>
      <c r="G14158" s="2"/>
      <c r="H14158" s="2"/>
      <c r="I14158" s="2"/>
      <c r="J14158" s="2"/>
      <c r="K14158" s="2"/>
      <c r="L14158" s="2"/>
      <c r="M14158" s="2"/>
      <c r="N14158" s="2"/>
      <c r="O14158" s="2"/>
      <c r="P14158" s="2"/>
      <c r="Q14158" s="2"/>
      <c r="R14158" s="2"/>
      <c r="S14158" s="2"/>
      <c r="T14158" s="2"/>
      <c r="U14158" s="2"/>
      <c r="V14158" s="2"/>
      <c r="W14158" s="2"/>
      <c r="X14158" s="2"/>
      <c r="Y14158" s="2"/>
      <c r="Z14158" s="2"/>
    </row>
    <row r="14159" spans="1:26" ht="16.5" x14ac:dyDescent="0.35">
      <c r="A14159" s="2" t="str">
        <f ca="1">IFERROR(__xludf.DUMMYFUNCTION("""COMPUTED_VALUE"""),"Dubai")</f>
        <v>Dubai</v>
      </c>
      <c r="B14159" s="2" t="str">
        <f ca="1">IFERROR(__xludf.DUMMYFUNCTION("""COMPUTED_VALUE"""),"Arti Palace")</f>
        <v>Arti Palace</v>
      </c>
      <c r="C14159" s="2" t="str">
        <f ca="1">IFERROR(__xludf.DUMMYFUNCTION("""COMPUTED_VALUE"""),"Building")</f>
        <v>Building</v>
      </c>
      <c r="D14159" s="2" t="str">
        <f ca="1">IFERROR(__xludf.DUMMYFUNCTION("""COMPUTED_VALUE"""),"Dubai&gt;Al Karama&gt;Arti Palace")</f>
        <v>Dubai&gt;Al Karama&gt;Arti Palace</v>
      </c>
      <c r="E14159" s="2"/>
      <c r="F14159" s="2"/>
      <c r="G14159" s="2"/>
      <c r="H14159" s="2"/>
      <c r="I14159" s="2"/>
      <c r="J14159" s="2"/>
      <c r="K14159" s="2"/>
      <c r="L14159" s="2"/>
      <c r="M14159" s="2"/>
      <c r="N14159" s="2"/>
      <c r="O14159" s="2"/>
      <c r="P14159" s="2"/>
      <c r="Q14159" s="2"/>
      <c r="R14159" s="2"/>
      <c r="S14159" s="2"/>
      <c r="T14159" s="2"/>
      <c r="U14159" s="2"/>
      <c r="V14159" s="2"/>
      <c r="W14159" s="2"/>
      <c r="X14159" s="2"/>
      <c r="Y14159" s="2"/>
      <c r="Z14159" s="2"/>
    </row>
    <row r="14160" spans="1:26" ht="16.5" x14ac:dyDescent="0.35">
      <c r="A14160" s="2" t="str">
        <f ca="1">IFERROR(__xludf.DUMMYFUNCTION("""COMPUTED_VALUE"""),"Dubai")</f>
        <v>Dubai</v>
      </c>
      <c r="B14160" s="2" t="str">
        <f ca="1">IFERROR(__xludf.DUMMYFUNCTION("""COMPUTED_VALUE"""),"Salsabel 1 Building")</f>
        <v>Salsabel 1 Building</v>
      </c>
      <c r="C14160" s="2" t="str">
        <f ca="1">IFERROR(__xludf.DUMMYFUNCTION("""COMPUTED_VALUE"""),"Building")</f>
        <v>Building</v>
      </c>
      <c r="D14160" s="2" t="str">
        <f ca="1">IFERROR(__xludf.DUMMYFUNCTION("""COMPUTED_VALUE"""),"Dubai&gt;Al Karama&gt;Salsabel 1 Building")</f>
        <v>Dubai&gt;Al Karama&gt;Salsabel 1 Building</v>
      </c>
      <c r="E14160" s="2"/>
      <c r="F14160" s="2"/>
      <c r="G14160" s="2"/>
      <c r="H14160" s="2"/>
      <c r="I14160" s="2"/>
      <c r="J14160" s="2"/>
      <c r="K14160" s="2"/>
      <c r="L14160" s="2"/>
      <c r="M14160" s="2"/>
      <c r="N14160" s="2"/>
      <c r="O14160" s="2"/>
      <c r="P14160" s="2"/>
      <c r="Q14160" s="2"/>
      <c r="R14160" s="2"/>
      <c r="S14160" s="2"/>
      <c r="T14160" s="2"/>
      <c r="U14160" s="2"/>
      <c r="V14160" s="2"/>
      <c r="W14160" s="2"/>
      <c r="X14160" s="2"/>
      <c r="Y14160" s="2"/>
      <c r="Z14160" s="2"/>
    </row>
    <row r="14161" spans="1:26" ht="16.5" x14ac:dyDescent="0.35">
      <c r="A14161" s="2" t="str">
        <f ca="1">IFERROR(__xludf.DUMMYFUNCTION("""COMPUTED_VALUE"""),"Dubai")</f>
        <v>Dubai</v>
      </c>
      <c r="B14161" s="2" t="str">
        <f ca="1">IFERROR(__xludf.DUMMYFUNCTION("""COMPUTED_VALUE"""),"Heirs of Mohamed Saeed Bin Humaidan Building")</f>
        <v>Heirs of Mohamed Saeed Bin Humaidan Building</v>
      </c>
      <c r="C14161" s="2" t="str">
        <f ca="1">IFERROR(__xludf.DUMMYFUNCTION("""COMPUTED_VALUE"""),"Building")</f>
        <v>Building</v>
      </c>
      <c r="D14161" s="2" t="str">
        <f ca="1">IFERROR(__xludf.DUMMYFUNCTION("""COMPUTED_VALUE"""),"Dubai&gt;Al Karama&gt;Heirs of Mohamed Saeed Bin Humaidan Building")</f>
        <v>Dubai&gt;Al Karama&gt;Heirs of Mohamed Saeed Bin Humaidan Building</v>
      </c>
      <c r="E14161" s="2"/>
      <c r="F14161" s="2"/>
      <c r="G14161" s="2"/>
      <c r="H14161" s="2"/>
      <c r="I14161" s="2"/>
      <c r="J14161" s="2"/>
      <c r="K14161" s="2"/>
      <c r="L14161" s="2"/>
      <c r="M14161" s="2"/>
      <c r="N14161" s="2"/>
      <c r="O14161" s="2"/>
      <c r="P14161" s="2"/>
      <c r="Q14161" s="2"/>
      <c r="R14161" s="2"/>
      <c r="S14161" s="2"/>
      <c r="T14161" s="2"/>
      <c r="U14161" s="2"/>
      <c r="V14161" s="2"/>
      <c r="W14161" s="2"/>
      <c r="X14161" s="2"/>
      <c r="Y14161" s="2"/>
      <c r="Z14161" s="2"/>
    </row>
    <row r="14162" spans="1:26" ht="16.5" x14ac:dyDescent="0.35">
      <c r="A14162" s="2" t="str">
        <f ca="1">IFERROR(__xludf.DUMMYFUNCTION("""COMPUTED_VALUE"""),"Dubai")</f>
        <v>Dubai</v>
      </c>
      <c r="B14162" s="2" t="str">
        <f ca="1">IFERROR(__xludf.DUMMYFUNCTION("""COMPUTED_VALUE"""),"Courtyard by Marriott Culture Village")</f>
        <v>Courtyard by Marriott Culture Village</v>
      </c>
      <c r="C14162" s="2" t="str">
        <f ca="1">IFERROR(__xludf.DUMMYFUNCTION("""COMPUTED_VALUE"""),"Building")</f>
        <v>Building</v>
      </c>
      <c r="D14162" s="2" t="str">
        <f ca="1">IFERROR(__xludf.DUMMYFUNCTION("""COMPUTED_VALUE"""),"Dubai&gt;Culture Village (Jaddaf Waterfront)&gt;Courtyard by Marriott Culture Village")</f>
        <v>Dubai&gt;Culture Village (Jaddaf Waterfront)&gt;Courtyard by Marriott Culture Village</v>
      </c>
      <c r="E14162" s="2"/>
      <c r="F14162" s="2"/>
      <c r="G14162" s="2"/>
      <c r="H14162" s="2"/>
      <c r="I14162" s="2"/>
      <c r="J14162" s="2"/>
      <c r="K14162" s="2"/>
      <c r="L14162" s="2"/>
      <c r="M14162" s="2"/>
      <c r="N14162" s="2"/>
      <c r="O14162" s="2"/>
      <c r="P14162" s="2"/>
      <c r="Q14162" s="2"/>
      <c r="R14162" s="2"/>
      <c r="S14162" s="2"/>
      <c r="T14162" s="2"/>
      <c r="U14162" s="2"/>
      <c r="V14162" s="2"/>
      <c r="W14162" s="2"/>
      <c r="X14162" s="2"/>
      <c r="Y14162" s="2"/>
      <c r="Z14162" s="2"/>
    </row>
    <row r="14163" spans="1:26" ht="16.5" x14ac:dyDescent="0.35">
      <c r="A14163" s="2" t="str">
        <f ca="1">IFERROR(__xludf.DUMMYFUNCTION("""COMPUTED_VALUE"""),"Dubai")</f>
        <v>Dubai</v>
      </c>
      <c r="B14163" s="2" t="str">
        <f ca="1">IFERROR(__xludf.DUMMYFUNCTION("""COMPUTED_VALUE"""),"Kids Palace Nursery")</f>
        <v>Kids Palace Nursery</v>
      </c>
      <c r="C14163" s="2" t="str">
        <f ca="1">IFERROR(__xludf.DUMMYFUNCTION("""COMPUTED_VALUE"""),"Nursery")</f>
        <v>Nursery</v>
      </c>
      <c r="D14163" s="2" t="str">
        <f ca="1">IFERROR(__xludf.DUMMYFUNCTION("""COMPUTED_VALUE"""),"Dubai&gt;Umm Suqeim&gt;Umm Suqeim 3&gt;Kids Palace Nursery")</f>
        <v>Dubai&gt;Umm Suqeim&gt;Umm Suqeim 3&gt;Kids Palace Nursery</v>
      </c>
      <c r="E14163" s="2"/>
      <c r="F14163" s="2"/>
      <c r="G14163" s="2"/>
      <c r="H14163" s="2"/>
      <c r="I14163" s="2"/>
      <c r="J14163" s="2"/>
      <c r="K14163" s="2"/>
      <c r="L14163" s="2"/>
      <c r="M14163" s="2"/>
      <c r="N14163" s="2"/>
      <c r="O14163" s="2"/>
      <c r="P14163" s="2"/>
      <c r="Q14163" s="2"/>
      <c r="R14163" s="2"/>
      <c r="S14163" s="2"/>
      <c r="T14163" s="2"/>
      <c r="U14163" s="2"/>
      <c r="V14163" s="2"/>
      <c r="W14163" s="2"/>
      <c r="X14163" s="2"/>
      <c r="Y14163" s="2"/>
      <c r="Z14163" s="2"/>
    </row>
    <row r="14164" spans="1:26" ht="16.5" x14ac:dyDescent="0.35">
      <c r="A14164" s="2" t="str">
        <f ca="1">IFERROR(__xludf.DUMMYFUNCTION("""COMPUTED_VALUE"""),"Dubai")</f>
        <v>Dubai</v>
      </c>
      <c r="B14164" s="2" t="str">
        <f ca="1">IFERROR(__xludf.DUMMYFUNCTION("""COMPUTED_VALUE"""),"Lamaa Building 3")</f>
        <v>Lamaa Building 3</v>
      </c>
      <c r="C14164" s="2" t="str">
        <f ca="1">IFERROR(__xludf.DUMMYFUNCTION("""COMPUTED_VALUE"""),"Building")</f>
        <v>Building</v>
      </c>
      <c r="D14164" s="2" t="str">
        <f ca="1">IFERROR(__xludf.DUMMYFUNCTION("""COMPUTED_VALUE"""),"Dubai&gt;Umm Suqeim&gt;Madinat Jumeirah Living&gt;Lamaa&gt;Lamaa Building 3")</f>
        <v>Dubai&gt;Umm Suqeim&gt;Madinat Jumeirah Living&gt;Lamaa&gt;Lamaa Building 3</v>
      </c>
      <c r="E14164" s="2"/>
      <c r="F14164" s="2"/>
      <c r="G14164" s="2"/>
      <c r="H14164" s="2"/>
      <c r="I14164" s="2"/>
      <c r="J14164" s="2"/>
      <c r="K14164" s="2"/>
      <c r="L14164" s="2"/>
      <c r="M14164" s="2"/>
      <c r="N14164" s="2"/>
      <c r="O14164" s="2"/>
      <c r="P14164" s="2"/>
      <c r="Q14164" s="2"/>
      <c r="R14164" s="2"/>
      <c r="S14164" s="2"/>
      <c r="T14164" s="2"/>
      <c r="U14164" s="2"/>
      <c r="V14164" s="2"/>
      <c r="W14164" s="2"/>
      <c r="X14164" s="2"/>
      <c r="Y14164" s="2"/>
      <c r="Z14164" s="2"/>
    </row>
    <row r="14165" spans="1:26" ht="16.5" x14ac:dyDescent="0.35">
      <c r="A14165" s="2" t="str">
        <f ca="1">IFERROR(__xludf.DUMMYFUNCTION("""COMPUTED_VALUE"""),"Dubai")</f>
        <v>Dubai</v>
      </c>
      <c r="B14165" s="2" t="str">
        <f ca="1">IFERROR(__xludf.DUMMYFUNCTION("""COMPUTED_VALUE"""),"Blue Reef Building")</f>
        <v>Blue Reef Building</v>
      </c>
      <c r="C14165" s="2" t="str">
        <f ca="1">IFERROR(__xludf.DUMMYFUNCTION("""COMPUTED_VALUE"""),"Building")</f>
        <v>Building</v>
      </c>
      <c r="D14165" s="2" t="str">
        <f ca="1">IFERROR(__xludf.DUMMYFUNCTION("""COMPUTED_VALUE"""),"Dubai&gt;Umm Suqeim&gt;Umm Suqeim 2&gt;Blue Reef Building")</f>
        <v>Dubai&gt;Umm Suqeim&gt;Umm Suqeim 2&gt;Blue Reef Building</v>
      </c>
      <c r="E14165" s="2"/>
      <c r="F14165" s="2"/>
      <c r="G14165" s="2"/>
      <c r="H14165" s="2"/>
      <c r="I14165" s="2"/>
      <c r="J14165" s="2"/>
      <c r="K14165" s="2"/>
      <c r="L14165" s="2"/>
      <c r="M14165" s="2"/>
      <c r="N14165" s="2"/>
      <c r="O14165" s="2"/>
      <c r="P14165" s="2"/>
      <c r="Q14165" s="2"/>
      <c r="R14165" s="2"/>
      <c r="S14165" s="2"/>
      <c r="T14165" s="2"/>
      <c r="U14165" s="2"/>
      <c r="V14165" s="2"/>
      <c r="W14165" s="2"/>
      <c r="X14165" s="2"/>
      <c r="Y14165" s="2"/>
      <c r="Z14165" s="2"/>
    </row>
    <row r="14166" spans="1:26" ht="16.5" x14ac:dyDescent="0.35">
      <c r="A14166" s="2" t="str">
        <f ca="1">IFERROR(__xludf.DUMMYFUNCTION("""COMPUTED_VALUE"""),"Dubai")</f>
        <v>Dubai</v>
      </c>
      <c r="B14166" s="2" t="str">
        <f ca="1">IFERROR(__xludf.DUMMYFUNCTION("""COMPUTED_VALUE"""),"Azizi Milan 18")</f>
        <v>Azizi Milan 18</v>
      </c>
      <c r="C14166" s="2" t="str">
        <f ca="1">IFERROR(__xludf.DUMMYFUNCTION("""COMPUTED_VALUE"""),"Building")</f>
        <v>Building</v>
      </c>
      <c r="D14166" s="2" t="str">
        <f ca="1">IFERROR(__xludf.DUMMYFUNCTION("""COMPUTED_VALUE"""),"Dubai&gt;City of Arabia&gt;Azizi Milan&gt;Azizi Milan 18")</f>
        <v>Dubai&gt;City of Arabia&gt;Azizi Milan&gt;Azizi Milan 18</v>
      </c>
      <c r="E14166" s="2"/>
      <c r="F14166" s="2"/>
      <c r="G14166" s="2"/>
      <c r="H14166" s="2"/>
      <c r="I14166" s="2"/>
      <c r="J14166" s="2"/>
      <c r="K14166" s="2"/>
      <c r="L14166" s="2"/>
      <c r="M14166" s="2"/>
      <c r="N14166" s="2"/>
      <c r="O14166" s="2"/>
      <c r="P14166" s="2"/>
      <c r="Q14166" s="2"/>
      <c r="R14166" s="2"/>
      <c r="S14166" s="2"/>
      <c r="T14166" s="2"/>
      <c r="U14166" s="2"/>
      <c r="V14166" s="2"/>
      <c r="W14166" s="2"/>
      <c r="X14166" s="2"/>
      <c r="Y14166" s="2"/>
      <c r="Z14166" s="2"/>
    </row>
    <row r="14167" spans="1:26" ht="16.5" x14ac:dyDescent="0.35">
      <c r="A14167" s="2" t="str">
        <f ca="1">IFERROR(__xludf.DUMMYFUNCTION("""COMPUTED_VALUE"""),"Dubai")</f>
        <v>Dubai</v>
      </c>
      <c r="B14167" s="2" t="str">
        <f ca="1">IFERROR(__xludf.DUMMYFUNCTION("""COMPUTED_VALUE"""),"Al Raees Building")</f>
        <v>Al Raees Building</v>
      </c>
      <c r="C14167" s="2" t="str">
        <f ca="1">IFERROR(__xludf.DUMMYFUNCTION("""COMPUTED_VALUE"""),"Building")</f>
        <v>Building</v>
      </c>
      <c r="D14167" s="2" t="str">
        <f ca="1">IFERROR(__xludf.DUMMYFUNCTION("""COMPUTED_VALUE"""),"Dubai&gt;Al Badaa&gt;Al Raees Building")</f>
        <v>Dubai&gt;Al Badaa&gt;Al Raees Building</v>
      </c>
      <c r="E14167" s="2"/>
      <c r="F14167" s="2"/>
      <c r="G14167" s="2"/>
      <c r="H14167" s="2"/>
      <c r="I14167" s="2"/>
      <c r="J14167" s="2"/>
      <c r="K14167" s="2"/>
      <c r="L14167" s="2"/>
      <c r="M14167" s="2"/>
      <c r="N14167" s="2"/>
      <c r="O14167" s="2"/>
      <c r="P14167" s="2"/>
      <c r="Q14167" s="2"/>
      <c r="R14167" s="2"/>
      <c r="S14167" s="2"/>
      <c r="T14167" s="2"/>
      <c r="U14167" s="2"/>
      <c r="V14167" s="2"/>
      <c r="W14167" s="2"/>
      <c r="X14167" s="2"/>
      <c r="Y14167" s="2"/>
      <c r="Z14167" s="2"/>
    </row>
    <row r="14168" spans="1:26" ht="16.5" x14ac:dyDescent="0.35">
      <c r="A14168" s="2" t="str">
        <f ca="1">IFERROR(__xludf.DUMMYFUNCTION("""COMPUTED_VALUE"""),"Dubai")</f>
        <v>Dubai</v>
      </c>
      <c r="B14168" s="2" t="str">
        <f ca="1">IFERROR(__xludf.DUMMYFUNCTION("""COMPUTED_VALUE"""),"Ginem Mosfet Building")</f>
        <v>Ginem Mosfet Building</v>
      </c>
      <c r="C14168" s="2" t="str">
        <f ca="1">IFERROR(__xludf.DUMMYFUNCTION("""COMPUTED_VALUE"""),"Building")</f>
        <v>Building</v>
      </c>
      <c r="D14168" s="2" t="str">
        <f ca="1">IFERROR(__xludf.DUMMYFUNCTION("""COMPUTED_VALUE"""),"Dubai&gt;Al Badaa&gt;Ginem Mosfet Building")</f>
        <v>Dubai&gt;Al Badaa&gt;Ginem Mosfet Building</v>
      </c>
      <c r="E14168" s="2"/>
      <c r="F14168" s="2"/>
      <c r="G14168" s="2"/>
      <c r="H14168" s="2"/>
      <c r="I14168" s="2"/>
      <c r="J14168" s="2"/>
      <c r="K14168" s="2"/>
      <c r="L14168" s="2"/>
      <c r="M14168" s="2"/>
      <c r="N14168" s="2"/>
      <c r="O14168" s="2"/>
      <c r="P14168" s="2"/>
      <c r="Q14168" s="2"/>
      <c r="R14168" s="2"/>
      <c r="S14168" s="2"/>
      <c r="T14168" s="2"/>
      <c r="U14168" s="2"/>
      <c r="V14168" s="2"/>
      <c r="W14168" s="2"/>
      <c r="X14168" s="2"/>
      <c r="Y14168" s="2"/>
      <c r="Z14168" s="2"/>
    </row>
    <row r="14169" spans="1:26" ht="16.5" x14ac:dyDescent="0.35">
      <c r="A14169" s="2" t="str">
        <f ca="1">IFERROR(__xludf.DUMMYFUNCTION("""COMPUTED_VALUE"""),"Dubai")</f>
        <v>Dubai</v>
      </c>
      <c r="B14169" s="2" t="str">
        <f ca="1">IFERROR(__xludf.DUMMYFUNCTION("""COMPUTED_VALUE"""),"Manara 3")</f>
        <v>Manara 3</v>
      </c>
      <c r="C14169" s="2" t="str">
        <f ca="1">IFERROR(__xludf.DUMMYFUNCTION("""COMPUTED_VALUE"""),"Building")</f>
        <v>Building</v>
      </c>
      <c r="D14169" s="2" t="str">
        <f ca="1">IFERROR(__xludf.DUMMYFUNCTION("""COMPUTED_VALUE"""),"Dubai&gt;Dubai Waterfront&gt;Badrah&gt;Manara&gt;Manara 3")</f>
        <v>Dubai&gt;Dubai Waterfront&gt;Badrah&gt;Manara&gt;Manara 3</v>
      </c>
      <c r="E14169" s="2"/>
      <c r="F14169" s="2"/>
      <c r="G14169" s="2"/>
      <c r="H14169" s="2"/>
      <c r="I14169" s="2"/>
      <c r="J14169" s="2"/>
      <c r="K14169" s="2"/>
      <c r="L14169" s="2"/>
      <c r="M14169" s="2"/>
      <c r="N14169" s="2"/>
      <c r="O14169" s="2"/>
      <c r="P14169" s="2"/>
      <c r="Q14169" s="2"/>
      <c r="R14169" s="2"/>
      <c r="S14169" s="2"/>
      <c r="T14169" s="2"/>
      <c r="U14169" s="2"/>
      <c r="V14169" s="2"/>
      <c r="W14169" s="2"/>
      <c r="X14169" s="2"/>
      <c r="Y14169" s="2"/>
      <c r="Z14169" s="2"/>
    </row>
    <row r="14170" spans="1:26" ht="16.5" x14ac:dyDescent="0.35">
      <c r="A14170" s="2" t="str">
        <f ca="1">IFERROR(__xludf.DUMMYFUNCTION("""COMPUTED_VALUE"""),"Dubai")</f>
        <v>Dubai</v>
      </c>
      <c r="B14170" s="2" t="str">
        <f ca="1">IFERROR(__xludf.DUMMYFUNCTION("""COMPUTED_VALUE"""),"Building 6")</f>
        <v>Building 6</v>
      </c>
      <c r="C14170" s="2" t="str">
        <f ca="1">IFERROR(__xludf.DUMMYFUNCTION("""COMPUTED_VALUE"""),"Building")</f>
        <v>Building</v>
      </c>
      <c r="D14170" s="2" t="str">
        <f ca="1">IFERROR(__xludf.DUMMYFUNCTION("""COMPUTED_VALUE"""),"Dubai&gt;Academic City&gt;Dubai Outsource City&gt;Building 6")</f>
        <v>Dubai&gt;Academic City&gt;Dubai Outsource City&gt;Building 6</v>
      </c>
      <c r="E14170" s="2"/>
      <c r="F14170" s="2"/>
      <c r="G14170" s="2"/>
      <c r="H14170" s="2"/>
      <c r="I14170" s="2"/>
      <c r="J14170" s="2"/>
      <c r="K14170" s="2"/>
      <c r="L14170" s="2"/>
      <c r="M14170" s="2"/>
      <c r="N14170" s="2"/>
      <c r="O14170" s="2"/>
      <c r="P14170" s="2"/>
      <c r="Q14170" s="2"/>
      <c r="R14170" s="2"/>
      <c r="S14170" s="2"/>
      <c r="T14170" s="2"/>
      <c r="U14170" s="2"/>
      <c r="V14170" s="2"/>
      <c r="W14170" s="2"/>
      <c r="X14170" s="2"/>
      <c r="Y14170" s="2"/>
      <c r="Z14170" s="2"/>
    </row>
    <row r="14171" spans="1:26" ht="16.5" x14ac:dyDescent="0.35">
      <c r="A14171" s="2" t="str">
        <f ca="1">IFERROR(__xludf.DUMMYFUNCTION("""COMPUTED_VALUE"""),"Dubai")</f>
        <v>Dubai</v>
      </c>
      <c r="B14171" s="2" t="str">
        <f ca="1">IFERROR(__xludf.DUMMYFUNCTION("""COMPUTED_VALUE"""),"Design Quarter Office Building B2")</f>
        <v>Design Quarter Office Building B2</v>
      </c>
      <c r="C14171" s="2" t="str">
        <f ca="1">IFERROR(__xludf.DUMMYFUNCTION("""COMPUTED_VALUE"""),"Building")</f>
        <v>Building</v>
      </c>
      <c r="D14171" s="2" t="str">
        <f ca="1">IFERROR(__xludf.DUMMYFUNCTION("""COMPUTED_VALUE"""),"Dubai&gt;Dubai Design District&gt;Design Quarter&gt;Design Quarter Office Building B2")</f>
        <v>Dubai&gt;Dubai Design District&gt;Design Quarter&gt;Design Quarter Office Building B2</v>
      </c>
      <c r="E14171" s="2"/>
      <c r="F14171" s="2"/>
      <c r="G14171" s="2"/>
      <c r="H14171" s="2"/>
      <c r="I14171" s="2"/>
      <c r="J14171" s="2"/>
      <c r="K14171" s="2"/>
      <c r="L14171" s="2"/>
      <c r="M14171" s="2"/>
      <c r="N14171" s="2"/>
      <c r="O14171" s="2"/>
      <c r="P14171" s="2"/>
      <c r="Q14171" s="2"/>
      <c r="R14171" s="2"/>
      <c r="S14171" s="2"/>
      <c r="T14171" s="2"/>
      <c r="U14171" s="2"/>
      <c r="V14171" s="2"/>
      <c r="W14171" s="2"/>
      <c r="X14171" s="2"/>
      <c r="Y14171" s="2"/>
      <c r="Z14171" s="2"/>
    </row>
    <row r="14172" spans="1:26" ht="16.5" x14ac:dyDescent="0.35">
      <c r="A14172" s="2" t="str">
        <f ca="1">IFERROR(__xludf.DUMMYFUNCTION("""COMPUTED_VALUE"""),"Dubai")</f>
        <v>Dubai</v>
      </c>
      <c r="B14172" s="2" t="str">
        <f ca="1">IFERROR(__xludf.DUMMYFUNCTION("""COMPUTED_VALUE"""),"Nasser Khamis Block A")</f>
        <v>Nasser Khamis Block A</v>
      </c>
      <c r="C14172" s="2" t="str">
        <f ca="1">IFERROR(__xludf.DUMMYFUNCTION("""COMPUTED_VALUE"""),"Building")</f>
        <v>Building</v>
      </c>
      <c r="D14172" s="2" t="str">
        <f ca="1">IFERROR(__xludf.DUMMYFUNCTION("""COMPUTED_VALUE"""),"Dubai&gt;Al Hudaiba&gt;Nasser Khamis Blocks&gt;Nasser Khamis Block A")</f>
        <v>Dubai&gt;Al Hudaiba&gt;Nasser Khamis Blocks&gt;Nasser Khamis Block A</v>
      </c>
      <c r="E14172" s="2"/>
      <c r="F14172" s="2"/>
      <c r="G14172" s="2"/>
      <c r="H14172" s="2"/>
      <c r="I14172" s="2"/>
      <c r="J14172" s="2"/>
      <c r="K14172" s="2"/>
      <c r="L14172" s="2"/>
      <c r="M14172" s="2"/>
      <c r="N14172" s="2"/>
      <c r="O14172" s="2"/>
      <c r="P14172" s="2"/>
      <c r="Q14172" s="2"/>
      <c r="R14172" s="2"/>
      <c r="S14172" s="2"/>
      <c r="T14172" s="2"/>
      <c r="U14172" s="2"/>
      <c r="V14172" s="2"/>
      <c r="W14172" s="2"/>
      <c r="X14172" s="2"/>
      <c r="Y14172" s="2"/>
      <c r="Z14172" s="2"/>
    </row>
    <row r="14173" spans="1:26" ht="16.5" x14ac:dyDescent="0.35">
      <c r="A14173" s="2" t="str">
        <f ca="1">IFERROR(__xludf.DUMMYFUNCTION("""COMPUTED_VALUE"""),"Dubai")</f>
        <v>Dubai</v>
      </c>
      <c r="B14173" s="2" t="str">
        <f ca="1">IFERROR(__xludf.DUMMYFUNCTION("""COMPUTED_VALUE"""),"Jumeirah Apartments")</f>
        <v>Jumeirah Apartments</v>
      </c>
      <c r="C14173" s="2" t="str">
        <f ca="1">IFERROR(__xludf.DUMMYFUNCTION("""COMPUTED_VALUE"""),"Building")</f>
        <v>Building</v>
      </c>
      <c r="D14173" s="2" t="str">
        <f ca="1">IFERROR(__xludf.DUMMYFUNCTION("""COMPUTED_VALUE"""),"Dubai&gt;Jumeirah&gt;Jumeirah 1&gt;Jumeirah Apartments")</f>
        <v>Dubai&gt;Jumeirah&gt;Jumeirah 1&gt;Jumeirah Apartments</v>
      </c>
      <c r="E14173" s="2"/>
      <c r="F14173" s="2"/>
      <c r="G14173" s="2"/>
      <c r="H14173" s="2"/>
      <c r="I14173" s="2"/>
      <c r="J14173" s="2"/>
      <c r="K14173" s="2"/>
      <c r="L14173" s="2"/>
      <c r="M14173" s="2"/>
      <c r="N14173" s="2"/>
      <c r="O14173" s="2"/>
      <c r="P14173" s="2"/>
      <c r="Q14173" s="2"/>
      <c r="R14173" s="2"/>
      <c r="S14173" s="2"/>
      <c r="T14173" s="2"/>
      <c r="U14173" s="2"/>
      <c r="V14173" s="2"/>
      <c r="W14173" s="2"/>
      <c r="X14173" s="2"/>
      <c r="Y14173" s="2"/>
      <c r="Z14173" s="2"/>
    </row>
    <row r="14174" spans="1:26" ht="16.5" x14ac:dyDescent="0.35">
      <c r="A14174" s="2" t="str">
        <f ca="1">IFERROR(__xludf.DUMMYFUNCTION("""COMPUTED_VALUE"""),"Dubai")</f>
        <v>Dubai</v>
      </c>
      <c r="B14174" s="2" t="str">
        <f ca="1">IFERROR(__xludf.DUMMYFUNCTION("""COMPUTED_VALUE"""),"Bulgari Residence 4")</f>
        <v>Bulgari Residence 4</v>
      </c>
      <c r="C14174" s="2" t="str">
        <f ca="1">IFERROR(__xludf.DUMMYFUNCTION("""COMPUTED_VALUE"""),"Building")</f>
        <v>Building</v>
      </c>
      <c r="D14174" s="2" t="str">
        <f ca="1">IFERROR(__xludf.DUMMYFUNCTION("""COMPUTED_VALUE"""),"Dubai&gt;Jumeirah&gt;Jumeirah Bay Islands&gt;Bulgari Residences&gt;Bulgari Residence 4")</f>
        <v>Dubai&gt;Jumeirah&gt;Jumeirah Bay Islands&gt;Bulgari Residences&gt;Bulgari Residence 4</v>
      </c>
      <c r="E14174" s="2"/>
      <c r="F14174" s="2"/>
      <c r="G14174" s="2"/>
      <c r="H14174" s="2"/>
      <c r="I14174" s="2"/>
      <c r="J14174" s="2"/>
      <c r="K14174" s="2"/>
      <c r="L14174" s="2"/>
      <c r="M14174" s="2"/>
      <c r="N14174" s="2"/>
      <c r="O14174" s="2"/>
      <c r="P14174" s="2"/>
      <c r="Q14174" s="2"/>
      <c r="R14174" s="2"/>
      <c r="S14174" s="2"/>
      <c r="T14174" s="2"/>
      <c r="U14174" s="2"/>
      <c r="V14174" s="2"/>
      <c r="W14174" s="2"/>
      <c r="X14174" s="2"/>
      <c r="Y14174" s="2"/>
      <c r="Z14174" s="2"/>
    </row>
    <row r="14175" spans="1:26" ht="16.5" x14ac:dyDescent="0.35">
      <c r="A14175" s="2" t="str">
        <f ca="1">IFERROR(__xludf.DUMMYFUNCTION("""COMPUTED_VALUE"""),"Dubai")</f>
        <v>Dubai</v>
      </c>
      <c r="B14175" s="2" t="str">
        <f ca="1">IFERROR(__xludf.DUMMYFUNCTION("""COMPUTED_VALUE"""),"La Voile 3")</f>
        <v>La Voile 3</v>
      </c>
      <c r="C14175" s="2" t="str">
        <f ca="1">IFERROR(__xludf.DUMMYFUNCTION("""COMPUTED_VALUE"""),"Building")</f>
        <v>Building</v>
      </c>
      <c r="D14175" s="2" t="str">
        <f ca="1">IFERROR(__xludf.DUMMYFUNCTION("""COMPUTED_VALUE"""),"Dubai&gt;Jumeirah&gt;La Mer&gt;Port de La Mer&gt;La Voile&gt;La Voile 3")</f>
        <v>Dubai&gt;Jumeirah&gt;La Mer&gt;Port de La Mer&gt;La Voile&gt;La Voile 3</v>
      </c>
      <c r="E14175" s="2"/>
      <c r="F14175" s="2"/>
      <c r="G14175" s="2"/>
      <c r="H14175" s="2"/>
      <c r="I14175" s="2"/>
      <c r="J14175" s="2"/>
      <c r="K14175" s="2"/>
      <c r="L14175" s="2"/>
      <c r="M14175" s="2"/>
      <c r="N14175" s="2"/>
      <c r="O14175" s="2"/>
      <c r="P14175" s="2"/>
      <c r="Q14175" s="2"/>
      <c r="R14175" s="2"/>
      <c r="S14175" s="2"/>
      <c r="T14175" s="2"/>
      <c r="U14175" s="2"/>
      <c r="V14175" s="2"/>
      <c r="W14175" s="2"/>
      <c r="X14175" s="2"/>
      <c r="Y14175" s="2"/>
      <c r="Z14175" s="2"/>
    </row>
    <row r="14176" spans="1:26" ht="16.5" x14ac:dyDescent="0.35">
      <c r="A14176" s="2" t="str">
        <f ca="1">IFERROR(__xludf.DUMMYFUNCTION("""COMPUTED_VALUE"""),"Dubai")</f>
        <v>Dubai</v>
      </c>
      <c r="B14176" s="2" t="str">
        <f ca="1">IFERROR(__xludf.DUMMYFUNCTION("""COMPUTED_VALUE"""),"Jumeirah Asora Bay")</f>
        <v>Jumeirah Asora Bay</v>
      </c>
      <c r="C14176" s="2" t="str">
        <f ca="1">IFERROR(__xludf.DUMMYFUNCTION("""COMPUTED_VALUE"""),"Building")</f>
        <v>Building</v>
      </c>
      <c r="D14176" s="2" t="str">
        <f ca="1">IFERROR(__xludf.DUMMYFUNCTION("""COMPUTED_VALUE"""),"Dubai&gt;Jumeirah&gt;La Mer&gt;Jumeirah Asora Bay")</f>
        <v>Dubai&gt;Jumeirah&gt;La Mer&gt;Jumeirah Asora Bay</v>
      </c>
      <c r="E14176" s="2"/>
      <c r="F14176" s="2"/>
      <c r="G14176" s="2"/>
      <c r="H14176" s="2"/>
      <c r="I14176" s="2"/>
      <c r="J14176" s="2"/>
      <c r="K14176" s="2"/>
      <c r="L14176" s="2"/>
      <c r="M14176" s="2"/>
      <c r="N14176" s="2"/>
      <c r="O14176" s="2"/>
      <c r="P14176" s="2"/>
      <c r="Q14176" s="2"/>
      <c r="R14176" s="2"/>
      <c r="S14176" s="2"/>
      <c r="T14176" s="2"/>
      <c r="U14176" s="2"/>
      <c r="V14176" s="2"/>
      <c r="W14176" s="2"/>
      <c r="X14176" s="2"/>
      <c r="Y14176" s="2"/>
      <c r="Z14176" s="2"/>
    </row>
    <row r="14177" spans="1:26" ht="16.5" x14ac:dyDescent="0.35">
      <c r="A14177" s="2" t="str">
        <f ca="1">IFERROR(__xludf.DUMMYFUNCTION("""COMPUTED_VALUE"""),"Dubai")</f>
        <v>Dubai</v>
      </c>
      <c r="B14177" s="2" t="str">
        <f ca="1">IFERROR(__xludf.DUMMYFUNCTION("""COMPUTED_VALUE"""),"Creek Rise 2 Tower")</f>
        <v>Creek Rise 2 Tower</v>
      </c>
      <c r="C14177" s="2" t="str">
        <f ca="1">IFERROR(__xludf.DUMMYFUNCTION("""COMPUTED_VALUE"""),"Building")</f>
        <v>Building</v>
      </c>
      <c r="D14177" s="2" t="str">
        <f ca="1">IFERROR(__xludf.DUMMYFUNCTION("""COMPUTED_VALUE"""),"Dubai&gt;Dubai Creek Harbour&gt;Creek Rise&gt;Creek Rise 2 Tower")</f>
        <v>Dubai&gt;Dubai Creek Harbour&gt;Creek Rise&gt;Creek Rise 2 Tower</v>
      </c>
      <c r="E14177" s="2"/>
      <c r="F14177" s="2"/>
      <c r="G14177" s="2"/>
      <c r="H14177" s="2"/>
      <c r="I14177" s="2"/>
      <c r="J14177" s="2"/>
      <c r="K14177" s="2"/>
      <c r="L14177" s="2"/>
      <c r="M14177" s="2"/>
      <c r="N14177" s="2"/>
      <c r="O14177" s="2"/>
      <c r="P14177" s="2"/>
      <c r="Q14177" s="2"/>
      <c r="R14177" s="2"/>
      <c r="S14177" s="2"/>
      <c r="T14177" s="2"/>
      <c r="U14177" s="2"/>
      <c r="V14177" s="2"/>
      <c r="W14177" s="2"/>
      <c r="X14177" s="2"/>
      <c r="Y14177" s="2"/>
      <c r="Z14177" s="2"/>
    </row>
    <row r="14178" spans="1:26" ht="16.5" x14ac:dyDescent="0.35">
      <c r="A14178" s="2" t="str">
        <f ca="1">IFERROR(__xludf.DUMMYFUNCTION("""COMPUTED_VALUE"""),"Dubai")</f>
        <v>Dubai</v>
      </c>
      <c r="B14178" s="2" t="str">
        <f ca="1">IFERROR(__xludf.DUMMYFUNCTION("""COMPUTED_VALUE"""),"Surf at Creek Beach")</f>
        <v>Surf at Creek Beach</v>
      </c>
      <c r="C14178" s="2" t="str">
        <f ca="1">IFERROR(__xludf.DUMMYFUNCTION("""COMPUTED_VALUE"""),"Cluster")</f>
        <v>Cluster</v>
      </c>
      <c r="D14178" s="2" t="str">
        <f ca="1">IFERROR(__xludf.DUMMYFUNCTION("""COMPUTED_VALUE"""),"Dubai&gt;Dubai Creek Harbour&gt;Surf at Creek Beach")</f>
        <v>Dubai&gt;Dubai Creek Harbour&gt;Surf at Creek Beach</v>
      </c>
      <c r="E14178" s="2"/>
      <c r="F14178" s="2"/>
      <c r="G14178" s="2"/>
      <c r="H14178" s="2"/>
      <c r="I14178" s="2"/>
      <c r="J14178" s="2"/>
      <c r="K14178" s="2"/>
      <c r="L14178" s="2"/>
      <c r="M14178" s="2"/>
      <c r="N14178" s="2"/>
      <c r="O14178" s="2"/>
      <c r="P14178" s="2"/>
      <c r="Q14178" s="2"/>
      <c r="R14178" s="2"/>
      <c r="S14178" s="2"/>
      <c r="T14178" s="2"/>
      <c r="U14178" s="2"/>
      <c r="V14178" s="2"/>
      <c r="W14178" s="2"/>
      <c r="X14178" s="2"/>
      <c r="Y14178" s="2"/>
      <c r="Z14178" s="2"/>
    </row>
    <row r="14179" spans="1:26" ht="16.5" x14ac:dyDescent="0.35">
      <c r="A14179" s="2" t="str">
        <f ca="1">IFERROR(__xludf.DUMMYFUNCTION("""COMPUTED_VALUE"""),"Dubai")</f>
        <v>Dubai</v>
      </c>
      <c r="B14179" s="2" t="str">
        <f ca="1">IFERROR(__xludf.DUMMYFUNCTION("""COMPUTED_VALUE"""),"The Cove II")</f>
        <v>The Cove II</v>
      </c>
      <c r="C14179" s="2" t="str">
        <f ca="1">IFERROR(__xludf.DUMMYFUNCTION("""COMPUTED_VALUE"""),"Cluster")</f>
        <v>Cluster</v>
      </c>
      <c r="D14179" s="2" t="str">
        <f ca="1">IFERROR(__xludf.DUMMYFUNCTION("""COMPUTED_VALUE"""),"Dubai&gt;Dubai Creek Harbour&gt;The Cove II")</f>
        <v>Dubai&gt;Dubai Creek Harbour&gt;The Cove II</v>
      </c>
      <c r="E14179" s="2"/>
      <c r="F14179" s="2"/>
      <c r="G14179" s="2"/>
      <c r="H14179" s="2"/>
      <c r="I14179" s="2"/>
      <c r="J14179" s="2"/>
      <c r="K14179" s="2"/>
      <c r="L14179" s="2"/>
      <c r="M14179" s="2"/>
      <c r="N14179" s="2"/>
      <c r="O14179" s="2"/>
      <c r="P14179" s="2"/>
      <c r="Q14179" s="2"/>
      <c r="R14179" s="2"/>
      <c r="S14179" s="2"/>
      <c r="T14179" s="2"/>
      <c r="U14179" s="2"/>
      <c r="V14179" s="2"/>
      <c r="W14179" s="2"/>
      <c r="X14179" s="2"/>
      <c r="Y14179" s="2"/>
      <c r="Z14179" s="2"/>
    </row>
    <row r="14180" spans="1:26" ht="16.5" x14ac:dyDescent="0.35">
      <c r="A14180" s="2" t="str">
        <f ca="1">IFERROR(__xludf.DUMMYFUNCTION("""COMPUTED_VALUE"""),"Dubai")</f>
        <v>Dubai</v>
      </c>
      <c r="B14180" s="2" t="str">
        <f ca="1">IFERROR(__xludf.DUMMYFUNCTION("""COMPUTED_VALUE"""),"ARLO at Creek Beach Harbour")</f>
        <v>ARLO at Creek Beach Harbour</v>
      </c>
      <c r="C14180" s="2" t="str">
        <f ca="1">IFERROR(__xludf.DUMMYFUNCTION("""COMPUTED_VALUE"""),"Building")</f>
        <v>Building</v>
      </c>
      <c r="D14180" s="2" t="str">
        <f ca="1">IFERROR(__xludf.DUMMYFUNCTION("""COMPUTED_VALUE"""),"Dubai&gt;Dubai Creek Harbour&gt;ARLO at Creek Beach Harbour")</f>
        <v>Dubai&gt;Dubai Creek Harbour&gt;ARLO at Creek Beach Harbour</v>
      </c>
      <c r="E14180" s="2"/>
      <c r="F14180" s="2"/>
      <c r="G14180" s="2"/>
      <c r="H14180" s="2"/>
      <c r="I14180" s="2"/>
      <c r="J14180" s="2"/>
      <c r="K14180" s="2"/>
      <c r="L14180" s="2"/>
      <c r="M14180" s="2"/>
      <c r="N14180" s="2"/>
      <c r="O14180" s="2"/>
      <c r="P14180" s="2"/>
      <c r="Q14180" s="2"/>
      <c r="R14180" s="2"/>
      <c r="S14180" s="2"/>
      <c r="T14180" s="2"/>
      <c r="U14180" s="2"/>
      <c r="V14180" s="2"/>
      <c r="W14180" s="2"/>
      <c r="X14180" s="2"/>
      <c r="Y14180" s="2"/>
      <c r="Z14180" s="2"/>
    </row>
    <row r="14181" spans="1:26" ht="16.5" x14ac:dyDescent="0.35">
      <c r="A14181" s="2" t="str">
        <f ca="1">IFERROR(__xludf.DUMMYFUNCTION("""COMPUTED_VALUE"""),"Dubai")</f>
        <v>Dubai</v>
      </c>
      <c r="B14181" s="2" t="str">
        <f ca="1">IFERROR(__xludf.DUMMYFUNCTION("""COMPUTED_VALUE"""),"Barsha Heights (Tecom)")</f>
        <v>Barsha Heights (Tecom)</v>
      </c>
      <c r="C14181" s="2" t="str">
        <f ca="1">IFERROR(__xludf.DUMMYFUNCTION("""COMPUTED_VALUE"""),"Neighbourhood")</f>
        <v>Neighbourhood</v>
      </c>
      <c r="D14181" s="2" t="str">
        <f ca="1">IFERROR(__xludf.DUMMYFUNCTION("""COMPUTED_VALUE"""),"Dubai&gt;Barsha Heights (Tecom)")</f>
        <v>Dubai&gt;Barsha Heights (Tecom)</v>
      </c>
      <c r="E14181" s="2"/>
      <c r="F14181" s="2"/>
      <c r="G14181" s="2"/>
      <c r="H14181" s="2"/>
      <c r="I14181" s="2"/>
      <c r="J14181" s="2"/>
      <c r="K14181" s="2"/>
      <c r="L14181" s="2"/>
      <c r="M14181" s="2"/>
      <c r="N14181" s="2"/>
      <c r="O14181" s="2"/>
      <c r="P14181" s="2"/>
      <c r="Q14181" s="2"/>
      <c r="R14181" s="2"/>
      <c r="S14181" s="2"/>
      <c r="T14181" s="2"/>
      <c r="U14181" s="2"/>
      <c r="V14181" s="2"/>
      <c r="W14181" s="2"/>
      <c r="X14181" s="2"/>
      <c r="Y14181" s="2"/>
      <c r="Z14181" s="2"/>
    </row>
    <row r="14182" spans="1:26" ht="16.5" x14ac:dyDescent="0.35">
      <c r="A14182" s="2" t="str">
        <f ca="1">IFERROR(__xludf.DUMMYFUNCTION("""COMPUTED_VALUE"""),"Dubai")</f>
        <v>Dubai</v>
      </c>
      <c r="B14182" s="2" t="str">
        <f ca="1">IFERROR(__xludf.DUMMYFUNCTION("""COMPUTED_VALUE"""),"Rose 6")</f>
        <v>Rose 6</v>
      </c>
      <c r="C14182" s="2" t="str">
        <f ca="1">IFERROR(__xludf.DUMMYFUNCTION("""COMPUTED_VALUE"""),"Building")</f>
        <v>Building</v>
      </c>
      <c r="D14182" s="2" t="str">
        <f ca="1">IFERROR(__xludf.DUMMYFUNCTION("""COMPUTED_VALUE"""),"Dubai&gt;Barsha Heights (Tecom)&gt;Rose 6")</f>
        <v>Dubai&gt;Barsha Heights (Tecom)&gt;Rose 6</v>
      </c>
      <c r="E14182" s="2"/>
      <c r="F14182" s="2"/>
      <c r="G14182" s="2"/>
      <c r="H14182" s="2"/>
      <c r="I14182" s="2"/>
      <c r="J14182" s="2"/>
      <c r="K14182" s="2"/>
      <c r="L14182" s="2"/>
      <c r="M14182" s="2"/>
      <c r="N14182" s="2"/>
      <c r="O14182" s="2"/>
      <c r="P14182" s="2"/>
      <c r="Q14182" s="2"/>
      <c r="R14182" s="2"/>
      <c r="S14182" s="2"/>
      <c r="T14182" s="2"/>
      <c r="U14182" s="2"/>
      <c r="V14182" s="2"/>
      <c r="W14182" s="2"/>
      <c r="X14182" s="2"/>
      <c r="Y14182" s="2"/>
      <c r="Z14182" s="2"/>
    </row>
    <row r="14183" spans="1:26" ht="16.5" x14ac:dyDescent="0.35">
      <c r="A14183" s="2" t="str">
        <f ca="1">IFERROR(__xludf.DUMMYFUNCTION("""COMPUTED_VALUE"""),"Dubai")</f>
        <v>Dubai</v>
      </c>
      <c r="B14183" s="2" t="str">
        <f ca="1">IFERROR(__xludf.DUMMYFUNCTION("""COMPUTED_VALUE"""),"Gulf Oasis Hotel Apartments")</f>
        <v>Gulf Oasis Hotel Apartments</v>
      </c>
      <c r="C14183" s="2" t="str">
        <f ca="1">IFERROR(__xludf.DUMMYFUNCTION("""COMPUTED_VALUE"""),"Building")</f>
        <v>Building</v>
      </c>
      <c r="D14183" s="2" t="str">
        <f ca="1">IFERROR(__xludf.DUMMYFUNCTION("""COMPUTED_VALUE"""),"Dubai&gt;Barsha Heights (Tecom)&gt;Gulf Oasis Hotel Apartments")</f>
        <v>Dubai&gt;Barsha Heights (Tecom)&gt;Gulf Oasis Hotel Apartments</v>
      </c>
      <c r="E14183" s="2"/>
      <c r="F14183" s="2"/>
      <c r="G14183" s="2"/>
      <c r="H14183" s="2"/>
      <c r="I14183" s="2"/>
      <c r="J14183" s="2"/>
      <c r="K14183" s="2"/>
      <c r="L14183" s="2"/>
      <c r="M14183" s="2"/>
      <c r="N14183" s="2"/>
      <c r="O14183" s="2"/>
      <c r="P14183" s="2"/>
      <c r="Q14183" s="2"/>
      <c r="R14183" s="2"/>
      <c r="S14183" s="2"/>
      <c r="T14183" s="2"/>
      <c r="U14183" s="2"/>
      <c r="V14183" s="2"/>
      <c r="W14183" s="2"/>
      <c r="X14183" s="2"/>
      <c r="Y14183" s="2"/>
      <c r="Z14183" s="2"/>
    </row>
    <row r="14184" spans="1:26" ht="16.5" x14ac:dyDescent="0.35">
      <c r="A14184" s="2" t="str">
        <f ca="1">IFERROR(__xludf.DUMMYFUNCTION("""COMPUTED_VALUE"""),"Dubai")</f>
        <v>Dubai</v>
      </c>
      <c r="B14184" s="2" t="str">
        <f ca="1">IFERROR(__xludf.DUMMYFUNCTION("""COMPUTED_VALUE"""),"Al Ameri Tower")</f>
        <v>Al Ameri Tower</v>
      </c>
      <c r="C14184" s="2" t="str">
        <f ca="1">IFERROR(__xludf.DUMMYFUNCTION("""COMPUTED_VALUE"""),"Building")</f>
        <v>Building</v>
      </c>
      <c r="D14184" s="2" t="str">
        <f ca="1">IFERROR(__xludf.DUMMYFUNCTION("""COMPUTED_VALUE"""),"Dubai&gt;Barsha Heights (Tecom)&gt;Al Ameri Tower")</f>
        <v>Dubai&gt;Barsha Heights (Tecom)&gt;Al Ameri Tower</v>
      </c>
      <c r="E14184" s="2"/>
      <c r="F14184" s="2"/>
      <c r="G14184" s="2"/>
      <c r="H14184" s="2"/>
      <c r="I14184" s="2"/>
      <c r="J14184" s="2"/>
      <c r="K14184" s="2"/>
      <c r="L14184" s="2"/>
      <c r="M14184" s="2"/>
      <c r="N14184" s="2"/>
      <c r="O14184" s="2"/>
      <c r="P14184" s="2"/>
      <c r="Q14184" s="2"/>
      <c r="R14184" s="2"/>
      <c r="S14184" s="2"/>
      <c r="T14184" s="2"/>
      <c r="U14184" s="2"/>
      <c r="V14184" s="2"/>
      <c r="W14184" s="2"/>
      <c r="X14184" s="2"/>
      <c r="Y14184" s="2"/>
      <c r="Z14184" s="2"/>
    </row>
    <row r="14185" spans="1:26" ht="16.5" x14ac:dyDescent="0.35">
      <c r="A14185" s="2" t="str">
        <f ca="1">IFERROR(__xludf.DUMMYFUNCTION("""COMPUTED_VALUE"""),"Dubai")</f>
        <v>Dubai</v>
      </c>
      <c r="B14185" s="2" t="str">
        <f ca="1">IFERROR(__xludf.DUMMYFUNCTION("""COMPUTED_VALUE"""),"Eden Apartments")</f>
        <v>Eden Apartments</v>
      </c>
      <c r="C14185" s="2" t="str">
        <f ca="1">IFERROR(__xludf.DUMMYFUNCTION("""COMPUTED_VALUE"""),"Cluster")</f>
        <v>Cluster</v>
      </c>
      <c r="D14185" s="2" t="str">
        <f ca="1">IFERROR(__xludf.DUMMYFUNCTION("""COMPUTED_VALUE"""),"Dubai&gt;Motor City&gt;Eden Apartments")</f>
        <v>Dubai&gt;Motor City&gt;Eden Apartments</v>
      </c>
      <c r="E14185" s="2"/>
      <c r="F14185" s="2"/>
      <c r="G14185" s="2"/>
      <c r="H14185" s="2"/>
      <c r="I14185" s="2"/>
      <c r="J14185" s="2"/>
      <c r="K14185" s="2"/>
      <c r="L14185" s="2"/>
      <c r="M14185" s="2"/>
      <c r="N14185" s="2"/>
      <c r="O14185" s="2"/>
      <c r="P14185" s="2"/>
      <c r="Q14185" s="2"/>
      <c r="R14185" s="2"/>
      <c r="S14185" s="2"/>
      <c r="T14185" s="2"/>
      <c r="U14185" s="2"/>
      <c r="V14185" s="2"/>
      <c r="W14185" s="2"/>
      <c r="X14185" s="2"/>
      <c r="Y14185" s="2"/>
      <c r="Z14185" s="2"/>
    </row>
    <row r="14186" spans="1:26" ht="16.5" x14ac:dyDescent="0.35">
      <c r="A14186" s="2" t="str">
        <f ca="1">IFERROR(__xludf.DUMMYFUNCTION("""COMPUTED_VALUE"""),"Dubai")</f>
        <v>Dubai</v>
      </c>
      <c r="B14186" s="2" t="str">
        <f ca="1">IFERROR(__xludf.DUMMYFUNCTION("""COMPUTED_VALUE"""),"Regent House")</f>
        <v>Regent House</v>
      </c>
      <c r="C14186" s="2" t="str">
        <f ca="1">IFERROR(__xludf.DUMMYFUNCTION("""COMPUTED_VALUE"""),"Cluster")</f>
        <v>Cluster</v>
      </c>
      <c r="D14186" s="2" t="str">
        <f ca="1">IFERROR(__xludf.DUMMYFUNCTION("""COMPUTED_VALUE"""),"Dubai&gt;Motor City&gt;Uptown Motor City&gt;Regent House")</f>
        <v>Dubai&gt;Motor City&gt;Uptown Motor City&gt;Regent House</v>
      </c>
      <c r="E14186" s="2"/>
      <c r="F14186" s="2"/>
      <c r="G14186" s="2"/>
      <c r="H14186" s="2"/>
      <c r="I14186" s="2"/>
      <c r="J14186" s="2"/>
      <c r="K14186" s="2"/>
      <c r="L14186" s="2"/>
      <c r="M14186" s="2"/>
      <c r="N14186" s="2"/>
      <c r="O14186" s="2"/>
      <c r="P14186" s="2"/>
      <c r="Q14186" s="2"/>
      <c r="R14186" s="2"/>
      <c r="S14186" s="2"/>
      <c r="T14186" s="2"/>
      <c r="U14186" s="2"/>
      <c r="V14186" s="2"/>
      <c r="W14186" s="2"/>
      <c r="X14186" s="2"/>
      <c r="Y14186" s="2"/>
      <c r="Z14186" s="2"/>
    </row>
    <row r="14187" spans="1:26" ht="16.5" x14ac:dyDescent="0.35">
      <c r="A14187" s="2" t="str">
        <f ca="1">IFERROR(__xludf.DUMMYFUNCTION("""COMPUTED_VALUE"""),"Dubai")</f>
        <v>Dubai</v>
      </c>
      <c r="B14187" s="2" t="str">
        <f ca="1">IFERROR(__xludf.DUMMYFUNCTION("""COMPUTED_VALUE"""),"Marlowe House 2")</f>
        <v>Marlowe House 2</v>
      </c>
      <c r="C14187" s="2" t="str">
        <f ca="1">IFERROR(__xludf.DUMMYFUNCTION("""COMPUTED_VALUE"""),"Building")</f>
        <v>Building</v>
      </c>
      <c r="D14187" s="2" t="str">
        <f ca="1">IFERROR(__xludf.DUMMYFUNCTION("""COMPUTED_VALUE"""),"Dubai&gt;Motor City&gt;Uptown Motor City&gt;Marlowe House&gt;Marlowe House 2")</f>
        <v>Dubai&gt;Motor City&gt;Uptown Motor City&gt;Marlowe House&gt;Marlowe House 2</v>
      </c>
      <c r="E14187" s="2"/>
      <c r="F14187" s="2"/>
      <c r="G14187" s="2"/>
      <c r="H14187" s="2"/>
      <c r="I14187" s="2"/>
      <c r="J14187" s="2"/>
      <c r="K14187" s="2"/>
      <c r="L14187" s="2"/>
      <c r="M14187" s="2"/>
      <c r="N14187" s="2"/>
      <c r="O14187" s="2"/>
      <c r="P14187" s="2"/>
      <c r="Q14187" s="2"/>
      <c r="R14187" s="2"/>
      <c r="S14187" s="2"/>
      <c r="T14187" s="2"/>
      <c r="U14187" s="2"/>
      <c r="V14187" s="2"/>
      <c r="W14187" s="2"/>
      <c r="X14187" s="2"/>
      <c r="Y14187" s="2"/>
      <c r="Z14187" s="2"/>
    </row>
    <row r="14188" spans="1:26" ht="16.5" x14ac:dyDescent="0.35">
      <c r="A14188" s="2" t="str">
        <f ca="1">IFERROR(__xludf.DUMMYFUNCTION("""COMPUTED_VALUE"""),"Dubai")</f>
        <v>Dubai</v>
      </c>
      <c r="B14188" s="2" t="str">
        <f ca="1">IFERROR(__xludf.DUMMYFUNCTION("""COMPUTED_VALUE"""),"Easton Court")</f>
        <v>Easton Court</v>
      </c>
      <c r="C14188" s="2" t="str">
        <f ca="1">IFERROR(__xludf.DUMMYFUNCTION("""COMPUTED_VALUE"""),"Building")</f>
        <v>Building</v>
      </c>
      <c r="D14188" s="2" t="str">
        <f ca="1">IFERROR(__xludf.DUMMYFUNCTION("""COMPUTED_VALUE"""),"Dubai&gt;Motor City&gt;Easton Court")</f>
        <v>Dubai&gt;Motor City&gt;Easton Court</v>
      </c>
      <c r="E14188" s="2"/>
      <c r="F14188" s="2"/>
      <c r="G14188" s="2"/>
      <c r="H14188" s="2"/>
      <c r="I14188" s="2"/>
      <c r="J14188" s="2"/>
      <c r="K14188" s="2"/>
      <c r="L14188" s="2"/>
      <c r="M14188" s="2"/>
      <c r="N14188" s="2"/>
      <c r="O14188" s="2"/>
      <c r="P14188" s="2"/>
      <c r="Q14188" s="2"/>
      <c r="R14188" s="2"/>
      <c r="S14188" s="2"/>
      <c r="T14188" s="2"/>
      <c r="U14188" s="2"/>
      <c r="V14188" s="2"/>
      <c r="W14188" s="2"/>
      <c r="X14188" s="2"/>
      <c r="Y14188" s="2"/>
      <c r="Z14188" s="2"/>
    </row>
    <row r="14189" spans="1:26" ht="16.5" x14ac:dyDescent="0.35">
      <c r="A14189" s="2" t="str">
        <f ca="1">IFERROR(__xludf.DUMMYFUNCTION("""COMPUTED_VALUE"""),"Dubai")</f>
        <v>Dubai</v>
      </c>
      <c r="B14189" s="2" t="str">
        <f ca="1">IFERROR(__xludf.DUMMYFUNCTION("""COMPUTED_VALUE"""),"Sierra by Iman")</f>
        <v>Sierra by Iman</v>
      </c>
      <c r="C14189" s="2" t="str">
        <f ca="1">IFERROR(__xludf.DUMMYFUNCTION("""COMPUTED_VALUE"""),"Building")</f>
        <v>Building</v>
      </c>
      <c r="D14189" s="2" t="str">
        <f ca="1">IFERROR(__xludf.DUMMYFUNCTION("""COMPUTED_VALUE"""),"Dubai&gt;Motor City&gt;Sierra by Iman")</f>
        <v>Dubai&gt;Motor City&gt;Sierra by Iman</v>
      </c>
      <c r="E14189" s="2"/>
      <c r="F14189" s="2"/>
      <c r="G14189" s="2"/>
      <c r="H14189" s="2"/>
      <c r="I14189" s="2"/>
      <c r="J14189" s="2"/>
      <c r="K14189" s="2"/>
      <c r="L14189" s="2"/>
      <c r="M14189" s="2"/>
      <c r="N14189" s="2"/>
      <c r="O14189" s="2"/>
      <c r="P14189" s="2"/>
      <c r="Q14189" s="2"/>
      <c r="R14189" s="2"/>
      <c r="S14189" s="2"/>
      <c r="T14189" s="2"/>
      <c r="U14189" s="2"/>
      <c r="V14189" s="2"/>
      <c r="W14189" s="2"/>
      <c r="X14189" s="2"/>
      <c r="Y14189" s="2"/>
      <c r="Z14189" s="2"/>
    </row>
    <row r="14190" spans="1:26" ht="16.5" x14ac:dyDescent="0.35">
      <c r="A14190" s="2" t="str">
        <f ca="1">IFERROR(__xludf.DUMMYFUNCTION("""COMPUTED_VALUE"""),"Dubai")</f>
        <v>Dubai</v>
      </c>
      <c r="B14190" s="2" t="str">
        <f ca="1">IFERROR(__xludf.DUMMYFUNCTION("""COMPUTED_VALUE"""),"Lavender Gardens Suites")</f>
        <v>Lavender Gardens Suites</v>
      </c>
      <c r="C14190" s="2" t="str">
        <f ca="1">IFERROR(__xludf.DUMMYFUNCTION("""COMPUTED_VALUE"""),"Building")</f>
        <v>Building</v>
      </c>
      <c r="D14190" s="2" t="str">
        <f ca="1">IFERROR(__xludf.DUMMYFUNCTION("""COMPUTED_VALUE"""),"Dubai&gt;Al Sufouh&gt;Al Sufouh 1&gt;Lavender Gardens Suites")</f>
        <v>Dubai&gt;Al Sufouh&gt;Al Sufouh 1&gt;Lavender Gardens Suites</v>
      </c>
      <c r="E14190" s="2"/>
      <c r="F14190" s="2"/>
      <c r="G14190" s="2"/>
      <c r="H14190" s="2"/>
      <c r="I14190" s="2"/>
      <c r="J14190" s="2"/>
      <c r="K14190" s="2"/>
      <c r="L14190" s="2"/>
      <c r="M14190" s="2"/>
      <c r="N14190" s="2"/>
      <c r="O14190" s="2"/>
      <c r="P14190" s="2"/>
      <c r="Q14190" s="2"/>
      <c r="R14190" s="2"/>
      <c r="S14190" s="2"/>
      <c r="T14190" s="2"/>
      <c r="U14190" s="2"/>
      <c r="V14190" s="2"/>
      <c r="W14190" s="2"/>
      <c r="X14190" s="2"/>
      <c r="Y14190" s="2"/>
      <c r="Z14190" s="2"/>
    </row>
    <row r="14191" spans="1:26" ht="16.5" x14ac:dyDescent="0.35">
      <c r="A14191" s="2" t="str">
        <f ca="1">IFERROR(__xludf.DUMMYFUNCTION("""COMPUTED_VALUE"""),"Dubai")</f>
        <v>Dubai</v>
      </c>
      <c r="B14191" s="2" t="str">
        <f ca="1">IFERROR(__xludf.DUMMYFUNCTION("""COMPUTED_VALUE"""),"Boutique Office 4")</f>
        <v>Boutique Office 4</v>
      </c>
      <c r="C14191" s="2" t="str">
        <f ca="1">IFERROR(__xludf.DUMMYFUNCTION("""COMPUTED_VALUE"""),"Building")</f>
        <v>Building</v>
      </c>
      <c r="D14191" s="2" t="str">
        <f ca="1">IFERROR(__xludf.DUMMYFUNCTION("""COMPUTED_VALUE"""),"Dubai&gt;Al Sufouh&gt;Al Sufouh 2&gt;Boutique Offices&gt;Boutique Office 4")</f>
        <v>Dubai&gt;Al Sufouh&gt;Al Sufouh 2&gt;Boutique Offices&gt;Boutique Office 4</v>
      </c>
      <c r="E14191" s="2"/>
      <c r="F14191" s="2"/>
      <c r="G14191" s="2"/>
      <c r="H14191" s="2"/>
      <c r="I14191" s="2"/>
      <c r="J14191" s="2"/>
      <c r="K14191" s="2"/>
      <c r="L14191" s="2"/>
      <c r="M14191" s="2"/>
      <c r="N14191" s="2"/>
      <c r="O14191" s="2"/>
      <c r="P14191" s="2"/>
      <c r="Q14191" s="2"/>
      <c r="R14191" s="2"/>
      <c r="S14191" s="2"/>
      <c r="T14191" s="2"/>
      <c r="U14191" s="2"/>
      <c r="V14191" s="2"/>
      <c r="W14191" s="2"/>
      <c r="X14191" s="2"/>
      <c r="Y14191" s="2"/>
      <c r="Z14191" s="2"/>
    </row>
    <row r="14192" spans="1:26" ht="16.5" x14ac:dyDescent="0.35">
      <c r="A14192" s="2" t="str">
        <f ca="1">IFERROR(__xludf.DUMMYFUNCTION("""COMPUTED_VALUE"""),"Dubai")</f>
        <v>Dubai</v>
      </c>
      <c r="B14192" s="2" t="str">
        <f ca="1">IFERROR(__xludf.DUMMYFUNCTION("""COMPUTED_VALUE"""),"Al Badia Condo 3")</f>
        <v>Al Badia Condo 3</v>
      </c>
      <c r="C14192" s="2" t="str">
        <f ca="1">IFERROR(__xludf.DUMMYFUNCTION("""COMPUTED_VALUE"""),"Building")</f>
        <v>Building</v>
      </c>
      <c r="D14192" s="2" t="str">
        <f ca="1">IFERROR(__xludf.DUMMYFUNCTION("""COMPUTED_VALUE"""),"Dubai&gt;Dubai Festival City&gt;Al Badia Hillside Village&gt;Al Badia Condo 3")</f>
        <v>Dubai&gt;Dubai Festival City&gt;Al Badia Hillside Village&gt;Al Badia Condo 3</v>
      </c>
      <c r="E14192" s="2"/>
      <c r="F14192" s="2"/>
      <c r="G14192" s="2"/>
      <c r="H14192" s="2"/>
      <c r="I14192" s="2"/>
      <c r="J14192" s="2"/>
      <c r="K14192" s="2"/>
      <c r="L14192" s="2"/>
      <c r="M14192" s="2"/>
      <c r="N14192" s="2"/>
      <c r="O14192" s="2"/>
      <c r="P14192" s="2"/>
      <c r="Q14192" s="2"/>
      <c r="R14192" s="2"/>
      <c r="S14192" s="2"/>
      <c r="T14192" s="2"/>
      <c r="U14192" s="2"/>
      <c r="V14192" s="2"/>
      <c r="W14192" s="2"/>
      <c r="X14192" s="2"/>
      <c r="Y14192" s="2"/>
      <c r="Z14192" s="2"/>
    </row>
    <row r="14193" spans="1:26" ht="16.5" x14ac:dyDescent="0.35">
      <c r="A14193" s="2" t="str">
        <f ca="1">IFERROR(__xludf.DUMMYFUNCTION("""COMPUTED_VALUE"""),"Dubai")</f>
        <v>Dubai</v>
      </c>
      <c r="B14193" s="2" t="str">
        <f ca="1">IFERROR(__xludf.DUMMYFUNCTION("""COMPUTED_VALUE"""),"Golf Vista 2")</f>
        <v>Golf Vista 2</v>
      </c>
      <c r="C14193" s="2" t="str">
        <f ca="1">IFERROR(__xludf.DUMMYFUNCTION("""COMPUTED_VALUE"""),"Building")</f>
        <v>Building</v>
      </c>
      <c r="D14193" s="2" t="str">
        <f ca="1">IFERROR(__xludf.DUMMYFUNCTION("""COMPUTED_VALUE"""),"Dubai&gt;DAMAC Hills&gt;Golf Town&gt;Golf Vista&gt;Golf Vista 2")</f>
        <v>Dubai&gt;DAMAC Hills&gt;Golf Town&gt;Golf Vista&gt;Golf Vista 2</v>
      </c>
      <c r="E14193" s="2"/>
      <c r="F14193" s="2"/>
      <c r="G14193" s="2"/>
      <c r="H14193" s="2"/>
      <c r="I14193" s="2"/>
      <c r="J14193" s="2"/>
      <c r="K14193" s="2"/>
      <c r="L14193" s="2"/>
      <c r="M14193" s="2"/>
      <c r="N14193" s="2"/>
      <c r="O14193" s="2"/>
      <c r="P14193" s="2"/>
      <c r="Q14193" s="2"/>
      <c r="R14193" s="2"/>
      <c r="S14193" s="2"/>
      <c r="T14193" s="2"/>
      <c r="U14193" s="2"/>
      <c r="V14193" s="2"/>
      <c r="W14193" s="2"/>
      <c r="X14193" s="2"/>
      <c r="Y14193" s="2"/>
      <c r="Z14193" s="2"/>
    </row>
    <row r="14194" spans="1:26" ht="16.5" x14ac:dyDescent="0.35">
      <c r="A14194" s="2" t="str">
        <f ca="1">IFERROR(__xludf.DUMMYFUNCTION("""COMPUTED_VALUE"""),"Dubai")</f>
        <v>Dubai</v>
      </c>
      <c r="B14194" s="2" t="str">
        <f ca="1">IFERROR(__xludf.DUMMYFUNCTION("""COMPUTED_VALUE"""),"The Field")</f>
        <v>The Field</v>
      </c>
      <c r="C14194" s="2" t="str">
        <f ca="1">IFERROR(__xludf.DUMMYFUNCTION("""COMPUTED_VALUE"""),"Neighbourhood")</f>
        <v>Neighbourhood</v>
      </c>
      <c r="D14194" s="2" t="str">
        <f ca="1">IFERROR(__xludf.DUMMYFUNCTION("""COMPUTED_VALUE"""),"Dubai&gt;DAMAC Hills&gt;The Park Villas&gt;The Field")</f>
        <v>Dubai&gt;DAMAC Hills&gt;The Park Villas&gt;The Field</v>
      </c>
      <c r="E14194" s="2"/>
      <c r="F14194" s="2"/>
      <c r="G14194" s="2"/>
      <c r="H14194" s="2"/>
      <c r="I14194" s="2"/>
      <c r="J14194" s="2"/>
      <c r="K14194" s="2"/>
      <c r="L14194" s="2"/>
      <c r="M14194" s="2"/>
      <c r="N14194" s="2"/>
      <c r="O14194" s="2"/>
      <c r="P14194" s="2"/>
      <c r="Q14194" s="2"/>
      <c r="R14194" s="2"/>
      <c r="S14194" s="2"/>
      <c r="T14194" s="2"/>
      <c r="U14194" s="2"/>
      <c r="V14194" s="2"/>
      <c r="W14194" s="2"/>
      <c r="X14194" s="2"/>
      <c r="Y14194" s="2"/>
      <c r="Z14194" s="2"/>
    </row>
    <row r="14195" spans="1:26" ht="16.5" x14ac:dyDescent="0.35">
      <c r="A14195" s="2" t="str">
        <f ca="1">IFERROR(__xludf.DUMMYFUNCTION("""COMPUTED_VALUE"""),"Dubai")</f>
        <v>Dubai</v>
      </c>
      <c r="B14195" s="2" t="str">
        <f ca="1">IFERROR(__xludf.DUMMYFUNCTION("""COMPUTED_VALUE"""),"DAMAC Villas by Paramount Hotels and Resorts")</f>
        <v>DAMAC Villas by Paramount Hotels and Resorts</v>
      </c>
      <c r="C14195" s="2" t="str">
        <f ca="1">IFERROR(__xludf.DUMMYFUNCTION("""COMPUTED_VALUE"""),"Neighbourhood")</f>
        <v>Neighbourhood</v>
      </c>
      <c r="D14195" s="2" t="str">
        <f ca="1">IFERROR(__xludf.DUMMYFUNCTION("""COMPUTED_VALUE"""),"Dubai&gt;DAMAC Hills&gt;DAMAC Villas by Paramount Hotels and Resorts")</f>
        <v>Dubai&gt;DAMAC Hills&gt;DAMAC Villas by Paramount Hotels and Resorts</v>
      </c>
      <c r="E14195" s="2"/>
      <c r="F14195" s="2"/>
      <c r="G14195" s="2"/>
      <c r="H14195" s="2"/>
      <c r="I14195" s="2"/>
      <c r="J14195" s="2"/>
      <c r="K14195" s="2"/>
      <c r="L14195" s="2"/>
      <c r="M14195" s="2"/>
      <c r="N14195" s="2"/>
      <c r="O14195" s="2"/>
      <c r="P14195" s="2"/>
      <c r="Q14195" s="2"/>
      <c r="R14195" s="2"/>
      <c r="S14195" s="2"/>
      <c r="T14195" s="2"/>
      <c r="U14195" s="2"/>
      <c r="V14195" s="2"/>
      <c r="W14195" s="2"/>
      <c r="X14195" s="2"/>
      <c r="Y14195" s="2"/>
      <c r="Z14195" s="2"/>
    </row>
    <row r="14196" spans="1:26" ht="16.5" x14ac:dyDescent="0.35">
      <c r="A14196" s="2" t="str">
        <f ca="1">IFERROR(__xludf.DUMMYFUNCTION("""COMPUTED_VALUE"""),"Dubai")</f>
        <v>Dubai</v>
      </c>
      <c r="B14196" s="2" t="str">
        <f ca="1">IFERROR(__xludf.DUMMYFUNCTION("""COMPUTED_VALUE"""),"DAMAC District Tower C")</f>
        <v>DAMAC District Tower C</v>
      </c>
      <c r="C14196" s="2" t="str">
        <f ca="1">IFERROR(__xludf.DUMMYFUNCTION("""COMPUTED_VALUE"""),"Building")</f>
        <v>Building</v>
      </c>
      <c r="D14196" s="2" t="str">
        <f ca="1">IFERROR(__xludf.DUMMYFUNCTION("""COMPUTED_VALUE"""),"Dubai&gt;DAMAC Hills&gt;DAMAC District&gt;DAMAC District Tower C")</f>
        <v>Dubai&gt;DAMAC Hills&gt;DAMAC District&gt;DAMAC District Tower C</v>
      </c>
      <c r="E14196" s="2"/>
      <c r="F14196" s="2"/>
      <c r="G14196" s="2"/>
      <c r="H14196" s="2"/>
      <c r="I14196" s="2"/>
      <c r="J14196" s="2"/>
      <c r="K14196" s="2"/>
      <c r="L14196" s="2"/>
      <c r="M14196" s="2"/>
      <c r="N14196" s="2"/>
      <c r="O14196" s="2"/>
      <c r="P14196" s="2"/>
      <c r="Q14196" s="2"/>
      <c r="R14196" s="2"/>
      <c r="S14196" s="2"/>
      <c r="T14196" s="2"/>
      <c r="U14196" s="2"/>
      <c r="V14196" s="2"/>
      <c r="W14196" s="2"/>
      <c r="X14196" s="2"/>
      <c r="Y14196" s="2"/>
      <c r="Z14196" s="2"/>
    </row>
    <row r="14197" spans="1:26" ht="16.5" x14ac:dyDescent="0.35">
      <c r="A14197" s="2" t="str">
        <f ca="1">IFERROR(__xludf.DUMMYFUNCTION("""COMPUTED_VALUE"""),"Dubai")</f>
        <v>Dubai</v>
      </c>
      <c r="B14197" s="2" t="str">
        <f ca="1">IFERROR(__xludf.DUMMYFUNCTION("""COMPUTED_VALUE"""),"Ibis Styles Hotel")</f>
        <v>Ibis Styles Hotel</v>
      </c>
      <c r="C14197" s="2" t="str">
        <f ca="1">IFERROR(__xludf.DUMMYFUNCTION("""COMPUTED_VALUE"""),"Building")</f>
        <v>Building</v>
      </c>
      <c r="D14197" s="2" t="str">
        <f ca="1">IFERROR(__xludf.DUMMYFUNCTION("""COMPUTED_VALUE"""),"Dubai&gt;Al Mina&gt;Ibis Styles Hotel")</f>
        <v>Dubai&gt;Al Mina&gt;Ibis Styles Hotel</v>
      </c>
      <c r="E14197" s="2"/>
      <c r="F14197" s="2"/>
      <c r="G14197" s="2"/>
      <c r="H14197" s="2"/>
      <c r="I14197" s="2"/>
      <c r="J14197" s="2"/>
      <c r="K14197" s="2"/>
      <c r="L14197" s="2"/>
      <c r="M14197" s="2"/>
      <c r="N14197" s="2"/>
      <c r="O14197" s="2"/>
      <c r="P14197" s="2"/>
      <c r="Q14197" s="2"/>
      <c r="R14197" s="2"/>
      <c r="S14197" s="2"/>
      <c r="T14197" s="2"/>
      <c r="U14197" s="2"/>
      <c r="V14197" s="2"/>
      <c r="W14197" s="2"/>
      <c r="X14197" s="2"/>
      <c r="Y14197" s="2"/>
      <c r="Z14197" s="2"/>
    </row>
    <row r="14198" spans="1:26" ht="16.5" x14ac:dyDescent="0.35">
      <c r="A14198" s="2" t="str">
        <f ca="1">IFERROR(__xludf.DUMMYFUNCTION("""COMPUTED_VALUE"""),"Dubai")</f>
        <v>Dubai</v>
      </c>
      <c r="B14198" s="2" t="str">
        <f ca="1">IFERROR(__xludf.DUMMYFUNCTION("""COMPUTED_VALUE"""),"Chelsea Residences by DAMAC Tower 1")</f>
        <v>Chelsea Residences by DAMAC Tower 1</v>
      </c>
      <c r="C14198" s="2" t="str">
        <f ca="1">IFERROR(__xludf.DUMMYFUNCTION("""COMPUTED_VALUE"""),"Building")</f>
        <v>Building</v>
      </c>
      <c r="D14198" s="2" t="str">
        <f ca="1">IFERROR(__xludf.DUMMYFUNCTION("""COMPUTED_VALUE"""),"Dubai&gt;Dubai Maritime City&gt;Chelsea Residences by DAMAC&gt;Chelsea Residences by DAMAC Tower 1")</f>
        <v>Dubai&gt;Dubai Maritime City&gt;Chelsea Residences by DAMAC&gt;Chelsea Residences by DAMAC Tower 1</v>
      </c>
      <c r="E14198" s="2"/>
      <c r="F14198" s="2"/>
      <c r="G14198" s="2"/>
      <c r="H14198" s="2"/>
      <c r="I14198" s="2"/>
      <c r="J14198" s="2"/>
      <c r="K14198" s="2"/>
      <c r="L14198" s="2"/>
      <c r="M14198" s="2"/>
      <c r="N14198" s="2"/>
      <c r="O14198" s="2"/>
      <c r="P14198" s="2"/>
      <c r="Q14198" s="2"/>
      <c r="R14198" s="2"/>
      <c r="S14198" s="2"/>
      <c r="T14198" s="2"/>
      <c r="U14198" s="2"/>
      <c r="V14198" s="2"/>
      <c r="W14198" s="2"/>
      <c r="X14198" s="2"/>
      <c r="Y14198" s="2"/>
      <c r="Z14198" s="2"/>
    </row>
    <row r="14199" spans="1:26" ht="16.5" x14ac:dyDescent="0.35">
      <c r="A14199" s="2" t="str">
        <f ca="1">IFERROR(__xludf.DUMMYFUNCTION("""COMPUTED_VALUE"""),"Dubai")</f>
        <v>Dubai</v>
      </c>
      <c r="B14199" s="2" t="str">
        <f ca="1">IFERROR(__xludf.DUMMYFUNCTION("""COMPUTED_VALUE"""),"Golf Tower 3")</f>
        <v>Golf Tower 3</v>
      </c>
      <c r="C14199" s="2" t="str">
        <f ca="1">IFERROR(__xludf.DUMMYFUNCTION("""COMPUTED_VALUE"""),"Building")</f>
        <v>Building</v>
      </c>
      <c r="D14199" s="2" t="str">
        <f ca="1">IFERROR(__xludf.DUMMYFUNCTION("""COMPUTED_VALUE"""),"Dubai&gt;The Views&gt;Golf Tower&gt;Golf Tower 3")</f>
        <v>Dubai&gt;The Views&gt;Golf Tower&gt;Golf Tower 3</v>
      </c>
      <c r="E14199" s="2"/>
      <c r="F14199" s="2"/>
      <c r="G14199" s="2"/>
      <c r="H14199" s="2"/>
      <c r="I14199" s="2"/>
      <c r="J14199" s="2"/>
      <c r="K14199" s="2"/>
      <c r="L14199" s="2"/>
      <c r="M14199" s="2"/>
      <c r="N14199" s="2"/>
      <c r="O14199" s="2"/>
      <c r="P14199" s="2"/>
      <c r="Q14199" s="2"/>
      <c r="R14199" s="2"/>
      <c r="S14199" s="2"/>
      <c r="T14199" s="2"/>
      <c r="U14199" s="2"/>
      <c r="V14199" s="2"/>
      <c r="W14199" s="2"/>
      <c r="X14199" s="2"/>
      <c r="Y14199" s="2"/>
      <c r="Z14199" s="2"/>
    </row>
    <row r="14200" spans="1:26" ht="16.5" x14ac:dyDescent="0.35">
      <c r="A14200" s="2" t="str">
        <f ca="1">IFERROR(__xludf.DUMMYFUNCTION("""COMPUTED_VALUE"""),"Dubai")</f>
        <v>Dubai</v>
      </c>
      <c r="B14200" s="2" t="str">
        <f ca="1">IFERROR(__xludf.DUMMYFUNCTION("""COMPUTED_VALUE"""),"GEMS Our Own Indian School")</f>
        <v>GEMS Our Own Indian School</v>
      </c>
      <c r="C14200" s="2" t="str">
        <f ca="1">IFERROR(__xludf.DUMMYFUNCTION("""COMPUTED_VALUE"""),"School")</f>
        <v>School</v>
      </c>
      <c r="D14200" s="2" t="str">
        <f ca="1">IFERROR(__xludf.DUMMYFUNCTION("""COMPUTED_VALUE"""),"Dubai&gt;Al Quoz&gt;Al Quoz 1&gt;GEMS Our Own Indian School")</f>
        <v>Dubai&gt;Al Quoz&gt;Al Quoz 1&gt;GEMS Our Own Indian School</v>
      </c>
      <c r="E14200" s="2"/>
      <c r="F14200" s="2"/>
      <c r="G14200" s="2"/>
      <c r="H14200" s="2"/>
      <c r="I14200" s="2"/>
      <c r="J14200" s="2"/>
      <c r="K14200" s="2"/>
      <c r="L14200" s="2"/>
      <c r="M14200" s="2"/>
      <c r="N14200" s="2"/>
      <c r="O14200" s="2"/>
      <c r="P14200" s="2"/>
      <c r="Q14200" s="2"/>
      <c r="R14200" s="2"/>
      <c r="S14200" s="2"/>
      <c r="T14200" s="2"/>
      <c r="U14200" s="2"/>
      <c r="V14200" s="2"/>
      <c r="W14200" s="2"/>
      <c r="X14200" s="2"/>
      <c r="Y14200" s="2"/>
      <c r="Z14200" s="2"/>
    </row>
    <row r="14201" spans="1:26" ht="16.5" x14ac:dyDescent="0.35">
      <c r="A14201" s="2" t="str">
        <f ca="1">IFERROR(__xludf.DUMMYFUNCTION("""COMPUTED_VALUE"""),"Dubai")</f>
        <v>Dubai</v>
      </c>
      <c r="B14201" s="2" t="str">
        <f ca="1">IFERROR(__xludf.DUMMYFUNCTION("""COMPUTED_VALUE"""),"Al Quoz Industrial Area 1")</f>
        <v>Al Quoz Industrial Area 1</v>
      </c>
      <c r="C14201" s="2" t="str">
        <f ca="1">IFERROR(__xludf.DUMMYFUNCTION("""COMPUTED_VALUE"""),"Neighbourhood")</f>
        <v>Neighbourhood</v>
      </c>
      <c r="D14201" s="2" t="str">
        <f ca="1">IFERROR(__xludf.DUMMYFUNCTION("""COMPUTED_VALUE"""),"Dubai&gt;Al Quoz&gt;Al Quoz Industrial Area&gt;Al Quoz Industrial Area 1")</f>
        <v>Dubai&gt;Al Quoz&gt;Al Quoz Industrial Area&gt;Al Quoz Industrial Area 1</v>
      </c>
      <c r="E14201" s="2"/>
      <c r="F14201" s="2"/>
      <c r="G14201" s="2"/>
      <c r="H14201" s="2"/>
      <c r="I14201" s="2"/>
      <c r="J14201" s="2"/>
      <c r="K14201" s="2"/>
      <c r="L14201" s="2"/>
      <c r="M14201" s="2"/>
      <c r="N14201" s="2"/>
      <c r="O14201" s="2"/>
      <c r="P14201" s="2"/>
      <c r="Q14201" s="2"/>
      <c r="R14201" s="2"/>
      <c r="S14201" s="2"/>
      <c r="T14201" s="2"/>
      <c r="U14201" s="2"/>
      <c r="V14201" s="2"/>
      <c r="W14201" s="2"/>
      <c r="X14201" s="2"/>
      <c r="Y14201" s="2"/>
      <c r="Z14201" s="2"/>
    </row>
    <row r="14202" spans="1:26" ht="16.5" x14ac:dyDescent="0.35">
      <c r="A14202" s="2" t="str">
        <f ca="1">IFERROR(__xludf.DUMMYFUNCTION("""COMPUTED_VALUE"""),"Dubai")</f>
        <v>Dubai</v>
      </c>
      <c r="B14202" s="2" t="str">
        <f ca="1">IFERROR(__xludf.DUMMYFUNCTION("""COMPUTED_VALUE"""),"Al Khail Heights Building 4A")</f>
        <v>Al Khail Heights Building 4A</v>
      </c>
      <c r="C14202" s="2" t="str">
        <f ca="1">IFERROR(__xludf.DUMMYFUNCTION("""COMPUTED_VALUE"""),"Building")</f>
        <v>Building</v>
      </c>
      <c r="D14202" s="2" t="str">
        <f ca="1">IFERROR(__xludf.DUMMYFUNCTION("""COMPUTED_VALUE"""),"Dubai&gt;Al Quoz&gt;Al Quoz 4&gt;Al Khail Heights&gt;Al Khail Heights Building 4A")</f>
        <v>Dubai&gt;Al Quoz&gt;Al Quoz 4&gt;Al Khail Heights&gt;Al Khail Heights Building 4A</v>
      </c>
      <c r="E14202" s="2"/>
      <c r="F14202" s="2"/>
      <c r="G14202" s="2"/>
      <c r="H14202" s="2"/>
      <c r="I14202" s="2"/>
      <c r="J14202" s="2"/>
      <c r="K14202" s="2"/>
      <c r="L14202" s="2"/>
      <c r="M14202" s="2"/>
      <c r="N14202" s="2"/>
      <c r="O14202" s="2"/>
      <c r="P14202" s="2"/>
      <c r="Q14202" s="2"/>
      <c r="R14202" s="2"/>
      <c r="S14202" s="2"/>
      <c r="T14202" s="2"/>
      <c r="U14202" s="2"/>
      <c r="V14202" s="2"/>
      <c r="W14202" s="2"/>
      <c r="X14202" s="2"/>
      <c r="Y14202" s="2"/>
      <c r="Z14202" s="2"/>
    </row>
    <row r="14203" spans="1:26" ht="16.5" x14ac:dyDescent="0.35">
      <c r="A14203" s="2" t="str">
        <f ca="1">IFERROR(__xludf.DUMMYFUNCTION("""COMPUTED_VALUE"""),"Dubai")</f>
        <v>Dubai</v>
      </c>
      <c r="B14203" s="2" t="str">
        <f ca="1">IFERROR(__xludf.DUMMYFUNCTION("""COMPUTED_VALUE"""),"Silicon Heights 1")</f>
        <v>Silicon Heights 1</v>
      </c>
      <c r="C14203" s="2" t="str">
        <f ca="1">IFERROR(__xludf.DUMMYFUNCTION("""COMPUTED_VALUE"""),"Building")</f>
        <v>Building</v>
      </c>
      <c r="D14203" s="2" t="str">
        <f ca="1">IFERROR(__xludf.DUMMYFUNCTION("""COMPUTED_VALUE"""),"Dubai&gt;Dubai Silicon Oasis (DSO)&gt;Silicon Heights&gt;Silicon Heights 1")</f>
        <v>Dubai&gt;Dubai Silicon Oasis (DSO)&gt;Silicon Heights&gt;Silicon Heights 1</v>
      </c>
      <c r="E14203" s="2"/>
      <c r="F14203" s="2"/>
      <c r="G14203" s="2"/>
      <c r="H14203" s="2"/>
      <c r="I14203" s="2"/>
      <c r="J14203" s="2"/>
      <c r="K14203" s="2"/>
      <c r="L14203" s="2"/>
      <c r="M14203" s="2"/>
      <c r="N14203" s="2"/>
      <c r="O14203" s="2"/>
      <c r="P14203" s="2"/>
      <c r="Q14203" s="2"/>
      <c r="R14203" s="2"/>
      <c r="S14203" s="2"/>
      <c r="T14203" s="2"/>
      <c r="U14203" s="2"/>
      <c r="V14203" s="2"/>
      <c r="W14203" s="2"/>
      <c r="X14203" s="2"/>
      <c r="Y14203" s="2"/>
      <c r="Z14203" s="2"/>
    </row>
    <row r="14204" spans="1:26" ht="16.5" x14ac:dyDescent="0.35">
      <c r="A14204" s="2" t="str">
        <f ca="1">IFERROR(__xludf.DUMMYFUNCTION("""COMPUTED_VALUE"""),"Dubai")</f>
        <v>Dubai</v>
      </c>
      <c r="B14204" s="2" t="str">
        <f ca="1">IFERROR(__xludf.DUMMYFUNCTION("""COMPUTED_VALUE"""),"Al Jawhara building")</f>
        <v>Al Jawhara building</v>
      </c>
      <c r="C14204" s="2" t="str">
        <f ca="1">IFERROR(__xludf.DUMMYFUNCTION("""COMPUTED_VALUE"""),"Building")</f>
        <v>Building</v>
      </c>
      <c r="D14204" s="2" t="str">
        <f ca="1">IFERROR(__xludf.DUMMYFUNCTION("""COMPUTED_VALUE"""),"Dubai&gt;Dubai Silicon Oasis (DSO)&gt;Al Jawhara building")</f>
        <v>Dubai&gt;Dubai Silicon Oasis (DSO)&gt;Al Jawhara building</v>
      </c>
      <c r="E14204" s="2"/>
      <c r="F14204" s="2"/>
      <c r="G14204" s="2"/>
      <c r="H14204" s="2"/>
      <c r="I14204" s="2"/>
      <c r="J14204" s="2"/>
      <c r="K14204" s="2"/>
      <c r="L14204" s="2"/>
      <c r="M14204" s="2"/>
      <c r="N14204" s="2"/>
      <c r="O14204" s="2"/>
      <c r="P14204" s="2"/>
      <c r="Q14204" s="2"/>
      <c r="R14204" s="2"/>
      <c r="S14204" s="2"/>
      <c r="T14204" s="2"/>
      <c r="U14204" s="2"/>
      <c r="V14204" s="2"/>
      <c r="W14204" s="2"/>
      <c r="X14204" s="2"/>
      <c r="Y14204" s="2"/>
      <c r="Z14204" s="2"/>
    </row>
    <row r="14205" spans="1:26" ht="16.5" x14ac:dyDescent="0.35">
      <c r="A14205" s="2" t="str">
        <f ca="1">IFERROR(__xludf.DUMMYFUNCTION("""COMPUTED_VALUE"""),"Dubai")</f>
        <v>Dubai</v>
      </c>
      <c r="B14205" s="2" t="str">
        <f ca="1">IFERROR(__xludf.DUMMYFUNCTION("""COMPUTED_VALUE"""),"Polo Building")</f>
        <v>Polo Building</v>
      </c>
      <c r="C14205" s="2" t="str">
        <f ca="1">IFERROR(__xludf.DUMMYFUNCTION("""COMPUTED_VALUE"""),"Building")</f>
        <v>Building</v>
      </c>
      <c r="D14205" s="2" t="str">
        <f ca="1">IFERROR(__xludf.DUMMYFUNCTION("""COMPUTED_VALUE"""),"Dubai&gt;Dubai Silicon Oasis (DSO)&gt;Polo Building")</f>
        <v>Dubai&gt;Dubai Silicon Oasis (DSO)&gt;Polo Building</v>
      </c>
      <c r="E14205" s="2"/>
      <c r="F14205" s="2"/>
      <c r="G14205" s="2"/>
      <c r="H14205" s="2"/>
      <c r="I14205" s="2"/>
      <c r="J14205" s="2"/>
      <c r="K14205" s="2"/>
      <c r="L14205" s="2"/>
      <c r="M14205" s="2"/>
      <c r="N14205" s="2"/>
      <c r="O14205" s="2"/>
      <c r="P14205" s="2"/>
      <c r="Q14205" s="2"/>
      <c r="R14205" s="2"/>
      <c r="S14205" s="2"/>
      <c r="T14205" s="2"/>
      <c r="U14205" s="2"/>
      <c r="V14205" s="2"/>
      <c r="W14205" s="2"/>
      <c r="X14205" s="2"/>
      <c r="Y14205" s="2"/>
      <c r="Z14205" s="2"/>
    </row>
    <row r="14206" spans="1:26" ht="16.5" x14ac:dyDescent="0.35">
      <c r="A14206" s="2" t="str">
        <f ca="1">IFERROR(__xludf.DUMMYFUNCTION("""COMPUTED_VALUE"""),"Dubai")</f>
        <v>Dubai</v>
      </c>
      <c r="B14206" s="2" t="str">
        <f ca="1">IFERROR(__xludf.DUMMYFUNCTION("""COMPUTED_VALUE"""),"Al Thuraya Building")</f>
        <v>Al Thuraya Building</v>
      </c>
      <c r="C14206" s="2" t="str">
        <f ca="1">IFERROR(__xludf.DUMMYFUNCTION("""COMPUTED_VALUE"""),"Building")</f>
        <v>Building</v>
      </c>
      <c r="D14206" s="2" t="str">
        <f ca="1">IFERROR(__xludf.DUMMYFUNCTION("""COMPUTED_VALUE"""),"Dubai&gt;Dubai Silicon Oasis (DSO)&gt;Al Thuraya Building")</f>
        <v>Dubai&gt;Dubai Silicon Oasis (DSO)&gt;Al Thuraya Building</v>
      </c>
      <c r="E14206" s="2"/>
      <c r="F14206" s="2"/>
      <c r="G14206" s="2"/>
      <c r="H14206" s="2"/>
      <c r="I14206" s="2"/>
      <c r="J14206" s="2"/>
      <c r="K14206" s="2"/>
      <c r="L14206" s="2"/>
      <c r="M14206" s="2"/>
      <c r="N14206" s="2"/>
      <c r="O14206" s="2"/>
      <c r="P14206" s="2"/>
      <c r="Q14206" s="2"/>
      <c r="R14206" s="2"/>
      <c r="S14206" s="2"/>
      <c r="T14206" s="2"/>
      <c r="U14206" s="2"/>
      <c r="V14206" s="2"/>
      <c r="W14206" s="2"/>
      <c r="X14206" s="2"/>
      <c r="Y14206" s="2"/>
      <c r="Z14206" s="2"/>
    </row>
    <row r="14207" spans="1:26" ht="16.5" x14ac:dyDescent="0.35">
      <c r="A14207" s="2" t="str">
        <f ca="1">IFERROR(__xludf.DUMMYFUNCTION("""COMPUTED_VALUE"""),"Dubai")</f>
        <v>Dubai</v>
      </c>
      <c r="B14207" s="2" t="str">
        <f ca="1">IFERROR(__xludf.DUMMYFUNCTION("""COMPUTED_VALUE"""),"Palace Tower 2")</f>
        <v>Palace Tower 2</v>
      </c>
      <c r="C14207" s="2" t="str">
        <f ca="1">IFERROR(__xludf.DUMMYFUNCTION("""COMPUTED_VALUE"""),"Building")</f>
        <v>Building</v>
      </c>
      <c r="D14207" s="2" t="str">
        <f ca="1">IFERROR(__xludf.DUMMYFUNCTION("""COMPUTED_VALUE"""),"Dubai&gt;Dubai Silicon Oasis (DSO)&gt;Palace Towers&gt;Palace Tower 2")</f>
        <v>Dubai&gt;Dubai Silicon Oasis (DSO)&gt;Palace Towers&gt;Palace Tower 2</v>
      </c>
      <c r="E14207" s="2"/>
      <c r="F14207" s="2"/>
      <c r="G14207" s="2"/>
      <c r="H14207" s="2"/>
      <c r="I14207" s="2"/>
      <c r="J14207" s="2"/>
      <c r="K14207" s="2"/>
      <c r="L14207" s="2"/>
      <c r="M14207" s="2"/>
      <c r="N14207" s="2"/>
      <c r="O14207" s="2"/>
      <c r="P14207" s="2"/>
      <c r="Q14207" s="2"/>
      <c r="R14207" s="2"/>
      <c r="S14207" s="2"/>
      <c r="T14207" s="2"/>
      <c r="U14207" s="2"/>
      <c r="V14207" s="2"/>
      <c r="W14207" s="2"/>
      <c r="X14207" s="2"/>
      <c r="Y14207" s="2"/>
      <c r="Z14207" s="2"/>
    </row>
    <row r="14208" spans="1:26" ht="16.5" x14ac:dyDescent="0.35">
      <c r="A14208" s="2" t="str">
        <f ca="1">IFERROR(__xludf.DUMMYFUNCTION("""COMPUTED_VALUE"""),"Dubai")</f>
        <v>Dubai</v>
      </c>
      <c r="B14208" s="2" t="str">
        <f ca="1">IFERROR(__xludf.DUMMYFUNCTION("""COMPUTED_VALUE"""),"Al Liwan Building 2")</f>
        <v>Al Liwan Building 2</v>
      </c>
      <c r="C14208" s="2" t="str">
        <f ca="1">IFERROR(__xludf.DUMMYFUNCTION("""COMPUTED_VALUE"""),"Building")</f>
        <v>Building</v>
      </c>
      <c r="D14208" s="2" t="str">
        <f ca="1">IFERROR(__xludf.DUMMYFUNCTION("""COMPUTED_VALUE"""),"Dubai&gt;Dubai Silicon Oasis (DSO)&gt;Al Liwan Building 2")</f>
        <v>Dubai&gt;Dubai Silicon Oasis (DSO)&gt;Al Liwan Building 2</v>
      </c>
      <c r="E14208" s="2"/>
      <c r="F14208" s="2"/>
      <c r="G14208" s="2"/>
      <c r="H14208" s="2"/>
      <c r="I14208" s="2"/>
      <c r="J14208" s="2"/>
      <c r="K14208" s="2"/>
      <c r="L14208" s="2"/>
      <c r="M14208" s="2"/>
      <c r="N14208" s="2"/>
      <c r="O14208" s="2"/>
      <c r="P14208" s="2"/>
      <c r="Q14208" s="2"/>
      <c r="R14208" s="2"/>
      <c r="S14208" s="2"/>
      <c r="T14208" s="2"/>
      <c r="U14208" s="2"/>
      <c r="V14208" s="2"/>
      <c r="W14208" s="2"/>
      <c r="X14208" s="2"/>
      <c r="Y14208" s="2"/>
      <c r="Z14208" s="2"/>
    </row>
    <row r="14209" spans="1:26" ht="16.5" x14ac:dyDescent="0.35">
      <c r="A14209" s="2" t="str">
        <f ca="1">IFERROR(__xludf.DUMMYFUNCTION("""COMPUTED_VALUE"""),"Dubai")</f>
        <v>Dubai</v>
      </c>
      <c r="B14209" s="2" t="str">
        <f ca="1">IFERROR(__xludf.DUMMYFUNCTION("""COMPUTED_VALUE"""),"The Hillgate")</f>
        <v>The Hillgate</v>
      </c>
      <c r="C14209" s="2" t="str">
        <f ca="1">IFERROR(__xludf.DUMMYFUNCTION("""COMPUTED_VALUE"""),"Cluster")</f>
        <v>Cluster</v>
      </c>
      <c r="D14209" s="2" t="str">
        <f ca="1">IFERROR(__xludf.DUMMYFUNCTION("""COMPUTED_VALUE"""),"Dubai&gt;Dubai Silicon Oasis (DSO)&gt;The Hillgate")</f>
        <v>Dubai&gt;Dubai Silicon Oasis (DSO)&gt;The Hillgate</v>
      </c>
      <c r="E14209" s="2"/>
      <c r="F14209" s="2"/>
      <c r="G14209" s="2"/>
      <c r="H14209" s="2"/>
      <c r="I14209" s="2"/>
      <c r="J14209" s="2"/>
      <c r="K14209" s="2"/>
      <c r="L14209" s="2"/>
      <c r="M14209" s="2"/>
      <c r="N14209" s="2"/>
      <c r="O14209" s="2"/>
      <c r="P14209" s="2"/>
      <c r="Q14209" s="2"/>
      <c r="R14209" s="2"/>
      <c r="S14209" s="2"/>
      <c r="T14209" s="2"/>
      <c r="U14209" s="2"/>
      <c r="V14209" s="2"/>
      <c r="W14209" s="2"/>
      <c r="X14209" s="2"/>
      <c r="Y14209" s="2"/>
      <c r="Z14209" s="2"/>
    </row>
    <row r="14210" spans="1:26" ht="16.5" x14ac:dyDescent="0.35">
      <c r="A14210" s="2" t="str">
        <f ca="1">IFERROR(__xludf.DUMMYFUNCTION("""COMPUTED_VALUE"""),"Dubai")</f>
        <v>Dubai</v>
      </c>
      <c r="B14210" s="2" t="str">
        <f ca="1">IFERROR(__xludf.DUMMYFUNCTION("""COMPUTED_VALUE"""),"Ixora")</f>
        <v>Ixora</v>
      </c>
      <c r="C14210" s="2" t="str">
        <f ca="1">IFERROR(__xludf.DUMMYFUNCTION("""COMPUTED_VALUE"""),"Neighbourhood")</f>
        <v>Neighbourhood</v>
      </c>
      <c r="D14210" s="2" t="str">
        <f ca="1">IFERROR(__xludf.DUMMYFUNCTION("""COMPUTED_VALUE"""),"Dubai&gt;Al Barari&gt;Ixora")</f>
        <v>Dubai&gt;Al Barari&gt;Ixora</v>
      </c>
      <c r="E14210" s="2"/>
      <c r="F14210" s="2"/>
      <c r="G14210" s="2"/>
      <c r="H14210" s="2"/>
      <c r="I14210" s="2"/>
      <c r="J14210" s="2"/>
      <c r="K14210" s="2"/>
      <c r="L14210" s="2"/>
      <c r="M14210" s="2"/>
      <c r="N14210" s="2"/>
      <c r="O14210" s="2"/>
      <c r="P14210" s="2"/>
      <c r="Q14210" s="2"/>
      <c r="R14210" s="2"/>
      <c r="S14210" s="2"/>
      <c r="T14210" s="2"/>
      <c r="U14210" s="2"/>
      <c r="V14210" s="2"/>
      <c r="W14210" s="2"/>
      <c r="X14210" s="2"/>
      <c r="Y14210" s="2"/>
      <c r="Z14210" s="2"/>
    </row>
    <row r="14211" spans="1:26" ht="16.5" x14ac:dyDescent="0.35">
      <c r="A14211" s="2" t="str">
        <f ca="1">IFERROR(__xludf.DUMMYFUNCTION("""COMPUTED_VALUE"""),"Dubai")</f>
        <v>Dubai</v>
      </c>
      <c r="B14211" s="2" t="str">
        <f ca="1">IFERROR(__xludf.DUMMYFUNCTION("""COMPUTED_VALUE"""),"District 7")</f>
        <v>District 7</v>
      </c>
      <c r="C14211" s="2" t="str">
        <f ca="1">IFERROR(__xludf.DUMMYFUNCTION("""COMPUTED_VALUE"""),"Neighbourhood")</f>
        <v>Neighbourhood</v>
      </c>
      <c r="D14211" s="2" t="str">
        <f ca="1">IFERROR(__xludf.DUMMYFUNCTION("""COMPUTED_VALUE"""),"Dubai&gt;Mohammed Bin Rashid City&gt;District 7")</f>
        <v>Dubai&gt;Mohammed Bin Rashid City&gt;District 7</v>
      </c>
      <c r="E14211" s="2"/>
      <c r="F14211" s="2"/>
      <c r="G14211" s="2"/>
      <c r="H14211" s="2"/>
      <c r="I14211" s="2"/>
      <c r="J14211" s="2"/>
      <c r="K14211" s="2"/>
      <c r="L14211" s="2"/>
      <c r="M14211" s="2"/>
      <c r="N14211" s="2"/>
      <c r="O14211" s="2"/>
      <c r="P14211" s="2"/>
      <c r="Q14211" s="2"/>
      <c r="R14211" s="2"/>
      <c r="S14211" s="2"/>
      <c r="T14211" s="2"/>
      <c r="U14211" s="2"/>
      <c r="V14211" s="2"/>
      <c r="W14211" s="2"/>
      <c r="X14211" s="2"/>
      <c r="Y14211" s="2"/>
      <c r="Z14211" s="2"/>
    </row>
    <row r="14212" spans="1:26" ht="16.5" x14ac:dyDescent="0.35">
      <c r="A14212" s="2" t="str">
        <f ca="1">IFERROR(__xludf.DUMMYFUNCTION("""COMPUTED_VALUE"""),"Dubai")</f>
        <v>Dubai</v>
      </c>
      <c r="B14212" s="2" t="str">
        <f ca="1">IFERROR(__xludf.DUMMYFUNCTION("""COMPUTED_VALUE"""),"The Spark by Esnaad")</f>
        <v>The Spark by Esnaad</v>
      </c>
      <c r="C14212" s="2" t="str">
        <f ca="1">IFERROR(__xludf.DUMMYFUNCTION("""COMPUTED_VALUE"""),"Building")</f>
        <v>Building</v>
      </c>
      <c r="D14212" s="2" t="str">
        <f ca="1">IFERROR(__xludf.DUMMYFUNCTION("""COMPUTED_VALUE"""),"Dubai&gt;Mohammed Bin Rashid City&gt;District 11&gt;The Spark by Esnaad")</f>
        <v>Dubai&gt;Mohammed Bin Rashid City&gt;District 11&gt;The Spark by Esnaad</v>
      </c>
      <c r="E14212" s="2"/>
      <c r="F14212" s="2"/>
      <c r="G14212" s="2"/>
      <c r="H14212" s="2"/>
      <c r="I14212" s="2"/>
      <c r="J14212" s="2"/>
      <c r="K14212" s="2"/>
      <c r="L14212" s="2"/>
      <c r="M14212" s="2"/>
      <c r="N14212" s="2"/>
      <c r="O14212" s="2"/>
      <c r="P14212" s="2"/>
      <c r="Q14212" s="2"/>
      <c r="R14212" s="2"/>
      <c r="S14212" s="2"/>
      <c r="T14212" s="2"/>
      <c r="U14212" s="2"/>
      <c r="V14212" s="2"/>
      <c r="W14212" s="2"/>
      <c r="X14212" s="2"/>
      <c r="Y14212" s="2"/>
      <c r="Z14212" s="2"/>
    </row>
    <row r="14213" spans="1:26" ht="16.5" x14ac:dyDescent="0.35">
      <c r="A14213" s="2" t="str">
        <f ca="1">IFERROR(__xludf.DUMMYFUNCTION("""COMPUTED_VALUE"""),"Dubai")</f>
        <v>Dubai</v>
      </c>
      <c r="B14213" s="2" t="str">
        <f ca="1">IFERROR(__xludf.DUMMYFUNCTION("""COMPUTED_VALUE"""),"The Residences at District One")</f>
        <v>The Residences at District One</v>
      </c>
      <c r="C14213" s="2" t="str">
        <f ca="1">IFERROR(__xludf.DUMMYFUNCTION("""COMPUTED_VALUE"""),"Cluster")</f>
        <v>Cluster</v>
      </c>
      <c r="D14213" s="2" t="str">
        <f ca="1">IFERROR(__xludf.DUMMYFUNCTION("""COMPUTED_VALUE"""),"Dubai&gt;Mohammed Bin Rashid City&gt;District One&gt;The Residences at District One")</f>
        <v>Dubai&gt;Mohammed Bin Rashid City&gt;District One&gt;The Residences at District One</v>
      </c>
      <c r="E14213" s="2"/>
      <c r="F14213" s="2"/>
      <c r="G14213" s="2"/>
      <c r="H14213" s="2"/>
      <c r="I14213" s="2"/>
      <c r="J14213" s="2"/>
      <c r="K14213" s="2"/>
      <c r="L14213" s="2"/>
      <c r="M14213" s="2"/>
      <c r="N14213" s="2"/>
      <c r="O14213" s="2"/>
      <c r="P14213" s="2"/>
      <c r="Q14213" s="2"/>
      <c r="R14213" s="2"/>
      <c r="S14213" s="2"/>
      <c r="T14213" s="2"/>
      <c r="U14213" s="2"/>
      <c r="V14213" s="2"/>
      <c r="W14213" s="2"/>
      <c r="X14213" s="2"/>
      <c r="Y14213" s="2"/>
      <c r="Z14213" s="2"/>
    </row>
    <row r="14214" spans="1:26" ht="16.5" x14ac:dyDescent="0.35">
      <c r="A14214" s="2" t="str">
        <f ca="1">IFERROR(__xludf.DUMMYFUNCTION("""COMPUTED_VALUE"""),"Dubai")</f>
        <v>Dubai</v>
      </c>
      <c r="B14214" s="2" t="str">
        <f ca="1">IFERROR(__xludf.DUMMYFUNCTION("""COMPUTED_VALUE"""),"Lagoon Views")</f>
        <v>Lagoon Views</v>
      </c>
      <c r="C14214" s="2" t="str">
        <f ca="1">IFERROR(__xludf.DUMMYFUNCTION("""COMPUTED_VALUE"""),"Neighbourhood")</f>
        <v>Neighbourhood</v>
      </c>
      <c r="D14214" s="2" t="str">
        <f ca="1">IFERROR(__xludf.DUMMYFUNCTION("""COMPUTED_VALUE"""),"Dubai&gt;Mohammed Bin Rashid City&gt;District One&gt;Lagoon Views")</f>
        <v>Dubai&gt;Mohammed Bin Rashid City&gt;District One&gt;Lagoon Views</v>
      </c>
      <c r="E14214" s="2"/>
      <c r="F14214" s="2"/>
      <c r="G14214" s="2"/>
      <c r="H14214" s="2"/>
      <c r="I14214" s="2"/>
      <c r="J14214" s="2"/>
      <c r="K14214" s="2"/>
      <c r="L14214" s="2"/>
      <c r="M14214" s="2"/>
      <c r="N14214" s="2"/>
      <c r="O14214" s="2"/>
      <c r="P14214" s="2"/>
      <c r="Q14214" s="2"/>
      <c r="R14214" s="2"/>
      <c r="S14214" s="2"/>
      <c r="T14214" s="2"/>
      <c r="U14214" s="2"/>
      <c r="V14214" s="2"/>
      <c r="W14214" s="2"/>
      <c r="X14214" s="2"/>
      <c r="Y14214" s="2"/>
      <c r="Z14214" s="2"/>
    </row>
    <row r="14215" spans="1:26" ht="16.5" x14ac:dyDescent="0.35">
      <c r="A14215" s="2" t="str">
        <f ca="1">IFERROR(__xludf.DUMMYFUNCTION("""COMPUTED_VALUE"""),"Dubai")</f>
        <v>Dubai</v>
      </c>
      <c r="B14215" s="2" t="str">
        <f ca="1">IFERROR(__xludf.DUMMYFUNCTION("""COMPUTED_VALUE"""),"Parklane Residence 4")</f>
        <v>Parklane Residence 4</v>
      </c>
      <c r="C14215" s="2" t="str">
        <f ca="1">IFERROR(__xludf.DUMMYFUNCTION("""COMPUTED_VALUE"""),"Building")</f>
        <v>Building</v>
      </c>
      <c r="D14215" s="2" t="str">
        <f ca="1">IFERROR(__xludf.DUMMYFUNCTION("""COMPUTED_VALUE"""),"Dubai&gt;Dubai South&gt;Residential District&gt;The Pulse&gt;The Pulse Villas 2&gt;Parklane Residence")</f>
        <v>Dubai&gt;Dubai South&gt;Residential District&gt;The Pulse&gt;The Pulse Villas 2&gt;Parklane Residence</v>
      </c>
      <c r="E14215" s="2"/>
      <c r="F14215" s="2"/>
      <c r="G14215" s="2"/>
      <c r="H14215" s="2"/>
      <c r="I14215" s="2"/>
      <c r="J14215" s="2"/>
      <c r="K14215" s="2"/>
      <c r="L14215" s="2"/>
      <c r="M14215" s="2"/>
      <c r="N14215" s="2"/>
      <c r="O14215" s="2"/>
      <c r="P14215" s="2"/>
      <c r="Q14215" s="2"/>
      <c r="R14215" s="2"/>
      <c r="S14215" s="2"/>
      <c r="T14215" s="2"/>
      <c r="U14215" s="2"/>
      <c r="V14215" s="2"/>
      <c r="W14215" s="2"/>
      <c r="X14215" s="2"/>
      <c r="Y14215" s="2"/>
      <c r="Z14215" s="2"/>
    </row>
    <row r="14216" spans="1:26" ht="16.5" x14ac:dyDescent="0.35">
      <c r="A14216" s="2" t="str">
        <f ca="1">IFERROR(__xludf.DUMMYFUNCTION("""COMPUTED_VALUE"""),"Dubai")</f>
        <v>Dubai</v>
      </c>
      <c r="B14216" s="2" t="str">
        <f ca="1">IFERROR(__xludf.DUMMYFUNCTION("""COMPUTED_VALUE"""),"South Bay")</f>
        <v>South Bay</v>
      </c>
      <c r="C14216" s="2" t="str">
        <f ca="1">IFERROR(__xludf.DUMMYFUNCTION("""COMPUTED_VALUE"""),"Neighbourhood")</f>
        <v>Neighbourhood</v>
      </c>
      <c r="D14216" s="2" t="str">
        <f ca="1">IFERROR(__xludf.DUMMYFUNCTION("""COMPUTED_VALUE"""),"Dubai&gt;Dubai South&gt;Residential District&gt;South Bay")</f>
        <v>Dubai&gt;Dubai South&gt;Residential District&gt;South Bay</v>
      </c>
      <c r="E14216" s="2"/>
      <c r="F14216" s="2"/>
      <c r="G14216" s="2"/>
      <c r="H14216" s="2"/>
      <c r="I14216" s="2"/>
      <c r="J14216" s="2"/>
      <c r="K14216" s="2"/>
      <c r="L14216" s="2"/>
      <c r="M14216" s="2"/>
      <c r="N14216" s="2"/>
      <c r="O14216" s="2"/>
      <c r="P14216" s="2"/>
      <c r="Q14216" s="2"/>
      <c r="R14216" s="2"/>
      <c r="S14216" s="2"/>
      <c r="T14216" s="2"/>
      <c r="U14216" s="2"/>
      <c r="V14216" s="2"/>
      <c r="W14216" s="2"/>
      <c r="X14216" s="2"/>
      <c r="Y14216" s="2"/>
      <c r="Z14216" s="2"/>
    </row>
    <row r="14217" spans="1:26" ht="16.5" x14ac:dyDescent="0.35">
      <c r="A14217" s="2" t="str">
        <f ca="1">IFERROR(__xludf.DUMMYFUNCTION("""COMPUTED_VALUE"""),"Dubai")</f>
        <v>Dubai</v>
      </c>
      <c r="B14217" s="2" t="str">
        <f ca="1">IFERROR(__xludf.DUMMYFUNCTION("""COMPUTED_VALUE"""),"VOI Residence by HVM Living")</f>
        <v>VOI Residence by HVM Living</v>
      </c>
      <c r="C14217" s="2" t="str">
        <f ca="1">IFERROR(__xludf.DUMMYFUNCTION("""COMPUTED_VALUE"""),"Building")</f>
        <v>Building</v>
      </c>
      <c r="D14217" s="2" t="str">
        <f ca="1">IFERROR(__xludf.DUMMYFUNCTION("""COMPUTED_VALUE"""),"Dubai&gt;Dubai South&gt;Residential District&gt;VOI Residence by HVM Living")</f>
        <v>Dubai&gt;Dubai South&gt;Residential District&gt;VOI Residence by HVM Living</v>
      </c>
      <c r="E14217" s="2"/>
      <c r="F14217" s="2"/>
      <c r="G14217" s="2"/>
      <c r="H14217" s="2"/>
      <c r="I14217" s="2"/>
      <c r="J14217" s="2"/>
      <c r="K14217" s="2"/>
      <c r="L14217" s="2"/>
      <c r="M14217" s="2"/>
      <c r="N14217" s="2"/>
      <c r="O14217" s="2"/>
      <c r="P14217" s="2"/>
      <c r="Q14217" s="2"/>
      <c r="R14217" s="2"/>
      <c r="S14217" s="2"/>
      <c r="T14217" s="2"/>
      <c r="U14217" s="2"/>
      <c r="V14217" s="2"/>
      <c r="W14217" s="2"/>
      <c r="X14217" s="2"/>
      <c r="Y14217" s="2"/>
      <c r="Z14217" s="2"/>
    </row>
    <row r="14218" spans="1:26" ht="16.5" x14ac:dyDescent="0.35">
      <c r="A14218" s="2" t="str">
        <f ca="1">IFERROR(__xludf.DUMMYFUNCTION("""COMPUTED_VALUE"""),"Dubai")</f>
        <v>Dubai</v>
      </c>
      <c r="B14218" s="2" t="str">
        <f ca="1">IFERROR(__xludf.DUMMYFUNCTION("""COMPUTED_VALUE"""),"Altair 52")</f>
        <v>Altair 52</v>
      </c>
      <c r="C14218" s="2" t="str">
        <f ca="1">IFERROR(__xludf.DUMMYFUNCTION("""COMPUTED_VALUE"""),"Building")</f>
        <v>Building</v>
      </c>
      <c r="D14218" s="2" t="str">
        <f ca="1">IFERROR(__xludf.DUMMYFUNCTION("""COMPUTED_VALUE"""),"Dubai&gt;Dubai South&gt;Residential District&gt;Altair 52")</f>
        <v>Dubai&gt;Dubai South&gt;Residential District&gt;Altair 52</v>
      </c>
      <c r="E14218" s="2"/>
      <c r="F14218" s="2"/>
      <c r="G14218" s="2"/>
      <c r="H14218" s="2"/>
      <c r="I14218" s="2"/>
      <c r="J14218" s="2"/>
      <c r="K14218" s="2"/>
      <c r="L14218" s="2"/>
      <c r="M14218" s="2"/>
      <c r="N14218" s="2"/>
      <c r="O14218" s="2"/>
      <c r="P14218" s="2"/>
      <c r="Q14218" s="2"/>
      <c r="R14218" s="2"/>
      <c r="S14218" s="2"/>
      <c r="T14218" s="2"/>
      <c r="U14218" s="2"/>
      <c r="V14218" s="2"/>
      <c r="W14218" s="2"/>
      <c r="X14218" s="2"/>
      <c r="Y14218" s="2"/>
      <c r="Z14218" s="2"/>
    </row>
    <row r="14219" spans="1:26" ht="16.5" x14ac:dyDescent="0.35">
      <c r="A14219" s="2" t="str">
        <f ca="1">IFERROR(__xludf.DUMMYFUNCTION("""COMPUTED_VALUE"""),"Dubai")</f>
        <v>Dubai</v>
      </c>
      <c r="B14219" s="2" t="str">
        <f ca="1">IFERROR(__xludf.DUMMYFUNCTION("""COMPUTED_VALUE"""),"Greenway 2")</f>
        <v>Greenway 2</v>
      </c>
      <c r="C14219" s="2" t="str">
        <f ca="1">IFERROR(__xludf.DUMMYFUNCTION("""COMPUTED_VALUE"""),"Neighbourhood")</f>
        <v>Neighbourhood</v>
      </c>
      <c r="D14219" s="2" t="str">
        <f ca="1">IFERROR(__xludf.DUMMYFUNCTION("""COMPUTED_VALUE"""),"Dubai&gt;Dubai South&gt;Emaar South&gt;Greenway 2")</f>
        <v>Dubai&gt;Dubai South&gt;Emaar South&gt;Greenway 2</v>
      </c>
      <c r="E14219" s="2"/>
      <c r="F14219" s="2"/>
      <c r="G14219" s="2"/>
      <c r="H14219" s="2"/>
      <c r="I14219" s="2"/>
      <c r="J14219" s="2"/>
      <c r="K14219" s="2"/>
      <c r="L14219" s="2"/>
      <c r="M14219" s="2"/>
      <c r="N14219" s="2"/>
      <c r="O14219" s="2"/>
      <c r="P14219" s="2"/>
      <c r="Q14219" s="2"/>
      <c r="R14219" s="2"/>
      <c r="S14219" s="2"/>
      <c r="T14219" s="2"/>
      <c r="U14219" s="2"/>
      <c r="V14219" s="2"/>
      <c r="W14219" s="2"/>
      <c r="X14219" s="2"/>
      <c r="Y14219" s="2"/>
      <c r="Z14219" s="2"/>
    </row>
    <row r="14220" spans="1:26" ht="16.5" x14ac:dyDescent="0.35">
      <c r="A14220" s="2" t="str">
        <f ca="1">IFERROR(__xludf.DUMMYFUNCTION("""COMPUTED_VALUE"""),"Dubai")</f>
        <v>Dubai</v>
      </c>
      <c r="B14220" s="2" t="str">
        <f ca="1">IFERROR(__xludf.DUMMYFUNCTION("""COMPUTED_VALUE"""),"Dubai South Business Park A3")</f>
        <v>Dubai South Business Park A3</v>
      </c>
      <c r="C14220" s="2" t="str">
        <f ca="1">IFERROR(__xludf.DUMMYFUNCTION("""COMPUTED_VALUE"""),"Building")</f>
        <v>Building</v>
      </c>
      <c r="D14220" s="2" t="str">
        <f ca="1">IFERROR(__xludf.DUMMYFUNCTION("""COMPUTED_VALUE"""),"Dubai&gt;Dubai South&gt;Logistics City&gt;The Avenue&gt;Dubai South Business Park A3")</f>
        <v>Dubai&gt;Dubai South&gt;Logistics City&gt;The Avenue&gt;Dubai South Business Park A3</v>
      </c>
      <c r="E14220" s="2"/>
      <c r="F14220" s="2"/>
      <c r="G14220" s="2"/>
      <c r="H14220" s="2"/>
      <c r="I14220" s="2"/>
      <c r="J14220" s="2"/>
      <c r="K14220" s="2"/>
      <c r="L14220" s="2"/>
      <c r="M14220" s="2"/>
      <c r="N14220" s="2"/>
      <c r="O14220" s="2"/>
      <c r="P14220" s="2"/>
      <c r="Q14220" s="2"/>
      <c r="R14220" s="2"/>
      <c r="S14220" s="2"/>
      <c r="T14220" s="2"/>
      <c r="U14220" s="2"/>
      <c r="V14220" s="2"/>
      <c r="W14220" s="2"/>
      <c r="X14220" s="2"/>
      <c r="Y14220" s="2"/>
      <c r="Z14220" s="2"/>
    </row>
    <row r="14221" spans="1:26" ht="16.5" x14ac:dyDescent="0.35">
      <c r="A14221" s="2" t="str">
        <f ca="1">IFERROR(__xludf.DUMMYFUNCTION("""COMPUTED_VALUE"""),"Dubai")</f>
        <v>Dubai</v>
      </c>
      <c r="B14221" s="2" t="str">
        <f ca="1">IFERROR(__xludf.DUMMYFUNCTION("""COMPUTED_VALUE"""),"Azizi Venice 5 Building A")</f>
        <v>Azizi Venice 5 Building A</v>
      </c>
      <c r="C14221" s="2" t="str">
        <f ca="1">IFERROR(__xludf.DUMMYFUNCTION("""COMPUTED_VALUE"""),"Building")</f>
        <v>Building</v>
      </c>
      <c r="D14221" s="2" t="str">
        <f ca="1">IFERROR(__xludf.DUMMYFUNCTION("""COMPUTED_VALUE"""),"Dubai&gt;Dubai South&gt;Azizi Venice&gt;Azizi Venice 5&gt;Azizi Venice 5 Building A")</f>
        <v>Dubai&gt;Dubai South&gt;Azizi Venice&gt;Azizi Venice 5&gt;Azizi Venice 5 Building A</v>
      </c>
      <c r="E14221" s="2"/>
      <c r="F14221" s="2"/>
      <c r="G14221" s="2"/>
      <c r="H14221" s="2"/>
      <c r="I14221" s="2"/>
      <c r="J14221" s="2"/>
      <c r="K14221" s="2"/>
      <c r="L14221" s="2"/>
      <c r="M14221" s="2"/>
      <c r="N14221" s="2"/>
      <c r="O14221" s="2"/>
      <c r="P14221" s="2"/>
      <c r="Q14221" s="2"/>
      <c r="R14221" s="2"/>
      <c r="S14221" s="2"/>
      <c r="T14221" s="2"/>
      <c r="U14221" s="2"/>
      <c r="V14221" s="2"/>
      <c r="W14221" s="2"/>
      <c r="X14221" s="2"/>
      <c r="Y14221" s="2"/>
      <c r="Z14221" s="2"/>
    </row>
    <row r="14222" spans="1:26" ht="16.5" x14ac:dyDescent="0.35">
      <c r="A14222" s="2" t="str">
        <f ca="1">IFERROR(__xludf.DUMMYFUNCTION("""COMPUTED_VALUE"""),"Dubai")</f>
        <v>Dubai</v>
      </c>
      <c r="B14222" s="2" t="str">
        <f ca="1">IFERROR(__xludf.DUMMYFUNCTION("""COMPUTED_VALUE"""),"Azizi Venice 13 Building B")</f>
        <v>Azizi Venice 13 Building B</v>
      </c>
      <c r="C14222" s="2" t="str">
        <f ca="1">IFERROR(__xludf.DUMMYFUNCTION("""COMPUTED_VALUE"""),"Building")</f>
        <v>Building</v>
      </c>
      <c r="D14222" s="2" t="str">
        <f ca="1">IFERROR(__xludf.DUMMYFUNCTION("""COMPUTED_VALUE"""),"Dubai&gt;Dubai South&gt;Azizi Venice&gt;Azizi Venice 13&gt;Azizi Venice 13 Building B")</f>
        <v>Dubai&gt;Dubai South&gt;Azizi Venice&gt;Azizi Venice 13&gt;Azizi Venice 13 Building B</v>
      </c>
      <c r="E14222" s="2"/>
      <c r="F14222" s="2"/>
      <c r="G14222" s="2"/>
      <c r="H14222" s="2"/>
      <c r="I14222" s="2"/>
      <c r="J14222" s="2"/>
      <c r="K14222" s="2"/>
      <c r="L14222" s="2"/>
      <c r="M14222" s="2"/>
      <c r="N14222" s="2"/>
      <c r="O14222" s="2"/>
      <c r="P14222" s="2"/>
      <c r="Q14222" s="2"/>
      <c r="R14222" s="2"/>
      <c r="S14222" s="2"/>
      <c r="T14222" s="2"/>
      <c r="U14222" s="2"/>
      <c r="V14222" s="2"/>
      <c r="W14222" s="2"/>
      <c r="X14222" s="2"/>
      <c r="Y14222" s="2"/>
      <c r="Z14222" s="2"/>
    </row>
    <row r="14223" spans="1:26" ht="16.5" x14ac:dyDescent="0.35">
      <c r="A14223" s="2" t="str">
        <f ca="1">IFERROR(__xludf.DUMMYFUNCTION("""COMPUTED_VALUE"""),"Dubai")</f>
        <v>Dubai</v>
      </c>
      <c r="B14223" s="2" t="str">
        <f ca="1">IFERROR(__xludf.DUMMYFUNCTION("""COMPUTED_VALUE"""),"The Meadows 2")</f>
        <v>The Meadows 2</v>
      </c>
      <c r="C14223" s="2" t="str">
        <f ca="1">IFERROR(__xludf.DUMMYFUNCTION("""COMPUTED_VALUE"""),"Neighbourhood")</f>
        <v>Neighbourhood</v>
      </c>
      <c r="D14223" s="2" t="str">
        <f ca="1">IFERROR(__xludf.DUMMYFUNCTION("""COMPUTED_VALUE"""),"Dubai&gt;The Meadows&gt;The Meadows 2")</f>
        <v>Dubai&gt;The Meadows&gt;The Meadows 2</v>
      </c>
      <c r="E14223" s="2"/>
      <c r="F14223" s="2"/>
      <c r="G14223" s="2"/>
      <c r="H14223" s="2"/>
      <c r="I14223" s="2"/>
      <c r="J14223" s="2"/>
      <c r="K14223" s="2"/>
      <c r="L14223" s="2"/>
      <c r="M14223" s="2"/>
      <c r="N14223" s="2"/>
      <c r="O14223" s="2"/>
      <c r="P14223" s="2"/>
      <c r="Q14223" s="2"/>
      <c r="R14223" s="2"/>
      <c r="S14223" s="2"/>
      <c r="T14223" s="2"/>
      <c r="U14223" s="2"/>
      <c r="V14223" s="2"/>
      <c r="W14223" s="2"/>
      <c r="X14223" s="2"/>
      <c r="Y14223" s="2"/>
      <c r="Z14223" s="2"/>
    </row>
    <row r="14224" spans="1:26" ht="16.5" x14ac:dyDescent="0.35">
      <c r="A14224" s="2" t="str">
        <f ca="1">IFERROR(__xludf.DUMMYFUNCTION("""COMPUTED_VALUE"""),"Dubai")</f>
        <v>Dubai</v>
      </c>
      <c r="B14224" s="2" t="str">
        <f ca="1">IFERROR(__xludf.DUMMYFUNCTION("""COMPUTED_VALUE"""),"Al Waleed 3 Building")</f>
        <v>Al Waleed 3 Building</v>
      </c>
      <c r="C14224" s="2" t="str">
        <f ca="1">IFERROR(__xludf.DUMMYFUNCTION("""COMPUTED_VALUE"""),"Building")</f>
        <v>Building</v>
      </c>
      <c r="D14224" s="2" t="str">
        <f ca="1">IFERROR(__xludf.DUMMYFUNCTION("""COMPUTED_VALUE"""),"Dubai&gt;Bur Dubai&gt;Oud Metha&gt;Al Waleed 3 Building")</f>
        <v>Dubai&gt;Bur Dubai&gt;Oud Metha&gt;Al Waleed 3 Building</v>
      </c>
      <c r="E14224" s="2"/>
      <c r="F14224" s="2"/>
      <c r="G14224" s="2"/>
      <c r="H14224" s="2"/>
      <c r="I14224" s="2"/>
      <c r="J14224" s="2"/>
      <c r="K14224" s="2"/>
      <c r="L14224" s="2"/>
      <c r="M14224" s="2"/>
      <c r="N14224" s="2"/>
      <c r="O14224" s="2"/>
      <c r="P14224" s="2"/>
      <c r="Q14224" s="2"/>
      <c r="R14224" s="2"/>
      <c r="S14224" s="2"/>
      <c r="T14224" s="2"/>
      <c r="U14224" s="2"/>
      <c r="V14224" s="2"/>
      <c r="W14224" s="2"/>
      <c r="X14224" s="2"/>
      <c r="Y14224" s="2"/>
      <c r="Z14224" s="2"/>
    </row>
    <row r="14225" spans="1:26" ht="16.5" x14ac:dyDescent="0.35">
      <c r="A14225" s="2" t="str">
        <f ca="1">IFERROR(__xludf.DUMMYFUNCTION("""COMPUTED_VALUE"""),"Dubai")</f>
        <v>Dubai</v>
      </c>
      <c r="B14225" s="2" t="str">
        <f ca="1">IFERROR(__xludf.DUMMYFUNCTION("""COMPUTED_VALUE"""),"Juvenile Care Association Building")</f>
        <v>Juvenile Care Association Building</v>
      </c>
      <c r="C14225" s="2" t="str">
        <f ca="1">IFERROR(__xludf.DUMMYFUNCTION("""COMPUTED_VALUE"""),"Building")</f>
        <v>Building</v>
      </c>
      <c r="D14225" s="2" t="str">
        <f ca="1">IFERROR(__xludf.DUMMYFUNCTION("""COMPUTED_VALUE"""),"Dubai&gt;Bur Dubai&gt;Oud Metha&gt;Juvenile Care Association Building")</f>
        <v>Dubai&gt;Bur Dubai&gt;Oud Metha&gt;Juvenile Care Association Building</v>
      </c>
      <c r="E14225" s="2"/>
      <c r="F14225" s="2"/>
      <c r="G14225" s="2"/>
      <c r="H14225" s="2"/>
      <c r="I14225" s="2"/>
      <c r="J14225" s="2"/>
      <c r="K14225" s="2"/>
      <c r="L14225" s="2"/>
      <c r="M14225" s="2"/>
      <c r="N14225" s="2"/>
      <c r="O14225" s="2"/>
      <c r="P14225" s="2"/>
      <c r="Q14225" s="2"/>
      <c r="R14225" s="2"/>
      <c r="S14225" s="2"/>
      <c r="T14225" s="2"/>
      <c r="U14225" s="2"/>
      <c r="V14225" s="2"/>
      <c r="W14225" s="2"/>
      <c r="X14225" s="2"/>
      <c r="Y14225" s="2"/>
      <c r="Z14225" s="2"/>
    </row>
    <row r="14226" spans="1:26" ht="16.5" x14ac:dyDescent="0.35">
      <c r="A14226" s="2" t="str">
        <f ca="1">IFERROR(__xludf.DUMMYFUNCTION("""COMPUTED_VALUE"""),"Dubai")</f>
        <v>Dubai</v>
      </c>
      <c r="B14226" s="2" t="str">
        <f ca="1">IFERROR(__xludf.DUMMYFUNCTION("""COMPUTED_VALUE"""),"Shipping Tower")</f>
        <v>Shipping Tower</v>
      </c>
      <c r="C14226" s="2" t="str">
        <f ca="1">IFERROR(__xludf.DUMMYFUNCTION("""COMPUTED_VALUE"""),"Building")</f>
        <v>Building</v>
      </c>
      <c r="D14226" s="2" t="str">
        <f ca="1">IFERROR(__xludf.DUMMYFUNCTION("""COMPUTED_VALUE"""),"Dubai&gt;Bur Dubai&gt;Al Raffa&gt;Shipping Tower")</f>
        <v>Dubai&gt;Bur Dubai&gt;Al Raffa&gt;Shipping Tower</v>
      </c>
      <c r="E14226" s="2"/>
      <c r="F14226" s="2"/>
      <c r="G14226" s="2"/>
      <c r="H14226" s="2"/>
      <c r="I14226" s="2"/>
      <c r="J14226" s="2"/>
      <c r="K14226" s="2"/>
      <c r="L14226" s="2"/>
      <c r="M14226" s="2"/>
      <c r="N14226" s="2"/>
      <c r="O14226" s="2"/>
      <c r="P14226" s="2"/>
      <c r="Q14226" s="2"/>
      <c r="R14226" s="2"/>
      <c r="S14226" s="2"/>
      <c r="T14226" s="2"/>
      <c r="U14226" s="2"/>
      <c r="V14226" s="2"/>
      <c r="W14226" s="2"/>
      <c r="X14226" s="2"/>
      <c r="Y14226" s="2"/>
      <c r="Z14226" s="2"/>
    </row>
    <row r="14227" spans="1:26" ht="16.5" x14ac:dyDescent="0.35">
      <c r="A14227" s="2" t="str">
        <f ca="1">IFERROR(__xludf.DUMMYFUNCTION("""COMPUTED_VALUE"""),"Dubai")</f>
        <v>Dubai</v>
      </c>
      <c r="B14227" s="2" t="str">
        <f ca="1">IFERROR(__xludf.DUMMYFUNCTION("""COMPUTED_VALUE"""),"Fatima Mohammad Ahmad Bin Suleiman Building")</f>
        <v>Fatima Mohammad Ahmad Bin Suleiman Building</v>
      </c>
      <c r="C14227" s="2" t="str">
        <f ca="1">IFERROR(__xludf.DUMMYFUNCTION("""COMPUTED_VALUE"""),"Building")</f>
        <v>Building</v>
      </c>
      <c r="D14227" s="2" t="str">
        <f ca="1">IFERROR(__xludf.DUMMYFUNCTION("""COMPUTED_VALUE"""),"Dubai&gt;Bur Dubai&gt;Al Raffa&gt;Fatima Mohammad Ahmad Bin Suleiman Building")</f>
        <v>Dubai&gt;Bur Dubai&gt;Al Raffa&gt;Fatima Mohammad Ahmad Bin Suleiman Building</v>
      </c>
      <c r="E14227" s="2"/>
      <c r="F14227" s="2"/>
      <c r="G14227" s="2"/>
      <c r="H14227" s="2"/>
      <c r="I14227" s="2"/>
      <c r="J14227" s="2"/>
      <c r="K14227" s="2"/>
      <c r="L14227" s="2"/>
      <c r="M14227" s="2"/>
      <c r="N14227" s="2"/>
      <c r="O14227" s="2"/>
      <c r="P14227" s="2"/>
      <c r="Q14227" s="2"/>
      <c r="R14227" s="2"/>
      <c r="S14227" s="2"/>
      <c r="T14227" s="2"/>
      <c r="U14227" s="2"/>
      <c r="V14227" s="2"/>
      <c r="W14227" s="2"/>
      <c r="X14227" s="2"/>
      <c r="Y14227" s="2"/>
      <c r="Z14227" s="2"/>
    </row>
    <row r="14228" spans="1:26" ht="16.5" x14ac:dyDescent="0.35">
      <c r="A14228" s="2" t="str">
        <f ca="1">IFERROR(__xludf.DUMMYFUNCTION("""COMPUTED_VALUE"""),"Dubai")</f>
        <v>Dubai</v>
      </c>
      <c r="B14228" s="2" t="str">
        <f ca="1">IFERROR(__xludf.DUMMYFUNCTION("""COMPUTED_VALUE"""),"Siraj Building")</f>
        <v>Siraj Building</v>
      </c>
      <c r="C14228" s="2" t="str">
        <f ca="1">IFERROR(__xludf.DUMMYFUNCTION("""COMPUTED_VALUE"""),"Building")</f>
        <v>Building</v>
      </c>
      <c r="D14228" s="2" t="str">
        <f ca="1">IFERROR(__xludf.DUMMYFUNCTION("""COMPUTED_VALUE"""),"Dubai&gt;Bur Dubai&gt;Al Mankhool&gt;Siraj Building")</f>
        <v>Dubai&gt;Bur Dubai&gt;Al Mankhool&gt;Siraj Building</v>
      </c>
      <c r="E14228" s="2"/>
      <c r="F14228" s="2"/>
      <c r="G14228" s="2"/>
      <c r="H14228" s="2"/>
      <c r="I14228" s="2"/>
      <c r="J14228" s="2"/>
      <c r="K14228" s="2"/>
      <c r="L14228" s="2"/>
      <c r="M14228" s="2"/>
      <c r="N14228" s="2"/>
      <c r="O14228" s="2"/>
      <c r="P14228" s="2"/>
      <c r="Q14228" s="2"/>
      <c r="R14228" s="2"/>
      <c r="S14228" s="2"/>
      <c r="T14228" s="2"/>
      <c r="U14228" s="2"/>
      <c r="V14228" s="2"/>
      <c r="W14228" s="2"/>
      <c r="X14228" s="2"/>
      <c r="Y14228" s="2"/>
      <c r="Z14228" s="2"/>
    </row>
    <row r="14229" spans="1:26" ht="16.5" x14ac:dyDescent="0.35">
      <c r="A14229" s="2" t="str">
        <f ca="1">IFERROR(__xludf.DUMMYFUNCTION("""COMPUTED_VALUE"""),"Dubai")</f>
        <v>Dubai</v>
      </c>
      <c r="B14229" s="2" t="str">
        <f ca="1">IFERROR(__xludf.DUMMYFUNCTION("""COMPUTED_VALUE"""),"Opal Building")</f>
        <v>Opal Building</v>
      </c>
      <c r="C14229" s="2" t="str">
        <f ca="1">IFERROR(__xludf.DUMMYFUNCTION("""COMPUTED_VALUE"""),"Building")</f>
        <v>Building</v>
      </c>
      <c r="D14229" s="2" t="str">
        <f ca="1">IFERROR(__xludf.DUMMYFUNCTION("""COMPUTED_VALUE"""),"Dubai&gt;Bur Dubai&gt;Al Mankhool&gt;Opal Building")</f>
        <v>Dubai&gt;Bur Dubai&gt;Al Mankhool&gt;Opal Building</v>
      </c>
      <c r="E14229" s="2"/>
      <c r="F14229" s="2"/>
      <c r="G14229" s="2"/>
      <c r="H14229" s="2"/>
      <c r="I14229" s="2"/>
      <c r="J14229" s="2"/>
      <c r="K14229" s="2"/>
      <c r="L14229" s="2"/>
      <c r="M14229" s="2"/>
      <c r="N14229" s="2"/>
      <c r="O14229" s="2"/>
      <c r="P14229" s="2"/>
      <c r="Q14229" s="2"/>
      <c r="R14229" s="2"/>
      <c r="S14229" s="2"/>
      <c r="T14229" s="2"/>
      <c r="U14229" s="2"/>
      <c r="V14229" s="2"/>
      <c r="W14229" s="2"/>
      <c r="X14229" s="2"/>
      <c r="Y14229" s="2"/>
      <c r="Z14229" s="2"/>
    </row>
    <row r="14230" spans="1:26" ht="16.5" x14ac:dyDescent="0.35">
      <c r="A14230" s="2" t="str">
        <f ca="1">IFERROR(__xludf.DUMMYFUNCTION("""COMPUTED_VALUE"""),"Dubai")</f>
        <v>Dubai</v>
      </c>
      <c r="B14230" s="2" t="str">
        <f ca="1">IFERROR(__xludf.DUMMYFUNCTION("""COMPUTED_VALUE"""),"Burjuman Vista")</f>
        <v>Burjuman Vista</v>
      </c>
      <c r="C14230" s="2" t="str">
        <f ca="1">IFERROR(__xludf.DUMMYFUNCTION("""COMPUTED_VALUE"""),"Building")</f>
        <v>Building</v>
      </c>
      <c r="D14230" s="2" t="str">
        <f ca="1">IFERROR(__xludf.DUMMYFUNCTION("""COMPUTED_VALUE"""),"Dubai&gt;Bur Dubai&gt;Al Mankhool&gt;Burjuman Vista")</f>
        <v>Dubai&gt;Bur Dubai&gt;Al Mankhool&gt;Burjuman Vista</v>
      </c>
      <c r="E14230" s="2"/>
      <c r="F14230" s="2"/>
      <c r="G14230" s="2"/>
      <c r="H14230" s="2"/>
      <c r="I14230" s="2"/>
      <c r="J14230" s="2"/>
      <c r="K14230" s="2"/>
      <c r="L14230" s="2"/>
      <c r="M14230" s="2"/>
      <c r="N14230" s="2"/>
      <c r="O14230" s="2"/>
      <c r="P14230" s="2"/>
      <c r="Q14230" s="2"/>
      <c r="R14230" s="2"/>
      <c r="S14230" s="2"/>
      <c r="T14230" s="2"/>
      <c r="U14230" s="2"/>
      <c r="V14230" s="2"/>
      <c r="W14230" s="2"/>
      <c r="X14230" s="2"/>
      <c r="Y14230" s="2"/>
      <c r="Z14230" s="2"/>
    </row>
    <row r="14231" spans="1:26" ht="16.5" x14ac:dyDescent="0.35">
      <c r="A14231" s="2" t="str">
        <f ca="1">IFERROR(__xludf.DUMMYFUNCTION("""COMPUTED_VALUE"""),"Dubai")</f>
        <v>Dubai</v>
      </c>
      <c r="B14231" s="2" t="str">
        <f ca="1">IFERROR(__xludf.DUMMYFUNCTION("""COMPUTED_VALUE"""),"Pakistan Education Academy")</f>
        <v>Pakistan Education Academy</v>
      </c>
      <c r="C14231" s="2" t="str">
        <f ca="1">IFERROR(__xludf.DUMMYFUNCTION("""COMPUTED_VALUE"""),"School")</f>
        <v>School</v>
      </c>
      <c r="D14231" s="2" t="str">
        <f ca="1">IFERROR(__xludf.DUMMYFUNCTION("""COMPUTED_VALUE"""),"Dubai&gt;Bur Dubai&gt;Umm Hurair&gt;Umm Hurair 2&gt;Pakistan Education Academy")</f>
        <v>Dubai&gt;Bur Dubai&gt;Umm Hurair&gt;Umm Hurair 2&gt;Pakistan Education Academy</v>
      </c>
      <c r="E14231" s="2"/>
      <c r="F14231" s="2"/>
      <c r="G14231" s="2"/>
      <c r="H14231" s="2"/>
      <c r="I14231" s="2"/>
      <c r="J14231" s="2"/>
      <c r="K14231" s="2"/>
      <c r="L14231" s="2"/>
      <c r="M14231" s="2"/>
      <c r="N14231" s="2"/>
      <c r="O14231" s="2"/>
      <c r="P14231" s="2"/>
      <c r="Q14231" s="2"/>
      <c r="R14231" s="2"/>
      <c r="S14231" s="2"/>
      <c r="T14231" s="2"/>
      <c r="U14231" s="2"/>
      <c r="V14231" s="2"/>
      <c r="W14231" s="2"/>
      <c r="X14231" s="2"/>
      <c r="Y14231" s="2"/>
      <c r="Z14231" s="2"/>
    </row>
    <row r="14232" spans="1:26" ht="16.5" x14ac:dyDescent="0.35">
      <c r="A14232" s="2" t="str">
        <f ca="1">IFERROR(__xludf.DUMMYFUNCTION("""COMPUTED_VALUE"""),"Dubai")</f>
        <v>Dubai</v>
      </c>
      <c r="B14232" s="2" t="str">
        <f ca="1">IFERROR(__xludf.DUMMYFUNCTION("""COMPUTED_VALUE"""),"Meena Building")</f>
        <v>Meena Building</v>
      </c>
      <c r="C14232" s="2" t="str">
        <f ca="1">IFERROR(__xludf.DUMMYFUNCTION("""COMPUTED_VALUE"""),"Building")</f>
        <v>Building</v>
      </c>
      <c r="D14232" s="2" t="str">
        <f ca="1">IFERROR(__xludf.DUMMYFUNCTION("""COMPUTED_VALUE"""),"Dubai&gt;Bur Dubai&gt;Al Souk Al Kabeer (Al Fahidi)&gt;Meena Building")</f>
        <v>Dubai&gt;Bur Dubai&gt;Al Souk Al Kabeer (Al Fahidi)&gt;Meena Building</v>
      </c>
      <c r="E14232" s="2"/>
      <c r="F14232" s="2"/>
      <c r="G14232" s="2"/>
      <c r="H14232" s="2"/>
      <c r="I14232" s="2"/>
      <c r="J14232" s="2"/>
      <c r="K14232" s="2"/>
      <c r="L14232" s="2"/>
      <c r="M14232" s="2"/>
      <c r="N14232" s="2"/>
      <c r="O14232" s="2"/>
      <c r="P14232" s="2"/>
      <c r="Q14232" s="2"/>
      <c r="R14232" s="2"/>
      <c r="S14232" s="2"/>
      <c r="T14232" s="2"/>
      <c r="U14232" s="2"/>
      <c r="V14232" s="2"/>
      <c r="W14232" s="2"/>
      <c r="X14232" s="2"/>
      <c r="Y14232" s="2"/>
      <c r="Z14232" s="2"/>
    </row>
    <row r="14233" spans="1:26" ht="16.5" x14ac:dyDescent="0.35">
      <c r="A14233" s="2" t="str">
        <f ca="1">IFERROR(__xludf.DUMMYFUNCTION("""COMPUTED_VALUE"""),"Dubai")</f>
        <v>Dubai</v>
      </c>
      <c r="B14233" s="2" t="str">
        <f ca="1">IFERROR(__xludf.DUMMYFUNCTION("""COMPUTED_VALUE"""),"NML Creek Residence")</f>
        <v>NML Creek Residence</v>
      </c>
      <c r="C14233" s="2" t="str">
        <f ca="1">IFERROR(__xludf.DUMMYFUNCTION("""COMPUTED_VALUE"""),"Building")</f>
        <v>Building</v>
      </c>
      <c r="D14233" s="2" t="str">
        <f ca="1">IFERROR(__xludf.DUMMYFUNCTION("""COMPUTED_VALUE"""),"Dubai&gt;Bur Dubai&gt;Al Hamriya&gt;NML Creek Residence")</f>
        <v>Dubai&gt;Bur Dubai&gt;Al Hamriya&gt;NML Creek Residence</v>
      </c>
      <c r="E14233" s="2"/>
      <c r="F14233" s="2"/>
      <c r="G14233" s="2"/>
      <c r="H14233" s="2"/>
      <c r="I14233" s="2"/>
      <c r="J14233" s="2"/>
      <c r="K14233" s="2"/>
      <c r="L14233" s="2"/>
      <c r="M14233" s="2"/>
      <c r="N14233" s="2"/>
      <c r="O14233" s="2"/>
      <c r="P14233" s="2"/>
      <c r="Q14233" s="2"/>
      <c r="R14233" s="2"/>
      <c r="S14233" s="2"/>
      <c r="T14233" s="2"/>
      <c r="U14233" s="2"/>
      <c r="V14233" s="2"/>
      <c r="W14233" s="2"/>
      <c r="X14233" s="2"/>
      <c r="Y14233" s="2"/>
      <c r="Z14233" s="2"/>
    </row>
    <row r="14234" spans="1:26" ht="16.5" x14ac:dyDescent="0.35">
      <c r="A14234" s="2" t="str">
        <f ca="1">IFERROR(__xludf.DUMMYFUNCTION("""COMPUTED_VALUE"""),"Dubai")</f>
        <v>Dubai</v>
      </c>
      <c r="B14234" s="2" t="str">
        <f ca="1">IFERROR(__xludf.DUMMYFUNCTION("""COMPUTED_VALUE"""),"Dubai Healthcare City")</f>
        <v>Dubai Healthcare City</v>
      </c>
      <c r="C14234" s="2" t="str">
        <f ca="1">IFERROR(__xludf.DUMMYFUNCTION("""COMPUTED_VALUE"""),"Neighbourhood")</f>
        <v>Neighbourhood</v>
      </c>
      <c r="D14234" s="2" t="str">
        <f ca="1">IFERROR(__xludf.DUMMYFUNCTION("""COMPUTED_VALUE"""),"Dubai&gt;Bur Dubai&gt;Dubai Healthcare City")</f>
        <v>Dubai&gt;Bur Dubai&gt;Dubai Healthcare City</v>
      </c>
      <c r="E14234" s="2"/>
      <c r="F14234" s="2"/>
      <c r="G14234" s="2"/>
      <c r="H14234" s="2"/>
      <c r="I14234" s="2"/>
      <c r="J14234" s="2"/>
      <c r="K14234" s="2"/>
      <c r="L14234" s="2"/>
      <c r="M14234" s="2"/>
      <c r="N14234" s="2"/>
      <c r="O14234" s="2"/>
      <c r="P14234" s="2"/>
      <c r="Q14234" s="2"/>
      <c r="R14234" s="2"/>
      <c r="S14234" s="2"/>
      <c r="T14234" s="2"/>
      <c r="U14234" s="2"/>
      <c r="V14234" s="2"/>
      <c r="W14234" s="2"/>
      <c r="X14234" s="2"/>
      <c r="Y14234" s="2"/>
      <c r="Z14234" s="2"/>
    </row>
    <row r="14235" spans="1:26" ht="16.5" x14ac:dyDescent="0.35">
      <c r="A14235" s="2" t="str">
        <f ca="1">IFERROR(__xludf.DUMMYFUNCTION("""COMPUTED_VALUE"""),"Dubai")</f>
        <v>Dubai</v>
      </c>
      <c r="B14235" s="2" t="str">
        <f ca="1">IFERROR(__xludf.DUMMYFUNCTION("""COMPUTED_VALUE"""),"The Sundials")</f>
        <v>The Sundials</v>
      </c>
      <c r="C14235" s="2" t="str">
        <f ca="1">IFERROR(__xludf.DUMMYFUNCTION("""COMPUTED_VALUE"""),"Neighbourhood")</f>
        <v>Neighbourhood</v>
      </c>
      <c r="D14235" s="2" t="str">
        <f ca="1">IFERROR(__xludf.DUMMYFUNCTION("""COMPUTED_VALUE"""),"Dubai&gt;Jumeirah Golf Estates&gt;The Sundials")</f>
        <v>Dubai&gt;Jumeirah Golf Estates&gt;The Sundials</v>
      </c>
      <c r="E14235" s="2"/>
      <c r="F14235" s="2"/>
      <c r="G14235" s="2"/>
      <c r="H14235" s="2"/>
      <c r="I14235" s="2"/>
      <c r="J14235" s="2"/>
      <c r="K14235" s="2"/>
      <c r="L14235" s="2"/>
      <c r="M14235" s="2"/>
      <c r="N14235" s="2"/>
      <c r="O14235" s="2"/>
      <c r="P14235" s="2"/>
      <c r="Q14235" s="2"/>
      <c r="R14235" s="2"/>
      <c r="S14235" s="2"/>
      <c r="T14235" s="2"/>
      <c r="U14235" s="2"/>
      <c r="V14235" s="2"/>
      <c r="W14235" s="2"/>
      <c r="X14235" s="2"/>
      <c r="Y14235" s="2"/>
      <c r="Z14235" s="2"/>
    </row>
    <row r="14236" spans="1:26" ht="16.5" x14ac:dyDescent="0.35">
      <c r="A14236" s="2" t="str">
        <f ca="1">IFERROR(__xludf.DUMMYFUNCTION("""COMPUTED_VALUE"""),"Dubai")</f>
        <v>Dubai</v>
      </c>
      <c r="B14236" s="2" t="str">
        <f ca="1">IFERROR(__xludf.DUMMYFUNCTION("""COMPUTED_VALUE"""),"Ashwood Estates")</f>
        <v>Ashwood Estates</v>
      </c>
      <c r="C14236" s="2" t="str">
        <f ca="1">IFERROR(__xludf.DUMMYFUNCTION("""COMPUTED_VALUE"""),"Neighbourhood")</f>
        <v>Neighbourhood</v>
      </c>
      <c r="D14236" s="2" t="str">
        <f ca="1">IFERROR(__xludf.DUMMYFUNCTION("""COMPUTED_VALUE"""),"Dubai&gt;Jumeirah Golf Estates&gt;The Next Chapter&gt;Ashwood Estates")</f>
        <v>Dubai&gt;Jumeirah Golf Estates&gt;The Next Chapter&gt;Ashwood Estates</v>
      </c>
      <c r="E14236" s="2"/>
      <c r="F14236" s="2"/>
      <c r="G14236" s="2"/>
      <c r="H14236" s="2"/>
      <c r="I14236" s="2"/>
      <c r="J14236" s="2"/>
      <c r="K14236" s="2"/>
      <c r="L14236" s="2"/>
      <c r="M14236" s="2"/>
      <c r="N14236" s="2"/>
      <c r="O14236" s="2"/>
      <c r="P14236" s="2"/>
      <c r="Q14236" s="2"/>
      <c r="R14236" s="2"/>
      <c r="S14236" s="2"/>
      <c r="T14236" s="2"/>
      <c r="U14236" s="2"/>
      <c r="V14236" s="2"/>
      <c r="W14236" s="2"/>
      <c r="X14236" s="2"/>
      <c r="Y14236" s="2"/>
      <c r="Z14236" s="2"/>
    </row>
    <row r="14237" spans="1:26" ht="16.5" x14ac:dyDescent="0.35">
      <c r="A14237" s="2" t="str">
        <f ca="1">IFERROR(__xludf.DUMMYFUNCTION("""COMPUTED_VALUE"""),"Dubai")</f>
        <v>Dubai</v>
      </c>
      <c r="B14237" s="2" t="str">
        <f ca="1">IFERROR(__xludf.DUMMYFUNCTION("""COMPUTED_VALUE"""),"Seapoint Tower 2")</f>
        <v>Seapoint Tower 2</v>
      </c>
      <c r="C14237" s="2" t="str">
        <f ca="1">IFERROR(__xludf.DUMMYFUNCTION("""COMPUTED_VALUE"""),"Building")</f>
        <v>Building</v>
      </c>
      <c r="D14237" s="2" t="str">
        <f ca="1">IFERROR(__xludf.DUMMYFUNCTION("""COMPUTED_VALUE"""),"Dubai&gt;Dubai Harbour&gt;Emaar Beachfront&gt;Seapoint&gt;Seapoint Tower 2")</f>
        <v>Dubai&gt;Dubai Harbour&gt;Emaar Beachfront&gt;Seapoint&gt;Seapoint Tower 2</v>
      </c>
      <c r="E14237" s="2"/>
      <c r="F14237" s="2"/>
      <c r="G14237" s="2"/>
      <c r="H14237" s="2"/>
      <c r="I14237" s="2"/>
      <c r="J14237" s="2"/>
      <c r="K14237" s="2"/>
      <c r="L14237" s="2"/>
      <c r="M14237" s="2"/>
      <c r="N14237" s="2"/>
      <c r="O14237" s="2"/>
      <c r="P14237" s="2"/>
      <c r="Q14237" s="2"/>
      <c r="R14237" s="2"/>
      <c r="S14237" s="2"/>
      <c r="T14237" s="2"/>
      <c r="U14237" s="2"/>
      <c r="V14237" s="2"/>
      <c r="W14237" s="2"/>
      <c r="X14237" s="2"/>
      <c r="Y14237" s="2"/>
      <c r="Z14237" s="2"/>
    </row>
    <row r="14238" spans="1:26" ht="16.5" x14ac:dyDescent="0.35">
      <c r="A14238" s="2" t="str">
        <f ca="1">IFERROR(__xludf.DUMMYFUNCTION("""COMPUTED_VALUE"""),"Dubai")</f>
        <v>Dubai</v>
      </c>
      <c r="B14238" s="2" t="str">
        <f ca="1">IFERROR(__xludf.DUMMYFUNCTION("""COMPUTED_VALUE"""),"Amazonia")</f>
        <v>Amazonia</v>
      </c>
      <c r="C14238" s="2" t="str">
        <f ca="1">IFERROR(__xludf.DUMMYFUNCTION("""COMPUTED_VALUE"""),"Neighbourhood")</f>
        <v>Neighbourhood</v>
      </c>
      <c r="D14238" s="2" t="str">
        <f ca="1">IFERROR(__xludf.DUMMYFUNCTION("""COMPUTED_VALUE"""),"Dubai&gt;DAMAC Hills 2 (Akoya by DAMAC)&gt;Amazonia")</f>
        <v>Dubai&gt;DAMAC Hills 2 (Akoya by DAMAC)&gt;Amazonia</v>
      </c>
      <c r="E14238" s="2"/>
      <c r="F14238" s="2"/>
      <c r="G14238" s="2"/>
      <c r="H14238" s="2"/>
      <c r="I14238" s="2"/>
      <c r="J14238" s="2"/>
      <c r="K14238" s="2"/>
      <c r="L14238" s="2"/>
      <c r="M14238" s="2"/>
      <c r="N14238" s="2"/>
      <c r="O14238" s="2"/>
      <c r="P14238" s="2"/>
      <c r="Q14238" s="2"/>
      <c r="R14238" s="2"/>
      <c r="S14238" s="2"/>
      <c r="T14238" s="2"/>
      <c r="U14238" s="2"/>
      <c r="V14238" s="2"/>
      <c r="W14238" s="2"/>
      <c r="X14238" s="2"/>
      <c r="Y14238" s="2"/>
      <c r="Z14238" s="2"/>
    </row>
    <row r="14239" spans="1:26" ht="16.5" x14ac:dyDescent="0.35">
      <c r="A14239" s="2" t="str">
        <f ca="1">IFERROR(__xludf.DUMMYFUNCTION("""COMPUTED_VALUE"""),"Dubai")</f>
        <v>Dubai</v>
      </c>
      <c r="B14239" s="2" t="str">
        <f ca="1">IFERROR(__xludf.DUMMYFUNCTION("""COMPUTED_VALUE"""),"ELO 3")</f>
        <v>ELO 3</v>
      </c>
      <c r="C14239" s="2" t="str">
        <f ca="1">IFERROR(__xludf.DUMMYFUNCTION("""COMPUTED_VALUE"""),"Building")</f>
        <v>Building</v>
      </c>
      <c r="D14239" s="2" t="str">
        <f ca="1">IFERROR(__xludf.DUMMYFUNCTION("""COMPUTED_VALUE"""),"Dubai&gt;DAMAC Hills 2 (Akoya by DAMAC)&gt;ELO 3")</f>
        <v>Dubai&gt;DAMAC Hills 2 (Akoya by DAMAC)&gt;ELO 3</v>
      </c>
      <c r="E14239" s="2"/>
      <c r="F14239" s="2"/>
      <c r="G14239" s="2"/>
      <c r="H14239" s="2"/>
      <c r="I14239" s="2"/>
      <c r="J14239" s="2"/>
      <c r="K14239" s="2"/>
      <c r="L14239" s="2"/>
      <c r="M14239" s="2"/>
      <c r="N14239" s="2"/>
      <c r="O14239" s="2"/>
      <c r="P14239" s="2"/>
      <c r="Q14239" s="2"/>
      <c r="R14239" s="2"/>
      <c r="S14239" s="2"/>
      <c r="T14239" s="2"/>
      <c r="U14239" s="2"/>
      <c r="V14239" s="2"/>
      <c r="W14239" s="2"/>
      <c r="X14239" s="2"/>
      <c r="Y14239" s="2"/>
      <c r="Z14239" s="2"/>
    </row>
    <row r="14240" spans="1:26" ht="16.5" x14ac:dyDescent="0.35">
      <c r="A14240" s="2" t="str">
        <f ca="1">IFERROR(__xludf.DUMMYFUNCTION("""COMPUTED_VALUE"""),"Dubai")</f>
        <v>Dubai</v>
      </c>
      <c r="B14240" s="2" t="str">
        <f ca="1">IFERROR(__xludf.DUMMYFUNCTION("""COMPUTED_VALUE"""),"I-08")</f>
        <v>I-08</v>
      </c>
      <c r="C14240" s="2" t="str">
        <f ca="1">IFERROR(__xludf.DUMMYFUNCTION("""COMPUTED_VALUE"""),"Building")</f>
        <v>Building</v>
      </c>
      <c r="D14240" s="2" t="str">
        <f ca="1">IFERROR(__xludf.DUMMYFUNCTION("""COMPUTED_VALUE"""),"Dubai&gt;International City&gt;Morocco Cluster&gt;I-08")</f>
        <v>Dubai&gt;International City&gt;Morocco Cluster&gt;I-08</v>
      </c>
      <c r="E14240" s="2"/>
      <c r="F14240" s="2"/>
      <c r="G14240" s="2"/>
      <c r="H14240" s="2"/>
      <c r="I14240" s="2"/>
      <c r="J14240" s="2"/>
      <c r="K14240" s="2"/>
      <c r="L14240" s="2"/>
      <c r="M14240" s="2"/>
      <c r="N14240" s="2"/>
      <c r="O14240" s="2"/>
      <c r="P14240" s="2"/>
      <c r="Q14240" s="2"/>
      <c r="R14240" s="2"/>
      <c r="S14240" s="2"/>
      <c r="T14240" s="2"/>
      <c r="U14240" s="2"/>
      <c r="V14240" s="2"/>
      <c r="W14240" s="2"/>
      <c r="X14240" s="2"/>
      <c r="Y14240" s="2"/>
      <c r="Z14240" s="2"/>
    </row>
    <row r="14241" spans="1:26" ht="16.5" x14ac:dyDescent="0.35">
      <c r="A14241" s="2" t="str">
        <f ca="1">IFERROR(__xludf.DUMMYFUNCTION("""COMPUTED_VALUE"""),"Dubai")</f>
        <v>Dubai</v>
      </c>
      <c r="B14241" s="2" t="str">
        <f ca="1">IFERROR(__xludf.DUMMYFUNCTION("""COMPUTED_VALUE"""),"Tabeer 1")</f>
        <v>Tabeer 1</v>
      </c>
      <c r="C14241" s="2" t="str">
        <f ca="1">IFERROR(__xludf.DUMMYFUNCTION("""COMPUTED_VALUE"""),"Building")</f>
        <v>Building</v>
      </c>
      <c r="D14241" s="2" t="str">
        <f ca="1">IFERROR(__xludf.DUMMYFUNCTION("""COMPUTED_VALUE"""),"Dubai&gt;International City&gt;China Cluster&gt;Tabeer 1")</f>
        <v>Dubai&gt;International City&gt;China Cluster&gt;Tabeer 1</v>
      </c>
      <c r="E14241" s="2"/>
      <c r="F14241" s="2"/>
      <c r="G14241" s="2"/>
      <c r="H14241" s="2"/>
      <c r="I14241" s="2"/>
      <c r="J14241" s="2"/>
      <c r="K14241" s="2"/>
      <c r="L14241" s="2"/>
      <c r="M14241" s="2"/>
      <c r="N14241" s="2"/>
      <c r="O14241" s="2"/>
      <c r="P14241" s="2"/>
      <c r="Q14241" s="2"/>
      <c r="R14241" s="2"/>
      <c r="S14241" s="2"/>
      <c r="T14241" s="2"/>
      <c r="U14241" s="2"/>
      <c r="V14241" s="2"/>
      <c r="W14241" s="2"/>
      <c r="X14241" s="2"/>
      <c r="Y14241" s="2"/>
      <c r="Z14241" s="2"/>
    </row>
    <row r="14242" spans="1:26" ht="16.5" x14ac:dyDescent="0.35">
      <c r="A14242" s="2" t="str">
        <f ca="1">IFERROR(__xludf.DUMMYFUNCTION("""COMPUTED_VALUE"""),"Dubai")</f>
        <v>Dubai</v>
      </c>
      <c r="B14242" s="2" t="str">
        <f ca="1">IFERROR(__xludf.DUMMYFUNCTION("""COMPUTED_VALUE"""),"B-11")</f>
        <v>B-11</v>
      </c>
      <c r="C14242" s="2" t="str">
        <f ca="1">IFERROR(__xludf.DUMMYFUNCTION("""COMPUTED_VALUE"""),"Building")</f>
        <v>Building</v>
      </c>
      <c r="D14242" s="2" t="str">
        <f ca="1">IFERROR(__xludf.DUMMYFUNCTION("""COMPUTED_VALUE"""),"Dubai&gt;International City&gt;China Cluster&gt;B-11")</f>
        <v>Dubai&gt;International City&gt;China Cluster&gt;B-11</v>
      </c>
      <c r="E14242" s="2"/>
      <c r="F14242" s="2"/>
      <c r="G14242" s="2"/>
      <c r="H14242" s="2"/>
      <c r="I14242" s="2"/>
      <c r="J14242" s="2"/>
      <c r="K14242" s="2"/>
      <c r="L14242" s="2"/>
      <c r="M14242" s="2"/>
      <c r="N14242" s="2"/>
      <c r="O14242" s="2"/>
      <c r="P14242" s="2"/>
      <c r="Q14242" s="2"/>
      <c r="R14242" s="2"/>
      <c r="S14242" s="2"/>
      <c r="T14242" s="2"/>
      <c r="U14242" s="2"/>
      <c r="V14242" s="2"/>
      <c r="W14242" s="2"/>
      <c r="X14242" s="2"/>
      <c r="Y14242" s="2"/>
      <c r="Z14242" s="2"/>
    </row>
    <row r="14243" spans="1:26" ht="16.5" x14ac:dyDescent="0.35">
      <c r="A14243" s="2" t="str">
        <f ca="1">IFERROR(__xludf.DUMMYFUNCTION("""COMPUTED_VALUE"""),"Dubai")</f>
        <v>Dubai</v>
      </c>
      <c r="B14243" s="2" t="str">
        <f ca="1">IFERROR(__xludf.DUMMYFUNCTION("""COMPUTED_VALUE"""),"F-04")</f>
        <v>F-04</v>
      </c>
      <c r="C14243" s="2" t="str">
        <f ca="1">IFERROR(__xludf.DUMMYFUNCTION("""COMPUTED_VALUE"""),"Building")</f>
        <v>Building</v>
      </c>
      <c r="D14243" s="2" t="str">
        <f ca="1">IFERROR(__xludf.DUMMYFUNCTION("""COMPUTED_VALUE"""),"Dubai&gt;International City&gt;China Cluster&gt;F-04")</f>
        <v>Dubai&gt;International City&gt;China Cluster&gt;F-04</v>
      </c>
      <c r="E14243" s="2"/>
      <c r="F14243" s="2"/>
      <c r="G14243" s="2"/>
      <c r="H14243" s="2"/>
      <c r="I14243" s="2"/>
      <c r="J14243" s="2"/>
      <c r="K14243" s="2"/>
      <c r="L14243" s="2"/>
      <c r="M14243" s="2"/>
      <c r="N14243" s="2"/>
      <c r="O14243" s="2"/>
      <c r="P14243" s="2"/>
      <c r="Q14243" s="2"/>
      <c r="R14243" s="2"/>
      <c r="S14243" s="2"/>
      <c r="T14243" s="2"/>
      <c r="U14243" s="2"/>
      <c r="V14243" s="2"/>
      <c r="W14243" s="2"/>
      <c r="X14243" s="2"/>
      <c r="Y14243" s="2"/>
      <c r="Z14243" s="2"/>
    </row>
    <row r="14244" spans="1:26" ht="16.5" x14ac:dyDescent="0.35">
      <c r="A14244" s="2" t="str">
        <f ca="1">IFERROR(__xludf.DUMMYFUNCTION("""COMPUTED_VALUE"""),"Dubai")</f>
        <v>Dubai</v>
      </c>
      <c r="B14244" s="2" t="str">
        <f ca="1">IFERROR(__xludf.DUMMYFUNCTION("""COMPUTED_VALUE"""),"S-22")</f>
        <v>S-22</v>
      </c>
      <c r="C14244" s="2" t="str">
        <f ca="1">IFERROR(__xludf.DUMMYFUNCTION("""COMPUTED_VALUE"""),"Building")</f>
        <v>Building</v>
      </c>
      <c r="D14244" s="2" t="str">
        <f ca="1">IFERROR(__xludf.DUMMYFUNCTION("""COMPUTED_VALUE"""),"Dubai&gt;International City&gt;Spain Cluster&gt;S-22")</f>
        <v>Dubai&gt;International City&gt;Spain Cluster&gt;S-22</v>
      </c>
      <c r="E14244" s="2"/>
      <c r="F14244" s="2"/>
      <c r="G14244" s="2"/>
      <c r="H14244" s="2"/>
      <c r="I14244" s="2"/>
      <c r="J14244" s="2"/>
      <c r="K14244" s="2"/>
      <c r="L14244" s="2"/>
      <c r="M14244" s="2"/>
      <c r="N14244" s="2"/>
      <c r="O14244" s="2"/>
      <c r="P14244" s="2"/>
      <c r="Q14244" s="2"/>
      <c r="R14244" s="2"/>
      <c r="S14244" s="2"/>
      <c r="T14244" s="2"/>
      <c r="U14244" s="2"/>
      <c r="V14244" s="2"/>
      <c r="W14244" s="2"/>
      <c r="X14244" s="2"/>
      <c r="Y14244" s="2"/>
      <c r="Z14244" s="2"/>
    </row>
    <row r="14245" spans="1:26" ht="16.5" x14ac:dyDescent="0.35">
      <c r="A14245" s="2" t="str">
        <f ca="1">IFERROR(__xludf.DUMMYFUNCTION("""COMPUTED_VALUE"""),"Dubai")</f>
        <v>Dubai</v>
      </c>
      <c r="B14245" s="2" t="str">
        <f ca="1">IFERROR(__xludf.DUMMYFUNCTION("""COMPUTED_VALUE"""),"U-02")</f>
        <v>U-02</v>
      </c>
      <c r="C14245" s="2" t="str">
        <f ca="1">IFERROR(__xludf.DUMMYFUNCTION("""COMPUTED_VALUE"""),"Building")</f>
        <v>Building</v>
      </c>
      <c r="D14245" s="2" t="str">
        <f ca="1">IFERROR(__xludf.DUMMYFUNCTION("""COMPUTED_VALUE"""),"Dubai&gt;International City&gt;Italy Cluster&gt;U-02")</f>
        <v>Dubai&gt;International City&gt;Italy Cluster&gt;U-02</v>
      </c>
      <c r="E14245" s="2"/>
      <c r="F14245" s="2"/>
      <c r="G14245" s="2"/>
      <c r="H14245" s="2"/>
      <c r="I14245" s="2"/>
      <c r="J14245" s="2"/>
      <c r="K14245" s="2"/>
      <c r="L14245" s="2"/>
      <c r="M14245" s="2"/>
      <c r="N14245" s="2"/>
      <c r="O14245" s="2"/>
      <c r="P14245" s="2"/>
      <c r="Q14245" s="2"/>
      <c r="R14245" s="2"/>
      <c r="S14245" s="2"/>
      <c r="T14245" s="2"/>
      <c r="U14245" s="2"/>
      <c r="V14245" s="2"/>
      <c r="W14245" s="2"/>
      <c r="X14245" s="2"/>
      <c r="Y14245" s="2"/>
      <c r="Z14245" s="2"/>
    </row>
    <row r="14246" spans="1:26" ht="16.5" x14ac:dyDescent="0.35">
      <c r="A14246" s="2" t="str">
        <f ca="1">IFERROR(__xludf.DUMMYFUNCTION("""COMPUTED_VALUE"""),"Dubai")</f>
        <v>Dubai</v>
      </c>
      <c r="B14246" s="2" t="str">
        <f ca="1">IFERROR(__xludf.DUMMYFUNCTION("""COMPUTED_VALUE"""),"V-06")</f>
        <v>V-06</v>
      </c>
      <c r="C14246" s="2" t="str">
        <f ca="1">IFERROR(__xludf.DUMMYFUNCTION("""COMPUTED_VALUE"""),"Building")</f>
        <v>Building</v>
      </c>
      <c r="D14246" s="2" t="str">
        <f ca="1">IFERROR(__xludf.DUMMYFUNCTION("""COMPUTED_VALUE"""),"Dubai&gt;International City&gt;Russia Cluster&gt;V-06")</f>
        <v>Dubai&gt;International City&gt;Russia Cluster&gt;V-06</v>
      </c>
      <c r="E14246" s="2"/>
      <c r="F14246" s="2"/>
      <c r="G14246" s="2"/>
      <c r="H14246" s="2"/>
      <c r="I14246" s="2"/>
      <c r="J14246" s="2"/>
      <c r="K14246" s="2"/>
      <c r="L14246" s="2"/>
      <c r="M14246" s="2"/>
      <c r="N14246" s="2"/>
      <c r="O14246" s="2"/>
      <c r="P14246" s="2"/>
      <c r="Q14246" s="2"/>
      <c r="R14246" s="2"/>
      <c r="S14246" s="2"/>
      <c r="T14246" s="2"/>
      <c r="U14246" s="2"/>
      <c r="V14246" s="2"/>
      <c r="W14246" s="2"/>
      <c r="X14246" s="2"/>
      <c r="Y14246" s="2"/>
      <c r="Z14246" s="2"/>
    </row>
    <row r="14247" spans="1:26" ht="16.5" x14ac:dyDescent="0.35">
      <c r="A14247" s="2" t="str">
        <f ca="1">IFERROR(__xludf.DUMMYFUNCTION("""COMPUTED_VALUE"""),"Dubai")</f>
        <v>Dubai</v>
      </c>
      <c r="B14247" s="2" t="str">
        <f ca="1">IFERROR(__xludf.DUMMYFUNCTION("""COMPUTED_VALUE"""),"Persia Cluster")</f>
        <v>Persia Cluster</v>
      </c>
      <c r="C14247" s="2" t="str">
        <f ca="1">IFERROR(__xludf.DUMMYFUNCTION("""COMPUTED_VALUE"""),"Neighbourhood")</f>
        <v>Neighbourhood</v>
      </c>
      <c r="D14247" s="2" t="str">
        <f ca="1">IFERROR(__xludf.DUMMYFUNCTION("""COMPUTED_VALUE"""),"Dubai&gt;International City&gt;Persia Cluster")</f>
        <v>Dubai&gt;International City&gt;Persia Cluster</v>
      </c>
      <c r="E14247" s="2"/>
      <c r="F14247" s="2"/>
      <c r="G14247" s="2"/>
      <c r="H14247" s="2"/>
      <c r="I14247" s="2"/>
      <c r="J14247" s="2"/>
      <c r="K14247" s="2"/>
      <c r="L14247" s="2"/>
      <c r="M14247" s="2"/>
      <c r="N14247" s="2"/>
      <c r="O14247" s="2"/>
      <c r="P14247" s="2"/>
      <c r="Q14247" s="2"/>
      <c r="R14247" s="2"/>
      <c r="S14247" s="2"/>
      <c r="T14247" s="2"/>
      <c r="U14247" s="2"/>
      <c r="V14247" s="2"/>
      <c r="W14247" s="2"/>
      <c r="X14247" s="2"/>
      <c r="Y14247" s="2"/>
      <c r="Z14247" s="2"/>
    </row>
    <row r="14248" spans="1:26" ht="16.5" x14ac:dyDescent="0.35">
      <c r="A14248" s="2" t="str">
        <f ca="1">IFERROR(__xludf.DUMMYFUNCTION("""COMPUTED_VALUE"""),"Dubai")</f>
        <v>Dubai</v>
      </c>
      <c r="B14248" s="2" t="str">
        <f ca="1">IFERROR(__xludf.DUMMYFUNCTION("""COMPUTED_VALUE"""),"EMR-21")</f>
        <v>EMR-21</v>
      </c>
      <c r="C14248" s="2" t="str">
        <f ca="1">IFERROR(__xludf.DUMMYFUNCTION("""COMPUTED_VALUE"""),"Building")</f>
        <v>Building</v>
      </c>
      <c r="D14248" s="2" t="str">
        <f ca="1">IFERROR(__xludf.DUMMYFUNCTION("""COMPUTED_VALUE"""),"Dubai&gt;International City&gt;Emirates Cluster&gt;EMR-21")</f>
        <v>Dubai&gt;International City&gt;Emirates Cluster&gt;EMR-21</v>
      </c>
      <c r="E14248" s="2"/>
      <c r="F14248" s="2"/>
      <c r="G14248" s="2"/>
      <c r="H14248" s="2"/>
      <c r="I14248" s="2"/>
      <c r="J14248" s="2"/>
      <c r="K14248" s="2"/>
      <c r="L14248" s="2"/>
      <c r="M14248" s="2"/>
      <c r="N14248" s="2"/>
      <c r="O14248" s="2"/>
      <c r="P14248" s="2"/>
      <c r="Q14248" s="2"/>
      <c r="R14248" s="2"/>
      <c r="S14248" s="2"/>
      <c r="T14248" s="2"/>
      <c r="U14248" s="2"/>
      <c r="V14248" s="2"/>
      <c r="W14248" s="2"/>
      <c r="X14248" s="2"/>
      <c r="Y14248" s="2"/>
      <c r="Z14248" s="2"/>
    </row>
    <row r="14249" spans="1:26" ht="16.5" x14ac:dyDescent="0.35">
      <c r="A14249" s="2" t="str">
        <f ca="1">IFERROR(__xludf.DUMMYFUNCTION("""COMPUTED_VALUE"""),"Dubai")</f>
        <v>Dubai</v>
      </c>
      <c r="B14249" s="2" t="str">
        <f ca="1">IFERROR(__xludf.DUMMYFUNCTION("""COMPUTED_VALUE"""),"X-06")</f>
        <v>X-06</v>
      </c>
      <c r="C14249" s="2" t="str">
        <f ca="1">IFERROR(__xludf.DUMMYFUNCTION("""COMPUTED_VALUE"""),"Building")</f>
        <v>Building</v>
      </c>
      <c r="D14249" s="2" t="str">
        <f ca="1">IFERROR(__xludf.DUMMYFUNCTION("""COMPUTED_VALUE"""),"Dubai&gt;International City&gt;England Cluster&gt;X-06")</f>
        <v>Dubai&gt;International City&gt;England Cluster&gt;X-06</v>
      </c>
      <c r="E14249" s="2"/>
      <c r="F14249" s="2"/>
      <c r="G14249" s="2"/>
      <c r="H14249" s="2"/>
      <c r="I14249" s="2"/>
      <c r="J14249" s="2"/>
      <c r="K14249" s="2"/>
      <c r="L14249" s="2"/>
      <c r="M14249" s="2"/>
      <c r="N14249" s="2"/>
      <c r="O14249" s="2"/>
      <c r="P14249" s="2"/>
      <c r="Q14249" s="2"/>
      <c r="R14249" s="2"/>
      <c r="S14249" s="2"/>
      <c r="T14249" s="2"/>
      <c r="U14249" s="2"/>
      <c r="V14249" s="2"/>
      <c r="W14249" s="2"/>
      <c r="X14249" s="2"/>
      <c r="Y14249" s="2"/>
      <c r="Z14249" s="2"/>
    </row>
    <row r="14250" spans="1:26" ht="16.5" x14ac:dyDescent="0.35">
      <c r="A14250" s="2" t="str">
        <f ca="1">IFERROR(__xludf.DUMMYFUNCTION("""COMPUTED_VALUE"""),"Dubai")</f>
        <v>Dubai</v>
      </c>
      <c r="B14250" s="2" t="str">
        <f ca="1">IFERROR(__xludf.DUMMYFUNCTION("""COMPUTED_VALUE"""),"Y-12")</f>
        <v>Y-12</v>
      </c>
      <c r="C14250" s="2" t="str">
        <f ca="1">IFERROR(__xludf.DUMMYFUNCTION("""COMPUTED_VALUE"""),"Building")</f>
        <v>Building</v>
      </c>
      <c r="D14250" s="2" t="str">
        <f ca="1">IFERROR(__xludf.DUMMYFUNCTION("""COMPUTED_VALUE"""),"Dubai&gt;International City&gt;England Cluster&gt;Y-12")</f>
        <v>Dubai&gt;International City&gt;England Cluster&gt;Y-12</v>
      </c>
      <c r="E14250" s="2"/>
      <c r="F14250" s="2"/>
      <c r="G14250" s="2"/>
      <c r="H14250" s="2"/>
      <c r="I14250" s="2"/>
      <c r="J14250" s="2"/>
      <c r="K14250" s="2"/>
      <c r="L14250" s="2"/>
      <c r="M14250" s="2"/>
      <c r="N14250" s="2"/>
      <c r="O14250" s="2"/>
      <c r="P14250" s="2"/>
      <c r="Q14250" s="2"/>
      <c r="R14250" s="2"/>
      <c r="S14250" s="2"/>
      <c r="T14250" s="2"/>
      <c r="U14250" s="2"/>
      <c r="V14250" s="2"/>
      <c r="W14250" s="2"/>
      <c r="X14250" s="2"/>
      <c r="Y14250" s="2"/>
      <c r="Z14250" s="2"/>
    </row>
    <row r="14251" spans="1:26" ht="16.5" x14ac:dyDescent="0.35">
      <c r="A14251" s="2" t="str">
        <f ca="1">IFERROR(__xludf.DUMMYFUNCTION("""COMPUTED_VALUE"""),"Dubai")</f>
        <v>Dubai</v>
      </c>
      <c r="B14251" s="2" t="str">
        <f ca="1">IFERROR(__xludf.DUMMYFUNCTION("""COMPUTED_VALUE"""),"Mae Residence")</f>
        <v>Mae Residence</v>
      </c>
      <c r="C14251" s="2" t="str">
        <f ca="1">IFERROR(__xludf.DUMMYFUNCTION("""COMPUTED_VALUE"""),"Building")</f>
        <v>Building</v>
      </c>
      <c r="D14251" s="2" t="str">
        <f ca="1">IFERROR(__xludf.DUMMYFUNCTION("""COMPUTED_VALUE"""),"Dubai&gt;International City&gt;International City Phase 2 (Warsan 4)&gt;Mae Residence")</f>
        <v>Dubai&gt;International City&gt;International City Phase 2 (Warsan 4)&gt;Mae Residence</v>
      </c>
      <c r="E14251" s="2"/>
      <c r="F14251" s="2"/>
      <c r="G14251" s="2"/>
      <c r="H14251" s="2"/>
      <c r="I14251" s="2"/>
      <c r="J14251" s="2"/>
      <c r="K14251" s="2"/>
      <c r="L14251" s="2"/>
      <c r="M14251" s="2"/>
      <c r="N14251" s="2"/>
      <c r="O14251" s="2"/>
      <c r="P14251" s="2"/>
      <c r="Q14251" s="2"/>
      <c r="R14251" s="2"/>
      <c r="S14251" s="2"/>
      <c r="T14251" s="2"/>
      <c r="U14251" s="2"/>
      <c r="V14251" s="2"/>
      <c r="W14251" s="2"/>
      <c r="X14251" s="2"/>
      <c r="Y14251" s="2"/>
      <c r="Z14251" s="2"/>
    </row>
    <row r="14252" spans="1:26" ht="16.5" x14ac:dyDescent="0.35">
      <c r="A14252" s="2" t="str">
        <f ca="1">IFERROR(__xludf.DUMMYFUNCTION("""COMPUTED_VALUE"""),"Dubai")</f>
        <v>Dubai</v>
      </c>
      <c r="B14252" s="2" t="str">
        <f ca="1">IFERROR(__xludf.DUMMYFUNCTION("""COMPUTED_VALUE"""),"KHK Building")</f>
        <v>KHK Building</v>
      </c>
      <c r="C14252" s="2" t="str">
        <f ca="1">IFERROR(__xludf.DUMMYFUNCTION("""COMPUTED_VALUE"""),"Building")</f>
        <v>Building</v>
      </c>
      <c r="D14252" s="2" t="str">
        <f ca="1">IFERROR(__xludf.DUMMYFUNCTION("""COMPUTED_VALUE"""),"Dubai&gt;International City&gt;International City Phase 2 (Warsan 4)&gt;KHK Building")</f>
        <v>Dubai&gt;International City&gt;International City Phase 2 (Warsan 4)&gt;KHK Building</v>
      </c>
      <c r="E14252" s="2"/>
      <c r="F14252" s="2"/>
      <c r="G14252" s="2"/>
      <c r="H14252" s="2"/>
      <c r="I14252" s="2"/>
      <c r="J14252" s="2"/>
      <c r="K14252" s="2"/>
      <c r="L14252" s="2"/>
      <c r="M14252" s="2"/>
      <c r="N14252" s="2"/>
      <c r="O14252" s="2"/>
      <c r="P14252" s="2"/>
      <c r="Q14252" s="2"/>
      <c r="R14252" s="2"/>
      <c r="S14252" s="2"/>
      <c r="T14252" s="2"/>
      <c r="U14252" s="2"/>
      <c r="V14252" s="2"/>
      <c r="W14252" s="2"/>
      <c r="X14252" s="2"/>
      <c r="Y14252" s="2"/>
      <c r="Z14252" s="2"/>
    </row>
    <row r="14253" spans="1:26" ht="16.5" x14ac:dyDescent="0.35">
      <c r="A14253" s="2" t="str">
        <f ca="1">IFERROR(__xludf.DUMMYFUNCTION("""COMPUTED_VALUE"""),"Dubai")</f>
        <v>Dubai</v>
      </c>
      <c r="B14253" s="2" t="str">
        <f ca="1">IFERROR(__xludf.DUMMYFUNCTION("""COMPUTED_VALUE"""),"Warsan Oasis 1")</f>
        <v>Warsan Oasis 1</v>
      </c>
      <c r="C14253" s="2" t="str">
        <f ca="1">IFERROR(__xludf.DUMMYFUNCTION("""COMPUTED_VALUE"""),"Building")</f>
        <v>Building</v>
      </c>
      <c r="D14253" s="2" t="str">
        <f ca="1">IFERROR(__xludf.DUMMYFUNCTION("""COMPUTED_VALUE"""),"Dubai&gt;International City&gt;International City Phase 2 (Warsan 4)&gt;Warsan Oasis 1")</f>
        <v>Dubai&gt;International City&gt;International City Phase 2 (Warsan 4)&gt;Warsan Oasis 1</v>
      </c>
      <c r="E14253" s="2"/>
      <c r="F14253" s="2"/>
      <c r="G14253" s="2"/>
      <c r="H14253" s="2"/>
      <c r="I14253" s="2"/>
      <c r="J14253" s="2"/>
      <c r="K14253" s="2"/>
      <c r="L14253" s="2"/>
      <c r="M14253" s="2"/>
      <c r="N14253" s="2"/>
      <c r="O14253" s="2"/>
      <c r="P14253" s="2"/>
      <c r="Q14253" s="2"/>
      <c r="R14253" s="2"/>
      <c r="S14253" s="2"/>
      <c r="T14253" s="2"/>
      <c r="U14253" s="2"/>
      <c r="V14253" s="2"/>
      <c r="W14253" s="2"/>
      <c r="X14253" s="2"/>
      <c r="Y14253" s="2"/>
      <c r="Z14253" s="2"/>
    </row>
    <row r="14254" spans="1:26" ht="16.5" x14ac:dyDescent="0.35">
      <c r="A14254" s="2" t="str">
        <f ca="1">IFERROR(__xludf.DUMMYFUNCTION("""COMPUTED_VALUE"""),"Dubai")</f>
        <v>Dubai</v>
      </c>
      <c r="B14254" s="2" t="str">
        <f ca="1">IFERROR(__xludf.DUMMYFUNCTION("""COMPUTED_VALUE"""),"Olive Park Residence")</f>
        <v>Olive Park Residence</v>
      </c>
      <c r="C14254" s="2" t="str">
        <f ca="1">IFERROR(__xludf.DUMMYFUNCTION("""COMPUTED_VALUE"""),"Building")</f>
        <v>Building</v>
      </c>
      <c r="D14254" s="2" t="str">
        <f ca="1">IFERROR(__xludf.DUMMYFUNCTION("""COMPUTED_VALUE"""),"Dubai&gt;International City&gt;International City Phase 2 (Warsan 4)&gt;Olive Park Residence")</f>
        <v>Dubai&gt;International City&gt;International City Phase 2 (Warsan 4)&gt;Olive Park Residence</v>
      </c>
      <c r="E14254" s="2"/>
      <c r="F14254" s="2"/>
      <c r="G14254" s="2"/>
      <c r="H14254" s="2"/>
      <c r="I14254" s="2"/>
      <c r="J14254" s="2"/>
      <c r="K14254" s="2"/>
      <c r="L14254" s="2"/>
      <c r="M14254" s="2"/>
      <c r="N14254" s="2"/>
      <c r="O14254" s="2"/>
      <c r="P14254" s="2"/>
      <c r="Q14254" s="2"/>
      <c r="R14254" s="2"/>
      <c r="S14254" s="2"/>
      <c r="T14254" s="2"/>
      <c r="U14254" s="2"/>
      <c r="V14254" s="2"/>
      <c r="W14254" s="2"/>
      <c r="X14254" s="2"/>
      <c r="Y14254" s="2"/>
      <c r="Z14254" s="2"/>
    </row>
    <row r="14255" spans="1:26" ht="16.5" x14ac:dyDescent="0.35">
      <c r="A14255" s="2" t="str">
        <f ca="1">IFERROR(__xludf.DUMMYFUNCTION("""COMPUTED_VALUE"""),"Dubai")</f>
        <v>Dubai</v>
      </c>
      <c r="B14255" s="2" t="str">
        <f ca="1">IFERROR(__xludf.DUMMYFUNCTION("""COMPUTED_VALUE"""),"Sunlight Homes")</f>
        <v>Sunlight Homes</v>
      </c>
      <c r="C14255" s="2" t="str">
        <f ca="1">IFERROR(__xludf.DUMMYFUNCTION("""COMPUTED_VALUE"""),"Building")</f>
        <v>Building</v>
      </c>
      <c r="D14255" s="2" t="str">
        <f ca="1">IFERROR(__xludf.DUMMYFUNCTION("""COMPUTED_VALUE"""),"Dubai&gt;International City&gt;International City Phase 2 (Warsan 4)&gt;Sunlight Homes")</f>
        <v>Dubai&gt;International City&gt;International City Phase 2 (Warsan 4)&gt;Sunlight Homes</v>
      </c>
      <c r="E14255" s="2"/>
      <c r="F14255" s="2"/>
      <c r="G14255" s="2"/>
      <c r="H14255" s="2"/>
      <c r="I14255" s="2"/>
      <c r="J14255" s="2"/>
      <c r="K14255" s="2"/>
      <c r="L14255" s="2"/>
      <c r="M14255" s="2"/>
      <c r="N14255" s="2"/>
      <c r="O14255" s="2"/>
      <c r="P14255" s="2"/>
      <c r="Q14255" s="2"/>
      <c r="R14255" s="2"/>
      <c r="S14255" s="2"/>
      <c r="T14255" s="2"/>
      <c r="U14255" s="2"/>
      <c r="V14255" s="2"/>
      <c r="W14255" s="2"/>
      <c r="X14255" s="2"/>
      <c r="Y14255" s="2"/>
      <c r="Z14255" s="2"/>
    </row>
    <row r="14256" spans="1:26" ht="16.5" x14ac:dyDescent="0.35">
      <c r="A14256" s="2" t="str">
        <f ca="1">IFERROR(__xludf.DUMMYFUNCTION("""COMPUTED_VALUE"""),"Dubai")</f>
        <v>Dubai</v>
      </c>
      <c r="B14256" s="2" t="str">
        <f ca="1">IFERROR(__xludf.DUMMYFUNCTION("""COMPUTED_VALUE"""),"K-03")</f>
        <v>K-03</v>
      </c>
      <c r="C14256" s="2" t="str">
        <f ca="1">IFERROR(__xludf.DUMMYFUNCTION("""COMPUTED_VALUE"""),"Building")</f>
        <v>Building</v>
      </c>
      <c r="D14256" s="2" t="str">
        <f ca="1">IFERROR(__xludf.DUMMYFUNCTION("""COMPUTED_VALUE"""),"Dubai&gt;International City&gt;Greece Cluster&gt;K-03")</f>
        <v>Dubai&gt;International City&gt;Greece Cluster&gt;K-03</v>
      </c>
      <c r="E14256" s="2"/>
      <c r="F14256" s="2"/>
      <c r="G14256" s="2"/>
      <c r="H14256" s="2"/>
      <c r="I14256" s="2"/>
      <c r="J14256" s="2"/>
      <c r="K14256" s="2"/>
      <c r="L14256" s="2"/>
      <c r="M14256" s="2"/>
      <c r="N14256" s="2"/>
      <c r="O14256" s="2"/>
      <c r="P14256" s="2"/>
      <c r="Q14256" s="2"/>
      <c r="R14256" s="2"/>
      <c r="S14256" s="2"/>
      <c r="T14256" s="2"/>
      <c r="U14256" s="2"/>
      <c r="V14256" s="2"/>
      <c r="W14256" s="2"/>
      <c r="X14256" s="2"/>
      <c r="Y14256" s="2"/>
      <c r="Z14256" s="2"/>
    </row>
    <row r="14257" spans="1:26" ht="16.5" x14ac:dyDescent="0.35">
      <c r="A14257" s="2" t="str">
        <f ca="1">IFERROR(__xludf.DUMMYFUNCTION("""COMPUTED_VALUE"""),"Dubai")</f>
        <v>Dubai</v>
      </c>
      <c r="B14257" s="2" t="str">
        <f ca="1">IFERROR(__xludf.DUMMYFUNCTION("""COMPUTED_VALUE"""),"R-19")</f>
        <v>R-19</v>
      </c>
      <c r="C14257" s="2" t="str">
        <f ca="1">IFERROR(__xludf.DUMMYFUNCTION("""COMPUTED_VALUE"""),"Building")</f>
        <v>Building</v>
      </c>
      <c r="D14257" s="2" t="str">
        <f ca="1">IFERROR(__xludf.DUMMYFUNCTION("""COMPUTED_VALUE"""),"Dubai&gt;International City&gt;France Cluster&gt;R-19")</f>
        <v>Dubai&gt;International City&gt;France Cluster&gt;R-19</v>
      </c>
      <c r="E14257" s="2"/>
      <c r="F14257" s="2"/>
      <c r="G14257" s="2"/>
      <c r="H14257" s="2"/>
      <c r="I14257" s="2"/>
      <c r="J14257" s="2"/>
      <c r="K14257" s="2"/>
      <c r="L14257" s="2"/>
      <c r="M14257" s="2"/>
      <c r="N14257" s="2"/>
      <c r="O14257" s="2"/>
      <c r="P14257" s="2"/>
      <c r="Q14257" s="2"/>
      <c r="R14257" s="2"/>
      <c r="S14257" s="2"/>
      <c r="T14257" s="2"/>
      <c r="U14257" s="2"/>
      <c r="V14257" s="2"/>
      <c r="W14257" s="2"/>
      <c r="X14257" s="2"/>
      <c r="Y14257" s="2"/>
      <c r="Z14257" s="2"/>
    </row>
    <row r="14258" spans="1:26" ht="16.5" x14ac:dyDescent="0.35">
      <c r="A14258" s="2" t="str">
        <f ca="1">IFERROR(__xludf.DUMMYFUNCTION("""COMPUTED_VALUE"""),"Dubai")</f>
        <v>Dubai</v>
      </c>
      <c r="B14258" s="2" t="str">
        <f ca="1">IFERROR(__xludf.DUMMYFUNCTION("""COMPUTED_VALUE"""),"R-24")</f>
        <v>R-24</v>
      </c>
      <c r="C14258" s="2" t="str">
        <f ca="1">IFERROR(__xludf.DUMMYFUNCTION("""COMPUTED_VALUE"""),"Building")</f>
        <v>Building</v>
      </c>
      <c r="D14258" s="2" t="str">
        <f ca="1">IFERROR(__xludf.DUMMYFUNCTION("""COMPUTED_VALUE"""),"Dubai&gt;International City&gt;France Cluster&gt;R-24")</f>
        <v>Dubai&gt;International City&gt;France Cluster&gt;R-24</v>
      </c>
      <c r="E14258" s="2"/>
      <c r="F14258" s="2"/>
      <c r="G14258" s="2"/>
      <c r="H14258" s="2"/>
      <c r="I14258" s="2"/>
      <c r="J14258" s="2"/>
      <c r="K14258" s="2"/>
      <c r="L14258" s="2"/>
      <c r="M14258" s="2"/>
      <c r="N14258" s="2"/>
      <c r="O14258" s="2"/>
      <c r="P14258" s="2"/>
      <c r="Q14258" s="2"/>
      <c r="R14258" s="2"/>
      <c r="S14258" s="2"/>
      <c r="T14258" s="2"/>
      <c r="U14258" s="2"/>
      <c r="V14258" s="2"/>
      <c r="W14258" s="2"/>
      <c r="X14258" s="2"/>
      <c r="Y14258" s="2"/>
      <c r="Z14258" s="2"/>
    </row>
    <row r="14259" spans="1:26" ht="16.5" x14ac:dyDescent="0.35">
      <c r="A14259" s="2" t="str">
        <f ca="1">IFERROR(__xludf.DUMMYFUNCTION("""COMPUTED_VALUE"""),"Dubai")</f>
        <v>Dubai</v>
      </c>
      <c r="B14259" s="2" t="str">
        <f ca="1">IFERROR(__xludf.DUMMYFUNCTION("""COMPUTED_VALUE"""),"Royal Residence")</f>
        <v>Royal Residence</v>
      </c>
      <c r="C14259" s="2" t="str">
        <f ca="1">IFERROR(__xludf.DUMMYFUNCTION("""COMPUTED_VALUE"""),"Building")</f>
        <v>Building</v>
      </c>
      <c r="D14259" s="2" t="str">
        <f ca="1">IFERROR(__xludf.DUMMYFUNCTION("""COMPUTED_VALUE"""),"Dubai&gt;International City&gt;Central Business District&gt;Royal Residence")</f>
        <v>Dubai&gt;International City&gt;Central Business District&gt;Royal Residence</v>
      </c>
      <c r="E14259" s="2"/>
      <c r="F14259" s="2"/>
      <c r="G14259" s="2"/>
      <c r="H14259" s="2"/>
      <c r="I14259" s="2"/>
      <c r="J14259" s="2"/>
      <c r="K14259" s="2"/>
      <c r="L14259" s="2"/>
      <c r="M14259" s="2"/>
      <c r="N14259" s="2"/>
      <c r="O14259" s="2"/>
      <c r="P14259" s="2"/>
      <c r="Q14259" s="2"/>
      <c r="R14259" s="2"/>
      <c r="S14259" s="2"/>
      <c r="T14259" s="2"/>
      <c r="U14259" s="2"/>
      <c r="V14259" s="2"/>
      <c r="W14259" s="2"/>
      <c r="X14259" s="2"/>
      <c r="Y14259" s="2"/>
      <c r="Z14259" s="2"/>
    </row>
    <row r="14260" spans="1:26" ht="16.5" x14ac:dyDescent="0.35">
      <c r="A14260" s="2" t="str">
        <f ca="1">IFERROR(__xludf.DUMMYFUNCTION("""COMPUTED_VALUE"""),"Dubai")</f>
        <v>Dubai</v>
      </c>
      <c r="B14260" s="2" t="str">
        <f ca="1">IFERROR(__xludf.DUMMYFUNCTION("""COMPUTED_VALUE"""),"Golden Hills")</f>
        <v>Golden Hills</v>
      </c>
      <c r="C14260" s="2" t="str">
        <f ca="1">IFERROR(__xludf.DUMMYFUNCTION("""COMPUTED_VALUE"""),"Building")</f>
        <v>Building</v>
      </c>
      <c r="D14260" s="2" t="str">
        <f ca="1">IFERROR(__xludf.DUMMYFUNCTION("""COMPUTED_VALUE"""),"Dubai&gt;International City&gt;Golden Hills")</f>
        <v>Dubai&gt;International City&gt;Golden Hills</v>
      </c>
      <c r="E14260" s="2"/>
      <c r="F14260" s="2"/>
      <c r="G14260" s="2"/>
      <c r="H14260" s="2"/>
      <c r="I14260" s="2"/>
      <c r="J14260" s="2"/>
      <c r="K14260" s="2"/>
      <c r="L14260" s="2"/>
      <c r="M14260" s="2"/>
      <c r="N14260" s="2"/>
      <c r="O14260" s="2"/>
      <c r="P14260" s="2"/>
      <c r="Q14260" s="2"/>
      <c r="R14260" s="2"/>
      <c r="S14260" s="2"/>
      <c r="T14260" s="2"/>
      <c r="U14260" s="2"/>
      <c r="V14260" s="2"/>
      <c r="W14260" s="2"/>
      <c r="X14260" s="2"/>
      <c r="Y14260" s="2"/>
      <c r="Z14260" s="2"/>
    </row>
    <row r="14261" spans="1:26" ht="16.5" x14ac:dyDescent="0.35">
      <c r="A14261" s="2" t="str">
        <f ca="1">IFERROR(__xludf.DUMMYFUNCTION("""COMPUTED_VALUE"""),"Dubai")</f>
        <v>Dubai</v>
      </c>
      <c r="B14261" s="2" t="str">
        <f ca="1">IFERROR(__xludf.DUMMYFUNCTION("""COMPUTED_VALUE"""),"Marina First Tower")</f>
        <v>Marina First Tower</v>
      </c>
      <c r="C14261" s="2" t="str">
        <f ca="1">IFERROR(__xludf.DUMMYFUNCTION("""COMPUTED_VALUE"""),"Building")</f>
        <v>Building</v>
      </c>
      <c r="D14261" s="2" t="str">
        <f ca="1">IFERROR(__xludf.DUMMYFUNCTION("""COMPUTED_VALUE"""),"Dubai&gt;Dubai Marina&gt;Marina First Tower")</f>
        <v>Dubai&gt;Dubai Marina&gt;Marina First Tower</v>
      </c>
      <c r="E14261" s="2"/>
      <c r="F14261" s="2"/>
      <c r="G14261" s="2"/>
      <c r="H14261" s="2"/>
      <c r="I14261" s="2"/>
      <c r="J14261" s="2"/>
      <c r="K14261" s="2"/>
      <c r="L14261" s="2"/>
      <c r="M14261" s="2"/>
      <c r="N14261" s="2"/>
      <c r="O14261" s="2"/>
      <c r="P14261" s="2"/>
      <c r="Q14261" s="2"/>
      <c r="R14261" s="2"/>
      <c r="S14261" s="2"/>
      <c r="T14261" s="2"/>
      <c r="U14261" s="2"/>
      <c r="V14261" s="2"/>
      <c r="W14261" s="2"/>
      <c r="X14261" s="2"/>
      <c r="Y14261" s="2"/>
      <c r="Z14261" s="2"/>
    </row>
    <row r="14262" spans="1:26" ht="16.5" x14ac:dyDescent="0.35">
      <c r="A14262" s="2" t="str">
        <f ca="1">IFERROR(__xludf.DUMMYFUNCTION("""COMPUTED_VALUE"""),"Dubai")</f>
        <v>Dubai</v>
      </c>
      <c r="B14262" s="2" t="str">
        <f ca="1">IFERROR(__xludf.DUMMYFUNCTION("""COMPUTED_VALUE"""),"Marina Quays")</f>
        <v>Marina Quays</v>
      </c>
      <c r="C14262" s="2" t="str">
        <f ca="1">IFERROR(__xludf.DUMMYFUNCTION("""COMPUTED_VALUE"""),"Cluster")</f>
        <v>Cluster</v>
      </c>
      <c r="D14262" s="2" t="str">
        <f ca="1">IFERROR(__xludf.DUMMYFUNCTION("""COMPUTED_VALUE"""),"Dubai&gt;Dubai Marina&gt;Marina Quays")</f>
        <v>Dubai&gt;Dubai Marina&gt;Marina Quays</v>
      </c>
      <c r="E14262" s="2"/>
      <c r="F14262" s="2"/>
      <c r="G14262" s="2"/>
      <c r="H14262" s="2"/>
      <c r="I14262" s="2"/>
      <c r="J14262" s="2"/>
      <c r="K14262" s="2"/>
      <c r="L14262" s="2"/>
      <c r="M14262" s="2"/>
      <c r="N14262" s="2"/>
      <c r="O14262" s="2"/>
      <c r="P14262" s="2"/>
      <c r="Q14262" s="2"/>
      <c r="R14262" s="2"/>
      <c r="S14262" s="2"/>
      <c r="T14262" s="2"/>
      <c r="U14262" s="2"/>
      <c r="V14262" s="2"/>
      <c r="W14262" s="2"/>
      <c r="X14262" s="2"/>
      <c r="Y14262" s="2"/>
      <c r="Z14262" s="2"/>
    </row>
    <row r="14263" spans="1:26" ht="16.5" x14ac:dyDescent="0.35">
      <c r="A14263" s="2" t="str">
        <f ca="1">IFERROR(__xludf.DUMMYFUNCTION("""COMPUTED_VALUE"""),"Dubai")</f>
        <v>Dubai</v>
      </c>
      <c r="B14263" s="2" t="str">
        <f ca="1">IFERROR(__xludf.DUMMYFUNCTION("""COMPUTED_VALUE"""),"Trident Marinascape Oceanic Tower")</f>
        <v>Trident Marinascape Oceanic Tower</v>
      </c>
      <c r="C14263" s="2" t="str">
        <f ca="1">IFERROR(__xludf.DUMMYFUNCTION("""COMPUTED_VALUE"""),"Building")</f>
        <v>Building</v>
      </c>
      <c r="D14263" s="2" t="str">
        <f ca="1">IFERROR(__xludf.DUMMYFUNCTION("""COMPUTED_VALUE"""),"Dubai&gt;Dubai Marina&gt;Trident Marinascape&gt;Trident Marinascape Oceanic Tower")</f>
        <v>Dubai&gt;Dubai Marina&gt;Trident Marinascape&gt;Trident Marinascape Oceanic Tower</v>
      </c>
      <c r="E14263" s="2"/>
      <c r="F14263" s="2"/>
      <c r="G14263" s="2"/>
      <c r="H14263" s="2"/>
      <c r="I14263" s="2"/>
      <c r="J14263" s="2"/>
      <c r="K14263" s="2"/>
      <c r="L14263" s="2"/>
      <c r="M14263" s="2"/>
      <c r="N14263" s="2"/>
      <c r="O14263" s="2"/>
      <c r="P14263" s="2"/>
      <c r="Q14263" s="2"/>
      <c r="R14263" s="2"/>
      <c r="S14263" s="2"/>
      <c r="T14263" s="2"/>
      <c r="U14263" s="2"/>
      <c r="V14263" s="2"/>
      <c r="W14263" s="2"/>
      <c r="X14263" s="2"/>
      <c r="Y14263" s="2"/>
      <c r="Z14263" s="2"/>
    </row>
    <row r="14264" spans="1:26" ht="16.5" x14ac:dyDescent="0.35">
      <c r="A14264" s="2" t="str">
        <f ca="1">IFERROR(__xludf.DUMMYFUNCTION("""COMPUTED_VALUE"""),"Dubai")</f>
        <v>Dubai</v>
      </c>
      <c r="B14264" s="2" t="str">
        <f ca="1">IFERROR(__xludf.DUMMYFUNCTION("""COMPUTED_VALUE"""),"Grosvenor House")</f>
        <v>Grosvenor House</v>
      </c>
      <c r="C14264" s="2" t="str">
        <f ca="1">IFERROR(__xludf.DUMMYFUNCTION("""COMPUTED_VALUE"""),"Building")</f>
        <v>Building</v>
      </c>
      <c r="D14264" s="2" t="str">
        <f ca="1">IFERROR(__xludf.DUMMYFUNCTION("""COMPUTED_VALUE"""),"Dubai&gt;Dubai Marina&gt;Grosvenor House")</f>
        <v>Dubai&gt;Dubai Marina&gt;Grosvenor House</v>
      </c>
      <c r="E14264" s="2"/>
      <c r="F14264" s="2"/>
      <c r="G14264" s="2"/>
      <c r="H14264" s="2"/>
      <c r="I14264" s="2"/>
      <c r="J14264" s="2"/>
      <c r="K14264" s="2"/>
      <c r="L14264" s="2"/>
      <c r="M14264" s="2"/>
      <c r="N14264" s="2"/>
      <c r="O14264" s="2"/>
      <c r="P14264" s="2"/>
      <c r="Q14264" s="2"/>
      <c r="R14264" s="2"/>
      <c r="S14264" s="2"/>
      <c r="T14264" s="2"/>
      <c r="U14264" s="2"/>
      <c r="V14264" s="2"/>
      <c r="W14264" s="2"/>
      <c r="X14264" s="2"/>
      <c r="Y14264" s="2"/>
      <c r="Z14264" s="2"/>
    </row>
    <row r="14265" spans="1:26" ht="16.5" x14ac:dyDescent="0.35">
      <c r="A14265" s="2" t="str">
        <f ca="1">IFERROR(__xludf.DUMMYFUNCTION("""COMPUTED_VALUE"""),"Dubai")</f>
        <v>Dubai</v>
      </c>
      <c r="B14265" s="2" t="str">
        <f ca="1">IFERROR(__xludf.DUMMYFUNCTION("""COMPUTED_VALUE"""),"Ariyana Tower")</f>
        <v>Ariyana Tower</v>
      </c>
      <c r="C14265" s="2" t="str">
        <f ca="1">IFERROR(__xludf.DUMMYFUNCTION("""COMPUTED_VALUE"""),"Building")</f>
        <v>Building</v>
      </c>
      <c r="D14265" s="2" t="str">
        <f ca="1">IFERROR(__xludf.DUMMYFUNCTION("""COMPUTED_VALUE"""),"Dubai&gt;Dubai Marina&gt;Ariyana Tower")</f>
        <v>Dubai&gt;Dubai Marina&gt;Ariyana Tower</v>
      </c>
      <c r="E14265" s="2"/>
      <c r="F14265" s="2"/>
      <c r="G14265" s="2"/>
      <c r="H14265" s="2"/>
      <c r="I14265" s="2"/>
      <c r="J14265" s="2"/>
      <c r="K14265" s="2"/>
      <c r="L14265" s="2"/>
      <c r="M14265" s="2"/>
      <c r="N14265" s="2"/>
      <c r="O14265" s="2"/>
      <c r="P14265" s="2"/>
      <c r="Q14265" s="2"/>
      <c r="R14265" s="2"/>
      <c r="S14265" s="2"/>
      <c r="T14265" s="2"/>
      <c r="U14265" s="2"/>
      <c r="V14265" s="2"/>
      <c r="W14265" s="2"/>
      <c r="X14265" s="2"/>
      <c r="Y14265" s="2"/>
      <c r="Z14265" s="2"/>
    </row>
    <row r="14266" spans="1:26" ht="16.5" x14ac:dyDescent="0.35">
      <c r="A14266" s="2" t="str">
        <f ca="1">IFERROR(__xludf.DUMMYFUNCTION("""COMPUTED_VALUE"""),"Dubai")</f>
        <v>Dubai</v>
      </c>
      <c r="B14266" s="2" t="str">
        <f ca="1">IFERROR(__xludf.DUMMYFUNCTION("""COMPUTED_VALUE"""),"Jumeirah Living Marina Gate")</f>
        <v>Jumeirah Living Marina Gate</v>
      </c>
      <c r="C14266" s="2" t="str">
        <f ca="1">IFERROR(__xludf.DUMMYFUNCTION("""COMPUTED_VALUE"""),"Building")</f>
        <v>Building</v>
      </c>
      <c r="D14266" s="2" t="str">
        <f ca="1">IFERROR(__xludf.DUMMYFUNCTION("""COMPUTED_VALUE"""),"Dubai&gt;Dubai Marina&gt;Marina Gate&gt;Jumeirah Living Marina Gate")</f>
        <v>Dubai&gt;Dubai Marina&gt;Marina Gate&gt;Jumeirah Living Marina Gate</v>
      </c>
      <c r="E14266" s="2"/>
      <c r="F14266" s="2"/>
      <c r="G14266" s="2"/>
      <c r="H14266" s="2"/>
      <c r="I14266" s="2"/>
      <c r="J14266" s="2"/>
      <c r="K14266" s="2"/>
      <c r="L14266" s="2"/>
      <c r="M14266" s="2"/>
      <c r="N14266" s="2"/>
      <c r="O14266" s="2"/>
      <c r="P14266" s="2"/>
      <c r="Q14266" s="2"/>
      <c r="R14266" s="2"/>
      <c r="S14266" s="2"/>
      <c r="T14266" s="2"/>
      <c r="U14266" s="2"/>
      <c r="V14266" s="2"/>
      <c r="W14266" s="2"/>
      <c r="X14266" s="2"/>
      <c r="Y14266" s="2"/>
      <c r="Z14266" s="2"/>
    </row>
    <row r="14267" spans="1:26" ht="16.5" x14ac:dyDescent="0.35">
      <c r="A14267" s="2" t="str">
        <f ca="1">IFERROR(__xludf.DUMMYFUNCTION("""COMPUTED_VALUE"""),"Dubai")</f>
        <v>Dubai</v>
      </c>
      <c r="B14267" s="2" t="str">
        <f ca="1">IFERROR(__xludf.DUMMYFUNCTION("""COMPUTED_VALUE"""),"Aeternitas Tower")</f>
        <v>Aeternitas Tower</v>
      </c>
      <c r="C14267" s="2" t="str">
        <f ca="1">IFERROR(__xludf.DUMMYFUNCTION("""COMPUTED_VALUE"""),"Building")</f>
        <v>Building</v>
      </c>
      <c r="D14267" s="2" t="str">
        <f ca="1">IFERROR(__xludf.DUMMYFUNCTION("""COMPUTED_VALUE"""),"Dubai&gt;Dubai Marina&gt;Aeternitas Tower")</f>
        <v>Dubai&gt;Dubai Marina&gt;Aeternitas Tower</v>
      </c>
      <c r="E14267" s="2"/>
      <c r="F14267" s="2"/>
      <c r="G14267" s="2"/>
      <c r="H14267" s="2"/>
      <c r="I14267" s="2"/>
      <c r="J14267" s="2"/>
      <c r="K14267" s="2"/>
      <c r="L14267" s="2"/>
      <c r="M14267" s="2"/>
      <c r="N14267" s="2"/>
      <c r="O14267" s="2"/>
      <c r="P14267" s="2"/>
      <c r="Q14267" s="2"/>
      <c r="R14267" s="2"/>
      <c r="S14267" s="2"/>
      <c r="T14267" s="2"/>
      <c r="U14267" s="2"/>
      <c r="V14267" s="2"/>
      <c r="W14267" s="2"/>
      <c r="X14267" s="2"/>
      <c r="Y14267" s="2"/>
      <c r="Z14267" s="2"/>
    </row>
    <row r="14268" spans="1:26" ht="16.5" x14ac:dyDescent="0.35">
      <c r="A14268" s="2" t="str">
        <f ca="1">IFERROR(__xludf.DUMMYFUNCTION("""COMPUTED_VALUE"""),"Dubai")</f>
        <v>Dubai</v>
      </c>
      <c r="B14268" s="2" t="str">
        <f ca="1">IFERROR(__xludf.DUMMYFUNCTION("""COMPUTED_VALUE"""),"Warda Apartments 2")</f>
        <v>Warda Apartments 2</v>
      </c>
      <c r="C14268" s="2" t="str">
        <f ca="1">IFERROR(__xludf.DUMMYFUNCTION("""COMPUTED_VALUE"""),"Building")</f>
        <v>Building</v>
      </c>
      <c r="D14268" s="2" t="str">
        <f ca="1">IFERROR(__xludf.DUMMYFUNCTION("""COMPUTED_VALUE"""),"Dubai&gt;Town Square&gt;Warda Apartments&gt;Warda Apartments 2")</f>
        <v>Dubai&gt;Town Square&gt;Warda Apartments&gt;Warda Apartments 2</v>
      </c>
      <c r="E14268" s="2"/>
      <c r="F14268" s="2"/>
      <c r="G14268" s="2"/>
      <c r="H14268" s="2"/>
      <c r="I14268" s="2"/>
      <c r="J14268" s="2"/>
      <c r="K14268" s="2"/>
      <c r="L14268" s="2"/>
      <c r="M14268" s="2"/>
      <c r="N14268" s="2"/>
      <c r="O14268" s="2"/>
      <c r="P14268" s="2"/>
      <c r="Q14268" s="2"/>
      <c r="R14268" s="2"/>
      <c r="S14268" s="2"/>
      <c r="T14268" s="2"/>
      <c r="U14268" s="2"/>
      <c r="V14268" s="2"/>
      <c r="W14268" s="2"/>
      <c r="X14268" s="2"/>
      <c r="Y14268" s="2"/>
      <c r="Z14268" s="2"/>
    </row>
    <row r="14269" spans="1:26" ht="16.5" x14ac:dyDescent="0.35">
      <c r="A14269" s="2" t="str">
        <f ca="1">IFERROR(__xludf.DUMMYFUNCTION("""COMPUTED_VALUE"""),"Dubai")</f>
        <v>Dubai</v>
      </c>
      <c r="B14269" s="2" t="str">
        <f ca="1">IFERROR(__xludf.DUMMYFUNCTION("""COMPUTED_VALUE"""),"Shams Townhouses")</f>
        <v>Shams Townhouses</v>
      </c>
      <c r="C14269" s="2" t="str">
        <f ca="1">IFERROR(__xludf.DUMMYFUNCTION("""COMPUTED_VALUE"""),"Neighbourhood")</f>
        <v>Neighbourhood</v>
      </c>
      <c r="D14269" s="2" t="str">
        <f ca="1">IFERROR(__xludf.DUMMYFUNCTION("""COMPUTED_VALUE"""),"Dubai&gt;Town Square&gt;Shams Townhouses")</f>
        <v>Dubai&gt;Town Square&gt;Shams Townhouses</v>
      </c>
      <c r="E14269" s="2"/>
      <c r="F14269" s="2"/>
      <c r="G14269" s="2"/>
      <c r="H14269" s="2"/>
      <c r="I14269" s="2"/>
      <c r="J14269" s="2"/>
      <c r="K14269" s="2"/>
      <c r="L14269" s="2"/>
      <c r="M14269" s="2"/>
      <c r="N14269" s="2"/>
      <c r="O14269" s="2"/>
      <c r="P14269" s="2"/>
      <c r="Q14269" s="2"/>
      <c r="R14269" s="2"/>
      <c r="S14269" s="2"/>
      <c r="T14269" s="2"/>
      <c r="U14269" s="2"/>
      <c r="V14269" s="2"/>
      <c r="W14269" s="2"/>
      <c r="X14269" s="2"/>
      <c r="Y14269" s="2"/>
      <c r="Z14269" s="2"/>
    </row>
    <row r="14270" spans="1:26" ht="16.5" x14ac:dyDescent="0.35">
      <c r="A14270" s="2" t="str">
        <f ca="1">IFERROR(__xludf.DUMMYFUNCTION("""COMPUTED_VALUE"""),"Dubai")</f>
        <v>Dubai</v>
      </c>
      <c r="B14270" s="2" t="str">
        <f ca="1">IFERROR(__xludf.DUMMYFUNCTION("""COMPUTED_VALUE"""),"Lexington")</f>
        <v>Lexington</v>
      </c>
      <c r="C14270" s="2" t="str">
        <f ca="1">IFERROR(__xludf.DUMMYFUNCTION("""COMPUTED_VALUE"""),"Building")</f>
        <v>Building</v>
      </c>
      <c r="D14270" s="2" t="str">
        <f ca="1">IFERROR(__xludf.DUMMYFUNCTION("""COMPUTED_VALUE"""),"Dubai&gt;Town Square&gt;Lexington")</f>
        <v>Dubai&gt;Town Square&gt;Lexington</v>
      </c>
      <c r="E14270" s="2"/>
      <c r="F14270" s="2"/>
      <c r="G14270" s="2"/>
      <c r="H14270" s="2"/>
      <c r="I14270" s="2"/>
      <c r="J14270" s="2"/>
      <c r="K14270" s="2"/>
      <c r="L14270" s="2"/>
      <c r="M14270" s="2"/>
      <c r="N14270" s="2"/>
      <c r="O14270" s="2"/>
      <c r="P14270" s="2"/>
      <c r="Q14270" s="2"/>
      <c r="R14270" s="2"/>
      <c r="S14270" s="2"/>
      <c r="T14270" s="2"/>
      <c r="U14270" s="2"/>
      <c r="V14270" s="2"/>
      <c r="W14270" s="2"/>
      <c r="X14270" s="2"/>
      <c r="Y14270" s="2"/>
      <c r="Z14270" s="2"/>
    </row>
    <row r="14271" spans="1:26" ht="16.5" x14ac:dyDescent="0.35">
      <c r="A14271" s="2" t="str">
        <f ca="1">IFERROR(__xludf.DUMMYFUNCTION("""COMPUTED_VALUE"""),"Dubai")</f>
        <v>Dubai</v>
      </c>
      <c r="B14271" s="2" t="str">
        <f ca="1">IFERROR(__xludf.DUMMYFUNCTION("""COMPUTED_VALUE"""),"Azizi Tulip")</f>
        <v>Azizi Tulip</v>
      </c>
      <c r="C14271" s="2" t="str">
        <f ca="1">IFERROR(__xludf.DUMMYFUNCTION("""COMPUTED_VALUE"""),"Building")</f>
        <v>Building</v>
      </c>
      <c r="D14271" s="2" t="str">
        <f ca="1">IFERROR(__xludf.DUMMYFUNCTION("""COMPUTED_VALUE"""),"Dubai&gt;Al Furjan&gt;Azizi Tulip")</f>
        <v>Dubai&gt;Al Furjan&gt;Azizi Tulip</v>
      </c>
      <c r="E14271" s="2"/>
      <c r="F14271" s="2"/>
      <c r="G14271" s="2"/>
      <c r="H14271" s="2"/>
      <c r="I14271" s="2"/>
      <c r="J14271" s="2"/>
      <c r="K14271" s="2"/>
      <c r="L14271" s="2"/>
      <c r="M14271" s="2"/>
      <c r="N14271" s="2"/>
      <c r="O14271" s="2"/>
      <c r="P14271" s="2"/>
      <c r="Q14271" s="2"/>
      <c r="R14271" s="2"/>
      <c r="S14271" s="2"/>
      <c r="T14271" s="2"/>
      <c r="U14271" s="2"/>
      <c r="V14271" s="2"/>
      <c r="W14271" s="2"/>
      <c r="X14271" s="2"/>
      <c r="Y14271" s="2"/>
      <c r="Z14271" s="2"/>
    </row>
    <row r="14272" spans="1:26" ht="16.5" x14ac:dyDescent="0.35">
      <c r="A14272" s="2" t="str">
        <f ca="1">IFERROR(__xludf.DUMMYFUNCTION("""COMPUTED_VALUE"""),"Dubai")</f>
        <v>Dubai</v>
      </c>
      <c r="B14272" s="2" t="str">
        <f ca="1">IFERROR(__xludf.DUMMYFUNCTION("""COMPUTED_VALUE"""),"Murooj Al Furjan")</f>
        <v>Murooj Al Furjan</v>
      </c>
      <c r="C14272" s="2" t="str">
        <f ca="1">IFERROR(__xludf.DUMMYFUNCTION("""COMPUTED_VALUE"""),"Neighbourhood")</f>
        <v>Neighbourhood</v>
      </c>
      <c r="D14272" s="2" t="str">
        <f ca="1">IFERROR(__xludf.DUMMYFUNCTION("""COMPUTED_VALUE"""),"Dubai&gt;Al Furjan&gt;Murooj Al Furjan")</f>
        <v>Dubai&gt;Al Furjan&gt;Murooj Al Furjan</v>
      </c>
      <c r="E14272" s="2"/>
      <c r="F14272" s="2"/>
      <c r="G14272" s="2"/>
      <c r="H14272" s="2"/>
      <c r="I14272" s="2"/>
      <c r="J14272" s="2"/>
      <c r="K14272" s="2"/>
      <c r="L14272" s="2"/>
      <c r="M14272" s="2"/>
      <c r="N14272" s="2"/>
      <c r="O14272" s="2"/>
      <c r="P14272" s="2"/>
      <c r="Q14272" s="2"/>
      <c r="R14272" s="2"/>
      <c r="S14272" s="2"/>
      <c r="T14272" s="2"/>
      <c r="U14272" s="2"/>
      <c r="V14272" s="2"/>
      <c r="W14272" s="2"/>
      <c r="X14272" s="2"/>
      <c r="Y14272" s="2"/>
      <c r="Z14272" s="2"/>
    </row>
    <row r="14273" spans="1:26" ht="16.5" x14ac:dyDescent="0.35">
      <c r="A14273" s="2" t="str">
        <f ca="1">IFERROR(__xludf.DUMMYFUNCTION("""COMPUTED_VALUE"""),"Dubai")</f>
        <v>Dubai</v>
      </c>
      <c r="B14273" s="2" t="str">
        <f ca="1">IFERROR(__xludf.DUMMYFUNCTION("""COMPUTED_VALUE"""),"Masakin Al Furjan Block E")</f>
        <v>Masakin Al Furjan Block E</v>
      </c>
      <c r="C14273" s="2" t="str">
        <f ca="1">IFERROR(__xludf.DUMMYFUNCTION("""COMPUTED_VALUE"""),"Building")</f>
        <v>Building</v>
      </c>
      <c r="D14273" s="2" t="str">
        <f ca="1">IFERROR(__xludf.DUMMYFUNCTION("""COMPUTED_VALUE"""),"Dubai&gt;Al Furjan&gt;Masakin Al Furjan&gt;Masakin Al Furjan Block E")</f>
        <v>Dubai&gt;Al Furjan&gt;Masakin Al Furjan&gt;Masakin Al Furjan Block E</v>
      </c>
      <c r="E14273" s="2"/>
      <c r="F14273" s="2"/>
      <c r="G14273" s="2"/>
      <c r="H14273" s="2"/>
      <c r="I14273" s="2"/>
      <c r="J14273" s="2"/>
      <c r="K14273" s="2"/>
      <c r="L14273" s="2"/>
      <c r="M14273" s="2"/>
      <c r="N14273" s="2"/>
      <c r="O14273" s="2"/>
      <c r="P14273" s="2"/>
      <c r="Q14273" s="2"/>
      <c r="R14273" s="2"/>
      <c r="S14273" s="2"/>
      <c r="T14273" s="2"/>
      <c r="U14273" s="2"/>
      <c r="V14273" s="2"/>
      <c r="W14273" s="2"/>
      <c r="X14273" s="2"/>
      <c r="Y14273" s="2"/>
      <c r="Z14273" s="2"/>
    </row>
    <row r="14274" spans="1:26" ht="16.5" x14ac:dyDescent="0.35">
      <c r="A14274" s="2" t="str">
        <f ca="1">IFERROR(__xludf.DUMMYFUNCTION("""COMPUTED_VALUE"""),"Dubai")</f>
        <v>Dubai</v>
      </c>
      <c r="B14274" s="2" t="str">
        <f ca="1">IFERROR(__xludf.DUMMYFUNCTION("""COMPUTED_VALUE"""),"Equiti Home A")</f>
        <v>Equiti Home A</v>
      </c>
      <c r="C14274" s="2" t="str">
        <f ca="1">IFERROR(__xludf.DUMMYFUNCTION("""COMPUTED_VALUE"""),"Building")</f>
        <v>Building</v>
      </c>
      <c r="D14274" s="2" t="str">
        <f ca="1">IFERROR(__xludf.DUMMYFUNCTION("""COMPUTED_VALUE"""),"Dubai&gt;Al Furjan&gt;Equiti Home&gt;Equiti Home A")</f>
        <v>Dubai&gt;Al Furjan&gt;Equiti Home&gt;Equiti Home A</v>
      </c>
      <c r="E14274" s="2"/>
      <c r="F14274" s="2"/>
      <c r="G14274" s="2"/>
      <c r="H14274" s="2"/>
      <c r="I14274" s="2"/>
      <c r="J14274" s="2"/>
      <c r="K14274" s="2"/>
      <c r="L14274" s="2"/>
      <c r="M14274" s="2"/>
      <c r="N14274" s="2"/>
      <c r="O14274" s="2"/>
      <c r="P14274" s="2"/>
      <c r="Q14274" s="2"/>
      <c r="R14274" s="2"/>
      <c r="S14274" s="2"/>
      <c r="T14274" s="2"/>
      <c r="U14274" s="2"/>
      <c r="V14274" s="2"/>
      <c r="W14274" s="2"/>
      <c r="X14274" s="2"/>
      <c r="Y14274" s="2"/>
      <c r="Z14274" s="2"/>
    </row>
    <row r="14275" spans="1:26" ht="16.5" x14ac:dyDescent="0.35">
      <c r="A14275" s="2" t="str">
        <f ca="1">IFERROR(__xludf.DUMMYFUNCTION("""COMPUTED_VALUE"""),"Dubai")</f>
        <v>Dubai</v>
      </c>
      <c r="B14275" s="2" t="str">
        <f ca="1">IFERROR(__xludf.DUMMYFUNCTION("""COMPUTED_VALUE"""),"Sunbliss Residences")</f>
        <v>Sunbliss Residences</v>
      </c>
      <c r="C14275" s="2" t="str">
        <f ca="1">IFERROR(__xludf.DUMMYFUNCTION("""COMPUTED_VALUE"""),"Building")</f>
        <v>Building</v>
      </c>
      <c r="D14275" s="2" t="str">
        <f ca="1">IFERROR(__xludf.DUMMYFUNCTION("""COMPUTED_VALUE"""),"Dubai&gt;Al Furjan&gt;Sunbliss Residences")</f>
        <v>Dubai&gt;Al Furjan&gt;Sunbliss Residences</v>
      </c>
      <c r="E14275" s="2"/>
      <c r="F14275" s="2"/>
      <c r="G14275" s="2"/>
      <c r="H14275" s="2"/>
      <c r="I14275" s="2"/>
      <c r="J14275" s="2"/>
      <c r="K14275" s="2"/>
      <c r="L14275" s="2"/>
      <c r="M14275" s="2"/>
      <c r="N14275" s="2"/>
      <c r="O14275" s="2"/>
      <c r="P14275" s="2"/>
      <c r="Q14275" s="2"/>
      <c r="R14275" s="2"/>
      <c r="S14275" s="2"/>
      <c r="T14275" s="2"/>
      <c r="U14275" s="2"/>
      <c r="V14275" s="2"/>
      <c r="W14275" s="2"/>
      <c r="X14275" s="2"/>
      <c r="Y14275" s="2"/>
      <c r="Z14275" s="2"/>
    </row>
    <row r="14276" spans="1:26" ht="16.5" x14ac:dyDescent="0.35">
      <c r="A14276" s="2" t="str">
        <f ca="1">IFERROR(__xludf.DUMMYFUNCTION("""COMPUTED_VALUE"""),"Dubai")</f>
        <v>Dubai</v>
      </c>
      <c r="B14276" s="2" t="str">
        <f ca="1">IFERROR(__xludf.DUMMYFUNCTION("""COMPUTED_VALUE"""),"The Derby Residence 2")</f>
        <v>The Derby Residence 2</v>
      </c>
      <c r="C14276" s="2" t="str">
        <f ca="1">IFERROR(__xludf.DUMMYFUNCTION("""COMPUTED_VALUE"""),"Building")</f>
        <v>Building</v>
      </c>
      <c r="D14276" s="2" t="str">
        <f ca="1">IFERROR(__xludf.DUMMYFUNCTION("""COMPUTED_VALUE"""),"Dubai&gt;Meydan City&gt;The Derby Residences&gt;The Derby Residence 2")</f>
        <v>Dubai&gt;Meydan City&gt;The Derby Residences&gt;The Derby Residence 2</v>
      </c>
      <c r="E14276" s="2"/>
      <c r="F14276" s="2"/>
      <c r="G14276" s="2"/>
      <c r="H14276" s="2"/>
      <c r="I14276" s="2"/>
      <c r="J14276" s="2"/>
      <c r="K14276" s="2"/>
      <c r="L14276" s="2"/>
      <c r="M14276" s="2"/>
      <c r="N14276" s="2"/>
      <c r="O14276" s="2"/>
      <c r="P14276" s="2"/>
      <c r="Q14276" s="2"/>
      <c r="R14276" s="2"/>
      <c r="S14276" s="2"/>
      <c r="T14276" s="2"/>
      <c r="U14276" s="2"/>
      <c r="V14276" s="2"/>
      <c r="W14276" s="2"/>
      <c r="X14276" s="2"/>
      <c r="Y14276" s="2"/>
      <c r="Z14276" s="2"/>
    </row>
    <row r="14277" spans="1:26" ht="16.5" x14ac:dyDescent="0.35">
      <c r="A14277" s="2" t="str">
        <f ca="1">IFERROR(__xludf.DUMMYFUNCTION("""COMPUTED_VALUE"""),"Dubai")</f>
        <v>Dubai</v>
      </c>
      <c r="B14277" s="2" t="str">
        <f ca="1">IFERROR(__xludf.DUMMYFUNCTION("""COMPUTED_VALUE"""),"Azizi Riviera 16")</f>
        <v>Azizi Riviera 16</v>
      </c>
      <c r="C14277" s="2" t="str">
        <f ca="1">IFERROR(__xludf.DUMMYFUNCTION("""COMPUTED_VALUE"""),"Building")</f>
        <v>Building</v>
      </c>
      <c r="D14277" s="2" t="str">
        <f ca="1">IFERROR(__xludf.DUMMYFUNCTION("""COMPUTED_VALUE"""),"Dubai&gt;Meydan City&gt;Meydan One&gt;Azizi Riviera&gt;Azizi Riviera 16")</f>
        <v>Dubai&gt;Meydan City&gt;Meydan One&gt;Azizi Riviera&gt;Azizi Riviera 16</v>
      </c>
      <c r="E14277" s="2"/>
      <c r="F14277" s="2"/>
      <c r="G14277" s="2"/>
      <c r="H14277" s="2"/>
      <c r="I14277" s="2"/>
      <c r="J14277" s="2"/>
      <c r="K14277" s="2"/>
      <c r="L14277" s="2"/>
      <c r="M14277" s="2"/>
      <c r="N14277" s="2"/>
      <c r="O14277" s="2"/>
      <c r="P14277" s="2"/>
      <c r="Q14277" s="2"/>
      <c r="R14277" s="2"/>
      <c r="S14277" s="2"/>
      <c r="T14277" s="2"/>
      <c r="U14277" s="2"/>
      <c r="V14277" s="2"/>
      <c r="W14277" s="2"/>
      <c r="X14277" s="2"/>
      <c r="Y14277" s="2"/>
      <c r="Z14277" s="2"/>
    </row>
    <row r="14278" spans="1:26" ht="16.5" x14ac:dyDescent="0.35">
      <c r="A14278" s="2" t="str">
        <f ca="1">IFERROR(__xludf.DUMMYFUNCTION("""COMPUTED_VALUE"""),"Dubai")</f>
        <v>Dubai</v>
      </c>
      <c r="B14278" s="2" t="str">
        <f ca="1">IFERROR(__xludf.DUMMYFUNCTION("""COMPUTED_VALUE"""),"Azizi Riviera 47")</f>
        <v>Azizi Riviera 47</v>
      </c>
      <c r="C14278" s="2" t="str">
        <f ca="1">IFERROR(__xludf.DUMMYFUNCTION("""COMPUTED_VALUE"""),"Building")</f>
        <v>Building</v>
      </c>
      <c r="D14278" s="2" t="str">
        <f ca="1">IFERROR(__xludf.DUMMYFUNCTION("""COMPUTED_VALUE"""),"Dubai&gt;Meydan City&gt;Meydan One&gt;Azizi Riviera&gt;Azizi Riviera 47")</f>
        <v>Dubai&gt;Meydan City&gt;Meydan One&gt;Azizi Riviera&gt;Azizi Riviera 47</v>
      </c>
      <c r="E14278" s="2"/>
      <c r="F14278" s="2"/>
      <c r="G14278" s="2"/>
      <c r="H14278" s="2"/>
      <c r="I14278" s="2"/>
      <c r="J14278" s="2"/>
      <c r="K14278" s="2"/>
      <c r="L14278" s="2"/>
      <c r="M14278" s="2"/>
      <c r="N14278" s="2"/>
      <c r="O14278" s="2"/>
      <c r="P14278" s="2"/>
      <c r="Q14278" s="2"/>
      <c r="R14278" s="2"/>
      <c r="S14278" s="2"/>
      <c r="T14278" s="2"/>
      <c r="U14278" s="2"/>
      <c r="V14278" s="2"/>
      <c r="W14278" s="2"/>
      <c r="X14278" s="2"/>
      <c r="Y14278" s="2"/>
      <c r="Z14278" s="2"/>
    </row>
    <row r="14279" spans="1:26" ht="16.5" x14ac:dyDescent="0.35">
      <c r="A14279" s="2" t="str">
        <f ca="1">IFERROR(__xludf.DUMMYFUNCTION("""COMPUTED_VALUE"""),"Dubai")</f>
        <v>Dubai</v>
      </c>
      <c r="B14279" s="2" t="str">
        <f ca="1">IFERROR(__xludf.DUMMYFUNCTION("""COMPUTED_VALUE"""),"Polo Residence")</f>
        <v>Polo Residence</v>
      </c>
      <c r="C14279" s="2" t="str">
        <f ca="1">IFERROR(__xludf.DUMMYFUNCTION("""COMPUTED_VALUE"""),"Neighbourhood")</f>
        <v>Neighbourhood</v>
      </c>
      <c r="D14279" s="2" t="str">
        <f ca="1">IFERROR(__xludf.DUMMYFUNCTION("""COMPUTED_VALUE"""),"Dubai&gt;Meydan City&gt;Meydan Avenue&gt;Polo Residence")</f>
        <v>Dubai&gt;Meydan City&gt;Meydan Avenue&gt;Polo Residence</v>
      </c>
      <c r="E14279" s="2"/>
      <c r="F14279" s="2"/>
      <c r="G14279" s="2"/>
      <c r="H14279" s="2"/>
      <c r="I14279" s="2"/>
      <c r="J14279" s="2"/>
      <c r="K14279" s="2"/>
      <c r="L14279" s="2"/>
      <c r="M14279" s="2"/>
      <c r="N14279" s="2"/>
      <c r="O14279" s="2"/>
      <c r="P14279" s="2"/>
      <c r="Q14279" s="2"/>
      <c r="R14279" s="2"/>
      <c r="S14279" s="2"/>
      <c r="T14279" s="2"/>
      <c r="U14279" s="2"/>
      <c r="V14279" s="2"/>
      <c r="W14279" s="2"/>
      <c r="X14279" s="2"/>
      <c r="Y14279" s="2"/>
      <c r="Z14279" s="2"/>
    </row>
    <row r="14280" spans="1:26" ht="16.5" x14ac:dyDescent="0.35">
      <c r="A14280" s="2" t="str">
        <f ca="1">IFERROR(__xludf.DUMMYFUNCTION("""COMPUTED_VALUE"""),"Dubai")</f>
        <v>Dubai</v>
      </c>
      <c r="B14280" s="2" t="str">
        <f ca="1">IFERROR(__xludf.DUMMYFUNCTION("""COMPUTED_VALUE"""),"Godolphin Avenue")</f>
        <v>Godolphin Avenue</v>
      </c>
      <c r="C14280" s="2" t="str">
        <f ca="1">IFERROR(__xludf.DUMMYFUNCTION("""COMPUTED_VALUE"""),"Building")</f>
        <v>Building</v>
      </c>
      <c r="D14280" s="2" t="str">
        <f ca="1">IFERROR(__xludf.DUMMYFUNCTION("""COMPUTED_VALUE"""),"Dubai&gt;Meydan City&gt;Meydan Avenue&gt;Godolphin Avenue")</f>
        <v>Dubai&gt;Meydan City&gt;Meydan Avenue&gt;Godolphin Avenue</v>
      </c>
      <c r="E14280" s="2"/>
      <c r="F14280" s="2"/>
      <c r="G14280" s="2"/>
      <c r="H14280" s="2"/>
      <c r="I14280" s="2"/>
      <c r="J14280" s="2"/>
      <c r="K14280" s="2"/>
      <c r="L14280" s="2"/>
      <c r="M14280" s="2"/>
      <c r="N14280" s="2"/>
      <c r="O14280" s="2"/>
      <c r="P14280" s="2"/>
      <c r="Q14280" s="2"/>
      <c r="R14280" s="2"/>
      <c r="S14280" s="2"/>
      <c r="T14280" s="2"/>
      <c r="U14280" s="2"/>
      <c r="V14280" s="2"/>
      <c r="W14280" s="2"/>
      <c r="X14280" s="2"/>
      <c r="Y14280" s="2"/>
      <c r="Z14280" s="2"/>
    </row>
    <row r="14281" spans="1:26" ht="16.5" x14ac:dyDescent="0.35">
      <c r="A14281" s="2" t="str">
        <f ca="1">IFERROR(__xludf.DUMMYFUNCTION("""COMPUTED_VALUE"""),"Dubai")</f>
        <v>Dubai</v>
      </c>
      <c r="B14281" s="2" t="str">
        <f ca="1">IFERROR(__xludf.DUMMYFUNCTION("""COMPUTED_VALUE"""),"Bahwan Residence")</f>
        <v>Bahwan Residence</v>
      </c>
      <c r="C14281" s="2" t="str">
        <f ca="1">IFERROR(__xludf.DUMMYFUNCTION("""COMPUTED_VALUE"""),"Building")</f>
        <v>Building</v>
      </c>
      <c r="D14281" s="2" t="str">
        <f ca="1">IFERROR(__xludf.DUMMYFUNCTION("""COMPUTED_VALUE"""),"Dubai&gt;Meydan City&gt;Bahwan Residence")</f>
        <v>Dubai&gt;Meydan City&gt;Bahwan Residence</v>
      </c>
      <c r="E14281" s="2"/>
      <c r="F14281" s="2"/>
      <c r="G14281" s="2"/>
      <c r="H14281" s="2"/>
      <c r="I14281" s="2"/>
      <c r="J14281" s="2"/>
      <c r="K14281" s="2"/>
      <c r="L14281" s="2"/>
      <c r="M14281" s="2"/>
      <c r="N14281" s="2"/>
      <c r="O14281" s="2"/>
      <c r="P14281" s="2"/>
      <c r="Q14281" s="2"/>
      <c r="R14281" s="2"/>
      <c r="S14281" s="2"/>
      <c r="T14281" s="2"/>
      <c r="U14281" s="2"/>
      <c r="V14281" s="2"/>
      <c r="W14281" s="2"/>
      <c r="X14281" s="2"/>
      <c r="Y14281" s="2"/>
      <c r="Z14281" s="2"/>
    </row>
    <row r="14282" spans="1:26" ht="16.5" x14ac:dyDescent="0.35">
      <c r="A14282" s="2" t="str">
        <f ca="1">IFERROR(__xludf.DUMMYFUNCTION("""COMPUTED_VALUE"""),"Dubai")</f>
        <v>Dubai</v>
      </c>
      <c r="B14282" s="2" t="str">
        <f ca="1">IFERROR(__xludf.DUMMYFUNCTION("""COMPUTED_VALUE"""),"Al Alka 1")</f>
        <v>Al Alka 1</v>
      </c>
      <c r="C14282" s="2" t="str">
        <f ca="1">IFERROR(__xludf.DUMMYFUNCTION("""COMPUTED_VALUE"""),"Building")</f>
        <v>Building</v>
      </c>
      <c r="D14282" s="2" t="str">
        <f ca="1">IFERROR(__xludf.DUMMYFUNCTION("""COMPUTED_VALUE"""),"Dubai&gt;The Greens&gt;Al Alka&gt;Al Alka 1")</f>
        <v>Dubai&gt;The Greens&gt;Al Alka&gt;Al Alka 1</v>
      </c>
      <c r="E14282" s="2"/>
      <c r="F14282" s="2"/>
      <c r="G14282" s="2"/>
      <c r="H14282" s="2"/>
      <c r="I14282" s="2"/>
      <c r="J14282" s="2"/>
      <c r="K14282" s="2"/>
      <c r="L14282" s="2"/>
      <c r="M14282" s="2"/>
      <c r="N14282" s="2"/>
      <c r="O14282" s="2"/>
      <c r="P14282" s="2"/>
      <c r="Q14282" s="2"/>
      <c r="R14282" s="2"/>
      <c r="S14282" s="2"/>
      <c r="T14282" s="2"/>
      <c r="U14282" s="2"/>
      <c r="V14282" s="2"/>
      <c r="W14282" s="2"/>
      <c r="X14282" s="2"/>
      <c r="Y14282" s="2"/>
      <c r="Z14282" s="2"/>
    </row>
    <row r="14283" spans="1:26" ht="16.5" x14ac:dyDescent="0.35">
      <c r="A14283" s="2" t="str">
        <f ca="1">IFERROR(__xludf.DUMMYFUNCTION("""COMPUTED_VALUE"""),"Dubai")</f>
        <v>Dubai</v>
      </c>
      <c r="B14283" s="2" t="str">
        <f ca="1">IFERROR(__xludf.DUMMYFUNCTION("""COMPUTED_VALUE"""),"Galadari Office Building B16")</f>
        <v>Galadari Office Building B16</v>
      </c>
      <c r="C14283" s="2" t="str">
        <f ca="1">IFERROR(__xludf.DUMMYFUNCTION("""COMPUTED_VALUE"""),"Building")</f>
        <v>Building</v>
      </c>
      <c r="D14283" s="2" t="str">
        <f ca="1">IFERROR(__xludf.DUMMYFUNCTION("""COMPUTED_VALUE"""),"Dubai&gt;Dubai Production City (IMPZ)&gt;Galadari Office Building B16")</f>
        <v>Dubai&gt;Dubai Production City (IMPZ)&gt;Galadari Office Building B16</v>
      </c>
      <c r="E14283" s="2"/>
      <c r="F14283" s="2"/>
      <c r="G14283" s="2"/>
      <c r="H14283" s="2"/>
      <c r="I14283" s="2"/>
      <c r="J14283" s="2"/>
      <c r="K14283" s="2"/>
      <c r="L14283" s="2"/>
      <c r="M14283" s="2"/>
      <c r="N14283" s="2"/>
      <c r="O14283" s="2"/>
      <c r="P14283" s="2"/>
      <c r="Q14283" s="2"/>
      <c r="R14283" s="2"/>
      <c r="S14283" s="2"/>
      <c r="T14283" s="2"/>
      <c r="U14283" s="2"/>
      <c r="V14283" s="2"/>
      <c r="W14283" s="2"/>
      <c r="X14283" s="2"/>
      <c r="Y14283" s="2"/>
      <c r="Z14283" s="2"/>
    </row>
    <row r="14284" spans="1:26" ht="16.5" x14ac:dyDescent="0.35">
      <c r="A14284" s="2" t="str">
        <f ca="1">IFERROR(__xludf.DUMMYFUNCTION("""COMPUTED_VALUE"""),"Dubai")</f>
        <v>Dubai</v>
      </c>
      <c r="B14284" s="2" t="str">
        <f ca="1">IFERROR(__xludf.DUMMYFUNCTION("""COMPUTED_VALUE"""),"Dania 1")</f>
        <v>Dania 1</v>
      </c>
      <c r="C14284" s="2" t="str">
        <f ca="1">IFERROR(__xludf.DUMMYFUNCTION("""COMPUTED_VALUE"""),"Building")</f>
        <v>Building</v>
      </c>
      <c r="D14284" s="2" t="str">
        <f ca="1">IFERROR(__xludf.DUMMYFUNCTION("""COMPUTED_VALUE"""),"Dubai&gt;Dubai Production City (IMPZ)&gt;Midtown&gt;Dania District&gt;Dania 1")</f>
        <v>Dubai&gt;Dubai Production City (IMPZ)&gt;Midtown&gt;Dania District&gt;Dania 1</v>
      </c>
      <c r="E14284" s="2"/>
      <c r="F14284" s="2"/>
      <c r="G14284" s="2"/>
      <c r="H14284" s="2"/>
      <c r="I14284" s="2"/>
      <c r="J14284" s="2"/>
      <c r="K14284" s="2"/>
      <c r="L14284" s="2"/>
      <c r="M14284" s="2"/>
      <c r="N14284" s="2"/>
      <c r="O14284" s="2"/>
      <c r="P14284" s="2"/>
      <c r="Q14284" s="2"/>
      <c r="R14284" s="2"/>
      <c r="S14284" s="2"/>
      <c r="T14284" s="2"/>
      <c r="U14284" s="2"/>
      <c r="V14284" s="2"/>
      <c r="W14284" s="2"/>
      <c r="X14284" s="2"/>
      <c r="Y14284" s="2"/>
      <c r="Z14284" s="2"/>
    </row>
    <row r="14285" spans="1:26" ht="16.5" x14ac:dyDescent="0.35">
      <c r="A14285" s="2" t="str">
        <f ca="1">IFERROR(__xludf.DUMMYFUNCTION("""COMPUTED_VALUE"""),"Dubai")</f>
        <v>Dubai</v>
      </c>
      <c r="B14285" s="2" t="str">
        <f ca="1">IFERROR(__xludf.DUMMYFUNCTION("""COMPUTED_VALUE"""),"Qasr Sabah 2")</f>
        <v>Qasr Sabah 2</v>
      </c>
      <c r="C14285" s="2" t="str">
        <f ca="1">IFERROR(__xludf.DUMMYFUNCTION("""COMPUTED_VALUE"""),"Building")</f>
        <v>Building</v>
      </c>
      <c r="D14285" s="2" t="str">
        <f ca="1">IFERROR(__xludf.DUMMYFUNCTION("""COMPUTED_VALUE"""),"Dubai&gt;Dubai Production City (IMPZ)&gt;Qasr Sabah&gt;Qasr Sabah 2")</f>
        <v>Dubai&gt;Dubai Production City (IMPZ)&gt;Qasr Sabah&gt;Qasr Sabah 2</v>
      </c>
      <c r="E14285" s="2"/>
      <c r="F14285" s="2"/>
      <c r="G14285" s="2"/>
      <c r="H14285" s="2"/>
      <c r="I14285" s="2"/>
      <c r="J14285" s="2"/>
      <c r="K14285" s="2"/>
      <c r="L14285" s="2"/>
      <c r="M14285" s="2"/>
      <c r="N14285" s="2"/>
      <c r="O14285" s="2"/>
      <c r="P14285" s="2"/>
      <c r="Q14285" s="2"/>
      <c r="R14285" s="2"/>
      <c r="S14285" s="2"/>
      <c r="T14285" s="2"/>
      <c r="U14285" s="2"/>
      <c r="V14285" s="2"/>
      <c r="W14285" s="2"/>
      <c r="X14285" s="2"/>
      <c r="Y14285" s="2"/>
      <c r="Z14285" s="2"/>
    </row>
    <row r="14286" spans="1:26" ht="16.5" x14ac:dyDescent="0.35">
      <c r="A14286" s="2" t="str">
        <f ca="1">IFERROR(__xludf.DUMMYFUNCTION("""COMPUTED_VALUE"""),"Dubai")</f>
        <v>Dubai</v>
      </c>
      <c r="B14286" s="2" t="str">
        <f ca="1">IFERROR(__xludf.DUMMYFUNCTION("""COMPUTED_VALUE"""),"Samana Lake Views 2")</f>
        <v>Samana Lake Views 2</v>
      </c>
      <c r="C14286" s="2" t="str">
        <f ca="1">IFERROR(__xludf.DUMMYFUNCTION("""COMPUTED_VALUE"""),"Building")</f>
        <v>Building</v>
      </c>
      <c r="D14286" s="2" t="str">
        <f ca="1">IFERROR(__xludf.DUMMYFUNCTION("""COMPUTED_VALUE"""),"Dubai&gt;Dubai Production City (IMPZ)&gt;Samana Lake Views 2")</f>
        <v>Dubai&gt;Dubai Production City (IMPZ)&gt;Samana Lake Views 2</v>
      </c>
      <c r="E14286" s="2"/>
      <c r="F14286" s="2"/>
      <c r="G14286" s="2"/>
      <c r="H14286" s="2"/>
      <c r="I14286" s="2"/>
      <c r="J14286" s="2"/>
      <c r="K14286" s="2"/>
      <c r="L14286" s="2"/>
      <c r="M14286" s="2"/>
      <c r="N14286" s="2"/>
      <c r="O14286" s="2"/>
      <c r="P14286" s="2"/>
      <c r="Q14286" s="2"/>
      <c r="R14286" s="2"/>
      <c r="S14286" s="2"/>
      <c r="T14286" s="2"/>
      <c r="U14286" s="2"/>
      <c r="V14286" s="2"/>
      <c r="W14286" s="2"/>
      <c r="X14286" s="2"/>
      <c r="Y14286" s="2"/>
      <c r="Z14286" s="2"/>
    </row>
    <row r="14287" spans="1:26" ht="16.5" x14ac:dyDescent="0.35">
      <c r="A14287" s="2" t="str">
        <f ca="1">IFERROR(__xludf.DUMMYFUNCTION("""COMPUTED_VALUE"""),"Dubai")</f>
        <v>Dubai</v>
      </c>
      <c r="B14287" s="2" t="str">
        <f ca="1">IFERROR(__xludf.DUMMYFUNCTION("""COMPUTED_VALUE"""),"Sahara Meadows 1")</f>
        <v>Sahara Meadows 1</v>
      </c>
      <c r="C14287" s="2" t="str">
        <f ca="1">IFERROR(__xludf.DUMMYFUNCTION("""COMPUTED_VALUE"""),"Neighbourhood")</f>
        <v>Neighbourhood</v>
      </c>
      <c r="D14287" s="2" t="str">
        <f ca="1">IFERROR(__xludf.DUMMYFUNCTION("""COMPUTED_VALUE"""),"Dubai&gt;Dubai Industrial City&gt;Sahara Meadows&gt;Sahara Meadows 1")</f>
        <v>Dubai&gt;Dubai Industrial City&gt;Sahara Meadows&gt;Sahara Meadows 1</v>
      </c>
      <c r="E14287" s="2"/>
      <c r="F14287" s="2"/>
      <c r="G14287" s="2"/>
      <c r="H14287" s="2"/>
      <c r="I14287" s="2"/>
      <c r="J14287" s="2"/>
      <c r="K14287" s="2"/>
      <c r="L14287" s="2"/>
      <c r="M14287" s="2"/>
      <c r="N14287" s="2"/>
      <c r="O14287" s="2"/>
      <c r="P14287" s="2"/>
      <c r="Q14287" s="2"/>
      <c r="R14287" s="2"/>
      <c r="S14287" s="2"/>
      <c r="T14287" s="2"/>
      <c r="U14287" s="2"/>
      <c r="V14287" s="2"/>
      <c r="W14287" s="2"/>
      <c r="X14287" s="2"/>
      <c r="Y14287" s="2"/>
      <c r="Z14287" s="2"/>
    </row>
    <row r="14288" spans="1:26" ht="16.5" x14ac:dyDescent="0.35">
      <c r="A14288" s="2" t="str">
        <f ca="1">IFERROR(__xludf.DUMMYFUNCTION("""COMPUTED_VALUE"""),"Dubai")</f>
        <v>Dubai</v>
      </c>
      <c r="B14288" s="2" t="str">
        <f ca="1">IFERROR(__xludf.DUMMYFUNCTION("""COMPUTED_VALUE"""),"Samana Hills South Tower A")</f>
        <v>Samana Hills South Tower A</v>
      </c>
      <c r="C14288" s="2" t="str">
        <f ca="1">IFERROR(__xludf.DUMMYFUNCTION("""COMPUTED_VALUE"""),"Building")</f>
        <v>Building</v>
      </c>
      <c r="D14288" s="2" t="str">
        <f ca="1">IFERROR(__xludf.DUMMYFUNCTION("""COMPUTED_VALUE"""),"Dubai&gt;Dubai Industrial City&gt;Samana Hills South&gt;Samana Hills South Tower A")</f>
        <v>Dubai&gt;Dubai Industrial City&gt;Samana Hills South&gt;Samana Hills South Tower A</v>
      </c>
      <c r="E14288" s="2"/>
      <c r="F14288" s="2"/>
      <c r="G14288" s="2"/>
      <c r="H14288" s="2"/>
      <c r="I14288" s="2"/>
      <c r="J14288" s="2"/>
      <c r="K14288" s="2"/>
      <c r="L14288" s="2"/>
      <c r="M14288" s="2"/>
      <c r="N14288" s="2"/>
      <c r="O14288" s="2"/>
      <c r="P14288" s="2"/>
      <c r="Q14288" s="2"/>
      <c r="R14288" s="2"/>
      <c r="S14288" s="2"/>
      <c r="T14288" s="2"/>
      <c r="U14288" s="2"/>
      <c r="V14288" s="2"/>
      <c r="W14288" s="2"/>
      <c r="X14288" s="2"/>
      <c r="Y14288" s="2"/>
      <c r="Z14288" s="2"/>
    </row>
    <row r="14289" spans="1:26" ht="16.5" x14ac:dyDescent="0.35">
      <c r="A14289" s="2" t="str">
        <f ca="1">IFERROR(__xludf.DUMMYFUNCTION("""COMPUTED_VALUE"""),"Dubai")</f>
        <v>Dubai</v>
      </c>
      <c r="B14289" s="2" t="str">
        <f ca="1">IFERROR(__xludf.DUMMYFUNCTION("""COMPUTED_VALUE"""),"Harmony 3")</f>
        <v>Harmony 3</v>
      </c>
      <c r="C14289" s="2" t="str">
        <f ca="1">IFERROR(__xludf.DUMMYFUNCTION("""COMPUTED_VALUE"""),"Neighbourhood")</f>
        <v>Neighbourhood</v>
      </c>
      <c r="D14289" s="2" t="str">
        <f ca="1">IFERROR(__xludf.DUMMYFUNCTION("""COMPUTED_VALUE"""),"Dubai&gt;Tilal Al Ghaf&gt;Harmony&gt;Harmony 3")</f>
        <v>Dubai&gt;Tilal Al Ghaf&gt;Harmony&gt;Harmony 3</v>
      </c>
      <c r="E14289" s="2"/>
      <c r="F14289" s="2"/>
      <c r="G14289" s="2"/>
      <c r="H14289" s="2"/>
      <c r="I14289" s="2"/>
      <c r="J14289" s="2"/>
      <c r="K14289" s="2"/>
      <c r="L14289" s="2"/>
      <c r="M14289" s="2"/>
      <c r="N14289" s="2"/>
      <c r="O14289" s="2"/>
      <c r="P14289" s="2"/>
      <c r="Q14289" s="2"/>
      <c r="R14289" s="2"/>
      <c r="S14289" s="2"/>
      <c r="T14289" s="2"/>
      <c r="U14289" s="2"/>
      <c r="V14289" s="2"/>
      <c r="W14289" s="2"/>
      <c r="X14289" s="2"/>
      <c r="Y14289" s="2"/>
      <c r="Z14289" s="2"/>
    </row>
    <row r="14290" spans="1:26" ht="16.5" x14ac:dyDescent="0.35">
      <c r="A14290" s="2" t="str">
        <f ca="1">IFERROR(__xludf.DUMMYFUNCTION("""COMPUTED_VALUE"""),"Dubai")</f>
        <v>Dubai</v>
      </c>
      <c r="B14290" s="2" t="str">
        <f ca="1">IFERROR(__xludf.DUMMYFUNCTION("""COMPUTED_VALUE"""),"Next Coral")</f>
        <v>Next Coral</v>
      </c>
      <c r="C14290" s="2" t="str">
        <f ca="1">IFERROR(__xludf.DUMMYFUNCTION("""COMPUTED_VALUE"""),"Building")</f>
        <v>Building</v>
      </c>
      <c r="D14290" s="2" t="str">
        <f ca="1">IFERROR(__xludf.DUMMYFUNCTION("""COMPUTED_VALUE"""),"Dubai&gt;Dubai Islands&gt;Next Coral")</f>
        <v>Dubai&gt;Dubai Islands&gt;Next Coral</v>
      </c>
      <c r="E14290" s="2"/>
      <c r="F14290" s="2"/>
      <c r="G14290" s="2"/>
      <c r="H14290" s="2"/>
      <c r="I14290" s="2"/>
      <c r="J14290" s="2"/>
      <c r="K14290" s="2"/>
      <c r="L14290" s="2"/>
      <c r="M14290" s="2"/>
      <c r="N14290" s="2"/>
      <c r="O14290" s="2"/>
      <c r="P14290" s="2"/>
      <c r="Q14290" s="2"/>
      <c r="R14290" s="2"/>
      <c r="S14290" s="2"/>
      <c r="T14290" s="2"/>
      <c r="U14290" s="2"/>
      <c r="V14290" s="2"/>
      <c r="W14290" s="2"/>
      <c r="X14290" s="2"/>
      <c r="Y14290" s="2"/>
      <c r="Z14290" s="2"/>
    </row>
    <row r="14291" spans="1:26" ht="16.5" x14ac:dyDescent="0.35">
      <c r="A14291" s="2" t="str">
        <f ca="1">IFERROR(__xludf.DUMMYFUNCTION("""COMPUTED_VALUE"""),"Dubai")</f>
        <v>Dubai</v>
      </c>
      <c r="B14291" s="2" t="str">
        <f ca="1">IFERROR(__xludf.DUMMYFUNCTION("""COMPUTED_VALUE"""),"Tivano")</f>
        <v>Tivano</v>
      </c>
      <c r="C14291" s="2" t="str">
        <f ca="1">IFERROR(__xludf.DUMMYFUNCTION("""COMPUTED_VALUE"""),"Building")</f>
        <v>Building</v>
      </c>
      <c r="D14291" s="2" t="str">
        <f ca="1">IFERROR(__xludf.DUMMYFUNCTION("""COMPUTED_VALUE"""),"Dubai&gt;Dubai Islands&gt;Tivano")</f>
        <v>Dubai&gt;Dubai Islands&gt;Tivano</v>
      </c>
      <c r="E14291" s="2"/>
      <c r="F14291" s="2"/>
      <c r="G14291" s="2"/>
      <c r="H14291" s="2"/>
      <c r="I14291" s="2"/>
      <c r="J14291" s="2"/>
      <c r="K14291" s="2"/>
      <c r="L14291" s="2"/>
      <c r="M14291" s="2"/>
      <c r="N14291" s="2"/>
      <c r="O14291" s="2"/>
      <c r="P14291" s="2"/>
      <c r="Q14291" s="2"/>
      <c r="R14291" s="2"/>
      <c r="S14291" s="2"/>
      <c r="T14291" s="2"/>
      <c r="U14291" s="2"/>
      <c r="V14291" s="2"/>
      <c r="W14291" s="2"/>
      <c r="X14291" s="2"/>
      <c r="Y14291" s="2"/>
      <c r="Z14291" s="2"/>
    </row>
    <row r="14292" spans="1:26" ht="16.5" x14ac:dyDescent="0.35">
      <c r="A14292" s="2" t="str">
        <f ca="1">IFERROR(__xludf.DUMMYFUNCTION("""COMPUTED_VALUE"""),"Dubai")</f>
        <v>Dubai</v>
      </c>
      <c r="B14292" s="2" t="str">
        <f ca="1">IFERROR(__xludf.DUMMYFUNCTION("""COMPUTED_VALUE"""),"Royal Yacht Club Residences")</f>
        <v>Royal Yacht Club Residences</v>
      </c>
      <c r="C14292" s="2" t="str">
        <f ca="1">IFERROR(__xludf.DUMMYFUNCTION("""COMPUTED_VALUE"""),"Building")</f>
        <v>Building</v>
      </c>
      <c r="D14292" s="2" t="str">
        <f ca="1">IFERROR(__xludf.DUMMYFUNCTION("""COMPUTED_VALUE"""),"Dubai&gt;Dubai Islands&gt;Royal Yacht Club Residences")</f>
        <v>Dubai&gt;Dubai Islands&gt;Royal Yacht Club Residences</v>
      </c>
      <c r="E14292" s="2"/>
      <c r="F14292" s="2"/>
      <c r="G14292" s="2"/>
      <c r="H14292" s="2"/>
      <c r="I14292" s="2"/>
      <c r="J14292" s="2"/>
      <c r="K14292" s="2"/>
      <c r="L14292" s="2"/>
      <c r="M14292" s="2"/>
      <c r="N14292" s="2"/>
      <c r="O14292" s="2"/>
      <c r="P14292" s="2"/>
      <c r="Q14292" s="2"/>
      <c r="R14292" s="2"/>
      <c r="S14292" s="2"/>
      <c r="T14292" s="2"/>
      <c r="U14292" s="2"/>
      <c r="V14292" s="2"/>
      <c r="W14292" s="2"/>
      <c r="X14292" s="2"/>
      <c r="Y14292" s="2"/>
      <c r="Z14292" s="2"/>
    </row>
    <row r="14293" spans="1:26" ht="16.5" x14ac:dyDescent="0.35">
      <c r="A14293" s="2" t="str">
        <f ca="1">IFERROR(__xludf.DUMMYFUNCTION("""COMPUTED_VALUE"""),"Dubai")</f>
        <v>Dubai</v>
      </c>
      <c r="B14293" s="2" t="str">
        <f ca="1">IFERROR(__xludf.DUMMYFUNCTION("""COMPUTED_VALUE"""),"Sunset Bay Grand by Imtiaz")</f>
        <v>Sunset Bay Grand by Imtiaz</v>
      </c>
      <c r="C14293" s="2" t="str">
        <f ca="1">IFERROR(__xludf.DUMMYFUNCTION("""COMPUTED_VALUE"""),"Building")</f>
        <v>Building</v>
      </c>
      <c r="D14293" s="2" t="str">
        <f ca="1">IFERROR(__xludf.DUMMYFUNCTION("""COMPUTED_VALUE"""),"Dubai&gt;Dubai Islands&gt;Sunset Bay Grand by Imtiaz")</f>
        <v>Dubai&gt;Dubai Islands&gt;Sunset Bay Grand by Imtiaz</v>
      </c>
      <c r="E14293" s="2"/>
      <c r="F14293" s="2"/>
      <c r="G14293" s="2"/>
      <c r="H14293" s="2"/>
      <c r="I14293" s="2"/>
      <c r="J14293" s="2"/>
      <c r="K14293" s="2"/>
      <c r="L14293" s="2"/>
      <c r="M14293" s="2"/>
      <c r="N14293" s="2"/>
      <c r="O14293" s="2"/>
      <c r="P14293" s="2"/>
      <c r="Q14293" s="2"/>
      <c r="R14293" s="2"/>
      <c r="S14293" s="2"/>
      <c r="T14293" s="2"/>
      <c r="U14293" s="2"/>
      <c r="V14293" s="2"/>
      <c r="W14293" s="2"/>
      <c r="X14293" s="2"/>
      <c r="Y14293" s="2"/>
      <c r="Z14293" s="2"/>
    </row>
    <row r="14294" spans="1:26" ht="16.5" x14ac:dyDescent="0.35">
      <c r="A14294" s="2" t="str">
        <f ca="1">IFERROR(__xludf.DUMMYFUNCTION("""COMPUTED_VALUE"""),"Dubai")</f>
        <v>Dubai</v>
      </c>
      <c r="B14294" s="2" t="str">
        <f ca="1">IFERROR(__xludf.DUMMYFUNCTION("""COMPUTED_VALUE"""),"Liora")</f>
        <v>Liora</v>
      </c>
      <c r="C14294" s="2" t="str">
        <f ca="1">IFERROR(__xludf.DUMMYFUNCTION("""COMPUTED_VALUE"""),"Building")</f>
        <v>Building</v>
      </c>
      <c r="D14294" s="2" t="str">
        <f ca="1">IFERROR(__xludf.DUMMYFUNCTION("""COMPUTED_VALUE"""),"Dubai&gt;Dubai Islands&gt;Liora")</f>
        <v>Dubai&gt;Dubai Islands&gt;Liora</v>
      </c>
      <c r="E14294" s="2"/>
      <c r="F14294" s="2"/>
      <c r="G14294" s="2"/>
      <c r="H14294" s="2"/>
      <c r="I14294" s="2"/>
      <c r="J14294" s="2"/>
      <c r="K14294" s="2"/>
      <c r="L14294" s="2"/>
      <c r="M14294" s="2"/>
      <c r="N14294" s="2"/>
      <c r="O14294" s="2"/>
      <c r="P14294" s="2"/>
      <c r="Q14294" s="2"/>
      <c r="R14294" s="2"/>
      <c r="S14294" s="2"/>
      <c r="T14294" s="2"/>
      <c r="U14294" s="2"/>
      <c r="V14294" s="2"/>
      <c r="W14294" s="2"/>
      <c r="X14294" s="2"/>
      <c r="Y14294" s="2"/>
      <c r="Z14294" s="2"/>
    </row>
    <row r="14295" spans="1:26" ht="16.5" x14ac:dyDescent="0.35">
      <c r="A14295" s="2" t="str">
        <f ca="1">IFERROR(__xludf.DUMMYFUNCTION("""COMPUTED_VALUE"""),"Dubai")</f>
        <v>Dubai</v>
      </c>
      <c r="B14295" s="2" t="str">
        <f ca="1">IFERROR(__xludf.DUMMYFUNCTION("""COMPUTED_VALUE"""),"Amaranta 3")</f>
        <v>Amaranta 3</v>
      </c>
      <c r="C14295" s="2" t="str">
        <f ca="1">IFERROR(__xludf.DUMMYFUNCTION("""COMPUTED_VALUE"""),"Neighbourhood")</f>
        <v>Neighbourhood</v>
      </c>
      <c r="D14295" s="2" t="str">
        <f ca="1">IFERROR(__xludf.DUMMYFUNCTION("""COMPUTED_VALUE"""),"Dubai&gt;Dubailand&gt;Villanova&gt;Amaranta&gt;Amaranta 3")</f>
        <v>Dubai&gt;Dubailand&gt;Villanova&gt;Amaranta&gt;Amaranta 3</v>
      </c>
      <c r="E14295" s="2"/>
      <c r="F14295" s="2"/>
      <c r="G14295" s="2"/>
      <c r="H14295" s="2"/>
      <c r="I14295" s="2"/>
      <c r="J14295" s="2"/>
      <c r="K14295" s="2"/>
      <c r="L14295" s="2"/>
      <c r="M14295" s="2"/>
      <c r="N14295" s="2"/>
      <c r="O14295" s="2"/>
      <c r="P14295" s="2"/>
      <c r="Q14295" s="2"/>
      <c r="R14295" s="2"/>
      <c r="S14295" s="2"/>
      <c r="T14295" s="2"/>
      <c r="U14295" s="2"/>
      <c r="V14295" s="2"/>
      <c r="W14295" s="2"/>
      <c r="X14295" s="2"/>
      <c r="Y14295" s="2"/>
      <c r="Z14295" s="2"/>
    </row>
    <row r="14296" spans="1:26" ht="16.5" x14ac:dyDescent="0.35">
      <c r="A14296" s="2" t="str">
        <f ca="1">IFERROR(__xludf.DUMMYFUNCTION("""COMPUTED_VALUE"""),"Dubai")</f>
        <v>Dubai</v>
      </c>
      <c r="B14296" s="2" t="str">
        <f ca="1">IFERROR(__xludf.DUMMYFUNCTION("""COMPUTED_VALUE"""),"DAMAC Sun City")</f>
        <v>DAMAC Sun City</v>
      </c>
      <c r="C14296" s="2" t="str">
        <f ca="1">IFERROR(__xludf.DUMMYFUNCTION("""COMPUTED_VALUE"""),"Neighbourhood")</f>
        <v>Neighbourhood</v>
      </c>
      <c r="D14296" s="2" t="str">
        <f ca="1">IFERROR(__xludf.DUMMYFUNCTION("""COMPUTED_VALUE"""),"Dubai&gt;Dubailand&gt;DAMAC Sun City")</f>
        <v>Dubai&gt;Dubailand&gt;DAMAC Sun City</v>
      </c>
      <c r="E14296" s="2"/>
      <c r="F14296" s="2"/>
      <c r="G14296" s="2"/>
      <c r="H14296" s="2"/>
      <c r="I14296" s="2"/>
      <c r="J14296" s="2"/>
      <c r="K14296" s="2"/>
      <c r="L14296" s="2"/>
      <c r="M14296" s="2"/>
      <c r="N14296" s="2"/>
      <c r="O14296" s="2"/>
      <c r="P14296" s="2"/>
      <c r="Q14296" s="2"/>
      <c r="R14296" s="2"/>
      <c r="S14296" s="2"/>
      <c r="T14296" s="2"/>
      <c r="U14296" s="2"/>
      <c r="V14296" s="2"/>
      <c r="W14296" s="2"/>
      <c r="X14296" s="2"/>
      <c r="Y14296" s="2"/>
      <c r="Z14296" s="2"/>
    </row>
    <row r="14297" spans="1:26" ht="16.5" x14ac:dyDescent="0.35">
      <c r="A14297" s="2" t="str">
        <f ca="1">IFERROR(__xludf.DUMMYFUNCTION("""COMPUTED_VALUE"""),"Dubai")</f>
        <v>Dubai</v>
      </c>
      <c r="B14297" s="2" t="str">
        <f ca="1">IFERROR(__xludf.DUMMYFUNCTION("""COMPUTED_VALUE"""),"Sunflower")</f>
        <v>Sunflower</v>
      </c>
      <c r="C14297" s="2" t="str">
        <f ca="1">IFERROR(__xludf.DUMMYFUNCTION("""COMPUTED_VALUE"""),"Building")</f>
        <v>Building</v>
      </c>
      <c r="D14297" s="2" t="str">
        <f ca="1">IFERROR(__xludf.DUMMYFUNCTION("""COMPUTED_VALUE"""),"Dubai&gt;Za'abeel&gt;Za'abeel 2&gt;Al Murooj Complex&gt;Sunflower")</f>
        <v>Dubai&gt;Za'abeel&gt;Za'abeel 2&gt;Al Murooj Complex&gt;Sunflower</v>
      </c>
      <c r="E14297" s="2"/>
      <c r="F14297" s="2"/>
      <c r="G14297" s="2"/>
      <c r="H14297" s="2"/>
      <c r="I14297" s="2"/>
      <c r="J14297" s="2"/>
      <c r="K14297" s="2"/>
      <c r="L14297" s="2"/>
      <c r="M14297" s="2"/>
      <c r="N14297" s="2"/>
      <c r="O14297" s="2"/>
      <c r="P14297" s="2"/>
      <c r="Q14297" s="2"/>
      <c r="R14297" s="2"/>
      <c r="S14297" s="2"/>
      <c r="T14297" s="2"/>
      <c r="U14297" s="2"/>
      <c r="V14297" s="2"/>
      <c r="W14297" s="2"/>
      <c r="X14297" s="2"/>
      <c r="Y14297" s="2"/>
      <c r="Z14297" s="2"/>
    </row>
    <row r="14298" spans="1:26" ht="16.5" x14ac:dyDescent="0.35">
      <c r="A14298" s="2" t="str">
        <f ca="1">IFERROR(__xludf.DUMMYFUNCTION("""COMPUTED_VALUE"""),"Dubai")</f>
        <v>Dubai</v>
      </c>
      <c r="B14298" s="2" t="str">
        <f ca="1">IFERROR(__xludf.DUMMYFUNCTION("""COMPUTED_VALUE"""),"Samari Residences 8")</f>
        <v>Samari Residences 8</v>
      </c>
      <c r="C14298" s="2" t="str">
        <f ca="1">IFERROR(__xludf.DUMMYFUNCTION("""COMPUTED_VALUE"""),"Building")</f>
        <v>Building</v>
      </c>
      <c r="D14298" s="2" t="str">
        <f ca="1">IFERROR(__xludf.DUMMYFUNCTION("""COMPUTED_VALUE"""),"Dubai&gt;Ras Al Khor&gt;Ras Al Khor Industrial&gt;Ras Al Khor Industrial 3&gt;Samari Residences&gt;Samari Residences 8")</f>
        <v>Dubai&gt;Ras Al Khor&gt;Ras Al Khor Industrial&gt;Ras Al Khor Industrial 3&gt;Samari Residences&gt;Samari Residences 8</v>
      </c>
      <c r="E14298" s="2"/>
      <c r="F14298" s="2"/>
      <c r="G14298" s="2"/>
      <c r="H14298" s="2"/>
      <c r="I14298" s="2"/>
      <c r="J14298" s="2"/>
      <c r="K14298" s="2"/>
      <c r="L14298" s="2"/>
      <c r="M14298" s="2"/>
      <c r="N14298" s="2"/>
      <c r="O14298" s="2"/>
      <c r="P14298" s="2"/>
      <c r="Q14298" s="2"/>
      <c r="R14298" s="2"/>
      <c r="S14298" s="2"/>
      <c r="T14298" s="2"/>
      <c r="U14298" s="2"/>
      <c r="V14298" s="2"/>
      <c r="W14298" s="2"/>
      <c r="X14298" s="2"/>
      <c r="Y14298" s="2"/>
      <c r="Z14298" s="2"/>
    </row>
    <row r="14299" spans="1:26" ht="16.5" x14ac:dyDescent="0.35">
      <c r="A14299" s="2" t="str">
        <f ca="1">IFERROR(__xludf.DUMMYFUNCTION("""COMPUTED_VALUE"""),"Dubai")</f>
        <v>Dubai</v>
      </c>
      <c r="B14299" s="2" t="str">
        <f ca="1">IFERROR(__xludf.DUMMYFUNCTION("""COMPUTED_VALUE"""),"Suburbia")</f>
        <v>Suburbia</v>
      </c>
      <c r="C14299" s="2" t="str">
        <f ca="1">IFERROR(__xludf.DUMMYFUNCTION("""COMPUTED_VALUE"""),"Cluster")</f>
        <v>Cluster</v>
      </c>
      <c r="D14299" s="2" t="str">
        <f ca="1">IFERROR(__xludf.DUMMYFUNCTION("""COMPUTED_VALUE"""),"Dubai&gt;Jebel Ali&gt;Downtown Jebel Ali&gt;Suburbia")</f>
        <v>Dubai&gt;Jebel Ali&gt;Downtown Jebel Ali&gt;Suburbia</v>
      </c>
      <c r="E14299" s="2"/>
      <c r="F14299" s="2"/>
      <c r="G14299" s="2"/>
      <c r="H14299" s="2"/>
      <c r="I14299" s="2"/>
      <c r="J14299" s="2"/>
      <c r="K14299" s="2"/>
      <c r="L14299" s="2"/>
      <c r="M14299" s="2"/>
      <c r="N14299" s="2"/>
      <c r="O14299" s="2"/>
      <c r="P14299" s="2"/>
      <c r="Q14299" s="2"/>
      <c r="R14299" s="2"/>
      <c r="S14299" s="2"/>
      <c r="T14299" s="2"/>
      <c r="U14299" s="2"/>
      <c r="V14299" s="2"/>
      <c r="W14299" s="2"/>
      <c r="X14299" s="2"/>
      <c r="Y14299" s="2"/>
      <c r="Z14299" s="2"/>
    </row>
    <row r="14300" spans="1:26" ht="16.5" x14ac:dyDescent="0.35">
      <c r="A14300" s="2" t="str">
        <f ca="1">IFERROR(__xludf.DUMMYFUNCTION("""COMPUTED_VALUE"""),"Dubai")</f>
        <v>Dubai</v>
      </c>
      <c r="B14300" s="2" t="str">
        <f ca="1">IFERROR(__xludf.DUMMYFUNCTION("""COMPUTED_VALUE"""),"Ahmad Sultan Lootah Labor Camp")</f>
        <v>Ahmad Sultan Lootah Labor Camp</v>
      </c>
      <c r="C14300" s="2" t="str">
        <f ca="1">IFERROR(__xludf.DUMMYFUNCTION("""COMPUTED_VALUE"""),"Building")</f>
        <v>Building</v>
      </c>
      <c r="D14300" s="2" t="str">
        <f ca="1">IFERROR(__xludf.DUMMYFUNCTION("""COMPUTED_VALUE"""),"Dubai&gt;Jebel Ali&gt;Jebel Ali Industrial Area&gt;Ahmad Sultan Lootah Labor Camp")</f>
        <v>Dubai&gt;Jebel Ali&gt;Jebel Ali Industrial Area&gt;Ahmad Sultan Lootah Labor Camp</v>
      </c>
      <c r="E14300" s="2"/>
      <c r="F14300" s="2"/>
      <c r="G14300" s="2"/>
      <c r="H14300" s="2"/>
      <c r="I14300" s="2"/>
      <c r="J14300" s="2"/>
      <c r="K14300" s="2"/>
      <c r="L14300" s="2"/>
      <c r="M14300" s="2"/>
      <c r="N14300" s="2"/>
      <c r="O14300" s="2"/>
      <c r="P14300" s="2"/>
      <c r="Q14300" s="2"/>
      <c r="R14300" s="2"/>
      <c r="S14300" s="2"/>
      <c r="T14300" s="2"/>
      <c r="U14300" s="2"/>
      <c r="V14300" s="2"/>
      <c r="W14300" s="2"/>
      <c r="X14300" s="2"/>
      <c r="Y14300" s="2"/>
      <c r="Z14300" s="2"/>
    </row>
    <row r="14301" spans="1:26" ht="16.5" x14ac:dyDescent="0.35">
      <c r="A14301" s="2" t="str">
        <f ca="1">IFERROR(__xludf.DUMMYFUNCTION("""COMPUTED_VALUE"""),"Dubai")</f>
        <v>Dubai</v>
      </c>
      <c r="B14301" s="2" t="str">
        <f ca="1">IFERROR(__xludf.DUMMYFUNCTION("""COMPUTED_VALUE"""),"Al Bahri Gate Residence 2")</f>
        <v>Al Bahri Gate Residence 2</v>
      </c>
      <c r="C14301" s="2" t="str">
        <f ca="1">IFERROR(__xludf.DUMMYFUNCTION("""COMPUTED_VALUE"""),"Building")</f>
        <v>Building</v>
      </c>
      <c r="D14301" s="2" t="str">
        <f ca="1">IFERROR(__xludf.DUMMYFUNCTION("""COMPUTED_VALUE"""),"Dubai&gt;Nad Al Hamar&gt;Al Bahri Gate Residence 2")</f>
        <v>Dubai&gt;Nad Al Hamar&gt;Al Bahri Gate Residence 2</v>
      </c>
      <c r="E14301" s="2"/>
      <c r="F14301" s="2"/>
      <c r="G14301" s="2"/>
      <c r="H14301" s="2"/>
      <c r="I14301" s="2"/>
      <c r="J14301" s="2"/>
      <c r="K14301" s="2"/>
      <c r="L14301" s="2"/>
      <c r="M14301" s="2"/>
      <c r="N14301" s="2"/>
      <c r="O14301" s="2"/>
      <c r="P14301" s="2"/>
      <c r="Q14301" s="2"/>
      <c r="R14301" s="2"/>
      <c r="S14301" s="2"/>
      <c r="T14301" s="2"/>
      <c r="U14301" s="2"/>
      <c r="V14301" s="2"/>
      <c r="W14301" s="2"/>
      <c r="X14301" s="2"/>
      <c r="Y14301" s="2"/>
      <c r="Z14301" s="2"/>
    </row>
    <row r="14302" spans="1:26" ht="16.5" x14ac:dyDescent="0.35">
      <c r="A14302" s="2" t="str">
        <f ca="1">IFERROR(__xludf.DUMMYFUNCTION("""COMPUTED_VALUE"""),"Dubai")</f>
        <v>Dubai</v>
      </c>
      <c r="B14302" s="2" t="str">
        <f ca="1">IFERROR(__xludf.DUMMYFUNCTION("""COMPUTED_VALUE"""),"Al Zarooni 3 Building")</f>
        <v>Al Zarooni 3 Building</v>
      </c>
      <c r="C14302" s="2" t="str">
        <f ca="1">IFERROR(__xludf.DUMMYFUNCTION("""COMPUTED_VALUE"""),"Building")</f>
        <v>Building</v>
      </c>
      <c r="D14302" s="2" t="str">
        <f ca="1">IFERROR(__xludf.DUMMYFUNCTION("""COMPUTED_VALUE"""),"Dubai&gt;Nad Al Hamar&gt;Al Zarooni 3 Building")</f>
        <v>Dubai&gt;Nad Al Hamar&gt;Al Zarooni 3 Building</v>
      </c>
      <c r="E14302" s="2"/>
      <c r="F14302" s="2"/>
      <c r="G14302" s="2"/>
      <c r="H14302" s="2"/>
      <c r="I14302" s="2"/>
      <c r="J14302" s="2"/>
      <c r="K14302" s="2"/>
      <c r="L14302" s="2"/>
      <c r="M14302" s="2"/>
      <c r="N14302" s="2"/>
      <c r="O14302" s="2"/>
      <c r="P14302" s="2"/>
      <c r="Q14302" s="2"/>
      <c r="R14302" s="2"/>
      <c r="S14302" s="2"/>
      <c r="T14302" s="2"/>
      <c r="U14302" s="2"/>
      <c r="V14302" s="2"/>
      <c r="W14302" s="2"/>
      <c r="X14302" s="2"/>
      <c r="Y14302" s="2"/>
      <c r="Z14302" s="2"/>
    </row>
    <row r="14303" spans="1:26" ht="16.5" x14ac:dyDescent="0.35">
      <c r="A14303" s="2" t="str">
        <f ca="1">IFERROR(__xludf.DUMMYFUNCTION("""COMPUTED_VALUE"""),"Dubai")</f>
        <v>Dubai</v>
      </c>
      <c r="B14303" s="2" t="str">
        <f ca="1">IFERROR(__xludf.DUMMYFUNCTION("""COMPUTED_VALUE"""),"Millennium Al Barsha")</f>
        <v>Millennium Al Barsha</v>
      </c>
      <c r="C14303" s="2" t="str">
        <f ca="1">IFERROR(__xludf.DUMMYFUNCTION("""COMPUTED_VALUE"""),"Building")</f>
        <v>Building</v>
      </c>
      <c r="D14303" s="2" t="str">
        <f ca="1">IFERROR(__xludf.DUMMYFUNCTION("""COMPUTED_VALUE"""),"Dubai&gt;Al Barsha&gt;Al Barsha 1&gt;Millennium Al Barsha")</f>
        <v>Dubai&gt;Al Barsha&gt;Al Barsha 1&gt;Millennium Al Barsha</v>
      </c>
      <c r="E14303" s="2"/>
      <c r="F14303" s="2"/>
      <c r="G14303" s="2"/>
      <c r="H14303" s="2"/>
      <c r="I14303" s="2"/>
      <c r="J14303" s="2"/>
      <c r="K14303" s="2"/>
      <c r="L14303" s="2"/>
      <c r="M14303" s="2"/>
      <c r="N14303" s="2"/>
      <c r="O14303" s="2"/>
      <c r="P14303" s="2"/>
      <c r="Q14303" s="2"/>
      <c r="R14303" s="2"/>
      <c r="S14303" s="2"/>
      <c r="T14303" s="2"/>
      <c r="U14303" s="2"/>
      <c r="V14303" s="2"/>
      <c r="W14303" s="2"/>
      <c r="X14303" s="2"/>
      <c r="Y14303" s="2"/>
      <c r="Z14303" s="2"/>
    </row>
    <row r="14304" spans="1:26" ht="16.5" x14ac:dyDescent="0.35">
      <c r="A14304" s="2" t="str">
        <f ca="1">IFERROR(__xludf.DUMMYFUNCTION("""COMPUTED_VALUE"""),"Dubai")</f>
        <v>Dubai</v>
      </c>
      <c r="B14304" s="2" t="str">
        <f ca="1">IFERROR(__xludf.DUMMYFUNCTION("""COMPUTED_VALUE"""),"Vienna Building")</f>
        <v>Vienna Building</v>
      </c>
      <c r="C14304" s="2" t="str">
        <f ca="1">IFERROR(__xludf.DUMMYFUNCTION("""COMPUTED_VALUE"""),"Building")</f>
        <v>Building</v>
      </c>
      <c r="D14304" s="2" t="str">
        <f ca="1">IFERROR(__xludf.DUMMYFUNCTION("""COMPUTED_VALUE"""),"Dubai&gt;Al Barsha&gt;Al Barsha 1&gt;Vienna Building")</f>
        <v>Dubai&gt;Al Barsha&gt;Al Barsha 1&gt;Vienna Building</v>
      </c>
      <c r="E14304" s="2"/>
      <c r="F14304" s="2"/>
      <c r="G14304" s="2"/>
      <c r="H14304" s="2"/>
      <c r="I14304" s="2"/>
      <c r="J14304" s="2"/>
      <c r="K14304" s="2"/>
      <c r="L14304" s="2"/>
      <c r="M14304" s="2"/>
      <c r="N14304" s="2"/>
      <c r="O14304" s="2"/>
      <c r="P14304" s="2"/>
      <c r="Q14304" s="2"/>
      <c r="R14304" s="2"/>
      <c r="S14304" s="2"/>
      <c r="T14304" s="2"/>
      <c r="U14304" s="2"/>
      <c r="V14304" s="2"/>
      <c r="W14304" s="2"/>
      <c r="X14304" s="2"/>
      <c r="Y14304" s="2"/>
      <c r="Z14304" s="2"/>
    </row>
    <row r="14305" spans="1:26" ht="16.5" x14ac:dyDescent="0.35">
      <c r="A14305" s="2" t="str">
        <f ca="1">IFERROR(__xludf.DUMMYFUNCTION("""COMPUTED_VALUE"""),"Dubai")</f>
        <v>Dubai</v>
      </c>
      <c r="B14305" s="2" t="str">
        <f ca="1">IFERROR(__xludf.DUMMYFUNCTION("""COMPUTED_VALUE"""),"Rania Business Centre")</f>
        <v>Rania Business Centre</v>
      </c>
      <c r="C14305" s="2" t="str">
        <f ca="1">IFERROR(__xludf.DUMMYFUNCTION("""COMPUTED_VALUE"""),"Building")</f>
        <v>Building</v>
      </c>
      <c r="D14305" s="2" t="str">
        <f ca="1">IFERROR(__xludf.DUMMYFUNCTION("""COMPUTED_VALUE"""),"Dubai&gt;Al Barsha&gt;Al Barsha 1&gt;Rania Business Centre")</f>
        <v>Dubai&gt;Al Barsha&gt;Al Barsha 1&gt;Rania Business Centre</v>
      </c>
      <c r="E14305" s="2"/>
      <c r="F14305" s="2"/>
      <c r="G14305" s="2"/>
      <c r="H14305" s="2"/>
      <c r="I14305" s="2"/>
      <c r="J14305" s="2"/>
      <c r="K14305" s="2"/>
      <c r="L14305" s="2"/>
      <c r="M14305" s="2"/>
      <c r="N14305" s="2"/>
      <c r="O14305" s="2"/>
      <c r="P14305" s="2"/>
      <c r="Q14305" s="2"/>
      <c r="R14305" s="2"/>
      <c r="S14305" s="2"/>
      <c r="T14305" s="2"/>
      <c r="U14305" s="2"/>
      <c r="V14305" s="2"/>
      <c r="W14305" s="2"/>
      <c r="X14305" s="2"/>
      <c r="Y14305" s="2"/>
      <c r="Z14305" s="2"/>
    </row>
    <row r="14306" spans="1:26" ht="16.5" x14ac:dyDescent="0.35">
      <c r="A14306" s="2" t="str">
        <f ca="1">IFERROR(__xludf.DUMMYFUNCTION("""COMPUTED_VALUE"""),"Dubai")</f>
        <v>Dubai</v>
      </c>
      <c r="B14306" s="2" t="str">
        <f ca="1">IFERROR(__xludf.DUMMYFUNCTION("""COMPUTED_VALUE"""),"D2 Tower")</f>
        <v>D2 Tower</v>
      </c>
      <c r="C14306" s="2" t="str">
        <f ca="1">IFERROR(__xludf.DUMMYFUNCTION("""COMPUTED_VALUE"""),"Building")</f>
        <v>Building</v>
      </c>
      <c r="D14306" s="2" t="str">
        <f ca="1">IFERROR(__xludf.DUMMYFUNCTION("""COMPUTED_VALUE"""),"Dubai&gt;Al Barsha&gt;Al Barsha 1&gt;D2 Tower")</f>
        <v>Dubai&gt;Al Barsha&gt;Al Barsha 1&gt;D2 Tower</v>
      </c>
      <c r="E14306" s="2"/>
      <c r="F14306" s="2"/>
      <c r="G14306" s="2"/>
      <c r="H14306" s="2"/>
      <c r="I14306" s="2"/>
      <c r="J14306" s="2"/>
      <c r="K14306" s="2"/>
      <c r="L14306" s="2"/>
      <c r="M14306" s="2"/>
      <c r="N14306" s="2"/>
      <c r="O14306" s="2"/>
      <c r="P14306" s="2"/>
      <c r="Q14306" s="2"/>
      <c r="R14306" s="2"/>
      <c r="S14306" s="2"/>
      <c r="T14306" s="2"/>
      <c r="U14306" s="2"/>
      <c r="V14306" s="2"/>
      <c r="W14306" s="2"/>
      <c r="X14306" s="2"/>
      <c r="Y14306" s="2"/>
      <c r="Z14306" s="2"/>
    </row>
    <row r="14307" spans="1:26" ht="16.5" x14ac:dyDescent="0.35">
      <c r="A14307" s="2" t="str">
        <f ca="1">IFERROR(__xludf.DUMMYFUNCTION("""COMPUTED_VALUE"""),"Dubai")</f>
        <v>Dubai</v>
      </c>
      <c r="B14307" s="2" t="str">
        <f ca="1">IFERROR(__xludf.DUMMYFUNCTION("""COMPUTED_VALUE"""),"Donatello Hotel")</f>
        <v>Donatello Hotel</v>
      </c>
      <c r="C14307" s="2" t="str">
        <f ca="1">IFERROR(__xludf.DUMMYFUNCTION("""COMPUTED_VALUE"""),"Building")</f>
        <v>Building</v>
      </c>
      <c r="D14307" s="2" t="str">
        <f ca="1">IFERROR(__xludf.DUMMYFUNCTION("""COMPUTED_VALUE"""),"Dubai&gt;Al Barsha&gt;Al Barsha 1&gt;Donatello Hotel")</f>
        <v>Dubai&gt;Al Barsha&gt;Al Barsha 1&gt;Donatello Hotel</v>
      </c>
      <c r="E14307" s="2"/>
      <c r="F14307" s="2"/>
      <c r="G14307" s="2"/>
      <c r="H14307" s="2"/>
      <c r="I14307" s="2"/>
      <c r="J14307" s="2"/>
      <c r="K14307" s="2"/>
      <c r="L14307" s="2"/>
      <c r="M14307" s="2"/>
      <c r="N14307" s="2"/>
      <c r="O14307" s="2"/>
      <c r="P14307" s="2"/>
      <c r="Q14307" s="2"/>
      <c r="R14307" s="2"/>
      <c r="S14307" s="2"/>
      <c r="T14307" s="2"/>
      <c r="U14307" s="2"/>
      <c r="V14307" s="2"/>
      <c r="W14307" s="2"/>
      <c r="X14307" s="2"/>
      <c r="Y14307" s="2"/>
      <c r="Z14307" s="2"/>
    </row>
    <row r="14308" spans="1:26" ht="16.5" x14ac:dyDescent="0.35">
      <c r="A14308" s="2" t="str">
        <f ca="1">IFERROR(__xludf.DUMMYFUNCTION("""COMPUTED_VALUE"""),"Dubai")</f>
        <v>Dubai</v>
      </c>
      <c r="B14308" s="2" t="str">
        <f ca="1">IFERROR(__xludf.DUMMYFUNCTION("""COMPUTED_VALUE"""),"Al Telal 11")</f>
        <v>Al Telal 11</v>
      </c>
      <c r="C14308" s="2" t="str">
        <f ca="1">IFERROR(__xludf.DUMMYFUNCTION("""COMPUTED_VALUE"""),"Building")</f>
        <v>Building</v>
      </c>
      <c r="D14308" s="2" t="str">
        <f ca="1">IFERROR(__xludf.DUMMYFUNCTION("""COMPUTED_VALUE"""),"Dubai&gt;Al Barsha&gt;Al Barsha 1&gt;Al Telal 11")</f>
        <v>Dubai&gt;Al Barsha&gt;Al Barsha 1&gt;Al Telal 11</v>
      </c>
      <c r="E14308" s="2"/>
      <c r="F14308" s="2"/>
      <c r="G14308" s="2"/>
      <c r="H14308" s="2"/>
      <c r="I14308" s="2"/>
      <c r="J14308" s="2"/>
      <c r="K14308" s="2"/>
      <c r="L14308" s="2"/>
      <c r="M14308" s="2"/>
      <c r="N14308" s="2"/>
      <c r="O14308" s="2"/>
      <c r="P14308" s="2"/>
      <c r="Q14308" s="2"/>
      <c r="R14308" s="2"/>
      <c r="S14308" s="2"/>
      <c r="T14308" s="2"/>
      <c r="U14308" s="2"/>
      <c r="V14308" s="2"/>
      <c r="W14308" s="2"/>
      <c r="X14308" s="2"/>
      <c r="Y14308" s="2"/>
      <c r="Z14308" s="2"/>
    </row>
    <row r="14309" spans="1:26" ht="16.5" x14ac:dyDescent="0.35">
      <c r="A14309" s="2" t="str">
        <f ca="1">IFERROR(__xludf.DUMMYFUNCTION("""COMPUTED_VALUE"""),"Dubai")</f>
        <v>Dubai</v>
      </c>
      <c r="B14309" s="2" t="str">
        <f ca="1">IFERROR(__xludf.DUMMYFUNCTION("""COMPUTED_VALUE"""),"Al Maha Tower A")</f>
        <v>Al Maha Tower A</v>
      </c>
      <c r="C14309" s="2" t="str">
        <f ca="1">IFERROR(__xludf.DUMMYFUNCTION("""COMPUTED_VALUE"""),"Building")</f>
        <v>Building</v>
      </c>
      <c r="D14309" s="2" t="str">
        <f ca="1">IFERROR(__xludf.DUMMYFUNCTION("""COMPUTED_VALUE"""),"Dubai&gt;Al Barsha&gt;Al Barsha 1&gt;Al Maha Tower A")</f>
        <v>Dubai&gt;Al Barsha&gt;Al Barsha 1&gt;Al Maha Tower A</v>
      </c>
      <c r="E14309" s="2"/>
      <c r="F14309" s="2"/>
      <c r="G14309" s="2"/>
      <c r="H14309" s="2"/>
      <c r="I14309" s="2"/>
      <c r="J14309" s="2"/>
      <c r="K14309" s="2"/>
      <c r="L14309" s="2"/>
      <c r="M14309" s="2"/>
      <c r="N14309" s="2"/>
      <c r="O14309" s="2"/>
      <c r="P14309" s="2"/>
      <c r="Q14309" s="2"/>
      <c r="R14309" s="2"/>
      <c r="S14309" s="2"/>
      <c r="T14309" s="2"/>
      <c r="U14309" s="2"/>
      <c r="V14309" s="2"/>
      <c r="W14309" s="2"/>
      <c r="X14309" s="2"/>
      <c r="Y14309" s="2"/>
      <c r="Z14309" s="2"/>
    </row>
    <row r="14310" spans="1:26" ht="16.5" x14ac:dyDescent="0.35">
      <c r="A14310" s="2" t="str">
        <f ca="1">IFERROR(__xludf.DUMMYFUNCTION("""COMPUTED_VALUE"""),"Dubai")</f>
        <v>Dubai</v>
      </c>
      <c r="B14310" s="2" t="str">
        <f ca="1">IFERROR(__xludf.DUMMYFUNCTION("""COMPUTED_VALUE"""),"Galleria Villas Al Barsha B")</f>
        <v>Galleria Villas Al Barsha B</v>
      </c>
      <c r="C14310" s="2" t="str">
        <f ca="1">IFERROR(__xludf.DUMMYFUNCTION("""COMPUTED_VALUE"""),"Neighbourhood")</f>
        <v>Neighbourhood</v>
      </c>
      <c r="D14310" s="2" t="str">
        <f ca="1">IFERROR(__xludf.DUMMYFUNCTION("""COMPUTED_VALUE"""),"Dubai&gt;Al Barsha&gt;Al Barsha 1&gt;Galleria Villas Al Barsha B")</f>
        <v>Dubai&gt;Al Barsha&gt;Al Barsha 1&gt;Galleria Villas Al Barsha B</v>
      </c>
      <c r="E14310" s="2"/>
      <c r="F14310" s="2"/>
      <c r="G14310" s="2"/>
      <c r="H14310" s="2"/>
      <c r="I14310" s="2"/>
      <c r="J14310" s="2"/>
      <c r="K14310" s="2"/>
      <c r="L14310" s="2"/>
      <c r="M14310" s="2"/>
      <c r="N14310" s="2"/>
      <c r="O14310" s="2"/>
      <c r="P14310" s="2"/>
      <c r="Q14310" s="2"/>
      <c r="R14310" s="2"/>
      <c r="S14310" s="2"/>
      <c r="T14310" s="2"/>
      <c r="U14310" s="2"/>
      <c r="V14310" s="2"/>
      <c r="W14310" s="2"/>
      <c r="X14310" s="2"/>
      <c r="Y14310" s="2"/>
      <c r="Z14310" s="2"/>
    </row>
    <row r="14311" spans="1:26" ht="16.5" x14ac:dyDescent="0.35">
      <c r="A14311" s="2" t="str">
        <f ca="1">IFERROR(__xludf.DUMMYFUNCTION("""COMPUTED_VALUE"""),"Dubai")</f>
        <v>Dubai</v>
      </c>
      <c r="B14311" s="2" t="str">
        <f ca="1">IFERROR(__xludf.DUMMYFUNCTION("""COMPUTED_VALUE"""),"OBY 20 Building")</f>
        <v>OBY 20 Building</v>
      </c>
      <c r="C14311" s="2" t="str">
        <f ca="1">IFERROR(__xludf.DUMMYFUNCTION("""COMPUTED_VALUE"""),"Building")</f>
        <v>Building</v>
      </c>
      <c r="D14311" s="2" t="str">
        <f ca="1">IFERROR(__xludf.DUMMYFUNCTION("""COMPUTED_VALUE"""),"Dubai&gt;Al Barsha&gt;Al Barsha 1&gt;OBY 20 Building")</f>
        <v>Dubai&gt;Al Barsha&gt;Al Barsha 1&gt;OBY 20 Building</v>
      </c>
      <c r="E14311" s="2"/>
      <c r="F14311" s="2"/>
      <c r="G14311" s="2"/>
      <c r="H14311" s="2"/>
      <c r="I14311" s="2"/>
      <c r="J14311" s="2"/>
      <c r="K14311" s="2"/>
      <c r="L14311" s="2"/>
      <c r="M14311" s="2"/>
      <c r="N14311" s="2"/>
      <c r="O14311" s="2"/>
      <c r="P14311" s="2"/>
      <c r="Q14311" s="2"/>
      <c r="R14311" s="2"/>
      <c r="S14311" s="2"/>
      <c r="T14311" s="2"/>
      <c r="U14311" s="2"/>
      <c r="V14311" s="2"/>
      <c r="W14311" s="2"/>
      <c r="X14311" s="2"/>
      <c r="Y14311" s="2"/>
      <c r="Z14311" s="2"/>
    </row>
    <row r="14312" spans="1:26" ht="16.5" x14ac:dyDescent="0.35">
      <c r="A14312" s="2" t="str">
        <f ca="1">IFERROR(__xludf.DUMMYFUNCTION("""COMPUTED_VALUE"""),"Dubai")</f>
        <v>Dubai</v>
      </c>
      <c r="B14312" s="2" t="str">
        <f ca="1">IFERROR(__xludf.DUMMYFUNCTION("""COMPUTED_VALUE"""),"Blossom Nursery Al Barsha 2")</f>
        <v>Blossom Nursery Al Barsha 2</v>
      </c>
      <c r="C14312" s="2" t="str">
        <f ca="1">IFERROR(__xludf.DUMMYFUNCTION("""COMPUTED_VALUE"""),"Nursery")</f>
        <v>Nursery</v>
      </c>
      <c r="D14312" s="2" t="str">
        <f ca="1">IFERROR(__xludf.DUMMYFUNCTION("""COMPUTED_VALUE"""),"Dubai&gt;Al Barsha&gt;Al Barsha 2&gt;Blossom Nursery Al Barsha 2")</f>
        <v>Dubai&gt;Al Barsha&gt;Al Barsha 2&gt;Blossom Nursery Al Barsha 2</v>
      </c>
      <c r="E14312" s="2"/>
      <c r="F14312" s="2"/>
      <c r="G14312" s="2"/>
      <c r="H14312" s="2"/>
      <c r="I14312" s="2"/>
      <c r="J14312" s="2"/>
      <c r="K14312" s="2"/>
      <c r="L14312" s="2"/>
      <c r="M14312" s="2"/>
      <c r="N14312" s="2"/>
      <c r="O14312" s="2"/>
      <c r="P14312" s="2"/>
      <c r="Q14312" s="2"/>
      <c r="R14312" s="2"/>
      <c r="S14312" s="2"/>
      <c r="T14312" s="2"/>
      <c r="U14312" s="2"/>
      <c r="V14312" s="2"/>
      <c r="W14312" s="2"/>
      <c r="X14312" s="2"/>
      <c r="Y14312" s="2"/>
      <c r="Z14312" s="2"/>
    </row>
    <row r="14313" spans="1:26" ht="16.5" x14ac:dyDescent="0.35">
      <c r="A14313" s="2" t="str">
        <f ca="1">IFERROR(__xludf.DUMMYFUNCTION("""COMPUTED_VALUE"""),"Dubai")</f>
        <v>Dubai</v>
      </c>
      <c r="B14313" s="2" t="str">
        <f ca="1">IFERROR(__xludf.DUMMYFUNCTION("""COMPUTED_VALUE"""),"Bellevue Towers")</f>
        <v>Bellevue Towers</v>
      </c>
      <c r="C14313" s="2" t="str">
        <f ca="1">IFERROR(__xludf.DUMMYFUNCTION("""COMPUTED_VALUE"""),"Cluster")</f>
        <v>Cluster</v>
      </c>
      <c r="D14313" s="2" t="str">
        <f ca="1">IFERROR(__xludf.DUMMYFUNCTION("""COMPUTED_VALUE"""),"Dubai&gt;Downtown Dubai&gt;Bellevue Towers")</f>
        <v>Dubai&gt;Downtown Dubai&gt;Bellevue Towers</v>
      </c>
      <c r="E14313" s="2"/>
      <c r="F14313" s="2"/>
      <c r="G14313" s="2"/>
      <c r="H14313" s="2"/>
      <c r="I14313" s="2"/>
      <c r="J14313" s="2"/>
      <c r="K14313" s="2"/>
      <c r="L14313" s="2"/>
      <c r="M14313" s="2"/>
      <c r="N14313" s="2"/>
      <c r="O14313" s="2"/>
      <c r="P14313" s="2"/>
      <c r="Q14313" s="2"/>
      <c r="R14313" s="2"/>
      <c r="S14313" s="2"/>
      <c r="T14313" s="2"/>
      <c r="U14313" s="2"/>
      <c r="V14313" s="2"/>
      <c r="W14313" s="2"/>
      <c r="X14313" s="2"/>
      <c r="Y14313" s="2"/>
      <c r="Z14313" s="2"/>
    </row>
    <row r="14314" spans="1:26" ht="16.5" x14ac:dyDescent="0.35">
      <c r="A14314" s="2" t="str">
        <f ca="1">IFERROR(__xludf.DUMMYFUNCTION("""COMPUTED_VALUE"""),"Dubai")</f>
        <v>Dubai</v>
      </c>
      <c r="B14314" s="2" t="str">
        <f ca="1">IFERROR(__xludf.DUMMYFUNCTION("""COMPUTED_VALUE"""),"The Residences Villas")</f>
        <v>The Residences Villas</v>
      </c>
      <c r="C14314" s="2" t="str">
        <f ca="1">IFERROR(__xludf.DUMMYFUNCTION("""COMPUTED_VALUE"""),"Neighbourhood")</f>
        <v>Neighbourhood</v>
      </c>
      <c r="D14314" s="2" t="str">
        <f ca="1">IFERROR(__xludf.DUMMYFUNCTION("""COMPUTED_VALUE"""),"Dubai&gt;Downtown Dubai&gt;The Residences&gt;The Residences Villas")</f>
        <v>Dubai&gt;Downtown Dubai&gt;The Residences&gt;The Residences Villas</v>
      </c>
      <c r="E14314" s="2"/>
      <c r="F14314" s="2"/>
      <c r="G14314" s="2"/>
      <c r="H14314" s="2"/>
      <c r="I14314" s="2"/>
      <c r="J14314" s="2"/>
      <c r="K14314" s="2"/>
      <c r="L14314" s="2"/>
      <c r="M14314" s="2"/>
      <c r="N14314" s="2"/>
      <c r="O14314" s="2"/>
      <c r="P14314" s="2"/>
      <c r="Q14314" s="2"/>
      <c r="R14314" s="2"/>
      <c r="S14314" s="2"/>
      <c r="T14314" s="2"/>
      <c r="U14314" s="2"/>
      <c r="V14314" s="2"/>
      <c r="W14314" s="2"/>
      <c r="X14314" s="2"/>
      <c r="Y14314" s="2"/>
      <c r="Z14314" s="2"/>
    </row>
    <row r="14315" spans="1:26" ht="16.5" x14ac:dyDescent="0.35">
      <c r="A14315" s="2" t="str">
        <f ca="1">IFERROR(__xludf.DUMMYFUNCTION("""COMPUTED_VALUE"""),"Dubai")</f>
        <v>Dubai</v>
      </c>
      <c r="B14315" s="2" t="str">
        <f ca="1">IFERROR(__xludf.DUMMYFUNCTION("""COMPUTED_VALUE"""),"DAMAC Maison The Distinction")</f>
        <v>DAMAC Maison The Distinction</v>
      </c>
      <c r="C14315" s="2" t="str">
        <f ca="1">IFERROR(__xludf.DUMMYFUNCTION("""COMPUTED_VALUE"""),"Building")</f>
        <v>Building</v>
      </c>
      <c r="D14315" s="2" t="str">
        <f ca="1">IFERROR(__xludf.DUMMYFUNCTION("""COMPUTED_VALUE"""),"Dubai&gt;Downtown Dubai&gt;DAMAC Maison The Distinction")</f>
        <v>Dubai&gt;Downtown Dubai&gt;DAMAC Maison The Distinction</v>
      </c>
      <c r="E14315" s="2"/>
      <c r="F14315" s="2"/>
      <c r="G14315" s="2"/>
      <c r="H14315" s="2"/>
      <c r="I14315" s="2"/>
      <c r="J14315" s="2"/>
      <c r="K14315" s="2"/>
      <c r="L14315" s="2"/>
      <c r="M14315" s="2"/>
      <c r="N14315" s="2"/>
      <c r="O14315" s="2"/>
      <c r="P14315" s="2"/>
      <c r="Q14315" s="2"/>
      <c r="R14315" s="2"/>
      <c r="S14315" s="2"/>
      <c r="T14315" s="2"/>
      <c r="U14315" s="2"/>
      <c r="V14315" s="2"/>
      <c r="W14315" s="2"/>
      <c r="X14315" s="2"/>
      <c r="Y14315" s="2"/>
      <c r="Z14315" s="2"/>
    </row>
    <row r="14316" spans="1:26" ht="16.5" x14ac:dyDescent="0.35">
      <c r="A14316" s="2" t="str">
        <f ca="1">IFERROR(__xludf.DUMMYFUNCTION("""COMPUTED_VALUE"""),"Dubai")</f>
        <v>Dubai</v>
      </c>
      <c r="B14316" s="2" t="str">
        <f ca="1">IFERROR(__xludf.DUMMYFUNCTION("""COMPUTED_VALUE"""),"Zaafaran 2")</f>
        <v>Zaafaran 2</v>
      </c>
      <c r="C14316" s="2" t="str">
        <f ca="1">IFERROR(__xludf.DUMMYFUNCTION("""COMPUTED_VALUE"""),"Building")</f>
        <v>Building</v>
      </c>
      <c r="D14316" s="2" t="str">
        <f ca="1">IFERROR(__xludf.DUMMYFUNCTION("""COMPUTED_VALUE"""),"Dubai&gt;Downtown Dubai&gt;Old Town&gt;Zaafaran&gt;Zaafaran 2")</f>
        <v>Dubai&gt;Downtown Dubai&gt;Old Town&gt;Zaafaran&gt;Zaafaran 2</v>
      </c>
      <c r="E14316" s="2"/>
      <c r="F14316" s="2"/>
      <c r="G14316" s="2"/>
      <c r="H14316" s="2"/>
      <c r="I14316" s="2"/>
      <c r="J14316" s="2"/>
      <c r="K14316" s="2"/>
      <c r="L14316" s="2"/>
      <c r="M14316" s="2"/>
      <c r="N14316" s="2"/>
      <c r="O14316" s="2"/>
      <c r="P14316" s="2"/>
      <c r="Q14316" s="2"/>
      <c r="R14316" s="2"/>
      <c r="S14316" s="2"/>
      <c r="T14316" s="2"/>
      <c r="U14316" s="2"/>
      <c r="V14316" s="2"/>
      <c r="W14316" s="2"/>
      <c r="X14316" s="2"/>
      <c r="Y14316" s="2"/>
      <c r="Z14316" s="2"/>
    </row>
    <row r="14317" spans="1:26" ht="16.5" x14ac:dyDescent="0.35">
      <c r="A14317" s="2" t="str">
        <f ca="1">IFERROR(__xludf.DUMMYFUNCTION("""COMPUTED_VALUE"""),"Dubai")</f>
        <v>Dubai</v>
      </c>
      <c r="B14317" s="2" t="str">
        <f ca="1">IFERROR(__xludf.DUMMYFUNCTION("""COMPUTED_VALUE"""),"Zanzebeel 2")</f>
        <v>Zanzebeel 2</v>
      </c>
      <c r="C14317" s="2" t="str">
        <f ca="1">IFERROR(__xludf.DUMMYFUNCTION("""COMPUTED_VALUE"""),"Building")</f>
        <v>Building</v>
      </c>
      <c r="D14317" s="2" t="str">
        <f ca="1">IFERROR(__xludf.DUMMYFUNCTION("""COMPUTED_VALUE"""),"Dubai&gt;Downtown Dubai&gt;Old Town&gt;Zanzebeel&gt;Zanzebeel 2")</f>
        <v>Dubai&gt;Downtown Dubai&gt;Old Town&gt;Zanzebeel&gt;Zanzebeel 2</v>
      </c>
      <c r="E14317" s="2"/>
      <c r="F14317" s="2"/>
      <c r="G14317" s="2"/>
      <c r="H14317" s="2"/>
      <c r="I14317" s="2"/>
      <c r="J14317" s="2"/>
      <c r="K14317" s="2"/>
      <c r="L14317" s="2"/>
      <c r="M14317" s="2"/>
      <c r="N14317" s="2"/>
      <c r="O14317" s="2"/>
      <c r="P14317" s="2"/>
      <c r="Q14317" s="2"/>
      <c r="R14317" s="2"/>
      <c r="S14317" s="2"/>
      <c r="T14317" s="2"/>
      <c r="U14317" s="2"/>
      <c r="V14317" s="2"/>
      <c r="W14317" s="2"/>
      <c r="X14317" s="2"/>
      <c r="Y14317" s="2"/>
      <c r="Z14317" s="2"/>
    </row>
    <row r="14318" spans="1:26" ht="16.5" x14ac:dyDescent="0.35">
      <c r="A14318" s="2" t="str">
        <f ca="1">IFERROR(__xludf.DUMMYFUNCTION("""COMPUTED_VALUE"""),"Dubai")</f>
        <v>Dubai</v>
      </c>
      <c r="B14318" s="2" t="str">
        <f ca="1">IFERROR(__xludf.DUMMYFUNCTION("""COMPUTED_VALUE"""),"The Dubai Edition")</f>
        <v>The Dubai Edition</v>
      </c>
      <c r="C14318" s="2" t="str">
        <f ca="1">IFERROR(__xludf.DUMMYFUNCTION("""COMPUTED_VALUE"""),"Building")</f>
        <v>Building</v>
      </c>
      <c r="D14318" s="2" t="str">
        <f ca="1">IFERROR(__xludf.DUMMYFUNCTION("""COMPUTED_VALUE"""),"Dubai&gt;Downtown Dubai&gt;The Dubai Edition")</f>
        <v>Dubai&gt;Downtown Dubai&gt;The Dubai Edition</v>
      </c>
      <c r="E14318" s="2"/>
      <c r="F14318" s="2"/>
      <c r="G14318" s="2"/>
      <c r="H14318" s="2"/>
      <c r="I14318" s="2"/>
      <c r="J14318" s="2"/>
      <c r="K14318" s="2"/>
      <c r="L14318" s="2"/>
      <c r="M14318" s="2"/>
      <c r="N14318" s="2"/>
      <c r="O14318" s="2"/>
      <c r="P14318" s="2"/>
      <c r="Q14318" s="2"/>
      <c r="R14318" s="2"/>
      <c r="S14318" s="2"/>
      <c r="T14318" s="2"/>
      <c r="U14318" s="2"/>
      <c r="V14318" s="2"/>
      <c r="W14318" s="2"/>
      <c r="X14318" s="2"/>
      <c r="Y14318" s="2"/>
      <c r="Z14318" s="2"/>
    </row>
    <row r="14319" spans="1:26" ht="16.5" x14ac:dyDescent="0.35">
      <c r="A14319" s="2" t="str">
        <f ca="1">IFERROR(__xludf.DUMMYFUNCTION("""COMPUTED_VALUE"""),"Dubai")</f>
        <v>Dubai</v>
      </c>
      <c r="B14319" s="2" t="str">
        <f ca="1">IFERROR(__xludf.DUMMYFUNCTION("""COMPUTED_VALUE"""),"Mazaya 3")</f>
        <v>Mazaya 3</v>
      </c>
      <c r="C14319" s="2" t="str">
        <f ca="1">IFERROR(__xludf.DUMMYFUNCTION("""COMPUTED_VALUE"""),"Building")</f>
        <v>Building</v>
      </c>
      <c r="D14319" s="2" t="str">
        <f ca="1">IFERROR(__xludf.DUMMYFUNCTION("""COMPUTED_VALUE"""),"Dubai&gt;Liwan&gt;Queue Point&gt;Mazaya 3")</f>
        <v>Dubai&gt;Liwan&gt;Queue Point&gt;Mazaya 3</v>
      </c>
      <c r="E14319" s="2"/>
      <c r="F14319" s="2"/>
      <c r="G14319" s="2"/>
      <c r="H14319" s="2"/>
      <c r="I14319" s="2"/>
      <c r="J14319" s="2"/>
      <c r="K14319" s="2"/>
      <c r="L14319" s="2"/>
      <c r="M14319" s="2"/>
      <c r="N14319" s="2"/>
      <c r="O14319" s="2"/>
      <c r="P14319" s="2"/>
      <c r="Q14319" s="2"/>
      <c r="R14319" s="2"/>
      <c r="S14319" s="2"/>
      <c r="T14319" s="2"/>
      <c r="U14319" s="2"/>
      <c r="V14319" s="2"/>
      <c r="W14319" s="2"/>
      <c r="X14319" s="2"/>
      <c r="Y14319" s="2"/>
      <c r="Z14319" s="2"/>
    </row>
    <row r="14320" spans="1:26" ht="16.5" x14ac:dyDescent="0.35">
      <c r="A14320" s="2" t="str">
        <f ca="1">IFERROR(__xludf.DUMMYFUNCTION("""COMPUTED_VALUE"""),"Dubai")</f>
        <v>Dubai</v>
      </c>
      <c r="B14320" s="2" t="str">
        <f ca="1">IFERROR(__xludf.DUMMYFUNCTION("""COMPUTED_VALUE"""),"Mazaya 9")</f>
        <v>Mazaya 9</v>
      </c>
      <c r="C14320" s="2" t="str">
        <f ca="1">IFERROR(__xludf.DUMMYFUNCTION("""COMPUTED_VALUE"""),"Building")</f>
        <v>Building</v>
      </c>
      <c r="D14320" s="2" t="str">
        <f ca="1">IFERROR(__xludf.DUMMYFUNCTION("""COMPUTED_VALUE"""),"Dubai&gt;Liwan&gt;Queue Point&gt;Mazaya 9")</f>
        <v>Dubai&gt;Liwan&gt;Queue Point&gt;Mazaya 9</v>
      </c>
      <c r="E14320" s="2"/>
      <c r="F14320" s="2"/>
      <c r="G14320" s="2"/>
      <c r="H14320" s="2"/>
      <c r="I14320" s="2"/>
      <c r="J14320" s="2"/>
      <c r="K14320" s="2"/>
      <c r="L14320" s="2"/>
      <c r="M14320" s="2"/>
      <c r="N14320" s="2"/>
      <c r="O14320" s="2"/>
      <c r="P14320" s="2"/>
      <c r="Q14320" s="2"/>
      <c r="R14320" s="2"/>
      <c r="S14320" s="2"/>
      <c r="T14320" s="2"/>
      <c r="U14320" s="2"/>
      <c r="V14320" s="2"/>
      <c r="W14320" s="2"/>
      <c r="X14320" s="2"/>
      <c r="Y14320" s="2"/>
      <c r="Z14320" s="2"/>
    </row>
    <row r="14321" spans="1:26" ht="16.5" x14ac:dyDescent="0.35">
      <c r="A14321" s="2" t="str">
        <f ca="1">IFERROR(__xludf.DUMMYFUNCTION("""COMPUTED_VALUE"""),"Dubai")</f>
        <v>Dubai</v>
      </c>
      <c r="B14321" s="2" t="str">
        <f ca="1">IFERROR(__xludf.DUMMYFUNCTION("""COMPUTED_VALUE"""),"Confident Preston")</f>
        <v>Confident Preston</v>
      </c>
      <c r="C14321" s="2" t="str">
        <f ca="1">IFERROR(__xludf.DUMMYFUNCTION("""COMPUTED_VALUE"""),"Building")</f>
        <v>Building</v>
      </c>
      <c r="D14321" s="2" t="str">
        <f ca="1">IFERROR(__xludf.DUMMYFUNCTION("""COMPUTED_VALUE"""),"Dubai&gt;Liwan&gt;Confident Preston")</f>
        <v>Dubai&gt;Liwan&gt;Confident Preston</v>
      </c>
      <c r="E14321" s="2"/>
      <c r="F14321" s="2"/>
      <c r="G14321" s="2"/>
      <c r="H14321" s="2"/>
      <c r="I14321" s="2"/>
      <c r="J14321" s="2"/>
      <c r="K14321" s="2"/>
      <c r="L14321" s="2"/>
      <c r="M14321" s="2"/>
      <c r="N14321" s="2"/>
      <c r="O14321" s="2"/>
      <c r="P14321" s="2"/>
      <c r="Q14321" s="2"/>
      <c r="R14321" s="2"/>
      <c r="S14321" s="2"/>
      <c r="T14321" s="2"/>
      <c r="U14321" s="2"/>
      <c r="V14321" s="2"/>
      <c r="W14321" s="2"/>
      <c r="X14321" s="2"/>
      <c r="Y14321" s="2"/>
      <c r="Z14321" s="2"/>
    </row>
    <row r="14322" spans="1:26" ht="16.5" x14ac:dyDescent="0.35">
      <c r="A14322" s="2" t="str">
        <f ca="1">IFERROR(__xludf.DUMMYFUNCTION("""COMPUTED_VALUE"""),"Dubai")</f>
        <v>Dubai</v>
      </c>
      <c r="B14322" s="2" t="str">
        <f ca="1">IFERROR(__xludf.DUMMYFUNCTION("""COMPUTED_VALUE"""),"Best Kidz Nursery")</f>
        <v>Best Kidz Nursery</v>
      </c>
      <c r="C14322" s="2" t="str">
        <f ca="1">IFERROR(__xludf.DUMMYFUNCTION("""COMPUTED_VALUE"""),"Nursery")</f>
        <v>Nursery</v>
      </c>
      <c r="D14322" s="2" t="str">
        <f ca="1">IFERROR(__xludf.DUMMYFUNCTION("""COMPUTED_VALUE"""),"Dubai&gt;DIFC&gt;Best Kidz Nursery")</f>
        <v>Dubai&gt;DIFC&gt;Best Kidz Nursery</v>
      </c>
      <c r="E14322" s="2"/>
      <c r="F14322" s="2"/>
      <c r="G14322" s="2"/>
      <c r="H14322" s="2"/>
      <c r="I14322" s="2"/>
      <c r="J14322" s="2"/>
      <c r="K14322" s="2"/>
      <c r="L14322" s="2"/>
      <c r="M14322" s="2"/>
      <c r="N14322" s="2"/>
      <c r="O14322" s="2"/>
      <c r="P14322" s="2"/>
      <c r="Q14322" s="2"/>
      <c r="R14322" s="2"/>
      <c r="S14322" s="2"/>
      <c r="T14322" s="2"/>
      <c r="U14322" s="2"/>
      <c r="V14322" s="2"/>
      <c r="W14322" s="2"/>
      <c r="X14322" s="2"/>
      <c r="Y14322" s="2"/>
      <c r="Z14322" s="2"/>
    </row>
    <row r="14323" spans="1:26" ht="16.5" x14ac:dyDescent="0.35">
      <c r="A14323" s="2" t="str">
        <f ca="1">IFERROR(__xludf.DUMMYFUNCTION("""COMPUTED_VALUE"""),"Dubai")</f>
        <v>Dubai</v>
      </c>
      <c r="B14323" s="2" t="str">
        <f ca="1">IFERROR(__xludf.DUMMYFUNCTION("""COMPUTED_VALUE"""),"The Gate Precinct 3")</f>
        <v>The Gate Precinct 3</v>
      </c>
      <c r="C14323" s="2" t="str">
        <f ca="1">IFERROR(__xludf.DUMMYFUNCTION("""COMPUTED_VALUE"""),"Building")</f>
        <v>Building</v>
      </c>
      <c r="D14323" s="2" t="str">
        <f ca="1">IFERROR(__xludf.DUMMYFUNCTION("""COMPUTED_VALUE"""),"Dubai&gt;DIFC&gt;The Gate Precinct&gt;The Gate Precinct 3")</f>
        <v>Dubai&gt;DIFC&gt;The Gate Precinct&gt;The Gate Precinct 3</v>
      </c>
      <c r="E14323" s="2"/>
      <c r="F14323" s="2"/>
      <c r="G14323" s="2"/>
      <c r="H14323" s="2"/>
      <c r="I14323" s="2"/>
      <c r="J14323" s="2"/>
      <c r="K14323" s="2"/>
      <c r="L14323" s="2"/>
      <c r="M14323" s="2"/>
      <c r="N14323" s="2"/>
      <c r="O14323" s="2"/>
      <c r="P14323" s="2"/>
      <c r="Q14323" s="2"/>
      <c r="R14323" s="2"/>
      <c r="S14323" s="2"/>
      <c r="T14323" s="2"/>
      <c r="U14323" s="2"/>
      <c r="V14323" s="2"/>
      <c r="W14323" s="2"/>
      <c r="X14323" s="2"/>
      <c r="Y14323" s="2"/>
      <c r="Z14323" s="2"/>
    </row>
    <row r="14324" spans="1:26" ht="16.5" x14ac:dyDescent="0.35">
      <c r="A14324" s="2" t="str">
        <f ca="1">IFERROR(__xludf.DUMMYFUNCTION("""COMPUTED_VALUE"""),"Dubai")</f>
        <v>Dubai</v>
      </c>
      <c r="B14324" s="2" t="str">
        <f ca="1">IFERROR(__xludf.DUMMYFUNCTION("""COMPUTED_VALUE"""),"Al Warqaa")</f>
        <v>Al Warqaa</v>
      </c>
      <c r="C14324" s="2" t="str">
        <f ca="1">IFERROR(__xludf.DUMMYFUNCTION("""COMPUTED_VALUE"""),"Neighbourhood")</f>
        <v>Neighbourhood</v>
      </c>
      <c r="D14324" s="2" t="str">
        <f ca="1">IFERROR(__xludf.DUMMYFUNCTION("""COMPUTED_VALUE"""),"Dubai&gt;Al Warqaa")</f>
        <v>Dubai&gt;Al Warqaa</v>
      </c>
      <c r="E14324" s="2"/>
      <c r="F14324" s="2"/>
      <c r="G14324" s="2"/>
      <c r="H14324" s="2"/>
      <c r="I14324" s="2"/>
      <c r="J14324" s="2"/>
      <c r="K14324" s="2"/>
      <c r="L14324" s="2"/>
      <c r="M14324" s="2"/>
      <c r="N14324" s="2"/>
      <c r="O14324" s="2"/>
      <c r="P14324" s="2"/>
      <c r="Q14324" s="2"/>
      <c r="R14324" s="2"/>
      <c r="S14324" s="2"/>
      <c r="T14324" s="2"/>
      <c r="U14324" s="2"/>
      <c r="V14324" s="2"/>
      <c r="W14324" s="2"/>
      <c r="X14324" s="2"/>
      <c r="Y14324" s="2"/>
      <c r="Z14324" s="2"/>
    </row>
    <row r="14325" spans="1:26" ht="16.5" x14ac:dyDescent="0.35">
      <c r="A14325" s="2" t="str">
        <f ca="1">IFERROR(__xludf.DUMMYFUNCTION("""COMPUTED_VALUE"""),"Dubai")</f>
        <v>Dubai</v>
      </c>
      <c r="B14325" s="2" t="str">
        <f ca="1">IFERROR(__xludf.DUMMYFUNCTION("""COMPUTED_VALUE"""),"Al Malik Building")</f>
        <v>Al Malik Building</v>
      </c>
      <c r="C14325" s="2" t="str">
        <f ca="1">IFERROR(__xludf.DUMMYFUNCTION("""COMPUTED_VALUE"""),"Building")</f>
        <v>Building</v>
      </c>
      <c r="D14325" s="2" t="str">
        <f ca="1">IFERROR(__xludf.DUMMYFUNCTION("""COMPUTED_VALUE"""),"Dubai&gt;Al Warqaa&gt;Al Warqaa 1&gt;Al Malik Building")</f>
        <v>Dubai&gt;Al Warqaa&gt;Al Warqaa 1&gt;Al Malik Building</v>
      </c>
      <c r="E14325" s="2"/>
      <c r="F14325" s="2"/>
      <c r="G14325" s="2"/>
      <c r="H14325" s="2"/>
      <c r="I14325" s="2"/>
      <c r="J14325" s="2"/>
      <c r="K14325" s="2"/>
      <c r="L14325" s="2"/>
      <c r="M14325" s="2"/>
      <c r="N14325" s="2"/>
      <c r="O14325" s="2"/>
      <c r="P14325" s="2"/>
      <c r="Q14325" s="2"/>
      <c r="R14325" s="2"/>
      <c r="S14325" s="2"/>
      <c r="T14325" s="2"/>
      <c r="U14325" s="2"/>
      <c r="V14325" s="2"/>
      <c r="W14325" s="2"/>
      <c r="X14325" s="2"/>
      <c r="Y14325" s="2"/>
      <c r="Z14325" s="2"/>
    </row>
    <row r="14326" spans="1:26" ht="16.5" x14ac:dyDescent="0.35">
      <c r="A14326" s="2" t="str">
        <f ca="1">IFERROR(__xludf.DUMMYFUNCTION("""COMPUTED_VALUE"""),"Dubai")</f>
        <v>Dubai</v>
      </c>
      <c r="B14326" s="2" t="str">
        <f ca="1">IFERROR(__xludf.DUMMYFUNCTION("""COMPUTED_VALUE"""),"Al Telal 8")</f>
        <v>Al Telal 8</v>
      </c>
      <c r="C14326" s="2" t="str">
        <f ca="1">IFERROR(__xludf.DUMMYFUNCTION("""COMPUTED_VALUE"""),"Building")</f>
        <v>Building</v>
      </c>
      <c r="D14326" s="2" t="str">
        <f ca="1">IFERROR(__xludf.DUMMYFUNCTION("""COMPUTED_VALUE"""),"Dubai&gt;Al Warqaa&gt;Al Warqaa 1&gt;Al Telal 8")</f>
        <v>Dubai&gt;Al Warqaa&gt;Al Warqaa 1&gt;Al Telal 8</v>
      </c>
      <c r="E14326" s="2"/>
      <c r="F14326" s="2"/>
      <c r="G14326" s="2"/>
      <c r="H14326" s="2"/>
      <c r="I14326" s="2"/>
      <c r="J14326" s="2"/>
      <c r="K14326" s="2"/>
      <c r="L14326" s="2"/>
      <c r="M14326" s="2"/>
      <c r="N14326" s="2"/>
      <c r="O14326" s="2"/>
      <c r="P14326" s="2"/>
      <c r="Q14326" s="2"/>
      <c r="R14326" s="2"/>
      <c r="S14326" s="2"/>
      <c r="T14326" s="2"/>
      <c r="U14326" s="2"/>
      <c r="V14326" s="2"/>
      <c r="W14326" s="2"/>
      <c r="X14326" s="2"/>
      <c r="Y14326" s="2"/>
      <c r="Z14326" s="2"/>
    </row>
    <row r="14327" spans="1:26" ht="16.5" x14ac:dyDescent="0.35">
      <c r="A14327" s="2" t="str">
        <f ca="1">IFERROR(__xludf.DUMMYFUNCTION("""COMPUTED_VALUE"""),"Dubai")</f>
        <v>Dubai</v>
      </c>
      <c r="B14327" s="2" t="str">
        <f ca="1">IFERROR(__xludf.DUMMYFUNCTION("""COMPUTED_VALUE"""),"Alrajehi Nawal Building")</f>
        <v>Alrajehi Nawal Building</v>
      </c>
      <c r="C14327" s="2" t="str">
        <f ca="1">IFERROR(__xludf.DUMMYFUNCTION("""COMPUTED_VALUE"""),"Building")</f>
        <v>Building</v>
      </c>
      <c r="D14327" s="2" t="str">
        <f ca="1">IFERROR(__xludf.DUMMYFUNCTION("""COMPUTED_VALUE"""),"Dubai&gt;Al Warqaa&gt;Al Warqaa 1&gt;Alrajehi Nawal Building")</f>
        <v>Dubai&gt;Al Warqaa&gt;Al Warqaa 1&gt;Alrajehi Nawal Building</v>
      </c>
      <c r="E14327" s="2"/>
      <c r="F14327" s="2"/>
      <c r="G14327" s="2"/>
      <c r="H14327" s="2"/>
      <c r="I14327" s="2"/>
      <c r="J14327" s="2"/>
      <c r="K14327" s="2"/>
      <c r="L14327" s="2"/>
      <c r="M14327" s="2"/>
      <c r="N14327" s="2"/>
      <c r="O14327" s="2"/>
      <c r="P14327" s="2"/>
      <c r="Q14327" s="2"/>
      <c r="R14327" s="2"/>
      <c r="S14327" s="2"/>
      <c r="T14327" s="2"/>
      <c r="U14327" s="2"/>
      <c r="V14327" s="2"/>
      <c r="W14327" s="2"/>
      <c r="X14327" s="2"/>
      <c r="Y14327" s="2"/>
      <c r="Z14327" s="2"/>
    </row>
    <row r="14328" spans="1:26" ht="16.5" x14ac:dyDescent="0.35">
      <c r="A14328" s="2" t="str">
        <f ca="1">IFERROR(__xludf.DUMMYFUNCTION("""COMPUTED_VALUE"""),"Dubai")</f>
        <v>Dubai</v>
      </c>
      <c r="B14328" s="2" t="str">
        <f ca="1">IFERROR(__xludf.DUMMYFUNCTION("""COMPUTED_VALUE"""),"B &amp; O Residence")</f>
        <v>B &amp; O Residence</v>
      </c>
      <c r="C14328" s="2" t="str">
        <f ca="1">IFERROR(__xludf.DUMMYFUNCTION("""COMPUTED_VALUE"""),"Building")</f>
        <v>Building</v>
      </c>
      <c r="D14328" s="2" t="str">
        <f ca="1">IFERROR(__xludf.DUMMYFUNCTION("""COMPUTED_VALUE"""),"Dubai&gt;Al Warqaa&gt;Al Warqaa 1&gt;B &amp; O Residence")</f>
        <v>Dubai&gt;Al Warqaa&gt;Al Warqaa 1&gt;B &amp; O Residence</v>
      </c>
      <c r="E14328" s="2"/>
      <c r="F14328" s="2"/>
      <c r="G14328" s="2"/>
      <c r="H14328" s="2"/>
      <c r="I14328" s="2"/>
      <c r="J14328" s="2"/>
      <c r="K14328" s="2"/>
      <c r="L14328" s="2"/>
      <c r="M14328" s="2"/>
      <c r="N14328" s="2"/>
      <c r="O14328" s="2"/>
      <c r="P14328" s="2"/>
      <c r="Q14328" s="2"/>
      <c r="R14328" s="2"/>
      <c r="S14328" s="2"/>
      <c r="T14328" s="2"/>
      <c r="U14328" s="2"/>
      <c r="V14328" s="2"/>
      <c r="W14328" s="2"/>
      <c r="X14328" s="2"/>
      <c r="Y14328" s="2"/>
      <c r="Z14328" s="2"/>
    </row>
    <row r="14329" spans="1:26" ht="16.5" x14ac:dyDescent="0.35">
      <c r="A14329" s="2" t="str">
        <f ca="1">IFERROR(__xludf.DUMMYFUNCTION("""COMPUTED_VALUE"""),"Dubai")</f>
        <v>Dubai</v>
      </c>
      <c r="B14329" s="2" t="str">
        <f ca="1">IFERROR(__xludf.DUMMYFUNCTION("""COMPUTED_VALUE"""),"Lake City Tower")</f>
        <v>Lake City Tower</v>
      </c>
      <c r="C14329" s="2" t="str">
        <f ca="1">IFERROR(__xludf.DUMMYFUNCTION("""COMPUTED_VALUE"""),"Building")</f>
        <v>Building</v>
      </c>
      <c r="D14329" s="2" t="str">
        <f ca="1">IFERROR(__xludf.DUMMYFUNCTION("""COMPUTED_VALUE"""),"Dubai&gt;Jumeirah Lake Towers (JLT)&gt;JLT Cluster D&gt;Lake City Tower")</f>
        <v>Dubai&gt;Jumeirah Lake Towers (JLT)&gt;JLT Cluster D&gt;Lake City Tower</v>
      </c>
      <c r="E14329" s="2"/>
      <c r="F14329" s="2"/>
      <c r="G14329" s="2"/>
      <c r="H14329" s="2"/>
      <c r="I14329" s="2"/>
      <c r="J14329" s="2"/>
      <c r="K14329" s="2"/>
      <c r="L14329" s="2"/>
      <c r="M14329" s="2"/>
      <c r="N14329" s="2"/>
      <c r="O14329" s="2"/>
      <c r="P14329" s="2"/>
      <c r="Q14329" s="2"/>
      <c r="R14329" s="2"/>
      <c r="S14329" s="2"/>
      <c r="T14329" s="2"/>
      <c r="U14329" s="2"/>
      <c r="V14329" s="2"/>
      <c r="W14329" s="2"/>
      <c r="X14329" s="2"/>
      <c r="Y14329" s="2"/>
      <c r="Z14329" s="2"/>
    </row>
    <row r="14330" spans="1:26" ht="16.5" x14ac:dyDescent="0.35">
      <c r="A14330" s="2" t="str">
        <f ca="1">IFERROR(__xludf.DUMMYFUNCTION("""COMPUTED_VALUE"""),"Dubai")</f>
        <v>Dubai</v>
      </c>
      <c r="B14330" s="2" t="str">
        <f ca="1">IFERROR(__xludf.DUMMYFUNCTION("""COMPUTED_VALUE"""),"JLT Cluster L")</f>
        <v>JLT Cluster L</v>
      </c>
      <c r="C14330" s="2" t="str">
        <f ca="1">IFERROR(__xludf.DUMMYFUNCTION("""COMPUTED_VALUE"""),"Cluster")</f>
        <v>Cluster</v>
      </c>
      <c r="D14330" s="2" t="str">
        <f ca="1">IFERROR(__xludf.DUMMYFUNCTION("""COMPUTED_VALUE"""),"Dubai&gt;Jumeirah Lake Towers (JLT)&gt;JLT Cluster L")</f>
        <v>Dubai&gt;Jumeirah Lake Towers (JLT)&gt;JLT Cluster L</v>
      </c>
      <c r="E14330" s="2"/>
      <c r="F14330" s="2"/>
      <c r="G14330" s="2"/>
      <c r="H14330" s="2"/>
      <c r="I14330" s="2"/>
      <c r="J14330" s="2"/>
      <c r="K14330" s="2"/>
      <c r="L14330" s="2"/>
      <c r="M14330" s="2"/>
      <c r="N14330" s="2"/>
      <c r="O14330" s="2"/>
      <c r="P14330" s="2"/>
      <c r="Q14330" s="2"/>
      <c r="R14330" s="2"/>
      <c r="S14330" s="2"/>
      <c r="T14330" s="2"/>
      <c r="U14330" s="2"/>
      <c r="V14330" s="2"/>
      <c r="W14330" s="2"/>
      <c r="X14330" s="2"/>
      <c r="Y14330" s="2"/>
      <c r="Z14330" s="2"/>
    </row>
    <row r="14331" spans="1:26" ht="16.5" x14ac:dyDescent="0.35">
      <c r="A14331" s="2" t="str">
        <f ca="1">IFERROR(__xludf.DUMMYFUNCTION("""COMPUTED_VALUE"""),"Dubai")</f>
        <v>Dubai</v>
      </c>
      <c r="B14331" s="2" t="str">
        <f ca="1">IFERROR(__xludf.DUMMYFUNCTION("""COMPUTED_VALUE"""),"Green Lakes 2")</f>
        <v>Green Lakes 2</v>
      </c>
      <c r="C14331" s="2" t="str">
        <f ca="1">IFERROR(__xludf.DUMMYFUNCTION("""COMPUTED_VALUE"""),"Building")</f>
        <v>Building</v>
      </c>
      <c r="D14331" s="2" t="str">
        <f ca="1">IFERROR(__xludf.DUMMYFUNCTION("""COMPUTED_VALUE"""),"Dubai&gt;Jumeirah Lake Towers (JLT)&gt;JLT Cluster S&gt;Green Lakes 2")</f>
        <v>Dubai&gt;Jumeirah Lake Towers (JLT)&gt;JLT Cluster S&gt;Green Lakes 2</v>
      </c>
      <c r="E14331" s="2"/>
      <c r="F14331" s="2"/>
      <c r="G14331" s="2"/>
      <c r="H14331" s="2"/>
      <c r="I14331" s="2"/>
      <c r="J14331" s="2"/>
      <c r="K14331" s="2"/>
      <c r="L14331" s="2"/>
      <c r="M14331" s="2"/>
      <c r="N14331" s="2"/>
      <c r="O14331" s="2"/>
      <c r="P14331" s="2"/>
      <c r="Q14331" s="2"/>
      <c r="R14331" s="2"/>
      <c r="S14331" s="2"/>
      <c r="T14331" s="2"/>
      <c r="U14331" s="2"/>
      <c r="V14331" s="2"/>
      <c r="W14331" s="2"/>
      <c r="X14331" s="2"/>
      <c r="Y14331" s="2"/>
      <c r="Z14331" s="2"/>
    </row>
    <row r="14332" spans="1:26" ht="16.5" x14ac:dyDescent="0.35">
      <c r="A14332" s="2" t="str">
        <f ca="1">IFERROR(__xludf.DUMMYFUNCTION("""COMPUTED_VALUE"""),"Dubai")</f>
        <v>Dubai</v>
      </c>
      <c r="B14332" s="2" t="str">
        <f ca="1">IFERROR(__xludf.DUMMYFUNCTION("""COMPUTED_VALUE"""),"Amesco Tower")</f>
        <v>Amesco Tower</v>
      </c>
      <c r="C14332" s="2" t="str">
        <f ca="1">IFERROR(__xludf.DUMMYFUNCTION("""COMPUTED_VALUE"""),"Building")</f>
        <v>Building</v>
      </c>
      <c r="D14332" s="2" t="str">
        <f ca="1">IFERROR(__xludf.DUMMYFUNCTION("""COMPUTED_VALUE"""),"Dubai&gt;Jumeirah Lake Towers (JLT)&gt;Amesco Tower")</f>
        <v>Dubai&gt;Jumeirah Lake Towers (JLT)&gt;Amesco Tower</v>
      </c>
      <c r="E14332" s="2"/>
      <c r="F14332" s="2"/>
      <c r="G14332" s="2"/>
      <c r="H14332" s="2"/>
      <c r="I14332" s="2"/>
      <c r="J14332" s="2"/>
      <c r="K14332" s="2"/>
      <c r="L14332" s="2"/>
      <c r="M14332" s="2"/>
      <c r="N14332" s="2"/>
      <c r="O14332" s="2"/>
      <c r="P14332" s="2"/>
      <c r="Q14332" s="2"/>
      <c r="R14332" s="2"/>
      <c r="S14332" s="2"/>
      <c r="T14332" s="2"/>
      <c r="U14332" s="2"/>
      <c r="V14332" s="2"/>
      <c r="W14332" s="2"/>
      <c r="X14332" s="2"/>
      <c r="Y14332" s="2"/>
      <c r="Z14332" s="2"/>
    </row>
    <row r="14333" spans="1:26" ht="16.5" x14ac:dyDescent="0.35">
      <c r="A14333" s="2" t="str">
        <f ca="1">IFERROR(__xludf.DUMMYFUNCTION("""COMPUTED_VALUE"""),"Dubai")</f>
        <v>Dubai</v>
      </c>
      <c r="B14333" s="2" t="str">
        <f ca="1">IFERROR(__xludf.DUMMYFUNCTION("""COMPUTED_VALUE"""),"Al Salam")</f>
        <v>Al Salam</v>
      </c>
      <c r="C14333" s="2" t="str">
        <f ca="1">IFERROR(__xludf.DUMMYFUNCTION("""COMPUTED_VALUE"""),"Neighbourhood")</f>
        <v>Neighbourhood</v>
      </c>
      <c r="D14333" s="2" t="str">
        <f ca="1">IFERROR(__xludf.DUMMYFUNCTION("""COMPUTED_VALUE"""),"Dubai&gt;Mudon&gt;Al Salam")</f>
        <v>Dubai&gt;Mudon&gt;Al Salam</v>
      </c>
      <c r="E14333" s="2"/>
      <c r="F14333" s="2"/>
      <c r="G14333" s="2"/>
      <c r="H14333" s="2"/>
      <c r="I14333" s="2"/>
      <c r="J14333" s="2"/>
      <c r="K14333" s="2"/>
      <c r="L14333" s="2"/>
      <c r="M14333" s="2"/>
      <c r="N14333" s="2"/>
      <c r="O14333" s="2"/>
      <c r="P14333" s="2"/>
      <c r="Q14333" s="2"/>
      <c r="R14333" s="2"/>
      <c r="S14333" s="2"/>
      <c r="T14333" s="2"/>
      <c r="U14333" s="2"/>
      <c r="V14333" s="2"/>
      <c r="W14333" s="2"/>
      <c r="X14333" s="2"/>
      <c r="Y14333" s="2"/>
      <c r="Z14333" s="2"/>
    </row>
    <row r="14334" spans="1:26" ht="16.5" x14ac:dyDescent="0.35">
      <c r="A14334" s="2" t="str">
        <f ca="1">IFERROR(__xludf.DUMMYFUNCTION("""COMPUTED_VALUE"""),"Dubai")</f>
        <v>Dubai</v>
      </c>
      <c r="B14334" s="2" t="str">
        <f ca="1">IFERROR(__xludf.DUMMYFUNCTION("""COMPUTED_VALUE"""),"Eden House")</f>
        <v>Eden House</v>
      </c>
      <c r="C14334" s="2" t="str">
        <f ca="1">IFERROR(__xludf.DUMMYFUNCTION("""COMPUTED_VALUE"""),"Building")</f>
        <v>Building</v>
      </c>
      <c r="D14334" s="2" t="str">
        <f ca="1">IFERROR(__xludf.DUMMYFUNCTION("""COMPUTED_VALUE"""),"Dubai&gt;Al Satwa&gt;Eden House")</f>
        <v>Dubai&gt;Al Satwa&gt;Eden House</v>
      </c>
      <c r="E14334" s="2"/>
      <c r="F14334" s="2"/>
      <c r="G14334" s="2"/>
      <c r="H14334" s="2"/>
      <c r="I14334" s="2"/>
      <c r="J14334" s="2"/>
      <c r="K14334" s="2"/>
      <c r="L14334" s="2"/>
      <c r="M14334" s="2"/>
      <c r="N14334" s="2"/>
      <c r="O14334" s="2"/>
      <c r="P14334" s="2"/>
      <c r="Q14334" s="2"/>
      <c r="R14334" s="2"/>
      <c r="S14334" s="2"/>
      <c r="T14334" s="2"/>
      <c r="U14334" s="2"/>
      <c r="V14334" s="2"/>
      <c r="W14334" s="2"/>
      <c r="X14334" s="2"/>
      <c r="Y14334" s="2"/>
      <c r="Z14334" s="2"/>
    </row>
    <row r="14335" spans="1:26" ht="16.5" x14ac:dyDescent="0.35">
      <c r="A14335" s="2" t="str">
        <f ca="1">IFERROR(__xludf.DUMMYFUNCTION("""COMPUTED_VALUE"""),"Dubai")</f>
        <v>Dubai</v>
      </c>
      <c r="B14335" s="2" t="str">
        <f ca="1">IFERROR(__xludf.DUMMYFUNCTION("""COMPUTED_VALUE"""),"Solaire 15")</f>
        <v>Solaire 15</v>
      </c>
      <c r="C14335" s="2" t="str">
        <f ca="1">IFERROR(__xludf.DUMMYFUNCTION("""COMPUTED_VALUE"""),"Building")</f>
        <v>Building</v>
      </c>
      <c r="D14335" s="2" t="str">
        <f ca="1">IFERROR(__xludf.DUMMYFUNCTION("""COMPUTED_VALUE"""),"Dubai&gt;Al Satwa&gt;Jumeirah Garden City&gt;Solaire 15")</f>
        <v>Dubai&gt;Al Satwa&gt;Jumeirah Garden City&gt;Solaire 15</v>
      </c>
      <c r="E14335" s="2"/>
      <c r="F14335" s="2"/>
      <c r="G14335" s="2"/>
      <c r="H14335" s="2"/>
      <c r="I14335" s="2"/>
      <c r="J14335" s="2"/>
      <c r="K14335" s="2"/>
      <c r="L14335" s="2"/>
      <c r="M14335" s="2"/>
      <c r="N14335" s="2"/>
      <c r="O14335" s="2"/>
      <c r="P14335" s="2"/>
      <c r="Q14335" s="2"/>
      <c r="R14335" s="2"/>
      <c r="S14335" s="2"/>
      <c r="T14335" s="2"/>
      <c r="U14335" s="2"/>
      <c r="V14335" s="2"/>
      <c r="W14335" s="2"/>
      <c r="X14335" s="2"/>
      <c r="Y14335" s="2"/>
      <c r="Z14335" s="2"/>
    </row>
    <row r="14336" spans="1:26" ht="16.5" x14ac:dyDescent="0.35">
      <c r="A14336" s="2" t="str">
        <f ca="1">IFERROR(__xludf.DUMMYFUNCTION("""COMPUTED_VALUE"""),"Dubai")</f>
        <v>Dubai</v>
      </c>
      <c r="B14336" s="2" t="str">
        <f ca="1">IFERROR(__xludf.DUMMYFUNCTION("""COMPUTED_VALUE"""),"Evergr1n House")</f>
        <v>Evergr1n House</v>
      </c>
      <c r="C14336" s="2" t="str">
        <f ca="1">IFERROR(__xludf.DUMMYFUNCTION("""COMPUTED_VALUE"""),"Building")</f>
        <v>Building</v>
      </c>
      <c r="D14336" s="2" t="str">
        <f ca="1">IFERROR(__xludf.DUMMYFUNCTION("""COMPUTED_VALUE"""),"Dubai&gt;Al Satwa&gt;Jumeirah Garden City&gt;Evergr1n House")</f>
        <v>Dubai&gt;Al Satwa&gt;Jumeirah Garden City&gt;Evergr1n House</v>
      </c>
      <c r="E14336" s="2"/>
      <c r="F14336" s="2"/>
      <c r="G14336" s="2"/>
      <c r="H14336" s="2"/>
      <c r="I14336" s="2"/>
      <c r="J14336" s="2"/>
      <c r="K14336" s="2"/>
      <c r="L14336" s="2"/>
      <c r="M14336" s="2"/>
      <c r="N14336" s="2"/>
      <c r="O14336" s="2"/>
      <c r="P14336" s="2"/>
      <c r="Q14336" s="2"/>
      <c r="R14336" s="2"/>
      <c r="S14336" s="2"/>
      <c r="T14336" s="2"/>
      <c r="U14336" s="2"/>
      <c r="V14336" s="2"/>
      <c r="W14336" s="2"/>
      <c r="X14336" s="2"/>
      <c r="Y14336" s="2"/>
      <c r="Z14336" s="2"/>
    </row>
    <row r="14337" spans="1:26" ht="16.5" x14ac:dyDescent="0.35">
      <c r="A14337" s="2" t="str">
        <f ca="1">IFERROR(__xludf.DUMMYFUNCTION("""COMPUTED_VALUE"""),"Dubai")</f>
        <v>Dubai</v>
      </c>
      <c r="B14337" s="2" t="str">
        <f ca="1">IFERROR(__xludf.DUMMYFUNCTION("""COMPUTED_VALUE"""),"Whitestone Residence")</f>
        <v>Whitestone Residence</v>
      </c>
      <c r="C14337" s="2" t="str">
        <f ca="1">IFERROR(__xludf.DUMMYFUNCTION("""COMPUTED_VALUE"""),"Building")</f>
        <v>Building</v>
      </c>
      <c r="D14337" s="2" t="str">
        <f ca="1">IFERROR(__xludf.DUMMYFUNCTION("""COMPUTED_VALUE"""),"Dubai&gt;Al Satwa&gt;Jumeirah Garden City&gt;Whitestone Residence")</f>
        <v>Dubai&gt;Al Satwa&gt;Jumeirah Garden City&gt;Whitestone Residence</v>
      </c>
      <c r="E14337" s="2"/>
      <c r="F14337" s="2"/>
      <c r="G14337" s="2"/>
      <c r="H14337" s="2"/>
      <c r="I14337" s="2"/>
      <c r="J14337" s="2"/>
      <c r="K14337" s="2"/>
      <c r="L14337" s="2"/>
      <c r="M14337" s="2"/>
      <c r="N14337" s="2"/>
      <c r="O14337" s="2"/>
      <c r="P14337" s="2"/>
      <c r="Q14337" s="2"/>
      <c r="R14337" s="2"/>
      <c r="S14337" s="2"/>
      <c r="T14337" s="2"/>
      <c r="U14337" s="2"/>
      <c r="V14337" s="2"/>
      <c r="W14337" s="2"/>
      <c r="X14337" s="2"/>
      <c r="Y14337" s="2"/>
      <c r="Z14337" s="2"/>
    </row>
    <row r="14338" spans="1:26" ht="16.5" x14ac:dyDescent="0.35">
      <c r="A14338" s="2" t="str">
        <f ca="1">IFERROR(__xludf.DUMMYFUNCTION("""COMPUTED_VALUE"""),"Dubai")</f>
        <v>Dubai</v>
      </c>
      <c r="B14338" s="2" t="str">
        <f ca="1">IFERROR(__xludf.DUMMYFUNCTION("""COMPUTED_VALUE"""),"North American International School (NAIS)")</f>
        <v>North American International School (NAIS)</v>
      </c>
      <c r="C14338" s="2" t="str">
        <f ca="1">IFERROR(__xludf.DUMMYFUNCTION("""COMPUTED_VALUE"""),"School")</f>
        <v>School</v>
      </c>
      <c r="D14338" s="2" t="str">
        <f ca="1">IFERROR(__xludf.DUMMYFUNCTION("""COMPUTED_VALUE"""),"Dubai&gt;Al Mizhar&gt;Al Mizhar 1&gt;North American International School (NAIS)")</f>
        <v>Dubai&gt;Al Mizhar&gt;Al Mizhar 1&gt;North American International School (NAIS)</v>
      </c>
      <c r="E14338" s="2"/>
      <c r="F14338" s="2"/>
      <c r="G14338" s="2"/>
      <c r="H14338" s="2"/>
      <c r="I14338" s="2"/>
      <c r="J14338" s="2"/>
      <c r="K14338" s="2"/>
      <c r="L14338" s="2"/>
      <c r="M14338" s="2"/>
      <c r="N14338" s="2"/>
      <c r="O14338" s="2"/>
      <c r="P14338" s="2"/>
      <c r="Q14338" s="2"/>
      <c r="R14338" s="2"/>
      <c r="S14338" s="2"/>
      <c r="T14338" s="2"/>
      <c r="U14338" s="2"/>
      <c r="V14338" s="2"/>
      <c r="W14338" s="2"/>
      <c r="X14338" s="2"/>
      <c r="Y14338" s="2"/>
      <c r="Z14338" s="2"/>
    </row>
    <row r="14339" spans="1:26" ht="16.5" x14ac:dyDescent="0.35">
      <c r="A14339" s="2" t="str">
        <f ca="1">IFERROR(__xludf.DUMMYFUNCTION("""COMPUTED_VALUE"""),"Dubai")</f>
        <v>Dubai</v>
      </c>
      <c r="B14339" s="2" t="str">
        <f ca="1">IFERROR(__xludf.DUMMYFUNCTION("""COMPUTED_VALUE"""),"Building 161")</f>
        <v>Building 161</v>
      </c>
      <c r="C14339" s="2" t="str">
        <f ca="1">IFERROR(__xludf.DUMMYFUNCTION("""COMPUTED_VALUE"""),"Building")</f>
        <v>Building</v>
      </c>
      <c r="D14339" s="2" t="str">
        <f ca="1">IFERROR(__xludf.DUMMYFUNCTION("""COMPUTED_VALUE"""),"Dubai&gt;Discovery Gardens&gt;Contemporary&gt;Building 161")</f>
        <v>Dubai&gt;Discovery Gardens&gt;Contemporary&gt;Building 161</v>
      </c>
      <c r="E14339" s="2"/>
      <c r="F14339" s="2"/>
      <c r="G14339" s="2"/>
      <c r="H14339" s="2"/>
      <c r="I14339" s="2"/>
      <c r="J14339" s="2"/>
      <c r="K14339" s="2"/>
      <c r="L14339" s="2"/>
      <c r="M14339" s="2"/>
      <c r="N14339" s="2"/>
      <c r="O14339" s="2"/>
      <c r="P14339" s="2"/>
      <c r="Q14339" s="2"/>
      <c r="R14339" s="2"/>
      <c r="S14339" s="2"/>
      <c r="T14339" s="2"/>
      <c r="U14339" s="2"/>
      <c r="V14339" s="2"/>
      <c r="W14339" s="2"/>
      <c r="X14339" s="2"/>
      <c r="Y14339" s="2"/>
      <c r="Z14339" s="2"/>
    </row>
    <row r="14340" spans="1:26" ht="16.5" x14ac:dyDescent="0.35">
      <c r="A14340" s="2" t="str">
        <f ca="1">IFERROR(__xludf.DUMMYFUNCTION("""COMPUTED_VALUE"""),"Dubai")</f>
        <v>Dubai</v>
      </c>
      <c r="B14340" s="2" t="str">
        <f ca="1">IFERROR(__xludf.DUMMYFUNCTION("""COMPUTED_VALUE"""),"Building 235")</f>
        <v>Building 235</v>
      </c>
      <c r="C14340" s="2" t="str">
        <f ca="1">IFERROR(__xludf.DUMMYFUNCTION("""COMPUTED_VALUE"""),"Building")</f>
        <v>Building</v>
      </c>
      <c r="D14340" s="2" t="str">
        <f ca="1">IFERROR(__xludf.DUMMYFUNCTION("""COMPUTED_VALUE"""),"Dubai&gt;Discovery Gardens&gt;Mesoamerican&gt;Building 235")</f>
        <v>Dubai&gt;Discovery Gardens&gt;Mesoamerican&gt;Building 235</v>
      </c>
      <c r="E14340" s="2"/>
      <c r="F14340" s="2"/>
      <c r="G14340" s="2"/>
      <c r="H14340" s="2"/>
      <c r="I14340" s="2"/>
      <c r="J14340" s="2"/>
      <c r="K14340" s="2"/>
      <c r="L14340" s="2"/>
      <c r="M14340" s="2"/>
      <c r="N14340" s="2"/>
      <c r="O14340" s="2"/>
      <c r="P14340" s="2"/>
      <c r="Q14340" s="2"/>
      <c r="R14340" s="2"/>
      <c r="S14340" s="2"/>
      <c r="T14340" s="2"/>
      <c r="U14340" s="2"/>
      <c r="V14340" s="2"/>
      <c r="W14340" s="2"/>
      <c r="X14340" s="2"/>
      <c r="Y14340" s="2"/>
      <c r="Z14340" s="2"/>
    </row>
    <row r="14341" spans="1:26" ht="16.5" x14ac:dyDescent="0.35">
      <c r="A14341" s="2" t="str">
        <f ca="1">IFERROR(__xludf.DUMMYFUNCTION("""COMPUTED_VALUE"""),"Dubai")</f>
        <v>Dubai</v>
      </c>
      <c r="B14341" s="2" t="str">
        <f ca="1">IFERROR(__xludf.DUMMYFUNCTION("""COMPUTED_VALUE"""),"Building 194")</f>
        <v>Building 194</v>
      </c>
      <c r="C14341" s="2" t="str">
        <f ca="1">IFERROR(__xludf.DUMMYFUNCTION("""COMPUTED_VALUE"""),"Building")</f>
        <v>Building</v>
      </c>
      <c r="D14341" s="2" t="str">
        <f ca="1">IFERROR(__xludf.DUMMYFUNCTION("""COMPUTED_VALUE"""),"Dubai&gt;Discovery Gardens&gt;Mogul&gt;Building 194")</f>
        <v>Dubai&gt;Discovery Gardens&gt;Mogul&gt;Building 194</v>
      </c>
      <c r="E14341" s="2"/>
      <c r="F14341" s="2"/>
      <c r="G14341" s="2"/>
      <c r="H14341" s="2"/>
      <c r="I14341" s="2"/>
      <c r="J14341" s="2"/>
      <c r="K14341" s="2"/>
      <c r="L14341" s="2"/>
      <c r="M14341" s="2"/>
      <c r="N14341" s="2"/>
      <c r="O14341" s="2"/>
      <c r="P14341" s="2"/>
      <c r="Q14341" s="2"/>
      <c r="R14341" s="2"/>
      <c r="S14341" s="2"/>
      <c r="T14341" s="2"/>
      <c r="U14341" s="2"/>
      <c r="V14341" s="2"/>
      <c r="W14341" s="2"/>
      <c r="X14341" s="2"/>
      <c r="Y14341" s="2"/>
      <c r="Z14341" s="2"/>
    </row>
    <row r="14342" spans="1:26" ht="16.5" x14ac:dyDescent="0.35">
      <c r="A14342" s="2" t="str">
        <f ca="1">IFERROR(__xludf.DUMMYFUNCTION("""COMPUTED_VALUE"""),"Dubai")</f>
        <v>Dubai</v>
      </c>
      <c r="B14342" s="2" t="str">
        <f ca="1">IFERROR(__xludf.DUMMYFUNCTION("""COMPUTED_VALUE"""),"Discovery Gardens Pavilion")</f>
        <v>Discovery Gardens Pavilion</v>
      </c>
      <c r="C14342" s="2" t="str">
        <f ca="1">IFERROR(__xludf.DUMMYFUNCTION("""COMPUTED_VALUE"""),"Building")</f>
        <v>Building</v>
      </c>
      <c r="D14342" s="2" t="str">
        <f ca="1">IFERROR(__xludf.DUMMYFUNCTION("""COMPUTED_VALUE"""),"Dubai&gt;Discovery Gardens&gt;Discovery Gardens Pavilion")</f>
        <v>Dubai&gt;Discovery Gardens&gt;Discovery Gardens Pavilion</v>
      </c>
      <c r="E14342" s="2"/>
      <c r="F14342" s="2"/>
      <c r="G14342" s="2"/>
      <c r="H14342" s="2"/>
      <c r="I14342" s="2"/>
      <c r="J14342" s="2"/>
      <c r="K14342" s="2"/>
      <c r="L14342" s="2"/>
      <c r="M14342" s="2"/>
      <c r="N14342" s="2"/>
      <c r="O14342" s="2"/>
      <c r="P14342" s="2"/>
      <c r="Q14342" s="2"/>
      <c r="R14342" s="2"/>
      <c r="S14342" s="2"/>
      <c r="T14342" s="2"/>
      <c r="U14342" s="2"/>
      <c r="V14342" s="2"/>
      <c r="W14342" s="2"/>
      <c r="X14342" s="2"/>
      <c r="Y14342" s="2"/>
      <c r="Z14342" s="2"/>
    </row>
    <row r="14343" spans="1:26" ht="16.5" x14ac:dyDescent="0.35">
      <c r="A14343" s="2" t="str">
        <f ca="1">IFERROR(__xludf.DUMMYFUNCTION("""COMPUTED_VALUE"""),"Dubai")</f>
        <v>Dubai</v>
      </c>
      <c r="B14343" s="2" t="str">
        <f ca="1">IFERROR(__xludf.DUMMYFUNCTION("""COMPUTED_VALUE"""),"Building 34")</f>
        <v>Building 34</v>
      </c>
      <c r="C14343" s="2" t="str">
        <f ca="1">IFERROR(__xludf.DUMMYFUNCTION("""COMPUTED_VALUE"""),"Building")</f>
        <v>Building</v>
      </c>
      <c r="D14343" s="2" t="str">
        <f ca="1">IFERROR(__xludf.DUMMYFUNCTION("""COMPUTED_VALUE"""),"Dubai&gt;Discovery Gardens&gt;Zen Cluster&gt;Building 34")</f>
        <v>Dubai&gt;Discovery Gardens&gt;Zen Cluster&gt;Building 34</v>
      </c>
      <c r="E14343" s="2"/>
      <c r="F14343" s="2"/>
      <c r="G14343" s="2"/>
      <c r="H14343" s="2"/>
      <c r="I14343" s="2"/>
      <c r="J14343" s="2"/>
      <c r="K14343" s="2"/>
      <c r="L14343" s="2"/>
      <c r="M14343" s="2"/>
      <c r="N14343" s="2"/>
      <c r="O14343" s="2"/>
      <c r="P14343" s="2"/>
      <c r="Q14343" s="2"/>
      <c r="R14343" s="2"/>
      <c r="S14343" s="2"/>
      <c r="T14343" s="2"/>
      <c r="U14343" s="2"/>
      <c r="V14343" s="2"/>
      <c r="W14343" s="2"/>
      <c r="X14343" s="2"/>
      <c r="Y14343" s="2"/>
      <c r="Z14343" s="2"/>
    </row>
    <row r="14344" spans="1:26" ht="16.5" x14ac:dyDescent="0.35">
      <c r="A14344" s="2" t="str">
        <f ca="1">IFERROR(__xludf.DUMMYFUNCTION("""COMPUTED_VALUE"""),"Dubai")</f>
        <v>Dubai</v>
      </c>
      <c r="B14344" s="2" t="str">
        <f ca="1">IFERROR(__xludf.DUMMYFUNCTION("""COMPUTED_VALUE"""),"Building 38")</f>
        <v>Building 38</v>
      </c>
      <c r="C14344" s="2" t="str">
        <f ca="1">IFERROR(__xludf.DUMMYFUNCTION("""COMPUTED_VALUE"""),"Building")</f>
        <v>Building</v>
      </c>
      <c r="D14344" s="2" t="str">
        <f ca="1">IFERROR(__xludf.DUMMYFUNCTION("""COMPUTED_VALUE"""),"Dubai&gt;Discovery Gardens&gt;Mediterranean&gt;Building 38")</f>
        <v>Dubai&gt;Discovery Gardens&gt;Mediterranean&gt;Building 38</v>
      </c>
      <c r="E14344" s="2"/>
      <c r="F14344" s="2"/>
      <c r="G14344" s="2"/>
      <c r="H14344" s="2"/>
      <c r="I14344" s="2"/>
      <c r="J14344" s="2"/>
      <c r="K14344" s="2"/>
      <c r="L14344" s="2"/>
      <c r="M14344" s="2"/>
      <c r="N14344" s="2"/>
      <c r="O14344" s="2"/>
      <c r="P14344" s="2"/>
      <c r="Q14344" s="2"/>
      <c r="R14344" s="2"/>
      <c r="S14344" s="2"/>
      <c r="T14344" s="2"/>
      <c r="U14344" s="2"/>
      <c r="V14344" s="2"/>
      <c r="W14344" s="2"/>
      <c r="X14344" s="2"/>
      <c r="Y14344" s="2"/>
      <c r="Z14344" s="2"/>
    </row>
    <row r="14345" spans="1:26" ht="16.5" x14ac:dyDescent="0.35">
      <c r="A14345" s="2" t="str">
        <f ca="1">IFERROR(__xludf.DUMMYFUNCTION("""COMPUTED_VALUE"""),"Dubai")</f>
        <v>Dubai</v>
      </c>
      <c r="B14345" s="2" t="str">
        <f ca="1">IFERROR(__xludf.DUMMYFUNCTION("""COMPUTED_VALUE"""),"Building 85")</f>
        <v>Building 85</v>
      </c>
      <c r="C14345" s="2" t="str">
        <f ca="1">IFERROR(__xludf.DUMMYFUNCTION("""COMPUTED_VALUE"""),"Building")</f>
        <v>Building</v>
      </c>
      <c r="D14345" s="2" t="str">
        <f ca="1">IFERROR(__xludf.DUMMYFUNCTION("""COMPUTED_VALUE"""),"Dubai&gt;Discovery Gardens&gt;Mediterranean&gt;Building 85")</f>
        <v>Dubai&gt;Discovery Gardens&gt;Mediterranean&gt;Building 85</v>
      </c>
      <c r="E14345" s="2"/>
      <c r="F14345" s="2"/>
      <c r="G14345" s="2"/>
      <c r="H14345" s="2"/>
      <c r="I14345" s="2"/>
      <c r="J14345" s="2"/>
      <c r="K14345" s="2"/>
      <c r="L14345" s="2"/>
      <c r="M14345" s="2"/>
      <c r="N14345" s="2"/>
      <c r="O14345" s="2"/>
      <c r="P14345" s="2"/>
      <c r="Q14345" s="2"/>
      <c r="R14345" s="2"/>
      <c r="S14345" s="2"/>
      <c r="T14345" s="2"/>
      <c r="U14345" s="2"/>
      <c r="V14345" s="2"/>
      <c r="W14345" s="2"/>
      <c r="X14345" s="2"/>
      <c r="Y14345" s="2"/>
      <c r="Z14345" s="2"/>
    </row>
    <row r="14346" spans="1:26" ht="16.5" x14ac:dyDescent="0.35">
      <c r="A14346" s="2" t="str">
        <f ca="1">IFERROR(__xludf.DUMMYFUNCTION("""COMPUTED_VALUE"""),"Dubai")</f>
        <v>Dubai</v>
      </c>
      <c r="B14346" s="2" t="str">
        <f ca="1">IFERROR(__xludf.DUMMYFUNCTION("""COMPUTED_VALUE"""),"Wyndham Residences The Palm")</f>
        <v>Wyndham Residences The Palm</v>
      </c>
      <c r="C14346" s="2" t="str">
        <f ca="1">IFERROR(__xludf.DUMMYFUNCTION("""COMPUTED_VALUE"""),"Building")</f>
        <v>Building</v>
      </c>
      <c r="D14346" s="2" t="str">
        <f ca="1">IFERROR(__xludf.DUMMYFUNCTION("""COMPUTED_VALUE"""),"Dubai&gt;Palm Jumeirah&gt;Kingdom of Sheba&gt;Wyndham Residences The Palm")</f>
        <v>Dubai&gt;Palm Jumeirah&gt;Kingdom of Sheba&gt;Wyndham Residences The Palm</v>
      </c>
      <c r="E14346" s="2"/>
      <c r="F14346" s="2"/>
      <c r="G14346" s="2"/>
      <c r="H14346" s="2"/>
      <c r="I14346" s="2"/>
      <c r="J14346" s="2"/>
      <c r="K14346" s="2"/>
      <c r="L14346" s="2"/>
      <c r="M14346" s="2"/>
      <c r="N14346" s="2"/>
      <c r="O14346" s="2"/>
      <c r="P14346" s="2"/>
      <c r="Q14346" s="2"/>
      <c r="R14346" s="2"/>
      <c r="S14346" s="2"/>
      <c r="T14346" s="2"/>
      <c r="U14346" s="2"/>
      <c r="V14346" s="2"/>
      <c r="W14346" s="2"/>
      <c r="X14346" s="2"/>
      <c r="Y14346" s="2"/>
      <c r="Z14346" s="2"/>
    </row>
    <row r="14347" spans="1:26" ht="16.5" x14ac:dyDescent="0.35">
      <c r="A14347" s="2" t="str">
        <f ca="1">IFERROR(__xludf.DUMMYFUNCTION("""COMPUTED_VALUE"""),"Dubai")</f>
        <v>Dubai</v>
      </c>
      <c r="B14347" s="2" t="str">
        <f ca="1">IFERROR(__xludf.DUMMYFUNCTION("""COMPUTED_VALUE"""),"Seven Palm")</f>
        <v>Seven Palm</v>
      </c>
      <c r="C14347" s="2" t="str">
        <f ca="1">IFERROR(__xludf.DUMMYFUNCTION("""COMPUTED_VALUE"""),"Building")</f>
        <v>Building</v>
      </c>
      <c r="D14347" s="2" t="str">
        <f ca="1">IFERROR(__xludf.DUMMYFUNCTION("""COMPUTED_VALUE"""),"Dubai&gt;Palm Jumeirah&gt;Seven Palm")</f>
        <v>Dubai&gt;Palm Jumeirah&gt;Seven Palm</v>
      </c>
      <c r="E14347" s="2"/>
      <c r="F14347" s="2"/>
      <c r="G14347" s="2"/>
      <c r="H14347" s="2"/>
      <c r="I14347" s="2"/>
      <c r="J14347" s="2"/>
      <c r="K14347" s="2"/>
      <c r="L14347" s="2"/>
      <c r="M14347" s="2"/>
      <c r="N14347" s="2"/>
      <c r="O14347" s="2"/>
      <c r="P14347" s="2"/>
      <c r="Q14347" s="2"/>
      <c r="R14347" s="2"/>
      <c r="S14347" s="2"/>
      <c r="T14347" s="2"/>
      <c r="U14347" s="2"/>
      <c r="V14347" s="2"/>
      <c r="W14347" s="2"/>
      <c r="X14347" s="2"/>
      <c r="Y14347" s="2"/>
      <c r="Z14347" s="2"/>
    </row>
    <row r="14348" spans="1:26" ht="16.5" x14ac:dyDescent="0.35">
      <c r="A14348" s="2" t="str">
        <f ca="1">IFERROR(__xludf.DUMMYFUNCTION("""COMPUTED_VALUE"""),"Dubai")</f>
        <v>Dubai</v>
      </c>
      <c r="B14348" s="2" t="str">
        <f ca="1">IFERROR(__xludf.DUMMYFUNCTION("""COMPUTED_VALUE"""),"Golden Mile")</f>
        <v>Golden Mile</v>
      </c>
      <c r="C14348" s="2" t="str">
        <f ca="1">IFERROR(__xludf.DUMMYFUNCTION("""COMPUTED_VALUE"""),"Cluster")</f>
        <v>Cluster</v>
      </c>
      <c r="D14348" s="2" t="str">
        <f ca="1">IFERROR(__xludf.DUMMYFUNCTION("""COMPUTED_VALUE"""),"Dubai&gt;Palm Jumeirah&gt;Golden Mile")</f>
        <v>Dubai&gt;Palm Jumeirah&gt;Golden Mile</v>
      </c>
      <c r="E14348" s="2"/>
      <c r="F14348" s="2"/>
      <c r="G14348" s="2"/>
      <c r="H14348" s="2"/>
      <c r="I14348" s="2"/>
      <c r="J14348" s="2"/>
      <c r="K14348" s="2"/>
      <c r="L14348" s="2"/>
      <c r="M14348" s="2"/>
      <c r="N14348" s="2"/>
      <c r="O14348" s="2"/>
      <c r="P14348" s="2"/>
      <c r="Q14348" s="2"/>
      <c r="R14348" s="2"/>
      <c r="S14348" s="2"/>
      <c r="T14348" s="2"/>
      <c r="U14348" s="2"/>
      <c r="V14348" s="2"/>
      <c r="W14348" s="2"/>
      <c r="X14348" s="2"/>
      <c r="Y14348" s="2"/>
      <c r="Z14348" s="2"/>
    </row>
    <row r="14349" spans="1:26" ht="16.5" x14ac:dyDescent="0.35">
      <c r="A14349" s="2" t="str">
        <f ca="1">IFERROR(__xludf.DUMMYFUNCTION("""COMPUTED_VALUE"""),"Dubai")</f>
        <v>Dubai</v>
      </c>
      <c r="B14349" s="2" t="str">
        <f ca="1">IFERROR(__xludf.DUMMYFUNCTION("""COMPUTED_VALUE"""),"Sarai Apartments")</f>
        <v>Sarai Apartments</v>
      </c>
      <c r="C14349" s="2" t="str">
        <f ca="1">IFERROR(__xludf.DUMMYFUNCTION("""COMPUTED_VALUE"""),"Building")</f>
        <v>Building</v>
      </c>
      <c r="D14349" s="2" t="str">
        <f ca="1">IFERROR(__xludf.DUMMYFUNCTION("""COMPUTED_VALUE"""),"Dubai&gt;Palm Jumeirah&gt;The Crescent&gt;Sarai Apartments")</f>
        <v>Dubai&gt;Palm Jumeirah&gt;The Crescent&gt;Sarai Apartments</v>
      </c>
      <c r="E14349" s="2"/>
      <c r="F14349" s="2"/>
      <c r="G14349" s="2"/>
      <c r="H14349" s="2"/>
      <c r="I14349" s="2"/>
      <c r="J14349" s="2"/>
      <c r="K14349" s="2"/>
      <c r="L14349" s="2"/>
      <c r="M14349" s="2"/>
      <c r="N14349" s="2"/>
      <c r="O14349" s="2"/>
      <c r="P14349" s="2"/>
      <c r="Q14349" s="2"/>
      <c r="R14349" s="2"/>
      <c r="S14349" s="2"/>
      <c r="T14349" s="2"/>
      <c r="U14349" s="2"/>
      <c r="V14349" s="2"/>
      <c r="W14349" s="2"/>
      <c r="X14349" s="2"/>
      <c r="Y14349" s="2"/>
      <c r="Z14349" s="2"/>
    </row>
    <row r="14350" spans="1:26" ht="16.5" x14ac:dyDescent="0.35">
      <c r="A14350" s="2" t="str">
        <f ca="1">IFERROR(__xludf.DUMMYFUNCTION("""COMPUTED_VALUE"""),"Dubai")</f>
        <v>Dubai</v>
      </c>
      <c r="B14350" s="2" t="str">
        <f ca="1">IFERROR(__xludf.DUMMYFUNCTION("""COMPUTED_VALUE"""),"Garden Homes Frond M")</f>
        <v>Garden Homes Frond M</v>
      </c>
      <c r="C14350" s="2" t="str">
        <f ca="1">IFERROR(__xludf.DUMMYFUNCTION("""COMPUTED_VALUE"""),"Neighbourhood")</f>
        <v>Neighbourhood</v>
      </c>
      <c r="D14350" s="2" t="str">
        <f ca="1">IFERROR(__xludf.DUMMYFUNCTION("""COMPUTED_VALUE"""),"Dubai&gt;Palm Jumeirah&gt;Garden Homes Palm Jumeirah&gt;Garden Homes Frond M")</f>
        <v>Dubai&gt;Palm Jumeirah&gt;Garden Homes Palm Jumeirah&gt;Garden Homes Frond M</v>
      </c>
      <c r="E14350" s="2"/>
      <c r="F14350" s="2"/>
      <c r="G14350" s="2"/>
      <c r="H14350" s="2"/>
      <c r="I14350" s="2"/>
      <c r="J14350" s="2"/>
      <c r="K14350" s="2"/>
      <c r="L14350" s="2"/>
      <c r="M14350" s="2"/>
      <c r="N14350" s="2"/>
      <c r="O14350" s="2"/>
      <c r="P14350" s="2"/>
      <c r="Q14350" s="2"/>
      <c r="R14350" s="2"/>
      <c r="S14350" s="2"/>
      <c r="T14350" s="2"/>
      <c r="U14350" s="2"/>
      <c r="V14350" s="2"/>
      <c r="W14350" s="2"/>
      <c r="X14350" s="2"/>
      <c r="Y14350" s="2"/>
      <c r="Z14350" s="2"/>
    </row>
    <row r="14351" spans="1:26" ht="16.5" x14ac:dyDescent="0.35">
      <c r="A14351" s="2" t="str">
        <f ca="1">IFERROR(__xludf.DUMMYFUNCTION("""COMPUTED_VALUE"""),"Dubai")</f>
        <v>Dubai</v>
      </c>
      <c r="B14351" s="2" t="str">
        <f ca="1">IFERROR(__xludf.DUMMYFUNCTION("""COMPUTED_VALUE"""),"Serenia Living Tower 1")</f>
        <v>Serenia Living Tower 1</v>
      </c>
      <c r="C14351" s="2" t="str">
        <f ca="1">IFERROR(__xludf.DUMMYFUNCTION("""COMPUTED_VALUE"""),"Building")</f>
        <v>Building</v>
      </c>
      <c r="D14351" s="2" t="str">
        <f ca="1">IFERROR(__xludf.DUMMYFUNCTION("""COMPUTED_VALUE"""),"Dubai&gt;Palm Jumeirah&gt;Serenia Living&gt;Serenia Living Tower 1")</f>
        <v>Dubai&gt;Palm Jumeirah&gt;Serenia Living&gt;Serenia Living Tower 1</v>
      </c>
      <c r="E14351" s="2"/>
      <c r="F14351" s="2"/>
      <c r="G14351" s="2"/>
      <c r="H14351" s="2"/>
      <c r="I14351" s="2"/>
      <c r="J14351" s="2"/>
      <c r="K14351" s="2"/>
      <c r="L14351" s="2"/>
      <c r="M14351" s="2"/>
      <c r="N14351" s="2"/>
      <c r="O14351" s="2"/>
      <c r="P14351" s="2"/>
      <c r="Q14351" s="2"/>
      <c r="R14351" s="2"/>
      <c r="S14351" s="2"/>
      <c r="T14351" s="2"/>
      <c r="U14351" s="2"/>
      <c r="V14351" s="2"/>
      <c r="W14351" s="2"/>
      <c r="X14351" s="2"/>
      <c r="Y14351" s="2"/>
      <c r="Z14351" s="2"/>
    </row>
    <row r="14352" spans="1:26" ht="16.5" x14ac:dyDescent="0.35">
      <c r="A14352" s="2" t="str">
        <f ca="1">IFERROR(__xludf.DUMMYFUNCTION("""COMPUTED_VALUE"""),"Dubai")</f>
        <v>Dubai</v>
      </c>
      <c r="B14352" s="2" t="str">
        <f ca="1">IFERROR(__xludf.DUMMYFUNCTION("""COMPUTED_VALUE"""),"The Club Palm West Beach")</f>
        <v>The Club Palm West Beach</v>
      </c>
      <c r="C14352" s="2" t="str">
        <f ca="1">IFERROR(__xludf.DUMMYFUNCTION("""COMPUTED_VALUE"""),"Building")</f>
        <v>Building</v>
      </c>
      <c r="D14352" s="2" t="str">
        <f ca="1">IFERROR(__xludf.DUMMYFUNCTION("""COMPUTED_VALUE"""),"Dubai&gt;Palm Jumeirah&gt;The Club Palm West Beach")</f>
        <v>Dubai&gt;Palm Jumeirah&gt;The Club Palm West Beach</v>
      </c>
      <c r="E14352" s="2"/>
      <c r="F14352" s="2"/>
      <c r="G14352" s="2"/>
      <c r="H14352" s="2"/>
      <c r="I14352" s="2"/>
      <c r="J14352" s="2"/>
      <c r="K14352" s="2"/>
      <c r="L14352" s="2"/>
      <c r="M14352" s="2"/>
      <c r="N14352" s="2"/>
      <c r="O14352" s="2"/>
      <c r="P14352" s="2"/>
      <c r="Q14352" s="2"/>
      <c r="R14352" s="2"/>
      <c r="S14352" s="2"/>
      <c r="T14352" s="2"/>
      <c r="U14352" s="2"/>
      <c r="V14352" s="2"/>
      <c r="W14352" s="2"/>
      <c r="X14352" s="2"/>
      <c r="Y14352" s="2"/>
      <c r="Z14352" s="2"/>
    </row>
    <row r="14353" spans="1:26" ht="16.5" x14ac:dyDescent="0.35">
      <c r="A14353" s="2" t="str">
        <f ca="1">IFERROR(__xludf.DUMMYFUNCTION("""COMPUTED_VALUE"""),"Dubai")</f>
        <v>Dubai</v>
      </c>
      <c r="B14353" s="2" t="str">
        <f ca="1">IFERROR(__xludf.DUMMYFUNCTION("""COMPUTED_VALUE"""),"The Probe")</f>
        <v>The Probe</v>
      </c>
      <c r="C14353" s="2" t="str">
        <f ca="1">IFERROR(__xludf.DUMMYFUNCTION("""COMPUTED_VALUE"""),"Building")</f>
        <v>Building</v>
      </c>
      <c r="D14353" s="2" t="str">
        <f ca="1">IFERROR(__xludf.DUMMYFUNCTION("""COMPUTED_VALUE"""),"Dubai&gt;Al Jaddaf&gt;The Probe")</f>
        <v>Dubai&gt;Al Jaddaf&gt;The Probe</v>
      </c>
      <c r="E14353" s="2"/>
      <c r="F14353" s="2"/>
      <c r="G14353" s="2"/>
      <c r="H14353" s="2"/>
      <c r="I14353" s="2"/>
      <c r="J14353" s="2"/>
      <c r="K14353" s="2"/>
      <c r="L14353" s="2"/>
      <c r="M14353" s="2"/>
      <c r="N14353" s="2"/>
      <c r="O14353" s="2"/>
      <c r="P14353" s="2"/>
      <c r="Q14353" s="2"/>
      <c r="R14353" s="2"/>
      <c r="S14353" s="2"/>
      <c r="T14353" s="2"/>
      <c r="U14353" s="2"/>
      <c r="V14353" s="2"/>
      <c r="W14353" s="2"/>
      <c r="X14353" s="2"/>
      <c r="Y14353" s="2"/>
      <c r="Z14353" s="2"/>
    </row>
    <row r="14354" spans="1:26" ht="16.5" x14ac:dyDescent="0.35">
      <c r="A14354" s="2" t="str">
        <f ca="1">IFERROR(__xludf.DUMMYFUNCTION("""COMPUTED_VALUE"""),"Dubai")</f>
        <v>Dubai</v>
      </c>
      <c r="B14354" s="2" t="str">
        <f ca="1">IFERROR(__xludf.DUMMYFUNCTION("""COMPUTED_VALUE"""),"Reflections Hotel")</f>
        <v>Reflections Hotel</v>
      </c>
      <c r="C14354" s="2" t="str">
        <f ca="1">IFERROR(__xludf.DUMMYFUNCTION("""COMPUTED_VALUE"""),"Building")</f>
        <v>Building</v>
      </c>
      <c r="D14354" s="2" t="str">
        <f ca="1">IFERROR(__xludf.DUMMYFUNCTION("""COMPUTED_VALUE"""),"Dubai&gt;Al Jaddaf&gt;Reflections Hotel")</f>
        <v>Dubai&gt;Al Jaddaf&gt;Reflections Hotel</v>
      </c>
      <c r="E14354" s="2"/>
      <c r="F14354" s="2"/>
      <c r="G14354" s="2"/>
      <c r="H14354" s="2"/>
      <c r="I14354" s="2"/>
      <c r="J14354" s="2"/>
      <c r="K14354" s="2"/>
      <c r="L14354" s="2"/>
      <c r="M14354" s="2"/>
      <c r="N14354" s="2"/>
      <c r="O14354" s="2"/>
      <c r="P14354" s="2"/>
      <c r="Q14354" s="2"/>
      <c r="R14354" s="2"/>
      <c r="S14354" s="2"/>
      <c r="T14354" s="2"/>
      <c r="U14354" s="2"/>
      <c r="V14354" s="2"/>
      <c r="W14354" s="2"/>
      <c r="X14354" s="2"/>
      <c r="Y14354" s="2"/>
      <c r="Z14354" s="2"/>
    </row>
    <row r="14355" spans="1:26" ht="16.5" x14ac:dyDescent="0.35">
      <c r="A14355" s="2" t="str">
        <f ca="1">IFERROR(__xludf.DUMMYFUNCTION("""COMPUTED_VALUE"""),"Dubai")</f>
        <v>Dubai</v>
      </c>
      <c r="B14355" s="2" t="str">
        <f ca="1">IFERROR(__xludf.DUMMYFUNCTION("""COMPUTED_VALUE"""),"Al Romaithi Building")</f>
        <v>Al Romaithi Building</v>
      </c>
      <c r="C14355" s="2" t="str">
        <f ca="1">IFERROR(__xludf.DUMMYFUNCTION("""COMPUTED_VALUE"""),"Building")</f>
        <v>Building</v>
      </c>
      <c r="D14355" s="2" t="str">
        <f ca="1">IFERROR(__xludf.DUMMYFUNCTION("""COMPUTED_VALUE"""),"Dubai&gt;Al Jaddaf&gt;Al Romaithi Building")</f>
        <v>Dubai&gt;Al Jaddaf&gt;Al Romaithi Building</v>
      </c>
      <c r="E14355" s="2"/>
      <c r="F14355" s="2"/>
      <c r="G14355" s="2"/>
      <c r="H14355" s="2"/>
      <c r="I14355" s="2"/>
      <c r="J14355" s="2"/>
      <c r="K14355" s="2"/>
      <c r="L14355" s="2"/>
      <c r="M14355" s="2"/>
      <c r="N14355" s="2"/>
      <c r="O14355" s="2"/>
      <c r="P14355" s="2"/>
      <c r="Q14355" s="2"/>
      <c r="R14355" s="2"/>
      <c r="S14355" s="2"/>
      <c r="T14355" s="2"/>
      <c r="U14355" s="2"/>
      <c r="V14355" s="2"/>
      <c r="W14355" s="2"/>
      <c r="X14355" s="2"/>
      <c r="Y14355" s="2"/>
      <c r="Z14355" s="2"/>
    </row>
    <row r="14356" spans="1:26" ht="16.5" x14ac:dyDescent="0.35">
      <c r="A14356" s="2" t="str">
        <f ca="1">IFERROR(__xludf.DUMMYFUNCTION("""COMPUTED_VALUE"""),"Dubai")</f>
        <v>Dubai</v>
      </c>
      <c r="B14356" s="2" t="str">
        <f ca="1">IFERROR(__xludf.DUMMYFUNCTION("""COMPUTED_VALUE"""),"Frond E")</f>
        <v>Frond E</v>
      </c>
      <c r="C14356" s="2" t="str">
        <f ca="1">IFERROR(__xludf.DUMMYFUNCTION("""COMPUTED_VALUE"""),"Neighbourhood")</f>
        <v>Neighbourhood</v>
      </c>
      <c r="D14356" s="2" t="str">
        <f ca="1">IFERROR(__xludf.DUMMYFUNCTION("""COMPUTED_VALUE"""),"Dubai&gt;Palm Jebel Ali&gt;Frond E")</f>
        <v>Dubai&gt;Palm Jebel Ali&gt;Frond E</v>
      </c>
      <c r="E14356" s="2"/>
      <c r="F14356" s="2"/>
      <c r="G14356" s="2"/>
      <c r="H14356" s="2"/>
      <c r="I14356" s="2"/>
      <c r="J14356" s="2"/>
      <c r="K14356" s="2"/>
      <c r="L14356" s="2"/>
      <c r="M14356" s="2"/>
      <c r="N14356" s="2"/>
      <c r="O14356" s="2"/>
      <c r="P14356" s="2"/>
      <c r="Q14356" s="2"/>
      <c r="R14356" s="2"/>
      <c r="S14356" s="2"/>
      <c r="T14356" s="2"/>
      <c r="U14356" s="2"/>
      <c r="V14356" s="2"/>
      <c r="W14356" s="2"/>
      <c r="X14356" s="2"/>
      <c r="Y14356" s="2"/>
      <c r="Z14356" s="2"/>
    </row>
    <row r="14357" spans="1:26" ht="16.5" x14ac:dyDescent="0.35">
      <c r="A14357" s="2" t="str">
        <f ca="1">IFERROR(__xludf.DUMMYFUNCTION("""COMPUTED_VALUE"""),"Dubai")</f>
        <v>Dubai</v>
      </c>
      <c r="B14357" s="2" t="str">
        <f ca="1">IFERROR(__xludf.DUMMYFUNCTION("""COMPUTED_VALUE"""),"Dovecote Nursery")</f>
        <v>Dovecote Nursery</v>
      </c>
      <c r="C14357" s="2" t="str">
        <f ca="1">IFERROR(__xludf.DUMMYFUNCTION("""COMPUTED_VALUE"""),"Nursery")</f>
        <v>Nursery</v>
      </c>
      <c r="D14357" s="2" t="str">
        <f ca="1">IFERROR(__xludf.DUMMYFUNCTION("""COMPUTED_VALUE"""),"Dubai&gt;Dubai Science Park&gt;Dovecote Nursery")</f>
        <v>Dubai&gt;Dubai Science Park&gt;Dovecote Nursery</v>
      </c>
      <c r="E14357" s="2"/>
      <c r="F14357" s="2"/>
      <c r="G14357" s="2"/>
      <c r="H14357" s="2"/>
      <c r="I14357" s="2"/>
      <c r="J14357" s="2"/>
      <c r="K14357" s="2"/>
      <c r="L14357" s="2"/>
      <c r="M14357" s="2"/>
      <c r="N14357" s="2"/>
      <c r="O14357" s="2"/>
      <c r="P14357" s="2"/>
      <c r="Q14357" s="2"/>
      <c r="R14357" s="2"/>
      <c r="S14357" s="2"/>
      <c r="T14357" s="2"/>
      <c r="U14357" s="2"/>
      <c r="V14357" s="2"/>
      <c r="W14357" s="2"/>
      <c r="X14357" s="2"/>
      <c r="Y14357" s="2"/>
      <c r="Z14357" s="2"/>
    </row>
    <row r="14358" spans="1:26" ht="16.5" x14ac:dyDescent="0.35">
      <c r="A14358" s="2" t="str">
        <f ca="1">IFERROR(__xludf.DUMMYFUNCTION("""COMPUTED_VALUE"""),"Dubai")</f>
        <v>Dubai</v>
      </c>
      <c r="B14358" s="2" t="str">
        <f ca="1">IFERROR(__xludf.DUMMYFUNCTION("""COMPUTED_VALUE"""),"SAAS Hills")</f>
        <v>SAAS Hills</v>
      </c>
      <c r="C14358" s="2" t="str">
        <f ca="1">IFERROR(__xludf.DUMMYFUNCTION("""COMPUTED_VALUE"""),"Building")</f>
        <v>Building</v>
      </c>
      <c r="D14358" s="2" t="str">
        <f ca="1">IFERROR(__xludf.DUMMYFUNCTION("""COMPUTED_VALUE"""),"Dubai&gt;Dubai Science Park&gt;SAAS Hills")</f>
        <v>Dubai&gt;Dubai Science Park&gt;SAAS Hills</v>
      </c>
      <c r="E14358" s="2"/>
      <c r="F14358" s="2"/>
      <c r="G14358" s="2"/>
      <c r="H14358" s="2"/>
      <c r="I14358" s="2"/>
      <c r="J14358" s="2"/>
      <c r="K14358" s="2"/>
      <c r="L14358" s="2"/>
      <c r="M14358" s="2"/>
      <c r="N14358" s="2"/>
      <c r="O14358" s="2"/>
      <c r="P14358" s="2"/>
      <c r="Q14358" s="2"/>
      <c r="R14358" s="2"/>
      <c r="S14358" s="2"/>
      <c r="T14358" s="2"/>
      <c r="U14358" s="2"/>
      <c r="V14358" s="2"/>
      <c r="W14358" s="2"/>
      <c r="X14358" s="2"/>
      <c r="Y14358" s="2"/>
      <c r="Z14358" s="2"/>
    </row>
    <row r="14359" spans="1:26" ht="16.5" x14ac:dyDescent="0.35">
      <c r="A14359" s="2" t="str">
        <f ca="1">IFERROR(__xludf.DUMMYFUNCTION("""COMPUTED_VALUE"""),"Dubai")</f>
        <v>Dubai</v>
      </c>
      <c r="B14359" s="2" t="str">
        <f ca="1">IFERROR(__xludf.DUMMYFUNCTION("""COMPUTED_VALUE"""),"Wasl Gate")</f>
        <v>Wasl Gate</v>
      </c>
      <c r="C14359" s="2" t="str">
        <f ca="1">IFERROR(__xludf.DUMMYFUNCTION("""COMPUTED_VALUE"""),"Neighbourhood")</f>
        <v>Neighbourhood</v>
      </c>
      <c r="D14359" s="2" t="str">
        <f ca="1">IFERROR(__xludf.DUMMYFUNCTION("""COMPUTED_VALUE"""),"Dubai&gt;Wasl Gate")</f>
        <v>Dubai&gt;Wasl Gate</v>
      </c>
      <c r="E14359" s="2"/>
      <c r="F14359" s="2"/>
      <c r="G14359" s="2"/>
      <c r="H14359" s="2"/>
      <c r="I14359" s="2"/>
      <c r="J14359" s="2"/>
      <c r="K14359" s="2"/>
      <c r="L14359" s="2"/>
      <c r="M14359" s="2"/>
      <c r="N14359" s="2"/>
      <c r="O14359" s="2"/>
      <c r="P14359" s="2"/>
      <c r="Q14359" s="2"/>
      <c r="R14359" s="2"/>
      <c r="S14359" s="2"/>
      <c r="T14359" s="2"/>
      <c r="U14359" s="2"/>
      <c r="V14359" s="2"/>
      <c r="W14359" s="2"/>
      <c r="X14359" s="2"/>
      <c r="Y14359" s="2"/>
      <c r="Z14359" s="2"/>
    </row>
    <row r="14360" spans="1:26" ht="16.5" x14ac:dyDescent="0.35">
      <c r="A14360" s="2" t="str">
        <f ca="1">IFERROR(__xludf.DUMMYFUNCTION("""COMPUTED_VALUE"""),"Dubai")</f>
        <v>Dubai</v>
      </c>
      <c r="B14360" s="2" t="str">
        <f ca="1">IFERROR(__xludf.DUMMYFUNCTION("""COMPUTED_VALUE"""),"Bellagio by Sunrise")</f>
        <v>Bellagio by Sunrise</v>
      </c>
      <c r="C14360" s="2" t="str">
        <f ca="1">IFERROR(__xludf.DUMMYFUNCTION("""COMPUTED_VALUE"""),"Building")</f>
        <v>Building</v>
      </c>
      <c r="D14360" s="2" t="str">
        <f ca="1">IFERROR(__xludf.DUMMYFUNCTION("""COMPUTED_VALUE"""),"Dubai&gt;Wasl Gate&gt;Bellagio by Sunrise")</f>
        <v>Dubai&gt;Wasl Gate&gt;Bellagio by Sunrise</v>
      </c>
      <c r="E14360" s="2"/>
      <c r="F14360" s="2"/>
      <c r="G14360" s="2"/>
      <c r="H14360" s="2"/>
      <c r="I14360" s="2"/>
      <c r="J14360" s="2"/>
      <c r="K14360" s="2"/>
      <c r="L14360" s="2"/>
      <c r="M14360" s="2"/>
      <c r="N14360" s="2"/>
      <c r="O14360" s="2"/>
      <c r="P14360" s="2"/>
      <c r="Q14360" s="2"/>
      <c r="R14360" s="2"/>
      <c r="S14360" s="2"/>
      <c r="T14360" s="2"/>
      <c r="U14360" s="2"/>
      <c r="V14360" s="2"/>
      <c r="W14360" s="2"/>
      <c r="X14360" s="2"/>
      <c r="Y14360" s="2"/>
      <c r="Z14360" s="2"/>
    </row>
    <row r="14361" spans="1:26" ht="16.5" x14ac:dyDescent="0.35">
      <c r="A14361" s="2" t="str">
        <f ca="1">IFERROR(__xludf.DUMMYFUNCTION("""COMPUTED_VALUE"""),"Dubai")</f>
        <v>Dubai</v>
      </c>
      <c r="B14361" s="2" t="str">
        <f ca="1">IFERROR(__xludf.DUMMYFUNCTION("""COMPUTED_VALUE"""),"Nad Al Sheba 4")</f>
        <v>Nad Al Sheba 4</v>
      </c>
      <c r="C14361" s="2" t="str">
        <f ca="1">IFERROR(__xludf.DUMMYFUNCTION("""COMPUTED_VALUE"""),"Neighbourhood")</f>
        <v>Neighbourhood</v>
      </c>
      <c r="D14361" s="2" t="str">
        <f ca="1">IFERROR(__xludf.DUMMYFUNCTION("""COMPUTED_VALUE"""),"Dubai&gt;Nad Al Sheba&gt;Nad Al Sheba 4")</f>
        <v>Dubai&gt;Nad Al Sheba&gt;Nad Al Sheba 4</v>
      </c>
      <c r="E14361" s="2"/>
      <c r="F14361" s="2"/>
      <c r="G14361" s="2"/>
      <c r="H14361" s="2"/>
      <c r="I14361" s="2"/>
      <c r="J14361" s="2"/>
      <c r="K14361" s="2"/>
      <c r="L14361" s="2"/>
      <c r="M14361" s="2"/>
      <c r="N14361" s="2"/>
      <c r="O14361" s="2"/>
      <c r="P14361" s="2"/>
      <c r="Q14361" s="2"/>
      <c r="R14361" s="2"/>
      <c r="S14361" s="2"/>
      <c r="T14361" s="2"/>
      <c r="U14361" s="2"/>
      <c r="V14361" s="2"/>
      <c r="W14361" s="2"/>
      <c r="X14361" s="2"/>
      <c r="Y14361" s="2"/>
      <c r="Z14361" s="2"/>
    </row>
    <row r="14362" spans="1:26" ht="16.5" x14ac:dyDescent="0.35">
      <c r="A14362" s="2" t="str">
        <f ca="1">IFERROR(__xludf.DUMMYFUNCTION("""COMPUTED_VALUE"""),"Dubai")</f>
        <v>Dubai</v>
      </c>
      <c r="B14362" s="2" t="str">
        <f ca="1">IFERROR(__xludf.DUMMYFUNCTION("""COMPUTED_VALUE"""),"Alfa Holding")</f>
        <v>Alfa Holding</v>
      </c>
      <c r="C14362" s="2" t="str">
        <f ca="1">IFERROR(__xludf.DUMMYFUNCTION("""COMPUTED_VALUE"""),"Building")</f>
        <v>Building</v>
      </c>
      <c r="D14362" s="2" t="str">
        <f ca="1">IFERROR(__xludf.DUMMYFUNCTION("""COMPUTED_VALUE"""),"Dubai&gt;Dubai Internet City&gt;Alfa Holding")</f>
        <v>Dubai&gt;Dubai Internet City&gt;Alfa Holding</v>
      </c>
      <c r="E14362" s="2"/>
      <c r="F14362" s="2"/>
      <c r="G14362" s="2"/>
      <c r="H14362" s="2"/>
      <c r="I14362" s="2"/>
      <c r="J14362" s="2"/>
      <c r="K14362" s="2"/>
      <c r="L14362" s="2"/>
      <c r="M14362" s="2"/>
      <c r="N14362" s="2"/>
      <c r="O14362" s="2"/>
      <c r="P14362" s="2"/>
      <c r="Q14362" s="2"/>
      <c r="R14362" s="2"/>
      <c r="S14362" s="2"/>
      <c r="T14362" s="2"/>
      <c r="U14362" s="2"/>
      <c r="V14362" s="2"/>
      <c r="W14362" s="2"/>
      <c r="X14362" s="2"/>
      <c r="Y14362" s="2"/>
      <c r="Z14362" s="2"/>
    </row>
    <row r="14363" spans="1:26" ht="16.5" x14ac:dyDescent="0.35">
      <c r="A14363" s="2" t="str">
        <f ca="1">IFERROR(__xludf.DUMMYFUNCTION("""COMPUTED_VALUE"""),"Dubai")</f>
        <v>Dubai</v>
      </c>
      <c r="B14363" s="2" t="str">
        <f ca="1">IFERROR(__xludf.DUMMYFUNCTION("""COMPUTED_VALUE"""),"Huawei Gloria Building")</f>
        <v>Huawei Gloria Building</v>
      </c>
      <c r="C14363" s="2" t="str">
        <f ca="1">IFERROR(__xludf.DUMMYFUNCTION("""COMPUTED_VALUE"""),"Building")</f>
        <v>Building</v>
      </c>
      <c r="D14363" s="2" t="str">
        <f ca="1">IFERROR(__xludf.DUMMYFUNCTION("""COMPUTED_VALUE"""),"Dubai&gt;Dubai Internet City&gt;Huawei Gloria Building")</f>
        <v>Dubai&gt;Dubai Internet City&gt;Huawei Gloria Building</v>
      </c>
      <c r="E14363" s="2"/>
      <c r="F14363" s="2"/>
      <c r="G14363" s="2"/>
      <c r="H14363" s="2"/>
      <c r="I14363" s="2"/>
      <c r="J14363" s="2"/>
      <c r="K14363" s="2"/>
      <c r="L14363" s="2"/>
      <c r="M14363" s="2"/>
      <c r="N14363" s="2"/>
      <c r="O14363" s="2"/>
      <c r="P14363" s="2"/>
      <c r="Q14363" s="2"/>
      <c r="R14363" s="2"/>
      <c r="S14363" s="2"/>
      <c r="T14363" s="2"/>
      <c r="U14363" s="2"/>
      <c r="V14363" s="2"/>
      <c r="W14363" s="2"/>
      <c r="X14363" s="2"/>
      <c r="Y14363" s="2"/>
      <c r="Z14363" s="2"/>
    </row>
    <row r="14364" spans="1:26" ht="16.5" x14ac:dyDescent="0.35">
      <c r="A14364" s="2" t="str">
        <f ca="1">IFERROR(__xludf.DUMMYFUNCTION("""COMPUTED_VALUE"""),"Dubai")</f>
        <v>Dubai</v>
      </c>
      <c r="B14364" s="2" t="str">
        <f ca="1">IFERROR(__xludf.DUMMYFUNCTION("""COMPUTED_VALUE"""),"Sirdhana Building 4")</f>
        <v>Sirdhana Building 4</v>
      </c>
      <c r="C14364" s="2" t="str">
        <f ca="1">IFERROR(__xludf.DUMMYFUNCTION("""COMPUTED_VALUE"""),"Building")</f>
        <v>Building</v>
      </c>
      <c r="D14364" s="2" t="str">
        <f ca="1">IFERROR(__xludf.DUMMYFUNCTION("""COMPUTED_VALUE"""),"Dubai&gt;Mina Rashid&gt;Sirdhana&gt;Sirdhana Building 4")</f>
        <v>Dubai&gt;Mina Rashid&gt;Sirdhana&gt;Sirdhana Building 4</v>
      </c>
      <c r="E14364" s="2"/>
      <c r="F14364" s="2"/>
      <c r="G14364" s="2"/>
      <c r="H14364" s="2"/>
      <c r="I14364" s="2"/>
      <c r="J14364" s="2"/>
      <c r="K14364" s="2"/>
      <c r="L14364" s="2"/>
      <c r="M14364" s="2"/>
      <c r="N14364" s="2"/>
      <c r="O14364" s="2"/>
      <c r="P14364" s="2"/>
      <c r="Q14364" s="2"/>
      <c r="R14364" s="2"/>
      <c r="S14364" s="2"/>
      <c r="T14364" s="2"/>
      <c r="U14364" s="2"/>
      <c r="V14364" s="2"/>
      <c r="W14364" s="2"/>
      <c r="X14364" s="2"/>
      <c r="Y14364" s="2"/>
      <c r="Z14364" s="2"/>
    </row>
    <row r="14365" spans="1:26" ht="16.5" x14ac:dyDescent="0.35">
      <c r="A14365" s="2" t="str">
        <f ca="1">IFERROR(__xludf.DUMMYFUNCTION("""COMPUTED_VALUE"""),"Dubai")</f>
        <v>Dubai</v>
      </c>
      <c r="B14365" s="2" t="str">
        <f ca="1">IFERROR(__xludf.DUMMYFUNCTION("""COMPUTED_VALUE"""),"Pier Point 1")</f>
        <v>Pier Point 1</v>
      </c>
      <c r="C14365" s="2" t="str">
        <f ca="1">IFERROR(__xludf.DUMMYFUNCTION("""COMPUTED_VALUE"""),"Building")</f>
        <v>Building</v>
      </c>
      <c r="D14365" s="2" t="str">
        <f ca="1">IFERROR(__xludf.DUMMYFUNCTION("""COMPUTED_VALUE"""),"Dubai&gt;Mina Rashid&gt;Pier Point&gt;Pier Point 1")</f>
        <v>Dubai&gt;Mina Rashid&gt;Pier Point&gt;Pier Point 1</v>
      </c>
      <c r="E14365" s="2"/>
      <c r="F14365" s="2"/>
      <c r="G14365" s="2"/>
      <c r="H14365" s="2"/>
      <c r="I14365" s="2"/>
      <c r="J14365" s="2"/>
      <c r="K14365" s="2"/>
      <c r="L14365" s="2"/>
      <c r="M14365" s="2"/>
      <c r="N14365" s="2"/>
      <c r="O14365" s="2"/>
      <c r="P14365" s="2"/>
      <c r="Q14365" s="2"/>
      <c r="R14365" s="2"/>
      <c r="S14365" s="2"/>
      <c r="T14365" s="2"/>
      <c r="U14365" s="2"/>
      <c r="V14365" s="2"/>
      <c r="W14365" s="2"/>
      <c r="X14365" s="2"/>
      <c r="Y14365" s="2"/>
      <c r="Z14365" s="2"/>
    </row>
    <row r="14366" spans="1:26" ht="16.5" x14ac:dyDescent="0.35">
      <c r="A14366" s="2" t="str">
        <f ca="1">IFERROR(__xludf.DUMMYFUNCTION("""COMPUTED_VALUE"""),"Dubai")</f>
        <v>Dubai</v>
      </c>
      <c r="B14366" s="2" t="str">
        <f ca="1">IFERROR(__xludf.DUMMYFUNCTION("""COMPUTED_VALUE"""),"The Valley by Emaar")</f>
        <v>The Valley by Emaar</v>
      </c>
      <c r="C14366" s="2" t="str">
        <f ca="1">IFERROR(__xludf.DUMMYFUNCTION("""COMPUTED_VALUE"""),"Neighbourhood")</f>
        <v>Neighbourhood</v>
      </c>
      <c r="D14366" s="2" t="str">
        <f ca="1">IFERROR(__xludf.DUMMYFUNCTION("""COMPUTED_VALUE"""),"Dubai&gt;The Valley by Emaar")</f>
        <v>Dubai&gt;The Valley by Emaar</v>
      </c>
      <c r="E14366" s="2"/>
      <c r="F14366" s="2"/>
      <c r="G14366" s="2"/>
      <c r="H14366" s="2"/>
      <c r="I14366" s="2"/>
      <c r="J14366" s="2"/>
      <c r="K14366" s="2"/>
      <c r="L14366" s="2"/>
      <c r="M14366" s="2"/>
      <c r="N14366" s="2"/>
      <c r="O14366" s="2"/>
      <c r="P14366" s="2"/>
      <c r="Q14366" s="2"/>
      <c r="R14366" s="2"/>
      <c r="S14366" s="2"/>
      <c r="T14366" s="2"/>
      <c r="U14366" s="2"/>
      <c r="V14366" s="2"/>
      <c r="W14366" s="2"/>
      <c r="X14366" s="2"/>
      <c r="Y14366" s="2"/>
      <c r="Z14366" s="2"/>
    </row>
    <row r="14367" spans="1:26" ht="16.5" x14ac:dyDescent="0.35">
      <c r="A14367" s="2" t="str">
        <f ca="1">IFERROR(__xludf.DUMMYFUNCTION("""COMPUTED_VALUE"""),"Dubai")</f>
        <v>Dubai</v>
      </c>
      <c r="B14367" s="2" t="str">
        <f ca="1">IFERROR(__xludf.DUMMYFUNCTION("""COMPUTED_VALUE"""),"Alvorada 3")</f>
        <v>Alvorada 3</v>
      </c>
      <c r="C14367" s="2" t="str">
        <f ca="1">IFERROR(__xludf.DUMMYFUNCTION("""COMPUTED_VALUE"""),"Neighbourhood")</f>
        <v>Neighbourhood</v>
      </c>
      <c r="D14367" s="2" t="str">
        <f ca="1">IFERROR(__xludf.DUMMYFUNCTION("""COMPUTED_VALUE"""),"Dubai&gt;Arabian Ranches&gt;Alvorada&gt;Alvorada 3")</f>
        <v>Dubai&gt;Arabian Ranches&gt;Alvorada&gt;Alvorada 3</v>
      </c>
      <c r="E14367" s="2"/>
      <c r="F14367" s="2"/>
      <c r="G14367" s="2"/>
      <c r="H14367" s="2"/>
      <c r="I14367" s="2"/>
      <c r="J14367" s="2"/>
      <c r="K14367" s="2"/>
      <c r="L14367" s="2"/>
      <c r="M14367" s="2"/>
      <c r="N14367" s="2"/>
      <c r="O14367" s="2"/>
      <c r="P14367" s="2"/>
      <c r="Q14367" s="2"/>
      <c r="R14367" s="2"/>
      <c r="S14367" s="2"/>
      <c r="T14367" s="2"/>
      <c r="U14367" s="2"/>
      <c r="V14367" s="2"/>
      <c r="W14367" s="2"/>
      <c r="X14367" s="2"/>
      <c r="Y14367" s="2"/>
      <c r="Z14367" s="2"/>
    </row>
    <row r="14368" spans="1:26" ht="16.5" x14ac:dyDescent="0.35">
      <c r="A14368" s="2" t="str">
        <f ca="1">IFERROR(__xludf.DUMMYFUNCTION("""COMPUTED_VALUE"""),"Dubai")</f>
        <v>Dubai</v>
      </c>
      <c r="B14368" s="2" t="str">
        <f ca="1">IFERROR(__xludf.DUMMYFUNCTION("""COMPUTED_VALUE"""),"Mirador La Colleccion 1")</f>
        <v>Mirador La Colleccion 1</v>
      </c>
      <c r="C14368" s="2" t="str">
        <f ca="1">IFERROR(__xludf.DUMMYFUNCTION("""COMPUTED_VALUE"""),"Neighbourhood")</f>
        <v>Neighbourhood</v>
      </c>
      <c r="D14368" s="2" t="str">
        <f ca="1">IFERROR(__xludf.DUMMYFUNCTION("""COMPUTED_VALUE"""),"Dubai&gt;Arabian Ranches&gt;Mirador La Colleccion&gt;Mirador La Colleccion 1")</f>
        <v>Dubai&gt;Arabian Ranches&gt;Mirador La Colleccion&gt;Mirador La Colleccion 1</v>
      </c>
      <c r="E14368" s="2"/>
      <c r="F14368" s="2"/>
      <c r="G14368" s="2"/>
      <c r="H14368" s="2"/>
      <c r="I14368" s="2"/>
      <c r="J14368" s="2"/>
      <c r="K14368" s="2"/>
      <c r="L14368" s="2"/>
      <c r="M14368" s="2"/>
      <c r="N14368" s="2"/>
      <c r="O14368" s="2"/>
      <c r="P14368" s="2"/>
      <c r="Q14368" s="2"/>
      <c r="R14368" s="2"/>
      <c r="S14368" s="2"/>
      <c r="T14368" s="2"/>
      <c r="U14368" s="2"/>
      <c r="V14368" s="2"/>
      <c r="W14368" s="2"/>
      <c r="X14368" s="2"/>
      <c r="Y14368" s="2"/>
      <c r="Z14368" s="2"/>
    </row>
    <row r="14369" spans="1:26" ht="16.5" x14ac:dyDescent="0.35">
      <c r="A14369" s="2" t="str">
        <f ca="1">IFERROR(__xludf.DUMMYFUNCTION("""COMPUTED_VALUE"""),"Dubai")</f>
        <v>Dubai</v>
      </c>
      <c r="B14369" s="2" t="str">
        <f ca="1">IFERROR(__xludf.DUMMYFUNCTION("""COMPUTED_VALUE"""),"The Gardens Building 93")</f>
        <v>The Gardens Building 93</v>
      </c>
      <c r="C14369" s="2" t="str">
        <f ca="1">IFERROR(__xludf.DUMMYFUNCTION("""COMPUTED_VALUE"""),"Building")</f>
        <v>Building</v>
      </c>
      <c r="D14369" s="2" t="str">
        <f ca="1">IFERROR(__xludf.DUMMYFUNCTION("""COMPUTED_VALUE"""),"Dubai&gt;The Gardens&gt;The Gardens Building 93")</f>
        <v>Dubai&gt;The Gardens&gt;The Gardens Building 93</v>
      </c>
      <c r="E14369" s="2"/>
      <c r="F14369" s="2"/>
      <c r="G14369" s="2"/>
      <c r="H14369" s="2"/>
      <c r="I14369" s="2"/>
      <c r="J14369" s="2"/>
      <c r="K14369" s="2"/>
      <c r="L14369" s="2"/>
      <c r="M14369" s="2"/>
      <c r="N14369" s="2"/>
      <c r="O14369" s="2"/>
      <c r="P14369" s="2"/>
      <c r="Q14369" s="2"/>
      <c r="R14369" s="2"/>
      <c r="S14369" s="2"/>
      <c r="T14369" s="2"/>
      <c r="U14369" s="2"/>
      <c r="V14369" s="2"/>
      <c r="W14369" s="2"/>
      <c r="X14369" s="2"/>
      <c r="Y14369" s="2"/>
      <c r="Z14369" s="2"/>
    </row>
    <row r="14370" spans="1:26" ht="16.5" x14ac:dyDescent="0.35">
      <c r="A14370" s="2" t="str">
        <f ca="1">IFERROR(__xludf.DUMMYFUNCTION("""COMPUTED_VALUE"""),"Dubai")</f>
        <v>Dubai</v>
      </c>
      <c r="B14370" s="2" t="str">
        <f ca="1">IFERROR(__xludf.DUMMYFUNCTION("""COMPUTED_VALUE"""),"The Gardens Building 124")</f>
        <v>The Gardens Building 124</v>
      </c>
      <c r="C14370" s="2" t="str">
        <f ca="1">IFERROR(__xludf.DUMMYFUNCTION("""COMPUTED_VALUE"""),"Building")</f>
        <v>Building</v>
      </c>
      <c r="D14370" s="2" t="str">
        <f ca="1">IFERROR(__xludf.DUMMYFUNCTION("""COMPUTED_VALUE"""),"Dubai&gt;The Gardens&gt;The Gardens Building 124")</f>
        <v>Dubai&gt;The Gardens&gt;The Gardens Building 124</v>
      </c>
      <c r="E14370" s="2"/>
      <c r="F14370" s="2"/>
      <c r="G14370" s="2"/>
      <c r="H14370" s="2"/>
      <c r="I14370" s="2"/>
      <c r="J14370" s="2"/>
      <c r="K14370" s="2"/>
      <c r="L14370" s="2"/>
      <c r="M14370" s="2"/>
      <c r="N14370" s="2"/>
      <c r="O14370" s="2"/>
      <c r="P14370" s="2"/>
      <c r="Q14370" s="2"/>
      <c r="R14370" s="2"/>
      <c r="S14370" s="2"/>
      <c r="T14370" s="2"/>
      <c r="U14370" s="2"/>
      <c r="V14370" s="2"/>
      <c r="W14370" s="2"/>
      <c r="X14370" s="2"/>
      <c r="Y14370" s="2"/>
      <c r="Z14370" s="2"/>
    </row>
    <row r="14371" spans="1:26" ht="16.5" x14ac:dyDescent="0.35">
      <c r="A14371" s="2" t="str">
        <f ca="1">IFERROR(__xludf.DUMMYFUNCTION("""COMPUTED_VALUE"""),"Dubai")</f>
        <v>Dubai</v>
      </c>
      <c r="B14371" s="2" t="str">
        <f ca="1">IFERROR(__xludf.DUMMYFUNCTION("""COMPUTED_VALUE"""),"The Gardens Building 11")</f>
        <v>The Gardens Building 11</v>
      </c>
      <c r="C14371" s="2" t="str">
        <f ca="1">IFERROR(__xludf.DUMMYFUNCTION("""COMPUTED_VALUE"""),"Building")</f>
        <v>Building</v>
      </c>
      <c r="D14371" s="2" t="str">
        <f ca="1">IFERROR(__xludf.DUMMYFUNCTION("""COMPUTED_VALUE"""),"Dubai&gt;The Gardens&gt;The Gardens Building 11")</f>
        <v>Dubai&gt;The Gardens&gt;The Gardens Building 11</v>
      </c>
      <c r="E14371" s="2"/>
      <c r="F14371" s="2"/>
      <c r="G14371" s="2"/>
      <c r="H14371" s="2"/>
      <c r="I14371" s="2"/>
      <c r="J14371" s="2"/>
      <c r="K14371" s="2"/>
      <c r="L14371" s="2"/>
      <c r="M14371" s="2"/>
      <c r="N14371" s="2"/>
      <c r="O14371" s="2"/>
      <c r="P14371" s="2"/>
      <c r="Q14371" s="2"/>
      <c r="R14371" s="2"/>
      <c r="S14371" s="2"/>
      <c r="T14371" s="2"/>
      <c r="U14371" s="2"/>
      <c r="V14371" s="2"/>
      <c r="W14371" s="2"/>
      <c r="X14371" s="2"/>
      <c r="Y14371" s="2"/>
      <c r="Z14371" s="2"/>
    </row>
    <row r="14372" spans="1:26" ht="16.5" x14ac:dyDescent="0.35">
      <c r="A14372" s="2" t="str">
        <f ca="1">IFERROR(__xludf.DUMMYFUNCTION("""COMPUTED_VALUE"""),"Dubai")</f>
        <v>Dubai</v>
      </c>
      <c r="B14372" s="2" t="str">
        <f ca="1">IFERROR(__xludf.DUMMYFUNCTION("""COMPUTED_VALUE"""),"The Gardens Building 48")</f>
        <v>The Gardens Building 48</v>
      </c>
      <c r="C14372" s="2" t="str">
        <f ca="1">IFERROR(__xludf.DUMMYFUNCTION("""COMPUTED_VALUE"""),"Building")</f>
        <v>Building</v>
      </c>
      <c r="D14372" s="2" t="str">
        <f ca="1">IFERROR(__xludf.DUMMYFUNCTION("""COMPUTED_VALUE"""),"Dubai&gt;The Gardens&gt;The Gardens Building 48")</f>
        <v>Dubai&gt;The Gardens&gt;The Gardens Building 48</v>
      </c>
      <c r="E14372" s="2"/>
      <c r="F14372" s="2"/>
      <c r="G14372" s="2"/>
      <c r="H14372" s="2"/>
      <c r="I14372" s="2"/>
      <c r="J14372" s="2"/>
      <c r="K14372" s="2"/>
      <c r="L14372" s="2"/>
      <c r="M14372" s="2"/>
      <c r="N14372" s="2"/>
      <c r="O14372" s="2"/>
      <c r="P14372" s="2"/>
      <c r="Q14372" s="2"/>
      <c r="R14372" s="2"/>
      <c r="S14372" s="2"/>
      <c r="T14372" s="2"/>
      <c r="U14372" s="2"/>
      <c r="V14372" s="2"/>
      <c r="W14372" s="2"/>
      <c r="X14372" s="2"/>
      <c r="Y14372" s="2"/>
      <c r="Z14372" s="2"/>
    </row>
    <row r="14373" spans="1:26" ht="16.5" x14ac:dyDescent="0.35">
      <c r="A14373" s="2" t="str">
        <f ca="1">IFERROR(__xludf.DUMMYFUNCTION("""COMPUTED_VALUE"""),"Dubai")</f>
        <v>Dubai</v>
      </c>
      <c r="B14373" s="2" t="str">
        <f ca="1">IFERROR(__xludf.DUMMYFUNCTION("""COMPUTED_VALUE"""),"The Crown Tower")</f>
        <v>The Crown Tower</v>
      </c>
      <c r="C14373" s="2" t="str">
        <f ca="1">IFERROR(__xludf.DUMMYFUNCTION("""COMPUTED_VALUE"""),"Building")</f>
        <v>Building</v>
      </c>
      <c r="D14373" s="2" t="str">
        <f ca="1">IFERROR(__xludf.DUMMYFUNCTION("""COMPUTED_VALUE"""),"Dubai&gt;Al Mamzar&gt;The Crown Tower")</f>
        <v>Dubai&gt;Al Mamzar&gt;The Crown Tower</v>
      </c>
      <c r="E14373" s="2"/>
      <c r="F14373" s="2"/>
      <c r="G14373" s="2"/>
      <c r="H14373" s="2"/>
      <c r="I14373" s="2"/>
      <c r="J14373" s="2"/>
      <c r="K14373" s="2"/>
      <c r="L14373" s="2"/>
      <c r="M14373" s="2"/>
      <c r="N14373" s="2"/>
      <c r="O14373" s="2"/>
      <c r="P14373" s="2"/>
      <c r="Q14373" s="2"/>
      <c r="R14373" s="2"/>
      <c r="S14373" s="2"/>
      <c r="T14373" s="2"/>
      <c r="U14373" s="2"/>
      <c r="V14373" s="2"/>
      <c r="W14373" s="2"/>
      <c r="X14373" s="2"/>
      <c r="Y14373" s="2"/>
      <c r="Z14373" s="2"/>
    </row>
    <row r="14374" spans="1:26" ht="16.5" x14ac:dyDescent="0.35">
      <c r="A14374" s="2" t="str">
        <f ca="1">IFERROR(__xludf.DUMMYFUNCTION("""COMPUTED_VALUE"""),"Dubai")</f>
        <v>Dubai</v>
      </c>
      <c r="B14374" s="2" t="str">
        <f ca="1">IFERROR(__xludf.DUMMYFUNCTION("""COMPUTED_VALUE"""),"Bluewaters Residences 8")</f>
        <v>Bluewaters Residences 8</v>
      </c>
      <c r="C14374" s="2" t="str">
        <f ca="1">IFERROR(__xludf.DUMMYFUNCTION("""COMPUTED_VALUE"""),"Building")</f>
        <v>Building</v>
      </c>
      <c r="D14374" s="2" t="str">
        <f ca="1">IFERROR(__xludf.DUMMYFUNCTION("""COMPUTED_VALUE"""),"Dubai&gt;Bluewaters Island&gt;Bluewaters Residences&gt;Bluewaters Residences 8")</f>
        <v>Dubai&gt;Bluewaters Island&gt;Bluewaters Residences&gt;Bluewaters Residences 8</v>
      </c>
      <c r="E14374" s="2"/>
      <c r="F14374" s="2"/>
      <c r="G14374" s="2"/>
      <c r="H14374" s="2"/>
      <c r="I14374" s="2"/>
      <c r="J14374" s="2"/>
      <c r="K14374" s="2"/>
      <c r="L14374" s="2"/>
      <c r="M14374" s="2"/>
      <c r="N14374" s="2"/>
      <c r="O14374" s="2"/>
      <c r="P14374" s="2"/>
      <c r="Q14374" s="2"/>
      <c r="R14374" s="2"/>
      <c r="S14374" s="2"/>
      <c r="T14374" s="2"/>
      <c r="U14374" s="2"/>
      <c r="V14374" s="2"/>
      <c r="W14374" s="2"/>
      <c r="X14374" s="2"/>
      <c r="Y14374" s="2"/>
      <c r="Z14374" s="2"/>
    </row>
    <row r="14375" spans="1:26" ht="16.5" x14ac:dyDescent="0.35">
      <c r="A14375" s="2" t="str">
        <f ca="1">IFERROR(__xludf.DUMMYFUNCTION("""COMPUTED_VALUE"""),"Dubai")</f>
        <v>Dubai</v>
      </c>
      <c r="B14375" s="2" t="str">
        <f ca="1">IFERROR(__xludf.DUMMYFUNCTION("""COMPUTED_VALUE"""),"Al Wasl Building R453 Block 3")</f>
        <v>Al Wasl Building R453 Block 3</v>
      </c>
      <c r="C14375" s="2" t="str">
        <f ca="1">IFERROR(__xludf.DUMMYFUNCTION("""COMPUTED_VALUE"""),"Building")</f>
        <v>Building</v>
      </c>
      <c r="D14375" s="2" t="str">
        <f ca="1">IFERROR(__xludf.DUMMYFUNCTION("""COMPUTED_VALUE"""),"Dubai&gt;Muhaisnah&gt;Muhaisnah 4&gt;Al Wasl R453&gt;Al Wasl Building R453 Block 3")</f>
        <v>Dubai&gt;Muhaisnah&gt;Muhaisnah 4&gt;Al Wasl R453&gt;Al Wasl Building R453 Block 3</v>
      </c>
      <c r="E14375" s="2"/>
      <c r="F14375" s="2"/>
      <c r="G14375" s="2"/>
      <c r="H14375" s="2"/>
      <c r="I14375" s="2"/>
      <c r="J14375" s="2"/>
      <c r="K14375" s="2"/>
      <c r="L14375" s="2"/>
      <c r="M14375" s="2"/>
      <c r="N14375" s="2"/>
      <c r="O14375" s="2"/>
      <c r="P14375" s="2"/>
      <c r="Q14375" s="2"/>
      <c r="R14375" s="2"/>
      <c r="S14375" s="2"/>
      <c r="T14375" s="2"/>
      <c r="U14375" s="2"/>
      <c r="V14375" s="2"/>
      <c r="W14375" s="2"/>
      <c r="X14375" s="2"/>
      <c r="Y14375" s="2"/>
      <c r="Z14375" s="2"/>
    </row>
    <row r="14376" spans="1:26" ht="16.5" x14ac:dyDescent="0.35">
      <c r="A14376" s="2" t="str">
        <f ca="1">IFERROR(__xludf.DUMMYFUNCTION("""COMPUTED_VALUE"""),"Dubai")</f>
        <v>Dubai</v>
      </c>
      <c r="B14376" s="2" t="str">
        <f ca="1">IFERROR(__xludf.DUMMYFUNCTION("""COMPUTED_VALUE"""),"Qamar 8")</f>
        <v>Qamar 8</v>
      </c>
      <c r="C14376" s="2" t="str">
        <f ca="1">IFERROR(__xludf.DUMMYFUNCTION("""COMPUTED_VALUE"""),"Building")</f>
        <v>Building</v>
      </c>
      <c r="D14376" s="2" t="str">
        <f ca="1">IFERROR(__xludf.DUMMYFUNCTION("""COMPUTED_VALUE"""),"Dubai&gt;Muhaisnah&gt;Muhaisnah 1&gt;Madinat Badr&gt;Qamar 8")</f>
        <v>Dubai&gt;Muhaisnah&gt;Muhaisnah 1&gt;Madinat Badr&gt;Qamar 8</v>
      </c>
      <c r="E14376" s="2"/>
      <c r="F14376" s="2"/>
      <c r="G14376" s="2"/>
      <c r="H14376" s="2"/>
      <c r="I14376" s="2"/>
      <c r="J14376" s="2"/>
      <c r="K14376" s="2"/>
      <c r="L14376" s="2"/>
      <c r="M14376" s="2"/>
      <c r="N14376" s="2"/>
      <c r="O14376" s="2"/>
      <c r="P14376" s="2"/>
      <c r="Q14376" s="2"/>
      <c r="R14376" s="2"/>
      <c r="S14376" s="2"/>
      <c r="T14376" s="2"/>
      <c r="U14376" s="2"/>
      <c r="V14376" s="2"/>
      <c r="W14376" s="2"/>
      <c r="X14376" s="2"/>
      <c r="Y14376" s="2"/>
      <c r="Z14376" s="2"/>
    </row>
    <row r="14377" spans="1:26" ht="16.5" x14ac:dyDescent="0.35">
      <c r="A14377" s="2" t="str">
        <f ca="1">IFERROR(__xludf.DUMMYFUNCTION("""COMPUTED_VALUE"""),"Dubai")</f>
        <v>Dubai</v>
      </c>
      <c r="B14377" s="2" t="str">
        <f ca="1">IFERROR(__xludf.DUMMYFUNCTION("""COMPUTED_VALUE"""),"Al Moosa Tower 1")</f>
        <v>Al Moosa Tower 1</v>
      </c>
      <c r="C14377" s="2" t="str">
        <f ca="1">IFERROR(__xludf.DUMMYFUNCTION("""COMPUTED_VALUE"""),"Building")</f>
        <v>Building</v>
      </c>
      <c r="D14377" s="2" t="str">
        <f ca="1">IFERROR(__xludf.DUMMYFUNCTION("""COMPUTED_VALUE"""),"Dubai&gt;Sheikh Zayed Road&gt;Al Moosa Tower 1")</f>
        <v>Dubai&gt;Sheikh Zayed Road&gt;Al Moosa Tower 1</v>
      </c>
      <c r="E14377" s="2"/>
      <c r="F14377" s="2"/>
      <c r="G14377" s="2"/>
      <c r="H14377" s="2"/>
      <c r="I14377" s="2"/>
      <c r="J14377" s="2"/>
      <c r="K14377" s="2"/>
      <c r="L14377" s="2"/>
      <c r="M14377" s="2"/>
      <c r="N14377" s="2"/>
      <c r="O14377" s="2"/>
      <c r="P14377" s="2"/>
      <c r="Q14377" s="2"/>
      <c r="R14377" s="2"/>
      <c r="S14377" s="2"/>
      <c r="T14377" s="2"/>
      <c r="U14377" s="2"/>
      <c r="V14377" s="2"/>
      <c r="W14377" s="2"/>
      <c r="X14377" s="2"/>
      <c r="Y14377" s="2"/>
      <c r="Z14377" s="2"/>
    </row>
    <row r="14378" spans="1:26" ht="16.5" x14ac:dyDescent="0.35">
      <c r="A14378" s="2" t="str">
        <f ca="1">IFERROR(__xludf.DUMMYFUNCTION("""COMPUTED_VALUE"""),"Dubai")</f>
        <v>Dubai</v>
      </c>
      <c r="B14378" s="2" t="str">
        <f ca="1">IFERROR(__xludf.DUMMYFUNCTION("""COMPUTED_VALUE"""),"Mazaya Centre")</f>
        <v>Mazaya Centre</v>
      </c>
      <c r="C14378" s="2" t="str">
        <f ca="1">IFERROR(__xludf.DUMMYFUNCTION("""COMPUTED_VALUE"""),"Building")</f>
        <v>Building</v>
      </c>
      <c r="D14378" s="2" t="str">
        <f ca="1">IFERROR(__xludf.DUMMYFUNCTION("""COMPUTED_VALUE"""),"Dubai&gt;Sheikh Zayed Road&gt;Mazaya Centre")</f>
        <v>Dubai&gt;Sheikh Zayed Road&gt;Mazaya Centre</v>
      </c>
      <c r="E14378" s="2"/>
      <c r="F14378" s="2"/>
      <c r="G14378" s="2"/>
      <c r="H14378" s="2"/>
      <c r="I14378" s="2"/>
      <c r="J14378" s="2"/>
      <c r="K14378" s="2"/>
      <c r="L14378" s="2"/>
      <c r="M14378" s="2"/>
      <c r="N14378" s="2"/>
      <c r="O14378" s="2"/>
      <c r="P14378" s="2"/>
      <c r="Q14378" s="2"/>
      <c r="R14378" s="2"/>
      <c r="S14378" s="2"/>
      <c r="T14378" s="2"/>
      <c r="U14378" s="2"/>
      <c r="V14378" s="2"/>
      <c r="W14378" s="2"/>
      <c r="X14378" s="2"/>
      <c r="Y14378" s="2"/>
      <c r="Z14378" s="2"/>
    </row>
    <row r="14379" spans="1:26" ht="16.5" x14ac:dyDescent="0.35">
      <c r="A14379" s="2" t="str">
        <f ca="1">IFERROR(__xludf.DUMMYFUNCTION("""COMPUTED_VALUE"""),"Dubai")</f>
        <v>Dubai</v>
      </c>
      <c r="B14379" s="2" t="str">
        <f ca="1">IFERROR(__xludf.DUMMYFUNCTION("""COMPUTED_VALUE"""),"Al Durrah Tower")</f>
        <v>Al Durrah Tower</v>
      </c>
      <c r="C14379" s="2" t="str">
        <f ca="1">IFERROR(__xludf.DUMMYFUNCTION("""COMPUTED_VALUE"""),"Building")</f>
        <v>Building</v>
      </c>
      <c r="D14379" s="2" t="str">
        <f ca="1">IFERROR(__xludf.DUMMYFUNCTION("""COMPUTED_VALUE"""),"Dubai&gt;Sheikh Zayed Road&gt;Al Durrah Tower")</f>
        <v>Dubai&gt;Sheikh Zayed Road&gt;Al Durrah Tower</v>
      </c>
      <c r="E14379" s="2"/>
      <c r="F14379" s="2"/>
      <c r="G14379" s="2"/>
      <c r="H14379" s="2"/>
      <c r="I14379" s="2"/>
      <c r="J14379" s="2"/>
      <c r="K14379" s="2"/>
      <c r="L14379" s="2"/>
      <c r="M14379" s="2"/>
      <c r="N14379" s="2"/>
      <c r="O14379" s="2"/>
      <c r="P14379" s="2"/>
      <c r="Q14379" s="2"/>
      <c r="R14379" s="2"/>
      <c r="S14379" s="2"/>
      <c r="T14379" s="2"/>
      <c r="U14379" s="2"/>
      <c r="V14379" s="2"/>
      <c r="W14379" s="2"/>
      <c r="X14379" s="2"/>
      <c r="Y14379" s="2"/>
      <c r="Z14379" s="2"/>
    </row>
    <row r="14380" spans="1:26" ht="16.5" x14ac:dyDescent="0.35">
      <c r="A14380" s="2" t="str">
        <f ca="1">IFERROR(__xludf.DUMMYFUNCTION("""COMPUTED_VALUE"""),"Dubai")</f>
        <v>Dubai</v>
      </c>
      <c r="B14380" s="2" t="str">
        <f ca="1">IFERROR(__xludf.DUMMYFUNCTION("""COMPUTED_VALUE"""),"Al Goze Building")</f>
        <v>Al Goze Building</v>
      </c>
      <c r="C14380" s="2" t="str">
        <f ca="1">IFERROR(__xludf.DUMMYFUNCTION("""COMPUTED_VALUE"""),"Building")</f>
        <v>Building</v>
      </c>
      <c r="D14380" s="2" t="str">
        <f ca="1">IFERROR(__xludf.DUMMYFUNCTION("""COMPUTED_VALUE"""),"Dubai&gt;Sheikh Zayed Road&gt;Al Goze Building")</f>
        <v>Dubai&gt;Sheikh Zayed Road&gt;Al Goze Building</v>
      </c>
      <c r="E14380" s="2"/>
      <c r="F14380" s="2"/>
      <c r="G14380" s="2"/>
      <c r="H14380" s="2"/>
      <c r="I14380" s="2"/>
      <c r="J14380" s="2"/>
      <c r="K14380" s="2"/>
      <c r="L14380" s="2"/>
      <c r="M14380" s="2"/>
      <c r="N14380" s="2"/>
      <c r="O14380" s="2"/>
      <c r="P14380" s="2"/>
      <c r="Q14380" s="2"/>
      <c r="R14380" s="2"/>
      <c r="S14380" s="2"/>
      <c r="T14380" s="2"/>
      <c r="U14380" s="2"/>
      <c r="V14380" s="2"/>
      <c r="W14380" s="2"/>
      <c r="X14380" s="2"/>
      <c r="Y14380" s="2"/>
      <c r="Z14380" s="2"/>
    </row>
    <row r="14381" spans="1:26" ht="16.5" x14ac:dyDescent="0.35">
      <c r="A14381" s="2" t="str">
        <f ca="1">IFERROR(__xludf.DUMMYFUNCTION("""COMPUTED_VALUE"""),"Dubai")</f>
        <v>Dubai</v>
      </c>
      <c r="B14381" s="2" t="str">
        <f ca="1">IFERROR(__xludf.DUMMYFUNCTION("""COMPUTED_VALUE"""),"Al Habbai Building")</f>
        <v>Al Habbai Building</v>
      </c>
      <c r="C14381" s="2" t="str">
        <f ca="1">IFERROR(__xludf.DUMMYFUNCTION("""COMPUTED_VALUE"""),"Building")</f>
        <v>Building</v>
      </c>
      <c r="D14381" s="2" t="str">
        <f ca="1">IFERROR(__xludf.DUMMYFUNCTION("""COMPUTED_VALUE"""),"Dubai&gt;Al Karama&gt;Al Habbai Building")</f>
        <v>Dubai&gt;Al Karama&gt;Al Habbai Building</v>
      </c>
      <c r="E14381" s="2"/>
      <c r="F14381" s="2"/>
      <c r="G14381" s="2"/>
      <c r="H14381" s="2"/>
      <c r="I14381" s="2"/>
      <c r="J14381" s="2"/>
      <c r="K14381" s="2"/>
      <c r="L14381" s="2"/>
      <c r="M14381" s="2"/>
      <c r="N14381" s="2"/>
      <c r="O14381" s="2"/>
      <c r="P14381" s="2"/>
      <c r="Q14381" s="2"/>
      <c r="R14381" s="2"/>
      <c r="S14381" s="2"/>
      <c r="T14381" s="2"/>
      <c r="U14381" s="2"/>
      <c r="V14381" s="2"/>
      <c r="W14381" s="2"/>
      <c r="X14381" s="2"/>
      <c r="Y14381" s="2"/>
      <c r="Z14381" s="2"/>
    </row>
    <row r="14382" spans="1:26" ht="16.5" x14ac:dyDescent="0.35">
      <c r="A14382" s="2" t="str">
        <f ca="1">IFERROR(__xludf.DUMMYFUNCTION("""COMPUTED_VALUE"""),"Dubai")</f>
        <v>Dubai</v>
      </c>
      <c r="B14382" s="2" t="str">
        <f ca="1">IFERROR(__xludf.DUMMYFUNCTION("""COMPUTED_VALUE"""),"Building 14")</f>
        <v>Building 14</v>
      </c>
      <c r="C14382" s="2" t="str">
        <f ca="1">IFERROR(__xludf.DUMMYFUNCTION("""COMPUTED_VALUE"""),"Building")</f>
        <v>Building</v>
      </c>
      <c r="D14382" s="2" t="str">
        <f ca="1">IFERROR(__xludf.DUMMYFUNCTION("""COMPUTED_VALUE"""),"Dubai&gt;Al Karama&gt;Karam Pioneer Buildings&gt;Building 14")</f>
        <v>Dubai&gt;Al Karama&gt;Karam Pioneer Buildings&gt;Building 14</v>
      </c>
      <c r="E14382" s="2"/>
      <c r="F14382" s="2"/>
      <c r="G14382" s="2"/>
      <c r="H14382" s="2"/>
      <c r="I14382" s="2"/>
      <c r="J14382" s="2"/>
      <c r="K14382" s="2"/>
      <c r="L14382" s="2"/>
      <c r="M14382" s="2"/>
      <c r="N14382" s="2"/>
      <c r="O14382" s="2"/>
      <c r="P14382" s="2"/>
      <c r="Q14382" s="2"/>
      <c r="R14382" s="2"/>
      <c r="S14382" s="2"/>
      <c r="T14382" s="2"/>
      <c r="U14382" s="2"/>
      <c r="V14382" s="2"/>
      <c r="W14382" s="2"/>
      <c r="X14382" s="2"/>
      <c r="Y14382" s="2"/>
      <c r="Z14382" s="2"/>
    </row>
    <row r="14383" spans="1:26" ht="16.5" x14ac:dyDescent="0.35">
      <c r="A14383" s="2" t="str">
        <f ca="1">IFERROR(__xludf.DUMMYFUNCTION("""COMPUTED_VALUE"""),"Dubai")</f>
        <v>Dubai</v>
      </c>
      <c r="B14383" s="2" t="str">
        <f ca="1">IFERROR(__xludf.DUMMYFUNCTION("""COMPUTED_VALUE"""),"Building 46")</f>
        <v>Building 46</v>
      </c>
      <c r="C14383" s="2" t="str">
        <f ca="1">IFERROR(__xludf.DUMMYFUNCTION("""COMPUTED_VALUE"""),"Building")</f>
        <v>Building</v>
      </c>
      <c r="D14383" s="2" t="str">
        <f ca="1">IFERROR(__xludf.DUMMYFUNCTION("""COMPUTED_VALUE"""),"Dubai&gt;Al Karama&gt;Karam Pioneer Buildings&gt;Building 46")</f>
        <v>Dubai&gt;Al Karama&gt;Karam Pioneer Buildings&gt;Building 46</v>
      </c>
      <c r="E14383" s="2"/>
      <c r="F14383" s="2"/>
      <c r="G14383" s="2"/>
      <c r="H14383" s="2"/>
      <c r="I14383" s="2"/>
      <c r="J14383" s="2"/>
      <c r="K14383" s="2"/>
      <c r="L14383" s="2"/>
      <c r="M14383" s="2"/>
      <c r="N14383" s="2"/>
      <c r="O14383" s="2"/>
      <c r="P14383" s="2"/>
      <c r="Q14383" s="2"/>
      <c r="R14383" s="2"/>
      <c r="S14383" s="2"/>
      <c r="T14383" s="2"/>
      <c r="U14383" s="2"/>
      <c r="V14383" s="2"/>
      <c r="W14383" s="2"/>
      <c r="X14383" s="2"/>
      <c r="Y14383" s="2"/>
      <c r="Z14383" s="2"/>
    </row>
    <row r="14384" spans="1:26" ht="16.5" x14ac:dyDescent="0.35">
      <c r="A14384" s="2" t="str">
        <f ca="1">IFERROR(__xludf.DUMMYFUNCTION("""COMPUTED_VALUE"""),"Dubai")</f>
        <v>Dubai</v>
      </c>
      <c r="B14384" s="2" t="str">
        <f ca="1">IFERROR(__xludf.DUMMYFUNCTION("""COMPUTED_VALUE"""),"Wasl Ruby")</f>
        <v>Wasl Ruby</v>
      </c>
      <c r="C14384" s="2" t="str">
        <f ca="1">IFERROR(__xludf.DUMMYFUNCTION("""COMPUTED_VALUE"""),"Building")</f>
        <v>Building</v>
      </c>
      <c r="D14384" s="2" t="str">
        <f ca="1">IFERROR(__xludf.DUMMYFUNCTION("""COMPUTED_VALUE"""),"Dubai&gt;Al Karama&gt;Wasl Ruby")</f>
        <v>Dubai&gt;Al Karama&gt;Wasl Ruby</v>
      </c>
      <c r="E14384" s="2"/>
      <c r="F14384" s="2"/>
      <c r="G14384" s="2"/>
      <c r="H14384" s="2"/>
      <c r="I14384" s="2"/>
      <c r="J14384" s="2"/>
      <c r="K14384" s="2"/>
      <c r="L14384" s="2"/>
      <c r="M14384" s="2"/>
      <c r="N14384" s="2"/>
      <c r="O14384" s="2"/>
      <c r="P14384" s="2"/>
      <c r="Q14384" s="2"/>
      <c r="R14384" s="2"/>
      <c r="S14384" s="2"/>
      <c r="T14384" s="2"/>
      <c r="U14384" s="2"/>
      <c r="V14384" s="2"/>
      <c r="W14384" s="2"/>
      <c r="X14384" s="2"/>
      <c r="Y14384" s="2"/>
      <c r="Z14384" s="2"/>
    </row>
    <row r="14385" spans="1:26" ht="16.5" x14ac:dyDescent="0.35">
      <c r="A14385" s="2" t="str">
        <f ca="1">IFERROR(__xludf.DUMMYFUNCTION("""COMPUTED_VALUE"""),"Dubai")</f>
        <v>Dubai</v>
      </c>
      <c r="B14385" s="2" t="str">
        <f ca="1">IFERROR(__xludf.DUMMYFUNCTION("""COMPUTED_VALUE"""),"Wasl Amber")</f>
        <v>Wasl Amber</v>
      </c>
      <c r="C14385" s="2" t="str">
        <f ca="1">IFERROR(__xludf.DUMMYFUNCTION("""COMPUTED_VALUE"""),"Building")</f>
        <v>Building</v>
      </c>
      <c r="D14385" s="2" t="str">
        <f ca="1">IFERROR(__xludf.DUMMYFUNCTION("""COMPUTED_VALUE"""),"Dubai&gt;Al Karama&gt;Wasl Amber")</f>
        <v>Dubai&gt;Al Karama&gt;Wasl Amber</v>
      </c>
      <c r="E14385" s="2"/>
      <c r="F14385" s="2"/>
      <c r="G14385" s="2"/>
      <c r="H14385" s="2"/>
      <c r="I14385" s="2"/>
      <c r="J14385" s="2"/>
      <c r="K14385" s="2"/>
      <c r="L14385" s="2"/>
      <c r="M14385" s="2"/>
      <c r="N14385" s="2"/>
      <c r="O14385" s="2"/>
      <c r="P14385" s="2"/>
      <c r="Q14385" s="2"/>
      <c r="R14385" s="2"/>
      <c r="S14385" s="2"/>
      <c r="T14385" s="2"/>
      <c r="U14385" s="2"/>
      <c r="V14385" s="2"/>
      <c r="W14385" s="2"/>
      <c r="X14385" s="2"/>
      <c r="Y14385" s="2"/>
      <c r="Z14385" s="2"/>
    </row>
    <row r="14386" spans="1:26" ht="16.5" x14ac:dyDescent="0.35">
      <c r="A14386" s="2" t="str">
        <f ca="1">IFERROR(__xludf.DUMMYFUNCTION("""COMPUTED_VALUE"""),"Dubai")</f>
        <v>Dubai</v>
      </c>
      <c r="B14386" s="2" t="str">
        <f ca="1">IFERROR(__xludf.DUMMYFUNCTION("""COMPUTED_VALUE"""),"Al Gurg Building")</f>
        <v>Al Gurg Building</v>
      </c>
      <c r="C14386" s="2" t="str">
        <f ca="1">IFERROR(__xludf.DUMMYFUNCTION("""COMPUTED_VALUE"""),"Building")</f>
        <v>Building</v>
      </c>
      <c r="D14386" s="2" t="str">
        <f ca="1">IFERROR(__xludf.DUMMYFUNCTION("""COMPUTED_VALUE"""),"Dubai&gt;Al Karama&gt;Al Gurg Building")</f>
        <v>Dubai&gt;Al Karama&gt;Al Gurg Building</v>
      </c>
      <c r="E14386" s="2"/>
      <c r="F14386" s="2"/>
      <c r="G14386" s="2"/>
      <c r="H14386" s="2"/>
      <c r="I14386" s="2"/>
      <c r="J14386" s="2"/>
      <c r="K14386" s="2"/>
      <c r="L14386" s="2"/>
      <c r="M14386" s="2"/>
      <c r="N14386" s="2"/>
      <c r="O14386" s="2"/>
      <c r="P14386" s="2"/>
      <c r="Q14386" s="2"/>
      <c r="R14386" s="2"/>
      <c r="S14386" s="2"/>
      <c r="T14386" s="2"/>
      <c r="U14386" s="2"/>
      <c r="V14386" s="2"/>
      <c r="W14386" s="2"/>
      <c r="X14386" s="2"/>
      <c r="Y14386" s="2"/>
      <c r="Z14386" s="2"/>
    </row>
    <row r="14387" spans="1:26" ht="16.5" x14ac:dyDescent="0.35">
      <c r="A14387" s="2" t="str">
        <f ca="1">IFERROR(__xludf.DUMMYFUNCTION("""COMPUTED_VALUE"""),"Dubai")</f>
        <v>Dubai</v>
      </c>
      <c r="B14387" s="2" t="str">
        <f ca="1">IFERROR(__xludf.DUMMYFUNCTION("""COMPUTED_VALUE"""),"City Apartment")</f>
        <v>City Apartment</v>
      </c>
      <c r="C14387" s="2" t="str">
        <f ca="1">IFERROR(__xludf.DUMMYFUNCTION("""COMPUTED_VALUE"""),"Building")</f>
        <v>Building</v>
      </c>
      <c r="D14387" s="2" t="str">
        <f ca="1">IFERROR(__xludf.DUMMYFUNCTION("""COMPUTED_VALUE"""),"Dubai&gt;Al Karama&gt;City Apartment")</f>
        <v>Dubai&gt;Al Karama&gt;City Apartment</v>
      </c>
      <c r="E14387" s="2"/>
      <c r="F14387" s="2"/>
      <c r="G14387" s="2"/>
      <c r="H14387" s="2"/>
      <c r="I14387" s="2"/>
      <c r="J14387" s="2"/>
      <c r="K14387" s="2"/>
      <c r="L14387" s="2"/>
      <c r="M14387" s="2"/>
      <c r="N14387" s="2"/>
      <c r="O14387" s="2"/>
      <c r="P14387" s="2"/>
      <c r="Q14387" s="2"/>
      <c r="R14387" s="2"/>
      <c r="S14387" s="2"/>
      <c r="T14387" s="2"/>
      <c r="U14387" s="2"/>
      <c r="V14387" s="2"/>
      <c r="W14387" s="2"/>
      <c r="X14387" s="2"/>
      <c r="Y14387" s="2"/>
      <c r="Z14387" s="2"/>
    </row>
    <row r="14388" spans="1:26" ht="16.5" x14ac:dyDescent="0.35">
      <c r="A14388" s="2" t="str">
        <f ca="1">IFERROR(__xludf.DUMMYFUNCTION("""COMPUTED_VALUE"""),"Dubai")</f>
        <v>Dubai</v>
      </c>
      <c r="B14388" s="2" t="str">
        <f ca="1">IFERROR(__xludf.DUMMYFUNCTION("""COMPUTED_VALUE"""),"Al Shafar Apartments Building")</f>
        <v>Al Shafar Apartments Building</v>
      </c>
      <c r="C14388" s="2" t="str">
        <f ca="1">IFERROR(__xludf.DUMMYFUNCTION("""COMPUTED_VALUE"""),"Building")</f>
        <v>Building</v>
      </c>
      <c r="D14388" s="2" t="str">
        <f ca="1">IFERROR(__xludf.DUMMYFUNCTION("""COMPUTED_VALUE"""),"Dubai&gt;Al Karama&gt;Al Shafar Apartments Building")</f>
        <v>Dubai&gt;Al Karama&gt;Al Shafar Apartments Building</v>
      </c>
      <c r="E14388" s="2"/>
      <c r="F14388" s="2"/>
      <c r="G14388" s="2"/>
      <c r="H14388" s="2"/>
      <c r="I14388" s="2"/>
      <c r="J14388" s="2"/>
      <c r="K14388" s="2"/>
      <c r="L14388" s="2"/>
      <c r="M14388" s="2"/>
      <c r="N14388" s="2"/>
      <c r="O14388" s="2"/>
      <c r="P14388" s="2"/>
      <c r="Q14388" s="2"/>
      <c r="R14388" s="2"/>
      <c r="S14388" s="2"/>
      <c r="T14388" s="2"/>
      <c r="U14388" s="2"/>
      <c r="V14388" s="2"/>
      <c r="W14388" s="2"/>
      <c r="X14388" s="2"/>
      <c r="Y14388" s="2"/>
      <c r="Z14388" s="2"/>
    </row>
    <row r="14389" spans="1:26" ht="16.5" x14ac:dyDescent="0.35">
      <c r="A14389" s="2" t="str">
        <f ca="1">IFERROR(__xludf.DUMMYFUNCTION("""COMPUTED_VALUE"""),"Dubai")</f>
        <v>Dubai</v>
      </c>
      <c r="B14389" s="2" t="str">
        <f ca="1">IFERROR(__xludf.DUMMYFUNCTION("""COMPUTED_VALUE"""),"Bin Haider 3")</f>
        <v>Bin Haider 3</v>
      </c>
      <c r="C14389" s="2" t="str">
        <f ca="1">IFERROR(__xludf.DUMMYFUNCTION("""COMPUTED_VALUE"""),"Building")</f>
        <v>Building</v>
      </c>
      <c r="D14389" s="2" t="str">
        <f ca="1">IFERROR(__xludf.DUMMYFUNCTION("""COMPUTED_VALUE"""),"Dubai&gt;Al Karama&gt;Bin Haider 3")</f>
        <v>Dubai&gt;Al Karama&gt;Bin Haider 3</v>
      </c>
      <c r="E14389" s="2"/>
      <c r="F14389" s="2"/>
      <c r="G14389" s="2"/>
      <c r="H14389" s="2"/>
      <c r="I14389" s="2"/>
      <c r="J14389" s="2"/>
      <c r="K14389" s="2"/>
      <c r="L14389" s="2"/>
      <c r="M14389" s="2"/>
      <c r="N14389" s="2"/>
      <c r="O14389" s="2"/>
      <c r="P14389" s="2"/>
      <c r="Q14389" s="2"/>
      <c r="R14389" s="2"/>
      <c r="S14389" s="2"/>
      <c r="T14389" s="2"/>
      <c r="U14389" s="2"/>
      <c r="V14389" s="2"/>
      <c r="W14389" s="2"/>
      <c r="X14389" s="2"/>
      <c r="Y14389" s="2"/>
      <c r="Z14389" s="2"/>
    </row>
    <row r="14390" spans="1:26" ht="16.5" x14ac:dyDescent="0.35">
      <c r="A14390" s="2" t="str">
        <f ca="1">IFERROR(__xludf.DUMMYFUNCTION("""COMPUTED_VALUE"""),"Dubai")</f>
        <v>Dubai</v>
      </c>
      <c r="B14390" s="2" t="str">
        <f ca="1">IFERROR(__xludf.DUMMYFUNCTION("""COMPUTED_VALUE"""),"Al Maskan Block B")</f>
        <v>Al Maskan Block B</v>
      </c>
      <c r="C14390" s="2" t="str">
        <f ca="1">IFERROR(__xludf.DUMMYFUNCTION("""COMPUTED_VALUE"""),"Building")</f>
        <v>Building</v>
      </c>
      <c r="D14390" s="2" t="str">
        <f ca="1">IFERROR(__xludf.DUMMYFUNCTION("""COMPUTED_VALUE"""),"Dubai&gt;Al Karama&gt;Al Maskan Block B")</f>
        <v>Dubai&gt;Al Karama&gt;Al Maskan Block B</v>
      </c>
      <c r="E14390" s="2"/>
      <c r="F14390" s="2"/>
      <c r="G14390" s="2"/>
      <c r="H14390" s="2"/>
      <c r="I14390" s="2"/>
      <c r="J14390" s="2"/>
      <c r="K14390" s="2"/>
      <c r="L14390" s="2"/>
      <c r="M14390" s="2"/>
      <c r="N14390" s="2"/>
      <c r="O14390" s="2"/>
      <c r="P14390" s="2"/>
      <c r="Q14390" s="2"/>
      <c r="R14390" s="2"/>
      <c r="S14390" s="2"/>
      <c r="T14390" s="2"/>
      <c r="U14390" s="2"/>
      <c r="V14390" s="2"/>
      <c r="W14390" s="2"/>
      <c r="X14390" s="2"/>
      <c r="Y14390" s="2"/>
      <c r="Z14390" s="2"/>
    </row>
    <row r="14391" spans="1:26" ht="16.5" x14ac:dyDescent="0.35">
      <c r="A14391" s="2" t="str">
        <f ca="1">IFERROR(__xludf.DUMMYFUNCTION("""COMPUTED_VALUE"""),"Dubai")</f>
        <v>Dubai</v>
      </c>
      <c r="B14391" s="2" t="str">
        <f ca="1">IFERROR(__xludf.DUMMYFUNCTION("""COMPUTED_VALUE"""),"Ahmed Obaid Al Garsh Building")</f>
        <v>Ahmed Obaid Al Garsh Building</v>
      </c>
      <c r="C14391" s="2" t="str">
        <f ca="1">IFERROR(__xludf.DUMMYFUNCTION("""COMPUTED_VALUE"""),"Building")</f>
        <v>Building</v>
      </c>
      <c r="D14391" s="2" t="str">
        <f ca="1">IFERROR(__xludf.DUMMYFUNCTION("""COMPUTED_VALUE"""),"Dubai&gt;Al Karama&gt;Ahmed Obaid Al Garsh Building")</f>
        <v>Dubai&gt;Al Karama&gt;Ahmed Obaid Al Garsh Building</v>
      </c>
      <c r="E14391" s="2"/>
      <c r="F14391" s="2"/>
      <c r="G14391" s="2"/>
      <c r="H14391" s="2"/>
      <c r="I14391" s="2"/>
      <c r="J14391" s="2"/>
      <c r="K14391" s="2"/>
      <c r="L14391" s="2"/>
      <c r="M14391" s="2"/>
      <c r="N14391" s="2"/>
      <c r="O14391" s="2"/>
      <c r="P14391" s="2"/>
      <c r="Q14391" s="2"/>
      <c r="R14391" s="2"/>
      <c r="S14391" s="2"/>
      <c r="T14391" s="2"/>
      <c r="U14391" s="2"/>
      <c r="V14391" s="2"/>
      <c r="W14391" s="2"/>
      <c r="X14391" s="2"/>
      <c r="Y14391" s="2"/>
      <c r="Z14391" s="2"/>
    </row>
    <row r="14392" spans="1:26" ht="16.5" x14ac:dyDescent="0.35">
      <c r="A14392" s="2" t="str">
        <f ca="1">IFERROR(__xludf.DUMMYFUNCTION("""COMPUTED_VALUE"""),"Dubai")</f>
        <v>Dubai</v>
      </c>
      <c r="B14392" s="2" t="str">
        <f ca="1">IFERROR(__xludf.DUMMYFUNCTION("""COMPUTED_VALUE"""),"Baza Building")</f>
        <v>Baza Building</v>
      </c>
      <c r="C14392" s="2" t="str">
        <f ca="1">IFERROR(__xludf.DUMMYFUNCTION("""COMPUTED_VALUE"""),"Building")</f>
        <v>Building</v>
      </c>
      <c r="D14392" s="2" t="str">
        <f ca="1">IFERROR(__xludf.DUMMYFUNCTION("""COMPUTED_VALUE"""),"Dubai&gt;Al Karama&gt;Baza Building")</f>
        <v>Dubai&gt;Al Karama&gt;Baza Building</v>
      </c>
      <c r="E14392" s="2"/>
      <c r="F14392" s="2"/>
      <c r="G14392" s="2"/>
      <c r="H14392" s="2"/>
      <c r="I14392" s="2"/>
      <c r="J14392" s="2"/>
      <c r="K14392" s="2"/>
      <c r="L14392" s="2"/>
      <c r="M14392" s="2"/>
      <c r="N14392" s="2"/>
      <c r="O14392" s="2"/>
      <c r="P14392" s="2"/>
      <c r="Q14392" s="2"/>
      <c r="R14392" s="2"/>
      <c r="S14392" s="2"/>
      <c r="T14392" s="2"/>
      <c r="U14392" s="2"/>
      <c r="V14392" s="2"/>
      <c r="W14392" s="2"/>
      <c r="X14392" s="2"/>
      <c r="Y14392" s="2"/>
      <c r="Z14392" s="2"/>
    </row>
    <row r="14393" spans="1:26" ht="16.5" x14ac:dyDescent="0.35">
      <c r="A14393" s="2" t="str">
        <f ca="1">IFERROR(__xludf.DUMMYFUNCTION("""COMPUTED_VALUE"""),"Dubai")</f>
        <v>Dubai</v>
      </c>
      <c r="B14393" s="2" t="str">
        <f ca="1">IFERROR(__xludf.DUMMYFUNCTION("""COMPUTED_VALUE"""),"Boutique XII")</f>
        <v>Boutique XII</v>
      </c>
      <c r="C14393" s="2" t="str">
        <f ca="1">IFERROR(__xludf.DUMMYFUNCTION("""COMPUTED_VALUE"""),"Building")</f>
        <v>Building</v>
      </c>
      <c r="D14393" s="2" t="str">
        <f ca="1">IFERROR(__xludf.DUMMYFUNCTION("""COMPUTED_VALUE"""),"Dubai&gt;Culture Village (Jaddaf Waterfront)&gt;Boutique XII")</f>
        <v>Dubai&gt;Culture Village (Jaddaf Waterfront)&gt;Boutique XII</v>
      </c>
      <c r="E14393" s="2"/>
      <c r="F14393" s="2"/>
      <c r="G14393" s="2"/>
      <c r="H14393" s="2"/>
      <c r="I14393" s="2"/>
      <c r="J14393" s="2"/>
      <c r="K14393" s="2"/>
      <c r="L14393" s="2"/>
      <c r="M14393" s="2"/>
      <c r="N14393" s="2"/>
      <c r="O14393" s="2"/>
      <c r="P14393" s="2"/>
      <c r="Q14393" s="2"/>
      <c r="R14393" s="2"/>
      <c r="S14393" s="2"/>
      <c r="T14393" s="2"/>
      <c r="U14393" s="2"/>
      <c r="V14393" s="2"/>
      <c r="W14393" s="2"/>
      <c r="X14393" s="2"/>
      <c r="Y14393" s="2"/>
      <c r="Z14393" s="2"/>
    </row>
    <row r="14394" spans="1:26" ht="16.5" x14ac:dyDescent="0.35">
      <c r="A14394" s="2" t="str">
        <f ca="1">IFERROR(__xludf.DUMMYFUNCTION("""COMPUTED_VALUE"""),"Dubai")</f>
        <v>Dubai</v>
      </c>
      <c r="B14394" s="2" t="str">
        <f ca="1">IFERROR(__xludf.DUMMYFUNCTION("""COMPUTED_VALUE"""),"First Steps Nursery Montessori")</f>
        <v>First Steps Nursery Montessori</v>
      </c>
      <c r="C14394" s="2" t="str">
        <f ca="1">IFERROR(__xludf.DUMMYFUNCTION("""COMPUTED_VALUE"""),"Nursery")</f>
        <v>Nursery</v>
      </c>
      <c r="D14394" s="2" t="str">
        <f ca="1">IFERROR(__xludf.DUMMYFUNCTION("""COMPUTED_VALUE"""),"Dubai&gt;Umm Suqeim&gt;Umm Suqeim 3&gt;First Steps Nursery Montessori")</f>
        <v>Dubai&gt;Umm Suqeim&gt;Umm Suqeim 3&gt;First Steps Nursery Montessori</v>
      </c>
      <c r="E14394" s="2"/>
      <c r="F14394" s="2"/>
      <c r="G14394" s="2"/>
      <c r="H14394" s="2"/>
      <c r="I14394" s="2"/>
      <c r="J14394" s="2"/>
      <c r="K14394" s="2"/>
      <c r="L14394" s="2"/>
      <c r="M14394" s="2"/>
      <c r="N14394" s="2"/>
      <c r="O14394" s="2"/>
      <c r="P14394" s="2"/>
      <c r="Q14394" s="2"/>
      <c r="R14394" s="2"/>
      <c r="S14394" s="2"/>
      <c r="T14394" s="2"/>
      <c r="U14394" s="2"/>
      <c r="V14394" s="2"/>
      <c r="W14394" s="2"/>
      <c r="X14394" s="2"/>
      <c r="Y14394" s="2"/>
      <c r="Z14394" s="2"/>
    </row>
    <row r="14395" spans="1:26" ht="16.5" x14ac:dyDescent="0.35">
      <c r="A14395" s="2" t="str">
        <f ca="1">IFERROR(__xludf.DUMMYFUNCTION("""COMPUTED_VALUE"""),"Dubai")</f>
        <v>Dubai</v>
      </c>
      <c r="B14395" s="2" t="str">
        <f ca="1">IFERROR(__xludf.DUMMYFUNCTION("""COMPUTED_VALUE"""),"Lamaa Building 2")</f>
        <v>Lamaa Building 2</v>
      </c>
      <c r="C14395" s="2" t="str">
        <f ca="1">IFERROR(__xludf.DUMMYFUNCTION("""COMPUTED_VALUE"""),"Building")</f>
        <v>Building</v>
      </c>
      <c r="D14395" s="2" t="str">
        <f ca="1">IFERROR(__xludf.DUMMYFUNCTION("""COMPUTED_VALUE"""),"Dubai&gt;Umm Suqeim&gt;Madinat Jumeirah Living&gt;Lamaa&gt;Lamaa Building 2")</f>
        <v>Dubai&gt;Umm Suqeim&gt;Madinat Jumeirah Living&gt;Lamaa&gt;Lamaa Building 2</v>
      </c>
      <c r="E14395" s="2"/>
      <c r="F14395" s="2"/>
      <c r="G14395" s="2"/>
      <c r="H14395" s="2"/>
      <c r="I14395" s="2"/>
      <c r="J14395" s="2"/>
      <c r="K14395" s="2"/>
      <c r="L14395" s="2"/>
      <c r="M14395" s="2"/>
      <c r="N14395" s="2"/>
      <c r="O14395" s="2"/>
      <c r="P14395" s="2"/>
      <c r="Q14395" s="2"/>
      <c r="R14395" s="2"/>
      <c r="S14395" s="2"/>
      <c r="T14395" s="2"/>
      <c r="U14395" s="2"/>
      <c r="V14395" s="2"/>
      <c r="W14395" s="2"/>
      <c r="X14395" s="2"/>
      <c r="Y14395" s="2"/>
      <c r="Z14395" s="2"/>
    </row>
    <row r="14396" spans="1:26" ht="16.5" x14ac:dyDescent="0.35">
      <c r="A14396" s="2" t="str">
        <f ca="1">IFERROR(__xludf.DUMMYFUNCTION("""COMPUTED_VALUE"""),"Dubai")</f>
        <v>Dubai</v>
      </c>
      <c r="B14396" s="2" t="str">
        <f ca="1">IFERROR(__xludf.DUMMYFUNCTION("""COMPUTED_VALUE"""),"Meyan Mall")</f>
        <v>Meyan Mall</v>
      </c>
      <c r="C14396" s="2" t="str">
        <f ca="1">IFERROR(__xludf.DUMMYFUNCTION("""COMPUTED_VALUE"""),"Building")</f>
        <v>Building</v>
      </c>
      <c r="D14396" s="2" t="str">
        <f ca="1">IFERROR(__xludf.DUMMYFUNCTION("""COMPUTED_VALUE"""),"Dubai&gt;Umm Suqeim&gt;Umm Suqeim 2&gt;Meyan Mall")</f>
        <v>Dubai&gt;Umm Suqeim&gt;Umm Suqeim 2&gt;Meyan Mall</v>
      </c>
      <c r="E14396" s="2"/>
      <c r="F14396" s="2"/>
      <c r="G14396" s="2"/>
      <c r="H14396" s="2"/>
      <c r="I14396" s="2"/>
      <c r="J14396" s="2"/>
      <c r="K14396" s="2"/>
      <c r="L14396" s="2"/>
      <c r="M14396" s="2"/>
      <c r="N14396" s="2"/>
      <c r="O14396" s="2"/>
      <c r="P14396" s="2"/>
      <c r="Q14396" s="2"/>
      <c r="R14396" s="2"/>
      <c r="S14396" s="2"/>
      <c r="T14396" s="2"/>
      <c r="U14396" s="2"/>
      <c r="V14396" s="2"/>
      <c r="W14396" s="2"/>
      <c r="X14396" s="2"/>
      <c r="Y14396" s="2"/>
      <c r="Z14396" s="2"/>
    </row>
    <row r="14397" spans="1:26" ht="16.5" x14ac:dyDescent="0.35">
      <c r="A14397" s="2" t="str">
        <f ca="1">IFERROR(__xludf.DUMMYFUNCTION("""COMPUTED_VALUE"""),"Dubai")</f>
        <v>Dubai</v>
      </c>
      <c r="B14397" s="2" t="str">
        <f ca="1">IFERROR(__xludf.DUMMYFUNCTION("""COMPUTED_VALUE"""),"Azizi Milan 53")</f>
        <v>Azizi Milan 53</v>
      </c>
      <c r="C14397" s="2" t="str">
        <f ca="1">IFERROR(__xludf.DUMMYFUNCTION("""COMPUTED_VALUE"""),"Building")</f>
        <v>Building</v>
      </c>
      <c r="D14397" s="2" t="str">
        <f ca="1">IFERROR(__xludf.DUMMYFUNCTION("""COMPUTED_VALUE"""),"Dubai&gt;City of Arabia&gt;Azizi Milan&gt;Azizi Milan 53")</f>
        <v>Dubai&gt;City of Arabia&gt;Azizi Milan&gt;Azizi Milan 53</v>
      </c>
      <c r="E14397" s="2"/>
      <c r="F14397" s="2"/>
      <c r="G14397" s="2"/>
      <c r="H14397" s="2"/>
      <c r="I14397" s="2"/>
      <c r="J14397" s="2"/>
      <c r="K14397" s="2"/>
      <c r="L14397" s="2"/>
      <c r="M14397" s="2"/>
      <c r="N14397" s="2"/>
      <c r="O14397" s="2"/>
      <c r="P14397" s="2"/>
      <c r="Q14397" s="2"/>
      <c r="R14397" s="2"/>
      <c r="S14397" s="2"/>
      <c r="T14397" s="2"/>
      <c r="U14397" s="2"/>
      <c r="V14397" s="2"/>
      <c r="W14397" s="2"/>
      <c r="X14397" s="2"/>
      <c r="Y14397" s="2"/>
      <c r="Z14397" s="2"/>
    </row>
    <row r="14398" spans="1:26" ht="16.5" x14ac:dyDescent="0.35">
      <c r="A14398" s="2" t="str">
        <f ca="1">IFERROR(__xludf.DUMMYFUNCTION("""COMPUTED_VALUE"""),"Dubai")</f>
        <v>Dubai</v>
      </c>
      <c r="B14398" s="2" t="str">
        <f ca="1">IFERROR(__xludf.DUMMYFUNCTION("""COMPUTED_VALUE"""),"Al Bada'a Building")</f>
        <v>Al Bada'a Building</v>
      </c>
      <c r="C14398" s="2" t="str">
        <f ca="1">IFERROR(__xludf.DUMMYFUNCTION("""COMPUTED_VALUE"""),"Building")</f>
        <v>Building</v>
      </c>
      <c r="D14398" s="2" t="str">
        <f ca="1">IFERROR(__xludf.DUMMYFUNCTION("""COMPUTED_VALUE"""),"Dubai&gt;Al Badaa&gt;Al Bada'a Building")</f>
        <v>Dubai&gt;Al Badaa&gt;Al Bada'a Building</v>
      </c>
      <c r="E14398" s="2"/>
      <c r="F14398" s="2"/>
      <c r="G14398" s="2"/>
      <c r="H14398" s="2"/>
      <c r="I14398" s="2"/>
      <c r="J14398" s="2"/>
      <c r="K14398" s="2"/>
      <c r="L14398" s="2"/>
      <c r="M14398" s="2"/>
      <c r="N14398" s="2"/>
      <c r="O14398" s="2"/>
      <c r="P14398" s="2"/>
      <c r="Q14398" s="2"/>
      <c r="R14398" s="2"/>
      <c r="S14398" s="2"/>
      <c r="T14398" s="2"/>
      <c r="U14398" s="2"/>
      <c r="V14398" s="2"/>
      <c r="W14398" s="2"/>
      <c r="X14398" s="2"/>
      <c r="Y14398" s="2"/>
      <c r="Z14398" s="2"/>
    </row>
    <row r="14399" spans="1:26" ht="16.5" x14ac:dyDescent="0.35">
      <c r="A14399" s="2" t="str">
        <f ca="1">IFERROR(__xludf.DUMMYFUNCTION("""COMPUTED_VALUE"""),"Dubai")</f>
        <v>Dubai</v>
      </c>
      <c r="B14399" s="2" t="str">
        <f ca="1">IFERROR(__xludf.DUMMYFUNCTION("""COMPUTED_VALUE"""),"Al Bada Building B")</f>
        <v>Al Bada Building B</v>
      </c>
      <c r="C14399" s="2" t="str">
        <f ca="1">IFERROR(__xludf.DUMMYFUNCTION("""COMPUTED_VALUE"""),"Building")</f>
        <v>Building</v>
      </c>
      <c r="D14399" s="2" t="str">
        <f ca="1">IFERROR(__xludf.DUMMYFUNCTION("""COMPUTED_VALUE"""),"Dubai&gt;Al Badaa&gt;Al Bada Building B")</f>
        <v>Dubai&gt;Al Badaa&gt;Al Bada Building B</v>
      </c>
      <c r="E14399" s="2"/>
      <c r="F14399" s="2"/>
      <c r="G14399" s="2"/>
      <c r="H14399" s="2"/>
      <c r="I14399" s="2"/>
      <c r="J14399" s="2"/>
      <c r="K14399" s="2"/>
      <c r="L14399" s="2"/>
      <c r="M14399" s="2"/>
      <c r="N14399" s="2"/>
      <c r="O14399" s="2"/>
      <c r="P14399" s="2"/>
      <c r="Q14399" s="2"/>
      <c r="R14399" s="2"/>
      <c r="S14399" s="2"/>
      <c r="T14399" s="2"/>
      <c r="U14399" s="2"/>
      <c r="V14399" s="2"/>
      <c r="W14399" s="2"/>
      <c r="X14399" s="2"/>
      <c r="Y14399" s="2"/>
      <c r="Z14399" s="2"/>
    </row>
    <row r="14400" spans="1:26" ht="16.5" x14ac:dyDescent="0.35">
      <c r="A14400" s="2" t="str">
        <f ca="1">IFERROR(__xludf.DUMMYFUNCTION("""COMPUTED_VALUE"""),"Dubai")</f>
        <v>Dubai</v>
      </c>
      <c r="B14400" s="2" t="str">
        <f ca="1">IFERROR(__xludf.DUMMYFUNCTION("""COMPUTED_VALUE"""),"Manara 2")</f>
        <v>Manara 2</v>
      </c>
      <c r="C14400" s="2" t="str">
        <f ca="1">IFERROR(__xludf.DUMMYFUNCTION("""COMPUTED_VALUE"""),"Building")</f>
        <v>Building</v>
      </c>
      <c r="D14400" s="2" t="str">
        <f ca="1">IFERROR(__xludf.DUMMYFUNCTION("""COMPUTED_VALUE"""),"Dubai&gt;Dubai Waterfront&gt;Badrah&gt;Manara&gt;Manara 2")</f>
        <v>Dubai&gt;Dubai Waterfront&gt;Badrah&gt;Manara&gt;Manara 2</v>
      </c>
      <c r="E14400" s="2"/>
      <c r="F14400" s="2"/>
      <c r="G14400" s="2"/>
      <c r="H14400" s="2"/>
      <c r="I14400" s="2"/>
      <c r="J14400" s="2"/>
      <c r="K14400" s="2"/>
      <c r="L14400" s="2"/>
      <c r="M14400" s="2"/>
      <c r="N14400" s="2"/>
      <c r="O14400" s="2"/>
      <c r="P14400" s="2"/>
      <c r="Q14400" s="2"/>
      <c r="R14400" s="2"/>
      <c r="S14400" s="2"/>
      <c r="T14400" s="2"/>
      <c r="U14400" s="2"/>
      <c r="V14400" s="2"/>
      <c r="W14400" s="2"/>
      <c r="X14400" s="2"/>
      <c r="Y14400" s="2"/>
      <c r="Z14400" s="2"/>
    </row>
    <row r="14401" spans="1:26" ht="16.5" x14ac:dyDescent="0.35">
      <c r="A14401" s="2" t="str">
        <f ca="1">IFERROR(__xludf.DUMMYFUNCTION("""COMPUTED_VALUE"""),"Dubai")</f>
        <v>Dubai</v>
      </c>
      <c r="B14401" s="2" t="str">
        <f ca="1">IFERROR(__xludf.DUMMYFUNCTION("""COMPUTED_VALUE"""),"Building 5")</f>
        <v>Building 5</v>
      </c>
      <c r="C14401" s="2" t="str">
        <f ca="1">IFERROR(__xludf.DUMMYFUNCTION("""COMPUTED_VALUE"""),"Building")</f>
        <v>Building</v>
      </c>
      <c r="D14401" s="2" t="str">
        <f ca="1">IFERROR(__xludf.DUMMYFUNCTION("""COMPUTED_VALUE"""),"Dubai&gt;Academic City&gt;Dubai Outsource City&gt;Building 5")</f>
        <v>Dubai&gt;Academic City&gt;Dubai Outsource City&gt;Building 5</v>
      </c>
      <c r="E14401" s="2"/>
      <c r="F14401" s="2"/>
      <c r="G14401" s="2"/>
      <c r="H14401" s="2"/>
      <c r="I14401" s="2"/>
      <c r="J14401" s="2"/>
      <c r="K14401" s="2"/>
      <c r="L14401" s="2"/>
      <c r="M14401" s="2"/>
      <c r="N14401" s="2"/>
      <c r="O14401" s="2"/>
      <c r="P14401" s="2"/>
      <c r="Q14401" s="2"/>
      <c r="R14401" s="2"/>
      <c r="S14401" s="2"/>
      <c r="T14401" s="2"/>
      <c r="U14401" s="2"/>
      <c r="V14401" s="2"/>
      <c r="W14401" s="2"/>
      <c r="X14401" s="2"/>
      <c r="Y14401" s="2"/>
      <c r="Z14401" s="2"/>
    </row>
    <row r="14402" spans="1:26" ht="16.5" x14ac:dyDescent="0.35">
      <c r="A14402" s="2" t="str">
        <f ca="1">IFERROR(__xludf.DUMMYFUNCTION("""COMPUTED_VALUE"""),"Dubai")</f>
        <v>Dubai</v>
      </c>
      <c r="B14402" s="2" t="str">
        <f ca="1">IFERROR(__xludf.DUMMYFUNCTION("""COMPUTED_VALUE"""),"Design Quarter Office Building B1")</f>
        <v>Design Quarter Office Building B1</v>
      </c>
      <c r="C14402" s="2" t="str">
        <f ca="1">IFERROR(__xludf.DUMMYFUNCTION("""COMPUTED_VALUE"""),"Building")</f>
        <v>Building</v>
      </c>
      <c r="D14402" s="2" t="str">
        <f ca="1">IFERROR(__xludf.DUMMYFUNCTION("""COMPUTED_VALUE"""),"Dubai&gt;Dubai Design District&gt;Design Quarter&gt;Design Quarter Office Building B1")</f>
        <v>Dubai&gt;Dubai Design District&gt;Design Quarter&gt;Design Quarter Office Building B1</v>
      </c>
      <c r="E14402" s="2"/>
      <c r="F14402" s="2"/>
      <c r="G14402" s="2"/>
      <c r="H14402" s="2"/>
      <c r="I14402" s="2"/>
      <c r="J14402" s="2"/>
      <c r="K14402" s="2"/>
      <c r="L14402" s="2"/>
      <c r="M14402" s="2"/>
      <c r="N14402" s="2"/>
      <c r="O14402" s="2"/>
      <c r="P14402" s="2"/>
      <c r="Q14402" s="2"/>
      <c r="R14402" s="2"/>
      <c r="S14402" s="2"/>
      <c r="T14402" s="2"/>
      <c r="U14402" s="2"/>
      <c r="V14402" s="2"/>
      <c r="W14402" s="2"/>
      <c r="X14402" s="2"/>
      <c r="Y14402" s="2"/>
      <c r="Z14402" s="2"/>
    </row>
    <row r="14403" spans="1:26" ht="16.5" x14ac:dyDescent="0.35">
      <c r="A14403" s="2" t="str">
        <f ca="1">IFERROR(__xludf.DUMMYFUNCTION("""COMPUTED_VALUE"""),"Dubai")</f>
        <v>Dubai</v>
      </c>
      <c r="B14403" s="2" t="str">
        <f ca="1">IFERROR(__xludf.DUMMYFUNCTION("""COMPUTED_VALUE"""),"Nasser Khamis Blocks")</f>
        <v>Nasser Khamis Blocks</v>
      </c>
      <c r="C14403" s="2" t="str">
        <f ca="1">IFERROR(__xludf.DUMMYFUNCTION("""COMPUTED_VALUE"""),"Cluster")</f>
        <v>Cluster</v>
      </c>
      <c r="D14403" s="2" t="str">
        <f ca="1">IFERROR(__xludf.DUMMYFUNCTION("""COMPUTED_VALUE"""),"Dubai&gt;Al Hudaiba&gt;Nasser Khamis Blocks")</f>
        <v>Dubai&gt;Al Hudaiba&gt;Nasser Khamis Blocks</v>
      </c>
      <c r="E14403" s="2"/>
      <c r="F14403" s="2"/>
      <c r="G14403" s="2"/>
      <c r="H14403" s="2"/>
      <c r="I14403" s="2"/>
      <c r="J14403" s="2"/>
      <c r="K14403" s="2"/>
      <c r="L14403" s="2"/>
      <c r="M14403" s="2"/>
      <c r="N14403" s="2"/>
      <c r="O14403" s="2"/>
      <c r="P14403" s="2"/>
      <c r="Q14403" s="2"/>
      <c r="R14403" s="2"/>
      <c r="S14403" s="2"/>
      <c r="T14403" s="2"/>
      <c r="U14403" s="2"/>
      <c r="V14403" s="2"/>
      <c r="W14403" s="2"/>
      <c r="X14403" s="2"/>
      <c r="Y14403" s="2"/>
      <c r="Z14403" s="2"/>
    </row>
    <row r="14404" spans="1:26" ht="16.5" x14ac:dyDescent="0.35">
      <c r="A14404" s="2" t="str">
        <f ca="1">IFERROR(__xludf.DUMMYFUNCTION("""COMPUTED_VALUE"""),"Dubai")</f>
        <v>Dubai</v>
      </c>
      <c r="B14404" s="2" t="str">
        <f ca="1">IFERROR(__xludf.DUMMYFUNCTION("""COMPUTED_VALUE"""),"The One")</f>
        <v>The One</v>
      </c>
      <c r="C14404" s="2" t="str">
        <f ca="1">IFERROR(__xludf.DUMMYFUNCTION("""COMPUTED_VALUE"""),"Building")</f>
        <v>Building</v>
      </c>
      <c r="D14404" s="2" t="str">
        <f ca="1">IFERROR(__xludf.DUMMYFUNCTION("""COMPUTED_VALUE"""),"Dubai&gt;Jumeirah&gt;Jumeirah 1&gt;The One")</f>
        <v>Dubai&gt;Jumeirah&gt;Jumeirah 1&gt;The One</v>
      </c>
      <c r="E14404" s="2"/>
      <c r="F14404" s="2"/>
      <c r="G14404" s="2"/>
      <c r="H14404" s="2"/>
      <c r="I14404" s="2"/>
      <c r="J14404" s="2"/>
      <c r="K14404" s="2"/>
      <c r="L14404" s="2"/>
      <c r="M14404" s="2"/>
      <c r="N14404" s="2"/>
      <c r="O14404" s="2"/>
      <c r="P14404" s="2"/>
      <c r="Q14404" s="2"/>
      <c r="R14404" s="2"/>
      <c r="S14404" s="2"/>
      <c r="T14404" s="2"/>
      <c r="U14404" s="2"/>
      <c r="V14404" s="2"/>
      <c r="W14404" s="2"/>
      <c r="X14404" s="2"/>
      <c r="Y14404" s="2"/>
      <c r="Z14404" s="2"/>
    </row>
    <row r="14405" spans="1:26" ht="16.5" x14ac:dyDescent="0.35">
      <c r="A14405" s="2" t="str">
        <f ca="1">IFERROR(__xludf.DUMMYFUNCTION("""COMPUTED_VALUE"""),"Dubai")</f>
        <v>Dubai</v>
      </c>
      <c r="B14405" s="2" t="str">
        <f ca="1">IFERROR(__xludf.DUMMYFUNCTION("""COMPUTED_VALUE"""),"Bulgari Residence 3")</f>
        <v>Bulgari Residence 3</v>
      </c>
      <c r="C14405" s="2" t="str">
        <f ca="1">IFERROR(__xludf.DUMMYFUNCTION("""COMPUTED_VALUE"""),"Building")</f>
        <v>Building</v>
      </c>
      <c r="D14405" s="2" t="str">
        <f ca="1">IFERROR(__xludf.DUMMYFUNCTION("""COMPUTED_VALUE"""),"Dubai&gt;Jumeirah&gt;Jumeirah Bay Islands&gt;Bulgari Residences&gt;Bulgari Residence 3")</f>
        <v>Dubai&gt;Jumeirah&gt;Jumeirah Bay Islands&gt;Bulgari Residences&gt;Bulgari Residence 3</v>
      </c>
      <c r="E14405" s="2"/>
      <c r="F14405" s="2"/>
      <c r="G14405" s="2"/>
      <c r="H14405" s="2"/>
      <c r="I14405" s="2"/>
      <c r="J14405" s="2"/>
      <c r="K14405" s="2"/>
      <c r="L14405" s="2"/>
      <c r="M14405" s="2"/>
      <c r="N14405" s="2"/>
      <c r="O14405" s="2"/>
      <c r="P14405" s="2"/>
      <c r="Q14405" s="2"/>
      <c r="R14405" s="2"/>
      <c r="S14405" s="2"/>
      <c r="T14405" s="2"/>
      <c r="U14405" s="2"/>
      <c r="V14405" s="2"/>
      <c r="W14405" s="2"/>
      <c r="X14405" s="2"/>
      <c r="Y14405" s="2"/>
      <c r="Z14405" s="2"/>
    </row>
    <row r="14406" spans="1:26" ht="16.5" x14ac:dyDescent="0.35">
      <c r="A14406" s="2" t="str">
        <f ca="1">IFERROR(__xludf.DUMMYFUNCTION("""COMPUTED_VALUE"""),"Dubai")</f>
        <v>Dubai</v>
      </c>
      <c r="B14406" s="2" t="str">
        <f ca="1">IFERROR(__xludf.DUMMYFUNCTION("""COMPUTED_VALUE"""),"La Voile 2")</f>
        <v>La Voile 2</v>
      </c>
      <c r="C14406" s="2" t="str">
        <f ca="1">IFERROR(__xludf.DUMMYFUNCTION("""COMPUTED_VALUE"""),"Building")</f>
        <v>Building</v>
      </c>
      <c r="D14406" s="2" t="str">
        <f ca="1">IFERROR(__xludf.DUMMYFUNCTION("""COMPUTED_VALUE"""),"Dubai&gt;Jumeirah&gt;La Mer&gt;Port de La Mer&gt;La Voile&gt;La Voile 2")</f>
        <v>Dubai&gt;Jumeirah&gt;La Mer&gt;Port de La Mer&gt;La Voile&gt;La Voile 2</v>
      </c>
      <c r="E14406" s="2"/>
      <c r="F14406" s="2"/>
      <c r="G14406" s="2"/>
      <c r="H14406" s="2"/>
      <c r="I14406" s="2"/>
      <c r="J14406" s="2"/>
      <c r="K14406" s="2"/>
      <c r="L14406" s="2"/>
      <c r="M14406" s="2"/>
      <c r="N14406" s="2"/>
      <c r="O14406" s="2"/>
      <c r="P14406" s="2"/>
      <c r="Q14406" s="2"/>
      <c r="R14406" s="2"/>
      <c r="S14406" s="2"/>
      <c r="T14406" s="2"/>
      <c r="U14406" s="2"/>
      <c r="V14406" s="2"/>
      <c r="W14406" s="2"/>
      <c r="X14406" s="2"/>
      <c r="Y14406" s="2"/>
      <c r="Z14406" s="2"/>
    </row>
    <row r="14407" spans="1:26" ht="16.5" x14ac:dyDescent="0.35">
      <c r="A14407" s="2" t="str">
        <f ca="1">IFERROR(__xludf.DUMMYFUNCTION("""COMPUTED_VALUE"""),"Dubai")</f>
        <v>Dubai</v>
      </c>
      <c r="B14407" s="2" t="str">
        <f ca="1">IFERROR(__xludf.DUMMYFUNCTION("""COMPUTED_VALUE"""),"Harrisoni La Mer")</f>
        <v>Harrisoni La Mer</v>
      </c>
      <c r="C14407" s="2" t="str">
        <f ca="1">IFERROR(__xludf.DUMMYFUNCTION("""COMPUTED_VALUE"""),"Neighbourhood")</f>
        <v>Neighbourhood</v>
      </c>
      <c r="D14407" s="2" t="str">
        <f ca="1">IFERROR(__xludf.DUMMYFUNCTION("""COMPUTED_VALUE"""),"Dubai&gt;Jumeirah&gt;La Mer&gt;La Mer Maisons&gt;Harrisoni La Mer")</f>
        <v>Dubai&gt;Jumeirah&gt;La Mer&gt;La Mer Maisons&gt;Harrisoni La Mer</v>
      </c>
      <c r="E14407" s="2"/>
      <c r="F14407" s="2"/>
      <c r="G14407" s="2"/>
      <c r="H14407" s="2"/>
      <c r="I14407" s="2"/>
      <c r="J14407" s="2"/>
      <c r="K14407" s="2"/>
      <c r="L14407" s="2"/>
      <c r="M14407" s="2"/>
      <c r="N14407" s="2"/>
      <c r="O14407" s="2"/>
      <c r="P14407" s="2"/>
      <c r="Q14407" s="2"/>
      <c r="R14407" s="2"/>
      <c r="S14407" s="2"/>
      <c r="T14407" s="2"/>
      <c r="U14407" s="2"/>
      <c r="V14407" s="2"/>
      <c r="W14407" s="2"/>
      <c r="X14407" s="2"/>
      <c r="Y14407" s="2"/>
      <c r="Z14407" s="2"/>
    </row>
    <row r="14408" spans="1:26" ht="16.5" x14ac:dyDescent="0.35">
      <c r="A14408" s="2" t="str">
        <f ca="1">IFERROR(__xludf.DUMMYFUNCTION("""COMPUTED_VALUE"""),"Dubai")</f>
        <v>Dubai</v>
      </c>
      <c r="B14408" s="2" t="str">
        <f ca="1">IFERROR(__xludf.DUMMYFUNCTION("""COMPUTED_VALUE"""),"Creek Rise 1 Tower")</f>
        <v>Creek Rise 1 Tower</v>
      </c>
      <c r="C14408" s="2" t="str">
        <f ca="1">IFERROR(__xludf.DUMMYFUNCTION("""COMPUTED_VALUE"""),"Building")</f>
        <v>Building</v>
      </c>
      <c r="D14408" s="2" t="str">
        <f ca="1">IFERROR(__xludf.DUMMYFUNCTION("""COMPUTED_VALUE"""),"Dubai&gt;Dubai Creek Harbour&gt;Creek Rise&gt;Creek Rise 1 Tower")</f>
        <v>Dubai&gt;Dubai Creek Harbour&gt;Creek Rise&gt;Creek Rise 1 Tower</v>
      </c>
      <c r="E14408" s="2"/>
      <c r="F14408" s="2"/>
      <c r="G14408" s="2"/>
      <c r="H14408" s="2"/>
      <c r="I14408" s="2"/>
      <c r="J14408" s="2"/>
      <c r="K14408" s="2"/>
      <c r="L14408" s="2"/>
      <c r="M14408" s="2"/>
      <c r="N14408" s="2"/>
      <c r="O14408" s="2"/>
      <c r="P14408" s="2"/>
      <c r="Q14408" s="2"/>
      <c r="R14408" s="2"/>
      <c r="S14408" s="2"/>
      <c r="T14408" s="2"/>
      <c r="U14408" s="2"/>
      <c r="V14408" s="2"/>
      <c r="W14408" s="2"/>
      <c r="X14408" s="2"/>
      <c r="Y14408" s="2"/>
      <c r="Z14408" s="2"/>
    </row>
    <row r="14409" spans="1:26" ht="16.5" x14ac:dyDescent="0.35">
      <c r="A14409" s="2" t="str">
        <f ca="1">IFERROR(__xludf.DUMMYFUNCTION("""COMPUTED_VALUE"""),"Dubai")</f>
        <v>Dubai</v>
      </c>
      <c r="B14409" s="2" t="str">
        <f ca="1">IFERROR(__xludf.DUMMYFUNCTION("""COMPUTED_VALUE"""),"Summer 4")</f>
        <v>Summer 4</v>
      </c>
      <c r="C14409" s="2" t="str">
        <f ca="1">IFERROR(__xludf.DUMMYFUNCTION("""COMPUTED_VALUE"""),"Building")</f>
        <v>Building</v>
      </c>
      <c r="D14409" s="2" t="str">
        <f ca="1">IFERROR(__xludf.DUMMYFUNCTION("""COMPUTED_VALUE"""),"Dubai&gt;Dubai Creek Harbour&gt;Summer at Creek Beach&gt;Summer 4")</f>
        <v>Dubai&gt;Dubai Creek Harbour&gt;Summer at Creek Beach&gt;Summer 4</v>
      </c>
      <c r="E14409" s="2"/>
      <c r="F14409" s="2"/>
      <c r="G14409" s="2"/>
      <c r="H14409" s="2"/>
      <c r="I14409" s="2"/>
      <c r="J14409" s="2"/>
      <c r="K14409" s="2"/>
      <c r="L14409" s="2"/>
      <c r="M14409" s="2"/>
      <c r="N14409" s="2"/>
      <c r="O14409" s="2"/>
      <c r="P14409" s="2"/>
      <c r="Q14409" s="2"/>
      <c r="R14409" s="2"/>
      <c r="S14409" s="2"/>
      <c r="T14409" s="2"/>
      <c r="U14409" s="2"/>
      <c r="V14409" s="2"/>
      <c r="W14409" s="2"/>
      <c r="X14409" s="2"/>
      <c r="Y14409" s="2"/>
      <c r="Z14409" s="2"/>
    </row>
    <row r="14410" spans="1:26" ht="16.5" x14ac:dyDescent="0.35">
      <c r="A14410" s="2" t="str">
        <f ca="1">IFERROR(__xludf.DUMMYFUNCTION("""COMPUTED_VALUE"""),"Dubai")</f>
        <v>Dubai</v>
      </c>
      <c r="B14410" s="2" t="str">
        <f ca="1">IFERROR(__xludf.DUMMYFUNCTION("""COMPUTED_VALUE"""),"Dubai Creek Residence Tower 2 North")</f>
        <v>Dubai Creek Residence Tower 2 North</v>
      </c>
      <c r="C14410" s="2" t="str">
        <f ca="1">IFERROR(__xludf.DUMMYFUNCTION("""COMPUTED_VALUE"""),"Building")</f>
        <v>Building</v>
      </c>
      <c r="D14410" s="2" t="str">
        <f ca="1">IFERROR(__xludf.DUMMYFUNCTION("""COMPUTED_VALUE"""),"Dubai&gt;Dubai Creek Harbour&gt;Dubai Creek Residences&gt;Dubai Creek Residence Tower 2 North")</f>
        <v>Dubai&gt;Dubai Creek Harbour&gt;Dubai Creek Residences&gt;Dubai Creek Residence Tower 2 North</v>
      </c>
      <c r="E14410" s="2"/>
      <c r="F14410" s="2"/>
      <c r="G14410" s="2"/>
      <c r="H14410" s="2"/>
      <c r="I14410" s="2"/>
      <c r="J14410" s="2"/>
      <c r="K14410" s="2"/>
      <c r="L14410" s="2"/>
      <c r="M14410" s="2"/>
      <c r="N14410" s="2"/>
      <c r="O14410" s="2"/>
      <c r="P14410" s="2"/>
      <c r="Q14410" s="2"/>
      <c r="R14410" s="2"/>
      <c r="S14410" s="2"/>
      <c r="T14410" s="2"/>
      <c r="U14410" s="2"/>
      <c r="V14410" s="2"/>
      <c r="W14410" s="2"/>
      <c r="X14410" s="2"/>
      <c r="Y14410" s="2"/>
      <c r="Z14410" s="2"/>
    </row>
    <row r="14411" spans="1:26" ht="16.5" x14ac:dyDescent="0.35">
      <c r="A14411" s="2" t="str">
        <f ca="1">IFERROR(__xludf.DUMMYFUNCTION("""COMPUTED_VALUE"""),"Dubai")</f>
        <v>Dubai</v>
      </c>
      <c r="B14411" s="2" t="str">
        <f ca="1">IFERROR(__xludf.DUMMYFUNCTION("""COMPUTED_VALUE"""),"Mangrove Building 2")</f>
        <v>Mangrove Building 2</v>
      </c>
      <c r="C14411" s="2" t="str">
        <f ca="1">IFERROR(__xludf.DUMMYFUNCTION("""COMPUTED_VALUE"""),"Building")</f>
        <v>Building</v>
      </c>
      <c r="D14411" s="2" t="str">
        <f ca="1">IFERROR(__xludf.DUMMYFUNCTION("""COMPUTED_VALUE"""),"Dubai&gt;Dubai Creek Harbour&gt;Mangrove at Creek Beach&gt;Mangrove Building 2")</f>
        <v>Dubai&gt;Dubai Creek Harbour&gt;Mangrove at Creek Beach&gt;Mangrove Building 2</v>
      </c>
      <c r="E14411" s="2"/>
      <c r="F14411" s="2"/>
      <c r="G14411" s="2"/>
      <c r="H14411" s="2"/>
      <c r="I14411" s="2"/>
      <c r="J14411" s="2"/>
      <c r="K14411" s="2"/>
      <c r="L14411" s="2"/>
      <c r="M14411" s="2"/>
      <c r="N14411" s="2"/>
      <c r="O14411" s="2"/>
      <c r="P14411" s="2"/>
      <c r="Q14411" s="2"/>
      <c r="R14411" s="2"/>
      <c r="S14411" s="2"/>
      <c r="T14411" s="2"/>
      <c r="U14411" s="2"/>
      <c r="V14411" s="2"/>
      <c r="W14411" s="2"/>
      <c r="X14411" s="2"/>
      <c r="Y14411" s="2"/>
      <c r="Z14411" s="2"/>
    </row>
    <row r="14412" spans="1:26" ht="16.5" x14ac:dyDescent="0.35">
      <c r="A14412" s="2" t="str">
        <f ca="1">IFERROR(__xludf.DUMMYFUNCTION("""COMPUTED_VALUE"""),"Dubai")</f>
        <v>Dubai</v>
      </c>
      <c r="B14412" s="2" t="str">
        <f ca="1">IFERROR(__xludf.DUMMYFUNCTION("""COMPUTED_VALUE"""),"Hacienda")</f>
        <v>Hacienda</v>
      </c>
      <c r="C14412" s="2" t="str">
        <f ca="1">IFERROR(__xludf.DUMMYFUNCTION("""COMPUTED_VALUE"""),"Neighbourhood")</f>
        <v>Neighbourhood</v>
      </c>
      <c r="D14412" s="2" t="str">
        <f ca="1">IFERROR(__xludf.DUMMYFUNCTION("""COMPUTED_VALUE"""),"Dubai&gt;The Villa&gt;Hacienda")</f>
        <v>Dubai&gt;The Villa&gt;Hacienda</v>
      </c>
      <c r="E14412" s="2"/>
      <c r="F14412" s="2"/>
      <c r="G14412" s="2"/>
      <c r="H14412" s="2"/>
      <c r="I14412" s="2"/>
      <c r="J14412" s="2"/>
      <c r="K14412" s="2"/>
      <c r="L14412" s="2"/>
      <c r="M14412" s="2"/>
      <c r="N14412" s="2"/>
      <c r="O14412" s="2"/>
      <c r="P14412" s="2"/>
      <c r="Q14412" s="2"/>
      <c r="R14412" s="2"/>
      <c r="S14412" s="2"/>
      <c r="T14412" s="2"/>
      <c r="U14412" s="2"/>
      <c r="V14412" s="2"/>
      <c r="W14412" s="2"/>
      <c r="X14412" s="2"/>
      <c r="Y14412" s="2"/>
      <c r="Z14412" s="2"/>
    </row>
    <row r="14413" spans="1:26" ht="16.5" x14ac:dyDescent="0.35">
      <c r="A14413" s="2" t="str">
        <f ca="1">IFERROR(__xludf.DUMMYFUNCTION("""COMPUTED_VALUE"""),"Dubai")</f>
        <v>Dubai</v>
      </c>
      <c r="B14413" s="2" t="str">
        <f ca="1">IFERROR(__xludf.DUMMYFUNCTION("""COMPUTED_VALUE"""),"Oak Time Residence")</f>
        <v>Oak Time Residence</v>
      </c>
      <c r="C14413" s="2" t="str">
        <f ca="1">IFERROR(__xludf.DUMMYFUNCTION("""COMPUTED_VALUE"""),"Building")</f>
        <v>Building</v>
      </c>
      <c r="D14413" s="2" t="str">
        <f ca="1">IFERROR(__xludf.DUMMYFUNCTION("""COMPUTED_VALUE"""),"Dubai&gt;Barsha Heights (Tecom)&gt;Oak Time Residence")</f>
        <v>Dubai&gt;Barsha Heights (Tecom)&gt;Oak Time Residence</v>
      </c>
      <c r="E14413" s="2"/>
      <c r="F14413" s="2"/>
      <c r="G14413" s="2"/>
      <c r="H14413" s="2"/>
      <c r="I14413" s="2"/>
      <c r="J14413" s="2"/>
      <c r="K14413" s="2"/>
      <c r="L14413" s="2"/>
      <c r="M14413" s="2"/>
      <c r="N14413" s="2"/>
      <c r="O14413" s="2"/>
      <c r="P14413" s="2"/>
      <c r="Q14413" s="2"/>
      <c r="R14413" s="2"/>
      <c r="S14413" s="2"/>
      <c r="T14413" s="2"/>
      <c r="U14413" s="2"/>
      <c r="V14413" s="2"/>
      <c r="W14413" s="2"/>
      <c r="X14413" s="2"/>
      <c r="Y14413" s="2"/>
      <c r="Z14413" s="2"/>
    </row>
    <row r="14414" spans="1:26" ht="16.5" x14ac:dyDescent="0.35">
      <c r="A14414" s="2" t="str">
        <f ca="1">IFERROR(__xludf.DUMMYFUNCTION("""COMPUTED_VALUE"""),"Dubai")</f>
        <v>Dubai</v>
      </c>
      <c r="B14414" s="2" t="str">
        <f ca="1">IFERROR(__xludf.DUMMYFUNCTION("""COMPUTED_VALUE"""),"Sheikha Noora Tower")</f>
        <v>Sheikha Noora Tower</v>
      </c>
      <c r="C14414" s="2" t="str">
        <f ca="1">IFERROR(__xludf.DUMMYFUNCTION("""COMPUTED_VALUE"""),"Building")</f>
        <v>Building</v>
      </c>
      <c r="D14414" s="2" t="str">
        <f ca="1">IFERROR(__xludf.DUMMYFUNCTION("""COMPUTED_VALUE"""),"Dubai&gt;Barsha Heights (Tecom)&gt;Sheikha Noora Tower")</f>
        <v>Dubai&gt;Barsha Heights (Tecom)&gt;Sheikha Noora Tower</v>
      </c>
      <c r="E14414" s="2"/>
      <c r="F14414" s="2"/>
      <c r="G14414" s="2"/>
      <c r="H14414" s="2"/>
      <c r="I14414" s="2"/>
      <c r="J14414" s="2"/>
      <c r="K14414" s="2"/>
      <c r="L14414" s="2"/>
      <c r="M14414" s="2"/>
      <c r="N14414" s="2"/>
      <c r="O14414" s="2"/>
      <c r="P14414" s="2"/>
      <c r="Q14414" s="2"/>
      <c r="R14414" s="2"/>
      <c r="S14414" s="2"/>
      <c r="T14414" s="2"/>
      <c r="U14414" s="2"/>
      <c r="V14414" s="2"/>
      <c r="W14414" s="2"/>
      <c r="X14414" s="2"/>
      <c r="Y14414" s="2"/>
      <c r="Z14414" s="2"/>
    </row>
    <row r="14415" spans="1:26" ht="16.5" x14ac:dyDescent="0.35">
      <c r="A14415" s="2" t="str">
        <f ca="1">IFERROR(__xludf.DUMMYFUNCTION("""COMPUTED_VALUE"""),"Dubai")</f>
        <v>Dubai</v>
      </c>
      <c r="B14415" s="2" t="str">
        <f ca="1">IFERROR(__xludf.DUMMYFUNCTION("""COMPUTED_VALUE"""),"Euro Residence")</f>
        <v>Euro Residence</v>
      </c>
      <c r="C14415" s="2" t="str">
        <f ca="1">IFERROR(__xludf.DUMMYFUNCTION("""COMPUTED_VALUE"""),"Building")</f>
        <v>Building</v>
      </c>
      <c r="D14415" s="2" t="str">
        <f ca="1">IFERROR(__xludf.DUMMYFUNCTION("""COMPUTED_VALUE"""),"Dubai&gt;Barsha Heights (Tecom)&gt;Euro Residence")</f>
        <v>Dubai&gt;Barsha Heights (Tecom)&gt;Euro Residence</v>
      </c>
      <c r="E14415" s="2"/>
      <c r="F14415" s="2"/>
      <c r="G14415" s="2"/>
      <c r="H14415" s="2"/>
      <c r="I14415" s="2"/>
      <c r="J14415" s="2"/>
      <c r="K14415" s="2"/>
      <c r="L14415" s="2"/>
      <c r="M14415" s="2"/>
      <c r="N14415" s="2"/>
      <c r="O14415" s="2"/>
      <c r="P14415" s="2"/>
      <c r="Q14415" s="2"/>
      <c r="R14415" s="2"/>
      <c r="S14415" s="2"/>
      <c r="T14415" s="2"/>
      <c r="U14415" s="2"/>
      <c r="V14415" s="2"/>
      <c r="W14415" s="2"/>
      <c r="X14415" s="2"/>
      <c r="Y14415" s="2"/>
      <c r="Z14415" s="2"/>
    </row>
    <row r="14416" spans="1:26" ht="16.5" x14ac:dyDescent="0.35">
      <c r="A14416" s="2" t="str">
        <f ca="1">IFERROR(__xludf.DUMMYFUNCTION("""COMPUTED_VALUE"""),"Dubai")</f>
        <v>Dubai</v>
      </c>
      <c r="B14416" s="2" t="str">
        <f ca="1">IFERROR(__xludf.DUMMYFUNCTION("""COMPUTED_VALUE"""),"Weston Court 1")</f>
        <v>Weston Court 1</v>
      </c>
      <c r="C14416" s="2" t="str">
        <f ca="1">IFERROR(__xludf.DUMMYFUNCTION("""COMPUTED_VALUE"""),"Building")</f>
        <v>Building</v>
      </c>
      <c r="D14416" s="2" t="str">
        <f ca="1">IFERROR(__xludf.DUMMYFUNCTION("""COMPUTED_VALUE"""),"Dubai&gt;Motor City&gt;Weston Court&gt;Weston Court 1")</f>
        <v>Dubai&gt;Motor City&gt;Weston Court&gt;Weston Court 1</v>
      </c>
      <c r="E14416" s="2"/>
      <c r="F14416" s="2"/>
      <c r="G14416" s="2"/>
      <c r="H14416" s="2"/>
      <c r="I14416" s="2"/>
      <c r="J14416" s="2"/>
      <c r="K14416" s="2"/>
      <c r="L14416" s="2"/>
      <c r="M14416" s="2"/>
      <c r="N14416" s="2"/>
      <c r="O14416" s="2"/>
      <c r="P14416" s="2"/>
      <c r="Q14416" s="2"/>
      <c r="R14416" s="2"/>
      <c r="S14416" s="2"/>
      <c r="T14416" s="2"/>
      <c r="U14416" s="2"/>
      <c r="V14416" s="2"/>
      <c r="W14416" s="2"/>
      <c r="X14416" s="2"/>
      <c r="Y14416" s="2"/>
      <c r="Z14416" s="2"/>
    </row>
    <row r="14417" spans="1:26" ht="16.5" x14ac:dyDescent="0.35">
      <c r="A14417" s="2" t="str">
        <f ca="1">IFERROR(__xludf.DUMMYFUNCTION("""COMPUTED_VALUE"""),"Dubai")</f>
        <v>Dubai</v>
      </c>
      <c r="B14417" s="2" t="str">
        <f ca="1">IFERROR(__xludf.DUMMYFUNCTION("""COMPUTED_VALUE"""),"Jebel Ali Village Nursery Motor City")</f>
        <v>Jebel Ali Village Nursery Motor City</v>
      </c>
      <c r="C14417" s="2" t="str">
        <f ca="1">IFERROR(__xludf.DUMMYFUNCTION("""COMPUTED_VALUE"""),"Nursery")</f>
        <v>Nursery</v>
      </c>
      <c r="D14417" s="2" t="str">
        <f ca="1">IFERROR(__xludf.DUMMYFUNCTION("""COMPUTED_VALUE"""),"Dubai&gt;Motor City&gt;Uptown Motor City&gt;Jebel Ali Village Nursery Motor City")</f>
        <v>Dubai&gt;Motor City&gt;Uptown Motor City&gt;Jebel Ali Village Nursery Motor City</v>
      </c>
      <c r="E14417" s="2"/>
      <c r="F14417" s="2"/>
      <c r="G14417" s="2"/>
      <c r="H14417" s="2"/>
      <c r="I14417" s="2"/>
      <c r="J14417" s="2"/>
      <c r="K14417" s="2"/>
      <c r="L14417" s="2"/>
      <c r="M14417" s="2"/>
      <c r="N14417" s="2"/>
      <c r="O14417" s="2"/>
      <c r="P14417" s="2"/>
      <c r="Q14417" s="2"/>
      <c r="R14417" s="2"/>
      <c r="S14417" s="2"/>
      <c r="T14417" s="2"/>
      <c r="U14417" s="2"/>
      <c r="V14417" s="2"/>
      <c r="W14417" s="2"/>
      <c r="X14417" s="2"/>
      <c r="Y14417" s="2"/>
      <c r="Z14417" s="2"/>
    </row>
    <row r="14418" spans="1:26" ht="16.5" x14ac:dyDescent="0.35">
      <c r="A14418" s="2" t="str">
        <f ca="1">IFERROR(__xludf.DUMMYFUNCTION("""COMPUTED_VALUE"""),"Dubai")</f>
        <v>Dubai</v>
      </c>
      <c r="B14418" s="2" t="str">
        <f ca="1">IFERROR(__xludf.DUMMYFUNCTION("""COMPUTED_VALUE"""),"Marlowe House 1")</f>
        <v>Marlowe House 1</v>
      </c>
      <c r="C14418" s="2" t="str">
        <f ca="1">IFERROR(__xludf.DUMMYFUNCTION("""COMPUTED_VALUE"""),"Building")</f>
        <v>Building</v>
      </c>
      <c r="D14418" s="2" t="str">
        <f ca="1">IFERROR(__xludf.DUMMYFUNCTION("""COMPUTED_VALUE"""),"Dubai&gt;Motor City&gt;Uptown Motor City&gt;Marlowe House&gt;Marlowe House 1")</f>
        <v>Dubai&gt;Motor City&gt;Uptown Motor City&gt;Marlowe House&gt;Marlowe House 1</v>
      </c>
      <c r="E14418" s="2"/>
      <c r="F14418" s="2"/>
      <c r="G14418" s="2"/>
      <c r="H14418" s="2"/>
      <c r="I14418" s="2"/>
      <c r="J14418" s="2"/>
      <c r="K14418" s="2"/>
      <c r="L14418" s="2"/>
      <c r="M14418" s="2"/>
      <c r="N14418" s="2"/>
      <c r="O14418" s="2"/>
      <c r="P14418" s="2"/>
      <c r="Q14418" s="2"/>
      <c r="R14418" s="2"/>
      <c r="S14418" s="2"/>
      <c r="T14418" s="2"/>
      <c r="U14418" s="2"/>
      <c r="V14418" s="2"/>
      <c r="W14418" s="2"/>
      <c r="X14418" s="2"/>
      <c r="Y14418" s="2"/>
      <c r="Z14418" s="2"/>
    </row>
    <row r="14419" spans="1:26" ht="16.5" x14ac:dyDescent="0.35">
      <c r="A14419" s="2" t="str">
        <f ca="1">IFERROR(__xludf.DUMMYFUNCTION("""COMPUTED_VALUE"""),"Dubai")</f>
        <v>Dubai</v>
      </c>
      <c r="B14419" s="2" t="str">
        <f ca="1">IFERROR(__xludf.DUMMYFUNCTION("""COMPUTED_VALUE"""),"Apex Atrium")</f>
        <v>Apex Atrium</v>
      </c>
      <c r="C14419" s="2" t="str">
        <f ca="1">IFERROR(__xludf.DUMMYFUNCTION("""COMPUTED_VALUE"""),"Building")</f>
        <v>Building</v>
      </c>
      <c r="D14419" s="2" t="str">
        <f ca="1">IFERROR(__xludf.DUMMYFUNCTION("""COMPUTED_VALUE"""),"Dubai&gt;Motor City&gt;Apex Atrium")</f>
        <v>Dubai&gt;Motor City&gt;Apex Atrium</v>
      </c>
      <c r="E14419" s="2"/>
      <c r="F14419" s="2"/>
      <c r="G14419" s="2"/>
      <c r="H14419" s="2"/>
      <c r="I14419" s="2"/>
      <c r="J14419" s="2"/>
      <c r="K14419" s="2"/>
      <c r="L14419" s="2"/>
      <c r="M14419" s="2"/>
      <c r="N14419" s="2"/>
      <c r="O14419" s="2"/>
      <c r="P14419" s="2"/>
      <c r="Q14419" s="2"/>
      <c r="R14419" s="2"/>
      <c r="S14419" s="2"/>
      <c r="T14419" s="2"/>
      <c r="U14419" s="2"/>
      <c r="V14419" s="2"/>
      <c r="W14419" s="2"/>
      <c r="X14419" s="2"/>
      <c r="Y14419" s="2"/>
      <c r="Z14419" s="2"/>
    </row>
    <row r="14420" spans="1:26" ht="16.5" x14ac:dyDescent="0.35">
      <c r="A14420" s="2" t="str">
        <f ca="1">IFERROR(__xludf.DUMMYFUNCTION("""COMPUTED_VALUE"""),"Dubai")</f>
        <v>Dubai</v>
      </c>
      <c r="B14420" s="2" t="str">
        <f ca="1">IFERROR(__xludf.DUMMYFUNCTION("""COMPUTED_VALUE"""),"Beverly Grande")</f>
        <v>Beverly Grande</v>
      </c>
      <c r="C14420" s="2" t="str">
        <f ca="1">IFERROR(__xludf.DUMMYFUNCTION("""COMPUTED_VALUE"""),"Building")</f>
        <v>Building</v>
      </c>
      <c r="D14420" s="2" t="str">
        <f ca="1">IFERROR(__xludf.DUMMYFUNCTION("""COMPUTED_VALUE"""),"Dubai&gt;Motor City&gt;Beverly Grande")</f>
        <v>Dubai&gt;Motor City&gt;Beverly Grande</v>
      </c>
      <c r="E14420" s="2"/>
      <c r="F14420" s="2"/>
      <c r="G14420" s="2"/>
      <c r="H14420" s="2"/>
      <c r="I14420" s="2"/>
      <c r="J14420" s="2"/>
      <c r="K14420" s="2"/>
      <c r="L14420" s="2"/>
      <c r="M14420" s="2"/>
      <c r="N14420" s="2"/>
      <c r="O14420" s="2"/>
      <c r="P14420" s="2"/>
      <c r="Q14420" s="2"/>
      <c r="R14420" s="2"/>
      <c r="S14420" s="2"/>
      <c r="T14420" s="2"/>
      <c r="U14420" s="2"/>
      <c r="V14420" s="2"/>
      <c r="W14420" s="2"/>
      <c r="X14420" s="2"/>
      <c r="Y14420" s="2"/>
      <c r="Z14420" s="2"/>
    </row>
    <row r="14421" spans="1:26" ht="16.5" x14ac:dyDescent="0.35">
      <c r="A14421" s="2" t="str">
        <f ca="1">IFERROR(__xludf.DUMMYFUNCTION("""COMPUTED_VALUE"""),"Dubai")</f>
        <v>Dubai</v>
      </c>
      <c r="B14421" s="2" t="str">
        <f ca="1">IFERROR(__xludf.DUMMYFUNCTION("""COMPUTED_VALUE"""),"Al Wahaibi Building")</f>
        <v>Al Wahaibi Building</v>
      </c>
      <c r="C14421" s="2" t="str">
        <f ca="1">IFERROR(__xludf.DUMMYFUNCTION("""COMPUTED_VALUE"""),"Building")</f>
        <v>Building</v>
      </c>
      <c r="D14421" s="2" t="str">
        <f ca="1">IFERROR(__xludf.DUMMYFUNCTION("""COMPUTED_VALUE"""),"Dubai&gt;Al Sufouh&gt;Al Sufouh 1&gt;Al Wahaibi Building")</f>
        <v>Dubai&gt;Al Sufouh&gt;Al Sufouh 1&gt;Al Wahaibi Building</v>
      </c>
      <c r="E14421" s="2"/>
      <c r="F14421" s="2"/>
      <c r="G14421" s="2"/>
      <c r="H14421" s="2"/>
      <c r="I14421" s="2"/>
      <c r="J14421" s="2"/>
      <c r="K14421" s="2"/>
      <c r="L14421" s="2"/>
      <c r="M14421" s="2"/>
      <c r="N14421" s="2"/>
      <c r="O14421" s="2"/>
      <c r="P14421" s="2"/>
      <c r="Q14421" s="2"/>
      <c r="R14421" s="2"/>
      <c r="S14421" s="2"/>
      <c r="T14421" s="2"/>
      <c r="U14421" s="2"/>
      <c r="V14421" s="2"/>
      <c r="W14421" s="2"/>
      <c r="X14421" s="2"/>
      <c r="Y14421" s="2"/>
      <c r="Z14421" s="2"/>
    </row>
    <row r="14422" spans="1:26" ht="16.5" x14ac:dyDescent="0.35">
      <c r="A14422" s="2" t="str">
        <f ca="1">IFERROR(__xludf.DUMMYFUNCTION("""COMPUTED_VALUE"""),"Dubai")</f>
        <v>Dubai</v>
      </c>
      <c r="B14422" s="2" t="str">
        <f ca="1">IFERROR(__xludf.DUMMYFUNCTION("""COMPUTED_VALUE"""),"Boutique Office 3")</f>
        <v>Boutique Office 3</v>
      </c>
      <c r="C14422" s="2" t="str">
        <f ca="1">IFERROR(__xludf.DUMMYFUNCTION("""COMPUTED_VALUE"""),"Building")</f>
        <v>Building</v>
      </c>
      <c r="D14422" s="2" t="str">
        <f ca="1">IFERROR(__xludf.DUMMYFUNCTION("""COMPUTED_VALUE"""),"Dubai&gt;Al Sufouh&gt;Al Sufouh 2&gt;Boutique Offices&gt;Boutique Office 3")</f>
        <v>Dubai&gt;Al Sufouh&gt;Al Sufouh 2&gt;Boutique Offices&gt;Boutique Office 3</v>
      </c>
      <c r="E14422" s="2"/>
      <c r="F14422" s="2"/>
      <c r="G14422" s="2"/>
      <c r="H14422" s="2"/>
      <c r="I14422" s="2"/>
      <c r="J14422" s="2"/>
      <c r="K14422" s="2"/>
      <c r="L14422" s="2"/>
      <c r="M14422" s="2"/>
      <c r="N14422" s="2"/>
      <c r="O14422" s="2"/>
      <c r="P14422" s="2"/>
      <c r="Q14422" s="2"/>
      <c r="R14422" s="2"/>
      <c r="S14422" s="2"/>
      <c r="T14422" s="2"/>
      <c r="U14422" s="2"/>
      <c r="V14422" s="2"/>
      <c r="W14422" s="2"/>
      <c r="X14422" s="2"/>
      <c r="Y14422" s="2"/>
      <c r="Z14422" s="2"/>
    </row>
    <row r="14423" spans="1:26" ht="16.5" x14ac:dyDescent="0.35">
      <c r="A14423" s="2" t="str">
        <f ca="1">IFERROR(__xludf.DUMMYFUNCTION("""COMPUTED_VALUE"""),"Dubai")</f>
        <v>Dubai</v>
      </c>
      <c r="B14423" s="2" t="str">
        <f ca="1">IFERROR(__xludf.DUMMYFUNCTION("""COMPUTED_VALUE"""),"Al Badia Condo 5")</f>
        <v>Al Badia Condo 5</v>
      </c>
      <c r="C14423" s="2" t="str">
        <f ca="1">IFERROR(__xludf.DUMMYFUNCTION("""COMPUTED_VALUE"""),"Building")</f>
        <v>Building</v>
      </c>
      <c r="D14423" s="2" t="str">
        <f ca="1">IFERROR(__xludf.DUMMYFUNCTION("""COMPUTED_VALUE"""),"Dubai&gt;Dubai Festival City&gt;Al Badia Hillside Village&gt;Al Badia Condo 5")</f>
        <v>Dubai&gt;Dubai Festival City&gt;Al Badia Hillside Village&gt;Al Badia Condo 5</v>
      </c>
      <c r="E14423" s="2"/>
      <c r="F14423" s="2"/>
      <c r="G14423" s="2"/>
      <c r="H14423" s="2"/>
      <c r="I14423" s="2"/>
      <c r="J14423" s="2"/>
      <c r="K14423" s="2"/>
      <c r="L14423" s="2"/>
      <c r="M14423" s="2"/>
      <c r="N14423" s="2"/>
      <c r="O14423" s="2"/>
      <c r="P14423" s="2"/>
      <c r="Q14423" s="2"/>
      <c r="R14423" s="2"/>
      <c r="S14423" s="2"/>
      <c r="T14423" s="2"/>
      <c r="U14423" s="2"/>
      <c r="V14423" s="2"/>
      <c r="W14423" s="2"/>
      <c r="X14423" s="2"/>
      <c r="Y14423" s="2"/>
      <c r="Z14423" s="2"/>
    </row>
    <row r="14424" spans="1:26" ht="16.5" x14ac:dyDescent="0.35">
      <c r="A14424" s="2" t="str">
        <f ca="1">IFERROR(__xludf.DUMMYFUNCTION("""COMPUTED_VALUE"""),"Dubai")</f>
        <v>Dubai</v>
      </c>
      <c r="B14424" s="2" t="str">
        <f ca="1">IFERROR(__xludf.DUMMYFUNCTION("""COMPUTED_VALUE"""),"Golf Vista 1")</f>
        <v>Golf Vista 1</v>
      </c>
      <c r="C14424" s="2" t="str">
        <f ca="1">IFERROR(__xludf.DUMMYFUNCTION("""COMPUTED_VALUE"""),"Building")</f>
        <v>Building</v>
      </c>
      <c r="D14424" s="2" t="str">
        <f ca="1">IFERROR(__xludf.DUMMYFUNCTION("""COMPUTED_VALUE"""),"Dubai&gt;DAMAC Hills&gt;Golf Town&gt;Golf Vista&gt;Golf Vista 1")</f>
        <v>Dubai&gt;DAMAC Hills&gt;Golf Town&gt;Golf Vista&gt;Golf Vista 1</v>
      </c>
      <c r="E14424" s="2"/>
      <c r="F14424" s="2"/>
      <c r="G14424" s="2"/>
      <c r="H14424" s="2"/>
      <c r="I14424" s="2"/>
      <c r="J14424" s="2"/>
      <c r="K14424" s="2"/>
      <c r="L14424" s="2"/>
      <c r="M14424" s="2"/>
      <c r="N14424" s="2"/>
      <c r="O14424" s="2"/>
      <c r="P14424" s="2"/>
      <c r="Q14424" s="2"/>
      <c r="R14424" s="2"/>
      <c r="S14424" s="2"/>
      <c r="T14424" s="2"/>
      <c r="U14424" s="2"/>
      <c r="V14424" s="2"/>
      <c r="W14424" s="2"/>
      <c r="X14424" s="2"/>
      <c r="Y14424" s="2"/>
      <c r="Z14424" s="2"/>
    </row>
    <row r="14425" spans="1:26" ht="16.5" x14ac:dyDescent="0.35">
      <c r="A14425" s="2" t="str">
        <f ca="1">IFERROR(__xludf.DUMMYFUNCTION("""COMPUTED_VALUE"""),"Dubai")</f>
        <v>Dubai</v>
      </c>
      <c r="B14425" s="2" t="str">
        <f ca="1">IFERROR(__xludf.DUMMYFUNCTION("""COMPUTED_VALUE"""),"The Park Villas")</f>
        <v>The Park Villas</v>
      </c>
      <c r="C14425" s="2" t="str">
        <f ca="1">IFERROR(__xludf.DUMMYFUNCTION("""COMPUTED_VALUE"""),"Neighbourhood")</f>
        <v>Neighbourhood</v>
      </c>
      <c r="D14425" s="2" t="str">
        <f ca="1">IFERROR(__xludf.DUMMYFUNCTION("""COMPUTED_VALUE"""),"Dubai&gt;DAMAC Hills&gt;The Park Villas")</f>
        <v>Dubai&gt;DAMAC Hills&gt;The Park Villas</v>
      </c>
      <c r="E14425" s="2"/>
      <c r="F14425" s="2"/>
      <c r="G14425" s="2"/>
      <c r="H14425" s="2"/>
      <c r="I14425" s="2"/>
      <c r="J14425" s="2"/>
      <c r="K14425" s="2"/>
      <c r="L14425" s="2"/>
      <c r="M14425" s="2"/>
      <c r="N14425" s="2"/>
      <c r="O14425" s="2"/>
      <c r="P14425" s="2"/>
      <c r="Q14425" s="2"/>
      <c r="R14425" s="2"/>
      <c r="S14425" s="2"/>
      <c r="T14425" s="2"/>
      <c r="U14425" s="2"/>
      <c r="V14425" s="2"/>
      <c r="W14425" s="2"/>
      <c r="X14425" s="2"/>
      <c r="Y14425" s="2"/>
      <c r="Z14425" s="2"/>
    </row>
    <row r="14426" spans="1:26" ht="16.5" x14ac:dyDescent="0.35">
      <c r="A14426" s="2" t="str">
        <f ca="1">IFERROR(__xludf.DUMMYFUNCTION("""COMPUTED_VALUE"""),"Dubai")</f>
        <v>Dubai</v>
      </c>
      <c r="B14426" s="2" t="str">
        <f ca="1">IFERROR(__xludf.DUMMYFUNCTION("""COMPUTED_VALUE"""),"Jasmine B")</f>
        <v>Jasmine B</v>
      </c>
      <c r="C14426" s="2" t="str">
        <f ca="1">IFERROR(__xludf.DUMMYFUNCTION("""COMPUTED_VALUE"""),"Building")</f>
        <v>Building</v>
      </c>
      <c r="D14426" s="2" t="str">
        <f ca="1">IFERROR(__xludf.DUMMYFUNCTION("""COMPUTED_VALUE"""),"Dubai&gt;DAMAC Hills&gt;Jasmine&gt;Jasmine B")</f>
        <v>Dubai&gt;DAMAC Hills&gt;Jasmine&gt;Jasmine B</v>
      </c>
      <c r="E14426" s="2"/>
      <c r="F14426" s="2"/>
      <c r="G14426" s="2"/>
      <c r="H14426" s="2"/>
      <c r="I14426" s="2"/>
      <c r="J14426" s="2"/>
      <c r="K14426" s="2"/>
      <c r="L14426" s="2"/>
      <c r="M14426" s="2"/>
      <c r="N14426" s="2"/>
      <c r="O14426" s="2"/>
      <c r="P14426" s="2"/>
      <c r="Q14426" s="2"/>
      <c r="R14426" s="2"/>
      <c r="S14426" s="2"/>
      <c r="T14426" s="2"/>
      <c r="U14426" s="2"/>
      <c r="V14426" s="2"/>
      <c r="W14426" s="2"/>
      <c r="X14426" s="2"/>
      <c r="Y14426" s="2"/>
      <c r="Z14426" s="2"/>
    </row>
    <row r="14427" spans="1:26" ht="16.5" x14ac:dyDescent="0.35">
      <c r="A14427" s="2" t="str">
        <f ca="1">IFERROR(__xludf.DUMMYFUNCTION("""COMPUTED_VALUE"""),"Dubai")</f>
        <v>Dubai</v>
      </c>
      <c r="B14427" s="2" t="str">
        <f ca="1">IFERROR(__xludf.DUMMYFUNCTION("""COMPUTED_VALUE"""),"DAMAC District Tower B")</f>
        <v>DAMAC District Tower B</v>
      </c>
      <c r="C14427" s="2" t="str">
        <f ca="1">IFERROR(__xludf.DUMMYFUNCTION("""COMPUTED_VALUE"""),"Building")</f>
        <v>Building</v>
      </c>
      <c r="D14427" s="2" t="str">
        <f ca="1">IFERROR(__xludf.DUMMYFUNCTION("""COMPUTED_VALUE"""),"Dubai&gt;DAMAC Hills&gt;DAMAC District&gt;DAMAC District Tower B")</f>
        <v>Dubai&gt;DAMAC Hills&gt;DAMAC District&gt;DAMAC District Tower B</v>
      </c>
      <c r="E14427" s="2"/>
      <c r="F14427" s="2"/>
      <c r="G14427" s="2"/>
      <c r="H14427" s="2"/>
      <c r="I14427" s="2"/>
      <c r="J14427" s="2"/>
      <c r="K14427" s="2"/>
      <c r="L14427" s="2"/>
      <c r="M14427" s="2"/>
      <c r="N14427" s="2"/>
      <c r="O14427" s="2"/>
      <c r="P14427" s="2"/>
      <c r="Q14427" s="2"/>
      <c r="R14427" s="2"/>
      <c r="S14427" s="2"/>
      <c r="T14427" s="2"/>
      <c r="U14427" s="2"/>
      <c r="V14427" s="2"/>
      <c r="W14427" s="2"/>
      <c r="X14427" s="2"/>
      <c r="Y14427" s="2"/>
      <c r="Z14427" s="2"/>
    </row>
    <row r="14428" spans="1:26" ht="16.5" x14ac:dyDescent="0.35">
      <c r="A14428" s="2" t="str">
        <f ca="1">IFERROR(__xludf.DUMMYFUNCTION("""COMPUTED_VALUE"""),"Dubai")</f>
        <v>Dubai</v>
      </c>
      <c r="B14428" s="2" t="str">
        <f ca="1">IFERROR(__xludf.DUMMYFUNCTION("""COMPUTED_VALUE"""),"Mercure Gold Hotel")</f>
        <v>Mercure Gold Hotel</v>
      </c>
      <c r="C14428" s="2" t="str">
        <f ca="1">IFERROR(__xludf.DUMMYFUNCTION("""COMPUTED_VALUE"""),"Building")</f>
        <v>Building</v>
      </c>
      <c r="D14428" s="2" t="str">
        <f ca="1">IFERROR(__xludf.DUMMYFUNCTION("""COMPUTED_VALUE"""),"Dubai&gt;Al Mina&gt;Mercure Gold Hotel")</f>
        <v>Dubai&gt;Al Mina&gt;Mercure Gold Hotel</v>
      </c>
      <c r="E14428" s="2"/>
      <c r="F14428" s="2"/>
      <c r="G14428" s="2"/>
      <c r="H14428" s="2"/>
      <c r="I14428" s="2"/>
      <c r="J14428" s="2"/>
      <c r="K14428" s="2"/>
      <c r="L14428" s="2"/>
      <c r="M14428" s="2"/>
      <c r="N14428" s="2"/>
      <c r="O14428" s="2"/>
      <c r="P14428" s="2"/>
      <c r="Q14428" s="2"/>
      <c r="R14428" s="2"/>
      <c r="S14428" s="2"/>
      <c r="T14428" s="2"/>
      <c r="U14428" s="2"/>
      <c r="V14428" s="2"/>
      <c r="W14428" s="2"/>
      <c r="X14428" s="2"/>
      <c r="Y14428" s="2"/>
      <c r="Z14428" s="2"/>
    </row>
    <row r="14429" spans="1:26" ht="16.5" x14ac:dyDescent="0.35">
      <c r="A14429" s="2" t="str">
        <f ca="1">IFERROR(__xludf.DUMMYFUNCTION("""COMPUTED_VALUE"""),"Dubai")</f>
        <v>Dubai</v>
      </c>
      <c r="B14429" s="2" t="str">
        <f ca="1">IFERROR(__xludf.DUMMYFUNCTION("""COMPUTED_VALUE"""),"Chelsea Residences by DAMAC")</f>
        <v>Chelsea Residences by DAMAC</v>
      </c>
      <c r="C14429" s="2" t="str">
        <f ca="1">IFERROR(__xludf.DUMMYFUNCTION("""COMPUTED_VALUE"""),"Cluster")</f>
        <v>Cluster</v>
      </c>
      <c r="D14429" s="2" t="str">
        <f ca="1">IFERROR(__xludf.DUMMYFUNCTION("""COMPUTED_VALUE"""),"Dubai&gt;Dubai Maritime City&gt;Chelsea Residences by DAMAC")</f>
        <v>Dubai&gt;Dubai Maritime City&gt;Chelsea Residences by DAMAC</v>
      </c>
      <c r="E14429" s="2"/>
      <c r="F14429" s="2"/>
      <c r="G14429" s="2"/>
      <c r="H14429" s="2"/>
      <c r="I14429" s="2"/>
      <c r="J14429" s="2"/>
      <c r="K14429" s="2"/>
      <c r="L14429" s="2"/>
      <c r="M14429" s="2"/>
      <c r="N14429" s="2"/>
      <c r="O14429" s="2"/>
      <c r="P14429" s="2"/>
      <c r="Q14429" s="2"/>
      <c r="R14429" s="2"/>
      <c r="S14429" s="2"/>
      <c r="T14429" s="2"/>
      <c r="U14429" s="2"/>
      <c r="V14429" s="2"/>
      <c r="W14429" s="2"/>
      <c r="X14429" s="2"/>
      <c r="Y14429" s="2"/>
      <c r="Z14429" s="2"/>
    </row>
    <row r="14430" spans="1:26" ht="16.5" x14ac:dyDescent="0.35">
      <c r="A14430" s="2" t="str">
        <f ca="1">IFERROR(__xludf.DUMMYFUNCTION("""COMPUTED_VALUE"""),"Dubai")</f>
        <v>Dubai</v>
      </c>
      <c r="B14430" s="2" t="str">
        <f ca="1">IFERROR(__xludf.DUMMYFUNCTION("""COMPUTED_VALUE"""),"Golf Tower")</f>
        <v>Golf Tower</v>
      </c>
      <c r="C14430" s="2" t="str">
        <f ca="1">IFERROR(__xludf.DUMMYFUNCTION("""COMPUTED_VALUE"""),"Cluster")</f>
        <v>Cluster</v>
      </c>
      <c r="D14430" s="2" t="str">
        <f ca="1">IFERROR(__xludf.DUMMYFUNCTION("""COMPUTED_VALUE"""),"Dubai&gt;The Views&gt;Golf Tower")</f>
        <v>Dubai&gt;The Views&gt;Golf Tower</v>
      </c>
      <c r="E14430" s="2"/>
      <c r="F14430" s="2"/>
      <c r="G14430" s="2"/>
      <c r="H14430" s="2"/>
      <c r="I14430" s="2"/>
      <c r="J14430" s="2"/>
      <c r="K14430" s="2"/>
      <c r="L14430" s="2"/>
      <c r="M14430" s="2"/>
      <c r="N14430" s="2"/>
      <c r="O14430" s="2"/>
      <c r="P14430" s="2"/>
      <c r="Q14430" s="2"/>
      <c r="R14430" s="2"/>
      <c r="S14430" s="2"/>
      <c r="T14430" s="2"/>
      <c r="U14430" s="2"/>
      <c r="V14430" s="2"/>
      <c r="W14430" s="2"/>
      <c r="X14430" s="2"/>
      <c r="Y14430" s="2"/>
      <c r="Z14430" s="2"/>
    </row>
    <row r="14431" spans="1:26" ht="16.5" x14ac:dyDescent="0.35">
      <c r="A14431" s="2" t="str">
        <f ca="1">IFERROR(__xludf.DUMMYFUNCTION("""COMPUTED_VALUE"""),"Dubai")</f>
        <v>Dubai</v>
      </c>
      <c r="B14431" s="2" t="str">
        <f ca="1">IFERROR(__xludf.DUMMYFUNCTION("""COMPUTED_VALUE"""),"Dubai International Private School Al Quoz")</f>
        <v>Dubai International Private School Al Quoz</v>
      </c>
      <c r="C14431" s="2" t="str">
        <f ca="1">IFERROR(__xludf.DUMMYFUNCTION("""COMPUTED_VALUE"""),"School")</f>
        <v>School</v>
      </c>
      <c r="D14431" s="2" t="str">
        <f ca="1">IFERROR(__xludf.DUMMYFUNCTION("""COMPUTED_VALUE"""),"Dubai&gt;Al Quoz&gt;Al Quoz 1&gt;Dubai International Private School Al Quoz")</f>
        <v>Dubai&gt;Al Quoz&gt;Al Quoz 1&gt;Dubai International Private School Al Quoz</v>
      </c>
      <c r="E14431" s="2"/>
      <c r="F14431" s="2"/>
      <c r="G14431" s="2"/>
      <c r="H14431" s="2"/>
      <c r="I14431" s="2"/>
      <c r="J14431" s="2"/>
      <c r="K14431" s="2"/>
      <c r="L14431" s="2"/>
      <c r="M14431" s="2"/>
      <c r="N14431" s="2"/>
      <c r="O14431" s="2"/>
      <c r="P14431" s="2"/>
      <c r="Q14431" s="2"/>
      <c r="R14431" s="2"/>
      <c r="S14431" s="2"/>
      <c r="T14431" s="2"/>
      <c r="U14431" s="2"/>
      <c r="V14431" s="2"/>
      <c r="W14431" s="2"/>
      <c r="X14431" s="2"/>
      <c r="Y14431" s="2"/>
      <c r="Z14431" s="2"/>
    </row>
    <row r="14432" spans="1:26" ht="16.5" x14ac:dyDescent="0.35">
      <c r="A14432" s="2" t="str">
        <f ca="1">IFERROR(__xludf.DUMMYFUNCTION("""COMPUTED_VALUE"""),"Dubai")</f>
        <v>Dubai</v>
      </c>
      <c r="B14432" s="2" t="str">
        <f ca="1">IFERROR(__xludf.DUMMYFUNCTION("""COMPUTED_VALUE"""),"Gold and Diamond Park Building 6")</f>
        <v>Gold and Diamond Park Building 6</v>
      </c>
      <c r="C14432" s="2" t="str">
        <f ca="1">IFERROR(__xludf.DUMMYFUNCTION("""COMPUTED_VALUE"""),"Building")</f>
        <v>Building</v>
      </c>
      <c r="D14432" s="2" t="str">
        <f ca="1">IFERROR(__xludf.DUMMYFUNCTION("""COMPUTED_VALUE"""),"Dubai&gt;Al Quoz&gt;Al Quoz Industrial Area&gt;Al Quoz Industrial Area 3&gt;Gold and Diamond Park&gt;Gold and Diamond Park Building 6")</f>
        <v>Dubai&gt;Al Quoz&gt;Al Quoz Industrial Area&gt;Al Quoz Industrial Area 3&gt;Gold and Diamond Park&gt;Gold and Diamond Park Building 6</v>
      </c>
      <c r="E14432" s="2"/>
      <c r="F14432" s="2"/>
      <c r="G14432" s="2"/>
      <c r="H14432" s="2"/>
      <c r="I14432" s="2"/>
      <c r="J14432" s="2"/>
      <c r="K14432" s="2"/>
      <c r="L14432" s="2"/>
      <c r="M14432" s="2"/>
      <c r="N14432" s="2"/>
      <c r="O14432" s="2"/>
      <c r="P14432" s="2"/>
      <c r="Q14432" s="2"/>
      <c r="R14432" s="2"/>
      <c r="S14432" s="2"/>
      <c r="T14432" s="2"/>
      <c r="U14432" s="2"/>
      <c r="V14432" s="2"/>
      <c r="W14432" s="2"/>
      <c r="X14432" s="2"/>
      <c r="Y14432" s="2"/>
      <c r="Z14432" s="2"/>
    </row>
    <row r="14433" spans="1:26" ht="16.5" x14ac:dyDescent="0.35">
      <c r="A14433" s="2" t="str">
        <f ca="1">IFERROR(__xludf.DUMMYFUNCTION("""COMPUTED_VALUE"""),"Dubai")</f>
        <v>Dubai</v>
      </c>
      <c r="B14433" s="2" t="str">
        <f ca="1">IFERROR(__xludf.DUMMYFUNCTION("""COMPUTED_VALUE"""),"Al Khail Heights Building 3B")</f>
        <v>Al Khail Heights Building 3B</v>
      </c>
      <c r="C14433" s="2" t="str">
        <f ca="1">IFERROR(__xludf.DUMMYFUNCTION("""COMPUTED_VALUE"""),"Building")</f>
        <v>Building</v>
      </c>
      <c r="D14433" s="2" t="str">
        <f ca="1">IFERROR(__xludf.DUMMYFUNCTION("""COMPUTED_VALUE"""),"Dubai&gt;Al Quoz&gt;Al Quoz 4&gt;Al Khail Heights&gt;Al Khail Heights Building 3B")</f>
        <v>Dubai&gt;Al Quoz&gt;Al Quoz 4&gt;Al Khail Heights&gt;Al Khail Heights Building 3B</v>
      </c>
      <c r="E14433" s="2"/>
      <c r="F14433" s="2"/>
      <c r="G14433" s="2"/>
      <c r="H14433" s="2"/>
      <c r="I14433" s="2"/>
      <c r="J14433" s="2"/>
      <c r="K14433" s="2"/>
      <c r="L14433" s="2"/>
      <c r="M14433" s="2"/>
      <c r="N14433" s="2"/>
      <c r="O14433" s="2"/>
      <c r="P14433" s="2"/>
      <c r="Q14433" s="2"/>
      <c r="R14433" s="2"/>
      <c r="S14433" s="2"/>
      <c r="T14433" s="2"/>
      <c r="U14433" s="2"/>
      <c r="V14433" s="2"/>
      <c r="W14433" s="2"/>
      <c r="X14433" s="2"/>
      <c r="Y14433" s="2"/>
      <c r="Z14433" s="2"/>
    </row>
    <row r="14434" spans="1:26" ht="16.5" x14ac:dyDescent="0.35">
      <c r="A14434" s="2" t="str">
        <f ca="1">IFERROR(__xludf.DUMMYFUNCTION("""COMPUTED_VALUE"""),"Dubai")</f>
        <v>Dubai</v>
      </c>
      <c r="B14434" s="2" t="str">
        <f ca="1">IFERROR(__xludf.DUMMYFUNCTION("""COMPUTED_VALUE"""),"Silicon Heights 2")</f>
        <v>Silicon Heights 2</v>
      </c>
      <c r="C14434" s="2" t="str">
        <f ca="1">IFERROR(__xludf.DUMMYFUNCTION("""COMPUTED_VALUE"""),"Building")</f>
        <v>Building</v>
      </c>
      <c r="D14434" s="2" t="str">
        <f ca="1">IFERROR(__xludf.DUMMYFUNCTION("""COMPUTED_VALUE"""),"Dubai&gt;Dubai Silicon Oasis (DSO)&gt;Silicon Heights&gt;Silicon Heights 2")</f>
        <v>Dubai&gt;Dubai Silicon Oasis (DSO)&gt;Silicon Heights&gt;Silicon Heights 2</v>
      </c>
      <c r="E14434" s="2"/>
      <c r="F14434" s="2"/>
      <c r="G14434" s="2"/>
      <c r="H14434" s="2"/>
      <c r="I14434" s="2"/>
      <c r="J14434" s="2"/>
      <c r="K14434" s="2"/>
      <c r="L14434" s="2"/>
      <c r="M14434" s="2"/>
      <c r="N14434" s="2"/>
      <c r="O14434" s="2"/>
      <c r="P14434" s="2"/>
      <c r="Q14434" s="2"/>
      <c r="R14434" s="2"/>
      <c r="S14434" s="2"/>
      <c r="T14434" s="2"/>
      <c r="U14434" s="2"/>
      <c r="V14434" s="2"/>
      <c r="W14434" s="2"/>
      <c r="X14434" s="2"/>
      <c r="Y14434" s="2"/>
      <c r="Z14434" s="2"/>
    </row>
    <row r="14435" spans="1:26" ht="16.5" x14ac:dyDescent="0.35">
      <c r="A14435" s="2" t="str">
        <f ca="1">IFERROR(__xludf.DUMMYFUNCTION("""COMPUTED_VALUE"""),"Dubai")</f>
        <v>Dubai</v>
      </c>
      <c r="B14435" s="2" t="str">
        <f ca="1">IFERROR(__xludf.DUMMYFUNCTION("""COMPUTED_VALUE"""),"IT Plaza")</f>
        <v>IT Plaza</v>
      </c>
      <c r="C14435" s="2" t="str">
        <f ca="1">IFERROR(__xludf.DUMMYFUNCTION("""COMPUTED_VALUE"""),"Building")</f>
        <v>Building</v>
      </c>
      <c r="D14435" s="2" t="str">
        <f ca="1">IFERROR(__xludf.DUMMYFUNCTION("""COMPUTED_VALUE"""),"Dubai&gt;Dubai Silicon Oasis (DSO)&gt;IT Plaza")</f>
        <v>Dubai&gt;Dubai Silicon Oasis (DSO)&gt;IT Plaza</v>
      </c>
      <c r="E14435" s="2"/>
      <c r="F14435" s="2"/>
      <c r="G14435" s="2"/>
      <c r="H14435" s="2"/>
      <c r="I14435" s="2"/>
      <c r="J14435" s="2"/>
      <c r="K14435" s="2"/>
      <c r="L14435" s="2"/>
      <c r="M14435" s="2"/>
      <c r="N14435" s="2"/>
      <c r="O14435" s="2"/>
      <c r="P14435" s="2"/>
      <c r="Q14435" s="2"/>
      <c r="R14435" s="2"/>
      <c r="S14435" s="2"/>
      <c r="T14435" s="2"/>
      <c r="U14435" s="2"/>
      <c r="V14435" s="2"/>
      <c r="W14435" s="2"/>
      <c r="X14435" s="2"/>
      <c r="Y14435" s="2"/>
      <c r="Z14435" s="2"/>
    </row>
    <row r="14436" spans="1:26" ht="16.5" x14ac:dyDescent="0.35">
      <c r="A14436" s="2" t="str">
        <f ca="1">IFERROR(__xludf.DUMMYFUNCTION("""COMPUTED_VALUE"""),"Dubai")</f>
        <v>Dubai</v>
      </c>
      <c r="B14436" s="2" t="str">
        <f ca="1">IFERROR(__xludf.DUMMYFUNCTION("""COMPUTED_VALUE"""),"Alliance Business Center")</f>
        <v>Alliance Business Center</v>
      </c>
      <c r="C14436" s="2" t="str">
        <f ca="1">IFERROR(__xludf.DUMMYFUNCTION("""COMPUTED_VALUE"""),"Building")</f>
        <v>Building</v>
      </c>
      <c r="D14436" s="2" t="str">
        <f ca="1">IFERROR(__xludf.DUMMYFUNCTION("""COMPUTED_VALUE"""),"Dubai&gt;Dubai Silicon Oasis (DSO)&gt;Dubai Silicon Oasis Head Quarters Complex&gt;Alliance Business Center")</f>
        <v>Dubai&gt;Dubai Silicon Oasis (DSO)&gt;Dubai Silicon Oasis Head Quarters Complex&gt;Alliance Business Center</v>
      </c>
      <c r="E14436" s="2"/>
      <c r="F14436" s="2"/>
      <c r="G14436" s="2"/>
      <c r="H14436" s="2"/>
      <c r="I14436" s="2"/>
      <c r="J14436" s="2"/>
      <c r="K14436" s="2"/>
      <c r="L14436" s="2"/>
      <c r="M14436" s="2"/>
      <c r="N14436" s="2"/>
      <c r="O14436" s="2"/>
      <c r="P14436" s="2"/>
      <c r="Q14436" s="2"/>
      <c r="R14436" s="2"/>
      <c r="S14436" s="2"/>
      <c r="T14436" s="2"/>
      <c r="U14436" s="2"/>
      <c r="V14436" s="2"/>
      <c r="W14436" s="2"/>
      <c r="X14436" s="2"/>
      <c r="Y14436" s="2"/>
      <c r="Z14436" s="2"/>
    </row>
    <row r="14437" spans="1:26" ht="16.5" x14ac:dyDescent="0.35">
      <c r="A14437" s="2" t="str">
        <f ca="1">IFERROR(__xludf.DUMMYFUNCTION("""COMPUTED_VALUE"""),"Dubai")</f>
        <v>Dubai</v>
      </c>
      <c r="B14437" s="2" t="str">
        <f ca="1">IFERROR(__xludf.DUMMYFUNCTION("""COMPUTED_VALUE"""),"Le Solarium")</f>
        <v>Le Solarium</v>
      </c>
      <c r="C14437" s="2" t="str">
        <f ca="1">IFERROR(__xludf.DUMMYFUNCTION("""COMPUTED_VALUE"""),"Building")</f>
        <v>Building</v>
      </c>
      <c r="D14437" s="2" t="str">
        <f ca="1">IFERROR(__xludf.DUMMYFUNCTION("""COMPUTED_VALUE"""),"Dubai&gt;Dubai Silicon Oasis (DSO)&gt;Le Solarium")</f>
        <v>Dubai&gt;Dubai Silicon Oasis (DSO)&gt;Le Solarium</v>
      </c>
      <c r="E14437" s="2"/>
      <c r="F14437" s="2"/>
      <c r="G14437" s="2"/>
      <c r="H14437" s="2"/>
      <c r="I14437" s="2"/>
      <c r="J14437" s="2"/>
      <c r="K14437" s="2"/>
      <c r="L14437" s="2"/>
      <c r="M14437" s="2"/>
      <c r="N14437" s="2"/>
      <c r="O14437" s="2"/>
      <c r="P14437" s="2"/>
      <c r="Q14437" s="2"/>
      <c r="R14437" s="2"/>
      <c r="S14437" s="2"/>
      <c r="T14437" s="2"/>
      <c r="U14437" s="2"/>
      <c r="V14437" s="2"/>
      <c r="W14437" s="2"/>
      <c r="X14437" s="2"/>
      <c r="Y14437" s="2"/>
      <c r="Z14437" s="2"/>
    </row>
    <row r="14438" spans="1:26" ht="16.5" x14ac:dyDescent="0.35">
      <c r="A14438" s="2" t="str">
        <f ca="1">IFERROR(__xludf.DUMMYFUNCTION("""COMPUTED_VALUE"""),"Dubai")</f>
        <v>Dubai</v>
      </c>
      <c r="B14438" s="2" t="str">
        <f ca="1">IFERROR(__xludf.DUMMYFUNCTION("""COMPUTED_VALUE"""),"Palace Towers")</f>
        <v>Palace Towers</v>
      </c>
      <c r="C14438" s="2" t="str">
        <f ca="1">IFERROR(__xludf.DUMMYFUNCTION("""COMPUTED_VALUE"""),"Building")</f>
        <v>Building</v>
      </c>
      <c r="D14438" s="2" t="str">
        <f ca="1">IFERROR(__xludf.DUMMYFUNCTION("""COMPUTED_VALUE"""),"Dubai&gt;Dubai Silicon Oasis (DSO)&gt;Palace Towers")</f>
        <v>Dubai&gt;Dubai Silicon Oasis (DSO)&gt;Palace Towers</v>
      </c>
      <c r="E14438" s="2"/>
      <c r="F14438" s="2"/>
      <c r="G14438" s="2"/>
      <c r="H14438" s="2"/>
      <c r="I14438" s="2"/>
      <c r="J14438" s="2"/>
      <c r="K14438" s="2"/>
      <c r="L14438" s="2"/>
      <c r="M14438" s="2"/>
      <c r="N14438" s="2"/>
      <c r="O14438" s="2"/>
      <c r="P14438" s="2"/>
      <c r="Q14438" s="2"/>
      <c r="R14438" s="2"/>
      <c r="S14438" s="2"/>
      <c r="T14438" s="2"/>
      <c r="U14438" s="2"/>
      <c r="V14438" s="2"/>
      <c r="W14438" s="2"/>
      <c r="X14438" s="2"/>
      <c r="Y14438" s="2"/>
      <c r="Z14438" s="2"/>
    </row>
    <row r="14439" spans="1:26" ht="16.5" x14ac:dyDescent="0.35">
      <c r="A14439" s="2" t="str">
        <f ca="1">IFERROR(__xludf.DUMMYFUNCTION("""COMPUTED_VALUE"""),"Dubai")</f>
        <v>Dubai</v>
      </c>
      <c r="B14439" s="2" t="str">
        <f ca="1">IFERROR(__xludf.DUMMYFUNCTION("""COMPUTED_VALUE"""),"The Dunes")</f>
        <v>The Dunes</v>
      </c>
      <c r="C14439" s="2" t="str">
        <f ca="1">IFERROR(__xludf.DUMMYFUNCTION("""COMPUTED_VALUE"""),"Building")</f>
        <v>Building</v>
      </c>
      <c r="D14439" s="2" t="str">
        <f ca="1">IFERROR(__xludf.DUMMYFUNCTION("""COMPUTED_VALUE"""),"Dubai&gt;Dubai Silicon Oasis (DSO)&gt;The Dunes")</f>
        <v>Dubai&gt;Dubai Silicon Oasis (DSO)&gt;The Dunes</v>
      </c>
      <c r="E14439" s="2"/>
      <c r="F14439" s="2"/>
      <c r="G14439" s="2"/>
      <c r="H14439" s="2"/>
      <c r="I14439" s="2"/>
      <c r="J14439" s="2"/>
      <c r="K14439" s="2"/>
      <c r="L14439" s="2"/>
      <c r="M14439" s="2"/>
      <c r="N14439" s="2"/>
      <c r="O14439" s="2"/>
      <c r="P14439" s="2"/>
      <c r="Q14439" s="2"/>
      <c r="R14439" s="2"/>
      <c r="S14439" s="2"/>
      <c r="T14439" s="2"/>
      <c r="U14439" s="2"/>
      <c r="V14439" s="2"/>
      <c r="W14439" s="2"/>
      <c r="X14439" s="2"/>
      <c r="Y14439" s="2"/>
      <c r="Z14439" s="2"/>
    </row>
    <row r="14440" spans="1:26" ht="16.5" x14ac:dyDescent="0.35">
      <c r="A14440" s="2" t="str">
        <f ca="1">IFERROR(__xludf.DUMMYFUNCTION("""COMPUTED_VALUE"""),"Dubai")</f>
        <v>Dubai</v>
      </c>
      <c r="B14440" s="2" t="str">
        <f ca="1">IFERROR(__xludf.DUMMYFUNCTION("""COMPUTED_VALUE"""),"Altia One")</f>
        <v>Altia One</v>
      </c>
      <c r="C14440" s="2" t="str">
        <f ca="1">IFERROR(__xludf.DUMMYFUNCTION("""COMPUTED_VALUE"""),"Building")</f>
        <v>Building</v>
      </c>
      <c r="D14440" s="2" t="str">
        <f ca="1">IFERROR(__xludf.DUMMYFUNCTION("""COMPUTED_VALUE"""),"Dubai&gt;Dubai Silicon Oasis (DSO)&gt;Altia One")</f>
        <v>Dubai&gt;Dubai Silicon Oasis (DSO)&gt;Altia One</v>
      </c>
      <c r="E14440" s="2"/>
      <c r="F14440" s="2"/>
      <c r="G14440" s="2"/>
      <c r="H14440" s="2"/>
      <c r="I14440" s="2"/>
      <c r="J14440" s="2"/>
      <c r="K14440" s="2"/>
      <c r="L14440" s="2"/>
      <c r="M14440" s="2"/>
      <c r="N14440" s="2"/>
      <c r="O14440" s="2"/>
      <c r="P14440" s="2"/>
      <c r="Q14440" s="2"/>
      <c r="R14440" s="2"/>
      <c r="S14440" s="2"/>
      <c r="T14440" s="2"/>
      <c r="U14440" s="2"/>
      <c r="V14440" s="2"/>
      <c r="W14440" s="2"/>
      <c r="X14440" s="2"/>
      <c r="Y14440" s="2"/>
      <c r="Z14440" s="2"/>
    </row>
    <row r="14441" spans="1:26" ht="16.5" x14ac:dyDescent="0.35">
      <c r="A14441" s="2" t="str">
        <f ca="1">IFERROR(__xludf.DUMMYFUNCTION("""COMPUTED_VALUE"""),"Dubai")</f>
        <v>Dubai</v>
      </c>
      <c r="B14441" s="2" t="str">
        <f ca="1">IFERROR(__xludf.DUMMYFUNCTION("""COMPUTED_VALUE"""),"Lunaria")</f>
        <v>Lunaria</v>
      </c>
      <c r="C14441" s="2" t="str">
        <f ca="1">IFERROR(__xludf.DUMMYFUNCTION("""COMPUTED_VALUE"""),"Neighbourhood")</f>
        <v>Neighbourhood</v>
      </c>
      <c r="D14441" s="2" t="str">
        <f ca="1">IFERROR(__xludf.DUMMYFUNCTION("""COMPUTED_VALUE"""),"Dubai&gt;Al Barari&gt;Lunaria")</f>
        <v>Dubai&gt;Al Barari&gt;Lunaria</v>
      </c>
      <c r="E14441" s="2"/>
      <c r="F14441" s="2"/>
      <c r="G14441" s="2"/>
      <c r="H14441" s="2"/>
      <c r="I14441" s="2"/>
      <c r="J14441" s="2"/>
      <c r="K14441" s="2"/>
      <c r="L14441" s="2"/>
      <c r="M14441" s="2"/>
      <c r="N14441" s="2"/>
      <c r="O14441" s="2"/>
      <c r="P14441" s="2"/>
      <c r="Q14441" s="2"/>
      <c r="R14441" s="2"/>
      <c r="S14441" s="2"/>
      <c r="T14441" s="2"/>
      <c r="U14441" s="2"/>
      <c r="V14441" s="2"/>
      <c r="W14441" s="2"/>
      <c r="X14441" s="2"/>
      <c r="Y14441" s="2"/>
      <c r="Z14441" s="2"/>
    </row>
    <row r="14442" spans="1:26" ht="16.5" x14ac:dyDescent="0.35">
      <c r="A14442" s="2" t="str">
        <f ca="1">IFERROR(__xludf.DUMMYFUNCTION("""COMPUTED_VALUE"""),"Dubai")</f>
        <v>Dubai</v>
      </c>
      <c r="B14442" s="2" t="str">
        <f ca="1">IFERROR(__xludf.DUMMYFUNCTION("""COMPUTED_VALUE"""),"Kent College Dubai")</f>
        <v>Kent College Dubai</v>
      </c>
      <c r="C14442" s="2" t="str">
        <f ca="1">IFERROR(__xludf.DUMMYFUNCTION("""COMPUTED_VALUE"""),"School")</f>
        <v>School</v>
      </c>
      <c r="D14442" s="2" t="str">
        <f ca="1">IFERROR(__xludf.DUMMYFUNCTION("""COMPUTED_VALUE"""),"Dubai&gt;Mohammed Bin Rashid City&gt;Kent College Dubai")</f>
        <v>Dubai&gt;Mohammed Bin Rashid City&gt;Kent College Dubai</v>
      </c>
      <c r="E14442" s="2"/>
      <c r="F14442" s="2"/>
      <c r="G14442" s="2"/>
      <c r="H14442" s="2"/>
      <c r="I14442" s="2"/>
      <c r="J14442" s="2"/>
      <c r="K14442" s="2"/>
      <c r="L14442" s="2"/>
      <c r="M14442" s="2"/>
      <c r="N14442" s="2"/>
      <c r="O14442" s="2"/>
      <c r="P14442" s="2"/>
      <c r="Q14442" s="2"/>
      <c r="R14442" s="2"/>
      <c r="S14442" s="2"/>
      <c r="T14442" s="2"/>
      <c r="U14442" s="2"/>
      <c r="V14442" s="2"/>
      <c r="W14442" s="2"/>
      <c r="X14442" s="2"/>
      <c r="Y14442" s="2"/>
      <c r="Z14442" s="2"/>
    </row>
    <row r="14443" spans="1:26" ht="16.5" x14ac:dyDescent="0.35">
      <c r="A14443" s="2" t="str">
        <f ca="1">IFERROR(__xludf.DUMMYFUNCTION("""COMPUTED_VALUE"""),"Dubai")</f>
        <v>Dubai</v>
      </c>
      <c r="B14443" s="2" t="str">
        <f ca="1">IFERROR(__xludf.DUMMYFUNCTION("""COMPUTED_VALUE"""),"The Collection by Naser")</f>
        <v>The Collection by Naser</v>
      </c>
      <c r="C14443" s="2" t="str">
        <f ca="1">IFERROR(__xludf.DUMMYFUNCTION("""COMPUTED_VALUE"""),"Building")</f>
        <v>Building</v>
      </c>
      <c r="D14443" s="2" t="str">
        <f ca="1">IFERROR(__xludf.DUMMYFUNCTION("""COMPUTED_VALUE"""),"Dubai&gt;Mohammed Bin Rashid City&gt;District 11&gt;The Collection by Naser")</f>
        <v>Dubai&gt;Mohammed Bin Rashid City&gt;District 11&gt;The Collection by Naser</v>
      </c>
      <c r="E14443" s="2"/>
      <c r="F14443" s="2"/>
      <c r="G14443" s="2"/>
      <c r="H14443" s="2"/>
      <c r="I14443" s="2"/>
      <c r="J14443" s="2"/>
      <c r="K14443" s="2"/>
      <c r="L14443" s="2"/>
      <c r="M14443" s="2"/>
      <c r="N14443" s="2"/>
      <c r="O14443" s="2"/>
      <c r="P14443" s="2"/>
      <c r="Q14443" s="2"/>
      <c r="R14443" s="2"/>
      <c r="S14443" s="2"/>
      <c r="T14443" s="2"/>
      <c r="U14443" s="2"/>
      <c r="V14443" s="2"/>
      <c r="W14443" s="2"/>
      <c r="X14443" s="2"/>
      <c r="Y14443" s="2"/>
      <c r="Z14443" s="2"/>
    </row>
    <row r="14444" spans="1:26" ht="16.5" x14ac:dyDescent="0.35">
      <c r="A14444" s="2" t="str">
        <f ca="1">IFERROR(__xludf.DUMMYFUNCTION("""COMPUTED_VALUE"""),"Dubai")</f>
        <v>Dubai</v>
      </c>
      <c r="B14444" s="2" t="str">
        <f ca="1">IFERROR(__xludf.DUMMYFUNCTION("""COMPUTED_VALUE"""),"Odyssey Nursery Meydan")</f>
        <v>Odyssey Nursery Meydan</v>
      </c>
      <c r="C14444" s="2" t="str">
        <f ca="1">IFERROR(__xludf.DUMMYFUNCTION("""COMPUTED_VALUE"""),"Nursery")</f>
        <v>Nursery</v>
      </c>
      <c r="D14444" s="2" t="str">
        <f ca="1">IFERROR(__xludf.DUMMYFUNCTION("""COMPUTED_VALUE"""),"Dubai&gt;Mohammed Bin Rashid City&gt;District One&gt;Odyssey Nursery Meydan")</f>
        <v>Dubai&gt;Mohammed Bin Rashid City&gt;District One&gt;Odyssey Nursery Meydan</v>
      </c>
      <c r="E14444" s="2"/>
      <c r="F14444" s="2"/>
      <c r="G14444" s="2"/>
      <c r="H14444" s="2"/>
      <c r="I14444" s="2"/>
      <c r="J14444" s="2"/>
      <c r="K14444" s="2"/>
      <c r="L14444" s="2"/>
      <c r="M14444" s="2"/>
      <c r="N14444" s="2"/>
      <c r="O14444" s="2"/>
      <c r="P14444" s="2"/>
      <c r="Q14444" s="2"/>
      <c r="R14444" s="2"/>
      <c r="S14444" s="2"/>
      <c r="T14444" s="2"/>
      <c r="U14444" s="2"/>
      <c r="V14444" s="2"/>
      <c r="W14444" s="2"/>
      <c r="X14444" s="2"/>
      <c r="Y14444" s="2"/>
      <c r="Z14444" s="2"/>
    </row>
    <row r="14445" spans="1:26" ht="16.5" x14ac:dyDescent="0.35">
      <c r="A14445" s="2" t="str">
        <f ca="1">IFERROR(__xludf.DUMMYFUNCTION("""COMPUTED_VALUE"""),"Dubai")</f>
        <v>Dubai</v>
      </c>
      <c r="B14445" s="2" t="str">
        <f ca="1">IFERROR(__xludf.DUMMYFUNCTION("""COMPUTED_VALUE"""),"District One Villas")</f>
        <v>District One Villas</v>
      </c>
      <c r="C14445" s="2" t="str">
        <f ca="1">IFERROR(__xludf.DUMMYFUNCTION("""COMPUTED_VALUE"""),"Neighbourhood")</f>
        <v>Neighbourhood</v>
      </c>
      <c r="D14445" s="2" t="str">
        <f ca="1">IFERROR(__xludf.DUMMYFUNCTION("""COMPUTED_VALUE"""),"Dubai&gt;Mohammed Bin Rashid City&gt;District One&gt;District One Villas")</f>
        <v>Dubai&gt;Mohammed Bin Rashid City&gt;District One&gt;District One Villas</v>
      </c>
      <c r="E14445" s="2"/>
      <c r="F14445" s="2"/>
      <c r="G14445" s="2"/>
      <c r="H14445" s="2"/>
      <c r="I14445" s="2"/>
      <c r="J14445" s="2"/>
      <c r="K14445" s="2"/>
      <c r="L14445" s="2"/>
      <c r="M14445" s="2"/>
      <c r="N14445" s="2"/>
      <c r="O14445" s="2"/>
      <c r="P14445" s="2"/>
      <c r="Q14445" s="2"/>
      <c r="R14445" s="2"/>
      <c r="S14445" s="2"/>
      <c r="T14445" s="2"/>
      <c r="U14445" s="2"/>
      <c r="V14445" s="2"/>
      <c r="W14445" s="2"/>
      <c r="X14445" s="2"/>
      <c r="Y14445" s="2"/>
      <c r="Z14445" s="2"/>
    </row>
    <row r="14446" spans="1:26" ht="16.5" x14ac:dyDescent="0.35">
      <c r="A14446" s="2" t="str">
        <f ca="1">IFERROR(__xludf.DUMMYFUNCTION("""COMPUTED_VALUE"""),"Dubai")</f>
        <v>Dubai</v>
      </c>
      <c r="B14446" s="2" t="str">
        <f ca="1">IFERROR(__xludf.DUMMYFUNCTION("""COMPUTED_VALUE"""),"Parklane Residence 3")</f>
        <v>Parklane Residence 3</v>
      </c>
      <c r="C14446" s="2" t="str">
        <f ca="1">IFERROR(__xludf.DUMMYFUNCTION("""COMPUTED_VALUE"""),"Building")</f>
        <v>Building</v>
      </c>
      <c r="D14446" s="2" t="str">
        <f ca="1">IFERROR(__xludf.DUMMYFUNCTION("""COMPUTED_VALUE"""),"Dubai&gt;Dubai South&gt;Residential District&gt;The Pulse&gt;The Pulse Villas 2&gt;Parklane Residence")</f>
        <v>Dubai&gt;Dubai South&gt;Residential District&gt;The Pulse&gt;The Pulse Villas 2&gt;Parklane Residence</v>
      </c>
      <c r="E14446" s="2"/>
      <c r="F14446" s="2"/>
      <c r="G14446" s="2"/>
      <c r="H14446" s="2"/>
      <c r="I14446" s="2"/>
      <c r="J14446" s="2"/>
      <c r="K14446" s="2"/>
      <c r="L14446" s="2"/>
      <c r="M14446" s="2"/>
      <c r="N14446" s="2"/>
      <c r="O14446" s="2"/>
      <c r="P14446" s="2"/>
      <c r="Q14446" s="2"/>
      <c r="R14446" s="2"/>
      <c r="S14446" s="2"/>
      <c r="T14446" s="2"/>
      <c r="U14446" s="2"/>
      <c r="V14446" s="2"/>
      <c r="W14446" s="2"/>
      <c r="X14446" s="2"/>
      <c r="Y14446" s="2"/>
      <c r="Z14446" s="2"/>
    </row>
    <row r="14447" spans="1:26" ht="16.5" x14ac:dyDescent="0.35">
      <c r="A14447" s="2" t="str">
        <f ca="1">IFERROR(__xludf.DUMMYFUNCTION("""COMPUTED_VALUE"""),"Dubai")</f>
        <v>Dubai</v>
      </c>
      <c r="B14447" s="2" t="str">
        <f ca="1">IFERROR(__xludf.DUMMYFUNCTION("""COMPUTED_VALUE"""),"Jassem Building")</f>
        <v>Jassem Building</v>
      </c>
      <c r="C14447" s="2" t="str">
        <f ca="1">IFERROR(__xludf.DUMMYFUNCTION("""COMPUTED_VALUE"""),"Building")</f>
        <v>Building</v>
      </c>
      <c r="D14447" s="2" t="str">
        <f ca="1">IFERROR(__xludf.DUMMYFUNCTION("""COMPUTED_VALUE"""),"Dubai&gt;Dubai South&gt;Residential District&gt;Jassem Building")</f>
        <v>Dubai&gt;Dubai South&gt;Residential District&gt;Jassem Building</v>
      </c>
      <c r="E14447" s="2"/>
      <c r="F14447" s="2"/>
      <c r="G14447" s="2"/>
      <c r="H14447" s="2"/>
      <c r="I14447" s="2"/>
      <c r="J14447" s="2"/>
      <c r="K14447" s="2"/>
      <c r="L14447" s="2"/>
      <c r="M14447" s="2"/>
      <c r="N14447" s="2"/>
      <c r="O14447" s="2"/>
      <c r="P14447" s="2"/>
      <c r="Q14447" s="2"/>
      <c r="R14447" s="2"/>
      <c r="S14447" s="2"/>
      <c r="T14447" s="2"/>
      <c r="U14447" s="2"/>
      <c r="V14447" s="2"/>
      <c r="W14447" s="2"/>
      <c r="X14447" s="2"/>
      <c r="Y14447" s="2"/>
      <c r="Z14447" s="2"/>
    </row>
    <row r="14448" spans="1:26" ht="16.5" x14ac:dyDescent="0.35">
      <c r="A14448" s="2" t="str">
        <f ca="1">IFERROR(__xludf.DUMMYFUNCTION("""COMPUTED_VALUE"""),"Dubai")</f>
        <v>Dubai</v>
      </c>
      <c r="B14448" s="2" t="str">
        <f ca="1">IFERROR(__xludf.DUMMYFUNCTION("""COMPUTED_VALUE"""),"Daman 1 Building")</f>
        <v>Daman 1 Building</v>
      </c>
      <c r="C14448" s="2" t="str">
        <f ca="1">IFERROR(__xludf.DUMMYFUNCTION("""COMPUTED_VALUE"""),"Building")</f>
        <v>Building</v>
      </c>
      <c r="D14448" s="2" t="str">
        <f ca="1">IFERROR(__xludf.DUMMYFUNCTION("""COMPUTED_VALUE"""),"Dubai&gt;Dubai South&gt;Residential District&gt;Daman 1 Building")</f>
        <v>Dubai&gt;Dubai South&gt;Residential District&gt;Daman 1 Building</v>
      </c>
      <c r="E14448" s="2"/>
      <c r="F14448" s="2"/>
      <c r="G14448" s="2"/>
      <c r="H14448" s="2"/>
      <c r="I14448" s="2"/>
      <c r="J14448" s="2"/>
      <c r="K14448" s="2"/>
      <c r="L14448" s="2"/>
      <c r="M14448" s="2"/>
      <c r="N14448" s="2"/>
      <c r="O14448" s="2"/>
      <c r="P14448" s="2"/>
      <c r="Q14448" s="2"/>
      <c r="R14448" s="2"/>
      <c r="S14448" s="2"/>
      <c r="T14448" s="2"/>
      <c r="U14448" s="2"/>
      <c r="V14448" s="2"/>
      <c r="W14448" s="2"/>
      <c r="X14448" s="2"/>
      <c r="Y14448" s="2"/>
      <c r="Z14448" s="2"/>
    </row>
    <row r="14449" spans="1:26" ht="16.5" x14ac:dyDescent="0.35">
      <c r="A14449" s="2" t="str">
        <f ca="1">IFERROR(__xludf.DUMMYFUNCTION("""COMPUTED_VALUE"""),"Dubai")</f>
        <v>Dubai</v>
      </c>
      <c r="B14449" s="2" t="str">
        <f ca="1">IFERROR(__xludf.DUMMYFUNCTION("""COMPUTED_VALUE"""),"Windsor House II Building B")</f>
        <v>Windsor House II Building B</v>
      </c>
      <c r="C14449" s="2" t="str">
        <f ca="1">IFERROR(__xludf.DUMMYFUNCTION("""COMPUTED_VALUE"""),"Building")</f>
        <v>Building</v>
      </c>
      <c r="D14449" s="2" t="str">
        <f ca="1">IFERROR(__xludf.DUMMYFUNCTION("""COMPUTED_VALUE"""),"Dubai&gt;Dubai South&gt;Residential District&gt;Windsor House II&gt;Windsor House II Building B")</f>
        <v>Dubai&gt;Dubai South&gt;Residential District&gt;Windsor House II&gt;Windsor House II Building B</v>
      </c>
      <c r="E14449" s="2"/>
      <c r="F14449" s="2"/>
      <c r="G14449" s="2"/>
      <c r="H14449" s="2"/>
      <c r="I14449" s="2"/>
      <c r="J14449" s="2"/>
      <c r="K14449" s="2"/>
      <c r="L14449" s="2"/>
      <c r="M14449" s="2"/>
      <c r="N14449" s="2"/>
      <c r="O14449" s="2"/>
      <c r="P14449" s="2"/>
      <c r="Q14449" s="2"/>
      <c r="R14449" s="2"/>
      <c r="S14449" s="2"/>
      <c r="T14449" s="2"/>
      <c r="U14449" s="2"/>
      <c r="V14449" s="2"/>
      <c r="W14449" s="2"/>
      <c r="X14449" s="2"/>
      <c r="Y14449" s="2"/>
      <c r="Z14449" s="2"/>
    </row>
    <row r="14450" spans="1:26" ht="16.5" x14ac:dyDescent="0.35">
      <c r="A14450" s="2" t="str">
        <f ca="1">IFERROR(__xludf.DUMMYFUNCTION("""COMPUTED_VALUE"""),"Dubai")</f>
        <v>Dubai</v>
      </c>
      <c r="B14450" s="2" t="str">
        <f ca="1">IFERROR(__xludf.DUMMYFUNCTION("""COMPUTED_VALUE"""),"Golf Lane")</f>
        <v>Golf Lane</v>
      </c>
      <c r="C14450" s="2" t="str">
        <f ca="1">IFERROR(__xludf.DUMMYFUNCTION("""COMPUTED_VALUE"""),"Neighbourhood")</f>
        <v>Neighbourhood</v>
      </c>
      <c r="D14450" s="2" t="str">
        <f ca="1">IFERROR(__xludf.DUMMYFUNCTION("""COMPUTED_VALUE"""),"Dubai&gt;Dubai South&gt;Emaar South&gt;Golf Lane")</f>
        <v>Dubai&gt;Dubai South&gt;Emaar South&gt;Golf Lane</v>
      </c>
      <c r="E14450" s="2"/>
      <c r="F14450" s="2"/>
      <c r="G14450" s="2"/>
      <c r="H14450" s="2"/>
      <c r="I14450" s="2"/>
      <c r="J14450" s="2"/>
      <c r="K14450" s="2"/>
      <c r="L14450" s="2"/>
      <c r="M14450" s="2"/>
      <c r="N14450" s="2"/>
      <c r="O14450" s="2"/>
      <c r="P14450" s="2"/>
      <c r="Q14450" s="2"/>
      <c r="R14450" s="2"/>
      <c r="S14450" s="2"/>
      <c r="T14450" s="2"/>
      <c r="U14450" s="2"/>
      <c r="V14450" s="2"/>
      <c r="W14450" s="2"/>
      <c r="X14450" s="2"/>
      <c r="Y14450" s="2"/>
      <c r="Z14450" s="2"/>
    </row>
    <row r="14451" spans="1:26" ht="16.5" x14ac:dyDescent="0.35">
      <c r="A14451" s="2" t="str">
        <f ca="1">IFERROR(__xludf.DUMMYFUNCTION("""COMPUTED_VALUE"""),"Dubai")</f>
        <v>Dubai</v>
      </c>
      <c r="B14451" s="2" t="str">
        <f ca="1">IFERROR(__xludf.DUMMYFUNCTION("""COMPUTED_VALUE"""),"Dubai South Business Park A2")</f>
        <v>Dubai South Business Park A2</v>
      </c>
      <c r="C14451" s="2" t="str">
        <f ca="1">IFERROR(__xludf.DUMMYFUNCTION("""COMPUTED_VALUE"""),"Building")</f>
        <v>Building</v>
      </c>
      <c r="D14451" s="2" t="str">
        <f ca="1">IFERROR(__xludf.DUMMYFUNCTION("""COMPUTED_VALUE"""),"Dubai&gt;Dubai South&gt;Logistics City&gt;The Avenue&gt;Dubai South Business Park A2")</f>
        <v>Dubai&gt;Dubai South&gt;Logistics City&gt;The Avenue&gt;Dubai South Business Park A2</v>
      </c>
      <c r="E14451" s="2"/>
      <c r="F14451" s="2"/>
      <c r="G14451" s="2"/>
      <c r="H14451" s="2"/>
      <c r="I14451" s="2"/>
      <c r="J14451" s="2"/>
      <c r="K14451" s="2"/>
      <c r="L14451" s="2"/>
      <c r="M14451" s="2"/>
      <c r="N14451" s="2"/>
      <c r="O14451" s="2"/>
      <c r="P14451" s="2"/>
      <c r="Q14451" s="2"/>
      <c r="R14451" s="2"/>
      <c r="S14451" s="2"/>
      <c r="T14451" s="2"/>
      <c r="U14451" s="2"/>
      <c r="V14451" s="2"/>
      <c r="W14451" s="2"/>
      <c r="X14451" s="2"/>
      <c r="Y14451" s="2"/>
      <c r="Z14451" s="2"/>
    </row>
    <row r="14452" spans="1:26" ht="16.5" x14ac:dyDescent="0.35">
      <c r="A14452" s="2" t="str">
        <f ca="1">IFERROR(__xludf.DUMMYFUNCTION("""COMPUTED_VALUE"""),"Dubai")</f>
        <v>Dubai</v>
      </c>
      <c r="B14452" s="2" t="str">
        <f ca="1">IFERROR(__xludf.DUMMYFUNCTION("""COMPUTED_VALUE"""),"Azizi Venice 5")</f>
        <v>Azizi Venice 5</v>
      </c>
      <c r="C14452" s="2" t="str">
        <f ca="1">IFERROR(__xludf.DUMMYFUNCTION("""COMPUTED_VALUE"""),"Cluster")</f>
        <v>Cluster</v>
      </c>
      <c r="D14452" s="2" t="str">
        <f ca="1">IFERROR(__xludf.DUMMYFUNCTION("""COMPUTED_VALUE"""),"Dubai&gt;Dubai South&gt;Azizi Venice&gt;Azizi Venice 5")</f>
        <v>Dubai&gt;Dubai South&gt;Azizi Venice&gt;Azizi Venice 5</v>
      </c>
      <c r="E14452" s="2"/>
      <c r="F14452" s="2"/>
      <c r="G14452" s="2"/>
      <c r="H14452" s="2"/>
      <c r="I14452" s="2"/>
      <c r="J14452" s="2"/>
      <c r="K14452" s="2"/>
      <c r="L14452" s="2"/>
      <c r="M14452" s="2"/>
      <c r="N14452" s="2"/>
      <c r="O14452" s="2"/>
      <c r="P14452" s="2"/>
      <c r="Q14452" s="2"/>
      <c r="R14452" s="2"/>
      <c r="S14452" s="2"/>
      <c r="T14452" s="2"/>
      <c r="U14452" s="2"/>
      <c r="V14452" s="2"/>
      <c r="W14452" s="2"/>
      <c r="X14452" s="2"/>
      <c r="Y14452" s="2"/>
      <c r="Z14452" s="2"/>
    </row>
    <row r="14453" spans="1:26" ht="16.5" x14ac:dyDescent="0.35">
      <c r="A14453" s="2" t="str">
        <f ca="1">IFERROR(__xludf.DUMMYFUNCTION("""COMPUTED_VALUE"""),"Dubai")</f>
        <v>Dubai</v>
      </c>
      <c r="B14453" s="2" t="str">
        <f ca="1">IFERROR(__xludf.DUMMYFUNCTION("""COMPUTED_VALUE"""),"Azizi Venice 13 Building A")</f>
        <v>Azizi Venice 13 Building A</v>
      </c>
      <c r="C14453" s="2" t="str">
        <f ca="1">IFERROR(__xludf.DUMMYFUNCTION("""COMPUTED_VALUE"""),"Building")</f>
        <v>Building</v>
      </c>
      <c r="D14453" s="2" t="str">
        <f ca="1">IFERROR(__xludf.DUMMYFUNCTION("""COMPUTED_VALUE"""),"Dubai&gt;Dubai South&gt;Azizi Venice&gt;Azizi Venice 13&gt;Azizi Venice 13 Building A")</f>
        <v>Dubai&gt;Dubai South&gt;Azizi Venice&gt;Azizi Venice 13&gt;Azizi Venice 13 Building A</v>
      </c>
      <c r="E14453" s="2"/>
      <c r="F14453" s="2"/>
      <c r="G14453" s="2"/>
      <c r="H14453" s="2"/>
      <c r="I14453" s="2"/>
      <c r="J14453" s="2"/>
      <c r="K14453" s="2"/>
      <c r="L14453" s="2"/>
      <c r="M14453" s="2"/>
      <c r="N14453" s="2"/>
      <c r="O14453" s="2"/>
      <c r="P14453" s="2"/>
      <c r="Q14453" s="2"/>
      <c r="R14453" s="2"/>
      <c r="S14453" s="2"/>
      <c r="T14453" s="2"/>
      <c r="U14453" s="2"/>
      <c r="V14453" s="2"/>
      <c r="W14453" s="2"/>
      <c r="X14453" s="2"/>
      <c r="Y14453" s="2"/>
      <c r="Z14453" s="2"/>
    </row>
    <row r="14454" spans="1:26" ht="16.5" x14ac:dyDescent="0.35">
      <c r="A14454" s="2" t="str">
        <f ca="1">IFERROR(__xludf.DUMMYFUNCTION("""COMPUTED_VALUE"""),"Dubai")</f>
        <v>Dubai</v>
      </c>
      <c r="B14454" s="2" t="str">
        <f ca="1">IFERROR(__xludf.DUMMYFUNCTION("""COMPUTED_VALUE"""),"Emirates International School Meadows")</f>
        <v>Emirates International School Meadows</v>
      </c>
      <c r="C14454" s="2" t="str">
        <f ca="1">IFERROR(__xludf.DUMMYFUNCTION("""COMPUTED_VALUE"""),"School")</f>
        <v>School</v>
      </c>
      <c r="D14454" s="2" t="str">
        <f ca="1">IFERROR(__xludf.DUMMYFUNCTION("""COMPUTED_VALUE"""),"Dubai&gt;The Meadows&gt;The Meadows 4&gt;Emirates International School Meadows")</f>
        <v>Dubai&gt;The Meadows&gt;The Meadows 4&gt;Emirates International School Meadows</v>
      </c>
      <c r="E14454" s="2"/>
      <c r="F14454" s="2"/>
      <c r="G14454" s="2"/>
      <c r="H14454" s="2"/>
      <c r="I14454" s="2"/>
      <c r="J14454" s="2"/>
      <c r="K14454" s="2"/>
      <c r="L14454" s="2"/>
      <c r="M14454" s="2"/>
      <c r="N14454" s="2"/>
      <c r="O14454" s="2"/>
      <c r="P14454" s="2"/>
      <c r="Q14454" s="2"/>
      <c r="R14454" s="2"/>
      <c r="S14454" s="2"/>
      <c r="T14454" s="2"/>
      <c r="U14454" s="2"/>
      <c r="V14454" s="2"/>
      <c r="W14454" s="2"/>
      <c r="X14454" s="2"/>
      <c r="Y14454" s="2"/>
      <c r="Z14454" s="2"/>
    </row>
    <row r="14455" spans="1:26" ht="16.5" x14ac:dyDescent="0.35">
      <c r="A14455" s="2" t="str">
        <f ca="1">IFERROR(__xludf.DUMMYFUNCTION("""COMPUTED_VALUE"""),"Dubai")</f>
        <v>Dubai</v>
      </c>
      <c r="B14455" s="2" t="str">
        <f ca="1">IFERROR(__xludf.DUMMYFUNCTION("""COMPUTED_VALUE"""),"Al Fajer Complex Residence Block A")</f>
        <v>Al Fajer Complex Residence Block A</v>
      </c>
      <c r="C14455" s="2" t="str">
        <f ca="1">IFERROR(__xludf.DUMMYFUNCTION("""COMPUTED_VALUE"""),"Building")</f>
        <v>Building</v>
      </c>
      <c r="D14455" s="2" t="str">
        <f ca="1">IFERROR(__xludf.DUMMYFUNCTION("""COMPUTED_VALUE"""),"Dubai&gt;Bur Dubai&gt;Oud Metha&gt;Al Fajer Complex&gt;Al Fajer Complex Residence Block A")</f>
        <v>Dubai&gt;Bur Dubai&gt;Oud Metha&gt;Al Fajer Complex&gt;Al Fajer Complex Residence Block A</v>
      </c>
      <c r="E14455" s="2"/>
      <c r="F14455" s="2"/>
      <c r="G14455" s="2"/>
      <c r="H14455" s="2"/>
      <c r="I14455" s="2"/>
      <c r="J14455" s="2"/>
      <c r="K14455" s="2"/>
      <c r="L14455" s="2"/>
      <c r="M14455" s="2"/>
      <c r="N14455" s="2"/>
      <c r="O14455" s="2"/>
      <c r="P14455" s="2"/>
      <c r="Q14455" s="2"/>
      <c r="R14455" s="2"/>
      <c r="S14455" s="2"/>
      <c r="T14455" s="2"/>
      <c r="U14455" s="2"/>
      <c r="V14455" s="2"/>
      <c r="W14455" s="2"/>
      <c r="X14455" s="2"/>
      <c r="Y14455" s="2"/>
      <c r="Z14455" s="2"/>
    </row>
    <row r="14456" spans="1:26" ht="16.5" x14ac:dyDescent="0.35">
      <c r="A14456" s="2" t="str">
        <f ca="1">IFERROR(__xludf.DUMMYFUNCTION("""COMPUTED_VALUE"""),"Dubai")</f>
        <v>Dubai</v>
      </c>
      <c r="B14456" s="2" t="str">
        <f ca="1">IFERROR(__xludf.DUMMYFUNCTION("""COMPUTED_VALUE"""),"Mohammed Saeed Hareb Building (KML3)")</f>
        <v>Mohammed Saeed Hareb Building (KML3)</v>
      </c>
      <c r="C14456" s="2" t="str">
        <f ca="1">IFERROR(__xludf.DUMMYFUNCTION("""COMPUTED_VALUE"""),"Building")</f>
        <v>Building</v>
      </c>
      <c r="D14456" s="2" t="str">
        <f ca="1">IFERROR(__xludf.DUMMYFUNCTION("""COMPUTED_VALUE"""),"Dubai&gt;Bur Dubai&gt;Oud Metha&gt;Mohammed Saeed Hareb Building (KML3)")</f>
        <v>Dubai&gt;Bur Dubai&gt;Oud Metha&gt;Mohammed Saeed Hareb Building (KML3)</v>
      </c>
      <c r="E14456" s="2"/>
      <c r="F14456" s="2"/>
      <c r="G14456" s="2"/>
      <c r="H14456" s="2"/>
      <c r="I14456" s="2"/>
      <c r="J14456" s="2"/>
      <c r="K14456" s="2"/>
      <c r="L14456" s="2"/>
      <c r="M14456" s="2"/>
      <c r="N14456" s="2"/>
      <c r="O14456" s="2"/>
      <c r="P14456" s="2"/>
      <c r="Q14456" s="2"/>
      <c r="R14456" s="2"/>
      <c r="S14456" s="2"/>
      <c r="T14456" s="2"/>
      <c r="U14456" s="2"/>
      <c r="V14456" s="2"/>
      <c r="W14456" s="2"/>
      <c r="X14456" s="2"/>
      <c r="Y14456" s="2"/>
      <c r="Z14456" s="2"/>
    </row>
    <row r="14457" spans="1:26" ht="16.5" x14ac:dyDescent="0.35">
      <c r="A14457" s="2" t="str">
        <f ca="1">IFERROR(__xludf.DUMMYFUNCTION("""COMPUTED_VALUE"""),"Dubai")</f>
        <v>Dubai</v>
      </c>
      <c r="B14457" s="2" t="str">
        <f ca="1">IFERROR(__xludf.DUMMYFUNCTION("""COMPUTED_VALUE"""),"Abdalla Al Ali Building")</f>
        <v>Abdalla Al Ali Building</v>
      </c>
      <c r="C14457" s="2" t="str">
        <f ca="1">IFERROR(__xludf.DUMMYFUNCTION("""COMPUTED_VALUE"""),"Building")</f>
        <v>Building</v>
      </c>
      <c r="D14457" s="2" t="str">
        <f ca="1">IFERROR(__xludf.DUMMYFUNCTION("""COMPUTED_VALUE"""),"Dubai&gt;Bur Dubai&gt;Al Raffa&gt;Abdalla Al Ali Building")</f>
        <v>Dubai&gt;Bur Dubai&gt;Al Raffa&gt;Abdalla Al Ali Building</v>
      </c>
      <c r="E14457" s="2"/>
      <c r="F14457" s="2"/>
      <c r="G14457" s="2"/>
      <c r="H14457" s="2"/>
      <c r="I14457" s="2"/>
      <c r="J14457" s="2"/>
      <c r="K14457" s="2"/>
      <c r="L14457" s="2"/>
      <c r="M14457" s="2"/>
      <c r="N14457" s="2"/>
      <c r="O14457" s="2"/>
      <c r="P14457" s="2"/>
      <c r="Q14457" s="2"/>
      <c r="R14457" s="2"/>
      <c r="S14457" s="2"/>
      <c r="T14457" s="2"/>
      <c r="U14457" s="2"/>
      <c r="V14457" s="2"/>
      <c r="W14457" s="2"/>
      <c r="X14457" s="2"/>
      <c r="Y14457" s="2"/>
      <c r="Z14457" s="2"/>
    </row>
    <row r="14458" spans="1:26" ht="16.5" x14ac:dyDescent="0.35">
      <c r="A14458" s="2" t="str">
        <f ca="1">IFERROR(__xludf.DUMMYFUNCTION("""COMPUTED_VALUE"""),"Dubai")</f>
        <v>Dubai</v>
      </c>
      <c r="B14458" s="2" t="str">
        <f ca="1">IFERROR(__xludf.DUMMYFUNCTION("""COMPUTED_VALUE"""),"Rashdan Building Al Raffa")</f>
        <v>Rashdan Building Al Raffa</v>
      </c>
      <c r="C14458" s="2" t="str">
        <f ca="1">IFERROR(__xludf.DUMMYFUNCTION("""COMPUTED_VALUE"""),"Building")</f>
        <v>Building</v>
      </c>
      <c r="D14458" s="2" t="str">
        <f ca="1">IFERROR(__xludf.DUMMYFUNCTION("""COMPUTED_VALUE"""),"Dubai&gt;Bur Dubai&gt;Al Raffa&gt;Rashdan Building Al Raffa")</f>
        <v>Dubai&gt;Bur Dubai&gt;Al Raffa&gt;Rashdan Building Al Raffa</v>
      </c>
      <c r="E14458" s="2"/>
      <c r="F14458" s="2"/>
      <c r="G14458" s="2"/>
      <c r="H14458" s="2"/>
      <c r="I14458" s="2"/>
      <c r="J14458" s="2"/>
      <c r="K14458" s="2"/>
      <c r="L14458" s="2"/>
      <c r="M14458" s="2"/>
      <c r="N14458" s="2"/>
      <c r="O14458" s="2"/>
      <c r="P14458" s="2"/>
      <c r="Q14458" s="2"/>
      <c r="R14458" s="2"/>
      <c r="S14458" s="2"/>
      <c r="T14458" s="2"/>
      <c r="U14458" s="2"/>
      <c r="V14458" s="2"/>
      <c r="W14458" s="2"/>
      <c r="X14458" s="2"/>
      <c r="Y14458" s="2"/>
      <c r="Z14458" s="2"/>
    </row>
    <row r="14459" spans="1:26" ht="16.5" x14ac:dyDescent="0.35">
      <c r="A14459" s="2" t="str">
        <f ca="1">IFERROR(__xludf.DUMMYFUNCTION("""COMPUTED_VALUE"""),"Dubai")</f>
        <v>Dubai</v>
      </c>
      <c r="B14459" s="2" t="str">
        <f ca="1">IFERROR(__xludf.DUMMYFUNCTION("""COMPUTED_VALUE"""),"Bisharah Building")</f>
        <v>Bisharah Building</v>
      </c>
      <c r="C14459" s="2" t="str">
        <f ca="1">IFERROR(__xludf.DUMMYFUNCTION("""COMPUTED_VALUE"""),"Building")</f>
        <v>Building</v>
      </c>
      <c r="D14459" s="2" t="str">
        <f ca="1">IFERROR(__xludf.DUMMYFUNCTION("""COMPUTED_VALUE"""),"Dubai&gt;Bur Dubai&gt;Al Mankhool&gt;Bisharah Building")</f>
        <v>Dubai&gt;Bur Dubai&gt;Al Mankhool&gt;Bisharah Building</v>
      </c>
      <c r="E14459" s="2"/>
      <c r="F14459" s="2"/>
      <c r="G14459" s="2"/>
      <c r="H14459" s="2"/>
      <c r="I14459" s="2"/>
      <c r="J14459" s="2"/>
      <c r="K14459" s="2"/>
      <c r="L14459" s="2"/>
      <c r="M14459" s="2"/>
      <c r="N14459" s="2"/>
      <c r="O14459" s="2"/>
      <c r="P14459" s="2"/>
      <c r="Q14459" s="2"/>
      <c r="R14459" s="2"/>
      <c r="S14459" s="2"/>
      <c r="T14459" s="2"/>
      <c r="U14459" s="2"/>
      <c r="V14459" s="2"/>
      <c r="W14459" s="2"/>
      <c r="X14459" s="2"/>
      <c r="Y14459" s="2"/>
      <c r="Z14459" s="2"/>
    </row>
    <row r="14460" spans="1:26" ht="16.5" x14ac:dyDescent="0.35">
      <c r="A14460" s="2" t="str">
        <f ca="1">IFERROR(__xludf.DUMMYFUNCTION("""COMPUTED_VALUE"""),"Dubai")</f>
        <v>Dubai</v>
      </c>
      <c r="B14460" s="2" t="str">
        <f ca="1">IFERROR(__xludf.DUMMYFUNCTION("""COMPUTED_VALUE"""),"Golden Sands 7")</f>
        <v>Golden Sands 7</v>
      </c>
      <c r="C14460" s="2" t="str">
        <f ca="1">IFERROR(__xludf.DUMMYFUNCTION("""COMPUTED_VALUE"""),"Building")</f>
        <v>Building</v>
      </c>
      <c r="D14460" s="2" t="str">
        <f ca="1">IFERROR(__xludf.DUMMYFUNCTION("""COMPUTED_VALUE"""),"Dubai&gt;Bur Dubai&gt;Al Mankhool&gt;Golden Sands 7")</f>
        <v>Dubai&gt;Bur Dubai&gt;Al Mankhool&gt;Golden Sands 7</v>
      </c>
      <c r="E14460" s="2"/>
      <c r="F14460" s="2"/>
      <c r="G14460" s="2"/>
      <c r="H14460" s="2"/>
      <c r="I14460" s="2"/>
      <c r="J14460" s="2"/>
      <c r="K14460" s="2"/>
      <c r="L14460" s="2"/>
      <c r="M14460" s="2"/>
      <c r="N14460" s="2"/>
      <c r="O14460" s="2"/>
      <c r="P14460" s="2"/>
      <c r="Q14460" s="2"/>
      <c r="R14460" s="2"/>
      <c r="S14460" s="2"/>
      <c r="T14460" s="2"/>
      <c r="U14460" s="2"/>
      <c r="V14460" s="2"/>
      <c r="W14460" s="2"/>
      <c r="X14460" s="2"/>
      <c r="Y14460" s="2"/>
      <c r="Z14460" s="2"/>
    </row>
    <row r="14461" spans="1:26" ht="16.5" x14ac:dyDescent="0.35">
      <c r="A14461" s="2" t="str">
        <f ca="1">IFERROR(__xludf.DUMMYFUNCTION("""COMPUTED_VALUE"""),"Dubai")</f>
        <v>Dubai</v>
      </c>
      <c r="B14461" s="2" t="str">
        <f ca="1">IFERROR(__xludf.DUMMYFUNCTION("""COMPUTED_VALUE"""),"Abdul Salam M.Rafi M.Saeed Al Marjan Building")</f>
        <v>Abdul Salam M.Rafi M.Saeed Al Marjan Building</v>
      </c>
      <c r="C14461" s="2" t="str">
        <f ca="1">IFERROR(__xludf.DUMMYFUNCTION("""COMPUTED_VALUE"""),"Building")</f>
        <v>Building</v>
      </c>
      <c r="D14461" s="2" t="str">
        <f ca="1">IFERROR(__xludf.DUMMYFUNCTION("""COMPUTED_VALUE"""),"Dubai&gt;Bur Dubai&gt;Al Mankhool&gt;Abdul Salam M.Rafi M.Saeed Al Marjan Building")</f>
        <v>Dubai&gt;Bur Dubai&gt;Al Mankhool&gt;Abdul Salam M.Rafi M.Saeed Al Marjan Building</v>
      </c>
      <c r="E14461" s="2"/>
      <c r="F14461" s="2"/>
      <c r="G14461" s="2"/>
      <c r="H14461" s="2"/>
      <c r="I14461" s="2"/>
      <c r="J14461" s="2"/>
      <c r="K14461" s="2"/>
      <c r="L14461" s="2"/>
      <c r="M14461" s="2"/>
      <c r="N14461" s="2"/>
      <c r="O14461" s="2"/>
      <c r="P14461" s="2"/>
      <c r="Q14461" s="2"/>
      <c r="R14461" s="2"/>
      <c r="S14461" s="2"/>
      <c r="T14461" s="2"/>
      <c r="U14461" s="2"/>
      <c r="V14461" s="2"/>
      <c r="W14461" s="2"/>
      <c r="X14461" s="2"/>
      <c r="Y14461" s="2"/>
      <c r="Z14461" s="2"/>
    </row>
    <row r="14462" spans="1:26" ht="16.5" x14ac:dyDescent="0.35">
      <c r="A14462" s="2" t="str">
        <f ca="1">IFERROR(__xludf.DUMMYFUNCTION("""COMPUTED_VALUE"""),"Dubai")</f>
        <v>Dubai</v>
      </c>
      <c r="B14462" s="2" t="str">
        <f ca="1">IFERROR(__xludf.DUMMYFUNCTION("""COMPUTED_VALUE"""),"Dubai English Speaking School")</f>
        <v>Dubai English Speaking School</v>
      </c>
      <c r="C14462" s="2" t="str">
        <f ca="1">IFERROR(__xludf.DUMMYFUNCTION("""COMPUTED_VALUE"""),"School")</f>
        <v>School</v>
      </c>
      <c r="D14462" s="2" t="str">
        <f ca="1">IFERROR(__xludf.DUMMYFUNCTION("""COMPUTED_VALUE"""),"Dubai&gt;Bur Dubai&gt;Umm Hurair&gt;Umm Hurair 2&gt;Dubai English Speaking School")</f>
        <v>Dubai&gt;Bur Dubai&gt;Umm Hurair&gt;Umm Hurair 2&gt;Dubai English Speaking School</v>
      </c>
      <c r="E14462" s="2"/>
      <c r="F14462" s="2"/>
      <c r="G14462" s="2"/>
      <c r="H14462" s="2"/>
      <c r="I14462" s="2"/>
      <c r="J14462" s="2"/>
      <c r="K14462" s="2"/>
      <c r="L14462" s="2"/>
      <c r="M14462" s="2"/>
      <c r="N14462" s="2"/>
      <c r="O14462" s="2"/>
      <c r="P14462" s="2"/>
      <c r="Q14462" s="2"/>
      <c r="R14462" s="2"/>
      <c r="S14462" s="2"/>
      <c r="T14462" s="2"/>
      <c r="U14462" s="2"/>
      <c r="V14462" s="2"/>
      <c r="W14462" s="2"/>
      <c r="X14462" s="2"/>
      <c r="Y14462" s="2"/>
      <c r="Z14462" s="2"/>
    </row>
    <row r="14463" spans="1:26" ht="16.5" x14ac:dyDescent="0.35">
      <c r="A14463" s="2" t="str">
        <f ca="1">IFERROR(__xludf.DUMMYFUNCTION("""COMPUTED_VALUE"""),"Dubai")</f>
        <v>Dubai</v>
      </c>
      <c r="B14463" s="2" t="str">
        <f ca="1">IFERROR(__xludf.DUMMYFUNCTION("""COMPUTED_VALUE"""),"Cyber House Building")</f>
        <v>Cyber House Building</v>
      </c>
      <c r="C14463" s="2" t="str">
        <f ca="1">IFERROR(__xludf.DUMMYFUNCTION("""COMPUTED_VALUE"""),"Building")</f>
        <v>Building</v>
      </c>
      <c r="D14463" s="2" t="str">
        <f ca="1">IFERROR(__xludf.DUMMYFUNCTION("""COMPUTED_VALUE"""),"Dubai&gt;Bur Dubai&gt;Al Souk Al Kabeer (Al Fahidi)&gt;Cyber House Building")</f>
        <v>Dubai&gt;Bur Dubai&gt;Al Souk Al Kabeer (Al Fahidi)&gt;Cyber House Building</v>
      </c>
      <c r="E14463" s="2"/>
      <c r="F14463" s="2"/>
      <c r="G14463" s="2"/>
      <c r="H14463" s="2"/>
      <c r="I14463" s="2"/>
      <c r="J14463" s="2"/>
      <c r="K14463" s="2"/>
      <c r="L14463" s="2"/>
      <c r="M14463" s="2"/>
      <c r="N14463" s="2"/>
      <c r="O14463" s="2"/>
      <c r="P14463" s="2"/>
      <c r="Q14463" s="2"/>
      <c r="R14463" s="2"/>
      <c r="S14463" s="2"/>
      <c r="T14463" s="2"/>
      <c r="U14463" s="2"/>
      <c r="V14463" s="2"/>
      <c r="W14463" s="2"/>
      <c r="X14463" s="2"/>
      <c r="Y14463" s="2"/>
      <c r="Z14463" s="2"/>
    </row>
    <row r="14464" spans="1:26" ht="16.5" x14ac:dyDescent="0.35">
      <c r="A14464" s="2" t="str">
        <f ca="1">IFERROR(__xludf.DUMMYFUNCTION("""COMPUTED_VALUE"""),"Dubai")</f>
        <v>Dubai</v>
      </c>
      <c r="B14464" s="2" t="str">
        <f ca="1">IFERROR(__xludf.DUMMYFUNCTION("""COMPUTED_VALUE"""),"Al Hamriya")</f>
        <v>Al Hamriya</v>
      </c>
      <c r="C14464" s="2" t="str">
        <f ca="1">IFERROR(__xludf.DUMMYFUNCTION("""COMPUTED_VALUE"""),"Neighbourhood")</f>
        <v>Neighbourhood</v>
      </c>
      <c r="D14464" s="2" t="str">
        <f ca="1">IFERROR(__xludf.DUMMYFUNCTION("""COMPUTED_VALUE"""),"Dubai&gt;Bur Dubai&gt;Al Hamriya")</f>
        <v>Dubai&gt;Bur Dubai&gt;Al Hamriya</v>
      </c>
      <c r="E14464" s="2"/>
      <c r="F14464" s="2"/>
      <c r="G14464" s="2"/>
      <c r="H14464" s="2"/>
      <c r="I14464" s="2"/>
      <c r="J14464" s="2"/>
      <c r="K14464" s="2"/>
      <c r="L14464" s="2"/>
      <c r="M14464" s="2"/>
      <c r="N14464" s="2"/>
      <c r="O14464" s="2"/>
      <c r="P14464" s="2"/>
      <c r="Q14464" s="2"/>
      <c r="R14464" s="2"/>
      <c r="S14464" s="2"/>
      <c r="T14464" s="2"/>
      <c r="U14464" s="2"/>
      <c r="V14464" s="2"/>
      <c r="W14464" s="2"/>
      <c r="X14464" s="2"/>
      <c r="Y14464" s="2"/>
      <c r="Z14464" s="2"/>
    </row>
    <row r="14465" spans="1:26" ht="16.5" x14ac:dyDescent="0.35">
      <c r="A14465" s="2" t="str">
        <f ca="1">IFERROR(__xludf.DUMMYFUNCTION("""COMPUTED_VALUE"""),"Dubai")</f>
        <v>Dubai</v>
      </c>
      <c r="B14465" s="2" t="str">
        <f ca="1">IFERROR(__xludf.DUMMYFUNCTION("""COMPUTED_VALUE"""),"Al Ghubaiba")</f>
        <v>Al Ghubaiba</v>
      </c>
      <c r="C14465" s="2" t="str">
        <f ca="1">IFERROR(__xludf.DUMMYFUNCTION("""COMPUTED_VALUE"""),"Neighbourhood")</f>
        <v>Neighbourhood</v>
      </c>
      <c r="D14465" s="2" t="str">
        <f ca="1">IFERROR(__xludf.DUMMYFUNCTION("""COMPUTED_VALUE"""),"Dubai&gt;Bur Dubai&gt;Al Ghubaiba")</f>
        <v>Dubai&gt;Bur Dubai&gt;Al Ghubaiba</v>
      </c>
      <c r="E14465" s="2"/>
      <c r="F14465" s="2"/>
      <c r="G14465" s="2"/>
      <c r="H14465" s="2"/>
      <c r="I14465" s="2"/>
      <c r="J14465" s="2"/>
      <c r="K14465" s="2"/>
      <c r="L14465" s="2"/>
      <c r="M14465" s="2"/>
      <c r="N14465" s="2"/>
      <c r="O14465" s="2"/>
      <c r="P14465" s="2"/>
      <c r="Q14465" s="2"/>
      <c r="R14465" s="2"/>
      <c r="S14465" s="2"/>
      <c r="T14465" s="2"/>
      <c r="U14465" s="2"/>
      <c r="V14465" s="2"/>
      <c r="W14465" s="2"/>
      <c r="X14465" s="2"/>
      <c r="Y14465" s="2"/>
      <c r="Z14465" s="2"/>
    </row>
    <row r="14466" spans="1:26" ht="16.5" x14ac:dyDescent="0.35">
      <c r="A14466" s="2" t="str">
        <f ca="1">IFERROR(__xludf.DUMMYFUNCTION("""COMPUTED_VALUE"""),"Dubai")</f>
        <v>Dubai</v>
      </c>
      <c r="B14466" s="2" t="str">
        <f ca="1">IFERROR(__xludf.DUMMYFUNCTION("""COMPUTED_VALUE"""),"Olive Point")</f>
        <v>Olive Point</v>
      </c>
      <c r="C14466" s="2" t="str">
        <f ca="1">IFERROR(__xludf.DUMMYFUNCTION("""COMPUTED_VALUE"""),"Neighbourhood")</f>
        <v>Neighbourhood</v>
      </c>
      <c r="D14466" s="2" t="str">
        <f ca="1">IFERROR(__xludf.DUMMYFUNCTION("""COMPUTED_VALUE"""),"Dubai&gt;Jumeirah Golf Estates&gt;Olive Point")</f>
        <v>Dubai&gt;Jumeirah Golf Estates&gt;Olive Point</v>
      </c>
      <c r="E14466" s="2"/>
      <c r="F14466" s="2"/>
      <c r="G14466" s="2"/>
      <c r="H14466" s="2"/>
      <c r="I14466" s="2"/>
      <c r="J14466" s="2"/>
      <c r="K14466" s="2"/>
      <c r="L14466" s="2"/>
      <c r="M14466" s="2"/>
      <c r="N14466" s="2"/>
      <c r="O14466" s="2"/>
      <c r="P14466" s="2"/>
      <c r="Q14466" s="2"/>
      <c r="R14466" s="2"/>
      <c r="S14466" s="2"/>
      <c r="T14466" s="2"/>
      <c r="U14466" s="2"/>
      <c r="V14466" s="2"/>
      <c r="W14466" s="2"/>
      <c r="X14466" s="2"/>
      <c r="Y14466" s="2"/>
      <c r="Z14466" s="2"/>
    </row>
    <row r="14467" spans="1:26" ht="16.5" x14ac:dyDescent="0.35">
      <c r="A14467" s="2" t="str">
        <f ca="1">IFERROR(__xludf.DUMMYFUNCTION("""COMPUTED_VALUE"""),"Dubai")</f>
        <v>Dubai</v>
      </c>
      <c r="B14467" s="2" t="str">
        <f ca="1">IFERROR(__xludf.DUMMYFUNCTION("""COMPUTED_VALUE"""),"Pinewood Village")</f>
        <v>Pinewood Village</v>
      </c>
      <c r="C14467" s="2" t="str">
        <f ca="1">IFERROR(__xludf.DUMMYFUNCTION("""COMPUTED_VALUE"""),"Neighbourhood")</f>
        <v>Neighbourhood</v>
      </c>
      <c r="D14467" s="2" t="str">
        <f ca="1">IFERROR(__xludf.DUMMYFUNCTION("""COMPUTED_VALUE"""),"Dubai&gt;Jumeirah Golf Estates&gt;The Next Chapter&gt;Pinewood Village")</f>
        <v>Dubai&gt;Jumeirah Golf Estates&gt;The Next Chapter&gt;Pinewood Village</v>
      </c>
      <c r="E14467" s="2"/>
      <c r="F14467" s="2"/>
      <c r="G14467" s="2"/>
      <c r="H14467" s="2"/>
      <c r="I14467" s="2"/>
      <c r="J14467" s="2"/>
      <c r="K14467" s="2"/>
      <c r="L14467" s="2"/>
      <c r="M14467" s="2"/>
      <c r="N14467" s="2"/>
      <c r="O14467" s="2"/>
      <c r="P14467" s="2"/>
      <c r="Q14467" s="2"/>
      <c r="R14467" s="2"/>
      <c r="S14467" s="2"/>
      <c r="T14467" s="2"/>
      <c r="U14467" s="2"/>
      <c r="V14467" s="2"/>
      <c r="W14467" s="2"/>
      <c r="X14467" s="2"/>
      <c r="Y14467" s="2"/>
      <c r="Z14467" s="2"/>
    </row>
    <row r="14468" spans="1:26" ht="16.5" x14ac:dyDescent="0.35">
      <c r="A14468" s="2" t="str">
        <f ca="1">IFERROR(__xludf.DUMMYFUNCTION("""COMPUTED_VALUE"""),"Dubai")</f>
        <v>Dubai</v>
      </c>
      <c r="B14468" s="2" t="str">
        <f ca="1">IFERROR(__xludf.DUMMYFUNCTION("""COMPUTED_VALUE"""),"Seapoint Tower 1")</f>
        <v>Seapoint Tower 1</v>
      </c>
      <c r="C14468" s="2" t="str">
        <f ca="1">IFERROR(__xludf.DUMMYFUNCTION("""COMPUTED_VALUE"""),"Building")</f>
        <v>Building</v>
      </c>
      <c r="D14468" s="2" t="str">
        <f ca="1">IFERROR(__xludf.DUMMYFUNCTION("""COMPUTED_VALUE"""),"Dubai&gt;Dubai Harbour&gt;Emaar Beachfront&gt;Seapoint&gt;Seapoint Tower 1")</f>
        <v>Dubai&gt;Dubai Harbour&gt;Emaar Beachfront&gt;Seapoint&gt;Seapoint Tower 1</v>
      </c>
      <c r="E14468" s="2"/>
      <c r="F14468" s="2"/>
      <c r="G14468" s="2"/>
      <c r="H14468" s="2"/>
      <c r="I14468" s="2"/>
      <c r="J14468" s="2"/>
      <c r="K14468" s="2"/>
      <c r="L14468" s="2"/>
      <c r="M14468" s="2"/>
      <c r="N14468" s="2"/>
      <c r="O14468" s="2"/>
      <c r="P14468" s="2"/>
      <c r="Q14468" s="2"/>
      <c r="R14468" s="2"/>
      <c r="S14468" s="2"/>
      <c r="T14468" s="2"/>
      <c r="U14468" s="2"/>
      <c r="V14468" s="2"/>
      <c r="W14468" s="2"/>
      <c r="X14468" s="2"/>
      <c r="Y14468" s="2"/>
      <c r="Z14468" s="2"/>
    </row>
    <row r="14469" spans="1:26" ht="16.5" x14ac:dyDescent="0.35">
      <c r="A14469" s="2" t="str">
        <f ca="1">IFERROR(__xludf.DUMMYFUNCTION("""COMPUTED_VALUE"""),"Dubai")</f>
        <v>Dubai</v>
      </c>
      <c r="B14469" s="2" t="str">
        <f ca="1">IFERROR(__xludf.DUMMYFUNCTION("""COMPUTED_VALUE"""),"Victoria")</f>
        <v>Victoria</v>
      </c>
      <c r="C14469" s="2" t="str">
        <f ca="1">IFERROR(__xludf.DUMMYFUNCTION("""COMPUTED_VALUE"""),"Neighbourhood")</f>
        <v>Neighbourhood</v>
      </c>
      <c r="D14469" s="2" t="str">
        <f ca="1">IFERROR(__xludf.DUMMYFUNCTION("""COMPUTED_VALUE"""),"Dubai&gt;DAMAC Hills 2 (Akoya by DAMAC)&gt;Victoria")</f>
        <v>Dubai&gt;DAMAC Hills 2 (Akoya by DAMAC)&gt;Victoria</v>
      </c>
      <c r="E14469" s="2"/>
      <c r="F14469" s="2"/>
      <c r="G14469" s="2"/>
      <c r="H14469" s="2"/>
      <c r="I14469" s="2"/>
      <c r="J14469" s="2"/>
      <c r="K14469" s="2"/>
      <c r="L14469" s="2"/>
      <c r="M14469" s="2"/>
      <c r="N14469" s="2"/>
      <c r="O14469" s="2"/>
      <c r="P14469" s="2"/>
      <c r="Q14469" s="2"/>
      <c r="R14469" s="2"/>
      <c r="S14469" s="2"/>
      <c r="T14469" s="2"/>
      <c r="U14469" s="2"/>
      <c r="V14469" s="2"/>
      <c r="W14469" s="2"/>
      <c r="X14469" s="2"/>
      <c r="Y14469" s="2"/>
      <c r="Z14469" s="2"/>
    </row>
    <row r="14470" spans="1:26" ht="16.5" x14ac:dyDescent="0.35">
      <c r="A14470" s="2" t="str">
        <f ca="1">IFERROR(__xludf.DUMMYFUNCTION("""COMPUTED_VALUE"""),"Dubai")</f>
        <v>Dubai</v>
      </c>
      <c r="B14470" s="2" t="str">
        <f ca="1">IFERROR(__xludf.DUMMYFUNCTION("""COMPUTED_VALUE"""),"ELO 2")</f>
        <v>ELO 2</v>
      </c>
      <c r="C14470" s="2" t="str">
        <f ca="1">IFERROR(__xludf.DUMMYFUNCTION("""COMPUTED_VALUE"""),"Building")</f>
        <v>Building</v>
      </c>
      <c r="D14470" s="2" t="str">
        <f ca="1">IFERROR(__xludf.DUMMYFUNCTION("""COMPUTED_VALUE"""),"Dubai&gt;DAMAC Hills 2 (Akoya by DAMAC)&gt;ELO 2")</f>
        <v>Dubai&gt;DAMAC Hills 2 (Akoya by DAMAC)&gt;ELO 2</v>
      </c>
      <c r="E14470" s="2"/>
      <c r="F14470" s="2"/>
      <c r="G14470" s="2"/>
      <c r="H14470" s="2"/>
      <c r="I14470" s="2"/>
      <c r="J14470" s="2"/>
      <c r="K14470" s="2"/>
      <c r="L14470" s="2"/>
      <c r="M14470" s="2"/>
      <c r="N14470" s="2"/>
      <c r="O14470" s="2"/>
      <c r="P14470" s="2"/>
      <c r="Q14470" s="2"/>
      <c r="R14470" s="2"/>
      <c r="S14470" s="2"/>
      <c r="T14470" s="2"/>
      <c r="U14470" s="2"/>
      <c r="V14470" s="2"/>
      <c r="W14470" s="2"/>
      <c r="X14470" s="2"/>
      <c r="Y14470" s="2"/>
      <c r="Z14470" s="2"/>
    </row>
    <row r="14471" spans="1:26" ht="16.5" x14ac:dyDescent="0.35">
      <c r="A14471" s="2" t="str">
        <f ca="1">IFERROR(__xludf.DUMMYFUNCTION("""COMPUTED_VALUE"""),"Dubai")</f>
        <v>Dubai</v>
      </c>
      <c r="B14471" s="2" t="str">
        <f ca="1">IFERROR(__xludf.DUMMYFUNCTION("""COMPUTED_VALUE"""),"I-06")</f>
        <v>I-06</v>
      </c>
      <c r="C14471" s="2" t="str">
        <f ca="1">IFERROR(__xludf.DUMMYFUNCTION("""COMPUTED_VALUE"""),"Building")</f>
        <v>Building</v>
      </c>
      <c r="D14471" s="2" t="str">
        <f ca="1">IFERROR(__xludf.DUMMYFUNCTION("""COMPUTED_VALUE"""),"Dubai&gt;International City&gt;Morocco Cluster&gt;I-06")</f>
        <v>Dubai&gt;International City&gt;Morocco Cluster&gt;I-06</v>
      </c>
      <c r="E14471" s="2"/>
      <c r="F14471" s="2"/>
      <c r="G14471" s="2"/>
      <c r="H14471" s="2"/>
      <c r="I14471" s="2"/>
      <c r="J14471" s="2"/>
      <c r="K14471" s="2"/>
      <c r="L14471" s="2"/>
      <c r="M14471" s="2"/>
      <c r="N14471" s="2"/>
      <c r="O14471" s="2"/>
      <c r="P14471" s="2"/>
      <c r="Q14471" s="2"/>
      <c r="R14471" s="2"/>
      <c r="S14471" s="2"/>
      <c r="T14471" s="2"/>
      <c r="U14471" s="2"/>
      <c r="V14471" s="2"/>
      <c r="W14471" s="2"/>
      <c r="X14471" s="2"/>
      <c r="Y14471" s="2"/>
      <c r="Z14471" s="2"/>
    </row>
    <row r="14472" spans="1:26" ht="16.5" x14ac:dyDescent="0.35">
      <c r="A14472" s="2" t="str">
        <f ca="1">IFERROR(__xludf.DUMMYFUNCTION("""COMPUTED_VALUE"""),"Dubai")</f>
        <v>Dubai</v>
      </c>
      <c r="B14472" s="2" t="str">
        <f ca="1">IFERROR(__xludf.DUMMYFUNCTION("""COMPUTED_VALUE"""),"Circle Time Nursery International City")</f>
        <v>Circle Time Nursery International City</v>
      </c>
      <c r="C14472" s="2" t="str">
        <f ca="1">IFERROR(__xludf.DUMMYFUNCTION("""COMPUTED_VALUE"""),"Nursery")</f>
        <v>Nursery</v>
      </c>
      <c r="D14472" s="2" t="str">
        <f ca="1">IFERROR(__xludf.DUMMYFUNCTION("""COMPUTED_VALUE"""),"Dubai&gt;International City&gt;China Cluster&gt;Circle Time Nursery International City")</f>
        <v>Dubai&gt;International City&gt;China Cluster&gt;Circle Time Nursery International City</v>
      </c>
      <c r="E14472" s="2"/>
      <c r="F14472" s="2"/>
      <c r="G14472" s="2"/>
      <c r="H14472" s="2"/>
      <c r="I14472" s="2"/>
      <c r="J14472" s="2"/>
      <c r="K14472" s="2"/>
      <c r="L14472" s="2"/>
      <c r="M14472" s="2"/>
      <c r="N14472" s="2"/>
      <c r="O14472" s="2"/>
      <c r="P14472" s="2"/>
      <c r="Q14472" s="2"/>
      <c r="R14472" s="2"/>
      <c r="S14472" s="2"/>
      <c r="T14472" s="2"/>
      <c r="U14472" s="2"/>
      <c r="V14472" s="2"/>
      <c r="W14472" s="2"/>
      <c r="X14472" s="2"/>
      <c r="Y14472" s="2"/>
      <c r="Z14472" s="2"/>
    </row>
    <row r="14473" spans="1:26" ht="16.5" x14ac:dyDescent="0.35">
      <c r="A14473" s="2" t="str">
        <f ca="1">IFERROR(__xludf.DUMMYFUNCTION("""COMPUTED_VALUE"""),"Dubai")</f>
        <v>Dubai</v>
      </c>
      <c r="B14473" s="2" t="str">
        <f ca="1">IFERROR(__xludf.DUMMYFUNCTION("""COMPUTED_VALUE"""),"B-10")</f>
        <v>B-10</v>
      </c>
      <c r="C14473" s="2" t="str">
        <f ca="1">IFERROR(__xludf.DUMMYFUNCTION("""COMPUTED_VALUE"""),"Building")</f>
        <v>Building</v>
      </c>
      <c r="D14473" s="2" t="str">
        <f ca="1">IFERROR(__xludf.DUMMYFUNCTION("""COMPUTED_VALUE"""),"Dubai&gt;International City&gt;China Cluster&gt;B-10")</f>
        <v>Dubai&gt;International City&gt;China Cluster&gt;B-10</v>
      </c>
      <c r="E14473" s="2"/>
      <c r="F14473" s="2"/>
      <c r="G14473" s="2"/>
      <c r="H14473" s="2"/>
      <c r="I14473" s="2"/>
      <c r="J14473" s="2"/>
      <c r="K14473" s="2"/>
      <c r="L14473" s="2"/>
      <c r="M14473" s="2"/>
      <c r="N14473" s="2"/>
      <c r="O14473" s="2"/>
      <c r="P14473" s="2"/>
      <c r="Q14473" s="2"/>
      <c r="R14473" s="2"/>
      <c r="S14473" s="2"/>
      <c r="T14473" s="2"/>
      <c r="U14473" s="2"/>
      <c r="V14473" s="2"/>
      <c r="W14473" s="2"/>
      <c r="X14473" s="2"/>
      <c r="Y14473" s="2"/>
      <c r="Z14473" s="2"/>
    </row>
    <row r="14474" spans="1:26" ht="16.5" x14ac:dyDescent="0.35">
      <c r="A14474" s="2" t="str">
        <f ca="1">IFERROR(__xludf.DUMMYFUNCTION("""COMPUTED_VALUE"""),"Dubai")</f>
        <v>Dubai</v>
      </c>
      <c r="B14474" s="2" t="str">
        <f ca="1">IFERROR(__xludf.DUMMYFUNCTION("""COMPUTED_VALUE"""),"F-03")</f>
        <v>F-03</v>
      </c>
      <c r="C14474" s="2" t="str">
        <f ca="1">IFERROR(__xludf.DUMMYFUNCTION("""COMPUTED_VALUE"""),"Building")</f>
        <v>Building</v>
      </c>
      <c r="D14474" s="2" t="str">
        <f ca="1">IFERROR(__xludf.DUMMYFUNCTION("""COMPUTED_VALUE"""),"Dubai&gt;International City&gt;China Cluster&gt;F-03")</f>
        <v>Dubai&gt;International City&gt;China Cluster&gt;F-03</v>
      </c>
      <c r="E14474" s="2"/>
      <c r="F14474" s="2"/>
      <c r="G14474" s="2"/>
      <c r="H14474" s="2"/>
      <c r="I14474" s="2"/>
      <c r="J14474" s="2"/>
      <c r="K14474" s="2"/>
      <c r="L14474" s="2"/>
      <c r="M14474" s="2"/>
      <c r="N14474" s="2"/>
      <c r="O14474" s="2"/>
      <c r="P14474" s="2"/>
      <c r="Q14474" s="2"/>
      <c r="R14474" s="2"/>
      <c r="S14474" s="2"/>
      <c r="T14474" s="2"/>
      <c r="U14474" s="2"/>
      <c r="V14474" s="2"/>
      <c r="W14474" s="2"/>
      <c r="X14474" s="2"/>
      <c r="Y14474" s="2"/>
      <c r="Z14474" s="2"/>
    </row>
    <row r="14475" spans="1:26" ht="16.5" x14ac:dyDescent="0.35">
      <c r="A14475" s="2" t="str">
        <f ca="1">IFERROR(__xludf.DUMMYFUNCTION("""COMPUTED_VALUE"""),"Dubai")</f>
        <v>Dubai</v>
      </c>
      <c r="B14475" s="2" t="str">
        <f ca="1">IFERROR(__xludf.DUMMYFUNCTION("""COMPUTED_VALUE"""),"S-14")</f>
        <v>S-14</v>
      </c>
      <c r="C14475" s="2" t="str">
        <f ca="1">IFERROR(__xludf.DUMMYFUNCTION("""COMPUTED_VALUE"""),"Building")</f>
        <v>Building</v>
      </c>
      <c r="D14475" s="2" t="str">
        <f ca="1">IFERROR(__xludf.DUMMYFUNCTION("""COMPUTED_VALUE"""),"Dubai&gt;International City&gt;Spain Cluster&gt;S-14")</f>
        <v>Dubai&gt;International City&gt;Spain Cluster&gt;S-14</v>
      </c>
      <c r="E14475" s="2"/>
      <c r="F14475" s="2"/>
      <c r="G14475" s="2"/>
      <c r="H14475" s="2"/>
      <c r="I14475" s="2"/>
      <c r="J14475" s="2"/>
      <c r="K14475" s="2"/>
      <c r="L14475" s="2"/>
      <c r="M14475" s="2"/>
      <c r="N14475" s="2"/>
      <c r="O14475" s="2"/>
      <c r="P14475" s="2"/>
      <c r="Q14475" s="2"/>
      <c r="R14475" s="2"/>
      <c r="S14475" s="2"/>
      <c r="T14475" s="2"/>
      <c r="U14475" s="2"/>
      <c r="V14475" s="2"/>
      <c r="W14475" s="2"/>
      <c r="X14475" s="2"/>
      <c r="Y14475" s="2"/>
      <c r="Z14475" s="2"/>
    </row>
    <row r="14476" spans="1:26" ht="16.5" x14ac:dyDescent="0.35">
      <c r="A14476" s="2" t="str">
        <f ca="1">IFERROR(__xludf.DUMMYFUNCTION("""COMPUTED_VALUE"""),"Dubai")</f>
        <v>Dubai</v>
      </c>
      <c r="B14476" s="2" t="str">
        <f ca="1">IFERROR(__xludf.DUMMYFUNCTION("""COMPUTED_VALUE"""),"U-01")</f>
        <v>U-01</v>
      </c>
      <c r="C14476" s="2" t="str">
        <f ca="1">IFERROR(__xludf.DUMMYFUNCTION("""COMPUTED_VALUE"""),"Building")</f>
        <v>Building</v>
      </c>
      <c r="D14476" s="2" t="str">
        <f ca="1">IFERROR(__xludf.DUMMYFUNCTION("""COMPUTED_VALUE"""),"Dubai&gt;International City&gt;Italy Cluster&gt;U-01")</f>
        <v>Dubai&gt;International City&gt;Italy Cluster&gt;U-01</v>
      </c>
      <c r="E14476" s="2"/>
      <c r="F14476" s="2"/>
      <c r="G14476" s="2"/>
      <c r="H14476" s="2"/>
      <c r="I14476" s="2"/>
      <c r="J14476" s="2"/>
      <c r="K14476" s="2"/>
      <c r="L14476" s="2"/>
      <c r="M14476" s="2"/>
      <c r="N14476" s="2"/>
      <c r="O14476" s="2"/>
      <c r="P14476" s="2"/>
      <c r="Q14476" s="2"/>
      <c r="R14476" s="2"/>
      <c r="S14476" s="2"/>
      <c r="T14476" s="2"/>
      <c r="U14476" s="2"/>
      <c r="V14476" s="2"/>
      <c r="W14476" s="2"/>
      <c r="X14476" s="2"/>
      <c r="Y14476" s="2"/>
      <c r="Z14476" s="2"/>
    </row>
    <row r="14477" spans="1:26" ht="16.5" x14ac:dyDescent="0.35">
      <c r="A14477" s="2" t="str">
        <f ca="1">IFERROR(__xludf.DUMMYFUNCTION("""COMPUTED_VALUE"""),"Dubai")</f>
        <v>Dubai</v>
      </c>
      <c r="B14477" s="2" t="str">
        <f ca="1">IFERROR(__xludf.DUMMYFUNCTION("""COMPUTED_VALUE"""),"V-05")</f>
        <v>V-05</v>
      </c>
      <c r="C14477" s="2" t="str">
        <f ca="1">IFERROR(__xludf.DUMMYFUNCTION("""COMPUTED_VALUE"""),"Building")</f>
        <v>Building</v>
      </c>
      <c r="D14477" s="2" t="str">
        <f ca="1">IFERROR(__xludf.DUMMYFUNCTION("""COMPUTED_VALUE"""),"Dubai&gt;International City&gt;Russia Cluster&gt;V-05")</f>
        <v>Dubai&gt;International City&gt;Russia Cluster&gt;V-05</v>
      </c>
      <c r="E14477" s="2"/>
      <c r="F14477" s="2"/>
      <c r="G14477" s="2"/>
      <c r="H14477" s="2"/>
      <c r="I14477" s="2"/>
      <c r="J14477" s="2"/>
      <c r="K14477" s="2"/>
      <c r="L14477" s="2"/>
      <c r="M14477" s="2"/>
      <c r="N14477" s="2"/>
      <c r="O14477" s="2"/>
      <c r="P14477" s="2"/>
      <c r="Q14477" s="2"/>
      <c r="R14477" s="2"/>
      <c r="S14477" s="2"/>
      <c r="T14477" s="2"/>
      <c r="U14477" s="2"/>
      <c r="V14477" s="2"/>
      <c r="W14477" s="2"/>
      <c r="X14477" s="2"/>
      <c r="Y14477" s="2"/>
      <c r="Z14477" s="2"/>
    </row>
    <row r="14478" spans="1:26" ht="16.5" x14ac:dyDescent="0.35">
      <c r="A14478" s="2" t="str">
        <f ca="1">IFERROR(__xludf.DUMMYFUNCTION("""COMPUTED_VALUE"""),"Dubai")</f>
        <v>Dubai</v>
      </c>
      <c r="B14478" s="2" t="str">
        <f ca="1">IFERROR(__xludf.DUMMYFUNCTION("""COMPUTED_VALUE"""),"The Residences International City")</f>
        <v>The Residences International City</v>
      </c>
      <c r="C14478" s="2"/>
      <c r="D14478" s="2" t="str">
        <f ca="1">IFERROR(__xludf.DUMMYFUNCTION("""COMPUTED_VALUE"""),"Dubai&gt;International City&gt;The Residences International City")</f>
        <v>Dubai&gt;International City&gt;The Residences International City</v>
      </c>
      <c r="E14478" s="2"/>
      <c r="F14478" s="2"/>
      <c r="G14478" s="2"/>
      <c r="H14478" s="2"/>
      <c r="I14478" s="2"/>
      <c r="J14478" s="2"/>
      <c r="K14478" s="2"/>
      <c r="L14478" s="2"/>
      <c r="M14478" s="2"/>
      <c r="N14478" s="2"/>
      <c r="O14478" s="2"/>
      <c r="P14478" s="2"/>
      <c r="Q14478" s="2"/>
      <c r="R14478" s="2"/>
      <c r="S14478" s="2"/>
      <c r="T14478" s="2"/>
      <c r="U14478" s="2"/>
      <c r="V14478" s="2"/>
      <c r="W14478" s="2"/>
      <c r="X14478" s="2"/>
      <c r="Y14478" s="2"/>
      <c r="Z14478" s="2"/>
    </row>
    <row r="14479" spans="1:26" ht="16.5" x14ac:dyDescent="0.35">
      <c r="A14479" s="2" t="str">
        <f ca="1">IFERROR(__xludf.DUMMYFUNCTION("""COMPUTED_VALUE"""),"Dubai")</f>
        <v>Dubai</v>
      </c>
      <c r="B14479" s="2" t="str">
        <f ca="1">IFERROR(__xludf.DUMMYFUNCTION("""COMPUTED_VALUE"""),"Emirates Cluster")</f>
        <v>Emirates Cluster</v>
      </c>
      <c r="C14479" s="2" t="str">
        <f ca="1">IFERROR(__xludf.DUMMYFUNCTION("""COMPUTED_VALUE"""),"Neighbourhood")</f>
        <v>Neighbourhood</v>
      </c>
      <c r="D14479" s="2" t="str">
        <f ca="1">IFERROR(__xludf.DUMMYFUNCTION("""COMPUTED_VALUE"""),"Dubai&gt;International City&gt;Emirates Cluster")</f>
        <v>Dubai&gt;International City&gt;Emirates Cluster</v>
      </c>
      <c r="E14479" s="2"/>
      <c r="F14479" s="2"/>
      <c r="G14479" s="2"/>
      <c r="H14479" s="2"/>
      <c r="I14479" s="2"/>
      <c r="J14479" s="2"/>
      <c r="K14479" s="2"/>
      <c r="L14479" s="2"/>
      <c r="M14479" s="2"/>
      <c r="N14479" s="2"/>
      <c r="O14479" s="2"/>
      <c r="P14479" s="2"/>
      <c r="Q14479" s="2"/>
      <c r="R14479" s="2"/>
      <c r="S14479" s="2"/>
      <c r="T14479" s="2"/>
      <c r="U14479" s="2"/>
      <c r="V14479" s="2"/>
      <c r="W14479" s="2"/>
      <c r="X14479" s="2"/>
      <c r="Y14479" s="2"/>
      <c r="Z14479" s="2"/>
    </row>
    <row r="14480" spans="1:26" ht="16.5" x14ac:dyDescent="0.35">
      <c r="A14480" s="2" t="str">
        <f ca="1">IFERROR(__xludf.DUMMYFUNCTION("""COMPUTED_VALUE"""),"Dubai")</f>
        <v>Dubai</v>
      </c>
      <c r="B14480" s="2" t="str">
        <f ca="1">IFERROR(__xludf.DUMMYFUNCTION("""COMPUTED_VALUE"""),"X-05")</f>
        <v>X-05</v>
      </c>
      <c r="C14480" s="2" t="str">
        <f ca="1">IFERROR(__xludf.DUMMYFUNCTION("""COMPUTED_VALUE"""),"Building")</f>
        <v>Building</v>
      </c>
      <c r="D14480" s="2" t="str">
        <f ca="1">IFERROR(__xludf.DUMMYFUNCTION("""COMPUTED_VALUE"""),"Dubai&gt;International City&gt;England Cluster&gt;X-05")</f>
        <v>Dubai&gt;International City&gt;England Cluster&gt;X-05</v>
      </c>
      <c r="E14480" s="2"/>
      <c r="F14480" s="2"/>
      <c r="G14480" s="2"/>
      <c r="H14480" s="2"/>
      <c r="I14480" s="2"/>
      <c r="J14480" s="2"/>
      <c r="K14480" s="2"/>
      <c r="L14480" s="2"/>
      <c r="M14480" s="2"/>
      <c r="N14480" s="2"/>
      <c r="O14480" s="2"/>
      <c r="P14480" s="2"/>
      <c r="Q14480" s="2"/>
      <c r="R14480" s="2"/>
      <c r="S14480" s="2"/>
      <c r="T14480" s="2"/>
      <c r="U14480" s="2"/>
      <c r="V14480" s="2"/>
      <c r="W14480" s="2"/>
      <c r="X14480" s="2"/>
      <c r="Y14480" s="2"/>
      <c r="Z14480" s="2"/>
    </row>
    <row r="14481" spans="1:26" ht="16.5" x14ac:dyDescent="0.35">
      <c r="A14481" s="2" t="str">
        <f ca="1">IFERROR(__xludf.DUMMYFUNCTION("""COMPUTED_VALUE"""),"Dubai")</f>
        <v>Dubai</v>
      </c>
      <c r="B14481" s="2" t="str">
        <f ca="1">IFERROR(__xludf.DUMMYFUNCTION("""COMPUTED_VALUE"""),"Y-11")</f>
        <v>Y-11</v>
      </c>
      <c r="C14481" s="2" t="str">
        <f ca="1">IFERROR(__xludf.DUMMYFUNCTION("""COMPUTED_VALUE"""),"Building")</f>
        <v>Building</v>
      </c>
      <c r="D14481" s="2" t="str">
        <f ca="1">IFERROR(__xludf.DUMMYFUNCTION("""COMPUTED_VALUE"""),"Dubai&gt;International City&gt;England Cluster&gt;Y-11")</f>
        <v>Dubai&gt;International City&gt;England Cluster&gt;Y-11</v>
      </c>
      <c r="E14481" s="2"/>
      <c r="F14481" s="2"/>
      <c r="G14481" s="2"/>
      <c r="H14481" s="2"/>
      <c r="I14481" s="2"/>
      <c r="J14481" s="2"/>
      <c r="K14481" s="2"/>
      <c r="L14481" s="2"/>
      <c r="M14481" s="2"/>
      <c r="N14481" s="2"/>
      <c r="O14481" s="2"/>
      <c r="P14481" s="2"/>
      <c r="Q14481" s="2"/>
      <c r="R14481" s="2"/>
      <c r="S14481" s="2"/>
      <c r="T14481" s="2"/>
      <c r="U14481" s="2"/>
      <c r="V14481" s="2"/>
      <c r="W14481" s="2"/>
      <c r="X14481" s="2"/>
      <c r="Y14481" s="2"/>
      <c r="Z14481" s="2"/>
    </row>
    <row r="14482" spans="1:26" ht="16.5" x14ac:dyDescent="0.35">
      <c r="A14482" s="2" t="str">
        <f ca="1">IFERROR(__xludf.DUMMYFUNCTION("""COMPUTED_VALUE"""),"Dubai")</f>
        <v>Dubai</v>
      </c>
      <c r="B14482" s="2" t="str">
        <f ca="1">IFERROR(__xludf.DUMMYFUNCTION("""COMPUTED_VALUE"""),"Sharaf Building")</f>
        <v>Sharaf Building</v>
      </c>
      <c r="C14482" s="2" t="str">
        <f ca="1">IFERROR(__xludf.DUMMYFUNCTION("""COMPUTED_VALUE"""),"Building")</f>
        <v>Building</v>
      </c>
      <c r="D14482" s="2" t="str">
        <f ca="1">IFERROR(__xludf.DUMMYFUNCTION("""COMPUTED_VALUE"""),"Dubai&gt;International City&gt;International City Phase 2 (Warsan 4)&gt;Sharaf Building")</f>
        <v>Dubai&gt;International City&gt;International City Phase 2 (Warsan 4)&gt;Sharaf Building</v>
      </c>
      <c r="E14482" s="2"/>
      <c r="F14482" s="2"/>
      <c r="G14482" s="2"/>
      <c r="H14482" s="2"/>
      <c r="I14482" s="2"/>
      <c r="J14482" s="2"/>
      <c r="K14482" s="2"/>
      <c r="L14482" s="2"/>
      <c r="M14482" s="2"/>
      <c r="N14482" s="2"/>
      <c r="O14482" s="2"/>
      <c r="P14482" s="2"/>
      <c r="Q14482" s="2"/>
      <c r="R14482" s="2"/>
      <c r="S14482" s="2"/>
      <c r="T14482" s="2"/>
      <c r="U14482" s="2"/>
      <c r="V14482" s="2"/>
      <c r="W14482" s="2"/>
      <c r="X14482" s="2"/>
      <c r="Y14482" s="2"/>
      <c r="Z14482" s="2"/>
    </row>
    <row r="14483" spans="1:26" ht="16.5" x14ac:dyDescent="0.35">
      <c r="A14483" s="2" t="str">
        <f ca="1">IFERROR(__xludf.DUMMYFUNCTION("""COMPUTED_VALUE"""),"Dubai")</f>
        <v>Dubai</v>
      </c>
      <c r="B14483" s="2" t="str">
        <f ca="1">IFERROR(__xludf.DUMMYFUNCTION("""COMPUTED_VALUE"""),"BNH Smart Tower")</f>
        <v>BNH Smart Tower</v>
      </c>
      <c r="C14483" s="2" t="str">
        <f ca="1">IFERROR(__xludf.DUMMYFUNCTION("""COMPUTED_VALUE"""),"Building")</f>
        <v>Building</v>
      </c>
      <c r="D14483" s="2" t="str">
        <f ca="1">IFERROR(__xludf.DUMMYFUNCTION("""COMPUTED_VALUE"""),"Dubai&gt;International City&gt;International City Phase 2 (Warsan 4)&gt;BNH Smart Tower")</f>
        <v>Dubai&gt;International City&gt;International City Phase 2 (Warsan 4)&gt;BNH Smart Tower</v>
      </c>
      <c r="E14483" s="2"/>
      <c r="F14483" s="2"/>
      <c r="G14483" s="2"/>
      <c r="H14483" s="2"/>
      <c r="I14483" s="2"/>
      <c r="J14483" s="2"/>
      <c r="K14483" s="2"/>
      <c r="L14483" s="2"/>
      <c r="M14483" s="2"/>
      <c r="N14483" s="2"/>
      <c r="O14483" s="2"/>
      <c r="P14483" s="2"/>
      <c r="Q14483" s="2"/>
      <c r="R14483" s="2"/>
      <c r="S14483" s="2"/>
      <c r="T14483" s="2"/>
      <c r="U14483" s="2"/>
      <c r="V14483" s="2"/>
      <c r="W14483" s="2"/>
      <c r="X14483" s="2"/>
      <c r="Y14483" s="2"/>
      <c r="Z14483" s="2"/>
    </row>
    <row r="14484" spans="1:26" ht="16.5" x14ac:dyDescent="0.35">
      <c r="A14484" s="2" t="str">
        <f ca="1">IFERROR(__xludf.DUMMYFUNCTION("""COMPUTED_VALUE"""),"Dubai")</f>
        <v>Dubai</v>
      </c>
      <c r="B14484" s="2" t="str">
        <f ca="1">IFERROR(__xludf.DUMMYFUNCTION("""COMPUTED_VALUE"""),"Gardens Gold")</f>
        <v>Gardens Gold</v>
      </c>
      <c r="C14484" s="2" t="str">
        <f ca="1">IFERROR(__xludf.DUMMYFUNCTION("""COMPUTED_VALUE"""),"Building")</f>
        <v>Building</v>
      </c>
      <c r="D14484" s="2" t="str">
        <f ca="1">IFERROR(__xludf.DUMMYFUNCTION("""COMPUTED_VALUE"""),"Dubai&gt;International City&gt;International City Phase 2 (Warsan 4)&gt;Gardens Gold")</f>
        <v>Dubai&gt;International City&gt;International City Phase 2 (Warsan 4)&gt;Gardens Gold</v>
      </c>
      <c r="E14484" s="2"/>
      <c r="F14484" s="2"/>
      <c r="G14484" s="2"/>
      <c r="H14484" s="2"/>
      <c r="I14484" s="2"/>
      <c r="J14484" s="2"/>
      <c r="K14484" s="2"/>
      <c r="L14484" s="2"/>
      <c r="M14484" s="2"/>
      <c r="N14484" s="2"/>
      <c r="O14484" s="2"/>
      <c r="P14484" s="2"/>
      <c r="Q14484" s="2"/>
      <c r="R14484" s="2"/>
      <c r="S14484" s="2"/>
      <c r="T14484" s="2"/>
      <c r="U14484" s="2"/>
      <c r="V14484" s="2"/>
      <c r="W14484" s="2"/>
      <c r="X14484" s="2"/>
      <c r="Y14484" s="2"/>
      <c r="Z14484" s="2"/>
    </row>
    <row r="14485" spans="1:26" ht="16.5" x14ac:dyDescent="0.35">
      <c r="A14485" s="2" t="str">
        <f ca="1">IFERROR(__xludf.DUMMYFUNCTION("""COMPUTED_VALUE"""),"Dubai")</f>
        <v>Dubai</v>
      </c>
      <c r="B14485" s="2" t="str">
        <f ca="1">IFERROR(__xludf.DUMMYFUNCTION("""COMPUTED_VALUE"""),"4B Living")</f>
        <v>4B Living</v>
      </c>
      <c r="C14485" s="2" t="str">
        <f ca="1">IFERROR(__xludf.DUMMYFUNCTION("""COMPUTED_VALUE"""),"Building")</f>
        <v>Building</v>
      </c>
      <c r="D14485" s="2" t="str">
        <f ca="1">IFERROR(__xludf.DUMMYFUNCTION("""COMPUTED_VALUE"""),"Dubai&gt;International City&gt;International City Phase 2 (Warsan 4)&gt;4B Living")</f>
        <v>Dubai&gt;International City&gt;International City Phase 2 (Warsan 4)&gt;4B Living</v>
      </c>
      <c r="E14485" s="2"/>
      <c r="F14485" s="2"/>
      <c r="G14485" s="2"/>
      <c r="H14485" s="2"/>
      <c r="I14485" s="2"/>
      <c r="J14485" s="2"/>
      <c r="K14485" s="2"/>
      <c r="L14485" s="2"/>
      <c r="M14485" s="2"/>
      <c r="N14485" s="2"/>
      <c r="O14485" s="2"/>
      <c r="P14485" s="2"/>
      <c r="Q14485" s="2"/>
      <c r="R14485" s="2"/>
      <c r="S14485" s="2"/>
      <c r="T14485" s="2"/>
      <c r="U14485" s="2"/>
      <c r="V14485" s="2"/>
      <c r="W14485" s="2"/>
      <c r="X14485" s="2"/>
      <c r="Y14485" s="2"/>
      <c r="Z14485" s="2"/>
    </row>
    <row r="14486" spans="1:26" ht="16.5" x14ac:dyDescent="0.35">
      <c r="A14486" s="2" t="str">
        <f ca="1">IFERROR(__xludf.DUMMYFUNCTION("""COMPUTED_VALUE"""),"Dubai")</f>
        <v>Dubai</v>
      </c>
      <c r="B14486" s="2" t="str">
        <f ca="1">IFERROR(__xludf.DUMMYFUNCTION("""COMPUTED_VALUE"""),"Tavora Residences")</f>
        <v>Tavora Residences</v>
      </c>
      <c r="C14486" s="2" t="str">
        <f ca="1">IFERROR(__xludf.DUMMYFUNCTION("""COMPUTED_VALUE"""),"Building")</f>
        <v>Building</v>
      </c>
      <c r="D14486" s="2" t="str">
        <f ca="1">IFERROR(__xludf.DUMMYFUNCTION("""COMPUTED_VALUE"""),"Dubai&gt;International City&gt;International City Phase 2 (Warsan 4)&gt;Tavora Residences")</f>
        <v>Dubai&gt;International City&gt;International City Phase 2 (Warsan 4)&gt;Tavora Residences</v>
      </c>
      <c r="E14486" s="2"/>
      <c r="F14486" s="2"/>
      <c r="G14486" s="2"/>
      <c r="H14486" s="2"/>
      <c r="I14486" s="2"/>
      <c r="J14486" s="2"/>
      <c r="K14486" s="2"/>
      <c r="L14486" s="2"/>
      <c r="M14486" s="2"/>
      <c r="N14486" s="2"/>
      <c r="O14486" s="2"/>
      <c r="P14486" s="2"/>
      <c r="Q14486" s="2"/>
      <c r="R14486" s="2"/>
      <c r="S14486" s="2"/>
      <c r="T14486" s="2"/>
      <c r="U14486" s="2"/>
      <c r="V14486" s="2"/>
      <c r="W14486" s="2"/>
      <c r="X14486" s="2"/>
      <c r="Y14486" s="2"/>
      <c r="Z14486" s="2"/>
    </row>
    <row r="14487" spans="1:26" ht="16.5" x14ac:dyDescent="0.35">
      <c r="A14487" s="2" t="str">
        <f ca="1">IFERROR(__xludf.DUMMYFUNCTION("""COMPUTED_VALUE"""),"Dubai")</f>
        <v>Dubai</v>
      </c>
      <c r="B14487" s="2" t="str">
        <f ca="1">IFERROR(__xludf.DUMMYFUNCTION("""COMPUTED_VALUE"""),"L-06")</f>
        <v>L-06</v>
      </c>
      <c r="C14487" s="2" t="str">
        <f ca="1">IFERROR(__xludf.DUMMYFUNCTION("""COMPUTED_VALUE"""),"Building")</f>
        <v>Building</v>
      </c>
      <c r="D14487" s="2" t="str">
        <f ca="1">IFERROR(__xludf.DUMMYFUNCTION("""COMPUTED_VALUE"""),"Dubai&gt;International City&gt;Greece Cluster&gt;L-06")</f>
        <v>Dubai&gt;International City&gt;Greece Cluster&gt;L-06</v>
      </c>
      <c r="E14487" s="2"/>
      <c r="F14487" s="2"/>
      <c r="G14487" s="2"/>
      <c r="H14487" s="2"/>
      <c r="I14487" s="2"/>
      <c r="J14487" s="2"/>
      <c r="K14487" s="2"/>
      <c r="L14487" s="2"/>
      <c r="M14487" s="2"/>
      <c r="N14487" s="2"/>
      <c r="O14487" s="2"/>
      <c r="P14487" s="2"/>
      <c r="Q14487" s="2"/>
      <c r="R14487" s="2"/>
      <c r="S14487" s="2"/>
      <c r="T14487" s="2"/>
      <c r="U14487" s="2"/>
      <c r="V14487" s="2"/>
      <c r="W14487" s="2"/>
      <c r="X14487" s="2"/>
      <c r="Y14487" s="2"/>
      <c r="Z14487" s="2"/>
    </row>
    <row r="14488" spans="1:26" ht="16.5" x14ac:dyDescent="0.35">
      <c r="A14488" s="2" t="str">
        <f ca="1">IFERROR(__xludf.DUMMYFUNCTION("""COMPUTED_VALUE"""),"Dubai")</f>
        <v>Dubai</v>
      </c>
      <c r="B14488" s="2" t="str">
        <f ca="1">IFERROR(__xludf.DUMMYFUNCTION("""COMPUTED_VALUE"""),"P-02")</f>
        <v>P-02</v>
      </c>
      <c r="C14488" s="2" t="str">
        <f ca="1">IFERROR(__xludf.DUMMYFUNCTION("""COMPUTED_VALUE"""),"Building")</f>
        <v>Building</v>
      </c>
      <c r="D14488" s="2" t="str">
        <f ca="1">IFERROR(__xludf.DUMMYFUNCTION("""COMPUTED_VALUE"""),"Dubai&gt;International City&gt;France Cluster&gt;P-02")</f>
        <v>Dubai&gt;International City&gt;France Cluster&gt;P-02</v>
      </c>
      <c r="E14488" s="2"/>
      <c r="F14488" s="2"/>
      <c r="G14488" s="2"/>
      <c r="H14488" s="2"/>
      <c r="I14488" s="2"/>
      <c r="J14488" s="2"/>
      <c r="K14488" s="2"/>
      <c r="L14488" s="2"/>
      <c r="M14488" s="2"/>
      <c r="N14488" s="2"/>
      <c r="O14488" s="2"/>
      <c r="P14488" s="2"/>
      <c r="Q14488" s="2"/>
      <c r="R14488" s="2"/>
      <c r="S14488" s="2"/>
      <c r="T14488" s="2"/>
      <c r="U14488" s="2"/>
      <c r="V14488" s="2"/>
      <c r="W14488" s="2"/>
      <c r="X14488" s="2"/>
      <c r="Y14488" s="2"/>
      <c r="Z14488" s="2"/>
    </row>
    <row r="14489" spans="1:26" ht="16.5" x14ac:dyDescent="0.35">
      <c r="A14489" s="2" t="str">
        <f ca="1">IFERROR(__xludf.DUMMYFUNCTION("""COMPUTED_VALUE"""),"Dubai")</f>
        <v>Dubai</v>
      </c>
      <c r="B14489" s="2" t="str">
        <f ca="1">IFERROR(__xludf.DUMMYFUNCTION("""COMPUTED_VALUE"""),"R-23")</f>
        <v>R-23</v>
      </c>
      <c r="C14489" s="2" t="str">
        <f ca="1">IFERROR(__xludf.DUMMYFUNCTION("""COMPUTED_VALUE"""),"Building")</f>
        <v>Building</v>
      </c>
      <c r="D14489" s="2" t="str">
        <f ca="1">IFERROR(__xludf.DUMMYFUNCTION("""COMPUTED_VALUE"""),"Dubai&gt;International City&gt;France Cluster&gt;R-23")</f>
        <v>Dubai&gt;International City&gt;France Cluster&gt;R-23</v>
      </c>
      <c r="E14489" s="2"/>
      <c r="F14489" s="2"/>
      <c r="G14489" s="2"/>
      <c r="H14489" s="2"/>
      <c r="I14489" s="2"/>
      <c r="J14489" s="2"/>
      <c r="K14489" s="2"/>
      <c r="L14489" s="2"/>
      <c r="M14489" s="2"/>
      <c r="N14489" s="2"/>
      <c r="O14489" s="2"/>
      <c r="P14489" s="2"/>
      <c r="Q14489" s="2"/>
      <c r="R14489" s="2"/>
      <c r="S14489" s="2"/>
      <c r="T14489" s="2"/>
      <c r="U14489" s="2"/>
      <c r="V14489" s="2"/>
      <c r="W14489" s="2"/>
      <c r="X14489" s="2"/>
      <c r="Y14489" s="2"/>
      <c r="Z14489" s="2"/>
    </row>
    <row r="14490" spans="1:26" ht="16.5" x14ac:dyDescent="0.35">
      <c r="A14490" s="2" t="str">
        <f ca="1">IFERROR(__xludf.DUMMYFUNCTION("""COMPUTED_VALUE"""),"Dubai")</f>
        <v>Dubai</v>
      </c>
      <c r="B14490" s="2" t="str">
        <f ca="1">IFERROR(__xludf.DUMMYFUNCTION("""COMPUTED_VALUE"""),"Sheffield Classic Apartments")</f>
        <v>Sheffield Classic Apartments</v>
      </c>
      <c r="C14490" s="2" t="str">
        <f ca="1">IFERROR(__xludf.DUMMYFUNCTION("""COMPUTED_VALUE"""),"Building")</f>
        <v>Building</v>
      </c>
      <c r="D14490" s="2" t="str">
        <f ca="1">IFERROR(__xludf.DUMMYFUNCTION("""COMPUTED_VALUE"""),"Dubai&gt;International City&gt;Central Business District&gt;Sheffield Classic Apartments")</f>
        <v>Dubai&gt;International City&gt;Central Business District&gt;Sheffield Classic Apartments</v>
      </c>
      <c r="E14490" s="2"/>
      <c r="F14490" s="2"/>
      <c r="G14490" s="2"/>
      <c r="H14490" s="2"/>
      <c r="I14490" s="2"/>
      <c r="J14490" s="2"/>
      <c r="K14490" s="2"/>
      <c r="L14490" s="2"/>
      <c r="M14490" s="2"/>
      <c r="N14490" s="2"/>
      <c r="O14490" s="2"/>
      <c r="P14490" s="2"/>
      <c r="Q14490" s="2"/>
      <c r="R14490" s="2"/>
      <c r="S14490" s="2"/>
      <c r="T14490" s="2"/>
      <c r="U14490" s="2"/>
      <c r="V14490" s="2"/>
      <c r="W14490" s="2"/>
      <c r="X14490" s="2"/>
      <c r="Y14490" s="2"/>
      <c r="Z14490" s="2"/>
    </row>
    <row r="14491" spans="1:26" ht="16.5" x14ac:dyDescent="0.35">
      <c r="A14491" s="2" t="str">
        <f ca="1">IFERROR(__xludf.DUMMYFUNCTION("""COMPUTED_VALUE"""),"Dubai")</f>
        <v>Dubai</v>
      </c>
      <c r="B14491" s="2" t="str">
        <f ca="1">IFERROR(__xludf.DUMMYFUNCTION("""COMPUTED_VALUE"""),"Warsan Star Residence")</f>
        <v>Warsan Star Residence</v>
      </c>
      <c r="C14491" s="2" t="str">
        <f ca="1">IFERROR(__xludf.DUMMYFUNCTION("""COMPUTED_VALUE"""),"Building")</f>
        <v>Building</v>
      </c>
      <c r="D14491" s="2" t="str">
        <f ca="1">IFERROR(__xludf.DUMMYFUNCTION("""COMPUTED_VALUE"""),"Dubai&gt;International City&gt;Warsan Star Residence")</f>
        <v>Dubai&gt;International City&gt;Warsan Star Residence</v>
      </c>
      <c r="E14491" s="2"/>
      <c r="F14491" s="2"/>
      <c r="G14491" s="2"/>
      <c r="H14491" s="2"/>
      <c r="I14491" s="2"/>
      <c r="J14491" s="2"/>
      <c r="K14491" s="2"/>
      <c r="L14491" s="2"/>
      <c r="M14491" s="2"/>
      <c r="N14491" s="2"/>
      <c r="O14491" s="2"/>
      <c r="P14491" s="2"/>
      <c r="Q14491" s="2"/>
      <c r="R14491" s="2"/>
      <c r="S14491" s="2"/>
      <c r="T14491" s="2"/>
      <c r="U14491" s="2"/>
      <c r="V14491" s="2"/>
      <c r="W14491" s="2"/>
      <c r="X14491" s="2"/>
      <c r="Y14491" s="2"/>
      <c r="Z14491" s="2"/>
    </row>
    <row r="14492" spans="1:26" ht="16.5" x14ac:dyDescent="0.35">
      <c r="A14492" s="2" t="str">
        <f ca="1">IFERROR(__xludf.DUMMYFUNCTION("""COMPUTED_VALUE"""),"Dubai")</f>
        <v>Dubai</v>
      </c>
      <c r="B14492" s="2" t="str">
        <f ca="1">IFERROR(__xludf.DUMMYFUNCTION("""COMPUTED_VALUE"""),"Marina Park")</f>
        <v>Marina Park</v>
      </c>
      <c r="C14492" s="2" t="str">
        <f ca="1">IFERROR(__xludf.DUMMYFUNCTION("""COMPUTED_VALUE"""),"Building")</f>
        <v>Building</v>
      </c>
      <c r="D14492" s="2" t="str">
        <f ca="1">IFERROR(__xludf.DUMMYFUNCTION("""COMPUTED_VALUE"""),"Dubai&gt;Dubai Marina&gt;Marina Park")</f>
        <v>Dubai&gt;Dubai Marina&gt;Marina Park</v>
      </c>
      <c r="E14492" s="2"/>
      <c r="F14492" s="2"/>
      <c r="G14492" s="2"/>
      <c r="H14492" s="2"/>
      <c r="I14492" s="2"/>
      <c r="J14492" s="2"/>
      <c r="K14492" s="2"/>
      <c r="L14492" s="2"/>
      <c r="M14492" s="2"/>
      <c r="N14492" s="2"/>
      <c r="O14492" s="2"/>
      <c r="P14492" s="2"/>
      <c r="Q14492" s="2"/>
      <c r="R14492" s="2"/>
      <c r="S14492" s="2"/>
      <c r="T14492" s="2"/>
      <c r="U14492" s="2"/>
      <c r="V14492" s="2"/>
      <c r="W14492" s="2"/>
      <c r="X14492" s="2"/>
      <c r="Y14492" s="2"/>
      <c r="Z14492" s="2"/>
    </row>
    <row r="14493" spans="1:26" ht="16.5" x14ac:dyDescent="0.35">
      <c r="A14493" s="2" t="str">
        <f ca="1">IFERROR(__xludf.DUMMYFUNCTION("""COMPUTED_VALUE"""),"Dubai")</f>
        <v>Dubai</v>
      </c>
      <c r="B14493" s="2" t="str">
        <f ca="1">IFERROR(__xludf.DUMMYFUNCTION("""COMPUTED_VALUE"""),"Al Majara 4")</f>
        <v>Al Majara 4</v>
      </c>
      <c r="C14493" s="2" t="str">
        <f ca="1">IFERROR(__xludf.DUMMYFUNCTION("""COMPUTED_VALUE"""),"Building")</f>
        <v>Building</v>
      </c>
      <c r="D14493" s="2" t="str">
        <f ca="1">IFERROR(__xludf.DUMMYFUNCTION("""COMPUTED_VALUE"""),"Dubai&gt;Dubai Marina&gt;Al Majara&gt;Al Majara 4")</f>
        <v>Dubai&gt;Dubai Marina&gt;Al Majara&gt;Al Majara 4</v>
      </c>
      <c r="E14493" s="2"/>
      <c r="F14493" s="2"/>
      <c r="G14493" s="2"/>
      <c r="H14493" s="2"/>
      <c r="I14493" s="2"/>
      <c r="J14493" s="2"/>
      <c r="K14493" s="2"/>
      <c r="L14493" s="2"/>
      <c r="M14493" s="2"/>
      <c r="N14493" s="2"/>
      <c r="O14493" s="2"/>
      <c r="P14493" s="2"/>
      <c r="Q14493" s="2"/>
      <c r="R14493" s="2"/>
      <c r="S14493" s="2"/>
      <c r="T14493" s="2"/>
      <c r="U14493" s="2"/>
      <c r="V14493" s="2"/>
      <c r="W14493" s="2"/>
      <c r="X14493" s="2"/>
      <c r="Y14493" s="2"/>
      <c r="Z14493" s="2"/>
    </row>
    <row r="14494" spans="1:26" ht="16.5" x14ac:dyDescent="0.35">
      <c r="A14494" s="2" t="str">
        <f ca="1">IFERROR(__xludf.DUMMYFUNCTION("""COMPUTED_VALUE"""),"Dubai")</f>
        <v>Dubai</v>
      </c>
      <c r="B14494" s="2" t="str">
        <f ca="1">IFERROR(__xludf.DUMMYFUNCTION("""COMPUTED_VALUE"""),"Marinascape Marina Homes")</f>
        <v>Marinascape Marina Homes</v>
      </c>
      <c r="C14494" s="2" t="str">
        <f ca="1">IFERROR(__xludf.DUMMYFUNCTION("""COMPUTED_VALUE"""),"Neighbourhood")</f>
        <v>Neighbourhood</v>
      </c>
      <c r="D14494" s="2" t="str">
        <f ca="1">IFERROR(__xludf.DUMMYFUNCTION("""COMPUTED_VALUE"""),"Dubai&gt;Dubai Marina&gt;Trident Marinascape&gt;Marinascape Marina Homes")</f>
        <v>Dubai&gt;Dubai Marina&gt;Trident Marinascape&gt;Marinascape Marina Homes</v>
      </c>
      <c r="E14494" s="2"/>
      <c r="F14494" s="2"/>
      <c r="G14494" s="2"/>
      <c r="H14494" s="2"/>
      <c r="I14494" s="2"/>
      <c r="J14494" s="2"/>
      <c r="K14494" s="2"/>
      <c r="L14494" s="2"/>
      <c r="M14494" s="2"/>
      <c r="N14494" s="2"/>
      <c r="O14494" s="2"/>
      <c r="P14494" s="2"/>
      <c r="Q14494" s="2"/>
      <c r="R14494" s="2"/>
      <c r="S14494" s="2"/>
      <c r="T14494" s="2"/>
      <c r="U14494" s="2"/>
      <c r="V14494" s="2"/>
      <c r="W14494" s="2"/>
      <c r="X14494" s="2"/>
      <c r="Y14494" s="2"/>
      <c r="Z14494" s="2"/>
    </row>
    <row r="14495" spans="1:26" ht="16.5" x14ac:dyDescent="0.35">
      <c r="A14495" s="2" t="str">
        <f ca="1">IFERROR(__xludf.DUMMYFUNCTION("""COMPUTED_VALUE"""),"Dubai")</f>
        <v>Dubai</v>
      </c>
      <c r="B14495" s="2" t="str">
        <f ca="1">IFERROR(__xludf.DUMMYFUNCTION("""COMPUTED_VALUE"""),"Trident Bayside")</f>
        <v>Trident Bayside</v>
      </c>
      <c r="C14495" s="2" t="str">
        <f ca="1">IFERROR(__xludf.DUMMYFUNCTION("""COMPUTED_VALUE"""),"Building")</f>
        <v>Building</v>
      </c>
      <c r="D14495" s="2" t="str">
        <f ca="1">IFERROR(__xludf.DUMMYFUNCTION("""COMPUTED_VALUE"""),"Dubai&gt;Dubai Marina&gt;Trident Bayside")</f>
        <v>Dubai&gt;Dubai Marina&gt;Trident Bayside</v>
      </c>
      <c r="E14495" s="2"/>
      <c r="F14495" s="2"/>
      <c r="G14495" s="2"/>
      <c r="H14495" s="2"/>
      <c r="I14495" s="2"/>
      <c r="J14495" s="2"/>
      <c r="K14495" s="2"/>
      <c r="L14495" s="2"/>
      <c r="M14495" s="2"/>
      <c r="N14495" s="2"/>
      <c r="O14495" s="2"/>
      <c r="P14495" s="2"/>
      <c r="Q14495" s="2"/>
      <c r="R14495" s="2"/>
      <c r="S14495" s="2"/>
      <c r="T14495" s="2"/>
      <c r="U14495" s="2"/>
      <c r="V14495" s="2"/>
      <c r="W14495" s="2"/>
      <c r="X14495" s="2"/>
      <c r="Y14495" s="2"/>
      <c r="Z14495" s="2"/>
    </row>
    <row r="14496" spans="1:26" ht="16.5" x14ac:dyDescent="0.35">
      <c r="A14496" s="2" t="str">
        <f ca="1">IFERROR(__xludf.DUMMYFUNCTION("""COMPUTED_VALUE"""),"Dubai")</f>
        <v>Dubai</v>
      </c>
      <c r="B14496" s="2" t="str">
        <f ca="1">IFERROR(__xludf.DUMMYFUNCTION("""COMPUTED_VALUE"""),"Casa Del Mar")</f>
        <v>Casa Del Mar</v>
      </c>
      <c r="C14496" s="2" t="str">
        <f ca="1">IFERROR(__xludf.DUMMYFUNCTION("""COMPUTED_VALUE"""),"Building")</f>
        <v>Building</v>
      </c>
      <c r="D14496" s="2" t="str">
        <f ca="1">IFERROR(__xludf.DUMMYFUNCTION("""COMPUTED_VALUE"""),"Dubai&gt;Dubai Marina&gt;Casa Del Mar")</f>
        <v>Dubai&gt;Dubai Marina&gt;Casa Del Mar</v>
      </c>
      <c r="E14496" s="2"/>
      <c r="F14496" s="2"/>
      <c r="G14496" s="2"/>
      <c r="H14496" s="2"/>
      <c r="I14496" s="2"/>
      <c r="J14496" s="2"/>
      <c r="K14496" s="2"/>
      <c r="L14496" s="2"/>
      <c r="M14496" s="2"/>
      <c r="N14496" s="2"/>
      <c r="O14496" s="2"/>
      <c r="P14496" s="2"/>
      <c r="Q14496" s="2"/>
      <c r="R14496" s="2"/>
      <c r="S14496" s="2"/>
      <c r="T14496" s="2"/>
      <c r="U14496" s="2"/>
      <c r="V14496" s="2"/>
      <c r="W14496" s="2"/>
      <c r="X14496" s="2"/>
      <c r="Y14496" s="2"/>
      <c r="Z14496" s="2"/>
    </row>
    <row r="14497" spans="1:26" ht="16.5" x14ac:dyDescent="0.35">
      <c r="A14497" s="2" t="str">
        <f ca="1">IFERROR(__xludf.DUMMYFUNCTION("""COMPUTED_VALUE"""),"Dubai")</f>
        <v>Dubai</v>
      </c>
      <c r="B14497" s="2" t="str">
        <f ca="1">IFERROR(__xludf.DUMMYFUNCTION("""COMPUTED_VALUE"""),"Marina Gate")</f>
        <v>Marina Gate</v>
      </c>
      <c r="C14497" s="2" t="str">
        <f ca="1">IFERROR(__xludf.DUMMYFUNCTION("""COMPUTED_VALUE"""),"Cluster")</f>
        <v>Cluster</v>
      </c>
      <c r="D14497" s="2" t="str">
        <f ca="1">IFERROR(__xludf.DUMMYFUNCTION("""COMPUTED_VALUE"""),"Dubai&gt;Dubai Marina&gt;Marina Gate")</f>
        <v>Dubai&gt;Dubai Marina&gt;Marina Gate</v>
      </c>
      <c r="E14497" s="2"/>
      <c r="F14497" s="2"/>
      <c r="G14497" s="2"/>
      <c r="H14497" s="2"/>
      <c r="I14497" s="2"/>
      <c r="J14497" s="2"/>
      <c r="K14497" s="2"/>
      <c r="L14497" s="2"/>
      <c r="M14497" s="2"/>
      <c r="N14497" s="2"/>
      <c r="O14497" s="2"/>
      <c r="P14497" s="2"/>
      <c r="Q14497" s="2"/>
      <c r="R14497" s="2"/>
      <c r="S14497" s="2"/>
      <c r="T14497" s="2"/>
      <c r="U14497" s="2"/>
      <c r="V14497" s="2"/>
      <c r="W14497" s="2"/>
      <c r="X14497" s="2"/>
      <c r="Y14497" s="2"/>
      <c r="Z14497" s="2"/>
    </row>
    <row r="14498" spans="1:26" ht="16.5" x14ac:dyDescent="0.35">
      <c r="A14498" s="2" t="str">
        <f ca="1">IFERROR(__xludf.DUMMYFUNCTION("""COMPUTED_VALUE"""),"Dubai")</f>
        <v>Dubai</v>
      </c>
      <c r="B14498" s="2" t="str">
        <f ca="1">IFERROR(__xludf.DUMMYFUNCTION("""COMPUTED_VALUE"""),"LIV Waterside")</f>
        <v>LIV Waterside</v>
      </c>
      <c r="C14498" s="2" t="str">
        <f ca="1">IFERROR(__xludf.DUMMYFUNCTION("""COMPUTED_VALUE"""),"Building")</f>
        <v>Building</v>
      </c>
      <c r="D14498" s="2" t="str">
        <f ca="1">IFERROR(__xludf.DUMMYFUNCTION("""COMPUTED_VALUE"""),"Dubai&gt;Dubai Marina&gt;LIV Waterside")</f>
        <v>Dubai&gt;Dubai Marina&gt;LIV Waterside</v>
      </c>
      <c r="E14498" s="2"/>
      <c r="F14498" s="2"/>
      <c r="G14498" s="2"/>
      <c r="H14498" s="2"/>
      <c r="I14498" s="2"/>
      <c r="J14498" s="2"/>
      <c r="K14498" s="2"/>
      <c r="L14498" s="2"/>
      <c r="M14498" s="2"/>
      <c r="N14498" s="2"/>
      <c r="O14498" s="2"/>
      <c r="P14498" s="2"/>
      <c r="Q14498" s="2"/>
      <c r="R14498" s="2"/>
      <c r="S14498" s="2"/>
      <c r="T14498" s="2"/>
      <c r="U14498" s="2"/>
      <c r="V14498" s="2"/>
      <c r="W14498" s="2"/>
      <c r="X14498" s="2"/>
      <c r="Y14498" s="2"/>
      <c r="Z14498" s="2"/>
    </row>
    <row r="14499" spans="1:26" ht="16.5" x14ac:dyDescent="0.35">
      <c r="A14499" s="2" t="str">
        <f ca="1">IFERROR(__xludf.DUMMYFUNCTION("""COMPUTED_VALUE"""),"Dubai")</f>
        <v>Dubai</v>
      </c>
      <c r="B14499" s="2" t="str">
        <f ca="1">IFERROR(__xludf.DUMMYFUNCTION("""COMPUTED_VALUE"""),"Warda Apartments 1")</f>
        <v>Warda Apartments 1</v>
      </c>
      <c r="C14499" s="2" t="str">
        <f ca="1">IFERROR(__xludf.DUMMYFUNCTION("""COMPUTED_VALUE"""),"Building")</f>
        <v>Building</v>
      </c>
      <c r="D14499" s="2" t="str">
        <f ca="1">IFERROR(__xludf.DUMMYFUNCTION("""COMPUTED_VALUE"""),"Dubai&gt;Town Square&gt;Warda Apartments&gt;Warda Apartments 1")</f>
        <v>Dubai&gt;Town Square&gt;Warda Apartments&gt;Warda Apartments 1</v>
      </c>
      <c r="E14499" s="2"/>
      <c r="F14499" s="2"/>
      <c r="G14499" s="2"/>
      <c r="H14499" s="2"/>
      <c r="I14499" s="2"/>
      <c r="J14499" s="2"/>
      <c r="K14499" s="2"/>
      <c r="L14499" s="2"/>
      <c r="M14499" s="2"/>
      <c r="N14499" s="2"/>
      <c r="O14499" s="2"/>
      <c r="P14499" s="2"/>
      <c r="Q14499" s="2"/>
      <c r="R14499" s="2"/>
      <c r="S14499" s="2"/>
      <c r="T14499" s="2"/>
      <c r="U14499" s="2"/>
      <c r="V14499" s="2"/>
      <c r="W14499" s="2"/>
      <c r="X14499" s="2"/>
      <c r="Y14499" s="2"/>
      <c r="Z14499" s="2"/>
    </row>
    <row r="14500" spans="1:26" ht="16.5" x14ac:dyDescent="0.35">
      <c r="A14500" s="2" t="str">
        <f ca="1">IFERROR(__xludf.DUMMYFUNCTION("""COMPUTED_VALUE"""),"Dubai")</f>
        <v>Dubai</v>
      </c>
      <c r="B14500" s="2" t="str">
        <f ca="1">IFERROR(__xludf.DUMMYFUNCTION("""COMPUTED_VALUE"""),"Reem Townhouses")</f>
        <v>Reem Townhouses</v>
      </c>
      <c r="C14500" s="2" t="str">
        <f ca="1">IFERROR(__xludf.DUMMYFUNCTION("""COMPUTED_VALUE"""),"Neighbourhood")</f>
        <v>Neighbourhood</v>
      </c>
      <c r="D14500" s="2" t="str">
        <f ca="1">IFERROR(__xludf.DUMMYFUNCTION("""COMPUTED_VALUE"""),"Dubai&gt;Town Square&gt;Reem Townhouses")</f>
        <v>Dubai&gt;Town Square&gt;Reem Townhouses</v>
      </c>
      <c r="E14500" s="2"/>
      <c r="F14500" s="2"/>
      <c r="G14500" s="2"/>
      <c r="H14500" s="2"/>
      <c r="I14500" s="2"/>
      <c r="J14500" s="2"/>
      <c r="K14500" s="2"/>
      <c r="L14500" s="2"/>
      <c r="M14500" s="2"/>
      <c r="N14500" s="2"/>
      <c r="O14500" s="2"/>
      <c r="P14500" s="2"/>
      <c r="Q14500" s="2"/>
      <c r="R14500" s="2"/>
      <c r="S14500" s="2"/>
      <c r="T14500" s="2"/>
      <c r="U14500" s="2"/>
      <c r="V14500" s="2"/>
      <c r="W14500" s="2"/>
      <c r="X14500" s="2"/>
      <c r="Y14500" s="2"/>
      <c r="Z14500" s="2"/>
    </row>
    <row r="14501" spans="1:26" ht="16.5" x14ac:dyDescent="0.35">
      <c r="A14501" s="2" t="str">
        <f ca="1">IFERROR(__xludf.DUMMYFUNCTION("""COMPUTED_VALUE"""),"Dubai")</f>
        <v>Dubai</v>
      </c>
      <c r="B14501" s="2" t="str">
        <f ca="1">IFERROR(__xludf.DUMMYFUNCTION("""COMPUTED_VALUE"""),"The Baltimore")</f>
        <v>The Baltimore</v>
      </c>
      <c r="C14501" s="2" t="str">
        <f ca="1">IFERROR(__xludf.DUMMYFUNCTION("""COMPUTED_VALUE"""),"Building")</f>
        <v>Building</v>
      </c>
      <c r="D14501" s="2" t="str">
        <f ca="1">IFERROR(__xludf.DUMMYFUNCTION("""COMPUTED_VALUE"""),"Dubai&gt;Town Square&gt;The Baltimore")</f>
        <v>Dubai&gt;Town Square&gt;The Baltimore</v>
      </c>
      <c r="E14501" s="2"/>
      <c r="F14501" s="2"/>
      <c r="G14501" s="2"/>
      <c r="H14501" s="2"/>
      <c r="I14501" s="2"/>
      <c r="J14501" s="2"/>
      <c r="K14501" s="2"/>
      <c r="L14501" s="2"/>
      <c r="M14501" s="2"/>
      <c r="N14501" s="2"/>
      <c r="O14501" s="2"/>
      <c r="P14501" s="2"/>
      <c r="Q14501" s="2"/>
      <c r="R14501" s="2"/>
      <c r="S14501" s="2"/>
      <c r="T14501" s="2"/>
      <c r="U14501" s="2"/>
      <c r="V14501" s="2"/>
      <c r="W14501" s="2"/>
      <c r="X14501" s="2"/>
      <c r="Y14501" s="2"/>
      <c r="Z14501" s="2"/>
    </row>
    <row r="14502" spans="1:26" ht="16.5" x14ac:dyDescent="0.35">
      <c r="A14502" s="2" t="str">
        <f ca="1">IFERROR(__xludf.DUMMYFUNCTION("""COMPUTED_VALUE"""),"Dubai")</f>
        <v>Dubai</v>
      </c>
      <c r="B14502" s="2" t="str">
        <f ca="1">IFERROR(__xludf.DUMMYFUNCTION("""COMPUTED_VALUE"""),"Azizi Feirouz")</f>
        <v>Azizi Feirouz</v>
      </c>
      <c r="C14502" s="2" t="str">
        <f ca="1">IFERROR(__xludf.DUMMYFUNCTION("""COMPUTED_VALUE"""),"Building")</f>
        <v>Building</v>
      </c>
      <c r="D14502" s="2" t="str">
        <f ca="1">IFERROR(__xludf.DUMMYFUNCTION("""COMPUTED_VALUE"""),"Dubai&gt;Al Furjan&gt;Azizi Feirouz")</f>
        <v>Dubai&gt;Al Furjan&gt;Azizi Feirouz</v>
      </c>
      <c r="E14502" s="2"/>
      <c r="F14502" s="2"/>
      <c r="G14502" s="2"/>
      <c r="H14502" s="2"/>
      <c r="I14502" s="2"/>
      <c r="J14502" s="2"/>
      <c r="K14502" s="2"/>
      <c r="L14502" s="2"/>
      <c r="M14502" s="2"/>
      <c r="N14502" s="2"/>
      <c r="O14502" s="2"/>
      <c r="P14502" s="2"/>
      <c r="Q14502" s="2"/>
      <c r="R14502" s="2"/>
      <c r="S14502" s="2"/>
      <c r="T14502" s="2"/>
      <c r="U14502" s="2"/>
      <c r="V14502" s="2"/>
      <c r="W14502" s="2"/>
      <c r="X14502" s="2"/>
      <c r="Y14502" s="2"/>
      <c r="Z14502" s="2"/>
    </row>
    <row r="14503" spans="1:26" ht="16.5" x14ac:dyDescent="0.35">
      <c r="A14503" s="2" t="str">
        <f ca="1">IFERROR(__xludf.DUMMYFUNCTION("""COMPUTED_VALUE"""),"Dubai")</f>
        <v>Dubai</v>
      </c>
      <c r="B14503" s="2" t="str">
        <f ca="1">IFERROR(__xludf.DUMMYFUNCTION("""COMPUTED_VALUE"""),"BNH Twin Towers")</f>
        <v>BNH Twin Towers</v>
      </c>
      <c r="C14503" s="2" t="str">
        <f ca="1">IFERROR(__xludf.DUMMYFUNCTION("""COMPUTED_VALUE"""),"Building")</f>
        <v>Building</v>
      </c>
      <c r="D14503" s="2" t="str">
        <f ca="1">IFERROR(__xludf.DUMMYFUNCTION("""COMPUTED_VALUE"""),"Dubai&gt;Al Furjan&gt;BNH Twin Towers")</f>
        <v>Dubai&gt;Al Furjan&gt;BNH Twin Towers</v>
      </c>
      <c r="E14503" s="2"/>
      <c r="F14503" s="2"/>
      <c r="G14503" s="2"/>
      <c r="H14503" s="2"/>
      <c r="I14503" s="2"/>
      <c r="J14503" s="2"/>
      <c r="K14503" s="2"/>
      <c r="L14503" s="2"/>
      <c r="M14503" s="2"/>
      <c r="N14503" s="2"/>
      <c r="O14503" s="2"/>
      <c r="P14503" s="2"/>
      <c r="Q14503" s="2"/>
      <c r="R14503" s="2"/>
      <c r="S14503" s="2"/>
      <c r="T14503" s="2"/>
      <c r="U14503" s="2"/>
      <c r="V14503" s="2"/>
      <c r="W14503" s="2"/>
      <c r="X14503" s="2"/>
      <c r="Y14503" s="2"/>
      <c r="Z14503" s="2"/>
    </row>
    <row r="14504" spans="1:26" ht="16.5" x14ac:dyDescent="0.35">
      <c r="A14504" s="2" t="str">
        <f ca="1">IFERROR(__xludf.DUMMYFUNCTION("""COMPUTED_VALUE"""),"Dubai")</f>
        <v>Dubai</v>
      </c>
      <c r="B14504" s="2" t="str">
        <f ca="1">IFERROR(__xludf.DUMMYFUNCTION("""COMPUTED_VALUE"""),"Masakin Al Furjan Block D")</f>
        <v>Masakin Al Furjan Block D</v>
      </c>
      <c r="C14504" s="2" t="str">
        <f ca="1">IFERROR(__xludf.DUMMYFUNCTION("""COMPUTED_VALUE"""),"Building")</f>
        <v>Building</v>
      </c>
      <c r="D14504" s="2" t="str">
        <f ca="1">IFERROR(__xludf.DUMMYFUNCTION("""COMPUTED_VALUE"""),"Dubai&gt;Al Furjan&gt;Masakin Al Furjan&gt;Masakin Al Furjan Block D")</f>
        <v>Dubai&gt;Al Furjan&gt;Masakin Al Furjan&gt;Masakin Al Furjan Block D</v>
      </c>
      <c r="E14504" s="2"/>
      <c r="F14504" s="2"/>
      <c r="G14504" s="2"/>
      <c r="H14504" s="2"/>
      <c r="I14504" s="2"/>
      <c r="J14504" s="2"/>
      <c r="K14504" s="2"/>
      <c r="L14504" s="2"/>
      <c r="M14504" s="2"/>
      <c r="N14504" s="2"/>
      <c r="O14504" s="2"/>
      <c r="P14504" s="2"/>
      <c r="Q14504" s="2"/>
      <c r="R14504" s="2"/>
      <c r="S14504" s="2"/>
      <c r="T14504" s="2"/>
      <c r="U14504" s="2"/>
      <c r="V14504" s="2"/>
      <c r="W14504" s="2"/>
      <c r="X14504" s="2"/>
      <c r="Y14504" s="2"/>
      <c r="Z14504" s="2"/>
    </row>
    <row r="14505" spans="1:26" ht="16.5" x14ac:dyDescent="0.35">
      <c r="A14505" s="2" t="str">
        <f ca="1">IFERROR(__xludf.DUMMYFUNCTION("""COMPUTED_VALUE"""),"Dubai")</f>
        <v>Dubai</v>
      </c>
      <c r="B14505" s="2" t="str">
        <f ca="1">IFERROR(__xludf.DUMMYFUNCTION("""COMPUTED_VALUE"""),"Equiti Home")</f>
        <v>Equiti Home</v>
      </c>
      <c r="C14505" s="2" t="str">
        <f ca="1">IFERROR(__xludf.DUMMYFUNCTION("""COMPUTED_VALUE"""),"Cluster")</f>
        <v>Cluster</v>
      </c>
      <c r="D14505" s="2" t="str">
        <f ca="1">IFERROR(__xludf.DUMMYFUNCTION("""COMPUTED_VALUE"""),"Dubai&gt;Al Furjan&gt;Equiti Home")</f>
        <v>Dubai&gt;Al Furjan&gt;Equiti Home</v>
      </c>
      <c r="E14505" s="2"/>
      <c r="F14505" s="2"/>
      <c r="G14505" s="2"/>
      <c r="H14505" s="2"/>
      <c r="I14505" s="2"/>
      <c r="J14505" s="2"/>
      <c r="K14505" s="2"/>
      <c r="L14505" s="2"/>
      <c r="M14505" s="2"/>
      <c r="N14505" s="2"/>
      <c r="O14505" s="2"/>
      <c r="P14505" s="2"/>
      <c r="Q14505" s="2"/>
      <c r="R14505" s="2"/>
      <c r="S14505" s="2"/>
      <c r="T14505" s="2"/>
      <c r="U14505" s="2"/>
      <c r="V14505" s="2"/>
      <c r="W14505" s="2"/>
      <c r="X14505" s="2"/>
      <c r="Y14505" s="2"/>
      <c r="Z14505" s="2"/>
    </row>
    <row r="14506" spans="1:26" ht="16.5" x14ac:dyDescent="0.35">
      <c r="A14506" s="2" t="str">
        <f ca="1">IFERROR(__xludf.DUMMYFUNCTION("""COMPUTED_VALUE"""),"Dubai")</f>
        <v>Dubai</v>
      </c>
      <c r="B14506" s="2" t="str">
        <f ca="1">IFERROR(__xludf.DUMMYFUNCTION("""COMPUTED_VALUE"""),"SPARKLZ by Danube")</f>
        <v>SPARKLZ by Danube</v>
      </c>
      <c r="C14506" s="2" t="str">
        <f ca="1">IFERROR(__xludf.DUMMYFUNCTION("""COMPUTED_VALUE"""),"Building")</f>
        <v>Building</v>
      </c>
      <c r="D14506" s="2" t="str">
        <f ca="1">IFERROR(__xludf.DUMMYFUNCTION("""COMPUTED_VALUE"""),"Dubai&gt;Al Furjan&gt;SPARKLZ by Danube")</f>
        <v>Dubai&gt;Al Furjan&gt;SPARKLZ by Danube</v>
      </c>
      <c r="E14506" s="2"/>
      <c r="F14506" s="2"/>
      <c r="G14506" s="2"/>
      <c r="H14506" s="2"/>
      <c r="I14506" s="2"/>
      <c r="J14506" s="2"/>
      <c r="K14506" s="2"/>
      <c r="L14506" s="2"/>
      <c r="M14506" s="2"/>
      <c r="N14506" s="2"/>
      <c r="O14506" s="2"/>
      <c r="P14506" s="2"/>
      <c r="Q14506" s="2"/>
      <c r="R14506" s="2"/>
      <c r="S14506" s="2"/>
      <c r="T14506" s="2"/>
      <c r="U14506" s="2"/>
      <c r="V14506" s="2"/>
      <c r="W14506" s="2"/>
      <c r="X14506" s="2"/>
      <c r="Y14506" s="2"/>
      <c r="Z14506" s="2"/>
    </row>
    <row r="14507" spans="1:26" ht="16.5" x14ac:dyDescent="0.35">
      <c r="A14507" s="2" t="str">
        <f ca="1">IFERROR(__xludf.DUMMYFUNCTION("""COMPUTED_VALUE"""),"Dubai")</f>
        <v>Dubai</v>
      </c>
      <c r="B14507" s="2" t="str">
        <f ca="1">IFERROR(__xludf.DUMMYFUNCTION("""COMPUTED_VALUE"""),"The Derby Residence 1")</f>
        <v>The Derby Residence 1</v>
      </c>
      <c r="C14507" s="2" t="str">
        <f ca="1">IFERROR(__xludf.DUMMYFUNCTION("""COMPUTED_VALUE"""),"Building")</f>
        <v>Building</v>
      </c>
      <c r="D14507" s="2" t="str">
        <f ca="1">IFERROR(__xludf.DUMMYFUNCTION("""COMPUTED_VALUE"""),"Dubai&gt;Meydan City&gt;The Derby Residences&gt;The Derby Residence 1")</f>
        <v>Dubai&gt;Meydan City&gt;The Derby Residences&gt;The Derby Residence 1</v>
      </c>
      <c r="E14507" s="2"/>
      <c r="F14507" s="2"/>
      <c r="G14507" s="2"/>
      <c r="H14507" s="2"/>
      <c r="I14507" s="2"/>
      <c r="J14507" s="2"/>
      <c r="K14507" s="2"/>
      <c r="L14507" s="2"/>
      <c r="M14507" s="2"/>
      <c r="N14507" s="2"/>
      <c r="O14507" s="2"/>
      <c r="P14507" s="2"/>
      <c r="Q14507" s="2"/>
      <c r="R14507" s="2"/>
      <c r="S14507" s="2"/>
      <c r="T14507" s="2"/>
      <c r="U14507" s="2"/>
      <c r="V14507" s="2"/>
      <c r="W14507" s="2"/>
      <c r="X14507" s="2"/>
      <c r="Y14507" s="2"/>
      <c r="Z14507" s="2"/>
    </row>
    <row r="14508" spans="1:26" ht="16.5" x14ac:dyDescent="0.35">
      <c r="A14508" s="2" t="str">
        <f ca="1">IFERROR(__xludf.DUMMYFUNCTION("""COMPUTED_VALUE"""),"Dubai")</f>
        <v>Dubai</v>
      </c>
      <c r="B14508" s="2" t="str">
        <f ca="1">IFERROR(__xludf.DUMMYFUNCTION("""COMPUTED_VALUE"""),"Azizi Riviera 9")</f>
        <v>Azizi Riviera 9</v>
      </c>
      <c r="C14508" s="2" t="str">
        <f ca="1">IFERROR(__xludf.DUMMYFUNCTION("""COMPUTED_VALUE"""),"Building")</f>
        <v>Building</v>
      </c>
      <c r="D14508" s="2" t="str">
        <f ca="1">IFERROR(__xludf.DUMMYFUNCTION("""COMPUTED_VALUE"""),"Dubai&gt;Meydan City&gt;Meydan One&gt;Azizi Riviera&gt;Azizi Riviera 9")</f>
        <v>Dubai&gt;Meydan City&gt;Meydan One&gt;Azizi Riviera&gt;Azizi Riviera 9</v>
      </c>
      <c r="E14508" s="2"/>
      <c r="F14508" s="2"/>
      <c r="G14508" s="2"/>
      <c r="H14508" s="2"/>
      <c r="I14508" s="2"/>
      <c r="J14508" s="2"/>
      <c r="K14508" s="2"/>
      <c r="L14508" s="2"/>
      <c r="M14508" s="2"/>
      <c r="N14508" s="2"/>
      <c r="O14508" s="2"/>
      <c r="P14508" s="2"/>
      <c r="Q14508" s="2"/>
      <c r="R14508" s="2"/>
      <c r="S14508" s="2"/>
      <c r="T14508" s="2"/>
      <c r="U14508" s="2"/>
      <c r="V14508" s="2"/>
      <c r="W14508" s="2"/>
      <c r="X14508" s="2"/>
      <c r="Y14508" s="2"/>
      <c r="Z14508" s="2"/>
    </row>
    <row r="14509" spans="1:26" ht="16.5" x14ac:dyDescent="0.35">
      <c r="A14509" s="2" t="str">
        <f ca="1">IFERROR(__xludf.DUMMYFUNCTION("""COMPUTED_VALUE"""),"Dubai")</f>
        <v>Dubai</v>
      </c>
      <c r="B14509" s="2" t="str">
        <f ca="1">IFERROR(__xludf.DUMMYFUNCTION("""COMPUTED_VALUE"""),"Azizi Riviera 45")</f>
        <v>Azizi Riviera 45</v>
      </c>
      <c r="C14509" s="2" t="str">
        <f ca="1">IFERROR(__xludf.DUMMYFUNCTION("""COMPUTED_VALUE"""),"Building")</f>
        <v>Building</v>
      </c>
      <c r="D14509" s="2" t="str">
        <f ca="1">IFERROR(__xludf.DUMMYFUNCTION("""COMPUTED_VALUE"""),"Dubai&gt;Meydan City&gt;Meydan One&gt;Azizi Riviera&gt;Azizi Riviera 45")</f>
        <v>Dubai&gt;Meydan City&gt;Meydan One&gt;Azizi Riviera&gt;Azizi Riviera 45</v>
      </c>
      <c r="E14509" s="2"/>
      <c r="F14509" s="2"/>
      <c r="G14509" s="2"/>
      <c r="H14509" s="2"/>
      <c r="I14509" s="2"/>
      <c r="J14509" s="2"/>
      <c r="K14509" s="2"/>
      <c r="L14509" s="2"/>
      <c r="M14509" s="2"/>
      <c r="N14509" s="2"/>
      <c r="O14509" s="2"/>
      <c r="P14509" s="2"/>
      <c r="Q14509" s="2"/>
      <c r="R14509" s="2"/>
      <c r="S14509" s="2"/>
      <c r="T14509" s="2"/>
      <c r="U14509" s="2"/>
      <c r="V14509" s="2"/>
      <c r="W14509" s="2"/>
      <c r="X14509" s="2"/>
      <c r="Y14509" s="2"/>
      <c r="Z14509" s="2"/>
    </row>
    <row r="14510" spans="1:26" ht="16.5" x14ac:dyDescent="0.35">
      <c r="A14510" s="2" t="str">
        <f ca="1">IFERROR(__xludf.DUMMYFUNCTION("""COMPUTED_VALUE"""),"Dubai")</f>
        <v>Dubai</v>
      </c>
      <c r="B14510" s="2" t="str">
        <f ca="1">IFERROR(__xludf.DUMMYFUNCTION("""COMPUTED_VALUE"""),"Bright Corner")</f>
        <v>Bright Corner</v>
      </c>
      <c r="C14510" s="2" t="str">
        <f ca="1">IFERROR(__xludf.DUMMYFUNCTION("""COMPUTED_VALUE"""),"Building")</f>
        <v>Building</v>
      </c>
      <c r="D14510" s="2" t="str">
        <f ca="1">IFERROR(__xludf.DUMMYFUNCTION("""COMPUTED_VALUE"""),"Dubai&gt;Meydan City&gt;Meydan Avenue&gt;Bright Corner")</f>
        <v>Dubai&gt;Meydan City&gt;Meydan Avenue&gt;Bright Corner</v>
      </c>
      <c r="E14510" s="2"/>
      <c r="F14510" s="2"/>
      <c r="G14510" s="2"/>
      <c r="H14510" s="2"/>
      <c r="I14510" s="2"/>
      <c r="J14510" s="2"/>
      <c r="K14510" s="2"/>
      <c r="L14510" s="2"/>
      <c r="M14510" s="2"/>
      <c r="N14510" s="2"/>
      <c r="O14510" s="2"/>
      <c r="P14510" s="2"/>
      <c r="Q14510" s="2"/>
      <c r="R14510" s="2"/>
      <c r="S14510" s="2"/>
      <c r="T14510" s="2"/>
      <c r="U14510" s="2"/>
      <c r="V14510" s="2"/>
      <c r="W14510" s="2"/>
      <c r="X14510" s="2"/>
      <c r="Y14510" s="2"/>
      <c r="Z14510" s="2"/>
    </row>
    <row r="14511" spans="1:26" ht="16.5" x14ac:dyDescent="0.35">
      <c r="A14511" s="2" t="str">
        <f ca="1">IFERROR(__xludf.DUMMYFUNCTION("""COMPUTED_VALUE"""),"Dubai")</f>
        <v>Dubai</v>
      </c>
      <c r="B14511" s="2" t="str">
        <f ca="1">IFERROR(__xludf.DUMMYFUNCTION("""COMPUTED_VALUE"""),"Azizi Park Avenue")</f>
        <v>Azizi Park Avenue</v>
      </c>
      <c r="C14511" s="2" t="str">
        <f ca="1">IFERROR(__xludf.DUMMYFUNCTION("""COMPUTED_VALUE"""),"Building")</f>
        <v>Building</v>
      </c>
      <c r="D14511" s="2" t="str">
        <f ca="1">IFERROR(__xludf.DUMMYFUNCTION("""COMPUTED_VALUE"""),"Dubai&gt;Meydan City&gt;Meydan Avenue&gt;Azizi Park Avenue")</f>
        <v>Dubai&gt;Meydan City&gt;Meydan Avenue&gt;Azizi Park Avenue</v>
      </c>
      <c r="E14511" s="2"/>
      <c r="F14511" s="2"/>
      <c r="G14511" s="2"/>
      <c r="H14511" s="2"/>
      <c r="I14511" s="2"/>
      <c r="J14511" s="2"/>
      <c r="K14511" s="2"/>
      <c r="L14511" s="2"/>
      <c r="M14511" s="2"/>
      <c r="N14511" s="2"/>
      <c r="O14511" s="2"/>
      <c r="P14511" s="2"/>
      <c r="Q14511" s="2"/>
      <c r="R14511" s="2"/>
      <c r="S14511" s="2"/>
      <c r="T14511" s="2"/>
      <c r="U14511" s="2"/>
      <c r="V14511" s="2"/>
      <c r="W14511" s="2"/>
      <c r="X14511" s="2"/>
      <c r="Y14511" s="2"/>
      <c r="Z14511" s="2"/>
    </row>
    <row r="14512" spans="1:26" ht="16.5" x14ac:dyDescent="0.35">
      <c r="A14512" s="2" t="str">
        <f ca="1">IFERROR(__xludf.DUMMYFUNCTION("""COMPUTED_VALUE"""),"Dubai")</f>
        <v>Dubai</v>
      </c>
      <c r="B14512" s="2" t="str">
        <f ca="1">IFERROR(__xludf.DUMMYFUNCTION("""COMPUTED_VALUE"""),"Mews Mansions")</f>
        <v>Mews Mansions</v>
      </c>
      <c r="C14512" s="2" t="str">
        <f ca="1">IFERROR(__xludf.DUMMYFUNCTION("""COMPUTED_VALUE"""),"Neighbourhood")</f>
        <v>Neighbourhood</v>
      </c>
      <c r="D14512" s="2" t="str">
        <f ca="1">IFERROR(__xludf.DUMMYFUNCTION("""COMPUTED_VALUE"""),"Dubai&gt;Meydan City&gt;Mews Mansions")</f>
        <v>Dubai&gt;Meydan City&gt;Mews Mansions</v>
      </c>
      <c r="E14512" s="2"/>
      <c r="F14512" s="2"/>
      <c r="G14512" s="2"/>
      <c r="H14512" s="2"/>
      <c r="I14512" s="2"/>
      <c r="J14512" s="2"/>
      <c r="K14512" s="2"/>
      <c r="L14512" s="2"/>
      <c r="M14512" s="2"/>
      <c r="N14512" s="2"/>
      <c r="O14512" s="2"/>
      <c r="P14512" s="2"/>
      <c r="Q14512" s="2"/>
      <c r="R14512" s="2"/>
      <c r="S14512" s="2"/>
      <c r="T14512" s="2"/>
      <c r="U14512" s="2"/>
      <c r="V14512" s="2"/>
      <c r="W14512" s="2"/>
      <c r="X14512" s="2"/>
      <c r="Y14512" s="2"/>
      <c r="Z14512" s="2"/>
    </row>
    <row r="14513" spans="1:26" ht="16.5" x14ac:dyDescent="0.35">
      <c r="A14513" s="2" t="str">
        <f ca="1">IFERROR(__xludf.DUMMYFUNCTION("""COMPUTED_VALUE"""),"Dubai")</f>
        <v>Dubai</v>
      </c>
      <c r="B14513" s="2" t="str">
        <f ca="1">IFERROR(__xludf.DUMMYFUNCTION("""COMPUTED_VALUE"""),"Al Alka 3")</f>
        <v>Al Alka 3</v>
      </c>
      <c r="C14513" s="2" t="str">
        <f ca="1">IFERROR(__xludf.DUMMYFUNCTION("""COMPUTED_VALUE"""),"Building")</f>
        <v>Building</v>
      </c>
      <c r="D14513" s="2" t="str">
        <f ca="1">IFERROR(__xludf.DUMMYFUNCTION("""COMPUTED_VALUE"""),"Dubai&gt;The Greens&gt;Al Alka&gt;Al Alka 3")</f>
        <v>Dubai&gt;The Greens&gt;Al Alka&gt;Al Alka 3</v>
      </c>
      <c r="E14513" s="2"/>
      <c r="F14513" s="2"/>
      <c r="G14513" s="2"/>
      <c r="H14513" s="2"/>
      <c r="I14513" s="2"/>
      <c r="J14513" s="2"/>
      <c r="K14513" s="2"/>
      <c r="L14513" s="2"/>
      <c r="M14513" s="2"/>
      <c r="N14513" s="2"/>
      <c r="O14513" s="2"/>
      <c r="P14513" s="2"/>
      <c r="Q14513" s="2"/>
      <c r="R14513" s="2"/>
      <c r="S14513" s="2"/>
      <c r="T14513" s="2"/>
      <c r="U14513" s="2"/>
      <c r="V14513" s="2"/>
      <c r="W14513" s="2"/>
      <c r="X14513" s="2"/>
      <c r="Y14513" s="2"/>
      <c r="Z14513" s="2"/>
    </row>
    <row r="14514" spans="1:26" ht="16.5" x14ac:dyDescent="0.35">
      <c r="A14514" s="2" t="str">
        <f ca="1">IFERROR(__xludf.DUMMYFUNCTION("""COMPUTED_VALUE"""),"Dubai")</f>
        <v>Dubai</v>
      </c>
      <c r="B14514" s="2" t="str">
        <f ca="1">IFERROR(__xludf.DUMMYFUNCTION("""COMPUTED_VALUE"""),"Al Shaiba Building G25")</f>
        <v>Al Shaiba Building G25</v>
      </c>
      <c r="C14514" s="2" t="str">
        <f ca="1">IFERROR(__xludf.DUMMYFUNCTION("""COMPUTED_VALUE"""),"Building")</f>
        <v>Building</v>
      </c>
      <c r="D14514" s="2" t="str">
        <f ca="1">IFERROR(__xludf.DUMMYFUNCTION("""COMPUTED_VALUE"""),"Dubai&gt;Dubai Production City (IMPZ)&gt;Al Shaiba Building G25")</f>
        <v>Dubai&gt;Dubai Production City (IMPZ)&gt;Al Shaiba Building G25</v>
      </c>
      <c r="E14514" s="2"/>
      <c r="F14514" s="2"/>
      <c r="G14514" s="2"/>
      <c r="H14514" s="2"/>
      <c r="I14514" s="2"/>
      <c r="J14514" s="2"/>
      <c r="K14514" s="2"/>
      <c r="L14514" s="2"/>
      <c r="M14514" s="2"/>
      <c r="N14514" s="2"/>
      <c r="O14514" s="2"/>
      <c r="P14514" s="2"/>
      <c r="Q14514" s="2"/>
      <c r="R14514" s="2"/>
      <c r="S14514" s="2"/>
      <c r="T14514" s="2"/>
      <c r="U14514" s="2"/>
      <c r="V14514" s="2"/>
      <c r="W14514" s="2"/>
      <c r="X14514" s="2"/>
      <c r="Y14514" s="2"/>
      <c r="Z14514" s="2"/>
    </row>
    <row r="14515" spans="1:26" ht="16.5" x14ac:dyDescent="0.35">
      <c r="A14515" s="2" t="str">
        <f ca="1">IFERROR(__xludf.DUMMYFUNCTION("""COMPUTED_VALUE"""),"Dubai")</f>
        <v>Dubai</v>
      </c>
      <c r="B14515" s="2" t="str">
        <f ca="1">IFERROR(__xludf.DUMMYFUNCTION("""COMPUTED_VALUE"""),"Dania District")</f>
        <v>Dania District</v>
      </c>
      <c r="C14515" s="2" t="str">
        <f ca="1">IFERROR(__xludf.DUMMYFUNCTION("""COMPUTED_VALUE"""),"Neighbourhood")</f>
        <v>Neighbourhood</v>
      </c>
      <c r="D14515" s="2" t="str">
        <f ca="1">IFERROR(__xludf.DUMMYFUNCTION("""COMPUTED_VALUE"""),"Dubai&gt;Dubai Production City (IMPZ)&gt;Midtown&gt;Dania District")</f>
        <v>Dubai&gt;Dubai Production City (IMPZ)&gt;Midtown&gt;Dania District</v>
      </c>
      <c r="E14515" s="2"/>
      <c r="F14515" s="2"/>
      <c r="G14515" s="2"/>
      <c r="H14515" s="2"/>
      <c r="I14515" s="2"/>
      <c r="J14515" s="2"/>
      <c r="K14515" s="2"/>
      <c r="L14515" s="2"/>
      <c r="M14515" s="2"/>
      <c r="N14515" s="2"/>
      <c r="O14515" s="2"/>
      <c r="P14515" s="2"/>
      <c r="Q14515" s="2"/>
      <c r="R14515" s="2"/>
      <c r="S14515" s="2"/>
      <c r="T14515" s="2"/>
      <c r="U14515" s="2"/>
      <c r="V14515" s="2"/>
      <c r="W14515" s="2"/>
      <c r="X14515" s="2"/>
      <c r="Y14515" s="2"/>
      <c r="Z14515" s="2"/>
    </row>
    <row r="14516" spans="1:26" ht="16.5" x14ac:dyDescent="0.35">
      <c r="A14516" s="2" t="str">
        <f ca="1">IFERROR(__xludf.DUMMYFUNCTION("""COMPUTED_VALUE"""),"Dubai")</f>
        <v>Dubai</v>
      </c>
      <c r="B14516" s="2" t="str">
        <f ca="1">IFERROR(__xludf.DUMMYFUNCTION("""COMPUTED_VALUE"""),"Qasr Sabah")</f>
        <v>Qasr Sabah</v>
      </c>
      <c r="C14516" s="2" t="str">
        <f ca="1">IFERROR(__xludf.DUMMYFUNCTION("""COMPUTED_VALUE"""),"Cluster")</f>
        <v>Cluster</v>
      </c>
      <c r="D14516" s="2" t="str">
        <f ca="1">IFERROR(__xludf.DUMMYFUNCTION("""COMPUTED_VALUE"""),"Dubai&gt;Dubai Production City (IMPZ)&gt;Qasr Sabah")</f>
        <v>Dubai&gt;Dubai Production City (IMPZ)&gt;Qasr Sabah</v>
      </c>
      <c r="E14516" s="2"/>
      <c r="F14516" s="2"/>
      <c r="G14516" s="2"/>
      <c r="H14516" s="2"/>
      <c r="I14516" s="2"/>
      <c r="J14516" s="2"/>
      <c r="K14516" s="2"/>
      <c r="L14516" s="2"/>
      <c r="M14516" s="2"/>
      <c r="N14516" s="2"/>
      <c r="O14516" s="2"/>
      <c r="P14516" s="2"/>
      <c r="Q14516" s="2"/>
      <c r="R14516" s="2"/>
      <c r="S14516" s="2"/>
      <c r="T14516" s="2"/>
      <c r="U14516" s="2"/>
      <c r="V14516" s="2"/>
      <c r="W14516" s="2"/>
      <c r="X14516" s="2"/>
      <c r="Y14516" s="2"/>
      <c r="Z14516" s="2"/>
    </row>
    <row r="14517" spans="1:26" ht="16.5" x14ac:dyDescent="0.35">
      <c r="A14517" s="2" t="str">
        <f ca="1">IFERROR(__xludf.DUMMYFUNCTION("""COMPUTED_VALUE"""),"Dubai")</f>
        <v>Dubai</v>
      </c>
      <c r="B14517" s="2" t="str">
        <f ca="1">IFERROR(__xludf.DUMMYFUNCTION("""COMPUTED_VALUE"""),"The Family Suites")</f>
        <v>The Family Suites</v>
      </c>
      <c r="C14517" s="2" t="str">
        <f ca="1">IFERROR(__xludf.DUMMYFUNCTION("""COMPUTED_VALUE"""),"Building")</f>
        <v>Building</v>
      </c>
      <c r="D14517" s="2" t="str">
        <f ca="1">IFERROR(__xludf.DUMMYFUNCTION("""COMPUTED_VALUE"""),"Dubai&gt;Dubai Production City (IMPZ)&gt;The Family Suites")</f>
        <v>Dubai&gt;Dubai Production City (IMPZ)&gt;The Family Suites</v>
      </c>
      <c r="E14517" s="2"/>
      <c r="F14517" s="2"/>
      <c r="G14517" s="2"/>
      <c r="H14517" s="2"/>
      <c r="I14517" s="2"/>
      <c r="J14517" s="2"/>
      <c r="K14517" s="2"/>
      <c r="L14517" s="2"/>
      <c r="M14517" s="2"/>
      <c r="N14517" s="2"/>
      <c r="O14517" s="2"/>
      <c r="P14517" s="2"/>
      <c r="Q14517" s="2"/>
      <c r="R14517" s="2"/>
      <c r="S14517" s="2"/>
      <c r="T14517" s="2"/>
      <c r="U14517" s="2"/>
      <c r="V14517" s="2"/>
      <c r="W14517" s="2"/>
      <c r="X14517" s="2"/>
      <c r="Y14517" s="2"/>
      <c r="Z14517" s="2"/>
    </row>
    <row r="14518" spans="1:26" ht="16.5" x14ac:dyDescent="0.35">
      <c r="A14518" s="2" t="str">
        <f ca="1">IFERROR(__xludf.DUMMYFUNCTION("""COMPUTED_VALUE"""),"Dubai")</f>
        <v>Dubai</v>
      </c>
      <c r="B14518" s="2" t="str">
        <f ca="1">IFERROR(__xludf.DUMMYFUNCTION("""COMPUTED_VALUE"""),"Sahara Meadows")</f>
        <v>Sahara Meadows</v>
      </c>
      <c r="C14518" s="2" t="str">
        <f ca="1">IFERROR(__xludf.DUMMYFUNCTION("""COMPUTED_VALUE"""),"Neighbourhood")</f>
        <v>Neighbourhood</v>
      </c>
      <c r="D14518" s="2" t="str">
        <f ca="1">IFERROR(__xludf.DUMMYFUNCTION("""COMPUTED_VALUE"""),"Dubai&gt;Dubai Industrial City&gt;Sahara Meadows")</f>
        <v>Dubai&gt;Dubai Industrial City&gt;Sahara Meadows</v>
      </c>
      <c r="E14518" s="2"/>
      <c r="F14518" s="2"/>
      <c r="G14518" s="2"/>
      <c r="H14518" s="2"/>
      <c r="I14518" s="2"/>
      <c r="J14518" s="2"/>
      <c r="K14518" s="2"/>
      <c r="L14518" s="2"/>
      <c r="M14518" s="2"/>
      <c r="N14518" s="2"/>
      <c r="O14518" s="2"/>
      <c r="P14518" s="2"/>
      <c r="Q14518" s="2"/>
      <c r="R14518" s="2"/>
      <c r="S14518" s="2"/>
      <c r="T14518" s="2"/>
      <c r="U14518" s="2"/>
      <c r="V14518" s="2"/>
      <c r="W14518" s="2"/>
      <c r="X14518" s="2"/>
      <c r="Y14518" s="2"/>
      <c r="Z14518" s="2"/>
    </row>
    <row r="14519" spans="1:26" ht="16.5" x14ac:dyDescent="0.35">
      <c r="A14519" s="2" t="str">
        <f ca="1">IFERROR(__xludf.DUMMYFUNCTION("""COMPUTED_VALUE"""),"Dubai")</f>
        <v>Dubai</v>
      </c>
      <c r="B14519" s="2" t="str">
        <f ca="1">IFERROR(__xludf.DUMMYFUNCTION("""COMPUTED_VALUE"""),"Samana Hills South")</f>
        <v>Samana Hills South</v>
      </c>
      <c r="C14519" s="2" t="str">
        <f ca="1">IFERROR(__xludf.DUMMYFUNCTION("""COMPUTED_VALUE"""),"Cluster")</f>
        <v>Cluster</v>
      </c>
      <c r="D14519" s="2" t="str">
        <f ca="1">IFERROR(__xludf.DUMMYFUNCTION("""COMPUTED_VALUE"""),"Dubai&gt;Dubai Industrial City&gt;Samana Hills South")</f>
        <v>Dubai&gt;Dubai Industrial City&gt;Samana Hills South</v>
      </c>
      <c r="E14519" s="2"/>
      <c r="F14519" s="2"/>
      <c r="G14519" s="2"/>
      <c r="H14519" s="2"/>
      <c r="I14519" s="2"/>
      <c r="J14519" s="2"/>
      <c r="K14519" s="2"/>
      <c r="L14519" s="2"/>
      <c r="M14519" s="2"/>
      <c r="N14519" s="2"/>
      <c r="O14519" s="2"/>
      <c r="P14519" s="2"/>
      <c r="Q14519" s="2"/>
      <c r="R14519" s="2"/>
      <c r="S14519" s="2"/>
      <c r="T14519" s="2"/>
      <c r="U14519" s="2"/>
      <c r="V14519" s="2"/>
      <c r="W14519" s="2"/>
      <c r="X14519" s="2"/>
      <c r="Y14519" s="2"/>
      <c r="Z14519" s="2"/>
    </row>
    <row r="14520" spans="1:26" ht="16.5" x14ac:dyDescent="0.35">
      <c r="A14520" s="2" t="str">
        <f ca="1">IFERROR(__xludf.DUMMYFUNCTION("""COMPUTED_VALUE"""),"Dubai")</f>
        <v>Dubai</v>
      </c>
      <c r="B14520" s="2" t="str">
        <f ca="1">IFERROR(__xludf.DUMMYFUNCTION("""COMPUTED_VALUE"""),"Harmony 2")</f>
        <v>Harmony 2</v>
      </c>
      <c r="C14520" s="2" t="str">
        <f ca="1">IFERROR(__xludf.DUMMYFUNCTION("""COMPUTED_VALUE"""),"Neighbourhood")</f>
        <v>Neighbourhood</v>
      </c>
      <c r="D14520" s="2" t="str">
        <f ca="1">IFERROR(__xludf.DUMMYFUNCTION("""COMPUTED_VALUE"""),"Dubai&gt;Tilal Al Ghaf&gt;Harmony&gt;Harmony 2")</f>
        <v>Dubai&gt;Tilal Al Ghaf&gt;Harmony&gt;Harmony 2</v>
      </c>
      <c r="E14520" s="2"/>
      <c r="F14520" s="2"/>
      <c r="G14520" s="2"/>
      <c r="H14520" s="2"/>
      <c r="I14520" s="2"/>
      <c r="J14520" s="2"/>
      <c r="K14520" s="2"/>
      <c r="L14520" s="2"/>
      <c r="M14520" s="2"/>
      <c r="N14520" s="2"/>
      <c r="O14520" s="2"/>
      <c r="P14520" s="2"/>
      <c r="Q14520" s="2"/>
      <c r="R14520" s="2"/>
      <c r="S14520" s="2"/>
      <c r="T14520" s="2"/>
      <c r="U14520" s="2"/>
      <c r="V14520" s="2"/>
      <c r="W14520" s="2"/>
      <c r="X14520" s="2"/>
      <c r="Y14520" s="2"/>
      <c r="Z14520" s="2"/>
    </row>
    <row r="14521" spans="1:26" ht="16.5" x14ac:dyDescent="0.35">
      <c r="A14521" s="2" t="str">
        <f ca="1">IFERROR(__xludf.DUMMYFUNCTION("""COMPUTED_VALUE"""),"Dubai")</f>
        <v>Dubai</v>
      </c>
      <c r="B14521" s="2" t="str">
        <f ca="1">IFERROR(__xludf.DUMMYFUNCTION("""COMPUTED_VALUE"""),"Beach Walk Residences 3")</f>
        <v>Beach Walk Residences 3</v>
      </c>
      <c r="C14521" s="2" t="str">
        <f ca="1">IFERROR(__xludf.DUMMYFUNCTION("""COMPUTED_VALUE"""),"Building")</f>
        <v>Building</v>
      </c>
      <c r="D14521" s="2" t="str">
        <f ca="1">IFERROR(__xludf.DUMMYFUNCTION("""COMPUTED_VALUE"""),"Dubai&gt;Dubai Islands&gt;Beach Walk Residences&gt;Beach Walk Residences 3")</f>
        <v>Dubai&gt;Dubai Islands&gt;Beach Walk Residences&gt;Beach Walk Residences 3</v>
      </c>
      <c r="E14521" s="2"/>
      <c r="F14521" s="2"/>
      <c r="G14521" s="2"/>
      <c r="H14521" s="2"/>
      <c r="I14521" s="2"/>
      <c r="J14521" s="2"/>
      <c r="K14521" s="2"/>
      <c r="L14521" s="2"/>
      <c r="M14521" s="2"/>
      <c r="N14521" s="2"/>
      <c r="O14521" s="2"/>
      <c r="P14521" s="2"/>
      <c r="Q14521" s="2"/>
      <c r="R14521" s="2"/>
      <c r="S14521" s="2"/>
      <c r="T14521" s="2"/>
      <c r="U14521" s="2"/>
      <c r="V14521" s="2"/>
      <c r="W14521" s="2"/>
      <c r="X14521" s="2"/>
      <c r="Y14521" s="2"/>
      <c r="Z14521" s="2"/>
    </row>
    <row r="14522" spans="1:26" ht="16.5" x14ac:dyDescent="0.35">
      <c r="A14522" s="2" t="str">
        <f ca="1">IFERROR(__xludf.DUMMYFUNCTION("""COMPUTED_VALUE"""),"Dubai")</f>
        <v>Dubai</v>
      </c>
      <c r="B14522" s="2" t="str">
        <f ca="1">IFERROR(__xludf.DUMMYFUNCTION("""COMPUTED_VALUE"""),"Swissotel Waterfront Residences")</f>
        <v>Swissotel Waterfront Residences</v>
      </c>
      <c r="C14522" s="2" t="str">
        <f ca="1">IFERROR(__xludf.DUMMYFUNCTION("""COMPUTED_VALUE"""),"Building")</f>
        <v>Building</v>
      </c>
      <c r="D14522" s="2" t="str">
        <f ca="1">IFERROR(__xludf.DUMMYFUNCTION("""COMPUTED_VALUE"""),"Dubai&gt;Dubai Islands&gt;Swissotel Waterfront Residences")</f>
        <v>Dubai&gt;Dubai Islands&gt;Swissotel Waterfront Residences</v>
      </c>
      <c r="E14522" s="2"/>
      <c r="F14522" s="2"/>
      <c r="G14522" s="2"/>
      <c r="H14522" s="2"/>
      <c r="I14522" s="2"/>
      <c r="J14522" s="2"/>
      <c r="K14522" s="2"/>
      <c r="L14522" s="2"/>
      <c r="M14522" s="2"/>
      <c r="N14522" s="2"/>
      <c r="O14522" s="2"/>
      <c r="P14522" s="2"/>
      <c r="Q14522" s="2"/>
      <c r="R14522" s="2"/>
      <c r="S14522" s="2"/>
      <c r="T14522" s="2"/>
      <c r="U14522" s="2"/>
      <c r="V14522" s="2"/>
      <c r="W14522" s="2"/>
      <c r="X14522" s="2"/>
      <c r="Y14522" s="2"/>
      <c r="Z14522" s="2"/>
    </row>
    <row r="14523" spans="1:26" ht="16.5" x14ac:dyDescent="0.35">
      <c r="A14523" s="2" t="str">
        <f ca="1">IFERROR(__xludf.DUMMYFUNCTION("""COMPUTED_VALUE"""),"Dubai")</f>
        <v>Dubai</v>
      </c>
      <c r="B14523" s="2" t="str">
        <f ca="1">IFERROR(__xludf.DUMMYFUNCTION("""COMPUTED_VALUE"""),"Villa del Gavi")</f>
        <v>Villa del Gavi</v>
      </c>
      <c r="C14523" s="2" t="str">
        <f ca="1">IFERROR(__xludf.DUMMYFUNCTION("""COMPUTED_VALUE"""),"Building")</f>
        <v>Building</v>
      </c>
      <c r="D14523" s="2" t="str">
        <f ca="1">IFERROR(__xludf.DUMMYFUNCTION("""COMPUTED_VALUE"""),"Dubai&gt;Dubai Islands&gt;Villa del Gavi")</f>
        <v>Dubai&gt;Dubai Islands&gt;Villa del Gavi</v>
      </c>
      <c r="E14523" s="2"/>
      <c r="F14523" s="2"/>
      <c r="G14523" s="2"/>
      <c r="H14523" s="2"/>
      <c r="I14523" s="2"/>
      <c r="J14523" s="2"/>
      <c r="K14523" s="2"/>
      <c r="L14523" s="2"/>
      <c r="M14523" s="2"/>
      <c r="N14523" s="2"/>
      <c r="O14523" s="2"/>
      <c r="P14523" s="2"/>
      <c r="Q14523" s="2"/>
      <c r="R14523" s="2"/>
      <c r="S14523" s="2"/>
      <c r="T14523" s="2"/>
      <c r="U14523" s="2"/>
      <c r="V14523" s="2"/>
      <c r="W14523" s="2"/>
      <c r="X14523" s="2"/>
      <c r="Y14523" s="2"/>
      <c r="Z14523" s="2"/>
    </row>
    <row r="14524" spans="1:26" ht="16.5" x14ac:dyDescent="0.35">
      <c r="A14524" s="2" t="str">
        <f ca="1">IFERROR(__xludf.DUMMYFUNCTION("""COMPUTED_VALUE"""),"Dubai")</f>
        <v>Dubai</v>
      </c>
      <c r="B14524" s="2" t="str">
        <f ca="1">IFERROR(__xludf.DUMMYFUNCTION("""COMPUTED_VALUE"""),"Firoza")</f>
        <v>Firoza</v>
      </c>
      <c r="C14524" s="2" t="str">
        <f ca="1">IFERROR(__xludf.DUMMYFUNCTION("""COMPUTED_VALUE"""),"Building")</f>
        <v>Building</v>
      </c>
      <c r="D14524" s="2" t="str">
        <f ca="1">IFERROR(__xludf.DUMMYFUNCTION("""COMPUTED_VALUE"""),"Dubai&gt;Dubai Islands&gt;Firoza")</f>
        <v>Dubai&gt;Dubai Islands&gt;Firoza</v>
      </c>
      <c r="E14524" s="2"/>
      <c r="F14524" s="2"/>
      <c r="G14524" s="2"/>
      <c r="H14524" s="2"/>
      <c r="I14524" s="2"/>
      <c r="J14524" s="2"/>
      <c r="K14524" s="2"/>
      <c r="L14524" s="2"/>
      <c r="M14524" s="2"/>
      <c r="N14524" s="2"/>
      <c r="O14524" s="2"/>
      <c r="P14524" s="2"/>
      <c r="Q14524" s="2"/>
      <c r="R14524" s="2"/>
      <c r="S14524" s="2"/>
      <c r="T14524" s="2"/>
      <c r="U14524" s="2"/>
      <c r="V14524" s="2"/>
      <c r="W14524" s="2"/>
      <c r="X14524" s="2"/>
      <c r="Y14524" s="2"/>
      <c r="Z14524" s="2"/>
    </row>
    <row r="14525" spans="1:26" ht="16.5" x14ac:dyDescent="0.35">
      <c r="A14525" s="2" t="str">
        <f ca="1">IFERROR(__xludf.DUMMYFUNCTION("""COMPUTED_VALUE"""),"Dubai")</f>
        <v>Dubai</v>
      </c>
      <c r="B14525" s="2" t="str">
        <f ca="1">IFERROR(__xludf.DUMMYFUNCTION("""COMPUTED_VALUE"""),"CDS Wave")</f>
        <v>CDS Wave</v>
      </c>
      <c r="C14525" s="2" t="str">
        <f ca="1">IFERROR(__xludf.DUMMYFUNCTION("""COMPUTED_VALUE"""),"Building")</f>
        <v>Building</v>
      </c>
      <c r="D14525" s="2" t="str">
        <f ca="1">IFERROR(__xludf.DUMMYFUNCTION("""COMPUTED_VALUE"""),"Dubai&gt;Dubai Islands&gt;CDS Wave")</f>
        <v>Dubai&gt;Dubai Islands&gt;CDS Wave</v>
      </c>
      <c r="E14525" s="2"/>
      <c r="F14525" s="2"/>
      <c r="G14525" s="2"/>
      <c r="H14525" s="2"/>
      <c r="I14525" s="2"/>
      <c r="J14525" s="2"/>
      <c r="K14525" s="2"/>
      <c r="L14525" s="2"/>
      <c r="M14525" s="2"/>
      <c r="N14525" s="2"/>
      <c r="O14525" s="2"/>
      <c r="P14525" s="2"/>
      <c r="Q14525" s="2"/>
      <c r="R14525" s="2"/>
      <c r="S14525" s="2"/>
      <c r="T14525" s="2"/>
      <c r="U14525" s="2"/>
      <c r="V14525" s="2"/>
      <c r="W14525" s="2"/>
      <c r="X14525" s="2"/>
      <c r="Y14525" s="2"/>
      <c r="Z14525" s="2"/>
    </row>
    <row r="14526" spans="1:26" ht="16.5" x14ac:dyDescent="0.35">
      <c r="A14526" s="2" t="str">
        <f ca="1">IFERROR(__xludf.DUMMYFUNCTION("""COMPUTED_VALUE"""),"Dubai")</f>
        <v>Dubai</v>
      </c>
      <c r="B14526" s="2" t="str">
        <f ca="1">IFERROR(__xludf.DUMMYFUNCTION("""COMPUTED_VALUE"""),"Amaranta B")</f>
        <v>Amaranta B</v>
      </c>
      <c r="C14526" s="2" t="str">
        <f ca="1">IFERROR(__xludf.DUMMYFUNCTION("""COMPUTED_VALUE"""),"Neighbourhood")</f>
        <v>Neighbourhood</v>
      </c>
      <c r="D14526" s="2" t="str">
        <f ca="1">IFERROR(__xludf.DUMMYFUNCTION("""COMPUTED_VALUE"""),"Dubai&gt;Dubailand&gt;Villanova&gt;Amaranta&gt;Amaranta B")</f>
        <v>Dubai&gt;Dubailand&gt;Villanova&gt;Amaranta&gt;Amaranta B</v>
      </c>
      <c r="E14526" s="2"/>
      <c r="F14526" s="2"/>
      <c r="G14526" s="2"/>
      <c r="H14526" s="2"/>
      <c r="I14526" s="2"/>
      <c r="J14526" s="2"/>
      <c r="K14526" s="2"/>
      <c r="L14526" s="2"/>
      <c r="M14526" s="2"/>
      <c r="N14526" s="2"/>
      <c r="O14526" s="2"/>
      <c r="P14526" s="2"/>
      <c r="Q14526" s="2"/>
      <c r="R14526" s="2"/>
      <c r="S14526" s="2"/>
      <c r="T14526" s="2"/>
      <c r="U14526" s="2"/>
      <c r="V14526" s="2"/>
      <c r="W14526" s="2"/>
      <c r="X14526" s="2"/>
      <c r="Y14526" s="2"/>
      <c r="Z14526" s="2"/>
    </row>
    <row r="14527" spans="1:26" ht="16.5" x14ac:dyDescent="0.35">
      <c r="A14527" s="2" t="str">
        <f ca="1">IFERROR(__xludf.DUMMYFUNCTION("""COMPUTED_VALUE"""),"Dubai")</f>
        <v>Dubai</v>
      </c>
      <c r="B14527" s="2" t="str">
        <f ca="1">IFERROR(__xludf.DUMMYFUNCTION("""COMPUTED_VALUE"""),"Sobha Elwood")</f>
        <v>Sobha Elwood</v>
      </c>
      <c r="C14527" s="2" t="str">
        <f ca="1">IFERROR(__xludf.DUMMYFUNCTION("""COMPUTED_VALUE"""),"Neighbourhood")</f>
        <v>Neighbourhood</v>
      </c>
      <c r="D14527" s="2" t="str">
        <f ca="1">IFERROR(__xludf.DUMMYFUNCTION("""COMPUTED_VALUE"""),"Dubai&gt;Dubailand&gt;Sobha Elwood")</f>
        <v>Dubai&gt;Dubailand&gt;Sobha Elwood</v>
      </c>
      <c r="E14527" s="2"/>
      <c r="F14527" s="2"/>
      <c r="G14527" s="2"/>
      <c r="H14527" s="2"/>
      <c r="I14527" s="2"/>
      <c r="J14527" s="2"/>
      <c r="K14527" s="2"/>
      <c r="L14527" s="2"/>
      <c r="M14527" s="2"/>
      <c r="N14527" s="2"/>
      <c r="O14527" s="2"/>
      <c r="P14527" s="2"/>
      <c r="Q14527" s="2"/>
      <c r="R14527" s="2"/>
      <c r="S14527" s="2"/>
      <c r="T14527" s="2"/>
      <c r="U14527" s="2"/>
      <c r="V14527" s="2"/>
      <c r="W14527" s="2"/>
      <c r="X14527" s="2"/>
      <c r="Y14527" s="2"/>
      <c r="Z14527" s="2"/>
    </row>
    <row r="14528" spans="1:26" ht="16.5" x14ac:dyDescent="0.35">
      <c r="A14528" s="2" t="str">
        <f ca="1">IFERROR(__xludf.DUMMYFUNCTION("""COMPUTED_VALUE"""),"Dubai")</f>
        <v>Dubai</v>
      </c>
      <c r="B14528" s="2" t="str">
        <f ca="1">IFERROR(__xludf.DUMMYFUNCTION("""COMPUTED_VALUE"""),"Odyssey Nursery Living Legends")</f>
        <v>Odyssey Nursery Living Legends</v>
      </c>
      <c r="C14528" s="2" t="str">
        <f ca="1">IFERROR(__xludf.DUMMYFUNCTION("""COMPUTED_VALUE"""),"Nursery")</f>
        <v>Nursery</v>
      </c>
      <c r="D14528" s="2" t="str">
        <f ca="1">IFERROR(__xludf.DUMMYFUNCTION("""COMPUTED_VALUE"""),"Dubai&gt;Living Legends&gt;Odyssey Nursery Living Legends")</f>
        <v>Dubai&gt;Living Legends&gt;Odyssey Nursery Living Legends</v>
      </c>
      <c r="E14528" s="2"/>
      <c r="F14528" s="2"/>
      <c r="G14528" s="2"/>
      <c r="H14528" s="2"/>
      <c r="I14528" s="2"/>
      <c r="J14528" s="2"/>
      <c r="K14528" s="2"/>
      <c r="L14528" s="2"/>
      <c r="M14528" s="2"/>
      <c r="N14528" s="2"/>
      <c r="O14528" s="2"/>
      <c r="P14528" s="2"/>
      <c r="Q14528" s="2"/>
      <c r="R14528" s="2"/>
      <c r="S14528" s="2"/>
      <c r="T14528" s="2"/>
      <c r="U14528" s="2"/>
      <c r="V14528" s="2"/>
      <c r="W14528" s="2"/>
      <c r="X14528" s="2"/>
      <c r="Y14528" s="2"/>
      <c r="Z14528" s="2"/>
    </row>
    <row r="14529" spans="1:26" ht="16.5" x14ac:dyDescent="0.35">
      <c r="A14529" s="2" t="str">
        <f ca="1">IFERROR(__xludf.DUMMYFUNCTION("""COMPUTED_VALUE"""),"Dubai")</f>
        <v>Dubai</v>
      </c>
      <c r="B14529" s="2" t="str">
        <f ca="1">IFERROR(__xludf.DUMMYFUNCTION("""COMPUTED_VALUE"""),"Atiq Building")</f>
        <v>Atiq Building</v>
      </c>
      <c r="C14529" s="2" t="str">
        <f ca="1">IFERROR(__xludf.DUMMYFUNCTION("""COMPUTED_VALUE"""),"Building")</f>
        <v>Building</v>
      </c>
      <c r="D14529" s="2" t="str">
        <f ca="1">IFERROR(__xludf.DUMMYFUNCTION("""COMPUTED_VALUE"""),"Dubai&gt;Al Qusais&gt;Al Qusais Residential Area&gt;Al Qusais 1&gt;Atiq Building")</f>
        <v>Dubai&gt;Al Qusais&gt;Al Qusais Residential Area&gt;Al Qusais 1&gt;Atiq Building</v>
      </c>
      <c r="E14529" s="2"/>
      <c r="F14529" s="2"/>
      <c r="G14529" s="2"/>
      <c r="H14529" s="2"/>
      <c r="I14529" s="2"/>
      <c r="J14529" s="2"/>
      <c r="K14529" s="2"/>
      <c r="L14529" s="2"/>
      <c r="M14529" s="2"/>
      <c r="N14529" s="2"/>
      <c r="O14529" s="2"/>
      <c r="P14529" s="2"/>
      <c r="Q14529" s="2"/>
      <c r="R14529" s="2"/>
      <c r="S14529" s="2"/>
      <c r="T14529" s="2"/>
      <c r="U14529" s="2"/>
      <c r="V14529" s="2"/>
      <c r="W14529" s="2"/>
      <c r="X14529" s="2"/>
      <c r="Y14529" s="2"/>
      <c r="Z14529" s="2"/>
    </row>
    <row r="14530" spans="1:26" ht="16.5" x14ac:dyDescent="0.35">
      <c r="A14530" s="2" t="str">
        <f ca="1">IFERROR(__xludf.DUMMYFUNCTION("""COMPUTED_VALUE"""),"Dubai")</f>
        <v>Dubai</v>
      </c>
      <c r="B14530" s="2" t="str">
        <f ca="1">IFERROR(__xludf.DUMMYFUNCTION("""COMPUTED_VALUE"""),"Jouri Residence")</f>
        <v>Jouri Residence</v>
      </c>
      <c r="C14530" s="2" t="str">
        <f ca="1">IFERROR(__xludf.DUMMYFUNCTION("""COMPUTED_VALUE"""),"Building")</f>
        <v>Building</v>
      </c>
      <c r="D14530" s="2" t="str">
        <f ca="1">IFERROR(__xludf.DUMMYFUNCTION("""COMPUTED_VALUE"""),"Dubai&gt;Al Qusais&gt;Al Qusais Residential Area&gt;Al Qusais 1&gt;Jouri Residence")</f>
        <v>Dubai&gt;Al Qusais&gt;Al Qusais Residential Area&gt;Al Qusais 1&gt;Jouri Residence</v>
      </c>
      <c r="E14530" s="2"/>
      <c r="F14530" s="2"/>
      <c r="G14530" s="2"/>
      <c r="H14530" s="2"/>
      <c r="I14530" s="2"/>
      <c r="J14530" s="2"/>
      <c r="K14530" s="2"/>
      <c r="L14530" s="2"/>
      <c r="M14530" s="2"/>
      <c r="N14530" s="2"/>
      <c r="O14530" s="2"/>
      <c r="P14530" s="2"/>
      <c r="Q14530" s="2"/>
      <c r="R14530" s="2"/>
      <c r="S14530" s="2"/>
      <c r="T14530" s="2"/>
      <c r="U14530" s="2"/>
      <c r="V14530" s="2"/>
      <c r="W14530" s="2"/>
      <c r="X14530" s="2"/>
      <c r="Y14530" s="2"/>
      <c r="Z14530" s="2"/>
    </row>
    <row r="14531" spans="1:26" ht="16.5" x14ac:dyDescent="0.35">
      <c r="A14531" s="2" t="str">
        <f ca="1">IFERROR(__xludf.DUMMYFUNCTION("""COMPUTED_VALUE"""),"Dubai")</f>
        <v>Dubai</v>
      </c>
      <c r="B14531" s="2" t="str">
        <f ca="1">IFERROR(__xludf.DUMMYFUNCTION("""COMPUTED_VALUE"""),"Al Qusais Industrial 3")</f>
        <v>Al Qusais Industrial 3</v>
      </c>
      <c r="C14531" s="2" t="str">
        <f ca="1">IFERROR(__xludf.DUMMYFUNCTION("""COMPUTED_VALUE"""),"Neighbourhood")</f>
        <v>Neighbourhood</v>
      </c>
      <c r="D14531" s="2" t="str">
        <f ca="1">IFERROR(__xludf.DUMMYFUNCTION("""COMPUTED_VALUE"""),"Dubai&gt;Al Qusais&gt;Al Qusais Industrial Area&gt;Al Qusais Industrial 3")</f>
        <v>Dubai&gt;Al Qusais&gt;Al Qusais Industrial Area&gt;Al Qusais Industrial 3</v>
      </c>
      <c r="E14531" s="2"/>
      <c r="F14531" s="2"/>
      <c r="G14531" s="2"/>
      <c r="H14531" s="2"/>
      <c r="I14531" s="2"/>
      <c r="J14531" s="2"/>
      <c r="K14531" s="2"/>
      <c r="L14531" s="2"/>
      <c r="M14531" s="2"/>
      <c r="N14531" s="2"/>
      <c r="O14531" s="2"/>
      <c r="P14531" s="2"/>
      <c r="Q14531" s="2"/>
      <c r="R14531" s="2"/>
      <c r="S14531" s="2"/>
      <c r="T14531" s="2"/>
      <c r="U14531" s="2"/>
      <c r="V14531" s="2"/>
      <c r="W14531" s="2"/>
      <c r="X14531" s="2"/>
      <c r="Y14531" s="2"/>
      <c r="Z14531" s="2"/>
    </row>
    <row r="14532" spans="1:26" ht="16.5" x14ac:dyDescent="0.35">
      <c r="A14532" s="2" t="str">
        <f ca="1">IFERROR(__xludf.DUMMYFUNCTION("""COMPUTED_VALUE"""),"Dubai")</f>
        <v>Dubai</v>
      </c>
      <c r="B14532" s="2" t="str">
        <f ca="1">IFERROR(__xludf.DUMMYFUNCTION("""COMPUTED_VALUE"""),"Mulberry 2")</f>
        <v>Mulberry 2</v>
      </c>
      <c r="C14532" s="2" t="str">
        <f ca="1">IFERROR(__xludf.DUMMYFUNCTION("""COMPUTED_VALUE"""),"Neighbourhood")</f>
        <v>Neighbourhood</v>
      </c>
      <c r="D14532" s="2" t="str">
        <f ca="1">IFERROR(__xludf.DUMMYFUNCTION("""COMPUTED_VALUE"""),"Dubai&gt;Dubai Hills Estate&gt;Park Heights&gt;Mulberry 2")</f>
        <v>Dubai&gt;Dubai Hills Estate&gt;Park Heights&gt;Mulberry 2</v>
      </c>
      <c r="E14532" s="2"/>
      <c r="F14532" s="2"/>
      <c r="G14532" s="2"/>
      <c r="H14532" s="2"/>
      <c r="I14532" s="2"/>
      <c r="J14532" s="2"/>
      <c r="K14532" s="2"/>
      <c r="L14532" s="2"/>
      <c r="M14532" s="2"/>
      <c r="N14532" s="2"/>
      <c r="O14532" s="2"/>
      <c r="P14532" s="2"/>
      <c r="Q14532" s="2"/>
      <c r="R14532" s="2"/>
      <c r="S14532" s="2"/>
      <c r="T14532" s="2"/>
      <c r="U14532" s="2"/>
      <c r="V14532" s="2"/>
      <c r="W14532" s="2"/>
      <c r="X14532" s="2"/>
      <c r="Y14532" s="2"/>
      <c r="Z14532" s="2"/>
    </row>
    <row r="14533" spans="1:26" ht="16.5" x14ac:dyDescent="0.35">
      <c r="A14533" s="2" t="str">
        <f ca="1">IFERROR(__xludf.DUMMYFUNCTION("""COMPUTED_VALUE"""),"Dubai")</f>
        <v>Dubai</v>
      </c>
      <c r="B14533" s="2" t="str">
        <f ca="1">IFERROR(__xludf.DUMMYFUNCTION("""COMPUTED_VALUE"""),"Majestic Vistas")</f>
        <v>Majestic Vistas</v>
      </c>
      <c r="C14533" s="2" t="str">
        <f ca="1">IFERROR(__xludf.DUMMYFUNCTION("""COMPUTED_VALUE"""),"Neighbourhood")</f>
        <v>Neighbourhood</v>
      </c>
      <c r="D14533" s="2" t="str">
        <f ca="1">IFERROR(__xludf.DUMMYFUNCTION("""COMPUTED_VALUE"""),"Dubai&gt;Dubai Hills Estate&gt;Majestic Vistas")</f>
        <v>Dubai&gt;Dubai Hills Estate&gt;Majestic Vistas</v>
      </c>
      <c r="E14533" s="2"/>
      <c r="F14533" s="2"/>
      <c r="G14533" s="2"/>
      <c r="H14533" s="2"/>
      <c r="I14533" s="2"/>
      <c r="J14533" s="2"/>
      <c r="K14533" s="2"/>
      <c r="L14533" s="2"/>
      <c r="M14533" s="2"/>
      <c r="N14533" s="2"/>
      <c r="O14533" s="2"/>
      <c r="P14533" s="2"/>
      <c r="Q14533" s="2"/>
      <c r="R14533" s="2"/>
      <c r="S14533" s="2"/>
      <c r="T14533" s="2"/>
      <c r="U14533" s="2"/>
      <c r="V14533" s="2"/>
      <c r="W14533" s="2"/>
      <c r="X14533" s="2"/>
      <c r="Y14533" s="2"/>
      <c r="Z14533" s="2"/>
    </row>
    <row r="14534" spans="1:26" ht="16.5" x14ac:dyDescent="0.35">
      <c r="A14534" s="2" t="str">
        <f ca="1">IFERROR(__xludf.DUMMYFUNCTION("""COMPUTED_VALUE"""),"Dubai")</f>
        <v>Dubai</v>
      </c>
      <c r="B14534" s="2" t="str">
        <f ca="1">IFERROR(__xludf.DUMMYFUNCTION("""COMPUTED_VALUE"""),"Lime Gardens")</f>
        <v>Lime Gardens</v>
      </c>
      <c r="C14534" s="2" t="str">
        <f ca="1">IFERROR(__xludf.DUMMYFUNCTION("""COMPUTED_VALUE"""),"Building")</f>
        <v>Building</v>
      </c>
      <c r="D14534" s="2" t="str">
        <f ca="1">IFERROR(__xludf.DUMMYFUNCTION("""COMPUTED_VALUE"""),"Dubai&gt;Dubai Hills Estate&gt;Lime Gardens")</f>
        <v>Dubai&gt;Dubai Hills Estate&gt;Lime Gardens</v>
      </c>
      <c r="E14534" s="2"/>
      <c r="F14534" s="2"/>
      <c r="G14534" s="2"/>
      <c r="H14534" s="2"/>
      <c r="I14534" s="2"/>
      <c r="J14534" s="2"/>
      <c r="K14534" s="2"/>
      <c r="L14534" s="2"/>
      <c r="M14534" s="2"/>
      <c r="N14534" s="2"/>
      <c r="O14534" s="2"/>
      <c r="P14534" s="2"/>
      <c r="Q14534" s="2"/>
      <c r="R14534" s="2"/>
      <c r="S14534" s="2"/>
      <c r="T14534" s="2"/>
      <c r="U14534" s="2"/>
      <c r="V14534" s="2"/>
      <c r="W14534" s="2"/>
      <c r="X14534" s="2"/>
      <c r="Y14534" s="2"/>
      <c r="Z14534" s="2"/>
    </row>
    <row r="14535" spans="1:26" ht="16.5" x14ac:dyDescent="0.35">
      <c r="A14535" s="2" t="str">
        <f ca="1">IFERROR(__xludf.DUMMYFUNCTION("""COMPUTED_VALUE"""),"Dubai")</f>
        <v>Dubai</v>
      </c>
      <c r="B14535" s="2" t="str">
        <f ca="1">IFERROR(__xludf.DUMMYFUNCTION("""COMPUTED_VALUE"""),"Sidra 2")</f>
        <v>Sidra 2</v>
      </c>
      <c r="C14535" s="2" t="str">
        <f ca="1">IFERROR(__xludf.DUMMYFUNCTION("""COMPUTED_VALUE"""),"Neighbourhood")</f>
        <v>Neighbourhood</v>
      </c>
      <c r="D14535" s="2" t="str">
        <f ca="1">IFERROR(__xludf.DUMMYFUNCTION("""COMPUTED_VALUE"""),"Dubai&gt;Dubai Hills Estate&gt;Sidra Villas&gt;Sidra 2")</f>
        <v>Dubai&gt;Dubai Hills Estate&gt;Sidra Villas&gt;Sidra 2</v>
      </c>
      <c r="E14535" s="2"/>
      <c r="F14535" s="2"/>
      <c r="G14535" s="2"/>
      <c r="H14535" s="2"/>
      <c r="I14535" s="2"/>
      <c r="J14535" s="2"/>
      <c r="K14535" s="2"/>
      <c r="L14535" s="2"/>
      <c r="M14535" s="2"/>
      <c r="N14535" s="2"/>
      <c r="O14535" s="2"/>
      <c r="P14535" s="2"/>
      <c r="Q14535" s="2"/>
      <c r="R14535" s="2"/>
      <c r="S14535" s="2"/>
      <c r="T14535" s="2"/>
      <c r="U14535" s="2"/>
      <c r="V14535" s="2"/>
      <c r="W14535" s="2"/>
      <c r="X14535" s="2"/>
      <c r="Y14535" s="2"/>
      <c r="Z14535" s="2"/>
    </row>
    <row r="14536" spans="1:26" ht="16.5" x14ac:dyDescent="0.35">
      <c r="A14536" s="2" t="str">
        <f ca="1">IFERROR(__xludf.DUMMYFUNCTION("""COMPUTED_VALUE"""),"Dubai")</f>
        <v>Dubai</v>
      </c>
      <c r="B14536" s="2" t="str">
        <f ca="1">IFERROR(__xludf.DUMMYFUNCTION("""COMPUTED_VALUE"""),"Palace Residences Hillside")</f>
        <v>Palace Residences Hillside</v>
      </c>
      <c r="C14536" s="2" t="str">
        <f ca="1">IFERROR(__xludf.DUMMYFUNCTION("""COMPUTED_VALUE"""),"Cluster")</f>
        <v>Cluster</v>
      </c>
      <c r="D14536" s="2" t="str">
        <f ca="1">IFERROR(__xludf.DUMMYFUNCTION("""COMPUTED_VALUE"""),"Dubai&gt;Dubai Hills Estate&gt;Palace Residences Hillside")</f>
        <v>Dubai&gt;Dubai Hills Estate&gt;Palace Residences Hillside</v>
      </c>
      <c r="E14536" s="2"/>
      <c r="F14536" s="2"/>
      <c r="G14536" s="2"/>
      <c r="H14536" s="2"/>
      <c r="I14536" s="2"/>
      <c r="J14536" s="2"/>
      <c r="K14536" s="2"/>
      <c r="L14536" s="2"/>
      <c r="M14536" s="2"/>
      <c r="N14536" s="2"/>
      <c r="O14536" s="2"/>
      <c r="P14536" s="2"/>
      <c r="Q14536" s="2"/>
      <c r="R14536" s="2"/>
      <c r="S14536" s="2"/>
      <c r="T14536" s="2"/>
      <c r="U14536" s="2"/>
      <c r="V14536" s="2"/>
      <c r="W14536" s="2"/>
      <c r="X14536" s="2"/>
      <c r="Y14536" s="2"/>
      <c r="Z14536" s="2"/>
    </row>
    <row r="14537" spans="1:26" ht="16.5" x14ac:dyDescent="0.35">
      <c r="A14537" s="2" t="str">
        <f ca="1">IFERROR(__xludf.DUMMYFUNCTION("""COMPUTED_VALUE"""),"Dubai")</f>
        <v>Dubai</v>
      </c>
      <c r="B14537" s="2" t="str">
        <f ca="1">IFERROR(__xludf.DUMMYFUNCTION("""COMPUTED_VALUE"""),"Hyatt Place Dubai Al Rigga")</f>
        <v>Hyatt Place Dubai Al Rigga</v>
      </c>
      <c r="C14537" s="2" t="str">
        <f ca="1">IFERROR(__xludf.DUMMYFUNCTION("""COMPUTED_VALUE"""),"Building")</f>
        <v>Building</v>
      </c>
      <c r="D14537" s="2" t="str">
        <f ca="1">IFERROR(__xludf.DUMMYFUNCTION("""COMPUTED_VALUE"""),"Dubai&gt;Deira&gt;Al Muraqqabat&gt;Hyatt Place Dubai Al Rigga")</f>
        <v>Dubai&gt;Deira&gt;Al Muraqqabat&gt;Hyatt Place Dubai Al Rigga</v>
      </c>
      <c r="E14537" s="2"/>
      <c r="F14537" s="2"/>
      <c r="G14537" s="2"/>
      <c r="H14537" s="2"/>
      <c r="I14537" s="2"/>
      <c r="J14537" s="2"/>
      <c r="K14537" s="2"/>
      <c r="L14537" s="2"/>
      <c r="M14537" s="2"/>
      <c r="N14537" s="2"/>
      <c r="O14537" s="2"/>
      <c r="P14537" s="2"/>
      <c r="Q14537" s="2"/>
      <c r="R14537" s="2"/>
      <c r="S14537" s="2"/>
      <c r="T14537" s="2"/>
      <c r="U14537" s="2"/>
      <c r="V14537" s="2"/>
      <c r="W14537" s="2"/>
      <c r="X14537" s="2"/>
      <c r="Y14537" s="2"/>
      <c r="Z14537" s="2"/>
    </row>
    <row r="14538" spans="1:26" ht="16.5" x14ac:dyDescent="0.35">
      <c r="A14538" s="2" t="str">
        <f ca="1">IFERROR(__xludf.DUMMYFUNCTION("""COMPUTED_VALUE"""),"Dubai")</f>
        <v>Dubai</v>
      </c>
      <c r="B14538" s="2" t="str">
        <f ca="1">IFERROR(__xludf.DUMMYFUNCTION("""COMPUTED_VALUE"""),"Maleka Residency")</f>
        <v>Maleka Residency</v>
      </c>
      <c r="C14538" s="2" t="str">
        <f ca="1">IFERROR(__xludf.DUMMYFUNCTION("""COMPUTED_VALUE"""),"Building")</f>
        <v>Building</v>
      </c>
      <c r="D14538" s="2" t="str">
        <f ca="1">IFERROR(__xludf.DUMMYFUNCTION("""COMPUTED_VALUE"""),"Dubai&gt;Deira&gt;Al Muraqqabat&gt;Maleka Residency")</f>
        <v>Dubai&gt;Deira&gt;Al Muraqqabat&gt;Maleka Residency</v>
      </c>
      <c r="E14538" s="2"/>
      <c r="F14538" s="2"/>
      <c r="G14538" s="2"/>
      <c r="H14538" s="2"/>
      <c r="I14538" s="2"/>
      <c r="J14538" s="2"/>
      <c r="K14538" s="2"/>
      <c r="L14538" s="2"/>
      <c r="M14538" s="2"/>
      <c r="N14538" s="2"/>
      <c r="O14538" s="2"/>
      <c r="P14538" s="2"/>
      <c r="Q14538" s="2"/>
      <c r="R14538" s="2"/>
      <c r="S14538" s="2"/>
      <c r="T14538" s="2"/>
      <c r="U14538" s="2"/>
      <c r="V14538" s="2"/>
      <c r="W14538" s="2"/>
      <c r="X14538" s="2"/>
      <c r="Y14538" s="2"/>
      <c r="Z14538" s="2"/>
    </row>
    <row r="14539" spans="1:26" ht="16.5" x14ac:dyDescent="0.35">
      <c r="A14539" s="2" t="str">
        <f ca="1">IFERROR(__xludf.DUMMYFUNCTION("""COMPUTED_VALUE"""),"Dubai")</f>
        <v>Dubai</v>
      </c>
      <c r="B14539" s="2" t="str">
        <f ca="1">IFERROR(__xludf.DUMMYFUNCTION("""COMPUTED_VALUE"""),"Ayal Nasir")</f>
        <v>Ayal Nasir</v>
      </c>
      <c r="C14539" s="2" t="str">
        <f ca="1">IFERROR(__xludf.DUMMYFUNCTION("""COMPUTED_VALUE"""),"Neighbourhood")</f>
        <v>Neighbourhood</v>
      </c>
      <c r="D14539" s="2" t="str">
        <f ca="1">IFERROR(__xludf.DUMMYFUNCTION("""COMPUTED_VALUE"""),"Dubai&gt;Deira&gt;Ayal Nasir")</f>
        <v>Dubai&gt;Deira&gt;Ayal Nasir</v>
      </c>
      <c r="E14539" s="2"/>
      <c r="F14539" s="2"/>
      <c r="G14539" s="2"/>
      <c r="H14539" s="2"/>
      <c r="I14539" s="2"/>
      <c r="J14539" s="2"/>
      <c r="K14539" s="2"/>
      <c r="L14539" s="2"/>
      <c r="M14539" s="2"/>
      <c r="N14539" s="2"/>
      <c r="O14539" s="2"/>
      <c r="P14539" s="2"/>
      <c r="Q14539" s="2"/>
      <c r="R14539" s="2"/>
      <c r="S14539" s="2"/>
      <c r="T14539" s="2"/>
      <c r="U14539" s="2"/>
      <c r="V14539" s="2"/>
      <c r="W14539" s="2"/>
      <c r="X14539" s="2"/>
      <c r="Y14539" s="2"/>
      <c r="Z14539" s="2"/>
    </row>
    <row r="14540" spans="1:26" ht="16.5" x14ac:dyDescent="0.35">
      <c r="A14540" s="2" t="str">
        <f ca="1">IFERROR(__xludf.DUMMYFUNCTION("""COMPUTED_VALUE"""),"Dubai")</f>
        <v>Dubai</v>
      </c>
      <c r="B14540" s="2" t="str">
        <f ca="1">IFERROR(__xludf.DUMMYFUNCTION("""COMPUTED_VALUE"""),"Sheikha Nora Building")</f>
        <v>Sheikha Nora Building</v>
      </c>
      <c r="C14540" s="2" t="str">
        <f ca="1">IFERROR(__xludf.DUMMYFUNCTION("""COMPUTED_VALUE"""),"Building")</f>
        <v>Building</v>
      </c>
      <c r="D14540" s="2" t="str">
        <f ca="1">IFERROR(__xludf.DUMMYFUNCTION("""COMPUTED_VALUE"""),"Dubai&gt;Deira&gt;Hor Al Anz&gt;Hor Al Anz East&gt;Sheikha Nora Building")</f>
        <v>Dubai&gt;Deira&gt;Hor Al Anz&gt;Hor Al Anz East&gt;Sheikha Nora Building</v>
      </c>
      <c r="E14540" s="2"/>
      <c r="F14540" s="2"/>
      <c r="G14540" s="2"/>
      <c r="H14540" s="2"/>
      <c r="I14540" s="2"/>
      <c r="J14540" s="2"/>
      <c r="K14540" s="2"/>
      <c r="L14540" s="2"/>
      <c r="M14540" s="2"/>
      <c r="N14540" s="2"/>
      <c r="O14540" s="2"/>
      <c r="P14540" s="2"/>
      <c r="Q14540" s="2"/>
      <c r="R14540" s="2"/>
      <c r="S14540" s="2"/>
      <c r="T14540" s="2"/>
      <c r="U14540" s="2"/>
      <c r="V14540" s="2"/>
      <c r="W14540" s="2"/>
      <c r="X14540" s="2"/>
      <c r="Y14540" s="2"/>
      <c r="Z14540" s="2"/>
    </row>
    <row r="14541" spans="1:26" ht="16.5" x14ac:dyDescent="0.35">
      <c r="A14541" s="2" t="str">
        <f ca="1">IFERROR(__xludf.DUMMYFUNCTION("""COMPUTED_VALUE"""),"Dubai")</f>
        <v>Dubai</v>
      </c>
      <c r="B14541" s="2" t="str">
        <f ca="1">IFERROR(__xludf.DUMMYFUNCTION("""COMPUTED_VALUE"""),"The Centre Residence")</f>
        <v>The Centre Residence</v>
      </c>
      <c r="C14541" s="2" t="str">
        <f ca="1">IFERROR(__xludf.DUMMYFUNCTION("""COMPUTED_VALUE"""),"Building")</f>
        <v>Building</v>
      </c>
      <c r="D14541" s="2" t="str">
        <f ca="1">IFERROR(__xludf.DUMMYFUNCTION("""COMPUTED_VALUE"""),"Dubai&gt;Deira&gt;Al Muteena&gt;The Centre Residence")</f>
        <v>Dubai&gt;Deira&gt;Al Muteena&gt;The Centre Residence</v>
      </c>
      <c r="E14541" s="2"/>
      <c r="F14541" s="2"/>
      <c r="G14541" s="2"/>
      <c r="H14541" s="2"/>
      <c r="I14541" s="2"/>
      <c r="J14541" s="2"/>
      <c r="K14541" s="2"/>
      <c r="L14541" s="2"/>
      <c r="M14541" s="2"/>
      <c r="N14541" s="2"/>
      <c r="O14541" s="2"/>
      <c r="P14541" s="2"/>
      <c r="Q14541" s="2"/>
      <c r="R14541" s="2"/>
      <c r="S14541" s="2"/>
      <c r="T14541" s="2"/>
      <c r="U14541" s="2"/>
      <c r="V14541" s="2"/>
      <c r="W14541" s="2"/>
      <c r="X14541" s="2"/>
      <c r="Y14541" s="2"/>
      <c r="Z14541" s="2"/>
    </row>
    <row r="14542" spans="1:26" ht="16.5" x14ac:dyDescent="0.35">
      <c r="A14542" s="2" t="str">
        <f ca="1">IFERROR(__xludf.DUMMYFUNCTION("""COMPUTED_VALUE"""),"Dubai")</f>
        <v>Dubai</v>
      </c>
      <c r="B14542" s="2" t="str">
        <f ca="1">IFERROR(__xludf.DUMMYFUNCTION("""COMPUTED_VALUE"""),"Al Khabaisi")</f>
        <v>Al Khabaisi</v>
      </c>
      <c r="C14542" s="2" t="str">
        <f ca="1">IFERROR(__xludf.DUMMYFUNCTION("""COMPUTED_VALUE"""),"Neighbourhood")</f>
        <v>Neighbourhood</v>
      </c>
      <c r="D14542" s="2" t="str">
        <f ca="1">IFERROR(__xludf.DUMMYFUNCTION("""COMPUTED_VALUE"""),"Dubai&gt;Deira&gt;Al Khabaisi")</f>
        <v>Dubai&gt;Deira&gt;Al Khabaisi</v>
      </c>
      <c r="E14542" s="2"/>
      <c r="F14542" s="2"/>
      <c r="G14542" s="2"/>
      <c r="H14542" s="2"/>
      <c r="I14542" s="2"/>
      <c r="J14542" s="2"/>
      <c r="K14542" s="2"/>
      <c r="L14542" s="2"/>
      <c r="M14542" s="2"/>
      <c r="N14542" s="2"/>
      <c r="O14542" s="2"/>
      <c r="P14542" s="2"/>
      <c r="Q14542" s="2"/>
      <c r="R14542" s="2"/>
      <c r="S14542" s="2"/>
      <c r="T14542" s="2"/>
      <c r="U14542" s="2"/>
      <c r="V14542" s="2"/>
      <c r="W14542" s="2"/>
      <c r="X14542" s="2"/>
      <c r="Y14542" s="2"/>
      <c r="Z14542" s="2"/>
    </row>
    <row r="14543" spans="1:26" ht="16.5" x14ac:dyDescent="0.35">
      <c r="A14543" s="2" t="str">
        <f ca="1">IFERROR(__xludf.DUMMYFUNCTION("""COMPUTED_VALUE"""),"Dubai")</f>
        <v>Dubai</v>
      </c>
      <c r="B14543" s="2" t="str">
        <f ca="1">IFERROR(__xludf.DUMMYFUNCTION("""COMPUTED_VALUE"""),"Deira Enrichment Project")</f>
        <v>Deira Enrichment Project</v>
      </c>
      <c r="C14543" s="2" t="str">
        <f ca="1">IFERROR(__xludf.DUMMYFUNCTION("""COMPUTED_VALUE"""),"Neighbourhood")</f>
        <v>Neighbourhood</v>
      </c>
      <c r="D14543" s="2" t="str">
        <f ca="1">IFERROR(__xludf.DUMMYFUNCTION("""COMPUTED_VALUE"""),"Dubai&gt;Deira&gt;Deira Enrichment Project")</f>
        <v>Dubai&gt;Deira&gt;Deira Enrichment Project</v>
      </c>
      <c r="E14543" s="2"/>
      <c r="F14543" s="2"/>
      <c r="G14543" s="2"/>
      <c r="H14543" s="2"/>
      <c r="I14543" s="2"/>
      <c r="J14543" s="2"/>
      <c r="K14543" s="2"/>
      <c r="L14543" s="2"/>
      <c r="M14543" s="2"/>
      <c r="N14543" s="2"/>
      <c r="O14543" s="2"/>
      <c r="P14543" s="2"/>
      <c r="Q14543" s="2"/>
      <c r="R14543" s="2"/>
      <c r="S14543" s="2"/>
      <c r="T14543" s="2"/>
      <c r="U14543" s="2"/>
      <c r="V14543" s="2"/>
      <c r="W14543" s="2"/>
      <c r="X14543" s="2"/>
      <c r="Y14543" s="2"/>
      <c r="Z14543" s="2"/>
    </row>
    <row r="14544" spans="1:26" ht="16.5" x14ac:dyDescent="0.35">
      <c r="A14544" s="2" t="str">
        <f ca="1">IFERROR(__xludf.DUMMYFUNCTION("""COMPUTED_VALUE"""),"Dubai")</f>
        <v>Dubai</v>
      </c>
      <c r="B14544" s="2" t="str">
        <f ca="1">IFERROR(__xludf.DUMMYFUNCTION("""COMPUTED_VALUE"""),"Hind Plaza 10")</f>
        <v>Hind Plaza 10</v>
      </c>
      <c r="C14544" s="2" t="str">
        <f ca="1">IFERROR(__xludf.DUMMYFUNCTION("""COMPUTED_VALUE"""),"Building")</f>
        <v>Building</v>
      </c>
      <c r="D14544" s="2" t="str">
        <f ca="1">IFERROR(__xludf.DUMMYFUNCTION("""COMPUTED_VALUE"""),"Dubai&gt;Deira&gt;Deira Enrichment Project&gt;Hind Plaza&gt;Hind Plaza 10")</f>
        <v>Dubai&gt;Deira&gt;Deira Enrichment Project&gt;Hind Plaza&gt;Hind Plaza 10</v>
      </c>
      <c r="E14544" s="2"/>
      <c r="F14544" s="2"/>
      <c r="G14544" s="2"/>
      <c r="H14544" s="2"/>
      <c r="I14544" s="2"/>
      <c r="J14544" s="2"/>
      <c r="K14544" s="2"/>
      <c r="L14544" s="2"/>
      <c r="M14544" s="2"/>
      <c r="N14544" s="2"/>
      <c r="O14544" s="2"/>
      <c r="P14544" s="2"/>
      <c r="Q14544" s="2"/>
      <c r="R14544" s="2"/>
      <c r="S14544" s="2"/>
      <c r="T14544" s="2"/>
      <c r="U14544" s="2"/>
      <c r="V14544" s="2"/>
      <c r="W14544" s="2"/>
      <c r="X14544" s="2"/>
      <c r="Y14544" s="2"/>
      <c r="Z14544" s="2"/>
    </row>
    <row r="14545" spans="1:26" ht="16.5" x14ac:dyDescent="0.35">
      <c r="A14545" s="2" t="str">
        <f ca="1">IFERROR(__xludf.DUMMYFUNCTION("""COMPUTED_VALUE"""),"Dubai")</f>
        <v>Dubai</v>
      </c>
      <c r="B14545" s="2" t="str">
        <f ca="1">IFERROR(__xludf.DUMMYFUNCTION("""COMPUTED_VALUE"""),"Al Mulla-2 Building")</f>
        <v>Al Mulla-2 Building</v>
      </c>
      <c r="C14545" s="2" t="str">
        <f ca="1">IFERROR(__xludf.DUMMYFUNCTION("""COMPUTED_VALUE"""),"Building")</f>
        <v>Building</v>
      </c>
      <c r="D14545" s="2" t="str">
        <f ca="1">IFERROR(__xludf.DUMMYFUNCTION("""COMPUTED_VALUE"""),"Dubai&gt;Deira&gt;Naif&gt;Al Mulla-2 Building")</f>
        <v>Dubai&gt;Deira&gt;Naif&gt;Al Mulla-2 Building</v>
      </c>
      <c r="E14545" s="2"/>
      <c r="F14545" s="2"/>
      <c r="G14545" s="2"/>
      <c r="H14545" s="2"/>
      <c r="I14545" s="2"/>
      <c r="J14545" s="2"/>
      <c r="K14545" s="2"/>
      <c r="L14545" s="2"/>
      <c r="M14545" s="2"/>
      <c r="N14545" s="2"/>
      <c r="O14545" s="2"/>
      <c r="P14545" s="2"/>
      <c r="Q14545" s="2"/>
      <c r="R14545" s="2"/>
      <c r="S14545" s="2"/>
      <c r="T14545" s="2"/>
      <c r="U14545" s="2"/>
      <c r="V14545" s="2"/>
      <c r="W14545" s="2"/>
      <c r="X14545" s="2"/>
      <c r="Y14545" s="2"/>
      <c r="Z14545" s="2"/>
    </row>
    <row r="14546" spans="1:26" ht="16.5" x14ac:dyDescent="0.35">
      <c r="A14546" s="2" t="str">
        <f ca="1">IFERROR(__xludf.DUMMYFUNCTION("""COMPUTED_VALUE"""),"Dubai")</f>
        <v>Dubai</v>
      </c>
      <c r="B14546" s="2" t="str">
        <f ca="1">IFERROR(__xludf.DUMMYFUNCTION("""COMPUTED_VALUE"""),"Mobile House Building")</f>
        <v>Mobile House Building</v>
      </c>
      <c r="C14546" s="2" t="str">
        <f ca="1">IFERROR(__xludf.DUMMYFUNCTION("""COMPUTED_VALUE"""),"Building")</f>
        <v>Building</v>
      </c>
      <c r="D14546" s="2" t="str">
        <f ca="1">IFERROR(__xludf.DUMMYFUNCTION("""COMPUTED_VALUE"""),"Dubai&gt;Deira&gt;Al Murar&gt;Mobile House Building")</f>
        <v>Dubai&gt;Deira&gt;Al Murar&gt;Mobile House Building</v>
      </c>
      <c r="E14546" s="2"/>
      <c r="F14546" s="2"/>
      <c r="G14546" s="2"/>
      <c r="H14546" s="2"/>
      <c r="I14546" s="2"/>
      <c r="J14546" s="2"/>
      <c r="K14546" s="2"/>
      <c r="L14546" s="2"/>
      <c r="M14546" s="2"/>
      <c r="N14546" s="2"/>
      <c r="O14546" s="2"/>
      <c r="P14546" s="2"/>
      <c r="Q14546" s="2"/>
      <c r="R14546" s="2"/>
      <c r="S14546" s="2"/>
      <c r="T14546" s="2"/>
      <c r="U14546" s="2"/>
      <c r="V14546" s="2"/>
      <c r="W14546" s="2"/>
      <c r="X14546" s="2"/>
      <c r="Y14546" s="2"/>
      <c r="Z14546" s="2"/>
    </row>
    <row r="14547" spans="1:26" ht="16.5" x14ac:dyDescent="0.35">
      <c r="A14547" s="2" t="str">
        <f ca="1">IFERROR(__xludf.DUMMYFUNCTION("""COMPUTED_VALUE"""),"Dubai")</f>
        <v>Dubai</v>
      </c>
      <c r="B14547" s="2" t="str">
        <f ca="1">IFERROR(__xludf.DUMMYFUNCTION("""COMPUTED_VALUE"""),"Abdulla Building 6")</f>
        <v>Abdulla Building 6</v>
      </c>
      <c r="C14547" s="2" t="str">
        <f ca="1">IFERROR(__xludf.DUMMYFUNCTION("""COMPUTED_VALUE"""),"Building")</f>
        <v>Building</v>
      </c>
      <c r="D14547" s="2" t="str">
        <f ca="1">IFERROR(__xludf.DUMMYFUNCTION("""COMPUTED_VALUE"""),"Dubai&gt;Deira&gt;Al Murar&gt;Abdulla Building 6")</f>
        <v>Dubai&gt;Deira&gt;Al Murar&gt;Abdulla Building 6</v>
      </c>
      <c r="E14547" s="2"/>
      <c r="F14547" s="2"/>
      <c r="G14547" s="2"/>
      <c r="H14547" s="2"/>
      <c r="I14547" s="2"/>
      <c r="J14547" s="2"/>
      <c r="K14547" s="2"/>
      <c r="L14547" s="2"/>
      <c r="M14547" s="2"/>
      <c r="N14547" s="2"/>
      <c r="O14547" s="2"/>
      <c r="P14547" s="2"/>
      <c r="Q14547" s="2"/>
      <c r="R14547" s="2"/>
      <c r="S14547" s="2"/>
      <c r="T14547" s="2"/>
      <c r="U14547" s="2"/>
      <c r="V14547" s="2"/>
      <c r="W14547" s="2"/>
      <c r="X14547" s="2"/>
      <c r="Y14547" s="2"/>
      <c r="Z14547" s="2"/>
    </row>
    <row r="14548" spans="1:26" ht="16.5" x14ac:dyDescent="0.35">
      <c r="A14548" s="2" t="str">
        <f ca="1">IFERROR(__xludf.DUMMYFUNCTION("""COMPUTED_VALUE"""),"Dubai")</f>
        <v>Dubai</v>
      </c>
      <c r="B14548" s="2" t="str">
        <f ca="1">IFERROR(__xludf.DUMMYFUNCTION("""COMPUTED_VALUE"""),"Al Qiyada Building")</f>
        <v>Al Qiyada Building</v>
      </c>
      <c r="C14548" s="2" t="str">
        <f ca="1">IFERROR(__xludf.DUMMYFUNCTION("""COMPUTED_VALUE"""),"Building")</f>
        <v>Building</v>
      </c>
      <c r="D14548" s="2" t="str">
        <f ca="1">IFERROR(__xludf.DUMMYFUNCTION("""COMPUTED_VALUE"""),"Dubai&gt;Deira&gt;Al Qiyada Building")</f>
        <v>Dubai&gt;Deira&gt;Al Qiyada Building</v>
      </c>
      <c r="E14548" s="2"/>
      <c r="F14548" s="2"/>
      <c r="G14548" s="2"/>
      <c r="H14548" s="2"/>
      <c r="I14548" s="2"/>
      <c r="J14548" s="2"/>
      <c r="K14548" s="2"/>
      <c r="L14548" s="2"/>
      <c r="M14548" s="2"/>
      <c r="N14548" s="2"/>
      <c r="O14548" s="2"/>
      <c r="P14548" s="2"/>
      <c r="Q14548" s="2"/>
      <c r="R14548" s="2"/>
      <c r="S14548" s="2"/>
      <c r="T14548" s="2"/>
      <c r="U14548" s="2"/>
      <c r="V14548" s="2"/>
      <c r="W14548" s="2"/>
      <c r="X14548" s="2"/>
      <c r="Y14548" s="2"/>
      <c r="Z14548" s="2"/>
    </row>
    <row r="14549" spans="1:26" ht="16.5" x14ac:dyDescent="0.35">
      <c r="A14549" s="2" t="str">
        <f ca="1">IFERROR(__xludf.DUMMYFUNCTION("""COMPUTED_VALUE"""),"Dubai")</f>
        <v>Dubai</v>
      </c>
      <c r="B14549" s="2" t="str">
        <f ca="1">IFERROR(__xludf.DUMMYFUNCTION("""COMPUTED_VALUE"""),"Hareb Building")</f>
        <v>Hareb Building</v>
      </c>
      <c r="C14549" s="2" t="str">
        <f ca="1">IFERROR(__xludf.DUMMYFUNCTION("""COMPUTED_VALUE"""),"Building")</f>
        <v>Building</v>
      </c>
      <c r="D14549" s="2" t="str">
        <f ca="1">IFERROR(__xludf.DUMMYFUNCTION("""COMPUTED_VALUE"""),"Dubai&gt;Deira&gt;Port Saeed&gt;Hareb Building")</f>
        <v>Dubai&gt;Deira&gt;Port Saeed&gt;Hareb Building</v>
      </c>
      <c r="E14549" s="2"/>
      <c r="F14549" s="2"/>
      <c r="G14549" s="2"/>
      <c r="H14549" s="2"/>
      <c r="I14549" s="2"/>
      <c r="J14549" s="2"/>
      <c r="K14549" s="2"/>
      <c r="L14549" s="2"/>
      <c r="M14549" s="2"/>
      <c r="N14549" s="2"/>
      <c r="O14549" s="2"/>
      <c r="P14549" s="2"/>
      <c r="Q14549" s="2"/>
      <c r="R14549" s="2"/>
      <c r="S14549" s="2"/>
      <c r="T14549" s="2"/>
      <c r="U14549" s="2"/>
      <c r="V14549" s="2"/>
      <c r="W14549" s="2"/>
      <c r="X14549" s="2"/>
      <c r="Y14549" s="2"/>
      <c r="Z14549" s="2"/>
    </row>
    <row r="14550" spans="1:26" ht="16.5" x14ac:dyDescent="0.35">
      <c r="A14550" s="2" t="str">
        <f ca="1">IFERROR(__xludf.DUMMYFUNCTION("""COMPUTED_VALUE"""),"Dubai")</f>
        <v>Dubai</v>
      </c>
      <c r="B14550" s="2" t="str">
        <f ca="1">IFERROR(__xludf.DUMMYFUNCTION("""COMPUTED_VALUE"""),"Oxford Tower")</f>
        <v>Oxford Tower</v>
      </c>
      <c r="C14550" s="2" t="str">
        <f ca="1">IFERROR(__xludf.DUMMYFUNCTION("""COMPUTED_VALUE"""),"Building")</f>
        <v>Building</v>
      </c>
      <c r="D14550" s="2" t="str">
        <f ca="1">IFERROR(__xludf.DUMMYFUNCTION("""COMPUTED_VALUE"""),"Dubai&gt;Business Bay&gt;Oxford Tower")</f>
        <v>Dubai&gt;Business Bay&gt;Oxford Tower</v>
      </c>
      <c r="E14550" s="2"/>
      <c r="F14550" s="2"/>
      <c r="G14550" s="2"/>
      <c r="H14550" s="2"/>
      <c r="I14550" s="2"/>
      <c r="J14550" s="2"/>
      <c r="K14550" s="2"/>
      <c r="L14550" s="2"/>
      <c r="M14550" s="2"/>
      <c r="N14550" s="2"/>
      <c r="O14550" s="2"/>
      <c r="P14550" s="2"/>
      <c r="Q14550" s="2"/>
      <c r="R14550" s="2"/>
      <c r="S14550" s="2"/>
      <c r="T14550" s="2"/>
      <c r="U14550" s="2"/>
      <c r="V14550" s="2"/>
      <c r="W14550" s="2"/>
      <c r="X14550" s="2"/>
      <c r="Y14550" s="2"/>
      <c r="Z14550" s="2"/>
    </row>
    <row r="14551" spans="1:26" ht="16.5" x14ac:dyDescent="0.35">
      <c r="A14551" s="2" t="str">
        <f ca="1">IFERROR(__xludf.DUMMYFUNCTION("""COMPUTED_VALUE"""),"Dubai")</f>
        <v>Dubai</v>
      </c>
      <c r="B14551" s="2" t="str">
        <f ca="1">IFERROR(__xludf.DUMMYFUNCTION("""COMPUTED_VALUE"""),"Ontario Tower")</f>
        <v>Ontario Tower</v>
      </c>
      <c r="C14551" s="2" t="str">
        <f ca="1">IFERROR(__xludf.DUMMYFUNCTION("""COMPUTED_VALUE"""),"Building")</f>
        <v>Building</v>
      </c>
      <c r="D14551" s="2" t="str">
        <f ca="1">IFERROR(__xludf.DUMMYFUNCTION("""COMPUTED_VALUE"""),"Dubai&gt;Business Bay&gt;Ontario Tower")</f>
        <v>Dubai&gt;Business Bay&gt;Ontario Tower</v>
      </c>
      <c r="E14551" s="2"/>
      <c r="F14551" s="2"/>
      <c r="G14551" s="2"/>
      <c r="H14551" s="2"/>
      <c r="I14551" s="2"/>
      <c r="J14551" s="2"/>
      <c r="K14551" s="2"/>
      <c r="L14551" s="2"/>
      <c r="M14551" s="2"/>
      <c r="N14551" s="2"/>
      <c r="O14551" s="2"/>
      <c r="P14551" s="2"/>
      <c r="Q14551" s="2"/>
      <c r="R14551" s="2"/>
      <c r="S14551" s="2"/>
      <c r="T14551" s="2"/>
      <c r="U14551" s="2"/>
      <c r="V14551" s="2"/>
      <c r="W14551" s="2"/>
      <c r="X14551" s="2"/>
      <c r="Y14551" s="2"/>
      <c r="Z14551" s="2"/>
    </row>
    <row r="14552" spans="1:26" ht="16.5" x14ac:dyDescent="0.35">
      <c r="A14552" s="2" t="str">
        <f ca="1">IFERROR(__xludf.DUMMYFUNCTION("""COMPUTED_VALUE"""),"Dubai")</f>
        <v>Dubai</v>
      </c>
      <c r="B14552" s="2" t="str">
        <f ca="1">IFERROR(__xludf.DUMMYFUNCTION("""COMPUTED_VALUE"""),"Bay Square 13")</f>
        <v>Bay Square 13</v>
      </c>
      <c r="C14552" s="2" t="str">
        <f ca="1">IFERROR(__xludf.DUMMYFUNCTION("""COMPUTED_VALUE"""),"Building")</f>
        <v>Building</v>
      </c>
      <c r="D14552" s="2" t="str">
        <f ca="1">IFERROR(__xludf.DUMMYFUNCTION("""COMPUTED_VALUE"""),"Dubai&gt;Business Bay&gt;Bay Square&gt;Bay Square 13")</f>
        <v>Dubai&gt;Business Bay&gt;Bay Square&gt;Bay Square 13</v>
      </c>
      <c r="E14552" s="2"/>
      <c r="F14552" s="2"/>
      <c r="G14552" s="2"/>
      <c r="H14552" s="2"/>
      <c r="I14552" s="2"/>
      <c r="J14552" s="2"/>
      <c r="K14552" s="2"/>
      <c r="L14552" s="2"/>
      <c r="M14552" s="2"/>
      <c r="N14552" s="2"/>
      <c r="O14552" s="2"/>
      <c r="P14552" s="2"/>
      <c r="Q14552" s="2"/>
      <c r="R14552" s="2"/>
      <c r="S14552" s="2"/>
      <c r="T14552" s="2"/>
      <c r="U14552" s="2"/>
      <c r="V14552" s="2"/>
      <c r="W14552" s="2"/>
      <c r="X14552" s="2"/>
      <c r="Y14552" s="2"/>
      <c r="Z14552" s="2"/>
    </row>
    <row r="14553" spans="1:26" ht="16.5" x14ac:dyDescent="0.35">
      <c r="A14553" s="2" t="str">
        <f ca="1">IFERROR(__xludf.DUMMYFUNCTION("""COMPUTED_VALUE"""),"Dubai")</f>
        <v>Dubai</v>
      </c>
      <c r="B14553" s="2" t="str">
        <f ca="1">IFERROR(__xludf.DUMMYFUNCTION("""COMPUTED_VALUE"""),"The Lana Residences Dorchester Collection")</f>
        <v>The Lana Residences Dorchester Collection</v>
      </c>
      <c r="C14553" s="2" t="str">
        <f ca="1">IFERROR(__xludf.DUMMYFUNCTION("""COMPUTED_VALUE"""),"Building")</f>
        <v>Building</v>
      </c>
      <c r="D14553" s="2" t="str">
        <f ca="1">IFERROR(__xludf.DUMMYFUNCTION("""COMPUTED_VALUE"""),"Dubai&gt;Business Bay&gt;The Lana Residences Dorchester Collection")</f>
        <v>Dubai&gt;Business Bay&gt;The Lana Residences Dorchester Collection</v>
      </c>
      <c r="E14553" s="2"/>
      <c r="F14553" s="2"/>
      <c r="G14553" s="2"/>
      <c r="H14553" s="2"/>
      <c r="I14553" s="2"/>
      <c r="J14553" s="2"/>
      <c r="K14553" s="2"/>
      <c r="L14553" s="2"/>
      <c r="M14553" s="2"/>
      <c r="N14553" s="2"/>
      <c r="O14553" s="2"/>
      <c r="P14553" s="2"/>
      <c r="Q14553" s="2"/>
      <c r="R14553" s="2"/>
      <c r="S14553" s="2"/>
      <c r="T14553" s="2"/>
      <c r="U14553" s="2"/>
      <c r="V14553" s="2"/>
      <c r="W14553" s="2"/>
      <c r="X14553" s="2"/>
      <c r="Y14553" s="2"/>
      <c r="Z14553" s="2"/>
    </row>
    <row r="14554" spans="1:26" ht="16.5" x14ac:dyDescent="0.35">
      <c r="A14554" s="2" t="str">
        <f ca="1">IFERROR(__xludf.DUMMYFUNCTION("""COMPUTED_VALUE"""),"Dubai")</f>
        <v>Dubai</v>
      </c>
      <c r="B14554" s="2" t="str">
        <f ca="1">IFERROR(__xludf.DUMMYFUNCTION("""COMPUTED_VALUE"""),"DEC Business Tower")</f>
        <v>DEC Business Tower</v>
      </c>
      <c r="C14554" s="2" t="str">
        <f ca="1">IFERROR(__xludf.DUMMYFUNCTION("""COMPUTED_VALUE"""),"Building")</f>
        <v>Building</v>
      </c>
      <c r="D14554" s="2" t="str">
        <f ca="1">IFERROR(__xludf.DUMMYFUNCTION("""COMPUTED_VALUE"""),"Dubai&gt;Business Bay&gt;DEC Business Tower")</f>
        <v>Dubai&gt;Business Bay&gt;DEC Business Tower</v>
      </c>
      <c r="E14554" s="2"/>
      <c r="F14554" s="2"/>
      <c r="G14554" s="2"/>
      <c r="H14554" s="2"/>
      <c r="I14554" s="2"/>
      <c r="J14554" s="2"/>
      <c r="K14554" s="2"/>
      <c r="L14554" s="2"/>
      <c r="M14554" s="2"/>
      <c r="N14554" s="2"/>
      <c r="O14554" s="2"/>
      <c r="P14554" s="2"/>
      <c r="Q14554" s="2"/>
      <c r="R14554" s="2"/>
      <c r="S14554" s="2"/>
      <c r="T14554" s="2"/>
      <c r="U14554" s="2"/>
      <c r="V14554" s="2"/>
      <c r="W14554" s="2"/>
      <c r="X14554" s="2"/>
      <c r="Y14554" s="2"/>
      <c r="Z14554" s="2"/>
    </row>
    <row r="14555" spans="1:26" ht="16.5" x14ac:dyDescent="0.35">
      <c r="A14555" s="2" t="str">
        <f ca="1">IFERROR(__xludf.DUMMYFUNCTION("""COMPUTED_VALUE"""),"Dubai")</f>
        <v>Dubai</v>
      </c>
      <c r="B14555" s="2" t="str">
        <f ca="1">IFERROR(__xludf.DUMMYFUNCTION("""COMPUTED_VALUE"""),"U-Bora Tower 2")</f>
        <v>U-Bora Tower 2</v>
      </c>
      <c r="C14555" s="2" t="str">
        <f ca="1">IFERROR(__xludf.DUMMYFUNCTION("""COMPUTED_VALUE"""),"Building")</f>
        <v>Building</v>
      </c>
      <c r="D14555" s="2" t="str">
        <f ca="1">IFERROR(__xludf.DUMMYFUNCTION("""COMPUTED_VALUE"""),"Dubai&gt;Business Bay&gt;U-Bora Tower&gt;U-Bora Tower 2")</f>
        <v>Dubai&gt;Business Bay&gt;U-Bora Tower&gt;U-Bora Tower 2</v>
      </c>
      <c r="E14555" s="2"/>
      <c r="F14555" s="2"/>
      <c r="G14555" s="2"/>
      <c r="H14555" s="2"/>
      <c r="I14555" s="2"/>
      <c r="J14555" s="2"/>
      <c r="K14555" s="2"/>
      <c r="L14555" s="2"/>
      <c r="M14555" s="2"/>
      <c r="N14555" s="2"/>
      <c r="O14555" s="2"/>
      <c r="P14555" s="2"/>
      <c r="Q14555" s="2"/>
      <c r="R14555" s="2"/>
      <c r="S14555" s="2"/>
      <c r="T14555" s="2"/>
      <c r="U14555" s="2"/>
      <c r="V14555" s="2"/>
      <c r="W14555" s="2"/>
      <c r="X14555" s="2"/>
      <c r="Y14555" s="2"/>
      <c r="Z14555" s="2"/>
    </row>
    <row r="14556" spans="1:26" ht="16.5" x14ac:dyDescent="0.35">
      <c r="A14556" s="2" t="str">
        <f ca="1">IFERROR(__xludf.DUMMYFUNCTION("""COMPUTED_VALUE"""),"Dubai")</f>
        <v>Dubai</v>
      </c>
      <c r="B14556" s="2" t="str">
        <f ca="1">IFERROR(__xludf.DUMMYFUNCTION("""COMPUTED_VALUE"""),"Ahad Residences")</f>
        <v>Ahad Residences</v>
      </c>
      <c r="C14556" s="2" t="str">
        <f ca="1">IFERROR(__xludf.DUMMYFUNCTION("""COMPUTED_VALUE"""),"Building")</f>
        <v>Building</v>
      </c>
      <c r="D14556" s="2" t="str">
        <f ca="1">IFERROR(__xludf.DUMMYFUNCTION("""COMPUTED_VALUE"""),"Dubai&gt;Business Bay&gt;Ahad Residences")</f>
        <v>Dubai&gt;Business Bay&gt;Ahad Residences</v>
      </c>
      <c r="E14556" s="2"/>
      <c r="F14556" s="2"/>
      <c r="G14556" s="2"/>
      <c r="H14556" s="2"/>
      <c r="I14556" s="2"/>
      <c r="J14556" s="2"/>
      <c r="K14556" s="2"/>
      <c r="L14556" s="2"/>
      <c r="M14556" s="2"/>
      <c r="N14556" s="2"/>
      <c r="O14556" s="2"/>
      <c r="P14556" s="2"/>
      <c r="Q14556" s="2"/>
      <c r="R14556" s="2"/>
      <c r="S14556" s="2"/>
      <c r="T14556" s="2"/>
      <c r="U14556" s="2"/>
      <c r="V14556" s="2"/>
      <c r="W14556" s="2"/>
      <c r="X14556" s="2"/>
      <c r="Y14556" s="2"/>
      <c r="Z14556" s="2"/>
    </row>
    <row r="14557" spans="1:26" ht="16.5" x14ac:dyDescent="0.35">
      <c r="A14557" s="2" t="str">
        <f ca="1">IFERROR(__xludf.DUMMYFUNCTION("""COMPUTED_VALUE"""),"Dubai")</f>
        <v>Dubai</v>
      </c>
      <c r="B14557" s="2" t="str">
        <f ca="1">IFERROR(__xludf.DUMMYFUNCTION("""COMPUTED_VALUE"""),"The Edge Tower B")</f>
        <v>The Edge Tower B</v>
      </c>
      <c r="C14557" s="2" t="str">
        <f ca="1">IFERROR(__xludf.DUMMYFUNCTION("""COMPUTED_VALUE"""),"Building")</f>
        <v>Building</v>
      </c>
      <c r="D14557" s="2" t="str">
        <f ca="1">IFERROR(__xludf.DUMMYFUNCTION("""COMPUTED_VALUE"""),"Dubai&gt;Business Bay&gt;The Edge&gt;The Edge Tower B")</f>
        <v>Dubai&gt;Business Bay&gt;The Edge&gt;The Edge Tower B</v>
      </c>
      <c r="E14557" s="2"/>
      <c r="F14557" s="2"/>
      <c r="G14557" s="2"/>
      <c r="H14557" s="2"/>
      <c r="I14557" s="2"/>
      <c r="J14557" s="2"/>
      <c r="K14557" s="2"/>
      <c r="L14557" s="2"/>
      <c r="M14557" s="2"/>
      <c r="N14557" s="2"/>
      <c r="O14557" s="2"/>
      <c r="P14557" s="2"/>
      <c r="Q14557" s="2"/>
      <c r="R14557" s="2"/>
      <c r="S14557" s="2"/>
      <c r="T14557" s="2"/>
      <c r="U14557" s="2"/>
      <c r="V14557" s="2"/>
      <c r="W14557" s="2"/>
      <c r="X14557" s="2"/>
      <c r="Y14557" s="2"/>
      <c r="Z14557" s="2"/>
    </row>
    <row r="14558" spans="1:26" ht="16.5" x14ac:dyDescent="0.35">
      <c r="A14558" s="2" t="str">
        <f ca="1">IFERROR(__xludf.DUMMYFUNCTION("""COMPUTED_VALUE"""),"Dubai")</f>
        <v>Dubai</v>
      </c>
      <c r="B14558" s="2" t="str">
        <f ca="1">IFERROR(__xludf.DUMMYFUNCTION("""COMPUTED_VALUE"""),"Regent Residences Dubai Sankari Place West Tower")</f>
        <v>Regent Residences Dubai Sankari Place West Tower</v>
      </c>
      <c r="C14558" s="2" t="str">
        <f ca="1">IFERROR(__xludf.DUMMYFUNCTION("""COMPUTED_VALUE"""),"Building")</f>
        <v>Building</v>
      </c>
      <c r="D14558" s="2" t="str">
        <f ca="1">IFERROR(__xludf.DUMMYFUNCTION("""COMPUTED_VALUE"""),"Dubai&gt;Business Bay&gt;Regent Residences Dubai Sankari Place&gt;Regent Residences Dubai Sankari Place West Tower")</f>
        <v>Dubai&gt;Business Bay&gt;Regent Residences Dubai Sankari Place&gt;Regent Residences Dubai Sankari Place West Tower</v>
      </c>
      <c r="E14558" s="2"/>
      <c r="F14558" s="2"/>
      <c r="G14558" s="2"/>
      <c r="H14558" s="2"/>
      <c r="I14558" s="2"/>
      <c r="J14558" s="2"/>
      <c r="K14558" s="2"/>
      <c r="L14558" s="2"/>
      <c r="M14558" s="2"/>
      <c r="N14558" s="2"/>
      <c r="O14558" s="2"/>
      <c r="P14558" s="2"/>
      <c r="Q14558" s="2"/>
      <c r="R14558" s="2"/>
      <c r="S14558" s="2"/>
      <c r="T14558" s="2"/>
      <c r="U14558" s="2"/>
      <c r="V14558" s="2"/>
      <c r="W14558" s="2"/>
      <c r="X14558" s="2"/>
      <c r="Y14558" s="2"/>
      <c r="Z14558" s="2"/>
    </row>
    <row r="14559" spans="1:26" ht="16.5" x14ac:dyDescent="0.35">
      <c r="A14559" s="2" t="str">
        <f ca="1">IFERROR(__xludf.DUMMYFUNCTION("""COMPUTED_VALUE"""),"Dubai")</f>
        <v>Dubai</v>
      </c>
      <c r="B14559" s="2" t="str">
        <f ca="1">IFERROR(__xludf.DUMMYFUNCTION("""COMPUTED_VALUE"""),"Waldorf Astoria Residences Dubai Business Bay")</f>
        <v>Waldorf Astoria Residences Dubai Business Bay</v>
      </c>
      <c r="C14559" s="2" t="str">
        <f ca="1">IFERROR(__xludf.DUMMYFUNCTION("""COMPUTED_VALUE"""),"Building")</f>
        <v>Building</v>
      </c>
      <c r="D14559" s="2" t="str">
        <f ca="1">IFERROR(__xludf.DUMMYFUNCTION("""COMPUTED_VALUE"""),"Dubai&gt;Business Bay&gt;Waldorf Astoria Residences Dubai Business Bay")</f>
        <v>Dubai&gt;Business Bay&gt;Waldorf Astoria Residences Dubai Business Bay</v>
      </c>
      <c r="E14559" s="2"/>
      <c r="F14559" s="2"/>
      <c r="G14559" s="2"/>
      <c r="H14559" s="2"/>
      <c r="I14559" s="2"/>
      <c r="J14559" s="2"/>
      <c r="K14559" s="2"/>
      <c r="L14559" s="2"/>
      <c r="M14559" s="2"/>
      <c r="N14559" s="2"/>
      <c r="O14559" s="2"/>
      <c r="P14559" s="2"/>
      <c r="Q14559" s="2"/>
      <c r="R14559" s="2"/>
      <c r="S14559" s="2"/>
      <c r="T14559" s="2"/>
      <c r="U14559" s="2"/>
      <c r="V14559" s="2"/>
      <c r="W14559" s="2"/>
      <c r="X14559" s="2"/>
      <c r="Y14559" s="2"/>
      <c r="Z14559" s="2"/>
    </row>
    <row r="14560" spans="1:26" ht="16.5" x14ac:dyDescent="0.35">
      <c r="A14560" s="2" t="str">
        <f ca="1">IFERROR(__xludf.DUMMYFUNCTION("""COMPUTED_VALUE"""),"Dubai")</f>
        <v>Dubai</v>
      </c>
      <c r="B14560" s="2" t="str">
        <f ca="1">IFERROR(__xludf.DUMMYFUNCTION("""COMPUTED_VALUE"""),"Taraf 2 Residence")</f>
        <v>Taraf 2 Residence</v>
      </c>
      <c r="C14560" s="2" t="str">
        <f ca="1">IFERROR(__xludf.DUMMYFUNCTION("""COMPUTED_VALUE"""),"Building")</f>
        <v>Building</v>
      </c>
      <c r="D14560" s="2" t="str">
        <f ca="1">IFERROR(__xludf.DUMMYFUNCTION("""COMPUTED_VALUE"""),"Dubai&gt;Jumeirah Village Triangle (JVT)&gt;JVT District 5&gt;Taraf 2 Residence")</f>
        <v>Dubai&gt;Jumeirah Village Triangle (JVT)&gt;JVT District 5&gt;Taraf 2 Residence</v>
      </c>
      <c r="E14560" s="2"/>
      <c r="F14560" s="2"/>
      <c r="G14560" s="2"/>
      <c r="H14560" s="2"/>
      <c r="I14560" s="2"/>
      <c r="J14560" s="2"/>
      <c r="K14560" s="2"/>
      <c r="L14560" s="2"/>
      <c r="M14560" s="2"/>
      <c r="N14560" s="2"/>
      <c r="O14560" s="2"/>
      <c r="P14560" s="2"/>
      <c r="Q14560" s="2"/>
      <c r="R14560" s="2"/>
      <c r="S14560" s="2"/>
      <c r="T14560" s="2"/>
      <c r="U14560" s="2"/>
      <c r="V14560" s="2"/>
      <c r="W14560" s="2"/>
      <c r="X14560" s="2"/>
      <c r="Y14560" s="2"/>
      <c r="Z14560" s="2"/>
    </row>
    <row r="14561" spans="1:26" ht="16.5" x14ac:dyDescent="0.35">
      <c r="A14561" s="2" t="str">
        <f ca="1">IFERROR(__xludf.DUMMYFUNCTION("""COMPUTED_VALUE"""),"Dubai")</f>
        <v>Dubai</v>
      </c>
      <c r="B14561" s="2" t="str">
        <f ca="1">IFERROR(__xludf.DUMMYFUNCTION("""COMPUTED_VALUE"""),"District 9L")</f>
        <v>District 9L</v>
      </c>
      <c r="C14561" s="2" t="str">
        <f ca="1">IFERROR(__xludf.DUMMYFUNCTION("""COMPUTED_VALUE"""),"Neighbourhood")</f>
        <v>Neighbourhood</v>
      </c>
      <c r="D14561" s="2" t="str">
        <f ca="1">IFERROR(__xludf.DUMMYFUNCTION("""COMPUTED_VALUE"""),"Dubai&gt;Jumeirah Village Triangle (JVT)&gt;JVT District 9&gt;District 9L")</f>
        <v>Dubai&gt;Jumeirah Village Triangle (JVT)&gt;JVT District 9&gt;District 9L</v>
      </c>
      <c r="E14561" s="2"/>
      <c r="F14561" s="2"/>
      <c r="G14561" s="2"/>
      <c r="H14561" s="2"/>
      <c r="I14561" s="2"/>
      <c r="J14561" s="2"/>
      <c r="K14561" s="2"/>
      <c r="L14561" s="2"/>
      <c r="M14561" s="2"/>
      <c r="N14561" s="2"/>
      <c r="O14561" s="2"/>
      <c r="P14561" s="2"/>
      <c r="Q14561" s="2"/>
      <c r="R14561" s="2"/>
      <c r="S14561" s="2"/>
      <c r="T14561" s="2"/>
      <c r="U14561" s="2"/>
      <c r="V14561" s="2"/>
      <c r="W14561" s="2"/>
      <c r="X14561" s="2"/>
      <c r="Y14561" s="2"/>
      <c r="Z14561" s="2"/>
    </row>
    <row r="14562" spans="1:26" ht="16.5" x14ac:dyDescent="0.35">
      <c r="A14562" s="2" t="str">
        <f ca="1">IFERROR(__xludf.DUMMYFUNCTION("""COMPUTED_VALUE"""),"Dubai")</f>
        <v>Dubai</v>
      </c>
      <c r="B14562" s="2" t="str">
        <f ca="1">IFERROR(__xludf.DUMMYFUNCTION("""COMPUTED_VALUE"""),"Lum1nar Tower 3")</f>
        <v>Lum1nar Tower 3</v>
      </c>
      <c r="C14562" s="2" t="str">
        <f ca="1">IFERROR(__xludf.DUMMYFUNCTION("""COMPUTED_VALUE"""),"Building")</f>
        <v>Building</v>
      </c>
      <c r="D14562" s="2" t="str">
        <f ca="1">IFERROR(__xludf.DUMMYFUNCTION("""COMPUTED_VALUE"""),"Dubai&gt;Jumeirah Village Triangle (JVT)&gt;JVT District 2&gt;Lum1nar Towers&gt;Lum1nar Tower 3")</f>
        <v>Dubai&gt;Jumeirah Village Triangle (JVT)&gt;JVT District 2&gt;Lum1nar Towers&gt;Lum1nar Tower 3</v>
      </c>
      <c r="E14562" s="2"/>
      <c r="F14562" s="2"/>
      <c r="G14562" s="2"/>
      <c r="H14562" s="2"/>
      <c r="I14562" s="2"/>
      <c r="J14562" s="2"/>
      <c r="K14562" s="2"/>
      <c r="L14562" s="2"/>
      <c r="M14562" s="2"/>
      <c r="N14562" s="2"/>
      <c r="O14562" s="2"/>
      <c r="P14562" s="2"/>
      <c r="Q14562" s="2"/>
      <c r="R14562" s="2"/>
      <c r="S14562" s="2"/>
      <c r="T14562" s="2"/>
      <c r="U14562" s="2"/>
      <c r="V14562" s="2"/>
      <c r="W14562" s="2"/>
      <c r="X14562" s="2"/>
      <c r="Y14562" s="2"/>
      <c r="Z14562" s="2"/>
    </row>
    <row r="14563" spans="1:26" ht="16.5" x14ac:dyDescent="0.35">
      <c r="A14563" s="2" t="str">
        <f ca="1">IFERROR(__xludf.DUMMYFUNCTION("""COMPUTED_VALUE"""),"Dubai")</f>
        <v>Dubai</v>
      </c>
      <c r="B14563" s="2" t="str">
        <f ca="1">IFERROR(__xludf.DUMMYFUNCTION("""COMPUTED_VALUE"""),"La Residence")</f>
        <v>La Residence</v>
      </c>
      <c r="C14563" s="2" t="str">
        <f ca="1">IFERROR(__xludf.DUMMYFUNCTION("""COMPUTED_VALUE"""),"Building")</f>
        <v>Building</v>
      </c>
      <c r="D14563" s="2" t="str">
        <f ca="1">IFERROR(__xludf.DUMMYFUNCTION("""COMPUTED_VALUE"""),"Dubai&gt;Jumeirah Village Triangle (JVT)&gt;JVT District 1&gt;La Residence")</f>
        <v>Dubai&gt;Jumeirah Village Triangle (JVT)&gt;JVT District 1&gt;La Residence</v>
      </c>
      <c r="E14563" s="2"/>
      <c r="F14563" s="2"/>
      <c r="G14563" s="2"/>
      <c r="H14563" s="2"/>
      <c r="I14563" s="2"/>
      <c r="J14563" s="2"/>
      <c r="K14563" s="2"/>
      <c r="L14563" s="2"/>
      <c r="M14563" s="2"/>
      <c r="N14563" s="2"/>
      <c r="O14563" s="2"/>
      <c r="P14563" s="2"/>
      <c r="Q14563" s="2"/>
      <c r="R14563" s="2"/>
      <c r="S14563" s="2"/>
      <c r="T14563" s="2"/>
      <c r="U14563" s="2"/>
      <c r="V14563" s="2"/>
      <c r="W14563" s="2"/>
      <c r="X14563" s="2"/>
      <c r="Y14563" s="2"/>
      <c r="Z14563" s="2"/>
    </row>
    <row r="14564" spans="1:26" ht="16.5" x14ac:dyDescent="0.35">
      <c r="A14564" s="2" t="str">
        <f ca="1">IFERROR(__xludf.DUMMYFUNCTION("""COMPUTED_VALUE"""),"Dubai")</f>
        <v>Dubai</v>
      </c>
      <c r="B14564" s="2" t="str">
        <f ca="1">IFERROR(__xludf.DUMMYFUNCTION("""COMPUTED_VALUE"""),"Seslia Tower")</f>
        <v>Seslia Tower</v>
      </c>
      <c r="C14564" s="2" t="str">
        <f ca="1">IFERROR(__xludf.DUMMYFUNCTION("""COMPUTED_VALUE"""),"Building")</f>
        <v>Building</v>
      </c>
      <c r="D14564" s="2" t="str">
        <f ca="1">IFERROR(__xludf.DUMMYFUNCTION("""COMPUTED_VALUE"""),"Dubai&gt;Jumeirah Village Triangle (JVT)&gt;JVT District 4&gt;Seslia Tower")</f>
        <v>Dubai&gt;Jumeirah Village Triangle (JVT)&gt;JVT District 4&gt;Seslia Tower</v>
      </c>
      <c r="E14564" s="2"/>
      <c r="F14564" s="2"/>
      <c r="G14564" s="2"/>
      <c r="H14564" s="2"/>
      <c r="I14564" s="2"/>
      <c r="J14564" s="2"/>
      <c r="K14564" s="2"/>
      <c r="L14564" s="2"/>
      <c r="M14564" s="2"/>
      <c r="N14564" s="2"/>
      <c r="O14564" s="2"/>
      <c r="P14564" s="2"/>
      <c r="Q14564" s="2"/>
      <c r="R14564" s="2"/>
      <c r="S14564" s="2"/>
      <c r="T14564" s="2"/>
      <c r="U14564" s="2"/>
      <c r="V14564" s="2"/>
      <c r="W14564" s="2"/>
      <c r="X14564" s="2"/>
      <c r="Y14564" s="2"/>
      <c r="Z14564" s="2"/>
    </row>
    <row r="14565" spans="1:26" ht="16.5" x14ac:dyDescent="0.35">
      <c r="A14565" s="2" t="str">
        <f ca="1">IFERROR(__xludf.DUMMYFUNCTION("""COMPUTED_VALUE"""),"Dubai")</f>
        <v>Dubai</v>
      </c>
      <c r="B14565" s="2" t="str">
        <f ca="1">IFERROR(__xludf.DUMMYFUNCTION("""COMPUTED_VALUE"""),"FH Residency")</f>
        <v>FH Residency</v>
      </c>
      <c r="C14565" s="2" t="str">
        <f ca="1">IFERROR(__xludf.DUMMYFUNCTION("""COMPUTED_VALUE"""),"Building")</f>
        <v>Building</v>
      </c>
      <c r="D14565" s="2" t="str">
        <f ca="1">IFERROR(__xludf.DUMMYFUNCTION("""COMPUTED_VALUE"""),"Dubai&gt;Jumeirah Village Triangle (JVT)&gt;JVT District 3&gt;FH Residency")</f>
        <v>Dubai&gt;Jumeirah Village Triangle (JVT)&gt;JVT District 3&gt;FH Residency</v>
      </c>
      <c r="E14565" s="2"/>
      <c r="F14565" s="2"/>
      <c r="G14565" s="2"/>
      <c r="H14565" s="2"/>
      <c r="I14565" s="2"/>
      <c r="J14565" s="2"/>
      <c r="K14565" s="2"/>
      <c r="L14565" s="2"/>
      <c r="M14565" s="2"/>
      <c r="N14565" s="2"/>
      <c r="O14565" s="2"/>
      <c r="P14565" s="2"/>
      <c r="Q14565" s="2"/>
      <c r="R14565" s="2"/>
      <c r="S14565" s="2"/>
      <c r="T14565" s="2"/>
      <c r="U14565" s="2"/>
      <c r="V14565" s="2"/>
      <c r="W14565" s="2"/>
      <c r="X14565" s="2"/>
      <c r="Y14565" s="2"/>
      <c r="Z14565" s="2"/>
    </row>
    <row r="14566" spans="1:26" ht="16.5" x14ac:dyDescent="0.35">
      <c r="A14566" s="2" t="str">
        <f ca="1">IFERROR(__xludf.DUMMYFUNCTION("""COMPUTED_VALUE"""),"Dubai")</f>
        <v>Dubai</v>
      </c>
      <c r="B14566" s="2" t="str">
        <f ca="1">IFERROR(__xludf.DUMMYFUNCTION("""COMPUTED_VALUE"""),"Al Ramth 28")</f>
        <v>Al Ramth 28</v>
      </c>
      <c r="C14566" s="2" t="str">
        <f ca="1">IFERROR(__xludf.DUMMYFUNCTION("""COMPUTED_VALUE"""),"Building")</f>
        <v>Building</v>
      </c>
      <c r="D14566" s="2" t="str">
        <f ca="1">IFERROR(__xludf.DUMMYFUNCTION("""COMPUTED_VALUE"""),"Dubai&gt;Remraam&gt;Al Ramth&gt;Al Ramth 28")</f>
        <v>Dubai&gt;Remraam&gt;Al Ramth&gt;Al Ramth 28</v>
      </c>
      <c r="E14566" s="2"/>
      <c r="F14566" s="2"/>
      <c r="G14566" s="2"/>
      <c r="H14566" s="2"/>
      <c r="I14566" s="2"/>
      <c r="J14566" s="2"/>
      <c r="K14566" s="2"/>
      <c r="L14566" s="2"/>
      <c r="M14566" s="2"/>
      <c r="N14566" s="2"/>
      <c r="O14566" s="2"/>
      <c r="P14566" s="2"/>
      <c r="Q14566" s="2"/>
      <c r="R14566" s="2"/>
      <c r="S14566" s="2"/>
      <c r="T14566" s="2"/>
      <c r="U14566" s="2"/>
      <c r="V14566" s="2"/>
      <c r="W14566" s="2"/>
      <c r="X14566" s="2"/>
      <c r="Y14566" s="2"/>
      <c r="Z14566" s="2"/>
    </row>
    <row r="14567" spans="1:26" ht="16.5" x14ac:dyDescent="0.35">
      <c r="A14567" s="2" t="str">
        <f ca="1">IFERROR(__xludf.DUMMYFUNCTION("""COMPUTED_VALUE"""),"Dubai")</f>
        <v>Dubai</v>
      </c>
      <c r="B14567" s="2" t="str">
        <f ca="1">IFERROR(__xludf.DUMMYFUNCTION("""COMPUTED_VALUE"""),"Al Thamam 07")</f>
        <v>Al Thamam 07</v>
      </c>
      <c r="C14567" s="2" t="str">
        <f ca="1">IFERROR(__xludf.DUMMYFUNCTION("""COMPUTED_VALUE"""),"Building")</f>
        <v>Building</v>
      </c>
      <c r="D14567" s="2" t="str">
        <f ca="1">IFERROR(__xludf.DUMMYFUNCTION("""COMPUTED_VALUE"""),"Dubai&gt;Remraam&gt;Al Thamam&gt;Al Thamam 07")</f>
        <v>Dubai&gt;Remraam&gt;Al Thamam&gt;Al Thamam 07</v>
      </c>
      <c r="E14567" s="2"/>
      <c r="F14567" s="2"/>
      <c r="G14567" s="2"/>
      <c r="H14567" s="2"/>
      <c r="I14567" s="2"/>
      <c r="J14567" s="2"/>
      <c r="K14567" s="2"/>
      <c r="L14567" s="2"/>
      <c r="M14567" s="2"/>
      <c r="N14567" s="2"/>
      <c r="O14567" s="2"/>
      <c r="P14567" s="2"/>
      <c r="Q14567" s="2"/>
      <c r="R14567" s="2"/>
      <c r="S14567" s="2"/>
      <c r="T14567" s="2"/>
      <c r="U14567" s="2"/>
      <c r="V14567" s="2"/>
      <c r="W14567" s="2"/>
      <c r="X14567" s="2"/>
      <c r="Y14567" s="2"/>
      <c r="Z14567" s="2"/>
    </row>
    <row r="14568" spans="1:26" ht="16.5" x14ac:dyDescent="0.35">
      <c r="A14568" s="2" t="str">
        <f ca="1">IFERROR(__xludf.DUMMYFUNCTION("""COMPUTED_VALUE"""),"Dubai")</f>
        <v>Dubai</v>
      </c>
      <c r="B14568" s="2" t="str">
        <f ca="1">IFERROR(__xludf.DUMMYFUNCTION("""COMPUTED_VALUE"""),"Al Thamam 34")</f>
        <v>Al Thamam 34</v>
      </c>
      <c r="C14568" s="2" t="str">
        <f ca="1">IFERROR(__xludf.DUMMYFUNCTION("""COMPUTED_VALUE"""),"Building")</f>
        <v>Building</v>
      </c>
      <c r="D14568" s="2" t="str">
        <f ca="1">IFERROR(__xludf.DUMMYFUNCTION("""COMPUTED_VALUE"""),"Dubai&gt;Remraam&gt;Al Thamam&gt;Al Thamam 34")</f>
        <v>Dubai&gt;Remraam&gt;Al Thamam&gt;Al Thamam 34</v>
      </c>
      <c r="E14568" s="2"/>
      <c r="F14568" s="2"/>
      <c r="G14568" s="2"/>
      <c r="H14568" s="2"/>
      <c r="I14568" s="2"/>
      <c r="J14568" s="2"/>
      <c r="K14568" s="2"/>
      <c r="L14568" s="2"/>
      <c r="M14568" s="2"/>
      <c r="N14568" s="2"/>
      <c r="O14568" s="2"/>
      <c r="P14568" s="2"/>
      <c r="Q14568" s="2"/>
      <c r="R14568" s="2"/>
      <c r="S14568" s="2"/>
      <c r="T14568" s="2"/>
      <c r="U14568" s="2"/>
      <c r="V14568" s="2"/>
      <c r="W14568" s="2"/>
      <c r="X14568" s="2"/>
      <c r="Y14568" s="2"/>
      <c r="Z14568" s="2"/>
    </row>
    <row r="14569" spans="1:26" ht="16.5" x14ac:dyDescent="0.35">
      <c r="A14569" s="2" t="str">
        <f ca="1">IFERROR(__xludf.DUMMYFUNCTION("""COMPUTED_VALUE"""),"Dubai")</f>
        <v>Dubai</v>
      </c>
      <c r="B14569" s="2" t="str">
        <f ca="1">IFERROR(__xludf.DUMMYFUNCTION("""COMPUTED_VALUE"""),"Platinum Residences")</f>
        <v>Platinum Residences</v>
      </c>
      <c r="C14569" s="2" t="str">
        <f ca="1">IFERROR(__xludf.DUMMYFUNCTION("""COMPUTED_VALUE"""),"Building")</f>
        <v>Building</v>
      </c>
      <c r="D14569" s="2" t="str">
        <f ca="1">IFERROR(__xludf.DUMMYFUNCTION("""COMPUTED_VALUE"""),"Dubai&gt;Jumeirah Village Circle (JVC)&gt;JVC District 12&gt;Platinum Residences")</f>
        <v>Dubai&gt;Jumeirah Village Circle (JVC)&gt;JVC District 12&gt;Platinum Residences</v>
      </c>
      <c r="E14569" s="2"/>
      <c r="F14569" s="2"/>
      <c r="G14569" s="2"/>
      <c r="H14569" s="2"/>
      <c r="I14569" s="2"/>
      <c r="J14569" s="2"/>
      <c r="K14569" s="2"/>
      <c r="L14569" s="2"/>
      <c r="M14569" s="2"/>
      <c r="N14569" s="2"/>
      <c r="O14569" s="2"/>
      <c r="P14569" s="2"/>
      <c r="Q14569" s="2"/>
      <c r="R14569" s="2"/>
      <c r="S14569" s="2"/>
      <c r="T14569" s="2"/>
      <c r="U14569" s="2"/>
      <c r="V14569" s="2"/>
      <c r="W14569" s="2"/>
      <c r="X14569" s="2"/>
      <c r="Y14569" s="2"/>
      <c r="Z14569" s="2"/>
    </row>
    <row r="14570" spans="1:26" ht="16.5" x14ac:dyDescent="0.35">
      <c r="A14570" s="2" t="str">
        <f ca="1">IFERROR(__xludf.DUMMYFUNCTION("""COMPUTED_VALUE"""),"Dubai")</f>
        <v>Dubai</v>
      </c>
      <c r="B14570" s="2" t="str">
        <f ca="1">IFERROR(__xludf.DUMMYFUNCTION("""COMPUTED_VALUE"""),"Mirabella 7")</f>
        <v>Mirabella 7</v>
      </c>
      <c r="C14570" s="2" t="str">
        <f ca="1">IFERROR(__xludf.DUMMYFUNCTION("""COMPUTED_VALUE"""),"Neighbourhood")</f>
        <v>Neighbourhood</v>
      </c>
      <c r="D14570" s="2" t="str">
        <f ca="1">IFERROR(__xludf.DUMMYFUNCTION("""COMPUTED_VALUE"""),"Dubai&gt;Jumeirah Village Circle (JVC)&gt;JVC District 12&gt;Mirabella 7")</f>
        <v>Dubai&gt;Jumeirah Village Circle (JVC)&gt;JVC District 12&gt;Mirabella 7</v>
      </c>
      <c r="E14570" s="2"/>
      <c r="F14570" s="2"/>
      <c r="G14570" s="2"/>
      <c r="H14570" s="2"/>
      <c r="I14570" s="2"/>
      <c r="J14570" s="2"/>
      <c r="K14570" s="2"/>
      <c r="L14570" s="2"/>
      <c r="M14570" s="2"/>
      <c r="N14570" s="2"/>
      <c r="O14570" s="2"/>
      <c r="P14570" s="2"/>
      <c r="Q14570" s="2"/>
      <c r="R14570" s="2"/>
      <c r="S14570" s="2"/>
      <c r="T14570" s="2"/>
      <c r="U14570" s="2"/>
      <c r="V14570" s="2"/>
      <c r="W14570" s="2"/>
      <c r="X14570" s="2"/>
      <c r="Y14570" s="2"/>
      <c r="Z14570" s="2"/>
    </row>
    <row r="14571" spans="1:26" ht="16.5" x14ac:dyDescent="0.35">
      <c r="A14571" s="2" t="str">
        <f ca="1">IFERROR(__xludf.DUMMYFUNCTION("""COMPUTED_VALUE"""),"Dubai")</f>
        <v>Dubai</v>
      </c>
      <c r="B14571" s="2" t="str">
        <f ca="1">IFERROR(__xludf.DUMMYFUNCTION("""COMPUTED_VALUE"""),"V1TER Residence")</f>
        <v>V1TER Residence</v>
      </c>
      <c r="C14571" s="2" t="str">
        <f ca="1">IFERROR(__xludf.DUMMYFUNCTION("""COMPUTED_VALUE"""),"Building")</f>
        <v>Building</v>
      </c>
      <c r="D14571" s="2" t="str">
        <f ca="1">IFERROR(__xludf.DUMMYFUNCTION("""COMPUTED_VALUE"""),"Dubai&gt;Jumeirah Village Circle (JVC)&gt;JVC District 12&gt;V1TER Residence")</f>
        <v>Dubai&gt;Jumeirah Village Circle (JVC)&gt;JVC District 12&gt;V1TER Residence</v>
      </c>
      <c r="E14571" s="2"/>
      <c r="F14571" s="2"/>
      <c r="G14571" s="2"/>
      <c r="H14571" s="2"/>
      <c r="I14571" s="2"/>
      <c r="J14571" s="2"/>
      <c r="K14571" s="2"/>
      <c r="L14571" s="2"/>
      <c r="M14571" s="2"/>
      <c r="N14571" s="2"/>
      <c r="O14571" s="2"/>
      <c r="P14571" s="2"/>
      <c r="Q14571" s="2"/>
      <c r="R14571" s="2"/>
      <c r="S14571" s="2"/>
      <c r="T14571" s="2"/>
      <c r="U14571" s="2"/>
      <c r="V14571" s="2"/>
      <c r="W14571" s="2"/>
      <c r="X14571" s="2"/>
      <c r="Y14571" s="2"/>
      <c r="Z14571" s="2"/>
    </row>
    <row r="14572" spans="1:26" ht="16.5" x14ac:dyDescent="0.35">
      <c r="A14572" s="2" t="str">
        <f ca="1">IFERROR(__xludf.DUMMYFUNCTION("""COMPUTED_VALUE"""),"Dubai")</f>
        <v>Dubai</v>
      </c>
      <c r="B14572" s="2" t="str">
        <f ca="1">IFERROR(__xludf.DUMMYFUNCTION("""COMPUTED_VALUE"""),"Rose Gardens 2")</f>
        <v>Rose Gardens 2</v>
      </c>
      <c r="C14572" s="2" t="str">
        <f ca="1">IFERROR(__xludf.DUMMYFUNCTION("""COMPUTED_VALUE"""),"Building")</f>
        <v>Building</v>
      </c>
      <c r="D14572" s="2" t="str">
        <f ca="1">IFERROR(__xludf.DUMMYFUNCTION("""COMPUTED_VALUE"""),"Dubai&gt;Jumeirah Village Circle (JVC)&gt;JVC District 12&gt;Rose Gardens 2")</f>
        <v>Dubai&gt;Jumeirah Village Circle (JVC)&gt;JVC District 12&gt;Rose Gardens 2</v>
      </c>
      <c r="E14572" s="2"/>
      <c r="F14572" s="2"/>
      <c r="G14572" s="2"/>
      <c r="H14572" s="2"/>
      <c r="I14572" s="2"/>
      <c r="J14572" s="2"/>
      <c r="K14572" s="2"/>
      <c r="L14572" s="2"/>
      <c r="M14572" s="2"/>
      <c r="N14572" s="2"/>
      <c r="O14572" s="2"/>
      <c r="P14572" s="2"/>
      <c r="Q14572" s="2"/>
      <c r="R14572" s="2"/>
      <c r="S14572" s="2"/>
      <c r="T14572" s="2"/>
      <c r="U14572" s="2"/>
      <c r="V14572" s="2"/>
      <c r="W14572" s="2"/>
      <c r="X14572" s="2"/>
      <c r="Y14572" s="2"/>
      <c r="Z14572" s="2"/>
    </row>
    <row r="14573" spans="1:26" ht="16.5" x14ac:dyDescent="0.35">
      <c r="A14573" s="2" t="str">
        <f ca="1">IFERROR(__xludf.DUMMYFUNCTION("""COMPUTED_VALUE"""),"Dubai")</f>
        <v>Dubai</v>
      </c>
      <c r="B14573" s="2" t="str">
        <f ca="1">IFERROR(__xludf.DUMMYFUNCTION("""COMPUTED_VALUE"""),"Indigo Ville 3")</f>
        <v>Indigo Ville 3</v>
      </c>
      <c r="C14573" s="2" t="str">
        <f ca="1">IFERROR(__xludf.DUMMYFUNCTION("""COMPUTED_VALUE"""),"Neighbourhood")</f>
        <v>Neighbourhood</v>
      </c>
      <c r="D14573" s="2" t="str">
        <f ca="1">IFERROR(__xludf.DUMMYFUNCTION("""COMPUTED_VALUE"""),"Dubai&gt;Jumeirah Village Circle (JVC)&gt;JVC District 13&gt;Indigo Ville 3")</f>
        <v>Dubai&gt;Jumeirah Village Circle (JVC)&gt;JVC District 13&gt;Indigo Ville 3</v>
      </c>
      <c r="E14573" s="2"/>
      <c r="F14573" s="2"/>
      <c r="G14573" s="2"/>
      <c r="H14573" s="2"/>
      <c r="I14573" s="2"/>
      <c r="J14573" s="2"/>
      <c r="K14573" s="2"/>
      <c r="L14573" s="2"/>
      <c r="M14573" s="2"/>
      <c r="N14573" s="2"/>
      <c r="O14573" s="2"/>
      <c r="P14573" s="2"/>
      <c r="Q14573" s="2"/>
      <c r="R14573" s="2"/>
      <c r="S14573" s="2"/>
      <c r="T14573" s="2"/>
      <c r="U14573" s="2"/>
      <c r="V14573" s="2"/>
      <c r="W14573" s="2"/>
      <c r="X14573" s="2"/>
      <c r="Y14573" s="2"/>
      <c r="Z14573" s="2"/>
    </row>
    <row r="14574" spans="1:26" ht="16.5" x14ac:dyDescent="0.35">
      <c r="A14574" s="2" t="str">
        <f ca="1">IFERROR(__xludf.DUMMYFUNCTION("""COMPUTED_VALUE"""),"Dubai")</f>
        <v>Dubai</v>
      </c>
      <c r="B14574" s="2" t="str">
        <f ca="1">IFERROR(__xludf.DUMMYFUNCTION("""COMPUTED_VALUE"""),"Elitz 3 by Danube")</f>
        <v>Elitz 3 by Danube</v>
      </c>
      <c r="C14574" s="2" t="str">
        <f ca="1">IFERROR(__xludf.DUMMYFUNCTION("""COMPUTED_VALUE"""),"Cluster")</f>
        <v>Cluster</v>
      </c>
      <c r="D14574" s="2" t="str">
        <f ca="1">IFERROR(__xludf.DUMMYFUNCTION("""COMPUTED_VALUE"""),"Dubai&gt;Jumeirah Village Circle (JVC)&gt;JVC District 13&gt;Elitz 3 by Danube")</f>
        <v>Dubai&gt;Jumeirah Village Circle (JVC)&gt;JVC District 13&gt;Elitz 3 by Danube</v>
      </c>
      <c r="E14574" s="2"/>
      <c r="F14574" s="2"/>
      <c r="G14574" s="2"/>
      <c r="H14574" s="2"/>
      <c r="I14574" s="2"/>
      <c r="J14574" s="2"/>
      <c r="K14574" s="2"/>
      <c r="L14574" s="2"/>
      <c r="M14574" s="2"/>
      <c r="N14574" s="2"/>
      <c r="O14574" s="2"/>
      <c r="P14574" s="2"/>
      <c r="Q14574" s="2"/>
      <c r="R14574" s="2"/>
      <c r="S14574" s="2"/>
      <c r="T14574" s="2"/>
      <c r="U14574" s="2"/>
      <c r="V14574" s="2"/>
      <c r="W14574" s="2"/>
      <c r="X14574" s="2"/>
      <c r="Y14574" s="2"/>
      <c r="Z14574" s="2"/>
    </row>
    <row r="14575" spans="1:26" ht="16.5" x14ac:dyDescent="0.35">
      <c r="A14575" s="2" t="str">
        <f ca="1">IFERROR(__xludf.DUMMYFUNCTION("""COMPUTED_VALUE"""),"Dubai")</f>
        <v>Dubai</v>
      </c>
      <c r="B14575" s="2" t="str">
        <f ca="1">IFERROR(__xludf.DUMMYFUNCTION("""COMPUTED_VALUE"""),"DAMAC Ghalia")</f>
        <v>DAMAC Ghalia</v>
      </c>
      <c r="C14575" s="2" t="str">
        <f ca="1">IFERROR(__xludf.DUMMYFUNCTION("""COMPUTED_VALUE"""),"Building")</f>
        <v>Building</v>
      </c>
      <c r="D14575" s="2" t="str">
        <f ca="1">IFERROR(__xludf.DUMMYFUNCTION("""COMPUTED_VALUE"""),"Dubai&gt;Jumeirah Village Circle (JVC)&gt;JVC District 18&gt;DAMAC Ghalia")</f>
        <v>Dubai&gt;Jumeirah Village Circle (JVC)&gt;JVC District 18&gt;DAMAC Ghalia</v>
      </c>
      <c r="E14575" s="2"/>
      <c r="F14575" s="2"/>
      <c r="G14575" s="2"/>
      <c r="H14575" s="2"/>
      <c r="I14575" s="2"/>
      <c r="J14575" s="2"/>
      <c r="K14575" s="2"/>
      <c r="L14575" s="2"/>
      <c r="M14575" s="2"/>
      <c r="N14575" s="2"/>
      <c r="O14575" s="2"/>
      <c r="P14575" s="2"/>
      <c r="Q14575" s="2"/>
      <c r="R14575" s="2"/>
      <c r="S14575" s="2"/>
      <c r="T14575" s="2"/>
      <c r="U14575" s="2"/>
      <c r="V14575" s="2"/>
      <c r="W14575" s="2"/>
      <c r="X14575" s="2"/>
      <c r="Y14575" s="2"/>
      <c r="Z14575" s="2"/>
    </row>
    <row r="14576" spans="1:26" ht="16.5" x14ac:dyDescent="0.35">
      <c r="A14576" s="2" t="str">
        <f ca="1">IFERROR(__xludf.DUMMYFUNCTION("""COMPUTED_VALUE"""),"Dubai")</f>
        <v>Dubai</v>
      </c>
      <c r="B14576" s="2" t="str">
        <f ca="1">IFERROR(__xludf.DUMMYFUNCTION("""COMPUTED_VALUE"""),"Al Zubaidi Residence")</f>
        <v>Al Zubaidi Residence</v>
      </c>
      <c r="C14576" s="2" t="str">
        <f ca="1">IFERROR(__xludf.DUMMYFUNCTION("""COMPUTED_VALUE"""),"Building")</f>
        <v>Building</v>
      </c>
      <c r="D14576" s="2" t="str">
        <f ca="1">IFERROR(__xludf.DUMMYFUNCTION("""COMPUTED_VALUE"""),"Dubai&gt;Jumeirah Village Circle (JVC)&gt;JVC District 10&gt;Al Zubaidi Residence")</f>
        <v>Dubai&gt;Jumeirah Village Circle (JVC)&gt;JVC District 10&gt;Al Zubaidi Residence</v>
      </c>
      <c r="E14576" s="2"/>
      <c r="F14576" s="2"/>
      <c r="G14576" s="2"/>
      <c r="H14576" s="2"/>
      <c r="I14576" s="2"/>
      <c r="J14576" s="2"/>
      <c r="K14576" s="2"/>
      <c r="L14576" s="2"/>
      <c r="M14576" s="2"/>
      <c r="N14576" s="2"/>
      <c r="O14576" s="2"/>
      <c r="P14576" s="2"/>
      <c r="Q14576" s="2"/>
      <c r="R14576" s="2"/>
      <c r="S14576" s="2"/>
      <c r="T14576" s="2"/>
      <c r="U14576" s="2"/>
      <c r="V14576" s="2"/>
      <c r="W14576" s="2"/>
      <c r="X14576" s="2"/>
      <c r="Y14576" s="2"/>
      <c r="Z14576" s="2"/>
    </row>
    <row r="14577" spans="1:26" ht="16.5" x14ac:dyDescent="0.35">
      <c r="A14577" s="2" t="str">
        <f ca="1">IFERROR(__xludf.DUMMYFUNCTION("""COMPUTED_VALUE"""),"Dubai")</f>
        <v>Dubai</v>
      </c>
      <c r="B14577" s="2" t="str">
        <f ca="1">IFERROR(__xludf.DUMMYFUNCTION("""COMPUTED_VALUE"""),"Sandhurst House")</f>
        <v>Sandhurst House</v>
      </c>
      <c r="C14577" s="2" t="str">
        <f ca="1">IFERROR(__xludf.DUMMYFUNCTION("""COMPUTED_VALUE"""),"Building")</f>
        <v>Building</v>
      </c>
      <c r="D14577" s="2" t="str">
        <f ca="1">IFERROR(__xludf.DUMMYFUNCTION("""COMPUTED_VALUE"""),"Dubai&gt;Jumeirah Village Circle (JVC)&gt;JVC District 10&gt;Sandhurst House")</f>
        <v>Dubai&gt;Jumeirah Village Circle (JVC)&gt;JVC District 10&gt;Sandhurst House</v>
      </c>
      <c r="E14577" s="2"/>
      <c r="F14577" s="2"/>
      <c r="G14577" s="2"/>
      <c r="H14577" s="2"/>
      <c r="I14577" s="2"/>
      <c r="J14577" s="2"/>
      <c r="K14577" s="2"/>
      <c r="L14577" s="2"/>
      <c r="M14577" s="2"/>
      <c r="N14577" s="2"/>
      <c r="O14577" s="2"/>
      <c r="P14577" s="2"/>
      <c r="Q14577" s="2"/>
      <c r="R14577" s="2"/>
      <c r="S14577" s="2"/>
      <c r="T14577" s="2"/>
      <c r="U14577" s="2"/>
      <c r="V14577" s="2"/>
      <c r="W14577" s="2"/>
      <c r="X14577" s="2"/>
      <c r="Y14577" s="2"/>
      <c r="Z14577" s="2"/>
    </row>
    <row r="14578" spans="1:26" ht="16.5" x14ac:dyDescent="0.35">
      <c r="A14578" s="2" t="str">
        <f ca="1">IFERROR(__xludf.DUMMYFUNCTION("""COMPUTED_VALUE"""),"Dubai")</f>
        <v>Dubai</v>
      </c>
      <c r="B14578" s="2" t="str">
        <f ca="1">IFERROR(__xludf.DUMMYFUNCTION("""COMPUTED_VALUE"""),"Luma 22")</f>
        <v>Luma 22</v>
      </c>
      <c r="C14578" s="2" t="str">
        <f ca="1">IFERROR(__xludf.DUMMYFUNCTION("""COMPUTED_VALUE"""),"Cluster")</f>
        <v>Cluster</v>
      </c>
      <c r="D14578" s="2" t="str">
        <f ca="1">IFERROR(__xludf.DUMMYFUNCTION("""COMPUTED_VALUE"""),"Dubai&gt;Jumeirah Village Circle (JVC)&gt;JVC District 10&gt;Luma 22")</f>
        <v>Dubai&gt;Jumeirah Village Circle (JVC)&gt;JVC District 10&gt;Luma 22</v>
      </c>
      <c r="E14578" s="2"/>
      <c r="F14578" s="2"/>
      <c r="G14578" s="2"/>
      <c r="H14578" s="2"/>
      <c r="I14578" s="2"/>
      <c r="J14578" s="2"/>
      <c r="K14578" s="2"/>
      <c r="L14578" s="2"/>
      <c r="M14578" s="2"/>
      <c r="N14578" s="2"/>
      <c r="O14578" s="2"/>
      <c r="P14578" s="2"/>
      <c r="Q14578" s="2"/>
      <c r="R14578" s="2"/>
      <c r="S14578" s="2"/>
      <c r="T14578" s="2"/>
      <c r="U14578" s="2"/>
      <c r="V14578" s="2"/>
      <c r="W14578" s="2"/>
      <c r="X14578" s="2"/>
      <c r="Y14578" s="2"/>
      <c r="Z14578" s="2"/>
    </row>
    <row r="14579" spans="1:26" ht="16.5" x14ac:dyDescent="0.35">
      <c r="A14579" s="2" t="str">
        <f ca="1">IFERROR(__xludf.DUMMYFUNCTION("""COMPUTED_VALUE"""),"Dubai")</f>
        <v>Dubai</v>
      </c>
      <c r="B14579" s="2" t="str">
        <f ca="1">IFERROR(__xludf.DUMMYFUNCTION("""COMPUTED_VALUE"""),"Oakyard Residences")</f>
        <v>Oakyard Residences</v>
      </c>
      <c r="C14579" s="2" t="str">
        <f ca="1">IFERROR(__xludf.DUMMYFUNCTION("""COMPUTED_VALUE"""),"Building")</f>
        <v>Building</v>
      </c>
      <c r="D14579" s="2" t="str">
        <f ca="1">IFERROR(__xludf.DUMMYFUNCTION("""COMPUTED_VALUE"""),"Dubai&gt;Jumeirah Village Circle (JVC)&gt;JVC District 10&gt;Oakyard Residences")</f>
        <v>Dubai&gt;Jumeirah Village Circle (JVC)&gt;JVC District 10&gt;Oakyard Residences</v>
      </c>
      <c r="E14579" s="2"/>
      <c r="F14579" s="2"/>
      <c r="G14579" s="2"/>
      <c r="H14579" s="2"/>
      <c r="I14579" s="2"/>
      <c r="J14579" s="2"/>
      <c r="K14579" s="2"/>
      <c r="L14579" s="2"/>
      <c r="M14579" s="2"/>
      <c r="N14579" s="2"/>
      <c r="O14579" s="2"/>
      <c r="P14579" s="2"/>
      <c r="Q14579" s="2"/>
      <c r="R14579" s="2"/>
      <c r="S14579" s="2"/>
      <c r="T14579" s="2"/>
      <c r="U14579" s="2"/>
      <c r="V14579" s="2"/>
      <c r="W14579" s="2"/>
      <c r="X14579" s="2"/>
      <c r="Y14579" s="2"/>
      <c r="Z14579" s="2"/>
    </row>
    <row r="14580" spans="1:26" ht="16.5" x14ac:dyDescent="0.35">
      <c r="A14580" s="2" t="str">
        <f ca="1">IFERROR(__xludf.DUMMYFUNCTION("""COMPUTED_VALUE"""),"Dubai")</f>
        <v>Dubai</v>
      </c>
      <c r="B14580" s="2" t="str">
        <f ca="1">IFERROR(__xludf.DUMMYFUNCTION("""COMPUTED_VALUE"""),"Jehaan 12")</f>
        <v>Jehaan 12</v>
      </c>
      <c r="C14580" s="2" t="str">
        <f ca="1">IFERROR(__xludf.DUMMYFUNCTION("""COMPUTED_VALUE"""),"Building")</f>
        <v>Building</v>
      </c>
      <c r="D14580" s="2" t="str">
        <f ca="1">IFERROR(__xludf.DUMMYFUNCTION("""COMPUTED_VALUE"""),"Dubai&gt;Jumeirah Village Circle (JVC)&gt;JVC District 16&gt;Jehaan&gt;Jehaan 12")</f>
        <v>Dubai&gt;Jumeirah Village Circle (JVC)&gt;JVC District 16&gt;Jehaan&gt;Jehaan 12</v>
      </c>
      <c r="E14580" s="2"/>
      <c r="F14580" s="2"/>
      <c r="G14580" s="2"/>
      <c r="H14580" s="2"/>
      <c r="I14580" s="2"/>
      <c r="J14580" s="2"/>
      <c r="K14580" s="2"/>
      <c r="L14580" s="2"/>
      <c r="M14580" s="2"/>
      <c r="N14580" s="2"/>
      <c r="O14580" s="2"/>
      <c r="P14580" s="2"/>
      <c r="Q14580" s="2"/>
      <c r="R14580" s="2"/>
      <c r="S14580" s="2"/>
      <c r="T14580" s="2"/>
      <c r="U14580" s="2"/>
      <c r="V14580" s="2"/>
      <c r="W14580" s="2"/>
      <c r="X14580" s="2"/>
      <c r="Y14580" s="2"/>
      <c r="Z14580" s="2"/>
    </row>
    <row r="14581" spans="1:26" ht="16.5" x14ac:dyDescent="0.35">
      <c r="A14581" s="2" t="str">
        <f ca="1">IFERROR(__xludf.DUMMYFUNCTION("""COMPUTED_VALUE"""),"Dubai")</f>
        <v>Dubai</v>
      </c>
      <c r="B14581" s="2" t="str">
        <f ca="1">IFERROR(__xludf.DUMMYFUNCTION("""COMPUTED_VALUE"""),"Belgravia 3B")</f>
        <v>Belgravia 3B</v>
      </c>
      <c r="C14581" s="2" t="str">
        <f ca="1">IFERROR(__xludf.DUMMYFUNCTION("""COMPUTED_VALUE"""),"Building")</f>
        <v>Building</v>
      </c>
      <c r="D14581" s="2" t="str">
        <f ca="1">IFERROR(__xludf.DUMMYFUNCTION("""COMPUTED_VALUE"""),"Dubai&gt;Jumeirah Village Circle (JVC)&gt;JVC District 15&gt;Belgravia 3&gt;Belgravia 3B")</f>
        <v>Dubai&gt;Jumeirah Village Circle (JVC)&gt;JVC District 15&gt;Belgravia 3&gt;Belgravia 3B</v>
      </c>
      <c r="E14581" s="2"/>
      <c r="F14581" s="2"/>
      <c r="G14581" s="2"/>
      <c r="H14581" s="2"/>
      <c r="I14581" s="2"/>
      <c r="J14581" s="2"/>
      <c r="K14581" s="2"/>
      <c r="L14581" s="2"/>
      <c r="M14581" s="2"/>
      <c r="N14581" s="2"/>
      <c r="O14581" s="2"/>
      <c r="P14581" s="2"/>
      <c r="Q14581" s="2"/>
      <c r="R14581" s="2"/>
      <c r="S14581" s="2"/>
      <c r="T14581" s="2"/>
      <c r="U14581" s="2"/>
      <c r="V14581" s="2"/>
      <c r="W14581" s="2"/>
      <c r="X14581" s="2"/>
      <c r="Y14581" s="2"/>
      <c r="Z14581" s="2"/>
    </row>
    <row r="14582" spans="1:26" ht="16.5" x14ac:dyDescent="0.35">
      <c r="A14582" s="2" t="str">
        <f ca="1">IFERROR(__xludf.DUMMYFUNCTION("""COMPUTED_VALUE"""),"Dubai")</f>
        <v>Dubai</v>
      </c>
      <c r="B14582" s="2" t="str">
        <f ca="1">IFERROR(__xludf.DUMMYFUNCTION("""COMPUTED_VALUE"""),"Pantheon Elysee III")</f>
        <v>Pantheon Elysee III</v>
      </c>
      <c r="C14582" s="2" t="str">
        <f ca="1">IFERROR(__xludf.DUMMYFUNCTION("""COMPUTED_VALUE"""),"Building")</f>
        <v>Building</v>
      </c>
      <c r="D14582" s="2" t="str">
        <f ca="1">IFERROR(__xludf.DUMMYFUNCTION("""COMPUTED_VALUE"""),"Dubai&gt;Jumeirah Village Circle (JVC)&gt;JVC District 15&gt;Pantheon Elysee III")</f>
        <v>Dubai&gt;Jumeirah Village Circle (JVC)&gt;JVC District 15&gt;Pantheon Elysee III</v>
      </c>
      <c r="E14582" s="2"/>
      <c r="F14582" s="2"/>
      <c r="G14582" s="2"/>
      <c r="H14582" s="2"/>
      <c r="I14582" s="2"/>
      <c r="J14582" s="2"/>
      <c r="K14582" s="2"/>
      <c r="L14582" s="2"/>
      <c r="M14582" s="2"/>
      <c r="N14582" s="2"/>
      <c r="O14582" s="2"/>
      <c r="P14582" s="2"/>
      <c r="Q14582" s="2"/>
      <c r="R14582" s="2"/>
      <c r="S14582" s="2"/>
      <c r="T14582" s="2"/>
      <c r="U14582" s="2"/>
      <c r="V14582" s="2"/>
      <c r="W14582" s="2"/>
      <c r="X14582" s="2"/>
      <c r="Y14582" s="2"/>
      <c r="Z14582" s="2"/>
    </row>
    <row r="14583" spans="1:26" ht="16.5" x14ac:dyDescent="0.35">
      <c r="A14583" s="2" t="str">
        <f ca="1">IFERROR(__xludf.DUMMYFUNCTION("""COMPUTED_VALUE"""),"Dubai")</f>
        <v>Dubai</v>
      </c>
      <c r="B14583" s="2" t="str">
        <f ca="1">IFERROR(__xludf.DUMMYFUNCTION("""COMPUTED_VALUE"""),"Taraf 1 Residence")</f>
        <v>Taraf 1 Residence</v>
      </c>
      <c r="C14583" s="2" t="str">
        <f ca="1">IFERROR(__xludf.DUMMYFUNCTION("""COMPUTED_VALUE"""),"Building")</f>
        <v>Building</v>
      </c>
      <c r="D14583" s="2" t="str">
        <f ca="1">IFERROR(__xludf.DUMMYFUNCTION("""COMPUTED_VALUE"""),"Dubai&gt;Jumeirah Village Circle (JVC)&gt;JVC District 11&gt;Taraf 1 Residence")</f>
        <v>Dubai&gt;Jumeirah Village Circle (JVC)&gt;JVC District 11&gt;Taraf 1 Residence</v>
      </c>
      <c r="E14583" s="2"/>
      <c r="F14583" s="2"/>
      <c r="G14583" s="2"/>
      <c r="H14583" s="2"/>
      <c r="I14583" s="2"/>
      <c r="J14583" s="2"/>
      <c r="K14583" s="2"/>
      <c r="L14583" s="2"/>
      <c r="M14583" s="2"/>
      <c r="N14583" s="2"/>
      <c r="O14583" s="2"/>
      <c r="P14583" s="2"/>
      <c r="Q14583" s="2"/>
      <c r="R14583" s="2"/>
      <c r="S14583" s="2"/>
      <c r="T14583" s="2"/>
      <c r="U14583" s="2"/>
      <c r="V14583" s="2"/>
      <c r="W14583" s="2"/>
      <c r="X14583" s="2"/>
      <c r="Y14583" s="2"/>
      <c r="Z14583" s="2"/>
    </row>
    <row r="14584" spans="1:26" ht="16.5" x14ac:dyDescent="0.35">
      <c r="A14584" s="2" t="str">
        <f ca="1">IFERROR(__xludf.DUMMYFUNCTION("""COMPUTED_VALUE"""),"Dubai")</f>
        <v>Dubai</v>
      </c>
      <c r="B14584" s="2" t="str">
        <f ca="1">IFERROR(__xludf.DUMMYFUNCTION("""COMPUTED_VALUE"""),"Alcove")</f>
        <v>Alcove</v>
      </c>
      <c r="C14584" s="2" t="str">
        <f ca="1">IFERROR(__xludf.DUMMYFUNCTION("""COMPUTED_VALUE"""),"Building")</f>
        <v>Building</v>
      </c>
      <c r="D14584" s="2" t="str">
        <f ca="1">IFERROR(__xludf.DUMMYFUNCTION("""COMPUTED_VALUE"""),"Dubai&gt;Jumeirah Village Circle (JVC)&gt;JVC District 11&gt;Alcove")</f>
        <v>Dubai&gt;Jumeirah Village Circle (JVC)&gt;JVC District 11&gt;Alcove</v>
      </c>
      <c r="E14584" s="2"/>
      <c r="F14584" s="2"/>
      <c r="G14584" s="2"/>
      <c r="H14584" s="2"/>
      <c r="I14584" s="2"/>
      <c r="J14584" s="2"/>
      <c r="K14584" s="2"/>
      <c r="L14584" s="2"/>
      <c r="M14584" s="2"/>
      <c r="N14584" s="2"/>
      <c r="O14584" s="2"/>
      <c r="P14584" s="2"/>
      <c r="Q14584" s="2"/>
      <c r="R14584" s="2"/>
      <c r="S14584" s="2"/>
      <c r="T14584" s="2"/>
      <c r="U14584" s="2"/>
      <c r="V14584" s="2"/>
      <c r="W14584" s="2"/>
      <c r="X14584" s="2"/>
      <c r="Y14584" s="2"/>
      <c r="Z14584" s="2"/>
    </row>
    <row r="14585" spans="1:26" ht="16.5" x14ac:dyDescent="0.35">
      <c r="A14585" s="2" t="str">
        <f ca="1">IFERROR(__xludf.DUMMYFUNCTION("""COMPUTED_VALUE"""),"Dubai")</f>
        <v>Dubai</v>
      </c>
      <c r="B14585" s="2" t="str">
        <f ca="1">IFERROR(__xludf.DUMMYFUNCTION("""COMPUTED_VALUE"""),"Terrazzo Residences")</f>
        <v>Terrazzo Residences</v>
      </c>
      <c r="C14585" s="2" t="str">
        <f ca="1">IFERROR(__xludf.DUMMYFUNCTION("""COMPUTED_VALUE"""),"Building")</f>
        <v>Building</v>
      </c>
      <c r="D14585" s="2" t="str">
        <f ca="1">IFERROR(__xludf.DUMMYFUNCTION("""COMPUTED_VALUE"""),"Dubai&gt;Jumeirah Village Circle (JVC)&gt;JVC District 11&gt;Terrazzo Residences")</f>
        <v>Dubai&gt;Jumeirah Village Circle (JVC)&gt;JVC District 11&gt;Terrazzo Residences</v>
      </c>
      <c r="E14585" s="2"/>
      <c r="F14585" s="2"/>
      <c r="G14585" s="2"/>
      <c r="H14585" s="2"/>
      <c r="I14585" s="2"/>
      <c r="J14585" s="2"/>
      <c r="K14585" s="2"/>
      <c r="L14585" s="2"/>
      <c r="M14585" s="2"/>
      <c r="N14585" s="2"/>
      <c r="O14585" s="2"/>
      <c r="P14585" s="2"/>
      <c r="Q14585" s="2"/>
      <c r="R14585" s="2"/>
      <c r="S14585" s="2"/>
      <c r="T14585" s="2"/>
      <c r="U14585" s="2"/>
      <c r="V14585" s="2"/>
      <c r="W14585" s="2"/>
      <c r="X14585" s="2"/>
      <c r="Y14585" s="2"/>
      <c r="Z14585" s="2"/>
    </row>
    <row r="14586" spans="1:26" ht="16.5" x14ac:dyDescent="0.35">
      <c r="A14586" s="2" t="str">
        <f ca="1">IFERROR(__xludf.DUMMYFUNCTION("""COMPUTED_VALUE"""),"Dubai")</f>
        <v>Dubai</v>
      </c>
      <c r="B14586" s="2" t="str">
        <f ca="1">IFERROR(__xludf.DUMMYFUNCTION("""COMPUTED_VALUE"""),"Vivanti Residences Tower C")</f>
        <v>Vivanti Residences Tower C</v>
      </c>
      <c r="C14586" s="2" t="str">
        <f ca="1">IFERROR(__xludf.DUMMYFUNCTION("""COMPUTED_VALUE"""),"Building")</f>
        <v>Building</v>
      </c>
      <c r="D14586" s="2" t="str">
        <f ca="1">IFERROR(__xludf.DUMMYFUNCTION("""COMPUTED_VALUE"""),"Dubai&gt;Jumeirah Village Circle (JVC)&gt;JVC District 11&gt;Vivanti Residences&gt;Vivanti Residences Tower C")</f>
        <v>Dubai&gt;Jumeirah Village Circle (JVC)&gt;JVC District 11&gt;Vivanti Residences&gt;Vivanti Residences Tower C</v>
      </c>
      <c r="E14586" s="2"/>
      <c r="F14586" s="2"/>
      <c r="G14586" s="2"/>
      <c r="H14586" s="2"/>
      <c r="I14586" s="2"/>
      <c r="J14586" s="2"/>
      <c r="K14586" s="2"/>
      <c r="L14586" s="2"/>
      <c r="M14586" s="2"/>
      <c r="N14586" s="2"/>
      <c r="O14586" s="2"/>
      <c r="P14586" s="2"/>
      <c r="Q14586" s="2"/>
      <c r="R14586" s="2"/>
      <c r="S14586" s="2"/>
      <c r="T14586" s="2"/>
      <c r="U14586" s="2"/>
      <c r="V14586" s="2"/>
      <c r="W14586" s="2"/>
      <c r="X14586" s="2"/>
      <c r="Y14586" s="2"/>
      <c r="Z14586" s="2"/>
    </row>
    <row r="14587" spans="1:26" ht="16.5" x14ac:dyDescent="0.35">
      <c r="A14587" s="2" t="str">
        <f ca="1">IFERROR(__xludf.DUMMYFUNCTION("""COMPUTED_VALUE"""),"Dubai")</f>
        <v>Dubai</v>
      </c>
      <c r="B14587" s="2" t="str">
        <f ca="1">IFERROR(__xludf.DUMMYFUNCTION("""COMPUTED_VALUE"""),"Signature Villas XIV")</f>
        <v>Signature Villas XIV</v>
      </c>
      <c r="C14587" s="2" t="str">
        <f ca="1">IFERROR(__xludf.DUMMYFUNCTION("""COMPUTED_VALUE"""),"Neighbourhood")</f>
        <v>Neighbourhood</v>
      </c>
      <c r="D14587" s="2" t="str">
        <f ca="1">IFERROR(__xludf.DUMMYFUNCTION("""COMPUTED_VALUE"""),"Dubai&gt;Jumeirah Village Circle (JVC)&gt;JVC District 14&gt;Signature Villas XIV")</f>
        <v>Dubai&gt;Jumeirah Village Circle (JVC)&gt;JVC District 14&gt;Signature Villas XIV</v>
      </c>
      <c r="E14587" s="2"/>
      <c r="F14587" s="2"/>
      <c r="G14587" s="2"/>
      <c r="H14587" s="2"/>
      <c r="I14587" s="2"/>
      <c r="J14587" s="2"/>
      <c r="K14587" s="2"/>
      <c r="L14587" s="2"/>
      <c r="M14587" s="2"/>
      <c r="N14587" s="2"/>
      <c r="O14587" s="2"/>
      <c r="P14587" s="2"/>
      <c r="Q14587" s="2"/>
      <c r="R14587" s="2"/>
      <c r="S14587" s="2"/>
      <c r="T14587" s="2"/>
      <c r="U14587" s="2"/>
      <c r="V14587" s="2"/>
      <c r="W14587" s="2"/>
      <c r="X14587" s="2"/>
      <c r="Y14587" s="2"/>
      <c r="Z14587" s="2"/>
    </row>
    <row r="14588" spans="1:26" ht="16.5" x14ac:dyDescent="0.35">
      <c r="A14588" s="2" t="str">
        <f ca="1">IFERROR(__xludf.DUMMYFUNCTION("""COMPUTED_VALUE"""),"Dubai")</f>
        <v>Dubai</v>
      </c>
      <c r="B14588" s="2" t="str">
        <f ca="1">IFERROR(__xludf.DUMMYFUNCTION("""COMPUTED_VALUE"""),"Aura")</f>
        <v>Aura</v>
      </c>
      <c r="C14588" s="2" t="str">
        <f ca="1">IFERROR(__xludf.DUMMYFUNCTION("""COMPUTED_VALUE"""),"Building")</f>
        <v>Building</v>
      </c>
      <c r="D14588" s="2" t="str">
        <f ca="1">IFERROR(__xludf.DUMMYFUNCTION("""COMPUTED_VALUE"""),"Dubai&gt;Jumeirah Village Circle (JVC)&gt;JVC District 14&gt;Aura")</f>
        <v>Dubai&gt;Jumeirah Village Circle (JVC)&gt;JVC District 14&gt;Aura</v>
      </c>
      <c r="E14588" s="2"/>
      <c r="F14588" s="2"/>
      <c r="G14588" s="2"/>
      <c r="H14588" s="2"/>
      <c r="I14588" s="2"/>
      <c r="J14588" s="2"/>
      <c r="K14588" s="2"/>
      <c r="L14588" s="2"/>
      <c r="M14588" s="2"/>
      <c r="N14588" s="2"/>
      <c r="O14588" s="2"/>
      <c r="P14588" s="2"/>
      <c r="Q14588" s="2"/>
      <c r="R14588" s="2"/>
      <c r="S14588" s="2"/>
      <c r="T14588" s="2"/>
      <c r="U14588" s="2"/>
      <c r="V14588" s="2"/>
      <c r="W14588" s="2"/>
      <c r="X14588" s="2"/>
      <c r="Y14588" s="2"/>
      <c r="Z14588" s="2"/>
    </row>
    <row r="14589" spans="1:26" ht="16.5" x14ac:dyDescent="0.35">
      <c r="A14589" s="2" t="str">
        <f ca="1">IFERROR(__xludf.DUMMYFUNCTION("""COMPUTED_VALUE"""),"Dubai")</f>
        <v>Dubai</v>
      </c>
      <c r="B14589" s="2" t="str">
        <f ca="1">IFERROR(__xludf.DUMMYFUNCTION("""COMPUTED_VALUE"""),"Provenza Residences")</f>
        <v>Provenza Residences</v>
      </c>
      <c r="C14589" s="2" t="str">
        <f ca="1">IFERROR(__xludf.DUMMYFUNCTION("""COMPUTED_VALUE"""),"Building")</f>
        <v>Building</v>
      </c>
      <c r="D14589" s="2" t="str">
        <f ca="1">IFERROR(__xludf.DUMMYFUNCTION("""COMPUTED_VALUE"""),"Dubai&gt;Jumeirah Village Circle (JVC)&gt;JVC District 14&gt;Provenza Residences")</f>
        <v>Dubai&gt;Jumeirah Village Circle (JVC)&gt;JVC District 14&gt;Provenza Residences</v>
      </c>
      <c r="E14589" s="2"/>
      <c r="F14589" s="2"/>
      <c r="G14589" s="2"/>
      <c r="H14589" s="2"/>
      <c r="I14589" s="2"/>
      <c r="J14589" s="2"/>
      <c r="K14589" s="2"/>
      <c r="L14589" s="2"/>
      <c r="M14589" s="2"/>
      <c r="N14589" s="2"/>
      <c r="O14589" s="2"/>
      <c r="P14589" s="2"/>
      <c r="Q14589" s="2"/>
      <c r="R14589" s="2"/>
      <c r="S14589" s="2"/>
      <c r="T14589" s="2"/>
      <c r="U14589" s="2"/>
      <c r="V14589" s="2"/>
      <c r="W14589" s="2"/>
      <c r="X14589" s="2"/>
      <c r="Y14589" s="2"/>
      <c r="Z14589" s="2"/>
    </row>
    <row r="14590" spans="1:26" ht="16.5" x14ac:dyDescent="0.35">
      <c r="A14590" s="2" t="str">
        <f ca="1">IFERROR(__xludf.DUMMYFUNCTION("""COMPUTED_VALUE"""),"Dubai")</f>
        <v>Dubai</v>
      </c>
      <c r="B14590" s="2" t="str">
        <f ca="1">IFERROR(__xludf.DUMMYFUNCTION("""COMPUTED_VALUE"""),"The Gate Residence 2")</f>
        <v>The Gate Residence 2</v>
      </c>
      <c r="C14590" s="2" t="str">
        <f ca="1">IFERROR(__xludf.DUMMYFUNCTION("""COMPUTED_VALUE"""),"Building")</f>
        <v>Building</v>
      </c>
      <c r="D14590" s="2" t="str">
        <f ca="1">IFERROR(__xludf.DUMMYFUNCTION("""COMPUTED_VALUE"""),"Dubai&gt;Dubai Land Residence Complex&gt;The Gate Residence 2")</f>
        <v>Dubai&gt;Dubai Land Residence Complex&gt;The Gate Residence 2</v>
      </c>
      <c r="E14590" s="2"/>
      <c r="F14590" s="2"/>
      <c r="G14590" s="2"/>
      <c r="H14590" s="2"/>
      <c r="I14590" s="2"/>
      <c r="J14590" s="2"/>
      <c r="K14590" s="2"/>
      <c r="L14590" s="2"/>
      <c r="M14590" s="2"/>
      <c r="N14590" s="2"/>
      <c r="O14590" s="2"/>
      <c r="P14590" s="2"/>
      <c r="Q14590" s="2"/>
      <c r="R14590" s="2"/>
      <c r="S14590" s="2"/>
      <c r="T14590" s="2"/>
      <c r="U14590" s="2"/>
      <c r="V14590" s="2"/>
      <c r="W14590" s="2"/>
      <c r="X14590" s="2"/>
      <c r="Y14590" s="2"/>
      <c r="Z14590" s="2"/>
    </row>
    <row r="14591" spans="1:26" ht="16.5" x14ac:dyDescent="0.35">
      <c r="A14591" s="2" t="str">
        <f ca="1">IFERROR(__xludf.DUMMYFUNCTION("""COMPUTED_VALUE"""),"Dubai")</f>
        <v>Dubai</v>
      </c>
      <c r="B14591" s="2" t="str">
        <f ca="1">IFERROR(__xludf.DUMMYFUNCTION("""COMPUTED_VALUE"""),"Badri Building A")</f>
        <v>Badri Building A</v>
      </c>
      <c r="C14591" s="2" t="str">
        <f ca="1">IFERROR(__xludf.DUMMYFUNCTION("""COMPUTED_VALUE"""),"Building")</f>
        <v>Building</v>
      </c>
      <c r="D14591" s="2" t="str">
        <f ca="1">IFERROR(__xludf.DUMMYFUNCTION("""COMPUTED_VALUE"""),"Dubai&gt;Dubai Land Residence Complex&gt;Badri Building&gt;Badri Building A")</f>
        <v>Dubai&gt;Dubai Land Residence Complex&gt;Badri Building&gt;Badri Building A</v>
      </c>
      <c r="E14591" s="2"/>
      <c r="F14591" s="2"/>
      <c r="G14591" s="2"/>
      <c r="H14591" s="2"/>
      <c r="I14591" s="2"/>
      <c r="J14591" s="2"/>
      <c r="K14591" s="2"/>
      <c r="L14591" s="2"/>
      <c r="M14591" s="2"/>
      <c r="N14591" s="2"/>
      <c r="O14591" s="2"/>
      <c r="P14591" s="2"/>
      <c r="Q14591" s="2"/>
      <c r="R14591" s="2"/>
      <c r="S14591" s="2"/>
      <c r="T14591" s="2"/>
      <c r="U14591" s="2"/>
      <c r="V14591" s="2"/>
      <c r="W14591" s="2"/>
      <c r="X14591" s="2"/>
      <c r="Y14591" s="2"/>
      <c r="Z14591" s="2"/>
    </row>
    <row r="14592" spans="1:26" ht="16.5" x14ac:dyDescent="0.35">
      <c r="A14592" s="2" t="str">
        <f ca="1">IFERROR(__xludf.DUMMYFUNCTION("""COMPUTED_VALUE"""),"Dubai")</f>
        <v>Dubai</v>
      </c>
      <c r="B14592" s="2" t="str">
        <f ca="1">IFERROR(__xludf.DUMMYFUNCTION("""COMPUTED_VALUE"""),"Samana Park Meadows")</f>
        <v>Samana Park Meadows</v>
      </c>
      <c r="C14592" s="2" t="str">
        <f ca="1">IFERROR(__xludf.DUMMYFUNCTION("""COMPUTED_VALUE"""),"Building")</f>
        <v>Building</v>
      </c>
      <c r="D14592" s="2" t="str">
        <f ca="1">IFERROR(__xludf.DUMMYFUNCTION("""COMPUTED_VALUE"""),"Dubai&gt;Dubai Land Residence Complex&gt;Samana Park Meadows")</f>
        <v>Dubai&gt;Dubai Land Residence Complex&gt;Samana Park Meadows</v>
      </c>
      <c r="E14592" s="2"/>
      <c r="F14592" s="2"/>
      <c r="G14592" s="2"/>
      <c r="H14592" s="2"/>
      <c r="I14592" s="2"/>
      <c r="J14592" s="2"/>
      <c r="K14592" s="2"/>
      <c r="L14592" s="2"/>
      <c r="M14592" s="2"/>
      <c r="N14592" s="2"/>
      <c r="O14592" s="2"/>
      <c r="P14592" s="2"/>
      <c r="Q14592" s="2"/>
      <c r="R14592" s="2"/>
      <c r="S14592" s="2"/>
      <c r="T14592" s="2"/>
      <c r="U14592" s="2"/>
      <c r="V14592" s="2"/>
      <c r="W14592" s="2"/>
      <c r="X14592" s="2"/>
      <c r="Y14592" s="2"/>
      <c r="Z14592" s="2"/>
    </row>
    <row r="14593" spans="1:26" ht="16.5" x14ac:dyDescent="0.35">
      <c r="A14593" s="2" t="str">
        <f ca="1">IFERROR(__xludf.DUMMYFUNCTION("""COMPUTED_VALUE"""),"Dubai")</f>
        <v>Dubai</v>
      </c>
      <c r="B14593" s="2" t="str">
        <f ca="1">IFERROR(__xludf.DUMMYFUNCTION("""COMPUTED_VALUE"""),"Cove Edition Residence 6 by Imtiaz")</f>
        <v>Cove Edition Residence 6 by Imtiaz</v>
      </c>
      <c r="C14593" s="2" t="str">
        <f ca="1">IFERROR(__xludf.DUMMYFUNCTION("""COMPUTED_VALUE"""),"Building")</f>
        <v>Building</v>
      </c>
      <c r="D14593" s="2" t="str">
        <f ca="1">IFERROR(__xludf.DUMMYFUNCTION("""COMPUTED_VALUE"""),"Dubai&gt;Dubai Land Residence Complex&gt;Cove Edition Residence 6 by Imtiaz")</f>
        <v>Dubai&gt;Dubai Land Residence Complex&gt;Cove Edition Residence 6 by Imtiaz</v>
      </c>
      <c r="E14593" s="2"/>
      <c r="F14593" s="2"/>
      <c r="G14593" s="2"/>
      <c r="H14593" s="2"/>
      <c r="I14593" s="2"/>
      <c r="J14593" s="2"/>
      <c r="K14593" s="2"/>
      <c r="L14593" s="2"/>
      <c r="M14593" s="2"/>
      <c r="N14593" s="2"/>
      <c r="O14593" s="2"/>
      <c r="P14593" s="2"/>
      <c r="Q14593" s="2"/>
      <c r="R14593" s="2"/>
      <c r="S14593" s="2"/>
      <c r="T14593" s="2"/>
      <c r="U14593" s="2"/>
      <c r="V14593" s="2"/>
      <c r="W14593" s="2"/>
      <c r="X14593" s="2"/>
      <c r="Y14593" s="2"/>
      <c r="Z14593" s="2"/>
    </row>
    <row r="14594" spans="1:26" ht="16.5" x14ac:dyDescent="0.35">
      <c r="A14594" s="2" t="str">
        <f ca="1">IFERROR(__xludf.DUMMYFUNCTION("""COMPUTED_VALUE"""),"Dubai")</f>
        <v>Dubai</v>
      </c>
      <c r="B14594" s="2" t="str">
        <f ca="1">IFERROR(__xludf.DUMMYFUNCTION("""COMPUTED_VALUE"""),"Emirates British Nursery Motor City")</f>
        <v>Emirates British Nursery Motor City</v>
      </c>
      <c r="C14594" s="2" t="str">
        <f ca="1">IFERROR(__xludf.DUMMYFUNCTION("""COMPUTED_VALUE"""),"Nursery")</f>
        <v>Nursery</v>
      </c>
      <c r="D14594" s="2" t="str">
        <f ca="1">IFERROR(__xludf.DUMMYFUNCTION("""COMPUTED_VALUE"""),"Dubai&gt;Mirdif&gt;Emirates British Nursery Motor City")</f>
        <v>Dubai&gt;Mirdif&gt;Emirates British Nursery Motor City</v>
      </c>
      <c r="E14594" s="2"/>
      <c r="F14594" s="2"/>
      <c r="G14594" s="2"/>
      <c r="H14594" s="2"/>
      <c r="I14594" s="2"/>
      <c r="J14594" s="2"/>
      <c r="K14594" s="2"/>
      <c r="L14594" s="2"/>
      <c r="M14594" s="2"/>
      <c r="N14594" s="2"/>
      <c r="O14594" s="2"/>
      <c r="P14594" s="2"/>
      <c r="Q14594" s="2"/>
      <c r="R14594" s="2"/>
      <c r="S14594" s="2"/>
      <c r="T14594" s="2"/>
      <c r="U14594" s="2"/>
      <c r="V14594" s="2"/>
      <c r="W14594" s="2"/>
      <c r="X14594" s="2"/>
      <c r="Y14594" s="2"/>
      <c r="Z14594" s="2"/>
    </row>
    <row r="14595" spans="1:26" ht="16.5" x14ac:dyDescent="0.35">
      <c r="A14595" s="2" t="str">
        <f ca="1">IFERROR(__xludf.DUMMYFUNCTION("""COMPUTED_VALUE"""),"Dubai")</f>
        <v>Dubai</v>
      </c>
      <c r="B14595" s="2" t="str">
        <f ca="1">IFERROR(__xludf.DUMMYFUNCTION("""COMPUTED_VALUE"""),"Nasayem Avenue Block E")</f>
        <v>Nasayem Avenue Block E</v>
      </c>
      <c r="C14595" s="2" t="str">
        <f ca="1">IFERROR(__xludf.DUMMYFUNCTION("""COMPUTED_VALUE"""),"Building")</f>
        <v>Building</v>
      </c>
      <c r="D14595" s="2" t="str">
        <f ca="1">IFERROR(__xludf.DUMMYFUNCTION("""COMPUTED_VALUE"""),"Dubai&gt;Mirdif&gt;Mirdif Hills&gt;Nasayem Avenue&gt;Nasayem Avenue Block E")</f>
        <v>Dubai&gt;Mirdif&gt;Mirdif Hills&gt;Nasayem Avenue&gt;Nasayem Avenue Block E</v>
      </c>
      <c r="E14595" s="2"/>
      <c r="F14595" s="2"/>
      <c r="G14595" s="2"/>
      <c r="H14595" s="2"/>
      <c r="I14595" s="2"/>
      <c r="J14595" s="2"/>
      <c r="K14595" s="2"/>
      <c r="L14595" s="2"/>
      <c r="M14595" s="2"/>
      <c r="N14595" s="2"/>
      <c r="O14595" s="2"/>
      <c r="P14595" s="2"/>
      <c r="Q14595" s="2"/>
      <c r="R14595" s="2"/>
      <c r="S14595" s="2"/>
      <c r="T14595" s="2"/>
      <c r="U14595" s="2"/>
      <c r="V14595" s="2"/>
      <c r="W14595" s="2"/>
      <c r="X14595" s="2"/>
      <c r="Y14595" s="2"/>
      <c r="Z14595" s="2"/>
    </row>
    <row r="14596" spans="1:26" ht="16.5" x14ac:dyDescent="0.35">
      <c r="A14596" s="2" t="str">
        <f ca="1">IFERROR(__xludf.DUMMYFUNCTION("""COMPUTED_VALUE"""),"Dubai")</f>
        <v>Dubai</v>
      </c>
      <c r="B14596" s="2" t="str">
        <f ca="1">IFERROR(__xludf.DUMMYFUNCTION("""COMPUTED_VALUE"""),"Zulal")</f>
        <v>Zulal</v>
      </c>
      <c r="C14596" s="2" t="str">
        <f ca="1">IFERROR(__xludf.DUMMYFUNCTION("""COMPUTED_VALUE"""),"Neighbourhood")</f>
        <v>Neighbourhood</v>
      </c>
      <c r="D14596" s="2" t="str">
        <f ca="1">IFERROR(__xludf.DUMMYFUNCTION("""COMPUTED_VALUE"""),"Dubai&gt;The Lakes&gt;Zulal")</f>
        <v>Dubai&gt;The Lakes&gt;Zulal</v>
      </c>
      <c r="E14596" s="2"/>
      <c r="F14596" s="2"/>
      <c r="G14596" s="2"/>
      <c r="H14596" s="2"/>
      <c r="I14596" s="2"/>
      <c r="J14596" s="2"/>
      <c r="K14596" s="2"/>
      <c r="L14596" s="2"/>
      <c r="M14596" s="2"/>
      <c r="N14596" s="2"/>
      <c r="O14596" s="2"/>
      <c r="P14596" s="2"/>
      <c r="Q14596" s="2"/>
      <c r="R14596" s="2"/>
      <c r="S14596" s="2"/>
      <c r="T14596" s="2"/>
      <c r="U14596" s="2"/>
      <c r="V14596" s="2"/>
      <c r="W14596" s="2"/>
      <c r="X14596" s="2"/>
      <c r="Y14596" s="2"/>
      <c r="Z14596" s="2"/>
    </row>
    <row r="14597" spans="1:26" ht="16.5" x14ac:dyDescent="0.35">
      <c r="A14597" s="2" t="str">
        <f ca="1">IFERROR(__xludf.DUMMYFUNCTION("""COMPUTED_VALUE"""),"Dubai")</f>
        <v>Dubai</v>
      </c>
      <c r="B14597" s="2" t="str">
        <f ca="1">IFERROR(__xludf.DUMMYFUNCTION("""COMPUTED_VALUE"""),"The Indian High School, Al Garhoud")</f>
        <v>The Indian High School, Al Garhoud</v>
      </c>
      <c r="C14597" s="2" t="str">
        <f ca="1">IFERROR(__xludf.DUMMYFUNCTION("""COMPUTED_VALUE"""),"School")</f>
        <v>School</v>
      </c>
      <c r="D14597" s="2" t="str">
        <f ca="1">IFERROR(__xludf.DUMMYFUNCTION("""COMPUTED_VALUE"""),"Dubai&gt;Al Garhoud&gt;The Indian High School, Al Garhoud")</f>
        <v>Dubai&gt;Al Garhoud&gt;The Indian High School, Al Garhoud</v>
      </c>
      <c r="E14597" s="2"/>
      <c r="F14597" s="2"/>
      <c r="G14597" s="2"/>
      <c r="H14597" s="2"/>
      <c r="I14597" s="2"/>
      <c r="J14597" s="2"/>
      <c r="K14597" s="2"/>
      <c r="L14597" s="2"/>
      <c r="M14597" s="2"/>
      <c r="N14597" s="2"/>
      <c r="O14597" s="2"/>
      <c r="P14597" s="2"/>
      <c r="Q14597" s="2"/>
      <c r="R14597" s="2"/>
      <c r="S14597" s="2"/>
      <c r="T14597" s="2"/>
      <c r="U14597" s="2"/>
      <c r="V14597" s="2"/>
      <c r="W14597" s="2"/>
      <c r="X14597" s="2"/>
      <c r="Y14597" s="2"/>
      <c r="Z14597" s="2"/>
    </row>
    <row r="14598" spans="1:26" ht="16.5" x14ac:dyDescent="0.35">
      <c r="A14598" s="2" t="str">
        <f ca="1">IFERROR(__xludf.DUMMYFUNCTION("""COMPUTED_VALUE"""),"Dubai")</f>
        <v>Dubai</v>
      </c>
      <c r="B14598" s="2" t="str">
        <f ca="1">IFERROR(__xludf.DUMMYFUNCTION("""COMPUTED_VALUE"""),"Golf Park Building")</f>
        <v>Golf Park Building</v>
      </c>
      <c r="C14598" s="2" t="str">
        <f ca="1">IFERROR(__xludf.DUMMYFUNCTION("""COMPUTED_VALUE"""),"Building")</f>
        <v>Building</v>
      </c>
      <c r="D14598" s="2" t="str">
        <f ca="1">IFERROR(__xludf.DUMMYFUNCTION("""COMPUTED_VALUE"""),"Dubai&gt;Al Garhoud&gt;Golf Park Building")</f>
        <v>Dubai&gt;Al Garhoud&gt;Golf Park Building</v>
      </c>
      <c r="E14598" s="2"/>
      <c r="F14598" s="2"/>
      <c r="G14598" s="2"/>
      <c r="H14598" s="2"/>
      <c r="I14598" s="2"/>
      <c r="J14598" s="2"/>
      <c r="K14598" s="2"/>
      <c r="L14598" s="2"/>
      <c r="M14598" s="2"/>
      <c r="N14598" s="2"/>
      <c r="O14598" s="2"/>
      <c r="P14598" s="2"/>
      <c r="Q14598" s="2"/>
      <c r="R14598" s="2"/>
      <c r="S14598" s="2"/>
      <c r="T14598" s="2"/>
      <c r="U14598" s="2"/>
      <c r="V14598" s="2"/>
      <c r="W14598" s="2"/>
      <c r="X14598" s="2"/>
      <c r="Y14598" s="2"/>
      <c r="Z14598" s="2"/>
    </row>
    <row r="14599" spans="1:26" ht="16.5" x14ac:dyDescent="0.35">
      <c r="A14599" s="2" t="str">
        <f ca="1">IFERROR(__xludf.DUMMYFUNCTION("""COMPUTED_VALUE"""),"Dubai")</f>
        <v>Dubai</v>
      </c>
      <c r="B14599" s="2" t="str">
        <f ca="1">IFERROR(__xludf.DUMMYFUNCTION("""COMPUTED_VALUE"""),"Al Kazim Group of Companies Building")</f>
        <v>Al Kazim Group of Companies Building</v>
      </c>
      <c r="C14599" s="2" t="str">
        <f ca="1">IFERROR(__xludf.DUMMYFUNCTION("""COMPUTED_VALUE"""),"Building")</f>
        <v>Building</v>
      </c>
      <c r="D14599" s="2" t="str">
        <f ca="1">IFERROR(__xludf.DUMMYFUNCTION("""COMPUTED_VALUE"""),"Dubai&gt;Al Garhoud&gt;Al Kazim Group of Companies Building")</f>
        <v>Dubai&gt;Al Garhoud&gt;Al Kazim Group of Companies Building</v>
      </c>
      <c r="E14599" s="2"/>
      <c r="F14599" s="2"/>
      <c r="G14599" s="2"/>
      <c r="H14599" s="2"/>
      <c r="I14599" s="2"/>
      <c r="J14599" s="2"/>
      <c r="K14599" s="2"/>
      <c r="L14599" s="2"/>
      <c r="M14599" s="2"/>
      <c r="N14599" s="2"/>
      <c r="O14599" s="2"/>
      <c r="P14599" s="2"/>
      <c r="Q14599" s="2"/>
      <c r="R14599" s="2"/>
      <c r="S14599" s="2"/>
      <c r="T14599" s="2"/>
      <c r="U14599" s="2"/>
      <c r="V14599" s="2"/>
      <c r="W14599" s="2"/>
      <c r="X14599" s="2"/>
      <c r="Y14599" s="2"/>
      <c r="Z14599" s="2"/>
    </row>
    <row r="14600" spans="1:26" ht="16.5" x14ac:dyDescent="0.35">
      <c r="A14600" s="2" t="str">
        <f ca="1">IFERROR(__xludf.DUMMYFUNCTION("""COMPUTED_VALUE"""),"Dubai")</f>
        <v>Dubai</v>
      </c>
      <c r="B14600" s="2" t="str">
        <f ca="1">IFERROR(__xludf.DUMMYFUNCTION("""COMPUTED_VALUE"""),"Cluster 18")</f>
        <v>Cluster 18</v>
      </c>
      <c r="C14600" s="2" t="str">
        <f ca="1">IFERROR(__xludf.DUMMYFUNCTION("""COMPUTED_VALUE"""),"Neighbourhood")</f>
        <v>Neighbourhood</v>
      </c>
      <c r="D14600" s="2" t="str">
        <f ca="1">IFERROR(__xludf.DUMMYFUNCTION("""COMPUTED_VALUE"""),"Dubai&gt;Jumeirah Islands&gt;Cluster 18")</f>
        <v>Dubai&gt;Jumeirah Islands&gt;Cluster 18</v>
      </c>
      <c r="E14600" s="2"/>
      <c r="F14600" s="2"/>
      <c r="G14600" s="2"/>
      <c r="H14600" s="2"/>
      <c r="I14600" s="2"/>
      <c r="J14600" s="2"/>
      <c r="K14600" s="2"/>
      <c r="L14600" s="2"/>
      <c r="M14600" s="2"/>
      <c r="N14600" s="2"/>
      <c r="O14600" s="2"/>
      <c r="P14600" s="2"/>
      <c r="Q14600" s="2"/>
      <c r="R14600" s="2"/>
      <c r="S14600" s="2"/>
      <c r="T14600" s="2"/>
      <c r="U14600" s="2"/>
      <c r="V14600" s="2"/>
      <c r="W14600" s="2"/>
      <c r="X14600" s="2"/>
      <c r="Y14600" s="2"/>
      <c r="Z14600" s="2"/>
    </row>
    <row r="14601" spans="1:26" ht="16.5" x14ac:dyDescent="0.35">
      <c r="A14601" s="2" t="str">
        <f ca="1">IFERROR(__xludf.DUMMYFUNCTION("""COMPUTED_VALUE"""),"Dubai")</f>
        <v>Dubai</v>
      </c>
      <c r="B14601" s="2" t="str">
        <f ca="1">IFERROR(__xludf.DUMMYFUNCTION("""COMPUTED_VALUE"""),"Villa del Arte")</f>
        <v>Villa del Arte</v>
      </c>
      <c r="C14601" s="2" t="str">
        <f ca="1">IFERROR(__xludf.DUMMYFUNCTION("""COMPUTED_VALUE"""),"Building")</f>
        <v>Building</v>
      </c>
      <c r="D14601" s="2" t="str">
        <f ca="1">IFERROR(__xludf.DUMMYFUNCTION("""COMPUTED_VALUE"""),"Dubai&gt;Dubai Islands&gt;Villa del Arte")</f>
        <v>Dubai&gt;Dubai Islands&gt;Villa del Arte</v>
      </c>
      <c r="E14601" s="2"/>
      <c r="F14601" s="2"/>
      <c r="G14601" s="2"/>
      <c r="H14601" s="2"/>
      <c r="I14601" s="2"/>
      <c r="J14601" s="2"/>
      <c r="K14601" s="2"/>
      <c r="L14601" s="2"/>
      <c r="M14601" s="2"/>
      <c r="N14601" s="2"/>
      <c r="O14601" s="2"/>
      <c r="P14601" s="2"/>
      <c r="Q14601" s="2"/>
      <c r="R14601" s="2"/>
      <c r="S14601" s="2"/>
      <c r="T14601" s="2"/>
      <c r="U14601" s="2"/>
      <c r="V14601" s="2"/>
      <c r="W14601" s="2"/>
      <c r="X14601" s="2"/>
      <c r="Y14601" s="2"/>
      <c r="Z14601" s="2"/>
    </row>
    <row r="14602" spans="1:26" ht="16.5" x14ac:dyDescent="0.35">
      <c r="A14602" s="2" t="str">
        <f ca="1">IFERROR(__xludf.DUMMYFUNCTION("""COMPUTED_VALUE"""),"Dubai")</f>
        <v>Dubai</v>
      </c>
      <c r="B14602" s="2" t="str">
        <f ca="1">IFERROR(__xludf.DUMMYFUNCTION("""COMPUTED_VALUE"""),"Amaranta A")</f>
        <v>Amaranta A</v>
      </c>
      <c r="C14602" s="2" t="str">
        <f ca="1">IFERROR(__xludf.DUMMYFUNCTION("""COMPUTED_VALUE"""),"Neighbourhood")</f>
        <v>Neighbourhood</v>
      </c>
      <c r="D14602" s="2" t="str">
        <f ca="1">IFERROR(__xludf.DUMMYFUNCTION("""COMPUTED_VALUE"""),"Dubai&gt;Dubailand&gt;Villanova&gt;Amaranta&gt;Amaranta A")</f>
        <v>Dubai&gt;Dubailand&gt;Villanova&gt;Amaranta&gt;Amaranta A</v>
      </c>
      <c r="E14602" s="2"/>
      <c r="F14602" s="2"/>
      <c r="G14602" s="2"/>
      <c r="H14602" s="2"/>
      <c r="I14602" s="2"/>
      <c r="J14602" s="2"/>
      <c r="K14602" s="2"/>
      <c r="L14602" s="2"/>
      <c r="M14602" s="2"/>
      <c r="N14602" s="2"/>
      <c r="O14602" s="2"/>
      <c r="P14602" s="2"/>
      <c r="Q14602" s="2"/>
      <c r="R14602" s="2"/>
      <c r="S14602" s="2"/>
      <c r="T14602" s="2"/>
      <c r="U14602" s="2"/>
      <c r="V14602" s="2"/>
      <c r="W14602" s="2"/>
      <c r="X14602" s="2"/>
      <c r="Y14602" s="2"/>
      <c r="Z14602" s="2"/>
    </row>
    <row r="14603" spans="1:26" ht="16.5" x14ac:dyDescent="0.35">
      <c r="A14603" s="2" t="str">
        <f ca="1">IFERROR(__xludf.DUMMYFUNCTION("""COMPUTED_VALUE"""),"Dubai")</f>
        <v>Dubai</v>
      </c>
      <c r="B14603" s="2" t="str">
        <f ca="1">IFERROR(__xludf.DUMMYFUNCTION("""COMPUTED_VALUE"""),"Salva")</f>
        <v>Salva</v>
      </c>
      <c r="C14603" s="2" t="str">
        <f ca="1">IFERROR(__xludf.DUMMYFUNCTION("""COMPUTED_VALUE"""),"Neighbourhood")</f>
        <v>Neighbourhood</v>
      </c>
      <c r="D14603" s="2" t="str">
        <f ca="1">IFERROR(__xludf.DUMMYFUNCTION("""COMPUTED_VALUE"""),"Dubai&gt;Dubailand&gt;The Heights Country Club&gt;Salva")</f>
        <v>Dubai&gt;Dubailand&gt;The Heights Country Club&gt;Salva</v>
      </c>
      <c r="E14603" s="2"/>
      <c r="F14603" s="2"/>
      <c r="G14603" s="2"/>
      <c r="H14603" s="2"/>
      <c r="I14603" s="2"/>
      <c r="J14603" s="2"/>
      <c r="K14603" s="2"/>
      <c r="L14603" s="2"/>
      <c r="M14603" s="2"/>
      <c r="N14603" s="2"/>
      <c r="O14603" s="2"/>
      <c r="P14603" s="2"/>
      <c r="Q14603" s="2"/>
      <c r="R14603" s="2"/>
      <c r="S14603" s="2"/>
      <c r="T14603" s="2"/>
      <c r="U14603" s="2"/>
      <c r="V14603" s="2"/>
      <c r="W14603" s="2"/>
      <c r="X14603" s="2"/>
      <c r="Y14603" s="2"/>
      <c r="Z14603" s="2"/>
    </row>
    <row r="14604" spans="1:26" ht="16.5" x14ac:dyDescent="0.35">
      <c r="A14604" s="2" t="str">
        <f ca="1">IFERROR(__xludf.DUMMYFUNCTION("""COMPUTED_VALUE"""),"Dubai")</f>
        <v>Dubai</v>
      </c>
      <c r="B14604" s="2" t="str">
        <f ca="1">IFERROR(__xludf.DUMMYFUNCTION("""COMPUTED_VALUE"""),"Living Legends")</f>
        <v>Living Legends</v>
      </c>
      <c r="C14604" s="2" t="str">
        <f ca="1">IFERROR(__xludf.DUMMYFUNCTION("""COMPUTED_VALUE"""),"Neighbourhood")</f>
        <v>Neighbourhood</v>
      </c>
      <c r="D14604" s="2" t="str">
        <f ca="1">IFERROR(__xludf.DUMMYFUNCTION("""COMPUTED_VALUE"""),"Dubai&gt;Living Legends")</f>
        <v>Dubai&gt;Living Legends</v>
      </c>
      <c r="E14604" s="2"/>
      <c r="F14604" s="2"/>
      <c r="G14604" s="2"/>
      <c r="H14604" s="2"/>
      <c r="I14604" s="2"/>
      <c r="J14604" s="2"/>
      <c r="K14604" s="2"/>
      <c r="L14604" s="2"/>
      <c r="M14604" s="2"/>
      <c r="N14604" s="2"/>
      <c r="O14604" s="2"/>
      <c r="P14604" s="2"/>
      <c r="Q14604" s="2"/>
      <c r="R14604" s="2"/>
      <c r="S14604" s="2"/>
      <c r="T14604" s="2"/>
      <c r="U14604" s="2"/>
      <c r="V14604" s="2"/>
      <c r="W14604" s="2"/>
      <c r="X14604" s="2"/>
      <c r="Y14604" s="2"/>
      <c r="Z14604" s="2"/>
    </row>
    <row r="14605" spans="1:26" ht="16.5" x14ac:dyDescent="0.35">
      <c r="A14605" s="2" t="str">
        <f ca="1">IFERROR(__xludf.DUMMYFUNCTION("""COMPUTED_VALUE"""),"Dubai")</f>
        <v>Dubai</v>
      </c>
      <c r="B14605" s="2" t="str">
        <f ca="1">IFERROR(__xludf.DUMMYFUNCTION("""COMPUTED_VALUE"""),"Al Rubaya Building")</f>
        <v>Al Rubaya Building</v>
      </c>
      <c r="C14605" s="2" t="str">
        <f ca="1">IFERROR(__xludf.DUMMYFUNCTION("""COMPUTED_VALUE"""),"Building")</f>
        <v>Building</v>
      </c>
      <c r="D14605" s="2" t="str">
        <f ca="1">IFERROR(__xludf.DUMMYFUNCTION("""COMPUTED_VALUE"""),"Dubai&gt;Al Qusais&gt;Al Qusais Residential Area&gt;Al Qusais 2&gt;Al Rubaya Building")</f>
        <v>Dubai&gt;Al Qusais&gt;Al Qusais Residential Area&gt;Al Qusais 2&gt;Al Rubaya Building</v>
      </c>
      <c r="E14605" s="2"/>
      <c r="F14605" s="2"/>
      <c r="G14605" s="2"/>
      <c r="H14605" s="2"/>
      <c r="I14605" s="2"/>
      <c r="J14605" s="2"/>
      <c r="K14605" s="2"/>
      <c r="L14605" s="2"/>
      <c r="M14605" s="2"/>
      <c r="N14605" s="2"/>
      <c r="O14605" s="2"/>
      <c r="P14605" s="2"/>
      <c r="Q14605" s="2"/>
      <c r="R14605" s="2"/>
      <c r="S14605" s="2"/>
      <c r="T14605" s="2"/>
      <c r="U14605" s="2"/>
      <c r="V14605" s="2"/>
      <c r="W14605" s="2"/>
      <c r="X14605" s="2"/>
      <c r="Y14605" s="2"/>
      <c r="Z14605" s="2"/>
    </row>
    <row r="14606" spans="1:26" ht="16.5" x14ac:dyDescent="0.35">
      <c r="A14606" s="2" t="str">
        <f ca="1">IFERROR(__xludf.DUMMYFUNCTION("""COMPUTED_VALUE"""),"Dubai")</f>
        <v>Dubai</v>
      </c>
      <c r="B14606" s="2" t="str">
        <f ca="1">IFERROR(__xludf.DUMMYFUNCTION("""COMPUTED_VALUE"""),"Al Rihab Tower")</f>
        <v>Al Rihab Tower</v>
      </c>
      <c r="C14606" s="2" t="str">
        <f ca="1">IFERROR(__xludf.DUMMYFUNCTION("""COMPUTED_VALUE"""),"Building")</f>
        <v>Building</v>
      </c>
      <c r="D14606" s="2" t="str">
        <f ca="1">IFERROR(__xludf.DUMMYFUNCTION("""COMPUTED_VALUE"""),"Dubai&gt;Al Qusais&gt;Al Qusais Residential Area&gt;Al Qusais 1&gt;Al Rihab Tower")</f>
        <v>Dubai&gt;Al Qusais&gt;Al Qusais Residential Area&gt;Al Qusais 1&gt;Al Rihab Tower</v>
      </c>
      <c r="E14606" s="2"/>
      <c r="F14606" s="2"/>
      <c r="G14606" s="2"/>
      <c r="H14606" s="2"/>
      <c r="I14606" s="2"/>
      <c r="J14606" s="2"/>
      <c r="K14606" s="2"/>
      <c r="L14606" s="2"/>
      <c r="M14606" s="2"/>
      <c r="N14606" s="2"/>
      <c r="O14606" s="2"/>
      <c r="P14606" s="2"/>
      <c r="Q14606" s="2"/>
      <c r="R14606" s="2"/>
      <c r="S14606" s="2"/>
      <c r="T14606" s="2"/>
      <c r="U14606" s="2"/>
      <c r="V14606" s="2"/>
      <c r="W14606" s="2"/>
      <c r="X14606" s="2"/>
      <c r="Y14606" s="2"/>
      <c r="Z14606" s="2"/>
    </row>
    <row r="14607" spans="1:26" ht="16.5" x14ac:dyDescent="0.35">
      <c r="A14607" s="2" t="str">
        <f ca="1">IFERROR(__xludf.DUMMYFUNCTION("""COMPUTED_VALUE"""),"Dubai")</f>
        <v>Dubai</v>
      </c>
      <c r="B14607" s="2" t="str">
        <f ca="1">IFERROR(__xludf.DUMMYFUNCTION("""COMPUTED_VALUE"""),"Blue 2 Building")</f>
        <v>Blue 2 Building</v>
      </c>
      <c r="C14607" s="2" t="str">
        <f ca="1">IFERROR(__xludf.DUMMYFUNCTION("""COMPUTED_VALUE"""),"Building")</f>
        <v>Building</v>
      </c>
      <c r="D14607" s="2" t="str">
        <f ca="1">IFERROR(__xludf.DUMMYFUNCTION("""COMPUTED_VALUE"""),"Dubai&gt;Al Qusais&gt;Al Qusais Residential Area&gt;Al Qusais 1&gt;Blue 2 Building")</f>
        <v>Dubai&gt;Al Qusais&gt;Al Qusais Residential Area&gt;Al Qusais 1&gt;Blue 2 Building</v>
      </c>
      <c r="E14607" s="2"/>
      <c r="F14607" s="2"/>
      <c r="G14607" s="2"/>
      <c r="H14607" s="2"/>
      <c r="I14607" s="2"/>
      <c r="J14607" s="2"/>
      <c r="K14607" s="2"/>
      <c r="L14607" s="2"/>
      <c r="M14607" s="2"/>
      <c r="N14607" s="2"/>
      <c r="O14607" s="2"/>
      <c r="P14607" s="2"/>
      <c r="Q14607" s="2"/>
      <c r="R14607" s="2"/>
      <c r="S14607" s="2"/>
      <c r="T14607" s="2"/>
      <c r="U14607" s="2"/>
      <c r="V14607" s="2"/>
      <c r="W14607" s="2"/>
      <c r="X14607" s="2"/>
      <c r="Y14607" s="2"/>
      <c r="Z14607" s="2"/>
    </row>
    <row r="14608" spans="1:26" ht="16.5" x14ac:dyDescent="0.35">
      <c r="A14608" s="2" t="str">
        <f ca="1">IFERROR(__xludf.DUMMYFUNCTION("""COMPUTED_VALUE"""),"Dubai")</f>
        <v>Dubai</v>
      </c>
      <c r="B14608" s="2" t="str">
        <f ca="1">IFERROR(__xludf.DUMMYFUNCTION("""COMPUTED_VALUE"""),"Al Khayyal Building 103")</f>
        <v>Al Khayyal Building 103</v>
      </c>
      <c r="C14608" s="2" t="str">
        <f ca="1">IFERROR(__xludf.DUMMYFUNCTION("""COMPUTED_VALUE"""),"Building")</f>
        <v>Building</v>
      </c>
      <c r="D14608" s="2" t="str">
        <f ca="1">IFERROR(__xludf.DUMMYFUNCTION("""COMPUTED_VALUE"""),"Dubai&gt;Al Qusais&gt;Al Qusais Industrial Area&gt;Al Qusais Industrial 1&gt;Al Khayyal Building 103")</f>
        <v>Dubai&gt;Al Qusais&gt;Al Qusais Industrial Area&gt;Al Qusais Industrial 1&gt;Al Khayyal Building 103</v>
      </c>
      <c r="E14608" s="2"/>
      <c r="F14608" s="2"/>
      <c r="G14608" s="2"/>
      <c r="H14608" s="2"/>
      <c r="I14608" s="2"/>
      <c r="J14608" s="2"/>
      <c r="K14608" s="2"/>
      <c r="L14608" s="2"/>
      <c r="M14608" s="2"/>
      <c r="N14608" s="2"/>
      <c r="O14608" s="2"/>
      <c r="P14608" s="2"/>
      <c r="Q14608" s="2"/>
      <c r="R14608" s="2"/>
      <c r="S14608" s="2"/>
      <c r="T14608" s="2"/>
      <c r="U14608" s="2"/>
      <c r="V14608" s="2"/>
      <c r="W14608" s="2"/>
      <c r="X14608" s="2"/>
      <c r="Y14608" s="2"/>
      <c r="Z14608" s="2"/>
    </row>
    <row r="14609" spans="1:26" ht="16.5" x14ac:dyDescent="0.35">
      <c r="A14609" s="2" t="str">
        <f ca="1">IFERROR(__xludf.DUMMYFUNCTION("""COMPUTED_VALUE"""),"Dubai")</f>
        <v>Dubai</v>
      </c>
      <c r="B14609" s="2" t="str">
        <f ca="1">IFERROR(__xludf.DUMMYFUNCTION("""COMPUTED_VALUE"""),"Mulberry 1 Building B1")</f>
        <v>Mulberry 1 Building B1</v>
      </c>
      <c r="C14609" s="2" t="str">
        <f ca="1">IFERROR(__xludf.DUMMYFUNCTION("""COMPUTED_VALUE"""),"Building")</f>
        <v>Building</v>
      </c>
      <c r="D14609" s="2" t="str">
        <f ca="1">IFERROR(__xludf.DUMMYFUNCTION("""COMPUTED_VALUE"""),"Dubai&gt;Dubai Hills Estate&gt;Park Heights&gt;Mulberry 1&gt;Mulberry 1 Building B1")</f>
        <v>Dubai&gt;Dubai Hills Estate&gt;Park Heights&gt;Mulberry 1&gt;Mulberry 1 Building B1</v>
      </c>
      <c r="E14609" s="2"/>
      <c r="F14609" s="2"/>
      <c r="G14609" s="2"/>
      <c r="H14609" s="2"/>
      <c r="I14609" s="2"/>
      <c r="J14609" s="2"/>
      <c r="K14609" s="2"/>
      <c r="L14609" s="2"/>
      <c r="M14609" s="2"/>
      <c r="N14609" s="2"/>
      <c r="O14609" s="2"/>
      <c r="P14609" s="2"/>
      <c r="Q14609" s="2"/>
      <c r="R14609" s="2"/>
      <c r="S14609" s="2"/>
      <c r="T14609" s="2"/>
      <c r="U14609" s="2"/>
      <c r="V14609" s="2"/>
      <c r="W14609" s="2"/>
      <c r="X14609" s="2"/>
      <c r="Y14609" s="2"/>
      <c r="Z14609" s="2"/>
    </row>
    <row r="14610" spans="1:26" ht="16.5" x14ac:dyDescent="0.35">
      <c r="A14610" s="2" t="str">
        <f ca="1">IFERROR(__xludf.DUMMYFUNCTION("""COMPUTED_VALUE"""),"Dubai")</f>
        <v>Dubai</v>
      </c>
      <c r="B14610" s="2" t="str">
        <f ca="1">IFERROR(__xludf.DUMMYFUNCTION("""COMPUTED_VALUE"""),"Parkway Vistas")</f>
        <v>Parkway Vistas</v>
      </c>
      <c r="C14610" s="2" t="str">
        <f ca="1">IFERROR(__xludf.DUMMYFUNCTION("""COMPUTED_VALUE"""),"Neighbourhood")</f>
        <v>Neighbourhood</v>
      </c>
      <c r="D14610" s="2" t="str">
        <f ca="1">IFERROR(__xludf.DUMMYFUNCTION("""COMPUTED_VALUE"""),"Dubai&gt;Dubai Hills Estate&gt;Parkway Vistas")</f>
        <v>Dubai&gt;Dubai Hills Estate&gt;Parkway Vistas</v>
      </c>
      <c r="E14610" s="2"/>
      <c r="F14610" s="2"/>
      <c r="G14610" s="2"/>
      <c r="H14610" s="2"/>
      <c r="I14610" s="2"/>
      <c r="J14610" s="2"/>
      <c r="K14610" s="2"/>
      <c r="L14610" s="2"/>
      <c r="M14610" s="2"/>
      <c r="N14610" s="2"/>
      <c r="O14610" s="2"/>
      <c r="P14610" s="2"/>
      <c r="Q14610" s="2"/>
      <c r="R14610" s="2"/>
      <c r="S14610" s="2"/>
      <c r="T14610" s="2"/>
      <c r="U14610" s="2"/>
      <c r="V14610" s="2"/>
      <c r="W14610" s="2"/>
      <c r="X14610" s="2"/>
      <c r="Y14610" s="2"/>
      <c r="Z14610" s="2"/>
    </row>
    <row r="14611" spans="1:26" ht="16.5" x14ac:dyDescent="0.35">
      <c r="A14611" s="2" t="str">
        <f ca="1">IFERROR(__xludf.DUMMYFUNCTION("""COMPUTED_VALUE"""),"Dubai")</f>
        <v>Dubai</v>
      </c>
      <c r="B14611" s="2" t="str">
        <f ca="1">IFERROR(__xludf.DUMMYFUNCTION("""COMPUTED_VALUE"""),"Park Field")</f>
        <v>Park Field</v>
      </c>
      <c r="C14611" s="2" t="str">
        <f ca="1">IFERROR(__xludf.DUMMYFUNCTION("""COMPUTED_VALUE"""),"Cluster")</f>
        <v>Cluster</v>
      </c>
      <c r="D14611" s="2" t="str">
        <f ca="1">IFERROR(__xludf.DUMMYFUNCTION("""COMPUTED_VALUE"""),"Dubai&gt;Dubai Hills Estate&gt;Park Field")</f>
        <v>Dubai&gt;Dubai Hills Estate&gt;Park Field</v>
      </c>
      <c r="E14611" s="2"/>
      <c r="F14611" s="2"/>
      <c r="G14611" s="2"/>
      <c r="H14611" s="2"/>
      <c r="I14611" s="2"/>
      <c r="J14611" s="2"/>
      <c r="K14611" s="2"/>
      <c r="L14611" s="2"/>
      <c r="M14611" s="2"/>
      <c r="N14611" s="2"/>
      <c r="O14611" s="2"/>
      <c r="P14611" s="2"/>
      <c r="Q14611" s="2"/>
      <c r="R14611" s="2"/>
      <c r="S14611" s="2"/>
      <c r="T14611" s="2"/>
      <c r="U14611" s="2"/>
      <c r="V14611" s="2"/>
      <c r="W14611" s="2"/>
      <c r="X14611" s="2"/>
      <c r="Y14611" s="2"/>
      <c r="Z14611" s="2"/>
    </row>
    <row r="14612" spans="1:26" ht="16.5" x14ac:dyDescent="0.35">
      <c r="A14612" s="2" t="str">
        <f ca="1">IFERROR(__xludf.DUMMYFUNCTION("""COMPUTED_VALUE"""),"Dubai")</f>
        <v>Dubai</v>
      </c>
      <c r="B14612" s="2" t="str">
        <f ca="1">IFERROR(__xludf.DUMMYFUNCTION("""COMPUTED_VALUE"""),"Sidra Villas")</f>
        <v>Sidra Villas</v>
      </c>
      <c r="C14612" s="2" t="str">
        <f ca="1">IFERROR(__xludf.DUMMYFUNCTION("""COMPUTED_VALUE"""),"Neighbourhood")</f>
        <v>Neighbourhood</v>
      </c>
      <c r="D14612" s="2" t="str">
        <f ca="1">IFERROR(__xludf.DUMMYFUNCTION("""COMPUTED_VALUE"""),"Dubai&gt;Dubai Hills Estate&gt;Sidra Villas")</f>
        <v>Dubai&gt;Dubai Hills Estate&gt;Sidra Villas</v>
      </c>
      <c r="E14612" s="2"/>
      <c r="F14612" s="2"/>
      <c r="G14612" s="2"/>
      <c r="H14612" s="2"/>
      <c r="I14612" s="2"/>
      <c r="J14612" s="2"/>
      <c r="K14612" s="2"/>
      <c r="L14612" s="2"/>
      <c r="M14612" s="2"/>
      <c r="N14612" s="2"/>
      <c r="O14612" s="2"/>
      <c r="P14612" s="2"/>
      <c r="Q14612" s="2"/>
      <c r="R14612" s="2"/>
      <c r="S14612" s="2"/>
      <c r="T14612" s="2"/>
      <c r="U14612" s="2"/>
      <c r="V14612" s="2"/>
      <c r="W14612" s="2"/>
      <c r="X14612" s="2"/>
      <c r="Y14612" s="2"/>
      <c r="Z14612" s="2"/>
    </row>
    <row r="14613" spans="1:26" ht="16.5" x14ac:dyDescent="0.35">
      <c r="A14613" s="2" t="str">
        <f ca="1">IFERROR(__xludf.DUMMYFUNCTION("""COMPUTED_VALUE"""),"Dubai")</f>
        <v>Dubai</v>
      </c>
      <c r="B14613" s="2" t="str">
        <f ca="1">IFERROR(__xludf.DUMMYFUNCTION("""COMPUTED_VALUE"""),"Vida Residences Hillside Tower B")</f>
        <v>Vida Residences Hillside Tower B</v>
      </c>
      <c r="C14613" s="2" t="str">
        <f ca="1">IFERROR(__xludf.DUMMYFUNCTION("""COMPUTED_VALUE"""),"Building")</f>
        <v>Building</v>
      </c>
      <c r="D14613" s="2" t="str">
        <f ca="1">IFERROR(__xludf.DUMMYFUNCTION("""COMPUTED_VALUE"""),"Dubai&gt;Dubai Hills Estate&gt;Vida Residences Hillside&gt;Vida Residences Hillside Tower B")</f>
        <v>Dubai&gt;Dubai Hills Estate&gt;Vida Residences Hillside&gt;Vida Residences Hillside Tower B</v>
      </c>
      <c r="E14613" s="2"/>
      <c r="F14613" s="2"/>
      <c r="G14613" s="2"/>
      <c r="H14613" s="2"/>
      <c r="I14613" s="2"/>
      <c r="J14613" s="2"/>
      <c r="K14613" s="2"/>
      <c r="L14613" s="2"/>
      <c r="M14613" s="2"/>
      <c r="N14613" s="2"/>
      <c r="O14613" s="2"/>
      <c r="P14613" s="2"/>
      <c r="Q14613" s="2"/>
      <c r="R14613" s="2"/>
      <c r="S14613" s="2"/>
      <c r="T14613" s="2"/>
      <c r="U14613" s="2"/>
      <c r="V14613" s="2"/>
      <c r="W14613" s="2"/>
      <c r="X14613" s="2"/>
      <c r="Y14613" s="2"/>
      <c r="Z14613" s="2"/>
    </row>
    <row r="14614" spans="1:26" ht="16.5" x14ac:dyDescent="0.35">
      <c r="A14614" s="2" t="str">
        <f ca="1">IFERROR(__xludf.DUMMYFUNCTION("""COMPUTED_VALUE"""),"Dubai")</f>
        <v>Dubai</v>
      </c>
      <c r="B14614" s="2" t="str">
        <f ca="1">IFERROR(__xludf.DUMMYFUNCTION("""COMPUTED_VALUE"""),"Al Owais Building")</f>
        <v>Al Owais Building</v>
      </c>
      <c r="C14614" s="2" t="str">
        <f ca="1">IFERROR(__xludf.DUMMYFUNCTION("""COMPUTED_VALUE"""),"Building")</f>
        <v>Building</v>
      </c>
      <c r="D14614" s="2" t="str">
        <f ca="1">IFERROR(__xludf.DUMMYFUNCTION("""COMPUTED_VALUE"""),"Dubai&gt;Deira&gt;Al Muraqqabat&gt;Al Owais Building")</f>
        <v>Dubai&gt;Deira&gt;Al Muraqqabat&gt;Al Owais Building</v>
      </c>
      <c r="E14614" s="2"/>
      <c r="F14614" s="2"/>
      <c r="G14614" s="2"/>
      <c r="H14614" s="2"/>
      <c r="I14614" s="2"/>
      <c r="J14614" s="2"/>
      <c r="K14614" s="2"/>
      <c r="L14614" s="2"/>
      <c r="M14614" s="2"/>
      <c r="N14614" s="2"/>
      <c r="O14614" s="2"/>
      <c r="P14614" s="2"/>
      <c r="Q14614" s="2"/>
      <c r="R14614" s="2"/>
      <c r="S14614" s="2"/>
      <c r="T14614" s="2"/>
      <c r="U14614" s="2"/>
      <c r="V14614" s="2"/>
      <c r="W14614" s="2"/>
      <c r="X14614" s="2"/>
      <c r="Y14614" s="2"/>
      <c r="Z14614" s="2"/>
    </row>
    <row r="14615" spans="1:26" ht="16.5" x14ac:dyDescent="0.35">
      <c r="A14615" s="2" t="str">
        <f ca="1">IFERROR(__xludf.DUMMYFUNCTION("""COMPUTED_VALUE"""),"Dubai")</f>
        <v>Dubai</v>
      </c>
      <c r="B14615" s="2" t="str">
        <f ca="1">IFERROR(__xludf.DUMMYFUNCTION("""COMPUTED_VALUE"""),"Dubai Creek Plaza")</f>
        <v>Dubai Creek Plaza</v>
      </c>
      <c r="C14615" s="2" t="str">
        <f ca="1">IFERROR(__xludf.DUMMYFUNCTION("""COMPUTED_VALUE"""),"Building")</f>
        <v>Building</v>
      </c>
      <c r="D14615" s="2" t="str">
        <f ca="1">IFERROR(__xludf.DUMMYFUNCTION("""COMPUTED_VALUE"""),"Dubai&gt;Deira&gt;Al Muraqqabat&gt;Dubai Creek Plaza")</f>
        <v>Dubai&gt;Deira&gt;Al Muraqqabat&gt;Dubai Creek Plaza</v>
      </c>
      <c r="E14615" s="2"/>
      <c r="F14615" s="2"/>
      <c r="G14615" s="2"/>
      <c r="H14615" s="2"/>
      <c r="I14615" s="2"/>
      <c r="J14615" s="2"/>
      <c r="K14615" s="2"/>
      <c r="L14615" s="2"/>
      <c r="M14615" s="2"/>
      <c r="N14615" s="2"/>
      <c r="O14615" s="2"/>
      <c r="P14615" s="2"/>
      <c r="Q14615" s="2"/>
      <c r="R14615" s="2"/>
      <c r="S14615" s="2"/>
      <c r="T14615" s="2"/>
      <c r="U14615" s="2"/>
      <c r="V14615" s="2"/>
      <c r="W14615" s="2"/>
      <c r="X14615" s="2"/>
      <c r="Y14615" s="2"/>
      <c r="Z14615" s="2"/>
    </row>
    <row r="14616" spans="1:26" ht="16.5" x14ac:dyDescent="0.35">
      <c r="A14616" s="2" t="str">
        <f ca="1">IFERROR(__xludf.DUMMYFUNCTION("""COMPUTED_VALUE"""),"Dubai")</f>
        <v>Dubai</v>
      </c>
      <c r="B14616" s="2" t="str">
        <f ca="1">IFERROR(__xludf.DUMMYFUNCTION("""COMPUTED_VALUE"""),"Al Marfa Tower")</f>
        <v>Al Marfa Tower</v>
      </c>
      <c r="C14616" s="2" t="str">
        <f ca="1">IFERROR(__xludf.DUMMYFUNCTION("""COMPUTED_VALUE"""),"Building")</f>
        <v>Building</v>
      </c>
      <c r="D14616" s="2" t="str">
        <f ca="1">IFERROR(__xludf.DUMMYFUNCTION("""COMPUTED_VALUE"""),"Dubai&gt;Deira&gt;Riggat Al Buteen&gt;Al Marfa Tower")</f>
        <v>Dubai&gt;Deira&gt;Riggat Al Buteen&gt;Al Marfa Tower</v>
      </c>
      <c r="E14616" s="2"/>
      <c r="F14616" s="2"/>
      <c r="G14616" s="2"/>
      <c r="H14616" s="2"/>
      <c r="I14616" s="2"/>
      <c r="J14616" s="2"/>
      <c r="K14616" s="2"/>
      <c r="L14616" s="2"/>
      <c r="M14616" s="2"/>
      <c r="N14616" s="2"/>
      <c r="O14616" s="2"/>
      <c r="P14616" s="2"/>
      <c r="Q14616" s="2"/>
      <c r="R14616" s="2"/>
      <c r="S14616" s="2"/>
      <c r="T14616" s="2"/>
      <c r="U14616" s="2"/>
      <c r="V14616" s="2"/>
      <c r="W14616" s="2"/>
      <c r="X14616" s="2"/>
      <c r="Y14616" s="2"/>
      <c r="Z14616" s="2"/>
    </row>
    <row r="14617" spans="1:26" ht="16.5" x14ac:dyDescent="0.35">
      <c r="A14617" s="2" t="str">
        <f ca="1">IFERROR(__xludf.DUMMYFUNCTION("""COMPUTED_VALUE"""),"Dubai")</f>
        <v>Dubai</v>
      </c>
      <c r="B14617" s="2" t="str">
        <f ca="1">IFERROR(__xludf.DUMMYFUNCTION("""COMPUTED_VALUE"""),"Promise Nursery Dubai")</f>
        <v>Promise Nursery Dubai</v>
      </c>
      <c r="C14617" s="2" t="str">
        <f ca="1">IFERROR(__xludf.DUMMYFUNCTION("""COMPUTED_VALUE"""),"Nursery")</f>
        <v>Nursery</v>
      </c>
      <c r="D14617" s="2" t="str">
        <f ca="1">IFERROR(__xludf.DUMMYFUNCTION("""COMPUTED_VALUE"""),"Dubai&gt;Deira&gt;Hor Al Anz&gt;Hor Al Anz East&gt;Promise Nursery Dubai")</f>
        <v>Dubai&gt;Deira&gt;Hor Al Anz&gt;Hor Al Anz East&gt;Promise Nursery Dubai</v>
      </c>
      <c r="E14617" s="2"/>
      <c r="F14617" s="2"/>
      <c r="G14617" s="2"/>
      <c r="H14617" s="2"/>
      <c r="I14617" s="2"/>
      <c r="J14617" s="2"/>
      <c r="K14617" s="2"/>
      <c r="L14617" s="2"/>
      <c r="M14617" s="2"/>
      <c r="N14617" s="2"/>
      <c r="O14617" s="2"/>
      <c r="P14617" s="2"/>
      <c r="Q14617" s="2"/>
      <c r="R14617" s="2"/>
      <c r="S14617" s="2"/>
      <c r="T14617" s="2"/>
      <c r="U14617" s="2"/>
      <c r="V14617" s="2"/>
      <c r="W14617" s="2"/>
      <c r="X14617" s="2"/>
      <c r="Y14617" s="2"/>
      <c r="Z14617" s="2"/>
    </row>
    <row r="14618" spans="1:26" ht="16.5" x14ac:dyDescent="0.35">
      <c r="A14618" s="2" t="str">
        <f ca="1">IFERROR(__xludf.DUMMYFUNCTION("""COMPUTED_VALUE"""),"Dubai")</f>
        <v>Dubai</v>
      </c>
      <c r="B14618" s="2" t="str">
        <f ca="1">IFERROR(__xludf.DUMMYFUNCTION("""COMPUTED_VALUE"""),"Hamad Al Shamsi Building")</f>
        <v>Hamad Al Shamsi Building</v>
      </c>
      <c r="C14618" s="2" t="str">
        <f ca="1">IFERROR(__xludf.DUMMYFUNCTION("""COMPUTED_VALUE"""),"Building")</f>
        <v>Building</v>
      </c>
      <c r="D14618" s="2" t="str">
        <f ca="1">IFERROR(__xludf.DUMMYFUNCTION("""COMPUTED_VALUE"""),"Dubai&gt;Deira&gt;Al Muteena&gt;Hamad Al Shamsi Building")</f>
        <v>Dubai&gt;Deira&gt;Al Muteena&gt;Hamad Al Shamsi Building</v>
      </c>
      <c r="E14618" s="2"/>
      <c r="F14618" s="2"/>
      <c r="G14618" s="2"/>
      <c r="H14618" s="2"/>
      <c r="I14618" s="2"/>
      <c r="J14618" s="2"/>
      <c r="K14618" s="2"/>
      <c r="L14618" s="2"/>
      <c r="M14618" s="2"/>
      <c r="N14618" s="2"/>
      <c r="O14618" s="2"/>
      <c r="P14618" s="2"/>
      <c r="Q14618" s="2"/>
      <c r="R14618" s="2"/>
      <c r="S14618" s="2"/>
      <c r="T14618" s="2"/>
      <c r="U14618" s="2"/>
      <c r="V14618" s="2"/>
      <c r="W14618" s="2"/>
      <c r="X14618" s="2"/>
      <c r="Y14618" s="2"/>
      <c r="Z14618" s="2"/>
    </row>
    <row r="14619" spans="1:26" ht="16.5" x14ac:dyDescent="0.35">
      <c r="A14619" s="2" t="str">
        <f ca="1">IFERROR(__xludf.DUMMYFUNCTION("""COMPUTED_VALUE"""),"Dubai")</f>
        <v>Dubai</v>
      </c>
      <c r="B14619" s="2" t="str">
        <f ca="1">IFERROR(__xludf.DUMMYFUNCTION("""COMPUTED_VALUE"""),"Abdul Latif Al Mulla 1 Building")</f>
        <v>Abdul Latif Al Mulla 1 Building</v>
      </c>
      <c r="C14619" s="2" t="str">
        <f ca="1">IFERROR(__xludf.DUMMYFUNCTION("""COMPUTED_VALUE"""),"Building")</f>
        <v>Building</v>
      </c>
      <c r="D14619" s="2" t="str">
        <f ca="1">IFERROR(__xludf.DUMMYFUNCTION("""COMPUTED_VALUE"""),"Dubai&gt;Deira&gt;Al Muteena&gt;Abdul Latif Al Mulla 1 Building")</f>
        <v>Dubai&gt;Deira&gt;Al Muteena&gt;Abdul Latif Al Mulla 1 Building</v>
      </c>
      <c r="E14619" s="2"/>
      <c r="F14619" s="2"/>
      <c r="G14619" s="2"/>
      <c r="H14619" s="2"/>
      <c r="I14619" s="2"/>
      <c r="J14619" s="2"/>
      <c r="K14619" s="2"/>
      <c r="L14619" s="2"/>
      <c r="M14619" s="2"/>
      <c r="N14619" s="2"/>
      <c r="O14619" s="2"/>
      <c r="P14619" s="2"/>
      <c r="Q14619" s="2"/>
      <c r="R14619" s="2"/>
      <c r="S14619" s="2"/>
      <c r="T14619" s="2"/>
      <c r="U14619" s="2"/>
      <c r="V14619" s="2"/>
      <c r="W14619" s="2"/>
      <c r="X14619" s="2"/>
      <c r="Y14619" s="2"/>
      <c r="Z14619" s="2"/>
    </row>
    <row r="14620" spans="1:26" ht="16.5" x14ac:dyDescent="0.35">
      <c r="A14620" s="2" t="str">
        <f ca="1">IFERROR(__xludf.DUMMYFUNCTION("""COMPUTED_VALUE"""),"Dubai")</f>
        <v>Dubai</v>
      </c>
      <c r="B14620" s="2" t="str">
        <f ca="1">IFERROR(__xludf.DUMMYFUNCTION("""COMPUTED_VALUE"""),"Al Ghurair Building")</f>
        <v>Al Ghurair Building</v>
      </c>
      <c r="C14620" s="2" t="str">
        <f ca="1">IFERROR(__xludf.DUMMYFUNCTION("""COMPUTED_VALUE"""),"Building")</f>
        <v>Building</v>
      </c>
      <c r="D14620" s="2" t="str">
        <f ca="1">IFERROR(__xludf.DUMMYFUNCTION("""COMPUTED_VALUE"""),"Dubai&gt;Deira&gt;Al Rigga&gt;Al Ghurair Building")</f>
        <v>Dubai&gt;Deira&gt;Al Rigga&gt;Al Ghurair Building</v>
      </c>
      <c r="E14620" s="2"/>
      <c r="F14620" s="2"/>
      <c r="G14620" s="2"/>
      <c r="H14620" s="2"/>
      <c r="I14620" s="2"/>
      <c r="J14620" s="2"/>
      <c r="K14620" s="2"/>
      <c r="L14620" s="2"/>
      <c r="M14620" s="2"/>
      <c r="N14620" s="2"/>
      <c r="O14620" s="2"/>
      <c r="P14620" s="2"/>
      <c r="Q14620" s="2"/>
      <c r="R14620" s="2"/>
      <c r="S14620" s="2"/>
      <c r="T14620" s="2"/>
      <c r="U14620" s="2"/>
      <c r="V14620" s="2"/>
      <c r="W14620" s="2"/>
      <c r="X14620" s="2"/>
      <c r="Y14620" s="2"/>
      <c r="Z14620" s="2"/>
    </row>
    <row r="14621" spans="1:26" ht="16.5" x14ac:dyDescent="0.35">
      <c r="A14621" s="2" t="str">
        <f ca="1">IFERROR(__xludf.DUMMYFUNCTION("""COMPUTED_VALUE"""),"Dubai")</f>
        <v>Dubai</v>
      </c>
      <c r="B14621" s="2" t="str">
        <f ca="1">IFERROR(__xludf.DUMMYFUNCTION("""COMPUTED_VALUE"""),"Hind Plaza 7")</f>
        <v>Hind Plaza 7</v>
      </c>
      <c r="C14621" s="2" t="str">
        <f ca="1">IFERROR(__xludf.DUMMYFUNCTION("""COMPUTED_VALUE"""),"Building")</f>
        <v>Building</v>
      </c>
      <c r="D14621" s="2" t="str">
        <f ca="1">IFERROR(__xludf.DUMMYFUNCTION("""COMPUTED_VALUE"""),"Dubai&gt;Deira&gt;Deira Enrichment Project&gt;Hind Plaza&gt;Hind Plaza 7")</f>
        <v>Dubai&gt;Deira&gt;Deira Enrichment Project&gt;Hind Plaza&gt;Hind Plaza 7</v>
      </c>
      <c r="E14621" s="2"/>
      <c r="F14621" s="2"/>
      <c r="G14621" s="2"/>
      <c r="H14621" s="2"/>
      <c r="I14621" s="2"/>
      <c r="J14621" s="2"/>
      <c r="K14621" s="2"/>
      <c r="L14621" s="2"/>
      <c r="M14621" s="2"/>
      <c r="N14621" s="2"/>
      <c r="O14621" s="2"/>
      <c r="P14621" s="2"/>
      <c r="Q14621" s="2"/>
      <c r="R14621" s="2"/>
      <c r="S14621" s="2"/>
      <c r="T14621" s="2"/>
      <c r="U14621" s="2"/>
      <c r="V14621" s="2"/>
      <c r="W14621" s="2"/>
      <c r="X14621" s="2"/>
      <c r="Y14621" s="2"/>
      <c r="Z14621" s="2"/>
    </row>
    <row r="14622" spans="1:26" ht="16.5" x14ac:dyDescent="0.35">
      <c r="A14622" s="2" t="str">
        <f ca="1">IFERROR(__xludf.DUMMYFUNCTION("""COMPUTED_VALUE"""),"Dubai")</f>
        <v>Dubai</v>
      </c>
      <c r="B14622" s="2" t="str">
        <f ca="1">IFERROR(__xludf.DUMMYFUNCTION("""COMPUTED_VALUE"""),"Eagle Building")</f>
        <v>Eagle Building</v>
      </c>
      <c r="C14622" s="2" t="str">
        <f ca="1">IFERROR(__xludf.DUMMYFUNCTION("""COMPUTED_VALUE"""),"Building")</f>
        <v>Building</v>
      </c>
      <c r="D14622" s="2" t="str">
        <f ca="1">IFERROR(__xludf.DUMMYFUNCTION("""COMPUTED_VALUE"""),"Dubai&gt;Deira&gt;Naif&gt;Eagle Building")</f>
        <v>Dubai&gt;Deira&gt;Naif&gt;Eagle Building</v>
      </c>
      <c r="E14622" s="2"/>
      <c r="F14622" s="2"/>
      <c r="G14622" s="2"/>
      <c r="H14622" s="2"/>
      <c r="I14622" s="2"/>
      <c r="J14622" s="2"/>
      <c r="K14622" s="2"/>
      <c r="L14622" s="2"/>
      <c r="M14622" s="2"/>
      <c r="N14622" s="2"/>
      <c r="O14622" s="2"/>
      <c r="P14622" s="2"/>
      <c r="Q14622" s="2"/>
      <c r="R14622" s="2"/>
      <c r="S14622" s="2"/>
      <c r="T14622" s="2"/>
      <c r="U14622" s="2"/>
      <c r="V14622" s="2"/>
      <c r="W14622" s="2"/>
      <c r="X14622" s="2"/>
      <c r="Y14622" s="2"/>
      <c r="Z14622" s="2"/>
    </row>
    <row r="14623" spans="1:26" ht="16.5" x14ac:dyDescent="0.35">
      <c r="A14623" s="2" t="str">
        <f ca="1">IFERROR(__xludf.DUMMYFUNCTION("""COMPUTED_VALUE"""),"Dubai")</f>
        <v>Dubai</v>
      </c>
      <c r="B14623" s="2" t="str">
        <f ca="1">IFERROR(__xludf.DUMMYFUNCTION("""COMPUTED_VALUE"""),"Abdullah Building 8")</f>
        <v>Abdullah Building 8</v>
      </c>
      <c r="C14623" s="2" t="str">
        <f ca="1">IFERROR(__xludf.DUMMYFUNCTION("""COMPUTED_VALUE"""),"Building")</f>
        <v>Building</v>
      </c>
      <c r="D14623" s="2" t="str">
        <f ca="1">IFERROR(__xludf.DUMMYFUNCTION("""COMPUTED_VALUE"""),"Dubai&gt;Deira&gt;Al Murar&gt;Abdullah Building 8")</f>
        <v>Dubai&gt;Deira&gt;Al Murar&gt;Abdullah Building 8</v>
      </c>
      <c r="E14623" s="2"/>
      <c r="F14623" s="2"/>
      <c r="G14623" s="2"/>
      <c r="H14623" s="2"/>
      <c r="I14623" s="2"/>
      <c r="J14623" s="2"/>
      <c r="K14623" s="2"/>
      <c r="L14623" s="2"/>
      <c r="M14623" s="2"/>
      <c r="N14623" s="2"/>
      <c r="O14623" s="2"/>
      <c r="P14623" s="2"/>
      <c r="Q14623" s="2"/>
      <c r="R14623" s="2"/>
      <c r="S14623" s="2"/>
      <c r="T14623" s="2"/>
      <c r="U14623" s="2"/>
      <c r="V14623" s="2"/>
      <c r="W14623" s="2"/>
      <c r="X14623" s="2"/>
      <c r="Y14623" s="2"/>
      <c r="Z14623" s="2"/>
    </row>
    <row r="14624" spans="1:26" ht="16.5" x14ac:dyDescent="0.35">
      <c r="A14624" s="2" t="str">
        <f ca="1">IFERROR(__xludf.DUMMYFUNCTION("""COMPUTED_VALUE"""),"Dubai")</f>
        <v>Dubai</v>
      </c>
      <c r="B14624" s="2" t="str">
        <f ca="1">IFERROR(__xludf.DUMMYFUNCTION("""COMPUTED_VALUE"""),"Abdulla Building 3")</f>
        <v>Abdulla Building 3</v>
      </c>
      <c r="C14624" s="2" t="str">
        <f ca="1">IFERROR(__xludf.DUMMYFUNCTION("""COMPUTED_VALUE"""),"Building")</f>
        <v>Building</v>
      </c>
      <c r="D14624" s="2" t="str">
        <f ca="1">IFERROR(__xludf.DUMMYFUNCTION("""COMPUTED_VALUE"""),"Dubai&gt;Deira&gt;Al Murar&gt;Abdulla Building 3")</f>
        <v>Dubai&gt;Deira&gt;Al Murar&gt;Abdulla Building 3</v>
      </c>
      <c r="E14624" s="2"/>
      <c r="F14624" s="2"/>
      <c r="G14624" s="2"/>
      <c r="H14624" s="2"/>
      <c r="I14624" s="2"/>
      <c r="J14624" s="2"/>
      <c r="K14624" s="2"/>
      <c r="L14624" s="2"/>
      <c r="M14624" s="2"/>
      <c r="N14624" s="2"/>
      <c r="O14624" s="2"/>
      <c r="P14624" s="2"/>
      <c r="Q14624" s="2"/>
      <c r="R14624" s="2"/>
      <c r="S14624" s="2"/>
      <c r="T14624" s="2"/>
      <c r="U14624" s="2"/>
      <c r="V14624" s="2"/>
      <c r="W14624" s="2"/>
      <c r="X14624" s="2"/>
      <c r="Y14624" s="2"/>
      <c r="Z14624" s="2"/>
    </row>
    <row r="14625" spans="1:26" ht="16.5" x14ac:dyDescent="0.35">
      <c r="A14625" s="2" t="str">
        <f ca="1">IFERROR(__xludf.DUMMYFUNCTION("""COMPUTED_VALUE"""),"Dubai")</f>
        <v>Dubai</v>
      </c>
      <c r="B14625" s="2" t="str">
        <f ca="1">IFERROR(__xludf.DUMMYFUNCTION("""COMPUTED_VALUE"""),"Al Diwan Building")</f>
        <v>Al Diwan Building</v>
      </c>
      <c r="C14625" s="2" t="str">
        <f ca="1">IFERROR(__xludf.DUMMYFUNCTION("""COMPUTED_VALUE"""),"Building")</f>
        <v>Building</v>
      </c>
      <c r="D14625" s="2" t="str">
        <f ca="1">IFERROR(__xludf.DUMMYFUNCTION("""COMPUTED_VALUE"""),"Dubai&gt;Deira&gt;Al Ras&gt;Al Diwan Building")</f>
        <v>Dubai&gt;Deira&gt;Al Ras&gt;Al Diwan Building</v>
      </c>
      <c r="E14625" s="2"/>
      <c r="F14625" s="2"/>
      <c r="G14625" s="2"/>
      <c r="H14625" s="2"/>
      <c r="I14625" s="2"/>
      <c r="J14625" s="2"/>
      <c r="K14625" s="2"/>
      <c r="L14625" s="2"/>
      <c r="M14625" s="2"/>
      <c r="N14625" s="2"/>
      <c r="O14625" s="2"/>
      <c r="P14625" s="2"/>
      <c r="Q14625" s="2"/>
      <c r="R14625" s="2"/>
      <c r="S14625" s="2"/>
      <c r="T14625" s="2"/>
      <c r="U14625" s="2"/>
      <c r="V14625" s="2"/>
      <c r="W14625" s="2"/>
      <c r="X14625" s="2"/>
      <c r="Y14625" s="2"/>
      <c r="Z14625" s="2"/>
    </row>
    <row r="14626" spans="1:26" ht="16.5" x14ac:dyDescent="0.35">
      <c r="A14626" s="2" t="str">
        <f ca="1">IFERROR(__xludf.DUMMYFUNCTION("""COMPUTED_VALUE"""),"Dubai")</f>
        <v>Dubai</v>
      </c>
      <c r="B14626" s="2" t="str">
        <f ca="1">IFERROR(__xludf.DUMMYFUNCTION("""COMPUTED_VALUE"""),"Al Khaimah Building")</f>
        <v>Al Khaimah Building</v>
      </c>
      <c r="C14626" s="2" t="str">
        <f ca="1">IFERROR(__xludf.DUMMYFUNCTION("""COMPUTED_VALUE"""),"Building")</f>
        <v>Building</v>
      </c>
      <c r="D14626" s="2" t="str">
        <f ca="1">IFERROR(__xludf.DUMMYFUNCTION("""COMPUTED_VALUE"""),"Dubai&gt;Deira&gt;Port Saeed&gt;Al Khaimah Building")</f>
        <v>Dubai&gt;Deira&gt;Port Saeed&gt;Al Khaimah Building</v>
      </c>
      <c r="E14626" s="2"/>
      <c r="F14626" s="2"/>
      <c r="G14626" s="2"/>
      <c r="H14626" s="2"/>
      <c r="I14626" s="2"/>
      <c r="J14626" s="2"/>
      <c r="K14626" s="2"/>
      <c r="L14626" s="2"/>
      <c r="M14626" s="2"/>
      <c r="N14626" s="2"/>
      <c r="O14626" s="2"/>
      <c r="P14626" s="2"/>
      <c r="Q14626" s="2"/>
      <c r="R14626" s="2"/>
      <c r="S14626" s="2"/>
      <c r="T14626" s="2"/>
      <c r="U14626" s="2"/>
      <c r="V14626" s="2"/>
      <c r="W14626" s="2"/>
      <c r="X14626" s="2"/>
      <c r="Y14626" s="2"/>
      <c r="Z14626" s="2"/>
    </row>
    <row r="14627" spans="1:26" ht="16.5" x14ac:dyDescent="0.35">
      <c r="A14627" s="2" t="str">
        <f ca="1">IFERROR(__xludf.DUMMYFUNCTION("""COMPUTED_VALUE"""),"Dubai")</f>
        <v>Dubai</v>
      </c>
      <c r="B14627" s="2" t="str">
        <f ca="1">IFERROR(__xludf.DUMMYFUNCTION("""COMPUTED_VALUE"""),"Kids Kingdom Nursery Business Bay")</f>
        <v>Kids Kingdom Nursery Business Bay</v>
      </c>
      <c r="C14627" s="2" t="str">
        <f ca="1">IFERROR(__xludf.DUMMYFUNCTION("""COMPUTED_VALUE"""),"Nursery")</f>
        <v>Nursery</v>
      </c>
      <c r="D14627" s="2" t="str">
        <f ca="1">IFERROR(__xludf.DUMMYFUNCTION("""COMPUTED_VALUE"""),"Dubai&gt;Business Bay&gt;Kids Kingdom Nursery Business Bay")</f>
        <v>Dubai&gt;Business Bay&gt;Kids Kingdom Nursery Business Bay</v>
      </c>
      <c r="E14627" s="2"/>
      <c r="F14627" s="2"/>
      <c r="G14627" s="2"/>
      <c r="H14627" s="2"/>
      <c r="I14627" s="2"/>
      <c r="J14627" s="2"/>
      <c r="K14627" s="2"/>
      <c r="L14627" s="2"/>
      <c r="M14627" s="2"/>
      <c r="N14627" s="2"/>
      <c r="O14627" s="2"/>
      <c r="P14627" s="2"/>
      <c r="Q14627" s="2"/>
      <c r="R14627" s="2"/>
      <c r="S14627" s="2"/>
      <c r="T14627" s="2"/>
      <c r="U14627" s="2"/>
      <c r="V14627" s="2"/>
      <c r="W14627" s="2"/>
      <c r="X14627" s="2"/>
      <c r="Y14627" s="2"/>
      <c r="Z14627" s="2"/>
    </row>
    <row r="14628" spans="1:26" ht="16.5" x14ac:dyDescent="0.35">
      <c r="A14628" s="2" t="str">
        <f ca="1">IFERROR(__xludf.DUMMYFUNCTION("""COMPUTED_VALUE"""),"Dubai")</f>
        <v>Dubai</v>
      </c>
      <c r="B14628" s="2" t="str">
        <f ca="1">IFERROR(__xludf.DUMMYFUNCTION("""COMPUTED_VALUE"""),"Habtoor Palace Dubai")</f>
        <v>Habtoor Palace Dubai</v>
      </c>
      <c r="C14628" s="2" t="str">
        <f ca="1">IFERROR(__xludf.DUMMYFUNCTION("""COMPUTED_VALUE"""),"Building")</f>
        <v>Building</v>
      </c>
      <c r="D14628" s="2" t="str">
        <f ca="1">IFERROR(__xludf.DUMMYFUNCTION("""COMPUTED_VALUE"""),"Dubai&gt;Business Bay&gt;Al Habtoor City&gt;Habtoor Palace Dubai")</f>
        <v>Dubai&gt;Business Bay&gt;Al Habtoor City&gt;Habtoor Palace Dubai</v>
      </c>
      <c r="E14628" s="2"/>
      <c r="F14628" s="2"/>
      <c r="G14628" s="2"/>
      <c r="H14628" s="2"/>
      <c r="I14628" s="2"/>
      <c r="J14628" s="2"/>
      <c r="K14628" s="2"/>
      <c r="L14628" s="2"/>
      <c r="M14628" s="2"/>
      <c r="N14628" s="2"/>
      <c r="O14628" s="2"/>
      <c r="P14628" s="2"/>
      <c r="Q14628" s="2"/>
      <c r="R14628" s="2"/>
      <c r="S14628" s="2"/>
      <c r="T14628" s="2"/>
      <c r="U14628" s="2"/>
      <c r="V14628" s="2"/>
      <c r="W14628" s="2"/>
      <c r="X14628" s="2"/>
      <c r="Y14628" s="2"/>
      <c r="Z14628" s="2"/>
    </row>
    <row r="14629" spans="1:26" ht="16.5" x14ac:dyDescent="0.35">
      <c r="A14629" s="2" t="str">
        <f ca="1">IFERROR(__xludf.DUMMYFUNCTION("""COMPUTED_VALUE"""),"Dubai")</f>
        <v>Dubai</v>
      </c>
      <c r="B14629" s="2" t="str">
        <f ca="1">IFERROR(__xludf.DUMMYFUNCTION("""COMPUTED_VALUE"""),"Bay Square 10")</f>
        <v>Bay Square 10</v>
      </c>
      <c r="C14629" s="2" t="str">
        <f ca="1">IFERROR(__xludf.DUMMYFUNCTION("""COMPUTED_VALUE"""),"Building")</f>
        <v>Building</v>
      </c>
      <c r="D14629" s="2" t="str">
        <f ca="1">IFERROR(__xludf.DUMMYFUNCTION("""COMPUTED_VALUE"""),"Dubai&gt;Business Bay&gt;Bay Square&gt;Bay Square 10")</f>
        <v>Dubai&gt;Business Bay&gt;Bay Square&gt;Bay Square 10</v>
      </c>
      <c r="E14629" s="2"/>
      <c r="F14629" s="2"/>
      <c r="G14629" s="2"/>
      <c r="H14629" s="2"/>
      <c r="I14629" s="2"/>
      <c r="J14629" s="2"/>
      <c r="K14629" s="2"/>
      <c r="L14629" s="2"/>
      <c r="M14629" s="2"/>
      <c r="N14629" s="2"/>
      <c r="O14629" s="2"/>
      <c r="P14629" s="2"/>
      <c r="Q14629" s="2"/>
      <c r="R14629" s="2"/>
      <c r="S14629" s="2"/>
      <c r="T14629" s="2"/>
      <c r="U14629" s="2"/>
      <c r="V14629" s="2"/>
      <c r="W14629" s="2"/>
      <c r="X14629" s="2"/>
      <c r="Y14629" s="2"/>
      <c r="Z14629" s="2"/>
    </row>
    <row r="14630" spans="1:26" ht="16.5" x14ac:dyDescent="0.35">
      <c r="A14630" s="2" t="str">
        <f ca="1">IFERROR(__xludf.DUMMYFUNCTION("""COMPUTED_VALUE"""),"Dubai")</f>
        <v>Dubai</v>
      </c>
      <c r="B14630" s="2" t="str">
        <f ca="1">IFERROR(__xludf.DUMMYFUNCTION("""COMPUTED_VALUE"""),"The First Collection Business Bay")</f>
        <v>The First Collection Business Bay</v>
      </c>
      <c r="C14630" s="2" t="str">
        <f ca="1">IFERROR(__xludf.DUMMYFUNCTION("""COMPUTED_VALUE"""),"Building")</f>
        <v>Building</v>
      </c>
      <c r="D14630" s="2" t="str">
        <f ca="1">IFERROR(__xludf.DUMMYFUNCTION("""COMPUTED_VALUE"""),"Dubai&gt;Business Bay&gt;The First Collection Business Bay")</f>
        <v>Dubai&gt;Business Bay&gt;The First Collection Business Bay</v>
      </c>
      <c r="E14630" s="2"/>
      <c r="F14630" s="2"/>
      <c r="G14630" s="2"/>
      <c r="H14630" s="2"/>
      <c r="I14630" s="2"/>
      <c r="J14630" s="2"/>
      <c r="K14630" s="2"/>
      <c r="L14630" s="2"/>
      <c r="M14630" s="2"/>
      <c r="N14630" s="2"/>
      <c r="O14630" s="2"/>
      <c r="P14630" s="2"/>
      <c r="Q14630" s="2"/>
      <c r="R14630" s="2"/>
      <c r="S14630" s="2"/>
      <c r="T14630" s="2"/>
      <c r="U14630" s="2"/>
      <c r="V14630" s="2"/>
      <c r="W14630" s="2"/>
      <c r="X14630" s="2"/>
      <c r="Y14630" s="2"/>
      <c r="Z14630" s="2"/>
    </row>
    <row r="14631" spans="1:26" ht="16.5" x14ac:dyDescent="0.35">
      <c r="A14631" s="2" t="str">
        <f ca="1">IFERROR(__xludf.DUMMYFUNCTION("""COMPUTED_VALUE"""),"Dubai")</f>
        <v>Dubai</v>
      </c>
      <c r="B14631" s="2" t="str">
        <f ca="1">IFERROR(__xludf.DUMMYFUNCTION("""COMPUTED_VALUE"""),"Regalia by Deyaar")</f>
        <v>Regalia by Deyaar</v>
      </c>
      <c r="C14631" s="2" t="str">
        <f ca="1">IFERROR(__xludf.DUMMYFUNCTION("""COMPUTED_VALUE"""),"Building")</f>
        <v>Building</v>
      </c>
      <c r="D14631" s="2" t="str">
        <f ca="1">IFERROR(__xludf.DUMMYFUNCTION("""COMPUTED_VALUE"""),"Dubai&gt;Business Bay&gt;Regalia by Deyaar")</f>
        <v>Dubai&gt;Business Bay&gt;Regalia by Deyaar</v>
      </c>
      <c r="E14631" s="2"/>
      <c r="F14631" s="2"/>
      <c r="G14631" s="2"/>
      <c r="H14631" s="2"/>
      <c r="I14631" s="2"/>
      <c r="J14631" s="2"/>
      <c r="K14631" s="2"/>
      <c r="L14631" s="2"/>
      <c r="M14631" s="2"/>
      <c r="N14631" s="2"/>
      <c r="O14631" s="2"/>
      <c r="P14631" s="2"/>
      <c r="Q14631" s="2"/>
      <c r="R14631" s="2"/>
      <c r="S14631" s="2"/>
      <c r="T14631" s="2"/>
      <c r="U14631" s="2"/>
      <c r="V14631" s="2"/>
      <c r="W14631" s="2"/>
      <c r="X14631" s="2"/>
      <c r="Y14631" s="2"/>
      <c r="Z14631" s="2"/>
    </row>
    <row r="14632" spans="1:26" ht="16.5" x14ac:dyDescent="0.35">
      <c r="A14632" s="2" t="str">
        <f ca="1">IFERROR(__xludf.DUMMYFUNCTION("""COMPUTED_VALUE"""),"Dubai")</f>
        <v>Dubai</v>
      </c>
      <c r="B14632" s="2" t="str">
        <f ca="1">IFERROR(__xludf.DUMMYFUNCTION("""COMPUTED_VALUE"""),"MAG 318")</f>
        <v>MAG 318</v>
      </c>
      <c r="C14632" s="2" t="str">
        <f ca="1">IFERROR(__xludf.DUMMYFUNCTION("""COMPUTED_VALUE"""),"Building")</f>
        <v>Building</v>
      </c>
      <c r="D14632" s="2" t="str">
        <f ca="1">IFERROR(__xludf.DUMMYFUNCTION("""COMPUTED_VALUE"""),"Dubai&gt;Business Bay&gt;MAG 318")</f>
        <v>Dubai&gt;Business Bay&gt;MAG 318</v>
      </c>
      <c r="E14632" s="2"/>
      <c r="F14632" s="2"/>
      <c r="G14632" s="2"/>
      <c r="H14632" s="2"/>
      <c r="I14632" s="2"/>
      <c r="J14632" s="2"/>
      <c r="K14632" s="2"/>
      <c r="L14632" s="2"/>
      <c r="M14632" s="2"/>
      <c r="N14632" s="2"/>
      <c r="O14632" s="2"/>
      <c r="P14632" s="2"/>
      <c r="Q14632" s="2"/>
      <c r="R14632" s="2"/>
      <c r="S14632" s="2"/>
      <c r="T14632" s="2"/>
      <c r="U14632" s="2"/>
      <c r="V14632" s="2"/>
      <c r="W14632" s="2"/>
      <c r="X14632" s="2"/>
      <c r="Y14632" s="2"/>
      <c r="Z14632" s="2"/>
    </row>
    <row r="14633" spans="1:26" ht="16.5" x14ac:dyDescent="0.35">
      <c r="A14633" s="2" t="str">
        <f ca="1">IFERROR(__xludf.DUMMYFUNCTION("""COMPUTED_VALUE"""),"Dubai")</f>
        <v>Dubai</v>
      </c>
      <c r="B14633" s="2" t="str">
        <f ca="1">IFERROR(__xludf.DUMMYFUNCTION("""COMPUTED_VALUE"""),"The Bay")</f>
        <v>The Bay</v>
      </c>
      <c r="C14633" s="2" t="str">
        <f ca="1">IFERROR(__xludf.DUMMYFUNCTION("""COMPUTED_VALUE"""),"Building")</f>
        <v>Building</v>
      </c>
      <c r="D14633" s="2" t="str">
        <f ca="1">IFERROR(__xludf.DUMMYFUNCTION("""COMPUTED_VALUE"""),"Dubai&gt;Business Bay&gt;The Bay")</f>
        <v>Dubai&gt;Business Bay&gt;The Bay</v>
      </c>
      <c r="E14633" s="2"/>
      <c r="F14633" s="2"/>
      <c r="G14633" s="2"/>
      <c r="H14633" s="2"/>
      <c r="I14633" s="2"/>
      <c r="J14633" s="2"/>
      <c r="K14633" s="2"/>
      <c r="L14633" s="2"/>
      <c r="M14633" s="2"/>
      <c r="N14633" s="2"/>
      <c r="O14633" s="2"/>
      <c r="P14633" s="2"/>
      <c r="Q14633" s="2"/>
      <c r="R14633" s="2"/>
      <c r="S14633" s="2"/>
      <c r="T14633" s="2"/>
      <c r="U14633" s="2"/>
      <c r="V14633" s="2"/>
      <c r="W14633" s="2"/>
      <c r="X14633" s="2"/>
      <c r="Y14633" s="2"/>
      <c r="Z14633" s="2"/>
    </row>
    <row r="14634" spans="1:26" ht="16.5" x14ac:dyDescent="0.35">
      <c r="A14634" s="2" t="str">
        <f ca="1">IFERROR(__xludf.DUMMYFUNCTION("""COMPUTED_VALUE"""),"Dubai")</f>
        <v>Dubai</v>
      </c>
      <c r="B14634" s="2" t="str">
        <f ca="1">IFERROR(__xludf.DUMMYFUNCTION("""COMPUTED_VALUE"""),"Eywa Tower")</f>
        <v>Eywa Tower</v>
      </c>
      <c r="C14634" s="2" t="str">
        <f ca="1">IFERROR(__xludf.DUMMYFUNCTION("""COMPUTED_VALUE"""),"Building")</f>
        <v>Building</v>
      </c>
      <c r="D14634" s="2" t="str">
        <f ca="1">IFERROR(__xludf.DUMMYFUNCTION("""COMPUTED_VALUE"""),"Dubai&gt;Business Bay&gt;Eywa Tower")</f>
        <v>Dubai&gt;Business Bay&gt;Eywa Tower</v>
      </c>
      <c r="E14634" s="2"/>
      <c r="F14634" s="2"/>
      <c r="G14634" s="2"/>
      <c r="H14634" s="2"/>
      <c r="I14634" s="2"/>
      <c r="J14634" s="2"/>
      <c r="K14634" s="2"/>
      <c r="L14634" s="2"/>
      <c r="M14634" s="2"/>
      <c r="N14634" s="2"/>
      <c r="O14634" s="2"/>
      <c r="P14634" s="2"/>
      <c r="Q14634" s="2"/>
      <c r="R14634" s="2"/>
      <c r="S14634" s="2"/>
      <c r="T14634" s="2"/>
      <c r="U14634" s="2"/>
      <c r="V14634" s="2"/>
      <c r="W14634" s="2"/>
      <c r="X14634" s="2"/>
      <c r="Y14634" s="2"/>
      <c r="Z14634" s="2"/>
    </row>
    <row r="14635" spans="1:26" ht="16.5" x14ac:dyDescent="0.35">
      <c r="A14635" s="2" t="str">
        <f ca="1">IFERROR(__xludf.DUMMYFUNCTION("""COMPUTED_VALUE"""),"Dubai")</f>
        <v>Dubai</v>
      </c>
      <c r="B14635" s="2" t="str">
        <f ca="1">IFERROR(__xludf.DUMMYFUNCTION("""COMPUTED_VALUE"""),"Vela Viento")</f>
        <v>Vela Viento</v>
      </c>
      <c r="C14635" s="2" t="str">
        <f ca="1">IFERROR(__xludf.DUMMYFUNCTION("""COMPUTED_VALUE"""),"Building")</f>
        <v>Building</v>
      </c>
      <c r="D14635" s="2" t="str">
        <f ca="1">IFERROR(__xludf.DUMMYFUNCTION("""COMPUTED_VALUE"""),"Dubai&gt;Business Bay&gt;Vela Viento")</f>
        <v>Dubai&gt;Business Bay&gt;Vela Viento</v>
      </c>
      <c r="E14635" s="2"/>
      <c r="F14635" s="2"/>
      <c r="G14635" s="2"/>
      <c r="H14635" s="2"/>
      <c r="I14635" s="2"/>
      <c r="J14635" s="2"/>
      <c r="K14635" s="2"/>
      <c r="L14635" s="2"/>
      <c r="M14635" s="2"/>
      <c r="N14635" s="2"/>
      <c r="O14635" s="2"/>
      <c r="P14635" s="2"/>
      <c r="Q14635" s="2"/>
      <c r="R14635" s="2"/>
      <c r="S14635" s="2"/>
      <c r="T14635" s="2"/>
      <c r="U14635" s="2"/>
      <c r="V14635" s="2"/>
      <c r="W14635" s="2"/>
      <c r="X14635" s="2"/>
      <c r="Y14635" s="2"/>
      <c r="Z14635" s="2"/>
    </row>
    <row r="14636" spans="1:26" ht="16.5" x14ac:dyDescent="0.35">
      <c r="A14636" s="2" t="str">
        <f ca="1">IFERROR(__xludf.DUMMYFUNCTION("""COMPUTED_VALUE"""),"Dubai")</f>
        <v>Dubai</v>
      </c>
      <c r="B14636" s="2" t="str">
        <f ca="1">IFERROR(__xludf.DUMMYFUNCTION("""COMPUTED_VALUE"""),"Burj Capital")</f>
        <v>Burj Capital</v>
      </c>
      <c r="C14636" s="2" t="str">
        <f ca="1">IFERROR(__xludf.DUMMYFUNCTION("""COMPUTED_VALUE"""),"Building")</f>
        <v>Building</v>
      </c>
      <c r="D14636" s="2" t="str">
        <f ca="1">IFERROR(__xludf.DUMMYFUNCTION("""COMPUTED_VALUE"""),"Dubai&gt;Business Bay&gt;Burj Capital")</f>
        <v>Dubai&gt;Business Bay&gt;Burj Capital</v>
      </c>
      <c r="E14636" s="2"/>
      <c r="F14636" s="2"/>
      <c r="G14636" s="2"/>
      <c r="H14636" s="2"/>
      <c r="I14636" s="2"/>
      <c r="J14636" s="2"/>
      <c r="K14636" s="2"/>
      <c r="L14636" s="2"/>
      <c r="M14636" s="2"/>
      <c r="N14636" s="2"/>
      <c r="O14636" s="2"/>
      <c r="P14636" s="2"/>
      <c r="Q14636" s="2"/>
      <c r="R14636" s="2"/>
      <c r="S14636" s="2"/>
      <c r="T14636" s="2"/>
      <c r="U14636" s="2"/>
      <c r="V14636" s="2"/>
      <c r="W14636" s="2"/>
      <c r="X14636" s="2"/>
      <c r="Y14636" s="2"/>
      <c r="Z14636" s="2"/>
    </row>
    <row r="14637" spans="1:26" ht="16.5" x14ac:dyDescent="0.35">
      <c r="A14637" s="2" t="str">
        <f ca="1">IFERROR(__xludf.DUMMYFUNCTION("""COMPUTED_VALUE"""),"Dubai")</f>
        <v>Dubai</v>
      </c>
      <c r="B14637" s="2" t="str">
        <f ca="1">IFERROR(__xludf.DUMMYFUNCTION("""COMPUTED_VALUE"""),"District 5E")</f>
        <v>District 5E</v>
      </c>
      <c r="C14637" s="2" t="str">
        <f ca="1">IFERROR(__xludf.DUMMYFUNCTION("""COMPUTED_VALUE"""),"Neighbourhood")</f>
        <v>Neighbourhood</v>
      </c>
      <c r="D14637" s="2" t="str">
        <f ca="1">IFERROR(__xludf.DUMMYFUNCTION("""COMPUTED_VALUE"""),"Dubai&gt;Jumeirah Village Triangle (JVT)&gt;JVT District 5&gt;District 5E")</f>
        <v>Dubai&gt;Jumeirah Village Triangle (JVT)&gt;JVT District 5&gt;District 5E</v>
      </c>
      <c r="E14637" s="2"/>
      <c r="F14637" s="2"/>
      <c r="G14637" s="2"/>
      <c r="H14637" s="2"/>
      <c r="I14637" s="2"/>
      <c r="J14637" s="2"/>
      <c r="K14637" s="2"/>
      <c r="L14637" s="2"/>
      <c r="M14637" s="2"/>
      <c r="N14637" s="2"/>
      <c r="O14637" s="2"/>
      <c r="P14637" s="2"/>
      <c r="Q14637" s="2"/>
      <c r="R14637" s="2"/>
      <c r="S14637" s="2"/>
      <c r="T14637" s="2"/>
      <c r="U14637" s="2"/>
      <c r="V14637" s="2"/>
      <c r="W14637" s="2"/>
      <c r="X14637" s="2"/>
      <c r="Y14637" s="2"/>
      <c r="Z14637" s="2"/>
    </row>
    <row r="14638" spans="1:26" ht="16.5" x14ac:dyDescent="0.35">
      <c r="A14638" s="2" t="str">
        <f ca="1">IFERROR(__xludf.DUMMYFUNCTION("""COMPUTED_VALUE"""),"Dubai")</f>
        <v>Dubai</v>
      </c>
      <c r="B14638" s="2" t="str">
        <f ca="1">IFERROR(__xludf.DUMMYFUNCTION("""COMPUTED_VALUE"""),"District 9H")</f>
        <v>District 9H</v>
      </c>
      <c r="C14638" s="2" t="str">
        <f ca="1">IFERROR(__xludf.DUMMYFUNCTION("""COMPUTED_VALUE"""),"Neighbourhood")</f>
        <v>Neighbourhood</v>
      </c>
      <c r="D14638" s="2" t="str">
        <f ca="1">IFERROR(__xludf.DUMMYFUNCTION("""COMPUTED_VALUE"""),"Dubai&gt;Jumeirah Village Triangle (JVT)&gt;JVT District 9&gt;District 9H")</f>
        <v>Dubai&gt;Jumeirah Village Triangle (JVT)&gt;JVT District 9&gt;District 9H</v>
      </c>
      <c r="E14638" s="2"/>
      <c r="F14638" s="2"/>
      <c r="G14638" s="2"/>
      <c r="H14638" s="2"/>
      <c r="I14638" s="2"/>
      <c r="J14638" s="2"/>
      <c r="K14638" s="2"/>
      <c r="L14638" s="2"/>
      <c r="M14638" s="2"/>
      <c r="N14638" s="2"/>
      <c r="O14638" s="2"/>
      <c r="P14638" s="2"/>
      <c r="Q14638" s="2"/>
      <c r="R14638" s="2"/>
      <c r="S14638" s="2"/>
      <c r="T14638" s="2"/>
      <c r="U14638" s="2"/>
      <c r="V14638" s="2"/>
      <c r="W14638" s="2"/>
      <c r="X14638" s="2"/>
      <c r="Y14638" s="2"/>
      <c r="Z14638" s="2"/>
    </row>
    <row r="14639" spans="1:26" ht="16.5" x14ac:dyDescent="0.35">
      <c r="A14639" s="2" t="str">
        <f ca="1">IFERROR(__xludf.DUMMYFUNCTION("""COMPUTED_VALUE"""),"Dubai")</f>
        <v>Dubai</v>
      </c>
      <c r="B14639" s="2" t="str">
        <f ca="1">IFERROR(__xludf.DUMMYFUNCTION("""COMPUTED_VALUE"""),"Lum1nar Towers")</f>
        <v>Lum1nar Towers</v>
      </c>
      <c r="C14639" s="2" t="str">
        <f ca="1">IFERROR(__xludf.DUMMYFUNCTION("""COMPUTED_VALUE"""),"Cluster")</f>
        <v>Cluster</v>
      </c>
      <c r="D14639" s="2" t="str">
        <f ca="1">IFERROR(__xludf.DUMMYFUNCTION("""COMPUTED_VALUE"""),"Dubai&gt;Jumeirah Village Triangle (JVT)&gt;JVT District 2&gt;Lum1nar Towers")</f>
        <v>Dubai&gt;Jumeirah Village Triangle (JVT)&gt;JVT District 2&gt;Lum1nar Towers</v>
      </c>
      <c r="E14639" s="2"/>
      <c r="F14639" s="2"/>
      <c r="G14639" s="2"/>
      <c r="H14639" s="2"/>
      <c r="I14639" s="2"/>
      <c r="J14639" s="2"/>
      <c r="K14639" s="2"/>
      <c r="L14639" s="2"/>
      <c r="M14639" s="2"/>
      <c r="N14639" s="2"/>
      <c r="O14639" s="2"/>
      <c r="P14639" s="2"/>
      <c r="Q14639" s="2"/>
      <c r="R14639" s="2"/>
      <c r="S14639" s="2"/>
      <c r="T14639" s="2"/>
      <c r="U14639" s="2"/>
      <c r="V14639" s="2"/>
      <c r="W14639" s="2"/>
      <c r="X14639" s="2"/>
      <c r="Y14639" s="2"/>
      <c r="Z14639" s="2"/>
    </row>
    <row r="14640" spans="1:26" ht="16.5" x14ac:dyDescent="0.35">
      <c r="A14640" s="2" t="str">
        <f ca="1">IFERROR(__xludf.DUMMYFUNCTION("""COMPUTED_VALUE"""),"Dubai")</f>
        <v>Dubai</v>
      </c>
      <c r="B14640" s="2" t="str">
        <f ca="1">IFERROR(__xludf.DUMMYFUNCTION("""COMPUTED_VALUE"""),"District 1B")</f>
        <v>District 1B</v>
      </c>
      <c r="C14640" s="2" t="str">
        <f ca="1">IFERROR(__xludf.DUMMYFUNCTION("""COMPUTED_VALUE"""),"Neighbourhood")</f>
        <v>Neighbourhood</v>
      </c>
      <c r="D14640" s="2" t="str">
        <f ca="1">IFERROR(__xludf.DUMMYFUNCTION("""COMPUTED_VALUE"""),"Dubai&gt;Jumeirah Village Triangle (JVT)&gt;JVT District 1&gt;District 1B")</f>
        <v>Dubai&gt;Jumeirah Village Triangle (JVT)&gt;JVT District 1&gt;District 1B</v>
      </c>
      <c r="E14640" s="2"/>
      <c r="F14640" s="2"/>
      <c r="G14640" s="2"/>
      <c r="H14640" s="2"/>
      <c r="I14640" s="2"/>
      <c r="J14640" s="2"/>
      <c r="K14640" s="2"/>
      <c r="L14640" s="2"/>
      <c r="M14640" s="2"/>
      <c r="N14640" s="2"/>
      <c r="O14640" s="2"/>
      <c r="P14640" s="2"/>
      <c r="Q14640" s="2"/>
      <c r="R14640" s="2"/>
      <c r="S14640" s="2"/>
      <c r="T14640" s="2"/>
      <c r="U14640" s="2"/>
      <c r="V14640" s="2"/>
      <c r="W14640" s="2"/>
      <c r="X14640" s="2"/>
      <c r="Y14640" s="2"/>
      <c r="Z14640" s="2"/>
    </row>
    <row r="14641" spans="1:26" ht="16.5" x14ac:dyDescent="0.35">
      <c r="A14641" s="2" t="str">
        <f ca="1">IFERROR(__xludf.DUMMYFUNCTION("""COMPUTED_VALUE"""),"Dubai")</f>
        <v>Dubai</v>
      </c>
      <c r="B14641" s="2" t="str">
        <f ca="1">IFERROR(__xludf.DUMMYFUNCTION("""COMPUTED_VALUE"""),"Maya 4 Residential Building")</f>
        <v>Maya 4 Residential Building</v>
      </c>
      <c r="C14641" s="2" t="str">
        <f ca="1">IFERROR(__xludf.DUMMYFUNCTION("""COMPUTED_VALUE"""),"Building")</f>
        <v>Building</v>
      </c>
      <c r="D14641" s="2" t="str">
        <f ca="1">IFERROR(__xludf.DUMMYFUNCTION("""COMPUTED_VALUE"""),"Dubai&gt;Jumeirah Village Triangle (JVT)&gt;JVT District 4&gt;Maya 4 Residential Building")</f>
        <v>Dubai&gt;Jumeirah Village Triangle (JVT)&gt;JVT District 4&gt;Maya 4 Residential Building</v>
      </c>
      <c r="E14641" s="2"/>
      <c r="F14641" s="2"/>
      <c r="G14641" s="2"/>
      <c r="H14641" s="2"/>
      <c r="I14641" s="2"/>
      <c r="J14641" s="2"/>
      <c r="K14641" s="2"/>
      <c r="L14641" s="2"/>
      <c r="M14641" s="2"/>
      <c r="N14641" s="2"/>
      <c r="O14641" s="2"/>
      <c r="P14641" s="2"/>
      <c r="Q14641" s="2"/>
      <c r="R14641" s="2"/>
      <c r="S14641" s="2"/>
      <c r="T14641" s="2"/>
      <c r="U14641" s="2"/>
      <c r="V14641" s="2"/>
      <c r="W14641" s="2"/>
      <c r="X14641" s="2"/>
      <c r="Y14641" s="2"/>
      <c r="Z14641" s="2"/>
    </row>
    <row r="14642" spans="1:26" ht="16.5" x14ac:dyDescent="0.35">
      <c r="A14642" s="2" t="str">
        <f ca="1">IFERROR(__xludf.DUMMYFUNCTION("""COMPUTED_VALUE"""),"Dubai")</f>
        <v>Dubai</v>
      </c>
      <c r="B14642" s="2" t="str">
        <f ca="1">IFERROR(__xludf.DUMMYFUNCTION("""COMPUTED_VALUE"""),"Cavendish Square")</f>
        <v>Cavendish Square</v>
      </c>
      <c r="C14642" s="2" t="str">
        <f ca="1">IFERROR(__xludf.DUMMYFUNCTION("""COMPUTED_VALUE"""),"Building")</f>
        <v>Building</v>
      </c>
      <c r="D14642" s="2" t="str">
        <f ca="1">IFERROR(__xludf.DUMMYFUNCTION("""COMPUTED_VALUE"""),"Dubai&gt;Jumeirah Village Triangle (JVT)&gt;JVT District 3&gt;Cavendish Square")</f>
        <v>Dubai&gt;Jumeirah Village Triangle (JVT)&gt;JVT District 3&gt;Cavendish Square</v>
      </c>
      <c r="E14642" s="2"/>
      <c r="F14642" s="2"/>
      <c r="G14642" s="2"/>
      <c r="H14642" s="2"/>
      <c r="I14642" s="2"/>
      <c r="J14642" s="2"/>
      <c r="K14642" s="2"/>
      <c r="L14642" s="2"/>
      <c r="M14642" s="2"/>
      <c r="N14642" s="2"/>
      <c r="O14642" s="2"/>
      <c r="P14642" s="2"/>
      <c r="Q14642" s="2"/>
      <c r="R14642" s="2"/>
      <c r="S14642" s="2"/>
      <c r="T14642" s="2"/>
      <c r="U14642" s="2"/>
      <c r="V14642" s="2"/>
      <c r="W14642" s="2"/>
      <c r="X14642" s="2"/>
      <c r="Y14642" s="2"/>
      <c r="Z14642" s="2"/>
    </row>
    <row r="14643" spans="1:26" ht="16.5" x14ac:dyDescent="0.35">
      <c r="A14643" s="2" t="str">
        <f ca="1">IFERROR(__xludf.DUMMYFUNCTION("""COMPUTED_VALUE"""),"Dubai")</f>
        <v>Dubai</v>
      </c>
      <c r="B14643" s="2" t="str">
        <f ca="1">IFERROR(__xludf.DUMMYFUNCTION("""COMPUTED_VALUE"""),"Al Ramth 65")</f>
        <v>Al Ramth 65</v>
      </c>
      <c r="C14643" s="2" t="str">
        <f ca="1">IFERROR(__xludf.DUMMYFUNCTION("""COMPUTED_VALUE"""),"Building")</f>
        <v>Building</v>
      </c>
      <c r="D14643" s="2" t="str">
        <f ca="1">IFERROR(__xludf.DUMMYFUNCTION("""COMPUTED_VALUE"""),"Dubai&gt;Remraam&gt;Al Ramth&gt;Al Ramth 65")</f>
        <v>Dubai&gt;Remraam&gt;Al Ramth&gt;Al Ramth 65</v>
      </c>
      <c r="E14643" s="2"/>
      <c r="F14643" s="2"/>
      <c r="G14643" s="2"/>
      <c r="H14643" s="2"/>
      <c r="I14643" s="2"/>
      <c r="J14643" s="2"/>
      <c r="K14643" s="2"/>
      <c r="L14643" s="2"/>
      <c r="M14643" s="2"/>
      <c r="N14643" s="2"/>
      <c r="O14643" s="2"/>
      <c r="P14643" s="2"/>
      <c r="Q14643" s="2"/>
      <c r="R14643" s="2"/>
      <c r="S14643" s="2"/>
      <c r="T14643" s="2"/>
      <c r="U14643" s="2"/>
      <c r="V14643" s="2"/>
      <c r="W14643" s="2"/>
      <c r="X14643" s="2"/>
      <c r="Y14643" s="2"/>
      <c r="Z14643" s="2"/>
    </row>
    <row r="14644" spans="1:26" ht="16.5" x14ac:dyDescent="0.35">
      <c r="A14644" s="2" t="str">
        <f ca="1">IFERROR(__xludf.DUMMYFUNCTION("""COMPUTED_VALUE"""),"Dubai")</f>
        <v>Dubai</v>
      </c>
      <c r="B14644" s="2" t="str">
        <f ca="1">IFERROR(__xludf.DUMMYFUNCTION("""COMPUTED_VALUE"""),"Al Thamam 06")</f>
        <v>Al Thamam 06</v>
      </c>
      <c r="C14644" s="2" t="str">
        <f ca="1">IFERROR(__xludf.DUMMYFUNCTION("""COMPUTED_VALUE"""),"Building")</f>
        <v>Building</v>
      </c>
      <c r="D14644" s="2" t="str">
        <f ca="1">IFERROR(__xludf.DUMMYFUNCTION("""COMPUTED_VALUE"""),"Dubai&gt;Remraam&gt;Al Thamam&gt;Al Thamam 06")</f>
        <v>Dubai&gt;Remraam&gt;Al Thamam&gt;Al Thamam 06</v>
      </c>
      <c r="E14644" s="2"/>
      <c r="F14644" s="2"/>
      <c r="G14644" s="2"/>
      <c r="H14644" s="2"/>
      <c r="I14644" s="2"/>
      <c r="J14644" s="2"/>
      <c r="K14644" s="2"/>
      <c r="L14644" s="2"/>
      <c r="M14644" s="2"/>
      <c r="N14644" s="2"/>
      <c r="O14644" s="2"/>
      <c r="P14644" s="2"/>
      <c r="Q14644" s="2"/>
      <c r="R14644" s="2"/>
      <c r="S14644" s="2"/>
      <c r="T14644" s="2"/>
      <c r="U14644" s="2"/>
      <c r="V14644" s="2"/>
      <c r="W14644" s="2"/>
      <c r="X14644" s="2"/>
      <c r="Y14644" s="2"/>
      <c r="Z14644" s="2"/>
    </row>
    <row r="14645" spans="1:26" ht="16.5" x14ac:dyDescent="0.35">
      <c r="A14645" s="2" t="str">
        <f ca="1">IFERROR(__xludf.DUMMYFUNCTION("""COMPUTED_VALUE"""),"Dubai")</f>
        <v>Dubai</v>
      </c>
      <c r="B14645" s="2" t="str">
        <f ca="1">IFERROR(__xludf.DUMMYFUNCTION("""COMPUTED_VALUE"""),"Al Thamam 23")</f>
        <v>Al Thamam 23</v>
      </c>
      <c r="C14645" s="2" t="str">
        <f ca="1">IFERROR(__xludf.DUMMYFUNCTION("""COMPUTED_VALUE"""),"Building")</f>
        <v>Building</v>
      </c>
      <c r="D14645" s="2" t="str">
        <f ca="1">IFERROR(__xludf.DUMMYFUNCTION("""COMPUTED_VALUE"""),"Dubai&gt;Remraam&gt;Al Thamam&gt;Al Thamam 23")</f>
        <v>Dubai&gt;Remraam&gt;Al Thamam&gt;Al Thamam 23</v>
      </c>
      <c r="E14645" s="2"/>
      <c r="F14645" s="2"/>
      <c r="G14645" s="2"/>
      <c r="H14645" s="2"/>
      <c r="I14645" s="2"/>
      <c r="J14645" s="2"/>
      <c r="K14645" s="2"/>
      <c r="L14645" s="2"/>
      <c r="M14645" s="2"/>
      <c r="N14645" s="2"/>
      <c r="O14645" s="2"/>
      <c r="P14645" s="2"/>
      <c r="Q14645" s="2"/>
      <c r="R14645" s="2"/>
      <c r="S14645" s="2"/>
      <c r="T14645" s="2"/>
      <c r="U14645" s="2"/>
      <c r="V14645" s="2"/>
      <c r="W14645" s="2"/>
      <c r="X14645" s="2"/>
      <c r="Y14645" s="2"/>
      <c r="Z14645" s="2"/>
    </row>
    <row r="14646" spans="1:26" ht="16.5" x14ac:dyDescent="0.35">
      <c r="A14646" s="2" t="str">
        <f ca="1">IFERROR(__xludf.DUMMYFUNCTION("""COMPUTED_VALUE"""),"Dubai")</f>
        <v>Dubai</v>
      </c>
      <c r="B14646" s="2" t="str">
        <f ca="1">IFERROR(__xludf.DUMMYFUNCTION("""COMPUTED_VALUE"""),"The Borough")</f>
        <v>The Borough</v>
      </c>
      <c r="C14646" s="2" t="str">
        <f ca="1">IFERROR(__xludf.DUMMYFUNCTION("""COMPUTED_VALUE"""),"Building")</f>
        <v>Building</v>
      </c>
      <c r="D14646" s="2" t="str">
        <f ca="1">IFERROR(__xludf.DUMMYFUNCTION("""COMPUTED_VALUE"""),"Dubai&gt;Jumeirah Village Circle (JVC)&gt;JVC District 17&gt;The Borough")</f>
        <v>Dubai&gt;Jumeirah Village Circle (JVC)&gt;JVC District 17&gt;The Borough</v>
      </c>
      <c r="E14646" s="2"/>
      <c r="F14646" s="2"/>
      <c r="G14646" s="2"/>
      <c r="H14646" s="2"/>
      <c r="I14646" s="2"/>
      <c r="J14646" s="2"/>
      <c r="K14646" s="2"/>
      <c r="L14646" s="2"/>
      <c r="M14646" s="2"/>
      <c r="N14646" s="2"/>
      <c r="O14646" s="2"/>
      <c r="P14646" s="2"/>
      <c r="Q14646" s="2"/>
      <c r="R14646" s="2"/>
      <c r="S14646" s="2"/>
      <c r="T14646" s="2"/>
      <c r="U14646" s="2"/>
      <c r="V14646" s="2"/>
      <c r="W14646" s="2"/>
      <c r="X14646" s="2"/>
      <c r="Y14646" s="2"/>
      <c r="Z14646" s="2"/>
    </row>
    <row r="14647" spans="1:26" ht="16.5" x14ac:dyDescent="0.35">
      <c r="A14647" s="2" t="str">
        <f ca="1">IFERROR(__xludf.DUMMYFUNCTION("""COMPUTED_VALUE"""),"Dubai")</f>
        <v>Dubai</v>
      </c>
      <c r="B14647" s="2" t="str">
        <f ca="1">IFERROR(__xludf.DUMMYFUNCTION("""COMPUTED_VALUE"""),"Lilac Park")</f>
        <v>Lilac Park</v>
      </c>
      <c r="C14647" s="2" t="str">
        <f ca="1">IFERROR(__xludf.DUMMYFUNCTION("""COMPUTED_VALUE"""),"Neighbourhood")</f>
        <v>Neighbourhood</v>
      </c>
      <c r="D14647" s="2" t="str">
        <f ca="1">IFERROR(__xludf.DUMMYFUNCTION("""COMPUTED_VALUE"""),"Dubai&gt;Jumeirah Village Circle (JVC)&gt;JVC District 12&gt;Lilac Park")</f>
        <v>Dubai&gt;Jumeirah Village Circle (JVC)&gt;JVC District 12&gt;Lilac Park</v>
      </c>
      <c r="E14647" s="2"/>
      <c r="F14647" s="2"/>
      <c r="G14647" s="2"/>
      <c r="H14647" s="2"/>
      <c r="I14647" s="2"/>
      <c r="J14647" s="2"/>
      <c r="K14647" s="2"/>
      <c r="L14647" s="2"/>
      <c r="M14647" s="2"/>
      <c r="N14647" s="2"/>
      <c r="O14647" s="2"/>
      <c r="P14647" s="2"/>
      <c r="Q14647" s="2"/>
      <c r="R14647" s="2"/>
      <c r="S14647" s="2"/>
      <c r="T14647" s="2"/>
      <c r="U14647" s="2"/>
      <c r="V14647" s="2"/>
      <c r="W14647" s="2"/>
      <c r="X14647" s="2"/>
      <c r="Y14647" s="2"/>
      <c r="Z14647" s="2"/>
    </row>
    <row r="14648" spans="1:26" ht="16.5" x14ac:dyDescent="0.35">
      <c r="A14648" s="2" t="str">
        <f ca="1">IFERROR(__xludf.DUMMYFUNCTION("""COMPUTED_VALUE"""),"Dubai")</f>
        <v>Dubai</v>
      </c>
      <c r="B14648" s="2" t="str">
        <f ca="1">IFERROR(__xludf.DUMMYFUNCTION("""COMPUTED_VALUE"""),"The Orchard Place Tower D")</f>
        <v>The Orchard Place Tower D</v>
      </c>
      <c r="C14648" s="2" t="str">
        <f ca="1">IFERROR(__xludf.DUMMYFUNCTION("""COMPUTED_VALUE"""),"Building")</f>
        <v>Building</v>
      </c>
      <c r="D14648" s="2" t="str">
        <f ca="1">IFERROR(__xludf.DUMMYFUNCTION("""COMPUTED_VALUE"""),"Dubai&gt;Jumeirah Village Circle (JVC)&gt;JVC District 12&gt;The Orchard Place&gt;The Orchard Place Tower D")</f>
        <v>Dubai&gt;Jumeirah Village Circle (JVC)&gt;JVC District 12&gt;The Orchard Place&gt;The Orchard Place Tower D</v>
      </c>
      <c r="E14648" s="2"/>
      <c r="F14648" s="2"/>
      <c r="G14648" s="2"/>
      <c r="H14648" s="2"/>
      <c r="I14648" s="2"/>
      <c r="J14648" s="2"/>
      <c r="K14648" s="2"/>
      <c r="L14648" s="2"/>
      <c r="M14648" s="2"/>
      <c r="N14648" s="2"/>
      <c r="O14648" s="2"/>
      <c r="P14648" s="2"/>
      <c r="Q14648" s="2"/>
      <c r="R14648" s="2"/>
      <c r="S14648" s="2"/>
      <c r="T14648" s="2"/>
      <c r="U14648" s="2"/>
      <c r="V14648" s="2"/>
      <c r="W14648" s="2"/>
      <c r="X14648" s="2"/>
      <c r="Y14648" s="2"/>
      <c r="Z14648" s="2"/>
    </row>
    <row r="14649" spans="1:26" ht="16.5" x14ac:dyDescent="0.35">
      <c r="A14649" s="2" t="str">
        <f ca="1">IFERROR(__xludf.DUMMYFUNCTION("""COMPUTED_VALUE"""),"Dubai")</f>
        <v>Dubai</v>
      </c>
      <c r="B14649" s="2" t="str">
        <f ca="1">IFERROR(__xludf.DUMMYFUNCTION("""COMPUTED_VALUE"""),"Aria Heights")</f>
        <v>Aria Heights</v>
      </c>
      <c r="C14649" s="2" t="str">
        <f ca="1">IFERROR(__xludf.DUMMYFUNCTION("""COMPUTED_VALUE"""),"Building")</f>
        <v>Building</v>
      </c>
      <c r="D14649" s="2" t="str">
        <f ca="1">IFERROR(__xludf.DUMMYFUNCTION("""COMPUTED_VALUE"""),"Dubai&gt;Jumeirah Village Circle (JVC)&gt;JVC District 12&gt;Aria Heights")</f>
        <v>Dubai&gt;Jumeirah Village Circle (JVC)&gt;JVC District 12&gt;Aria Heights</v>
      </c>
      <c r="E14649" s="2"/>
      <c r="F14649" s="2"/>
      <c r="G14649" s="2"/>
      <c r="H14649" s="2"/>
      <c r="I14649" s="2"/>
      <c r="J14649" s="2"/>
      <c r="K14649" s="2"/>
      <c r="L14649" s="2"/>
      <c r="M14649" s="2"/>
      <c r="N14649" s="2"/>
      <c r="O14649" s="2"/>
      <c r="P14649" s="2"/>
      <c r="Q14649" s="2"/>
      <c r="R14649" s="2"/>
      <c r="S14649" s="2"/>
      <c r="T14649" s="2"/>
      <c r="U14649" s="2"/>
      <c r="V14649" s="2"/>
      <c r="W14649" s="2"/>
      <c r="X14649" s="2"/>
      <c r="Y14649" s="2"/>
      <c r="Z14649" s="2"/>
    </row>
    <row r="14650" spans="1:26" ht="16.5" x14ac:dyDescent="0.35">
      <c r="A14650" s="2" t="str">
        <f ca="1">IFERROR(__xludf.DUMMYFUNCTION("""COMPUTED_VALUE"""),"Dubai")</f>
        <v>Dubai</v>
      </c>
      <c r="B14650" s="2" t="str">
        <f ca="1">IFERROR(__xludf.DUMMYFUNCTION("""COMPUTED_VALUE"""),"Mulberry Mansions")</f>
        <v>Mulberry Mansions</v>
      </c>
      <c r="C14650" s="2" t="str">
        <f ca="1">IFERROR(__xludf.DUMMYFUNCTION("""COMPUTED_VALUE"""),"Neighbourhood")</f>
        <v>Neighbourhood</v>
      </c>
      <c r="D14650" s="2" t="str">
        <f ca="1">IFERROR(__xludf.DUMMYFUNCTION("""COMPUTED_VALUE"""),"Dubai&gt;Jumeirah Village Circle (JVC)&gt;JVC District 13&gt;Mulberry Mansions")</f>
        <v>Dubai&gt;Jumeirah Village Circle (JVC)&gt;JVC District 13&gt;Mulberry Mansions</v>
      </c>
      <c r="E14650" s="2"/>
      <c r="F14650" s="2"/>
      <c r="G14650" s="2"/>
      <c r="H14650" s="2"/>
      <c r="I14650" s="2"/>
      <c r="J14650" s="2"/>
      <c r="K14650" s="2"/>
      <c r="L14650" s="2"/>
      <c r="M14650" s="2"/>
      <c r="N14650" s="2"/>
      <c r="O14650" s="2"/>
      <c r="P14650" s="2"/>
      <c r="Q14650" s="2"/>
      <c r="R14650" s="2"/>
      <c r="S14650" s="2"/>
      <c r="T14650" s="2"/>
      <c r="U14650" s="2"/>
      <c r="V14650" s="2"/>
      <c r="W14650" s="2"/>
      <c r="X14650" s="2"/>
      <c r="Y14650" s="2"/>
      <c r="Z14650" s="2"/>
    </row>
    <row r="14651" spans="1:26" ht="16.5" x14ac:dyDescent="0.35">
      <c r="A14651" s="2" t="str">
        <f ca="1">IFERROR(__xludf.DUMMYFUNCTION("""COMPUTED_VALUE"""),"Dubai")</f>
        <v>Dubai</v>
      </c>
      <c r="B14651" s="2" t="str">
        <f ca="1">IFERROR(__xludf.DUMMYFUNCTION("""COMPUTED_VALUE"""),"Chaimaa Avenue 2")</f>
        <v>Chaimaa Avenue 2</v>
      </c>
      <c r="C14651" s="2" t="str">
        <f ca="1">IFERROR(__xludf.DUMMYFUNCTION("""COMPUTED_VALUE"""),"Building")</f>
        <v>Building</v>
      </c>
      <c r="D14651" s="2" t="str">
        <f ca="1">IFERROR(__xludf.DUMMYFUNCTION("""COMPUTED_VALUE"""),"Dubai&gt;Jumeirah Village Circle (JVC)&gt;JVC District 13&gt;Chaimaa Avenue 2")</f>
        <v>Dubai&gt;Jumeirah Village Circle (JVC)&gt;JVC District 13&gt;Chaimaa Avenue 2</v>
      </c>
      <c r="E14651" s="2"/>
      <c r="F14651" s="2"/>
      <c r="G14651" s="2"/>
      <c r="H14651" s="2"/>
      <c r="I14651" s="2"/>
      <c r="J14651" s="2"/>
      <c r="K14651" s="2"/>
      <c r="L14651" s="2"/>
      <c r="M14651" s="2"/>
      <c r="N14651" s="2"/>
      <c r="O14651" s="2"/>
      <c r="P14651" s="2"/>
      <c r="Q14651" s="2"/>
      <c r="R14651" s="2"/>
      <c r="S14651" s="2"/>
      <c r="T14651" s="2"/>
      <c r="U14651" s="2"/>
      <c r="V14651" s="2"/>
      <c r="W14651" s="2"/>
      <c r="X14651" s="2"/>
      <c r="Y14651" s="2"/>
      <c r="Z14651" s="2"/>
    </row>
    <row r="14652" spans="1:26" ht="16.5" x14ac:dyDescent="0.35">
      <c r="A14652" s="2" t="str">
        <f ca="1">IFERROR(__xludf.DUMMYFUNCTION("""COMPUTED_VALUE"""),"Dubai")</f>
        <v>Dubai</v>
      </c>
      <c r="B14652" s="2" t="str">
        <f ca="1">IFERROR(__xludf.DUMMYFUNCTION("""COMPUTED_VALUE"""),"Sobha Daffodil Wing B")</f>
        <v>Sobha Daffodil Wing B</v>
      </c>
      <c r="C14652" s="2" t="str">
        <f ca="1">IFERROR(__xludf.DUMMYFUNCTION("""COMPUTED_VALUE"""),"Building")</f>
        <v>Building</v>
      </c>
      <c r="D14652" s="2" t="str">
        <f ca="1">IFERROR(__xludf.DUMMYFUNCTION("""COMPUTED_VALUE"""),"Dubai&gt;Jumeirah Village Circle (JVC)&gt;JVC District 13&gt;Sobha Daffodil&gt;Sobha Daffodil Wing B")</f>
        <v>Dubai&gt;Jumeirah Village Circle (JVC)&gt;JVC District 13&gt;Sobha Daffodil&gt;Sobha Daffodil Wing B</v>
      </c>
      <c r="E14652" s="2"/>
      <c r="F14652" s="2"/>
      <c r="G14652" s="2"/>
      <c r="H14652" s="2"/>
      <c r="I14652" s="2"/>
      <c r="J14652" s="2"/>
      <c r="K14652" s="2"/>
      <c r="L14652" s="2"/>
      <c r="M14652" s="2"/>
      <c r="N14652" s="2"/>
      <c r="O14652" s="2"/>
      <c r="P14652" s="2"/>
      <c r="Q14652" s="2"/>
      <c r="R14652" s="2"/>
      <c r="S14652" s="2"/>
      <c r="T14652" s="2"/>
      <c r="U14652" s="2"/>
      <c r="V14652" s="2"/>
      <c r="W14652" s="2"/>
      <c r="X14652" s="2"/>
      <c r="Y14652" s="2"/>
      <c r="Z14652" s="2"/>
    </row>
    <row r="14653" spans="1:26" ht="16.5" x14ac:dyDescent="0.35">
      <c r="A14653" s="2" t="str">
        <f ca="1">IFERROR(__xludf.DUMMYFUNCTION("""COMPUTED_VALUE"""),"Dubai")</f>
        <v>Dubai</v>
      </c>
      <c r="B14653" s="2" t="str">
        <f ca="1">IFERROR(__xludf.DUMMYFUNCTION("""COMPUTED_VALUE"""),"Bloom Tower A")</f>
        <v>Bloom Tower A</v>
      </c>
      <c r="C14653" s="2" t="str">
        <f ca="1">IFERROR(__xludf.DUMMYFUNCTION("""COMPUTED_VALUE"""),"Building")</f>
        <v>Building</v>
      </c>
      <c r="D14653" s="2" t="str">
        <f ca="1">IFERROR(__xludf.DUMMYFUNCTION("""COMPUTED_VALUE"""),"Dubai&gt;Jumeirah Village Circle (JVC)&gt;JVC District 10&gt;Bloom Towers&gt;Bloom Tower A")</f>
        <v>Dubai&gt;Jumeirah Village Circle (JVC)&gt;JVC District 10&gt;Bloom Towers&gt;Bloom Tower A</v>
      </c>
      <c r="E14653" s="2"/>
      <c r="F14653" s="2"/>
      <c r="G14653" s="2"/>
      <c r="H14653" s="2"/>
      <c r="I14653" s="2"/>
      <c r="J14653" s="2"/>
      <c r="K14653" s="2"/>
      <c r="L14653" s="2"/>
      <c r="M14653" s="2"/>
      <c r="N14653" s="2"/>
      <c r="O14653" s="2"/>
      <c r="P14653" s="2"/>
      <c r="Q14653" s="2"/>
      <c r="R14653" s="2"/>
      <c r="S14653" s="2"/>
      <c r="T14653" s="2"/>
      <c r="U14653" s="2"/>
      <c r="V14653" s="2"/>
      <c r="W14653" s="2"/>
      <c r="X14653" s="2"/>
      <c r="Y14653" s="2"/>
      <c r="Z14653" s="2"/>
    </row>
    <row r="14654" spans="1:26" ht="16.5" x14ac:dyDescent="0.35">
      <c r="A14654" s="2" t="str">
        <f ca="1">IFERROR(__xludf.DUMMYFUNCTION("""COMPUTED_VALUE"""),"Dubai")</f>
        <v>Dubai</v>
      </c>
      <c r="B14654" s="2" t="str">
        <f ca="1">IFERROR(__xludf.DUMMYFUNCTION("""COMPUTED_VALUE"""),"La Riviera Estate A")</f>
        <v>La Riviera Estate A</v>
      </c>
      <c r="C14654" s="2" t="str">
        <f ca="1">IFERROR(__xludf.DUMMYFUNCTION("""COMPUTED_VALUE"""),"Building")</f>
        <v>Building</v>
      </c>
      <c r="D14654" s="2" t="str">
        <f ca="1">IFERROR(__xludf.DUMMYFUNCTION("""COMPUTED_VALUE"""),"Dubai&gt;Jumeirah Village Circle (JVC)&gt;JVC District 10&gt;La Riviera Estates&gt;La Riviera Estate A")</f>
        <v>Dubai&gt;Jumeirah Village Circle (JVC)&gt;JVC District 10&gt;La Riviera Estates&gt;La Riviera Estate A</v>
      </c>
      <c r="E14654" s="2"/>
      <c r="F14654" s="2"/>
      <c r="G14654" s="2"/>
      <c r="H14654" s="2"/>
      <c r="I14654" s="2"/>
      <c r="J14654" s="2"/>
      <c r="K14654" s="2"/>
      <c r="L14654" s="2"/>
      <c r="M14654" s="2"/>
      <c r="N14654" s="2"/>
      <c r="O14654" s="2"/>
      <c r="P14654" s="2"/>
      <c r="Q14654" s="2"/>
      <c r="R14654" s="2"/>
      <c r="S14654" s="2"/>
      <c r="T14654" s="2"/>
      <c r="U14654" s="2"/>
      <c r="V14654" s="2"/>
      <c r="W14654" s="2"/>
      <c r="X14654" s="2"/>
      <c r="Y14654" s="2"/>
      <c r="Z14654" s="2"/>
    </row>
    <row r="14655" spans="1:26" ht="16.5" x14ac:dyDescent="0.35">
      <c r="A14655" s="2" t="str">
        <f ca="1">IFERROR(__xludf.DUMMYFUNCTION("""COMPUTED_VALUE"""),"Dubai")</f>
        <v>Dubai</v>
      </c>
      <c r="B14655" s="2" t="str">
        <f ca="1">IFERROR(__xludf.DUMMYFUNCTION("""COMPUTED_VALUE"""),"Solitaire Casa")</f>
        <v>Solitaire Casa</v>
      </c>
      <c r="C14655" s="2" t="str">
        <f ca="1">IFERROR(__xludf.DUMMYFUNCTION("""COMPUTED_VALUE"""),"Neighbourhood")</f>
        <v>Neighbourhood</v>
      </c>
      <c r="D14655" s="2" t="str">
        <f ca="1">IFERROR(__xludf.DUMMYFUNCTION("""COMPUTED_VALUE"""),"Dubai&gt;Jumeirah Village Circle (JVC)&gt;JVC District 10&gt;Solitaire Casa")</f>
        <v>Dubai&gt;Jumeirah Village Circle (JVC)&gt;JVC District 10&gt;Solitaire Casa</v>
      </c>
      <c r="E14655" s="2"/>
      <c r="F14655" s="2"/>
      <c r="G14655" s="2"/>
      <c r="H14655" s="2"/>
      <c r="I14655" s="2"/>
      <c r="J14655" s="2"/>
      <c r="K14655" s="2"/>
      <c r="L14655" s="2"/>
      <c r="M14655" s="2"/>
      <c r="N14655" s="2"/>
      <c r="O14655" s="2"/>
      <c r="P14655" s="2"/>
      <c r="Q14655" s="2"/>
      <c r="R14655" s="2"/>
      <c r="S14655" s="2"/>
      <c r="T14655" s="2"/>
      <c r="U14655" s="2"/>
      <c r="V14655" s="2"/>
      <c r="W14655" s="2"/>
      <c r="X14655" s="2"/>
      <c r="Y14655" s="2"/>
      <c r="Z14655" s="2"/>
    </row>
    <row r="14656" spans="1:26" ht="16.5" x14ac:dyDescent="0.35">
      <c r="A14656" s="2" t="str">
        <f ca="1">IFERROR(__xludf.DUMMYFUNCTION("""COMPUTED_VALUE"""),"Dubai")</f>
        <v>Dubai</v>
      </c>
      <c r="B14656" s="2" t="str">
        <f ca="1">IFERROR(__xludf.DUMMYFUNCTION("""COMPUTED_VALUE"""),"Havelock Heights")</f>
        <v>Havelock Heights</v>
      </c>
      <c r="C14656" s="2" t="str">
        <f ca="1">IFERROR(__xludf.DUMMYFUNCTION("""COMPUTED_VALUE"""),"Building")</f>
        <v>Building</v>
      </c>
      <c r="D14656" s="2" t="str">
        <f ca="1">IFERROR(__xludf.DUMMYFUNCTION("""COMPUTED_VALUE"""),"Dubai&gt;Jumeirah Village Circle (JVC)&gt;JVC District 10&gt;Havelock Heights")</f>
        <v>Dubai&gt;Jumeirah Village Circle (JVC)&gt;JVC District 10&gt;Havelock Heights</v>
      </c>
      <c r="E14656" s="2"/>
      <c r="F14656" s="2"/>
      <c r="G14656" s="2"/>
      <c r="H14656" s="2"/>
      <c r="I14656" s="2"/>
      <c r="J14656" s="2"/>
      <c r="K14656" s="2"/>
      <c r="L14656" s="2"/>
      <c r="M14656" s="2"/>
      <c r="N14656" s="2"/>
      <c r="O14656" s="2"/>
      <c r="P14656" s="2"/>
      <c r="Q14656" s="2"/>
      <c r="R14656" s="2"/>
      <c r="S14656" s="2"/>
      <c r="T14656" s="2"/>
      <c r="U14656" s="2"/>
      <c r="V14656" s="2"/>
      <c r="W14656" s="2"/>
      <c r="X14656" s="2"/>
      <c r="Y14656" s="2"/>
      <c r="Z14656" s="2"/>
    </row>
    <row r="14657" spans="1:26" ht="16.5" x14ac:dyDescent="0.35">
      <c r="A14657" s="2" t="str">
        <f ca="1">IFERROR(__xludf.DUMMYFUNCTION("""COMPUTED_VALUE"""),"Dubai")</f>
        <v>Dubai</v>
      </c>
      <c r="B14657" s="2" t="str">
        <f ca="1">IFERROR(__xludf.DUMMYFUNCTION("""COMPUTED_VALUE"""),"Jehaan 7")</f>
        <v>Jehaan 7</v>
      </c>
      <c r="C14657" s="2" t="str">
        <f ca="1">IFERROR(__xludf.DUMMYFUNCTION("""COMPUTED_VALUE"""),"Building")</f>
        <v>Building</v>
      </c>
      <c r="D14657" s="2" t="str">
        <f ca="1">IFERROR(__xludf.DUMMYFUNCTION("""COMPUTED_VALUE"""),"Dubai&gt;Jumeirah Village Circle (JVC)&gt;JVC District 16&gt;Jehaan&gt;Jehaan 7")</f>
        <v>Dubai&gt;Jumeirah Village Circle (JVC)&gt;JVC District 16&gt;Jehaan&gt;Jehaan 7</v>
      </c>
      <c r="E14657" s="2"/>
      <c r="F14657" s="2"/>
      <c r="G14657" s="2"/>
      <c r="H14657" s="2"/>
      <c r="I14657" s="2"/>
      <c r="J14657" s="2"/>
      <c r="K14657" s="2"/>
      <c r="L14657" s="2"/>
      <c r="M14657" s="2"/>
      <c r="N14657" s="2"/>
      <c r="O14657" s="2"/>
      <c r="P14657" s="2"/>
      <c r="Q14657" s="2"/>
      <c r="R14657" s="2"/>
      <c r="S14657" s="2"/>
      <c r="T14657" s="2"/>
      <c r="U14657" s="2"/>
      <c r="V14657" s="2"/>
      <c r="W14657" s="2"/>
      <c r="X14657" s="2"/>
      <c r="Y14657" s="2"/>
      <c r="Z14657" s="2"/>
    </row>
    <row r="14658" spans="1:26" ht="16.5" x14ac:dyDescent="0.35">
      <c r="A14658" s="2" t="str">
        <f ca="1">IFERROR(__xludf.DUMMYFUNCTION("""COMPUTED_VALUE"""),"Dubai")</f>
        <v>Dubai</v>
      </c>
      <c r="B14658" s="2" t="str">
        <f ca="1">IFERROR(__xludf.DUMMYFUNCTION("""COMPUTED_VALUE"""),"Valencia Park")</f>
        <v>Valencia Park</v>
      </c>
      <c r="C14658" s="2" t="str">
        <f ca="1">IFERROR(__xludf.DUMMYFUNCTION("""COMPUTED_VALUE"""),"Neighbourhood")</f>
        <v>Neighbourhood</v>
      </c>
      <c r="D14658" s="2" t="str">
        <f ca="1">IFERROR(__xludf.DUMMYFUNCTION("""COMPUTED_VALUE"""),"Dubai&gt;Jumeirah Village Circle (JVC)&gt;JVC District 15&gt;Valencia Park")</f>
        <v>Dubai&gt;Jumeirah Village Circle (JVC)&gt;JVC District 15&gt;Valencia Park</v>
      </c>
      <c r="E14658" s="2"/>
      <c r="F14658" s="2"/>
      <c r="G14658" s="2"/>
      <c r="H14658" s="2"/>
      <c r="I14658" s="2"/>
      <c r="J14658" s="2"/>
      <c r="K14658" s="2"/>
      <c r="L14658" s="2"/>
      <c r="M14658" s="2"/>
      <c r="N14658" s="2"/>
      <c r="O14658" s="2"/>
      <c r="P14658" s="2"/>
      <c r="Q14658" s="2"/>
      <c r="R14658" s="2"/>
      <c r="S14658" s="2"/>
      <c r="T14658" s="2"/>
      <c r="U14658" s="2"/>
      <c r="V14658" s="2"/>
      <c r="W14658" s="2"/>
      <c r="X14658" s="2"/>
      <c r="Y14658" s="2"/>
      <c r="Z14658" s="2"/>
    </row>
    <row r="14659" spans="1:26" ht="16.5" x14ac:dyDescent="0.35">
      <c r="A14659" s="2" t="str">
        <f ca="1">IFERROR(__xludf.DUMMYFUNCTION("""COMPUTED_VALUE"""),"Dubai")</f>
        <v>Dubai</v>
      </c>
      <c r="B14659" s="2" t="str">
        <f ca="1">IFERROR(__xludf.DUMMYFUNCTION("""COMPUTED_VALUE"""),"Moonbay Villas")</f>
        <v>Moonbay Villas</v>
      </c>
      <c r="C14659" s="2" t="str">
        <f ca="1">IFERROR(__xludf.DUMMYFUNCTION("""COMPUTED_VALUE"""),"Neighbourhood")</f>
        <v>Neighbourhood</v>
      </c>
      <c r="D14659" s="2" t="str">
        <f ca="1">IFERROR(__xludf.DUMMYFUNCTION("""COMPUTED_VALUE"""),"Dubai&gt;Jumeirah Village Circle (JVC)&gt;JVC District 15&gt;Moonbay Villas")</f>
        <v>Dubai&gt;Jumeirah Village Circle (JVC)&gt;JVC District 15&gt;Moonbay Villas</v>
      </c>
      <c r="E14659" s="2"/>
      <c r="F14659" s="2"/>
      <c r="G14659" s="2"/>
      <c r="H14659" s="2"/>
      <c r="I14659" s="2"/>
      <c r="J14659" s="2"/>
      <c r="K14659" s="2"/>
      <c r="L14659" s="2"/>
      <c r="M14659" s="2"/>
      <c r="N14659" s="2"/>
      <c r="O14659" s="2"/>
      <c r="P14659" s="2"/>
      <c r="Q14659" s="2"/>
      <c r="R14659" s="2"/>
      <c r="S14659" s="2"/>
      <c r="T14659" s="2"/>
      <c r="U14659" s="2"/>
      <c r="V14659" s="2"/>
      <c r="W14659" s="2"/>
      <c r="X14659" s="2"/>
      <c r="Y14659" s="2"/>
      <c r="Z14659" s="2"/>
    </row>
    <row r="14660" spans="1:26" ht="16.5" x14ac:dyDescent="0.35">
      <c r="A14660" s="2" t="str">
        <f ca="1">IFERROR(__xludf.DUMMYFUNCTION("""COMPUTED_VALUE"""),"Dubai")</f>
        <v>Dubai</v>
      </c>
      <c r="B14660" s="2" t="str">
        <f ca="1">IFERROR(__xludf.DUMMYFUNCTION("""COMPUTED_VALUE"""),"JVC District 11")</f>
        <v>JVC District 11</v>
      </c>
      <c r="C14660" s="2" t="str">
        <f ca="1">IFERROR(__xludf.DUMMYFUNCTION("""COMPUTED_VALUE"""),"Neighbourhood")</f>
        <v>Neighbourhood</v>
      </c>
      <c r="D14660" s="2" t="str">
        <f ca="1">IFERROR(__xludf.DUMMYFUNCTION("""COMPUTED_VALUE"""),"Dubai&gt;Jumeirah Village Circle (JVC)&gt;JVC District 11")</f>
        <v>Dubai&gt;Jumeirah Village Circle (JVC)&gt;JVC District 11</v>
      </c>
      <c r="E14660" s="2"/>
      <c r="F14660" s="2"/>
      <c r="G14660" s="2"/>
      <c r="H14660" s="2"/>
      <c r="I14660" s="2"/>
      <c r="J14660" s="2"/>
      <c r="K14660" s="2"/>
      <c r="L14660" s="2"/>
      <c r="M14660" s="2"/>
      <c r="N14660" s="2"/>
      <c r="O14660" s="2"/>
      <c r="P14660" s="2"/>
      <c r="Q14660" s="2"/>
      <c r="R14660" s="2"/>
      <c r="S14660" s="2"/>
      <c r="T14660" s="2"/>
      <c r="U14660" s="2"/>
      <c r="V14660" s="2"/>
      <c r="W14660" s="2"/>
      <c r="X14660" s="2"/>
      <c r="Y14660" s="2"/>
      <c r="Z14660" s="2"/>
    </row>
    <row r="14661" spans="1:26" ht="16.5" x14ac:dyDescent="0.35">
      <c r="A14661" s="2" t="str">
        <f ca="1">IFERROR(__xludf.DUMMYFUNCTION("""COMPUTED_VALUE"""),"Dubai")</f>
        <v>Dubai</v>
      </c>
      <c r="B14661" s="2" t="str">
        <f ca="1">IFERROR(__xludf.DUMMYFUNCTION("""COMPUTED_VALUE"""),"Joya Verde Residences")</f>
        <v>Joya Verde Residences</v>
      </c>
      <c r="C14661" s="2" t="str">
        <f ca="1">IFERROR(__xludf.DUMMYFUNCTION("""COMPUTED_VALUE"""),"Building")</f>
        <v>Building</v>
      </c>
      <c r="D14661" s="2" t="str">
        <f ca="1">IFERROR(__xludf.DUMMYFUNCTION("""COMPUTED_VALUE"""),"Dubai&gt;Jumeirah Village Circle (JVC)&gt;JVC District 11&gt;Joya Verde Residences")</f>
        <v>Dubai&gt;Jumeirah Village Circle (JVC)&gt;JVC District 11&gt;Joya Verde Residences</v>
      </c>
      <c r="E14661" s="2"/>
      <c r="F14661" s="2"/>
      <c r="G14661" s="2"/>
      <c r="H14661" s="2"/>
      <c r="I14661" s="2"/>
      <c r="J14661" s="2"/>
      <c r="K14661" s="2"/>
      <c r="L14661" s="2"/>
      <c r="M14661" s="2"/>
      <c r="N14661" s="2"/>
      <c r="O14661" s="2"/>
      <c r="P14661" s="2"/>
      <c r="Q14661" s="2"/>
      <c r="R14661" s="2"/>
      <c r="S14661" s="2"/>
      <c r="T14661" s="2"/>
      <c r="U14661" s="2"/>
      <c r="V14661" s="2"/>
      <c r="W14661" s="2"/>
      <c r="X14661" s="2"/>
      <c r="Y14661" s="2"/>
      <c r="Z14661" s="2"/>
    </row>
    <row r="14662" spans="1:26" ht="16.5" x14ac:dyDescent="0.35">
      <c r="A14662" s="2" t="str">
        <f ca="1">IFERROR(__xludf.DUMMYFUNCTION("""COMPUTED_VALUE"""),"Dubai")</f>
        <v>Dubai</v>
      </c>
      <c r="B14662" s="2" t="str">
        <f ca="1">IFERROR(__xludf.DUMMYFUNCTION("""COMPUTED_VALUE"""),"Bluebell  Residence")</f>
        <v>Bluebell  Residence</v>
      </c>
      <c r="C14662" s="2" t="str">
        <f ca="1">IFERROR(__xludf.DUMMYFUNCTION("""COMPUTED_VALUE"""),"Building")</f>
        <v>Building</v>
      </c>
      <c r="D14662" s="2" t="str">
        <f ca="1">IFERROR(__xludf.DUMMYFUNCTION("""COMPUTED_VALUE"""),"Dubai&gt;Jumeirah Village Circle (JVC)&gt;JVC District 11&gt;Bluebell  Residence")</f>
        <v>Dubai&gt;Jumeirah Village Circle (JVC)&gt;JVC District 11&gt;Bluebell  Residence</v>
      </c>
      <c r="E14662" s="2"/>
      <c r="F14662" s="2"/>
      <c r="G14662" s="2"/>
      <c r="H14662" s="2"/>
      <c r="I14662" s="2"/>
      <c r="J14662" s="2"/>
      <c r="K14662" s="2"/>
      <c r="L14662" s="2"/>
      <c r="M14662" s="2"/>
      <c r="N14662" s="2"/>
      <c r="O14662" s="2"/>
      <c r="P14662" s="2"/>
      <c r="Q14662" s="2"/>
      <c r="R14662" s="2"/>
      <c r="S14662" s="2"/>
      <c r="T14662" s="2"/>
      <c r="U14662" s="2"/>
      <c r="V14662" s="2"/>
      <c r="W14662" s="2"/>
      <c r="X14662" s="2"/>
      <c r="Y14662" s="2"/>
      <c r="Z14662" s="2"/>
    </row>
    <row r="14663" spans="1:26" ht="16.5" x14ac:dyDescent="0.35">
      <c r="A14663" s="2" t="str">
        <f ca="1">IFERROR(__xludf.DUMMYFUNCTION("""COMPUTED_VALUE"""),"Dubai")</f>
        <v>Dubai</v>
      </c>
      <c r="B14663" s="2" t="str">
        <f ca="1">IFERROR(__xludf.DUMMYFUNCTION("""COMPUTED_VALUE"""),"Vivanti Residences")</f>
        <v>Vivanti Residences</v>
      </c>
      <c r="C14663" s="2" t="str">
        <f ca="1">IFERROR(__xludf.DUMMYFUNCTION("""COMPUTED_VALUE"""),"Cluster")</f>
        <v>Cluster</v>
      </c>
      <c r="D14663" s="2" t="str">
        <f ca="1">IFERROR(__xludf.DUMMYFUNCTION("""COMPUTED_VALUE"""),"Dubai&gt;Jumeirah Village Circle (JVC)&gt;JVC District 11&gt;Vivanti Residences")</f>
        <v>Dubai&gt;Jumeirah Village Circle (JVC)&gt;JVC District 11&gt;Vivanti Residences</v>
      </c>
      <c r="E14663" s="2"/>
      <c r="F14663" s="2"/>
      <c r="G14663" s="2"/>
      <c r="H14663" s="2"/>
      <c r="I14663" s="2"/>
      <c r="J14663" s="2"/>
      <c r="K14663" s="2"/>
      <c r="L14663" s="2"/>
      <c r="M14663" s="2"/>
      <c r="N14663" s="2"/>
      <c r="O14663" s="2"/>
      <c r="P14663" s="2"/>
      <c r="Q14663" s="2"/>
      <c r="R14663" s="2"/>
      <c r="S14663" s="2"/>
      <c r="T14663" s="2"/>
      <c r="U14663" s="2"/>
      <c r="V14663" s="2"/>
      <c r="W14663" s="2"/>
      <c r="X14663" s="2"/>
      <c r="Y14663" s="2"/>
      <c r="Z14663" s="2"/>
    </row>
    <row r="14664" spans="1:26" ht="16.5" x14ac:dyDescent="0.35">
      <c r="A14664" s="2" t="str">
        <f ca="1">IFERROR(__xludf.DUMMYFUNCTION("""COMPUTED_VALUE"""),"Dubai")</f>
        <v>Dubai</v>
      </c>
      <c r="B14664" s="2" t="str">
        <f ca="1">IFERROR(__xludf.DUMMYFUNCTION("""COMPUTED_VALUE"""),"Aria Residence")</f>
        <v>Aria Residence</v>
      </c>
      <c r="C14664" s="2" t="str">
        <f ca="1">IFERROR(__xludf.DUMMYFUNCTION("""COMPUTED_VALUE"""),"Building")</f>
        <v>Building</v>
      </c>
      <c r="D14664" s="2" t="str">
        <f ca="1">IFERROR(__xludf.DUMMYFUNCTION("""COMPUTED_VALUE"""),"Dubai&gt;Jumeirah Village Circle (JVC)&gt;JVC District 14&gt;Aria Residence")</f>
        <v>Dubai&gt;Jumeirah Village Circle (JVC)&gt;JVC District 14&gt;Aria Residence</v>
      </c>
      <c r="E14664" s="2"/>
      <c r="F14664" s="2"/>
      <c r="G14664" s="2"/>
      <c r="H14664" s="2"/>
      <c r="I14664" s="2"/>
      <c r="J14664" s="2"/>
      <c r="K14664" s="2"/>
      <c r="L14664" s="2"/>
      <c r="M14664" s="2"/>
      <c r="N14664" s="2"/>
      <c r="O14664" s="2"/>
      <c r="P14664" s="2"/>
      <c r="Q14664" s="2"/>
      <c r="R14664" s="2"/>
      <c r="S14664" s="2"/>
      <c r="T14664" s="2"/>
      <c r="U14664" s="2"/>
      <c r="V14664" s="2"/>
      <c r="W14664" s="2"/>
      <c r="X14664" s="2"/>
      <c r="Y14664" s="2"/>
      <c r="Z14664" s="2"/>
    </row>
    <row r="14665" spans="1:26" ht="16.5" x14ac:dyDescent="0.35">
      <c r="A14665" s="2" t="str">
        <f ca="1">IFERROR(__xludf.DUMMYFUNCTION("""COMPUTED_VALUE"""),"Dubai")</f>
        <v>Dubai</v>
      </c>
      <c r="B14665" s="2" t="str">
        <f ca="1">IFERROR(__xludf.DUMMYFUNCTION("""COMPUTED_VALUE"""),"Hamilton House")</f>
        <v>Hamilton House</v>
      </c>
      <c r="C14665" s="2" t="str">
        <f ca="1">IFERROR(__xludf.DUMMYFUNCTION("""COMPUTED_VALUE"""),"Building")</f>
        <v>Building</v>
      </c>
      <c r="D14665" s="2" t="str">
        <f ca="1">IFERROR(__xludf.DUMMYFUNCTION("""COMPUTED_VALUE"""),"Dubai&gt;Jumeirah Village Circle (JVC)&gt;JVC District 14&gt;Hamilton House")</f>
        <v>Dubai&gt;Jumeirah Village Circle (JVC)&gt;JVC District 14&gt;Hamilton House</v>
      </c>
      <c r="E14665" s="2"/>
      <c r="F14665" s="2"/>
      <c r="G14665" s="2"/>
      <c r="H14665" s="2"/>
      <c r="I14665" s="2"/>
      <c r="J14665" s="2"/>
      <c r="K14665" s="2"/>
      <c r="L14665" s="2"/>
      <c r="M14665" s="2"/>
      <c r="N14665" s="2"/>
      <c r="O14665" s="2"/>
      <c r="P14665" s="2"/>
      <c r="Q14665" s="2"/>
      <c r="R14665" s="2"/>
      <c r="S14665" s="2"/>
      <c r="T14665" s="2"/>
      <c r="U14665" s="2"/>
      <c r="V14665" s="2"/>
      <c r="W14665" s="2"/>
      <c r="X14665" s="2"/>
      <c r="Y14665" s="2"/>
      <c r="Z14665" s="2"/>
    </row>
    <row r="14666" spans="1:26" ht="16.5" x14ac:dyDescent="0.35">
      <c r="A14666" s="2" t="str">
        <f ca="1">IFERROR(__xludf.DUMMYFUNCTION("""COMPUTED_VALUE"""),"Dubai")</f>
        <v>Dubai</v>
      </c>
      <c r="B14666" s="2" t="str">
        <f ca="1">IFERROR(__xludf.DUMMYFUNCTION("""COMPUTED_VALUE"""),"77 Boulevard by Bam")</f>
        <v>77 Boulevard by Bam</v>
      </c>
      <c r="C14666" s="2" t="str">
        <f ca="1">IFERROR(__xludf.DUMMYFUNCTION("""COMPUTED_VALUE"""),"Building")</f>
        <v>Building</v>
      </c>
      <c r="D14666" s="2" t="str">
        <f ca="1">IFERROR(__xludf.DUMMYFUNCTION("""COMPUTED_VALUE"""),"Dubai&gt;Jumeirah Village Circle (JVC)&gt;JVC District 14&gt;77 Boulevard by Bam")</f>
        <v>Dubai&gt;Jumeirah Village Circle (JVC)&gt;JVC District 14&gt;77 Boulevard by Bam</v>
      </c>
      <c r="E14666" s="2"/>
      <c r="F14666" s="2"/>
      <c r="G14666" s="2"/>
      <c r="H14666" s="2"/>
      <c r="I14666" s="2"/>
      <c r="J14666" s="2"/>
      <c r="K14666" s="2"/>
      <c r="L14666" s="2"/>
      <c r="M14666" s="2"/>
      <c r="N14666" s="2"/>
      <c r="O14666" s="2"/>
      <c r="P14666" s="2"/>
      <c r="Q14666" s="2"/>
      <c r="R14666" s="2"/>
      <c r="S14666" s="2"/>
      <c r="T14666" s="2"/>
      <c r="U14666" s="2"/>
      <c r="V14666" s="2"/>
      <c r="W14666" s="2"/>
      <c r="X14666" s="2"/>
      <c r="Y14666" s="2"/>
      <c r="Z14666" s="2"/>
    </row>
    <row r="14667" spans="1:26" ht="16.5" x14ac:dyDescent="0.35">
      <c r="A14667" s="2" t="str">
        <f ca="1">IFERROR(__xludf.DUMMYFUNCTION("""COMPUTED_VALUE"""),"Dubai")</f>
        <v>Dubai</v>
      </c>
      <c r="B14667" s="2" t="str">
        <f ca="1">IFERROR(__xludf.DUMMYFUNCTION("""COMPUTED_VALUE"""),"Indigo Tower")</f>
        <v>Indigo Tower</v>
      </c>
      <c r="C14667" s="2" t="str">
        <f ca="1">IFERROR(__xludf.DUMMYFUNCTION("""COMPUTED_VALUE"""),"Building")</f>
        <v>Building</v>
      </c>
      <c r="D14667" s="2" t="str">
        <f ca="1">IFERROR(__xludf.DUMMYFUNCTION("""COMPUTED_VALUE"""),"Dubai&gt;Dubai Land Residence Complex&gt;Indigo Tower")</f>
        <v>Dubai&gt;Dubai Land Residence Complex&gt;Indigo Tower</v>
      </c>
      <c r="E14667" s="2"/>
      <c r="F14667" s="2"/>
      <c r="G14667" s="2"/>
      <c r="H14667" s="2"/>
      <c r="I14667" s="2"/>
      <c r="J14667" s="2"/>
      <c r="K14667" s="2"/>
      <c r="L14667" s="2"/>
      <c r="M14667" s="2"/>
      <c r="N14667" s="2"/>
      <c r="O14667" s="2"/>
      <c r="P14667" s="2"/>
      <c r="Q14667" s="2"/>
      <c r="R14667" s="2"/>
      <c r="S14667" s="2"/>
      <c r="T14667" s="2"/>
      <c r="U14667" s="2"/>
      <c r="V14667" s="2"/>
      <c r="W14667" s="2"/>
      <c r="X14667" s="2"/>
      <c r="Y14667" s="2"/>
      <c r="Z14667" s="2"/>
    </row>
    <row r="14668" spans="1:26" ht="16.5" x14ac:dyDescent="0.35">
      <c r="A14668" s="2" t="str">
        <f ca="1">IFERROR(__xludf.DUMMYFUNCTION("""COMPUTED_VALUE"""),"Dubai")</f>
        <v>Dubai</v>
      </c>
      <c r="B14668" s="2" t="str">
        <f ca="1">IFERROR(__xludf.DUMMYFUNCTION("""COMPUTED_VALUE"""),"Pyramisa Hotel Apartments")</f>
        <v>Pyramisa Hotel Apartments</v>
      </c>
      <c r="C14668" s="2" t="str">
        <f ca="1">IFERROR(__xludf.DUMMYFUNCTION("""COMPUTED_VALUE"""),"Building")</f>
        <v>Building</v>
      </c>
      <c r="D14668" s="2" t="str">
        <f ca="1">IFERROR(__xludf.DUMMYFUNCTION("""COMPUTED_VALUE"""),"Dubai&gt;Dubai Land Residence Complex&gt;Pyramisa Hotel Apartments")</f>
        <v>Dubai&gt;Dubai Land Residence Complex&gt;Pyramisa Hotel Apartments</v>
      </c>
      <c r="E14668" s="2"/>
      <c r="F14668" s="2"/>
      <c r="G14668" s="2"/>
      <c r="H14668" s="2"/>
      <c r="I14668" s="2"/>
      <c r="J14668" s="2"/>
      <c r="K14668" s="2"/>
      <c r="L14668" s="2"/>
      <c r="M14668" s="2"/>
      <c r="N14668" s="2"/>
      <c r="O14668" s="2"/>
      <c r="P14668" s="2"/>
      <c r="Q14668" s="2"/>
      <c r="R14668" s="2"/>
      <c r="S14668" s="2"/>
      <c r="T14668" s="2"/>
      <c r="U14668" s="2"/>
      <c r="V14668" s="2"/>
      <c r="W14668" s="2"/>
      <c r="X14668" s="2"/>
      <c r="Y14668" s="2"/>
      <c r="Z14668" s="2"/>
    </row>
    <row r="14669" spans="1:26" ht="16.5" x14ac:dyDescent="0.35">
      <c r="A14669" s="2" t="str">
        <f ca="1">IFERROR(__xludf.DUMMYFUNCTION("""COMPUTED_VALUE"""),"Dubai")</f>
        <v>Dubai</v>
      </c>
      <c r="B14669" s="2" t="str">
        <f ca="1">IFERROR(__xludf.DUMMYFUNCTION("""COMPUTED_VALUE"""),"Skycourts Tower B")</f>
        <v>Skycourts Tower B</v>
      </c>
      <c r="C14669" s="2" t="str">
        <f ca="1">IFERROR(__xludf.DUMMYFUNCTION("""COMPUTED_VALUE"""),"Building")</f>
        <v>Building</v>
      </c>
      <c r="D14669" s="2" t="str">
        <f ca="1">IFERROR(__xludf.DUMMYFUNCTION("""COMPUTED_VALUE"""),"Dubai&gt;Dubai Land Residence Complex&gt;Skycourts Towers&gt;Skycourts Tower B")</f>
        <v>Dubai&gt;Dubai Land Residence Complex&gt;Skycourts Towers&gt;Skycourts Tower B</v>
      </c>
      <c r="E14669" s="2"/>
      <c r="F14669" s="2"/>
      <c r="G14669" s="2"/>
      <c r="H14669" s="2"/>
      <c r="I14669" s="2"/>
      <c r="J14669" s="2"/>
      <c r="K14669" s="2"/>
      <c r="L14669" s="2"/>
      <c r="M14669" s="2"/>
      <c r="N14669" s="2"/>
      <c r="O14669" s="2"/>
      <c r="P14669" s="2"/>
      <c r="Q14669" s="2"/>
      <c r="R14669" s="2"/>
      <c r="S14669" s="2"/>
      <c r="T14669" s="2"/>
      <c r="U14669" s="2"/>
      <c r="V14669" s="2"/>
      <c r="W14669" s="2"/>
      <c r="X14669" s="2"/>
      <c r="Y14669" s="2"/>
      <c r="Z14669" s="2"/>
    </row>
    <row r="14670" spans="1:26" ht="16.5" x14ac:dyDescent="0.35">
      <c r="A14670" s="2" t="str">
        <f ca="1">IFERROR(__xludf.DUMMYFUNCTION("""COMPUTED_VALUE"""),"Dubai")</f>
        <v>Dubai</v>
      </c>
      <c r="B14670" s="2" t="str">
        <f ca="1">IFERROR(__xludf.DUMMYFUNCTION("""COMPUTED_VALUE"""),"Samana Parkville")</f>
        <v>Samana Parkville</v>
      </c>
      <c r="C14670" s="2" t="str">
        <f ca="1">IFERROR(__xludf.DUMMYFUNCTION("""COMPUTED_VALUE"""),"Building")</f>
        <v>Building</v>
      </c>
      <c r="D14670" s="2" t="str">
        <f ca="1">IFERROR(__xludf.DUMMYFUNCTION("""COMPUTED_VALUE"""),"Dubai&gt;Dubai Land Residence Complex&gt;Samana Parkville")</f>
        <v>Dubai&gt;Dubai Land Residence Complex&gt;Samana Parkville</v>
      </c>
      <c r="E14670" s="2"/>
      <c r="F14670" s="2"/>
      <c r="G14670" s="2"/>
      <c r="H14670" s="2"/>
      <c r="I14670" s="2"/>
      <c r="J14670" s="2"/>
      <c r="K14670" s="2"/>
      <c r="L14670" s="2"/>
      <c r="M14670" s="2"/>
      <c r="N14670" s="2"/>
      <c r="O14670" s="2"/>
      <c r="P14670" s="2"/>
      <c r="Q14670" s="2"/>
      <c r="R14670" s="2"/>
      <c r="S14670" s="2"/>
      <c r="T14670" s="2"/>
      <c r="U14670" s="2"/>
      <c r="V14670" s="2"/>
      <c r="W14670" s="2"/>
      <c r="X14670" s="2"/>
      <c r="Y14670" s="2"/>
      <c r="Z14670" s="2"/>
    </row>
    <row r="14671" spans="1:26" ht="16.5" x14ac:dyDescent="0.35">
      <c r="A14671" s="2" t="str">
        <f ca="1">IFERROR(__xludf.DUMMYFUNCTION("""COMPUTED_VALUE"""),"Dubai")</f>
        <v>Dubai</v>
      </c>
      <c r="B14671" s="2" t="str">
        <f ca="1">IFERROR(__xludf.DUMMYFUNCTION("""COMPUTED_VALUE"""),"Uptown School")</f>
        <v>Uptown School</v>
      </c>
      <c r="C14671" s="2" t="str">
        <f ca="1">IFERROR(__xludf.DUMMYFUNCTION("""COMPUTED_VALUE"""),"School")</f>
        <v>School</v>
      </c>
      <c r="D14671" s="2" t="str">
        <f ca="1">IFERROR(__xludf.DUMMYFUNCTION("""COMPUTED_VALUE"""),"Dubai&gt;Mirdif&gt;Uptown School")</f>
        <v>Dubai&gt;Mirdif&gt;Uptown School</v>
      </c>
      <c r="E14671" s="2"/>
      <c r="F14671" s="2"/>
      <c r="G14671" s="2"/>
      <c r="H14671" s="2"/>
      <c r="I14671" s="2"/>
      <c r="J14671" s="2"/>
      <c r="K14671" s="2"/>
      <c r="L14671" s="2"/>
      <c r="M14671" s="2"/>
      <c r="N14671" s="2"/>
      <c r="O14671" s="2"/>
      <c r="P14671" s="2"/>
      <c r="Q14671" s="2"/>
      <c r="R14671" s="2"/>
      <c r="S14671" s="2"/>
      <c r="T14671" s="2"/>
      <c r="U14671" s="2"/>
      <c r="V14671" s="2"/>
      <c r="W14671" s="2"/>
      <c r="X14671" s="2"/>
      <c r="Y14671" s="2"/>
      <c r="Z14671" s="2"/>
    </row>
    <row r="14672" spans="1:26" ht="16.5" x14ac:dyDescent="0.35">
      <c r="A14672" s="2" t="str">
        <f ca="1">IFERROR(__xludf.DUMMYFUNCTION("""COMPUTED_VALUE"""),"Dubai")</f>
        <v>Dubai</v>
      </c>
      <c r="B14672" s="2" t="str">
        <f ca="1">IFERROR(__xludf.DUMMYFUNCTION("""COMPUTED_VALUE"""),"Nasayem Avenue Block B")</f>
        <v>Nasayem Avenue Block B</v>
      </c>
      <c r="C14672" s="2" t="str">
        <f ca="1">IFERROR(__xludf.DUMMYFUNCTION("""COMPUTED_VALUE"""),"Building")</f>
        <v>Building</v>
      </c>
      <c r="D14672" s="2" t="str">
        <f ca="1">IFERROR(__xludf.DUMMYFUNCTION("""COMPUTED_VALUE"""),"Dubai&gt;Mirdif&gt;Mirdif Hills&gt;Nasayem Avenue&gt;Nasayem Avenue Block B")</f>
        <v>Dubai&gt;Mirdif&gt;Mirdif Hills&gt;Nasayem Avenue&gt;Nasayem Avenue Block B</v>
      </c>
      <c r="E14672" s="2"/>
      <c r="F14672" s="2"/>
      <c r="G14672" s="2"/>
      <c r="H14672" s="2"/>
      <c r="I14672" s="2"/>
      <c r="J14672" s="2"/>
      <c r="K14672" s="2"/>
      <c r="L14672" s="2"/>
      <c r="M14672" s="2"/>
      <c r="N14672" s="2"/>
      <c r="O14672" s="2"/>
      <c r="P14672" s="2"/>
      <c r="Q14672" s="2"/>
      <c r="R14672" s="2"/>
      <c r="S14672" s="2"/>
      <c r="T14672" s="2"/>
      <c r="U14672" s="2"/>
      <c r="V14672" s="2"/>
      <c r="W14672" s="2"/>
      <c r="X14672" s="2"/>
      <c r="Y14672" s="2"/>
      <c r="Z14672" s="2"/>
    </row>
    <row r="14673" spans="1:26" ht="16.5" x14ac:dyDescent="0.35">
      <c r="A14673" s="2" t="str">
        <f ca="1">IFERROR(__xludf.DUMMYFUNCTION("""COMPUTED_VALUE"""),"Dubai")</f>
        <v>Dubai</v>
      </c>
      <c r="B14673" s="2" t="str">
        <f ca="1">IFERROR(__xludf.DUMMYFUNCTION("""COMPUTED_VALUE"""),"The Lakes")</f>
        <v>The Lakes</v>
      </c>
      <c r="C14673" s="2" t="str">
        <f ca="1">IFERROR(__xludf.DUMMYFUNCTION("""COMPUTED_VALUE"""),"Neighbourhood")</f>
        <v>Neighbourhood</v>
      </c>
      <c r="D14673" s="2" t="str">
        <f ca="1">IFERROR(__xludf.DUMMYFUNCTION("""COMPUTED_VALUE"""),"Dubai&gt;The Lakes")</f>
        <v>Dubai&gt;The Lakes</v>
      </c>
      <c r="E14673" s="2"/>
      <c r="F14673" s="2"/>
      <c r="G14673" s="2"/>
      <c r="H14673" s="2"/>
      <c r="I14673" s="2"/>
      <c r="J14673" s="2"/>
      <c r="K14673" s="2"/>
      <c r="L14673" s="2"/>
      <c r="M14673" s="2"/>
      <c r="N14673" s="2"/>
      <c r="O14673" s="2"/>
      <c r="P14673" s="2"/>
      <c r="Q14673" s="2"/>
      <c r="R14673" s="2"/>
      <c r="S14673" s="2"/>
      <c r="T14673" s="2"/>
      <c r="U14673" s="2"/>
      <c r="V14673" s="2"/>
      <c r="W14673" s="2"/>
      <c r="X14673" s="2"/>
      <c r="Y14673" s="2"/>
      <c r="Z14673" s="2"/>
    </row>
    <row r="14674" spans="1:26" ht="16.5" x14ac:dyDescent="0.35">
      <c r="A14674" s="2" t="str">
        <f ca="1">IFERROR(__xludf.DUMMYFUNCTION("""COMPUTED_VALUE"""),"Dubai")</f>
        <v>Dubai</v>
      </c>
      <c r="B14674" s="2" t="str">
        <f ca="1">IFERROR(__xludf.DUMMYFUNCTION("""COMPUTED_VALUE"""),"Gulf Indian High School")</f>
        <v>Gulf Indian High School</v>
      </c>
      <c r="C14674" s="2" t="str">
        <f ca="1">IFERROR(__xludf.DUMMYFUNCTION("""COMPUTED_VALUE"""),"School")</f>
        <v>School</v>
      </c>
      <c r="D14674" s="2" t="str">
        <f ca="1">IFERROR(__xludf.DUMMYFUNCTION("""COMPUTED_VALUE"""),"Dubai&gt;Al Garhoud&gt;Gulf Indian High School")</f>
        <v>Dubai&gt;Al Garhoud&gt;Gulf Indian High School</v>
      </c>
      <c r="E14674" s="2"/>
      <c r="F14674" s="2"/>
      <c r="G14674" s="2"/>
      <c r="H14674" s="2"/>
      <c r="I14674" s="2"/>
      <c r="J14674" s="2"/>
      <c r="K14674" s="2"/>
      <c r="L14674" s="2"/>
      <c r="M14674" s="2"/>
      <c r="N14674" s="2"/>
      <c r="O14674" s="2"/>
      <c r="P14674" s="2"/>
      <c r="Q14674" s="2"/>
      <c r="R14674" s="2"/>
      <c r="S14674" s="2"/>
      <c r="T14674" s="2"/>
      <c r="U14674" s="2"/>
      <c r="V14674" s="2"/>
      <c r="W14674" s="2"/>
      <c r="X14674" s="2"/>
      <c r="Y14674" s="2"/>
      <c r="Z14674" s="2"/>
    </row>
    <row r="14675" spans="1:26" ht="16.5" x14ac:dyDescent="0.35">
      <c r="A14675" s="2" t="str">
        <f ca="1">IFERROR(__xludf.DUMMYFUNCTION("""COMPUTED_VALUE"""),"Dubai")</f>
        <v>Dubai</v>
      </c>
      <c r="B14675" s="2" t="str">
        <f ca="1">IFERROR(__xludf.DUMMYFUNCTION("""COMPUTED_VALUE"""),"Juma Al Majid The Business Center")</f>
        <v>Juma Al Majid The Business Center</v>
      </c>
      <c r="C14675" s="2" t="str">
        <f ca="1">IFERROR(__xludf.DUMMYFUNCTION("""COMPUTED_VALUE"""),"Building")</f>
        <v>Building</v>
      </c>
      <c r="D14675" s="2" t="str">
        <f ca="1">IFERROR(__xludf.DUMMYFUNCTION("""COMPUTED_VALUE"""),"Dubai&gt;Al Garhoud&gt;Juma Al Majid The Business Center")</f>
        <v>Dubai&gt;Al Garhoud&gt;Juma Al Majid The Business Center</v>
      </c>
      <c r="E14675" s="2"/>
      <c r="F14675" s="2"/>
      <c r="G14675" s="2"/>
      <c r="H14675" s="2"/>
      <c r="I14675" s="2"/>
      <c r="J14675" s="2"/>
      <c r="K14675" s="2"/>
      <c r="L14675" s="2"/>
      <c r="M14675" s="2"/>
      <c r="N14675" s="2"/>
      <c r="O14675" s="2"/>
      <c r="P14675" s="2"/>
      <c r="Q14675" s="2"/>
      <c r="R14675" s="2"/>
      <c r="S14675" s="2"/>
      <c r="T14675" s="2"/>
      <c r="U14675" s="2"/>
      <c r="V14675" s="2"/>
      <c r="W14675" s="2"/>
      <c r="X14675" s="2"/>
      <c r="Y14675" s="2"/>
      <c r="Z14675" s="2"/>
    </row>
    <row r="14676" spans="1:26" ht="16.5" x14ac:dyDescent="0.35">
      <c r="A14676" s="2" t="str">
        <f ca="1">IFERROR(__xludf.DUMMYFUNCTION("""COMPUTED_VALUE"""),"Dubai")</f>
        <v>Dubai</v>
      </c>
      <c r="B14676" s="2" t="str">
        <f ca="1">IFERROR(__xludf.DUMMYFUNCTION("""COMPUTED_VALUE"""),"Al Durah 4 Building")</f>
        <v>Al Durah 4 Building</v>
      </c>
      <c r="C14676" s="2" t="str">
        <f ca="1">IFERROR(__xludf.DUMMYFUNCTION("""COMPUTED_VALUE"""),"Building")</f>
        <v>Building</v>
      </c>
      <c r="D14676" s="2" t="str">
        <f ca="1">IFERROR(__xludf.DUMMYFUNCTION("""COMPUTED_VALUE"""),"Dubai&gt;Al Garhoud&gt;Al Durah 4 Building")</f>
        <v>Dubai&gt;Al Garhoud&gt;Al Durah 4 Building</v>
      </c>
      <c r="E14676" s="2"/>
      <c r="F14676" s="2"/>
      <c r="G14676" s="2"/>
      <c r="H14676" s="2"/>
      <c r="I14676" s="2"/>
      <c r="J14676" s="2"/>
      <c r="K14676" s="2"/>
      <c r="L14676" s="2"/>
      <c r="M14676" s="2"/>
      <c r="N14676" s="2"/>
      <c r="O14676" s="2"/>
      <c r="P14676" s="2"/>
      <c r="Q14676" s="2"/>
      <c r="R14676" s="2"/>
      <c r="S14676" s="2"/>
      <c r="T14676" s="2"/>
      <c r="U14676" s="2"/>
      <c r="V14676" s="2"/>
      <c r="W14676" s="2"/>
      <c r="X14676" s="2"/>
      <c r="Y14676" s="2"/>
      <c r="Z14676" s="2"/>
    </row>
    <row r="14677" spans="1:26" ht="16.5" x14ac:dyDescent="0.35">
      <c r="A14677" s="2" t="str">
        <f ca="1">IFERROR(__xludf.DUMMYFUNCTION("""COMPUTED_VALUE"""),"Dubai")</f>
        <v>Dubai</v>
      </c>
      <c r="B14677" s="2" t="str">
        <f ca="1">IFERROR(__xludf.DUMMYFUNCTION("""COMPUTED_VALUE"""),"Cluster 15")</f>
        <v>Cluster 15</v>
      </c>
      <c r="C14677" s="2" t="str">
        <f ca="1">IFERROR(__xludf.DUMMYFUNCTION("""COMPUTED_VALUE"""),"Neighbourhood")</f>
        <v>Neighbourhood</v>
      </c>
      <c r="D14677" s="2" t="str">
        <f ca="1">IFERROR(__xludf.DUMMYFUNCTION("""COMPUTED_VALUE"""),"Dubai&gt;Jumeirah Islands&gt;Cluster 15")</f>
        <v>Dubai&gt;Jumeirah Islands&gt;Cluster 15</v>
      </c>
      <c r="E14677" s="2"/>
      <c r="F14677" s="2"/>
      <c r="G14677" s="2"/>
      <c r="H14677" s="2"/>
      <c r="I14677" s="2"/>
      <c r="J14677" s="2"/>
      <c r="K14677" s="2"/>
      <c r="L14677" s="2"/>
      <c r="M14677" s="2"/>
      <c r="N14677" s="2"/>
      <c r="O14677" s="2"/>
      <c r="P14677" s="2"/>
      <c r="Q14677" s="2"/>
      <c r="R14677" s="2"/>
      <c r="S14677" s="2"/>
      <c r="T14677" s="2"/>
      <c r="U14677" s="2"/>
      <c r="V14677" s="2"/>
      <c r="W14677" s="2"/>
      <c r="X14677" s="2"/>
      <c r="Y14677" s="2"/>
      <c r="Z14677" s="2"/>
    </row>
    <row r="14678" spans="1:26" ht="16.5" x14ac:dyDescent="0.35">
      <c r="A14678" s="2" t="str">
        <f ca="1">IFERROR(__xludf.DUMMYFUNCTION("""COMPUTED_VALUE"""),"Dubai")</f>
        <v>Dubai</v>
      </c>
      <c r="B14678" s="2" t="str">
        <f ca="1">IFERROR(__xludf.DUMMYFUNCTION("""COMPUTED_VALUE"""),"Cluster 47")</f>
        <v>Cluster 47</v>
      </c>
      <c r="C14678" s="2" t="str">
        <f ca="1">IFERROR(__xludf.DUMMYFUNCTION("""COMPUTED_VALUE"""),"Neighbourhood")</f>
        <v>Neighbourhood</v>
      </c>
      <c r="D14678" s="2" t="str">
        <f ca="1">IFERROR(__xludf.DUMMYFUNCTION("""COMPUTED_VALUE"""),"Dubai&gt;Jumeirah Islands&gt;Cluster 47")</f>
        <v>Dubai&gt;Jumeirah Islands&gt;Cluster 47</v>
      </c>
      <c r="E14678" s="2"/>
      <c r="F14678" s="2"/>
      <c r="G14678" s="2"/>
      <c r="H14678" s="2"/>
      <c r="I14678" s="2"/>
      <c r="J14678" s="2"/>
      <c r="K14678" s="2"/>
      <c r="L14678" s="2"/>
      <c r="M14678" s="2"/>
      <c r="N14678" s="2"/>
      <c r="O14678" s="2"/>
      <c r="P14678" s="2"/>
      <c r="Q14678" s="2"/>
      <c r="R14678" s="2"/>
      <c r="S14678" s="2"/>
      <c r="T14678" s="2"/>
      <c r="U14678" s="2"/>
      <c r="V14678" s="2"/>
      <c r="W14678" s="2"/>
      <c r="X14678" s="2"/>
      <c r="Y14678" s="2"/>
      <c r="Z14678" s="2"/>
    </row>
    <row r="14679" spans="1:26" ht="16.5" x14ac:dyDescent="0.35">
      <c r="A14679" s="2" t="str">
        <f ca="1">IFERROR(__xludf.DUMMYFUNCTION("""COMPUTED_VALUE"""),"Dubai")</f>
        <v>Dubai</v>
      </c>
      <c r="B14679" s="2" t="str">
        <f ca="1">IFERROR(__xludf.DUMMYFUNCTION("""COMPUTED_VALUE"""),"Garden Apartments East G")</f>
        <v>Garden Apartments East G</v>
      </c>
      <c r="C14679" s="2" t="str">
        <f ca="1">IFERROR(__xludf.DUMMYFUNCTION("""COMPUTED_VALUE"""),"Building")</f>
        <v>Building</v>
      </c>
      <c r="D14679" s="2" t="str">
        <f ca="1">IFERROR(__xludf.DUMMYFUNCTION("""COMPUTED_VALUE"""),"Dubai&gt;Green Community&gt;Garden East Apartments&gt;Garden Apartments East G")</f>
        <v>Dubai&gt;Green Community&gt;Garden East Apartments&gt;Garden Apartments East G</v>
      </c>
      <c r="E14679" s="2"/>
      <c r="F14679" s="2"/>
      <c r="G14679" s="2"/>
      <c r="H14679" s="2"/>
      <c r="I14679" s="2"/>
      <c r="J14679" s="2"/>
      <c r="K14679" s="2"/>
      <c r="L14679" s="2"/>
      <c r="M14679" s="2"/>
      <c r="N14679" s="2"/>
      <c r="O14679" s="2"/>
      <c r="P14679" s="2"/>
      <c r="Q14679" s="2"/>
      <c r="R14679" s="2"/>
      <c r="S14679" s="2"/>
      <c r="T14679" s="2"/>
      <c r="U14679" s="2"/>
      <c r="V14679" s="2"/>
      <c r="W14679" s="2"/>
      <c r="X14679" s="2"/>
      <c r="Y14679" s="2"/>
      <c r="Z14679" s="2"/>
    </row>
    <row r="14680" spans="1:26" ht="16.5" x14ac:dyDescent="0.35">
      <c r="A14680" s="2" t="str">
        <f ca="1">IFERROR(__xludf.DUMMYFUNCTION("""COMPUTED_VALUE"""),"Dubai")</f>
        <v>Dubai</v>
      </c>
      <c r="B14680" s="2" t="str">
        <f ca="1">IFERROR(__xludf.DUMMYFUNCTION("""COMPUTED_VALUE"""),"Southwest Apartments 5")</f>
        <v>Southwest Apartments 5</v>
      </c>
      <c r="C14680" s="2" t="str">
        <f ca="1">IFERROR(__xludf.DUMMYFUNCTION("""COMPUTED_VALUE"""),"Building")</f>
        <v>Building</v>
      </c>
      <c r="D14680" s="2" t="str">
        <f ca="1">IFERROR(__xludf.DUMMYFUNCTION("""COMPUTED_VALUE"""),"Dubai&gt;Green Community&gt;Green Community West&gt;Southwest Apartments&gt;Southwest Apartments 5")</f>
        <v>Dubai&gt;Green Community&gt;Green Community West&gt;Southwest Apartments&gt;Southwest Apartments 5</v>
      </c>
      <c r="E14680" s="2"/>
      <c r="F14680" s="2"/>
      <c r="G14680" s="2"/>
      <c r="H14680" s="2"/>
      <c r="I14680" s="2"/>
      <c r="J14680" s="2"/>
      <c r="K14680" s="2"/>
      <c r="L14680" s="2"/>
      <c r="M14680" s="2"/>
      <c r="N14680" s="2"/>
      <c r="O14680" s="2"/>
      <c r="P14680" s="2"/>
      <c r="Q14680" s="2"/>
      <c r="R14680" s="2"/>
      <c r="S14680" s="2"/>
      <c r="T14680" s="2"/>
      <c r="U14680" s="2"/>
      <c r="V14680" s="2"/>
      <c r="W14680" s="2"/>
      <c r="X14680" s="2"/>
      <c r="Y14680" s="2"/>
      <c r="Z14680" s="2"/>
    </row>
    <row r="14681" spans="1:26" ht="16.5" x14ac:dyDescent="0.35">
      <c r="A14681" s="2" t="str">
        <f ca="1">IFERROR(__xludf.DUMMYFUNCTION("""COMPUTED_VALUE"""),"Dubai")</f>
        <v>Dubai</v>
      </c>
      <c r="B14681" s="2" t="str">
        <f ca="1">IFERROR(__xludf.DUMMYFUNCTION("""COMPUTED_VALUE"""),"Elite Sports Residence 2")</f>
        <v>Elite Sports Residence 2</v>
      </c>
      <c r="C14681" s="2" t="str">
        <f ca="1">IFERROR(__xludf.DUMMYFUNCTION("""COMPUTED_VALUE"""),"Building")</f>
        <v>Building</v>
      </c>
      <c r="D14681" s="2" t="str">
        <f ca="1">IFERROR(__xludf.DUMMYFUNCTION("""COMPUTED_VALUE"""),"Dubai&gt;Dubai Sports City&gt;Elite Sports Residence&gt;Elite Sports Residence 2")</f>
        <v>Dubai&gt;Dubai Sports City&gt;Elite Sports Residence&gt;Elite Sports Residence 2</v>
      </c>
      <c r="E14681" s="2"/>
      <c r="F14681" s="2"/>
      <c r="G14681" s="2"/>
      <c r="H14681" s="2"/>
      <c r="I14681" s="2"/>
      <c r="J14681" s="2"/>
      <c r="K14681" s="2"/>
      <c r="L14681" s="2"/>
      <c r="M14681" s="2"/>
      <c r="N14681" s="2"/>
      <c r="O14681" s="2"/>
      <c r="P14681" s="2"/>
      <c r="Q14681" s="2"/>
      <c r="R14681" s="2"/>
      <c r="S14681" s="2"/>
      <c r="T14681" s="2"/>
      <c r="U14681" s="2"/>
      <c r="V14681" s="2"/>
      <c r="W14681" s="2"/>
      <c r="X14681" s="2"/>
      <c r="Y14681" s="2"/>
      <c r="Z14681" s="2"/>
    </row>
    <row r="14682" spans="1:26" ht="16.5" x14ac:dyDescent="0.35">
      <c r="A14682" s="2" t="str">
        <f ca="1">IFERROR(__xludf.DUMMYFUNCTION("""COMPUTED_VALUE"""),"Dubai")</f>
        <v>Dubai</v>
      </c>
      <c r="B14682" s="2" t="str">
        <f ca="1">IFERROR(__xludf.DUMMYFUNCTION("""COMPUTED_VALUE"""),"Canal Residence West")</f>
        <v>Canal Residence West</v>
      </c>
      <c r="C14682" s="2" t="str">
        <f ca="1">IFERROR(__xludf.DUMMYFUNCTION("""COMPUTED_VALUE"""),"Neighbourhood")</f>
        <v>Neighbourhood</v>
      </c>
      <c r="D14682" s="2" t="str">
        <f ca="1">IFERROR(__xludf.DUMMYFUNCTION("""COMPUTED_VALUE"""),"Dubai&gt;Dubai Sports City&gt;Canal Residence West")</f>
        <v>Dubai&gt;Dubai Sports City&gt;Canal Residence West</v>
      </c>
      <c r="E14682" s="2"/>
      <c r="F14682" s="2"/>
      <c r="G14682" s="2"/>
      <c r="H14682" s="2"/>
      <c r="I14682" s="2"/>
      <c r="J14682" s="2"/>
      <c r="K14682" s="2"/>
      <c r="L14682" s="2"/>
      <c r="M14682" s="2"/>
      <c r="N14682" s="2"/>
      <c r="O14682" s="2"/>
      <c r="P14682" s="2"/>
      <c r="Q14682" s="2"/>
      <c r="R14682" s="2"/>
      <c r="S14682" s="2"/>
      <c r="T14682" s="2"/>
      <c r="U14682" s="2"/>
      <c r="V14682" s="2"/>
      <c r="W14682" s="2"/>
      <c r="X14682" s="2"/>
      <c r="Y14682" s="2"/>
      <c r="Z14682" s="2"/>
    </row>
    <row r="14683" spans="1:26" ht="16.5" x14ac:dyDescent="0.35">
      <c r="A14683" s="2" t="str">
        <f ca="1">IFERROR(__xludf.DUMMYFUNCTION("""COMPUTED_VALUE"""),"Dubai")</f>
        <v>Dubai</v>
      </c>
      <c r="B14683" s="2" t="str">
        <f ca="1">IFERROR(__xludf.DUMMYFUNCTION("""COMPUTED_VALUE"""),"Estella Village")</f>
        <v>Estella Village</v>
      </c>
      <c r="C14683" s="2" t="str">
        <f ca="1">IFERROR(__xludf.DUMMYFUNCTION("""COMPUTED_VALUE"""),"Neighbourhood")</f>
        <v>Neighbourhood</v>
      </c>
      <c r="D14683" s="2" t="str">
        <f ca="1">IFERROR(__xludf.DUMMYFUNCTION("""COMPUTED_VALUE"""),"Dubai&gt;Dubai Sports City&gt;Victory Heights&gt;Estella Village")</f>
        <v>Dubai&gt;Dubai Sports City&gt;Victory Heights&gt;Estella Village</v>
      </c>
      <c r="E14683" s="2"/>
      <c r="F14683" s="2"/>
      <c r="G14683" s="2"/>
      <c r="H14683" s="2"/>
      <c r="I14683" s="2"/>
      <c r="J14683" s="2"/>
      <c r="K14683" s="2"/>
      <c r="L14683" s="2"/>
      <c r="M14683" s="2"/>
      <c r="N14683" s="2"/>
      <c r="O14683" s="2"/>
      <c r="P14683" s="2"/>
      <c r="Q14683" s="2"/>
      <c r="R14683" s="2"/>
      <c r="S14683" s="2"/>
      <c r="T14683" s="2"/>
      <c r="U14683" s="2"/>
      <c r="V14683" s="2"/>
      <c r="W14683" s="2"/>
      <c r="X14683" s="2"/>
      <c r="Y14683" s="2"/>
      <c r="Z14683" s="2"/>
    </row>
    <row r="14684" spans="1:26" ht="16.5" x14ac:dyDescent="0.35">
      <c r="A14684" s="2" t="str">
        <f ca="1">IFERROR(__xludf.DUMMYFUNCTION("""COMPUTED_VALUE"""),"Dubai")</f>
        <v>Dubai</v>
      </c>
      <c r="B14684" s="2" t="str">
        <f ca="1">IFERROR(__xludf.DUMMYFUNCTION("""COMPUTED_VALUE"""),"Fairway Residences by Prescott")</f>
        <v>Fairway Residences by Prescott</v>
      </c>
      <c r="C14684" s="2" t="str">
        <f ca="1">IFERROR(__xludf.DUMMYFUNCTION("""COMPUTED_VALUE"""),"Building")</f>
        <v>Building</v>
      </c>
      <c r="D14684" s="2" t="str">
        <f ca="1">IFERROR(__xludf.DUMMYFUNCTION("""COMPUTED_VALUE"""),"Dubai&gt;Dubai Sports City&gt;Fairway Residences by Prescott")</f>
        <v>Dubai&gt;Dubai Sports City&gt;Fairway Residences by Prescott</v>
      </c>
      <c r="E14684" s="2"/>
      <c r="F14684" s="2"/>
      <c r="G14684" s="2"/>
      <c r="H14684" s="2"/>
      <c r="I14684" s="2"/>
      <c r="J14684" s="2"/>
      <c r="K14684" s="2"/>
      <c r="L14684" s="2"/>
      <c r="M14684" s="2"/>
      <c r="N14684" s="2"/>
      <c r="O14684" s="2"/>
      <c r="P14684" s="2"/>
      <c r="Q14684" s="2"/>
      <c r="R14684" s="2"/>
      <c r="S14684" s="2"/>
      <c r="T14684" s="2"/>
      <c r="U14684" s="2"/>
      <c r="V14684" s="2"/>
      <c r="W14684" s="2"/>
      <c r="X14684" s="2"/>
      <c r="Y14684" s="2"/>
      <c r="Z14684" s="2"/>
    </row>
    <row r="14685" spans="1:26" ht="16.5" x14ac:dyDescent="0.35">
      <c r="A14685" s="2" t="str">
        <f ca="1">IFERROR(__xludf.DUMMYFUNCTION("""COMPUTED_VALUE"""),"Dubai")</f>
        <v>Dubai</v>
      </c>
      <c r="B14685" s="2" t="str">
        <f ca="1">IFERROR(__xludf.DUMMYFUNCTION("""COMPUTED_VALUE"""),"Latifa Tower")</f>
        <v>Latifa Tower</v>
      </c>
      <c r="C14685" s="2" t="str">
        <f ca="1">IFERROR(__xludf.DUMMYFUNCTION("""COMPUTED_VALUE"""),"Building")</f>
        <v>Building</v>
      </c>
      <c r="D14685" s="2" t="str">
        <f ca="1">IFERROR(__xludf.DUMMYFUNCTION("""COMPUTED_VALUE"""),"Dubai&gt;Al Nahda (Dubai)&gt;Al Nahda 1&gt;Latifa Tower")</f>
        <v>Dubai&gt;Al Nahda (Dubai)&gt;Al Nahda 1&gt;Latifa Tower</v>
      </c>
      <c r="E14685" s="2"/>
      <c r="F14685" s="2"/>
      <c r="G14685" s="2"/>
      <c r="H14685" s="2"/>
      <c r="I14685" s="2"/>
      <c r="J14685" s="2"/>
      <c r="K14685" s="2"/>
      <c r="L14685" s="2"/>
      <c r="M14685" s="2"/>
      <c r="N14685" s="2"/>
      <c r="O14685" s="2"/>
      <c r="P14685" s="2"/>
      <c r="Q14685" s="2"/>
      <c r="R14685" s="2"/>
      <c r="S14685" s="2"/>
      <c r="T14685" s="2"/>
      <c r="U14685" s="2"/>
      <c r="V14685" s="2"/>
      <c r="W14685" s="2"/>
      <c r="X14685" s="2"/>
      <c r="Y14685" s="2"/>
      <c r="Z14685" s="2"/>
    </row>
    <row r="14686" spans="1:26" ht="16.5" x14ac:dyDescent="0.35">
      <c r="A14686" s="2" t="str">
        <f ca="1">IFERROR(__xludf.DUMMYFUNCTION("""COMPUTED_VALUE"""),"Dubai")</f>
        <v>Dubai</v>
      </c>
      <c r="B14686" s="2" t="str">
        <f ca="1">IFERROR(__xludf.DUMMYFUNCTION("""COMPUTED_VALUE"""),"Burj Shamma")</f>
        <v>Burj Shamma</v>
      </c>
      <c r="C14686" s="2" t="str">
        <f ca="1">IFERROR(__xludf.DUMMYFUNCTION("""COMPUTED_VALUE"""),"Building")</f>
        <v>Building</v>
      </c>
      <c r="D14686" s="2" t="str">
        <f ca="1">IFERROR(__xludf.DUMMYFUNCTION("""COMPUTED_VALUE"""),"Dubai&gt;Al Nahda (Dubai)&gt;Al Nahda 1&gt;Burj Shamma")</f>
        <v>Dubai&gt;Al Nahda (Dubai)&gt;Al Nahda 1&gt;Burj Shamma</v>
      </c>
      <c r="E14686" s="2"/>
      <c r="F14686" s="2"/>
      <c r="G14686" s="2"/>
      <c r="H14686" s="2"/>
      <c r="I14686" s="2"/>
      <c r="J14686" s="2"/>
      <c r="K14686" s="2"/>
      <c r="L14686" s="2"/>
      <c r="M14686" s="2"/>
      <c r="N14686" s="2"/>
      <c r="O14686" s="2"/>
      <c r="P14686" s="2"/>
      <c r="Q14686" s="2"/>
      <c r="R14686" s="2"/>
      <c r="S14686" s="2"/>
      <c r="T14686" s="2"/>
      <c r="U14686" s="2"/>
      <c r="V14686" s="2"/>
      <c r="W14686" s="2"/>
      <c r="X14686" s="2"/>
      <c r="Y14686" s="2"/>
      <c r="Z14686" s="2"/>
    </row>
    <row r="14687" spans="1:26" ht="16.5" x14ac:dyDescent="0.35">
      <c r="A14687" s="2" t="str">
        <f ca="1">IFERROR(__xludf.DUMMYFUNCTION("""COMPUTED_VALUE"""),"Dubai")</f>
        <v>Dubai</v>
      </c>
      <c r="B14687" s="2" t="str">
        <f ca="1">IFERROR(__xludf.DUMMYFUNCTION("""COMPUTED_VALUE"""),"Al Zumurrud Towers")</f>
        <v>Al Zumurrud Towers</v>
      </c>
      <c r="C14687" s="2" t="str">
        <f ca="1">IFERROR(__xludf.DUMMYFUNCTION("""COMPUTED_VALUE"""),"Building")</f>
        <v>Building</v>
      </c>
      <c r="D14687" s="2" t="str">
        <f ca="1">IFERROR(__xludf.DUMMYFUNCTION("""COMPUTED_VALUE"""),"Dubai&gt;Al Nahda (Dubai)&gt;Al Nahda 2&gt;Al Zumurrud Towers")</f>
        <v>Dubai&gt;Al Nahda (Dubai)&gt;Al Nahda 2&gt;Al Zumurrud Towers</v>
      </c>
      <c r="E14687" s="2"/>
      <c r="F14687" s="2"/>
      <c r="G14687" s="2"/>
      <c r="H14687" s="2"/>
      <c r="I14687" s="2"/>
      <c r="J14687" s="2"/>
      <c r="K14687" s="2"/>
      <c r="L14687" s="2"/>
      <c r="M14687" s="2"/>
      <c r="N14687" s="2"/>
      <c r="O14687" s="2"/>
      <c r="P14687" s="2"/>
      <c r="Q14687" s="2"/>
      <c r="R14687" s="2"/>
      <c r="S14687" s="2"/>
      <c r="T14687" s="2"/>
      <c r="U14687" s="2"/>
      <c r="V14687" s="2"/>
      <c r="W14687" s="2"/>
      <c r="X14687" s="2"/>
      <c r="Y14687" s="2"/>
      <c r="Z14687" s="2"/>
    </row>
    <row r="14688" spans="1:26" ht="16.5" x14ac:dyDescent="0.35">
      <c r="A14688" s="2" t="str">
        <f ca="1">IFERROR(__xludf.DUMMYFUNCTION("""COMPUTED_VALUE"""),"Dubai")</f>
        <v>Dubai</v>
      </c>
      <c r="B14688" s="2" t="str">
        <f ca="1">IFERROR(__xludf.DUMMYFUNCTION("""COMPUTED_VALUE"""),"Canary Building")</f>
        <v>Canary Building</v>
      </c>
      <c r="C14688" s="2" t="str">
        <f ca="1">IFERROR(__xludf.DUMMYFUNCTION("""COMPUTED_VALUE"""),"Building")</f>
        <v>Building</v>
      </c>
      <c r="D14688" s="2" t="str">
        <f ca="1">IFERROR(__xludf.DUMMYFUNCTION("""COMPUTED_VALUE"""),"Dubai&gt;Al Nahda (Dubai)&gt;Al Nahda 2&gt;Canary Building")</f>
        <v>Dubai&gt;Al Nahda (Dubai)&gt;Al Nahda 2&gt;Canary Building</v>
      </c>
      <c r="E14688" s="2"/>
      <c r="F14688" s="2"/>
      <c r="G14688" s="2"/>
      <c r="H14688" s="2"/>
      <c r="I14688" s="2"/>
      <c r="J14688" s="2"/>
      <c r="K14688" s="2"/>
      <c r="L14688" s="2"/>
      <c r="M14688" s="2"/>
      <c r="N14688" s="2"/>
      <c r="O14688" s="2"/>
      <c r="P14688" s="2"/>
      <c r="Q14688" s="2"/>
      <c r="R14688" s="2"/>
      <c r="S14688" s="2"/>
      <c r="T14688" s="2"/>
      <c r="U14688" s="2"/>
      <c r="V14688" s="2"/>
      <c r="W14688" s="2"/>
      <c r="X14688" s="2"/>
      <c r="Y14688" s="2"/>
      <c r="Z14688" s="2"/>
    </row>
    <row r="14689" spans="1:26" ht="16.5" x14ac:dyDescent="0.35">
      <c r="A14689" s="2" t="str">
        <f ca="1">IFERROR(__xludf.DUMMYFUNCTION("""COMPUTED_VALUE"""),"Dubai")</f>
        <v>Dubai</v>
      </c>
      <c r="B14689" s="2" t="str">
        <f ca="1">IFERROR(__xludf.DUMMYFUNCTION("""COMPUTED_VALUE"""),"Solaire 4")</f>
        <v>Solaire 4</v>
      </c>
      <c r="C14689" s="2" t="str">
        <f ca="1">IFERROR(__xludf.DUMMYFUNCTION("""COMPUTED_VALUE"""),"Building")</f>
        <v>Building</v>
      </c>
      <c r="D14689" s="2" t="str">
        <f ca="1">IFERROR(__xludf.DUMMYFUNCTION("""COMPUTED_VALUE"""),"Dubai&gt;Al Nahda (Dubai)&gt;Al Nahda 2&gt;Solaire 4")</f>
        <v>Dubai&gt;Al Nahda (Dubai)&gt;Al Nahda 2&gt;Solaire 4</v>
      </c>
      <c r="E14689" s="2"/>
      <c r="F14689" s="2"/>
      <c r="G14689" s="2"/>
      <c r="H14689" s="2"/>
      <c r="I14689" s="2"/>
      <c r="J14689" s="2"/>
      <c r="K14689" s="2"/>
      <c r="L14689" s="2"/>
      <c r="M14689" s="2"/>
      <c r="N14689" s="2"/>
      <c r="O14689" s="2"/>
      <c r="P14689" s="2"/>
      <c r="Q14689" s="2"/>
      <c r="R14689" s="2"/>
      <c r="S14689" s="2"/>
      <c r="T14689" s="2"/>
      <c r="U14689" s="2"/>
      <c r="V14689" s="2"/>
      <c r="W14689" s="2"/>
      <c r="X14689" s="2"/>
      <c r="Y14689" s="2"/>
      <c r="Z14689" s="2"/>
    </row>
    <row r="14690" spans="1:26" ht="16.5" x14ac:dyDescent="0.35">
      <c r="A14690" s="2" t="str">
        <f ca="1">IFERROR(__xludf.DUMMYFUNCTION("""COMPUTED_VALUE"""),"Dubai")</f>
        <v>Dubai</v>
      </c>
      <c r="B14690" s="2" t="str">
        <f ca="1">IFERROR(__xludf.DUMMYFUNCTION("""COMPUTED_VALUE"""),"Khalifa Saeed Meshwat AlMarri Building")</f>
        <v>Khalifa Saeed Meshwat AlMarri Building</v>
      </c>
      <c r="C14690" s="2" t="str">
        <f ca="1">IFERROR(__xludf.DUMMYFUNCTION("""COMPUTED_VALUE"""),"Building")</f>
        <v>Building</v>
      </c>
      <c r="D14690" s="2" t="str">
        <f ca="1">IFERROR(__xludf.DUMMYFUNCTION("""COMPUTED_VALUE"""),"Dubai&gt;Al Nahda (Dubai)&gt;Al Nahda 2&gt;Khalifa Saeed Meshwat AlMarri Building")</f>
        <v>Dubai&gt;Al Nahda (Dubai)&gt;Al Nahda 2&gt;Khalifa Saeed Meshwat AlMarri Building</v>
      </c>
      <c r="E14690" s="2"/>
      <c r="F14690" s="2"/>
      <c r="G14690" s="2"/>
      <c r="H14690" s="2"/>
      <c r="I14690" s="2"/>
      <c r="J14690" s="2"/>
      <c r="K14690" s="2"/>
      <c r="L14690" s="2"/>
      <c r="M14690" s="2"/>
      <c r="N14690" s="2"/>
      <c r="O14690" s="2"/>
      <c r="P14690" s="2"/>
      <c r="Q14690" s="2"/>
      <c r="R14690" s="2"/>
      <c r="S14690" s="2"/>
      <c r="T14690" s="2"/>
      <c r="U14690" s="2"/>
      <c r="V14690" s="2"/>
      <c r="W14690" s="2"/>
      <c r="X14690" s="2"/>
      <c r="Y14690" s="2"/>
      <c r="Z14690" s="2"/>
    </row>
    <row r="14691" spans="1:26" ht="16.5" x14ac:dyDescent="0.35">
      <c r="A14691" s="2" t="str">
        <f ca="1">IFERROR(__xludf.DUMMYFUNCTION("""COMPUTED_VALUE"""),"Dubai")</f>
        <v>Dubai</v>
      </c>
      <c r="B14691" s="2" t="str">
        <f ca="1">IFERROR(__xludf.DUMMYFUNCTION("""COMPUTED_VALUE"""),"Heritage")</f>
        <v>Heritage</v>
      </c>
      <c r="C14691" s="2" t="str">
        <f ca="1">IFERROR(__xludf.DUMMYFUNCTION("""COMPUTED_VALUE"""),"Neighbourhood")</f>
        <v>Neighbourhood</v>
      </c>
      <c r="D14691" s="2" t="str">
        <f ca="1">IFERROR(__xludf.DUMMYFUNCTION("""COMPUTED_VALUE"""),"Dubai&gt;Jumeirah Park&gt;Heritage")</f>
        <v>Dubai&gt;Jumeirah Park&gt;Heritage</v>
      </c>
      <c r="E14691" s="2"/>
      <c r="F14691" s="2"/>
      <c r="G14691" s="2"/>
      <c r="H14691" s="2"/>
      <c r="I14691" s="2"/>
      <c r="J14691" s="2"/>
      <c r="K14691" s="2"/>
      <c r="L14691" s="2"/>
      <c r="M14691" s="2"/>
      <c r="N14691" s="2"/>
      <c r="O14691" s="2"/>
      <c r="P14691" s="2"/>
      <c r="Q14691" s="2"/>
      <c r="R14691" s="2"/>
      <c r="S14691" s="2"/>
      <c r="T14691" s="2"/>
      <c r="U14691" s="2"/>
      <c r="V14691" s="2"/>
      <c r="W14691" s="2"/>
      <c r="X14691" s="2"/>
      <c r="Y14691" s="2"/>
      <c r="Z14691" s="2"/>
    </row>
    <row r="14692" spans="1:26" ht="16.5" x14ac:dyDescent="0.35">
      <c r="A14692" s="2" t="str">
        <f ca="1">IFERROR(__xludf.DUMMYFUNCTION("""COMPUTED_VALUE"""),"Dubai")</f>
        <v>Dubai</v>
      </c>
      <c r="B14692" s="2" t="str">
        <f ca="1">IFERROR(__xludf.DUMMYFUNCTION("""COMPUTED_VALUE"""),"Lagoon Views 3 Tower B")</f>
        <v>Lagoon Views 3 Tower B</v>
      </c>
      <c r="C14692" s="2" t="str">
        <f ca="1">IFERROR(__xludf.DUMMYFUNCTION("""COMPUTED_VALUE"""),"Building")</f>
        <v>Building</v>
      </c>
      <c r="D14692" s="2" t="str">
        <f ca="1">IFERROR(__xludf.DUMMYFUNCTION("""COMPUTED_VALUE"""),"Dubai&gt;DAMAC Lagoons&gt;Lagoon Views&gt;Lagoon Views 3&gt;Lagoon Views 3 Tower B")</f>
        <v>Dubai&gt;DAMAC Lagoons&gt;Lagoon Views&gt;Lagoon Views 3&gt;Lagoon Views 3 Tower B</v>
      </c>
      <c r="E14692" s="2"/>
      <c r="F14692" s="2"/>
      <c r="G14692" s="2"/>
      <c r="H14692" s="2"/>
      <c r="I14692" s="2"/>
      <c r="J14692" s="2"/>
      <c r="K14692" s="2"/>
      <c r="L14692" s="2"/>
      <c r="M14692" s="2"/>
      <c r="N14692" s="2"/>
      <c r="O14692" s="2"/>
      <c r="P14692" s="2"/>
      <c r="Q14692" s="2"/>
      <c r="R14692" s="2"/>
      <c r="S14692" s="2"/>
      <c r="T14692" s="2"/>
      <c r="U14692" s="2"/>
      <c r="V14692" s="2"/>
      <c r="W14692" s="2"/>
      <c r="X14692" s="2"/>
      <c r="Y14692" s="2"/>
      <c r="Z14692" s="2"/>
    </row>
    <row r="14693" spans="1:26" ht="16.5" x14ac:dyDescent="0.35">
      <c r="A14693" s="2" t="str">
        <f ca="1">IFERROR(__xludf.DUMMYFUNCTION("""COMPUTED_VALUE"""),"Dubai")</f>
        <v>Dubai</v>
      </c>
      <c r="B14693" s="2" t="str">
        <f ca="1">IFERROR(__xludf.DUMMYFUNCTION("""COMPUTED_VALUE"""),"Al Kharbash Building 1")</f>
        <v>Al Kharbash Building 1</v>
      </c>
      <c r="C14693" s="2" t="str">
        <f ca="1">IFERROR(__xludf.DUMMYFUNCTION("""COMPUTED_VALUE"""),"Building")</f>
        <v>Building</v>
      </c>
      <c r="D14693" s="2" t="str">
        <f ca="1">IFERROR(__xludf.DUMMYFUNCTION("""COMPUTED_VALUE"""),"Dubai&gt;Liwan 2&gt;Al Kharbash Building 1")</f>
        <v>Dubai&gt;Liwan 2&gt;Al Kharbash Building 1</v>
      </c>
      <c r="E14693" s="2"/>
      <c r="F14693" s="2"/>
      <c r="G14693" s="2"/>
      <c r="H14693" s="2"/>
      <c r="I14693" s="2"/>
      <c r="J14693" s="2"/>
      <c r="K14693" s="2"/>
      <c r="L14693" s="2"/>
      <c r="M14693" s="2"/>
      <c r="N14693" s="2"/>
      <c r="O14693" s="2"/>
      <c r="P14693" s="2"/>
      <c r="Q14693" s="2"/>
      <c r="R14693" s="2"/>
      <c r="S14693" s="2"/>
      <c r="T14693" s="2"/>
      <c r="U14693" s="2"/>
      <c r="V14693" s="2"/>
      <c r="W14693" s="2"/>
      <c r="X14693" s="2"/>
      <c r="Y14693" s="2"/>
      <c r="Z14693" s="2"/>
    </row>
    <row r="14694" spans="1:26" ht="16.5" x14ac:dyDescent="0.35">
      <c r="A14694" s="2" t="str">
        <f ca="1">IFERROR(__xludf.DUMMYFUNCTION("""COMPUTED_VALUE"""),"Dubai")</f>
        <v>Dubai</v>
      </c>
      <c r="B14694" s="2" t="str">
        <f ca="1">IFERROR(__xludf.DUMMYFUNCTION("""COMPUTED_VALUE"""),"Oasis Gardens")</f>
        <v>Oasis Gardens</v>
      </c>
      <c r="C14694" s="2" t="str">
        <f ca="1">IFERROR(__xludf.DUMMYFUNCTION("""COMPUTED_VALUE"""),"Building")</f>
        <v>Building</v>
      </c>
      <c r="D14694" s="2" t="str">
        <f ca="1">IFERROR(__xludf.DUMMYFUNCTION("""COMPUTED_VALUE"""),"Dubai&gt;Liwan 2&gt;Oasis Gardens")</f>
        <v>Dubai&gt;Liwan 2&gt;Oasis Gardens</v>
      </c>
      <c r="E14694" s="2"/>
      <c r="F14694" s="2"/>
      <c r="G14694" s="2"/>
      <c r="H14694" s="2"/>
      <c r="I14694" s="2"/>
      <c r="J14694" s="2"/>
      <c r="K14694" s="2"/>
      <c r="L14694" s="2"/>
      <c r="M14694" s="2"/>
      <c r="N14694" s="2"/>
      <c r="O14694" s="2"/>
      <c r="P14694" s="2"/>
      <c r="Q14694" s="2"/>
      <c r="R14694" s="2"/>
      <c r="S14694" s="2"/>
      <c r="T14694" s="2"/>
      <c r="U14694" s="2"/>
      <c r="V14694" s="2"/>
      <c r="W14694" s="2"/>
      <c r="X14694" s="2"/>
      <c r="Y14694" s="2"/>
      <c r="Z14694" s="2"/>
    </row>
    <row r="14695" spans="1:26" ht="16.5" x14ac:dyDescent="0.35">
      <c r="A14695" s="2" t="str">
        <f ca="1">IFERROR(__xludf.DUMMYFUNCTION("""COMPUTED_VALUE"""),"Dubai")</f>
        <v>Dubai</v>
      </c>
      <c r="B14695" s="2" t="str">
        <f ca="1">IFERROR(__xludf.DUMMYFUNCTION("""COMPUTED_VALUE"""),"Lotus Residence")</f>
        <v>Lotus Residence</v>
      </c>
      <c r="C14695" s="2" t="str">
        <f ca="1">IFERROR(__xludf.DUMMYFUNCTION("""COMPUTED_VALUE"""),"Cluster")</f>
        <v>Cluster</v>
      </c>
      <c r="D14695" s="2" t="str">
        <f ca="1">IFERROR(__xludf.DUMMYFUNCTION("""COMPUTED_VALUE"""),"Dubai&gt;Dubai Investment Park (DIP)&gt;Dubai Investment Park 1&gt;Lotus Residence")</f>
        <v>Dubai&gt;Dubai Investment Park (DIP)&gt;Dubai Investment Park 1&gt;Lotus Residence</v>
      </c>
      <c r="E14695" s="2"/>
      <c r="F14695" s="2"/>
      <c r="G14695" s="2"/>
      <c r="H14695" s="2"/>
      <c r="I14695" s="2"/>
      <c r="J14695" s="2"/>
      <c r="K14695" s="2"/>
      <c r="L14695" s="2"/>
      <c r="M14695" s="2"/>
      <c r="N14695" s="2"/>
      <c r="O14695" s="2"/>
      <c r="P14695" s="2"/>
      <c r="Q14695" s="2"/>
      <c r="R14695" s="2"/>
      <c r="S14695" s="2"/>
      <c r="T14695" s="2"/>
      <c r="U14695" s="2"/>
      <c r="V14695" s="2"/>
      <c r="W14695" s="2"/>
      <c r="X14695" s="2"/>
      <c r="Y14695" s="2"/>
      <c r="Z14695" s="2"/>
    </row>
    <row r="14696" spans="1:26" ht="16.5" x14ac:dyDescent="0.35">
      <c r="A14696" s="2" t="str">
        <f ca="1">IFERROR(__xludf.DUMMYFUNCTION("""COMPUTED_VALUE"""),"Dubai")</f>
        <v>Dubai</v>
      </c>
      <c r="B14696" s="2" t="str">
        <f ca="1">IFERROR(__xludf.DUMMYFUNCTION("""COMPUTED_VALUE"""),"Block A")</f>
        <v>Block A</v>
      </c>
      <c r="C14696" s="2" t="str">
        <f ca="1">IFERROR(__xludf.DUMMYFUNCTION("""COMPUTED_VALUE"""),"Building")</f>
        <v>Building</v>
      </c>
      <c r="D14696" s="2" t="str">
        <f ca="1">IFERROR(__xludf.DUMMYFUNCTION("""COMPUTED_VALUE"""),"Dubai&gt;Dubai Investment Park (DIP)&gt;Dubai Investment Park 1&gt;Dubai Driving Centre Staff Accommodation&gt;Block A")</f>
        <v>Dubai&gt;Dubai Investment Park (DIP)&gt;Dubai Investment Park 1&gt;Dubai Driving Centre Staff Accommodation&gt;Block A</v>
      </c>
      <c r="E14696" s="2"/>
      <c r="F14696" s="2"/>
      <c r="G14696" s="2"/>
      <c r="H14696" s="2"/>
      <c r="I14696" s="2"/>
      <c r="J14696" s="2"/>
      <c r="K14696" s="2"/>
      <c r="L14696" s="2"/>
      <c r="M14696" s="2"/>
      <c r="N14696" s="2"/>
      <c r="O14696" s="2"/>
      <c r="P14696" s="2"/>
      <c r="Q14696" s="2"/>
      <c r="R14696" s="2"/>
      <c r="S14696" s="2"/>
      <c r="T14696" s="2"/>
      <c r="U14696" s="2"/>
      <c r="V14696" s="2"/>
      <c r="W14696" s="2"/>
      <c r="X14696" s="2"/>
      <c r="Y14696" s="2"/>
      <c r="Z14696" s="2"/>
    </row>
    <row r="14697" spans="1:26" ht="16.5" x14ac:dyDescent="0.35">
      <c r="A14697" s="2" t="str">
        <f ca="1">IFERROR(__xludf.DUMMYFUNCTION("""COMPUTED_VALUE"""),"Dubai")</f>
        <v>Dubai</v>
      </c>
      <c r="B14697" s="2" t="str">
        <f ca="1">IFERROR(__xludf.DUMMYFUNCTION("""COMPUTED_VALUE"""),"Tencate Grass Accommodation")</f>
        <v>Tencate Grass Accommodation</v>
      </c>
      <c r="C14697" s="2" t="str">
        <f ca="1">IFERROR(__xludf.DUMMYFUNCTION("""COMPUTED_VALUE"""),"Building")</f>
        <v>Building</v>
      </c>
      <c r="D14697" s="2" t="str">
        <f ca="1">IFERROR(__xludf.DUMMYFUNCTION("""COMPUTED_VALUE"""),"Dubai&gt;Dubai Investment Park (DIP)&gt;Dubai Investment Park 1&gt;Tencate Grass Accommodation")</f>
        <v>Dubai&gt;Dubai Investment Park (DIP)&gt;Dubai Investment Park 1&gt;Tencate Grass Accommodation</v>
      </c>
      <c r="E14697" s="2"/>
      <c r="F14697" s="2"/>
      <c r="G14697" s="2"/>
      <c r="H14697" s="2"/>
      <c r="I14697" s="2"/>
      <c r="J14697" s="2"/>
      <c r="K14697" s="2"/>
      <c r="L14697" s="2"/>
      <c r="M14697" s="2"/>
      <c r="N14697" s="2"/>
      <c r="O14697" s="2"/>
      <c r="P14697" s="2"/>
      <c r="Q14697" s="2"/>
      <c r="R14697" s="2"/>
      <c r="S14697" s="2"/>
      <c r="T14697" s="2"/>
      <c r="U14697" s="2"/>
      <c r="V14697" s="2"/>
      <c r="W14697" s="2"/>
      <c r="X14697" s="2"/>
      <c r="Y14697" s="2"/>
      <c r="Z14697" s="2"/>
    </row>
    <row r="14698" spans="1:26" ht="16.5" x14ac:dyDescent="0.35">
      <c r="A14698" s="2" t="str">
        <f ca="1">IFERROR(__xludf.DUMMYFUNCTION("""COMPUTED_VALUE"""),"Dubai")</f>
        <v>Dubai</v>
      </c>
      <c r="B14698" s="2" t="str">
        <f ca="1">IFERROR(__xludf.DUMMYFUNCTION("""COMPUTED_VALUE"""),"Ritaj (Residential Complex)")</f>
        <v>Ritaj (Residential Complex)</v>
      </c>
      <c r="C14698" s="2" t="str">
        <f ca="1">IFERROR(__xludf.DUMMYFUNCTION("""COMPUTED_VALUE"""),"Cluster")</f>
        <v>Cluster</v>
      </c>
      <c r="D14698" s="2" t="str">
        <f ca="1">IFERROR(__xludf.DUMMYFUNCTION("""COMPUTED_VALUE"""),"Dubai&gt;Dubai Investment Park (DIP)&gt;Dubai Investment Park 2&gt;Ritaj (Residential Complex)")</f>
        <v>Dubai&gt;Dubai Investment Park (DIP)&gt;Dubai Investment Park 2&gt;Ritaj (Residential Complex)</v>
      </c>
      <c r="E14698" s="2"/>
      <c r="F14698" s="2"/>
      <c r="G14698" s="2"/>
      <c r="H14698" s="2"/>
      <c r="I14698" s="2"/>
      <c r="J14698" s="2"/>
      <c r="K14698" s="2"/>
      <c r="L14698" s="2"/>
      <c r="M14698" s="2"/>
      <c r="N14698" s="2"/>
      <c r="O14698" s="2"/>
      <c r="P14698" s="2"/>
      <c r="Q14698" s="2"/>
      <c r="R14698" s="2"/>
      <c r="S14698" s="2"/>
      <c r="T14698" s="2"/>
      <c r="U14698" s="2"/>
      <c r="V14698" s="2"/>
      <c r="W14698" s="2"/>
      <c r="X14698" s="2"/>
      <c r="Y14698" s="2"/>
      <c r="Z14698" s="2"/>
    </row>
    <row r="14699" spans="1:26" ht="16.5" x14ac:dyDescent="0.35">
      <c r="A14699" s="2" t="str">
        <f ca="1">IFERROR(__xludf.DUMMYFUNCTION("""COMPUTED_VALUE"""),"Dubai")</f>
        <v>Dubai</v>
      </c>
      <c r="B14699" s="2" t="str">
        <f ca="1">IFERROR(__xludf.DUMMYFUNCTION("""COMPUTED_VALUE"""),"Ritaj (Office Complex)")</f>
        <v>Ritaj (Office Complex)</v>
      </c>
      <c r="C14699" s="2" t="str">
        <f ca="1">IFERROR(__xludf.DUMMYFUNCTION("""COMPUTED_VALUE"""),"Neighbourhood")</f>
        <v>Neighbourhood</v>
      </c>
      <c r="D14699" s="2" t="str">
        <f ca="1">IFERROR(__xludf.DUMMYFUNCTION("""COMPUTED_VALUE"""),"Dubai&gt;Dubai Investment Park (DIP)&gt;Dubai Investment Park 2&gt;Ritaj (Office Complex)")</f>
        <v>Dubai&gt;Dubai Investment Park (DIP)&gt;Dubai Investment Park 2&gt;Ritaj (Office Complex)</v>
      </c>
      <c r="E14699" s="2"/>
      <c r="F14699" s="2"/>
      <c r="G14699" s="2"/>
      <c r="H14699" s="2"/>
      <c r="I14699" s="2"/>
      <c r="J14699" s="2"/>
      <c r="K14699" s="2"/>
      <c r="L14699" s="2"/>
      <c r="M14699" s="2"/>
      <c r="N14699" s="2"/>
      <c r="O14699" s="2"/>
      <c r="P14699" s="2"/>
      <c r="Q14699" s="2"/>
      <c r="R14699" s="2"/>
      <c r="S14699" s="2"/>
      <c r="T14699" s="2"/>
      <c r="U14699" s="2"/>
      <c r="V14699" s="2"/>
      <c r="W14699" s="2"/>
      <c r="X14699" s="2"/>
      <c r="Y14699" s="2"/>
      <c r="Z14699" s="2"/>
    </row>
    <row r="14700" spans="1:26" ht="16.5" x14ac:dyDescent="0.35">
      <c r="A14700" s="2" t="str">
        <f ca="1">IFERROR(__xludf.DUMMYFUNCTION("""COMPUTED_VALUE"""),"Dubai")</f>
        <v>Dubai</v>
      </c>
      <c r="B14700" s="2" t="str">
        <f ca="1">IFERROR(__xludf.DUMMYFUNCTION("""COMPUTED_VALUE"""),"KH Residence")</f>
        <v>KH Residence</v>
      </c>
      <c r="C14700" s="2" t="str">
        <f ca="1">IFERROR(__xludf.DUMMYFUNCTION("""COMPUTED_VALUE"""),"Building")</f>
        <v>Building</v>
      </c>
      <c r="D14700" s="2" t="str">
        <f ca="1">IFERROR(__xludf.DUMMYFUNCTION("""COMPUTED_VALUE"""),"Dubai&gt;Dubai Investment Park (DIP)&gt;KH Residence")</f>
        <v>Dubai&gt;Dubai Investment Park (DIP)&gt;KH Residence</v>
      </c>
      <c r="E14700" s="2"/>
      <c r="F14700" s="2"/>
      <c r="G14700" s="2"/>
      <c r="H14700" s="2"/>
      <c r="I14700" s="2"/>
      <c r="J14700" s="2"/>
      <c r="K14700" s="2"/>
      <c r="L14700" s="2"/>
      <c r="M14700" s="2"/>
      <c r="N14700" s="2"/>
      <c r="O14700" s="2"/>
      <c r="P14700" s="2"/>
      <c r="Q14700" s="2"/>
      <c r="R14700" s="2"/>
      <c r="S14700" s="2"/>
      <c r="T14700" s="2"/>
      <c r="U14700" s="2"/>
      <c r="V14700" s="2"/>
      <c r="W14700" s="2"/>
      <c r="X14700" s="2"/>
      <c r="Y14700" s="2"/>
      <c r="Z14700" s="2"/>
    </row>
    <row r="14701" spans="1:26" ht="16.5" x14ac:dyDescent="0.35">
      <c r="A14701" s="2" t="str">
        <f ca="1">IFERROR(__xludf.DUMMYFUNCTION("""COMPUTED_VALUE"""),"Dubai")</f>
        <v>Dubai</v>
      </c>
      <c r="B14701" s="2" t="str">
        <f ca="1">IFERROR(__xludf.DUMMYFUNCTION("""COMPUTED_VALUE"""),"Equestra")</f>
        <v>Equestra</v>
      </c>
      <c r="C14701" s="2" t="str">
        <f ca="1">IFERROR(__xludf.DUMMYFUNCTION("""COMPUTED_VALUE"""),"Neighbourhood")</f>
        <v>Neighbourhood</v>
      </c>
      <c r="D14701" s="2" t="str">
        <f ca="1">IFERROR(__xludf.DUMMYFUNCTION("""COMPUTED_VALUE"""),"Dubai&gt;Dubai Investment Park (DIP)&gt;Grand Polo Club &amp; Resort&gt;Equestra")</f>
        <v>Dubai&gt;Dubai Investment Park (DIP)&gt;Grand Polo Club &amp; Resort&gt;Equestra</v>
      </c>
      <c r="E14701" s="2"/>
      <c r="F14701" s="2"/>
      <c r="G14701" s="2"/>
      <c r="H14701" s="2"/>
      <c r="I14701" s="2"/>
      <c r="J14701" s="2"/>
      <c r="K14701" s="2"/>
      <c r="L14701" s="2"/>
      <c r="M14701" s="2"/>
      <c r="N14701" s="2"/>
      <c r="O14701" s="2"/>
      <c r="P14701" s="2"/>
      <c r="Q14701" s="2"/>
      <c r="R14701" s="2"/>
      <c r="S14701" s="2"/>
      <c r="T14701" s="2"/>
      <c r="U14701" s="2"/>
      <c r="V14701" s="2"/>
      <c r="W14701" s="2"/>
      <c r="X14701" s="2"/>
      <c r="Y14701" s="2"/>
      <c r="Z14701" s="2"/>
    </row>
    <row r="14702" spans="1:26" ht="16.5" x14ac:dyDescent="0.35">
      <c r="A14702" s="2" t="str">
        <f ca="1">IFERROR(__xludf.DUMMYFUNCTION("""COMPUTED_VALUE"""),"Dubai")</f>
        <v>Dubai</v>
      </c>
      <c r="B14702" s="2" t="str">
        <f ca="1">IFERROR(__xludf.DUMMYFUNCTION("""COMPUTED_VALUE"""),"Madison Residences Columbus")</f>
        <v>Madison Residences Columbus</v>
      </c>
      <c r="C14702" s="2" t="str">
        <f ca="1">IFERROR(__xludf.DUMMYFUNCTION("""COMPUTED_VALUE"""),"Building")</f>
        <v>Building</v>
      </c>
      <c r="D14702" s="2" t="str">
        <f ca="1">IFERROR(__xludf.DUMMYFUNCTION("""COMPUTED_VALUE"""),"Dubai&gt;Majan&gt;Madison Residences Columbus")</f>
        <v>Dubai&gt;Majan&gt;Madison Residences Columbus</v>
      </c>
      <c r="E14702" s="2"/>
      <c r="F14702" s="2"/>
      <c r="G14702" s="2"/>
      <c r="H14702" s="2"/>
      <c r="I14702" s="2"/>
      <c r="J14702" s="2"/>
      <c r="K14702" s="2"/>
      <c r="L14702" s="2"/>
      <c r="M14702" s="2"/>
      <c r="N14702" s="2"/>
      <c r="O14702" s="2"/>
      <c r="P14702" s="2"/>
      <c r="Q14702" s="2"/>
      <c r="R14702" s="2"/>
      <c r="S14702" s="2"/>
      <c r="T14702" s="2"/>
      <c r="U14702" s="2"/>
      <c r="V14702" s="2"/>
      <c r="W14702" s="2"/>
      <c r="X14702" s="2"/>
      <c r="Y14702" s="2"/>
      <c r="Z14702" s="2"/>
    </row>
    <row r="14703" spans="1:26" ht="16.5" x14ac:dyDescent="0.35">
      <c r="A14703" s="2" t="str">
        <f ca="1">IFERROR(__xludf.DUMMYFUNCTION("""COMPUTED_VALUE"""),"Dubai")</f>
        <v>Dubai</v>
      </c>
      <c r="B14703" s="2" t="str">
        <f ca="1">IFERROR(__xludf.DUMMYFUNCTION("""COMPUTED_VALUE"""),"Tulip Oasis 9")</f>
        <v>Tulip Oasis 9</v>
      </c>
      <c r="C14703" s="2" t="str">
        <f ca="1">IFERROR(__xludf.DUMMYFUNCTION("""COMPUTED_VALUE"""),"Building")</f>
        <v>Building</v>
      </c>
      <c r="D14703" s="2" t="str">
        <f ca="1">IFERROR(__xludf.DUMMYFUNCTION("""COMPUTED_VALUE"""),"Dubai&gt;Majan&gt;Tulip Oasis 9")</f>
        <v>Dubai&gt;Majan&gt;Tulip Oasis 9</v>
      </c>
      <c r="E14703" s="2"/>
      <c r="F14703" s="2"/>
      <c r="G14703" s="2"/>
      <c r="H14703" s="2"/>
      <c r="I14703" s="2"/>
      <c r="J14703" s="2"/>
      <c r="K14703" s="2"/>
      <c r="L14703" s="2"/>
      <c r="M14703" s="2"/>
      <c r="N14703" s="2"/>
      <c r="O14703" s="2"/>
      <c r="P14703" s="2"/>
      <c r="Q14703" s="2"/>
      <c r="R14703" s="2"/>
      <c r="S14703" s="2"/>
      <c r="T14703" s="2"/>
      <c r="U14703" s="2"/>
      <c r="V14703" s="2"/>
      <c r="W14703" s="2"/>
      <c r="X14703" s="2"/>
      <c r="Y14703" s="2"/>
      <c r="Z14703" s="2"/>
    </row>
    <row r="14704" spans="1:26" ht="16.5" x14ac:dyDescent="0.35">
      <c r="A14704" s="2" t="str">
        <f ca="1">IFERROR(__xludf.DUMMYFUNCTION("""COMPUTED_VALUE"""),"Dubai")</f>
        <v>Dubai</v>
      </c>
      <c r="B14704" s="2" t="str">
        <f ca="1">IFERROR(__xludf.DUMMYFUNCTION("""COMPUTED_VALUE"""),"Palmiera")</f>
        <v>Palmiera</v>
      </c>
      <c r="C14704" s="2" t="str">
        <f ca="1">IFERROR(__xludf.DUMMYFUNCTION("""COMPUTED_VALUE"""),"Neighbourhood")</f>
        <v>Neighbourhood</v>
      </c>
      <c r="D14704" s="2" t="str">
        <f ca="1">IFERROR(__xludf.DUMMYFUNCTION("""COMPUTED_VALUE"""),"Dubai&gt;The Oasis by Emaar&gt;Palmiera")</f>
        <v>Dubai&gt;The Oasis by Emaar&gt;Palmiera</v>
      </c>
      <c r="E14704" s="2"/>
      <c r="F14704" s="2"/>
      <c r="G14704" s="2"/>
      <c r="H14704" s="2"/>
      <c r="I14704" s="2"/>
      <c r="J14704" s="2"/>
      <c r="K14704" s="2"/>
      <c r="L14704" s="2"/>
      <c r="M14704" s="2"/>
      <c r="N14704" s="2"/>
      <c r="O14704" s="2"/>
      <c r="P14704" s="2"/>
      <c r="Q14704" s="2"/>
      <c r="R14704" s="2"/>
      <c r="S14704" s="2"/>
      <c r="T14704" s="2"/>
      <c r="U14704" s="2"/>
      <c r="V14704" s="2"/>
      <c r="W14704" s="2"/>
      <c r="X14704" s="2"/>
      <c r="Y14704" s="2"/>
      <c r="Z14704" s="2"/>
    </row>
    <row r="14705" spans="1:26" ht="16.5" x14ac:dyDescent="0.35">
      <c r="A14705" s="2" t="str">
        <f ca="1">IFERROR(__xludf.DUMMYFUNCTION("""COMPUTED_VALUE"""),"Dubai")</f>
        <v>Dubai</v>
      </c>
      <c r="B14705" s="2" t="str">
        <f ca="1">IFERROR(__xludf.DUMMYFUNCTION("""COMPUTED_VALUE"""),"Skyvue Spectra")</f>
        <v>Skyvue Spectra</v>
      </c>
      <c r="C14705" s="2" t="str">
        <f ca="1">IFERROR(__xludf.DUMMYFUNCTION("""COMPUTED_VALUE"""),"Building")</f>
        <v>Building</v>
      </c>
      <c r="D14705" s="2" t="str">
        <f ca="1">IFERROR(__xludf.DUMMYFUNCTION("""COMPUTED_VALUE"""),"Dubai&gt;Sobha Hartland 2&gt;Skyvue&gt;Skyvue Spectra")</f>
        <v>Dubai&gt;Sobha Hartland 2&gt;Skyvue&gt;Skyvue Spectra</v>
      </c>
      <c r="E14705" s="2"/>
      <c r="F14705" s="2"/>
      <c r="G14705" s="2"/>
      <c r="H14705" s="2"/>
      <c r="I14705" s="2"/>
      <c r="J14705" s="2"/>
      <c r="K14705" s="2"/>
      <c r="L14705" s="2"/>
      <c r="M14705" s="2"/>
      <c r="N14705" s="2"/>
      <c r="O14705" s="2"/>
      <c r="P14705" s="2"/>
      <c r="Q14705" s="2"/>
      <c r="R14705" s="2"/>
      <c r="S14705" s="2"/>
      <c r="T14705" s="2"/>
      <c r="U14705" s="2"/>
      <c r="V14705" s="2"/>
      <c r="W14705" s="2"/>
      <c r="X14705" s="2"/>
      <c r="Y14705" s="2"/>
      <c r="Z14705" s="2"/>
    </row>
    <row r="14706" spans="1:26" ht="16.5" x14ac:dyDescent="0.35">
      <c r="A14706" s="2" t="str">
        <f ca="1">IFERROR(__xludf.DUMMYFUNCTION("""COMPUTED_VALUE"""),"Dubai")</f>
        <v>Dubai</v>
      </c>
      <c r="B14706" s="2" t="str">
        <f ca="1">IFERROR(__xludf.DUMMYFUNCTION("""COMPUTED_VALUE"""),"BS-02")</f>
        <v>BS-02</v>
      </c>
      <c r="C14706" s="2" t="str">
        <f ca="1">IFERROR(__xludf.DUMMYFUNCTION("""COMPUTED_VALUE"""),"Building")</f>
        <v>Building</v>
      </c>
      <c r="D14706" s="2" t="str">
        <f ca="1">IFERROR(__xludf.DUMMYFUNCTION("""COMPUTED_VALUE"""),"Dubai&gt;Dubai Studio City&gt;Boutique Studios&gt;BS-02")</f>
        <v>Dubai&gt;Dubai Studio City&gt;Boutique Studios&gt;BS-02</v>
      </c>
      <c r="E14706" s="2"/>
      <c r="F14706" s="2"/>
      <c r="G14706" s="2"/>
      <c r="H14706" s="2"/>
      <c r="I14706" s="2"/>
      <c r="J14706" s="2"/>
      <c r="K14706" s="2"/>
      <c r="L14706" s="2"/>
      <c r="M14706" s="2"/>
      <c r="N14706" s="2"/>
      <c r="O14706" s="2"/>
      <c r="P14706" s="2"/>
      <c r="Q14706" s="2"/>
      <c r="R14706" s="2"/>
      <c r="S14706" s="2"/>
      <c r="T14706" s="2"/>
      <c r="U14706" s="2"/>
      <c r="V14706" s="2"/>
      <c r="W14706" s="2"/>
      <c r="X14706" s="2"/>
      <c r="Y14706" s="2"/>
      <c r="Z14706" s="2"/>
    </row>
    <row r="14707" spans="1:26" ht="16.5" x14ac:dyDescent="0.35">
      <c r="A14707" s="2" t="str">
        <f ca="1">IFERROR(__xludf.DUMMYFUNCTION("""COMPUTED_VALUE"""),"Dubai")</f>
        <v>Dubai</v>
      </c>
      <c r="B14707" s="2" t="str">
        <f ca="1">IFERROR(__xludf.DUMMYFUNCTION("""COMPUTED_VALUE"""),"Eden Hills")</f>
        <v>Eden Hills</v>
      </c>
      <c r="C14707" s="2" t="str">
        <f ca="1">IFERROR(__xludf.DUMMYFUNCTION("""COMPUTED_VALUE"""),"Neighbourhood")</f>
        <v>Neighbourhood</v>
      </c>
      <c r="D14707" s="2" t="str">
        <f ca="1">IFERROR(__xludf.DUMMYFUNCTION("""COMPUTED_VALUE"""),"Dubai&gt;Hadaeq Sheikh Mohammed Bin Rashid&gt;Eden Hills")</f>
        <v>Dubai&gt;Hadaeq Sheikh Mohammed Bin Rashid&gt;Eden Hills</v>
      </c>
      <c r="E14707" s="2"/>
      <c r="F14707" s="2"/>
      <c r="G14707" s="2"/>
      <c r="H14707" s="2"/>
      <c r="I14707" s="2"/>
      <c r="J14707" s="2"/>
      <c r="K14707" s="2"/>
      <c r="L14707" s="2"/>
      <c r="M14707" s="2"/>
      <c r="N14707" s="2"/>
      <c r="O14707" s="2"/>
      <c r="P14707" s="2"/>
      <c r="Q14707" s="2"/>
      <c r="R14707" s="2"/>
      <c r="S14707" s="2"/>
      <c r="T14707" s="2"/>
      <c r="U14707" s="2"/>
      <c r="V14707" s="2"/>
      <c r="W14707" s="2"/>
      <c r="X14707" s="2"/>
      <c r="Y14707" s="2"/>
      <c r="Z14707" s="2"/>
    </row>
    <row r="14708" spans="1:26" ht="16.5" x14ac:dyDescent="0.35">
      <c r="A14708" s="2" t="str">
        <f ca="1">IFERROR(__xludf.DUMMYFUNCTION("""COMPUTED_VALUE"""),"Dubai")</f>
        <v>Dubai</v>
      </c>
      <c r="B14708" s="2" t="str">
        <f ca="1">IFERROR(__xludf.DUMMYFUNCTION("""COMPUTED_VALUE"""),"Sobha Creek Vistas Tower B")</f>
        <v>Sobha Creek Vistas Tower B</v>
      </c>
      <c r="C14708" s="2" t="str">
        <f ca="1">IFERROR(__xludf.DUMMYFUNCTION("""COMPUTED_VALUE"""),"Building")</f>
        <v>Building</v>
      </c>
      <c r="D14708" s="2" t="str">
        <f ca="1">IFERROR(__xludf.DUMMYFUNCTION("""COMPUTED_VALUE"""),"Dubai&gt;Sobha Hartland&gt;Sobha Creek Vistas&gt;Sobha Creek Vistas Tower B")</f>
        <v>Dubai&gt;Sobha Hartland&gt;Sobha Creek Vistas&gt;Sobha Creek Vistas Tower B</v>
      </c>
      <c r="E14708" s="2"/>
      <c r="F14708" s="2"/>
      <c r="G14708" s="2"/>
      <c r="H14708" s="2"/>
      <c r="I14708" s="2"/>
      <c r="J14708" s="2"/>
      <c r="K14708" s="2"/>
      <c r="L14708" s="2"/>
      <c r="M14708" s="2"/>
      <c r="N14708" s="2"/>
      <c r="O14708" s="2"/>
      <c r="P14708" s="2"/>
      <c r="Q14708" s="2"/>
      <c r="R14708" s="2"/>
      <c r="S14708" s="2"/>
      <c r="T14708" s="2"/>
      <c r="U14708" s="2"/>
      <c r="V14708" s="2"/>
      <c r="W14708" s="2"/>
      <c r="X14708" s="2"/>
      <c r="Y14708" s="2"/>
      <c r="Z14708" s="2"/>
    </row>
    <row r="14709" spans="1:26" ht="16.5" x14ac:dyDescent="0.35">
      <c r="A14709" s="2" t="str">
        <f ca="1">IFERROR(__xludf.DUMMYFUNCTION("""COMPUTED_VALUE"""),"Dubai")</f>
        <v>Dubai</v>
      </c>
      <c r="B14709" s="2" t="str">
        <f ca="1">IFERROR(__xludf.DUMMYFUNCTION("""COMPUTED_VALUE"""),"Mugatrah")</f>
        <v>Mugatrah</v>
      </c>
      <c r="C14709" s="2" t="str">
        <f ca="1">IFERROR(__xludf.DUMMYFUNCTION("""COMPUTED_VALUE"""),"Neighbourhood")</f>
        <v>Neighbourhood</v>
      </c>
      <c r="D14709" s="2" t="str">
        <f ca="1">IFERROR(__xludf.DUMMYFUNCTION("""COMPUTED_VALUE"""),"Dubai&gt;Mugatrah")</f>
        <v>Dubai&gt;Mugatrah</v>
      </c>
      <c r="E14709" s="2"/>
      <c r="F14709" s="2"/>
      <c r="G14709" s="2"/>
      <c r="H14709" s="2"/>
      <c r="I14709" s="2"/>
      <c r="J14709" s="2"/>
      <c r="K14709" s="2"/>
      <c r="L14709" s="2"/>
      <c r="M14709" s="2"/>
      <c r="N14709" s="2"/>
      <c r="O14709" s="2"/>
      <c r="P14709" s="2"/>
      <c r="Q14709" s="2"/>
      <c r="R14709" s="2"/>
      <c r="S14709" s="2"/>
      <c r="T14709" s="2"/>
      <c r="U14709" s="2"/>
      <c r="V14709" s="2"/>
      <c r="W14709" s="2"/>
      <c r="X14709" s="2"/>
      <c r="Y14709" s="2"/>
      <c r="Z14709" s="2"/>
    </row>
    <row r="14710" spans="1:26" ht="16.5" x14ac:dyDescent="0.35">
      <c r="A14710" s="2" t="str">
        <f ca="1">IFERROR(__xludf.DUMMYFUNCTION("""COMPUTED_VALUE"""),"Dubai")</f>
        <v>Dubai</v>
      </c>
      <c r="B14710" s="2" t="str">
        <f ca="1">IFERROR(__xludf.DUMMYFUNCTION("""COMPUTED_VALUE"""),"Building 4E")</f>
        <v>Building 4E</v>
      </c>
      <c r="C14710" s="2" t="str">
        <f ca="1">IFERROR(__xludf.DUMMYFUNCTION("""COMPUTED_VALUE"""),"Building")</f>
        <v>Building</v>
      </c>
      <c r="D14710" s="2" t="str">
        <f ca="1">IFERROR(__xludf.DUMMYFUNCTION("""COMPUTED_VALUE"""),"Dubai&gt;Expo City&gt;Expo Village&gt;Residences 4&gt;Building 4E")</f>
        <v>Dubai&gt;Expo City&gt;Expo Village&gt;Residences 4&gt;Building 4E</v>
      </c>
      <c r="E14710" s="2"/>
      <c r="F14710" s="2"/>
      <c r="G14710" s="2"/>
      <c r="H14710" s="2"/>
      <c r="I14710" s="2"/>
      <c r="J14710" s="2"/>
      <c r="K14710" s="2"/>
      <c r="L14710" s="2"/>
      <c r="M14710" s="2"/>
      <c r="N14710" s="2"/>
      <c r="O14710" s="2"/>
      <c r="P14710" s="2"/>
      <c r="Q14710" s="2"/>
      <c r="R14710" s="2"/>
      <c r="S14710" s="2"/>
      <c r="T14710" s="2"/>
      <c r="U14710" s="2"/>
      <c r="V14710" s="2"/>
      <c r="W14710" s="2"/>
      <c r="X14710" s="2"/>
      <c r="Y14710" s="2"/>
      <c r="Z14710" s="2"/>
    </row>
    <row r="14711" spans="1:26" ht="16.5" x14ac:dyDescent="0.35">
      <c r="A14711" s="2" t="str">
        <f ca="1">IFERROR(__xludf.DUMMYFUNCTION("""COMPUTED_VALUE"""),"Dubai")</f>
        <v>Dubai</v>
      </c>
      <c r="B14711" s="2" t="str">
        <f ca="1">IFERROR(__xludf.DUMMYFUNCTION("""COMPUTED_VALUE"""),"The Floating Seahorse")</f>
        <v>The Floating Seahorse</v>
      </c>
      <c r="C14711" s="2" t="str">
        <f ca="1">IFERROR(__xludf.DUMMYFUNCTION("""COMPUTED_VALUE"""),"Neighbourhood")</f>
        <v>Neighbourhood</v>
      </c>
      <c r="D14711" s="2" t="str">
        <f ca="1">IFERROR(__xludf.DUMMYFUNCTION("""COMPUTED_VALUE"""),"Dubai&gt;The World Islands&gt;The Heart of Europe&gt;The Floating Seahorse")</f>
        <v>Dubai&gt;The World Islands&gt;The Heart of Europe&gt;The Floating Seahorse</v>
      </c>
      <c r="E14711" s="2"/>
      <c r="F14711" s="2"/>
      <c r="G14711" s="2"/>
      <c r="H14711" s="2"/>
      <c r="I14711" s="2"/>
      <c r="J14711" s="2"/>
      <c r="K14711" s="2"/>
      <c r="L14711" s="2"/>
      <c r="M14711" s="2"/>
      <c r="N14711" s="2"/>
      <c r="O14711" s="2"/>
      <c r="P14711" s="2"/>
      <c r="Q14711" s="2"/>
      <c r="R14711" s="2"/>
      <c r="S14711" s="2"/>
      <c r="T14711" s="2"/>
      <c r="U14711" s="2"/>
      <c r="V14711" s="2"/>
      <c r="W14711" s="2"/>
      <c r="X14711" s="2"/>
      <c r="Y14711" s="2"/>
      <c r="Z14711" s="2"/>
    </row>
    <row r="14712" spans="1:26" ht="16.5" x14ac:dyDescent="0.35">
      <c r="A14712" s="2" t="str">
        <f ca="1">IFERROR(__xludf.DUMMYFUNCTION("""COMPUTED_VALUE"""),"Dubai")</f>
        <v>Dubai</v>
      </c>
      <c r="B14712" s="2" t="str">
        <f ca="1">IFERROR(__xludf.DUMMYFUNCTION("""COMPUTED_VALUE"""),"Tranquillity")</f>
        <v>Tranquillity</v>
      </c>
      <c r="C14712" s="2" t="str">
        <f ca="1">IFERROR(__xludf.DUMMYFUNCTION("""COMPUTED_VALUE"""),"Neighbourhood")</f>
        <v>Neighbourhood</v>
      </c>
      <c r="D14712" s="2" t="str">
        <f ca="1">IFERROR(__xludf.DUMMYFUNCTION("""COMPUTED_VALUE"""),"Dubai&gt;Haven by Aldar&gt;Tranquillity")</f>
        <v>Dubai&gt;Haven by Aldar&gt;Tranquillity</v>
      </c>
      <c r="E14712" s="2"/>
      <c r="F14712" s="2"/>
      <c r="G14712" s="2"/>
      <c r="H14712" s="2"/>
      <c r="I14712" s="2"/>
      <c r="J14712" s="2"/>
      <c r="K14712" s="2"/>
      <c r="L14712" s="2"/>
      <c r="M14712" s="2"/>
      <c r="N14712" s="2"/>
      <c r="O14712" s="2"/>
      <c r="P14712" s="2"/>
      <c r="Q14712" s="2"/>
      <c r="R14712" s="2"/>
      <c r="S14712" s="2"/>
      <c r="T14712" s="2"/>
      <c r="U14712" s="2"/>
      <c r="V14712" s="2"/>
      <c r="W14712" s="2"/>
      <c r="X14712" s="2"/>
      <c r="Y14712" s="2"/>
      <c r="Z14712" s="2"/>
    </row>
    <row r="14713" spans="1:26" ht="16.5" x14ac:dyDescent="0.35">
      <c r="A14713" s="2" t="str">
        <f ca="1">IFERROR(__xludf.DUMMYFUNCTION("""COMPUTED_VALUE"""),"Dubai")</f>
        <v>Dubai</v>
      </c>
      <c r="B14713" s="2" t="str">
        <f ca="1">IFERROR(__xludf.DUMMYFUNCTION("""COMPUTED_VALUE"""),"Leon")</f>
        <v>Leon</v>
      </c>
      <c r="C14713" s="2" t="str">
        <f ca="1">IFERROR(__xludf.DUMMYFUNCTION("""COMPUTED_VALUE"""),"Neighbourhood")</f>
        <v>Neighbourhood</v>
      </c>
      <c r="D14713" s="2" t="str">
        <f ca="1">IFERROR(__xludf.DUMMYFUNCTION("""COMPUTED_VALUE"""),"Dubai&gt;Athlon by Aldar&gt;Leon")</f>
        <v>Dubai&gt;Athlon by Aldar&gt;Leon</v>
      </c>
      <c r="E14713" s="2"/>
      <c r="F14713" s="2"/>
      <c r="G14713" s="2"/>
      <c r="H14713" s="2"/>
      <c r="I14713" s="2"/>
      <c r="J14713" s="2"/>
      <c r="K14713" s="2"/>
      <c r="L14713" s="2"/>
      <c r="M14713" s="2"/>
      <c r="N14713" s="2"/>
      <c r="O14713" s="2"/>
      <c r="P14713" s="2"/>
      <c r="Q14713" s="2"/>
      <c r="R14713" s="2"/>
      <c r="S14713" s="2"/>
      <c r="T14713" s="2"/>
      <c r="U14713" s="2"/>
      <c r="V14713" s="2"/>
      <c r="W14713" s="2"/>
      <c r="X14713" s="2"/>
      <c r="Y14713" s="2"/>
      <c r="Z14713" s="2"/>
    </row>
    <row r="14714" spans="1:26" ht="16.5" x14ac:dyDescent="0.35">
      <c r="A14714" s="2" t="str">
        <f ca="1">IFERROR(__xludf.DUMMYFUNCTION("""COMPUTED_VALUE"""),"Dubai")</f>
        <v>Dubai</v>
      </c>
      <c r="B14714" s="2" t="str">
        <f ca="1">IFERROR(__xludf.DUMMYFUNCTION("""COMPUTED_VALUE"""),"Cilia Building 6")</f>
        <v>Cilia Building 6</v>
      </c>
      <c r="C14714" s="2" t="str">
        <f ca="1">IFERROR(__xludf.DUMMYFUNCTION("""COMPUTED_VALUE"""),"Building")</f>
        <v>Building</v>
      </c>
      <c r="D14714" s="2" t="str">
        <f ca="1">IFERROR(__xludf.DUMMYFUNCTION("""COMPUTED_VALUE"""),"Dubai&gt;Ghaf Woods&gt;Cilia&gt;Cilia Building 6")</f>
        <v>Dubai&gt;Ghaf Woods&gt;Cilia&gt;Cilia Building 6</v>
      </c>
      <c r="E14714" s="2"/>
      <c r="F14714" s="2"/>
      <c r="G14714" s="2"/>
      <c r="H14714" s="2"/>
      <c r="I14714" s="2"/>
      <c r="J14714" s="2"/>
      <c r="K14714" s="2"/>
      <c r="L14714" s="2"/>
      <c r="M14714" s="2"/>
      <c r="N14714" s="2"/>
      <c r="O14714" s="2"/>
      <c r="P14714" s="2"/>
      <c r="Q14714" s="2"/>
      <c r="R14714" s="2"/>
      <c r="S14714" s="2"/>
      <c r="T14714" s="2"/>
      <c r="U14714" s="2"/>
      <c r="V14714" s="2"/>
      <c r="W14714" s="2"/>
      <c r="X14714" s="2"/>
      <c r="Y14714" s="2"/>
      <c r="Z14714" s="2"/>
    </row>
    <row r="14715" spans="1:26" ht="16.5" x14ac:dyDescent="0.35">
      <c r="A14715" s="2" t="str">
        <f ca="1">IFERROR(__xludf.DUMMYFUNCTION("""COMPUTED_VALUE"""),"Dubai")</f>
        <v>Dubai</v>
      </c>
      <c r="B14715" s="2" t="str">
        <f ca="1">IFERROR(__xludf.DUMMYFUNCTION("""COMPUTED_VALUE"""),"Bali 2")</f>
        <v>Bali 2</v>
      </c>
      <c r="C14715" s="2" t="str">
        <f ca="1">IFERROR(__xludf.DUMMYFUNCTION("""COMPUTED_VALUE"""),"Neighbourhood")</f>
        <v>Neighbourhood</v>
      </c>
      <c r="D14715" s="2" t="str">
        <f ca="1">IFERROR(__xludf.DUMMYFUNCTION("""COMPUTED_VALUE"""),"Dubai&gt;DAMAC Islands&gt;Bali 2")</f>
        <v>Dubai&gt;DAMAC Islands&gt;Bali 2</v>
      </c>
      <c r="E14715" s="2"/>
      <c r="F14715" s="2"/>
      <c r="G14715" s="2"/>
      <c r="H14715" s="2"/>
      <c r="I14715" s="2"/>
      <c r="J14715" s="2"/>
      <c r="K14715" s="2"/>
      <c r="L14715" s="2"/>
      <c r="M14715" s="2"/>
      <c r="N14715" s="2"/>
      <c r="O14715" s="2"/>
      <c r="P14715" s="2"/>
      <c r="Q14715" s="2"/>
      <c r="R14715" s="2"/>
      <c r="S14715" s="2"/>
      <c r="T14715" s="2"/>
      <c r="U14715" s="2"/>
      <c r="V14715" s="2"/>
      <c r="W14715" s="2"/>
      <c r="X14715" s="2"/>
      <c r="Y14715" s="2"/>
      <c r="Z14715" s="2"/>
    </row>
    <row r="14716" spans="1:26" ht="16.5" x14ac:dyDescent="0.35">
      <c r="A14716" s="2" t="str">
        <f ca="1">IFERROR(__xludf.DUMMYFUNCTION("""COMPUTED_VALUE"""),"Dubai")</f>
        <v>Dubai</v>
      </c>
      <c r="B14716" s="2" t="str">
        <f ca="1">IFERROR(__xludf.DUMMYFUNCTION("""COMPUTED_VALUE"""),"Jumeirah Gate Tower 1")</f>
        <v>Jumeirah Gate Tower 1</v>
      </c>
      <c r="C14716" s="2" t="str">
        <f ca="1">IFERROR(__xludf.DUMMYFUNCTION("""COMPUTED_VALUE"""),"Building")</f>
        <v>Building</v>
      </c>
      <c r="D14716" s="2" t="str">
        <f ca="1">IFERROR(__xludf.DUMMYFUNCTION("""COMPUTED_VALUE"""),"Dubai&gt;Jumeirah Beach Residence (JBR)&gt;The Address Residences Jumeirah Resort and Spa&gt;Jumeirah Gate Tower 1")</f>
        <v>Dubai&gt;Jumeirah Beach Residence (JBR)&gt;The Address Residences Jumeirah Resort and Spa&gt;Jumeirah Gate Tower 1</v>
      </c>
      <c r="E14716" s="2"/>
      <c r="F14716" s="2"/>
      <c r="G14716" s="2"/>
      <c r="H14716" s="2"/>
      <c r="I14716" s="2"/>
      <c r="J14716" s="2"/>
      <c r="K14716" s="2"/>
      <c r="L14716" s="2"/>
      <c r="M14716" s="2"/>
      <c r="N14716" s="2"/>
      <c r="O14716" s="2"/>
      <c r="P14716" s="2"/>
      <c r="Q14716" s="2"/>
      <c r="R14716" s="2"/>
      <c r="S14716" s="2"/>
      <c r="T14716" s="2"/>
      <c r="U14716" s="2"/>
      <c r="V14716" s="2"/>
      <c r="W14716" s="2"/>
      <c r="X14716" s="2"/>
      <c r="Y14716" s="2"/>
      <c r="Z14716" s="2"/>
    </row>
    <row r="14717" spans="1:26" ht="16.5" x14ac:dyDescent="0.35">
      <c r="A14717" s="2" t="str">
        <f ca="1">IFERROR(__xludf.DUMMYFUNCTION("""COMPUTED_VALUE"""),"Dubai")</f>
        <v>Dubai</v>
      </c>
      <c r="B14717" s="2" t="str">
        <f ca="1">IFERROR(__xludf.DUMMYFUNCTION("""COMPUTED_VALUE"""),"Bahar 7")</f>
        <v>Bahar 7</v>
      </c>
      <c r="C14717" s="2" t="str">
        <f ca="1">IFERROR(__xludf.DUMMYFUNCTION("""COMPUTED_VALUE"""),"Building")</f>
        <v>Building</v>
      </c>
      <c r="D14717" s="2" t="str">
        <f ca="1">IFERROR(__xludf.DUMMYFUNCTION("""COMPUTED_VALUE"""),"Dubai&gt;Jumeirah Beach Residence (JBR)&gt;Bahar&gt;Bahar 7")</f>
        <v>Dubai&gt;Jumeirah Beach Residence (JBR)&gt;Bahar&gt;Bahar 7</v>
      </c>
      <c r="E14717" s="2"/>
      <c r="F14717" s="2"/>
      <c r="G14717" s="2"/>
      <c r="H14717" s="2"/>
      <c r="I14717" s="2"/>
      <c r="J14717" s="2"/>
      <c r="K14717" s="2"/>
      <c r="L14717" s="2"/>
      <c r="M14717" s="2"/>
      <c r="N14717" s="2"/>
      <c r="O14717" s="2"/>
      <c r="P14717" s="2"/>
      <c r="Q14717" s="2"/>
      <c r="R14717" s="2"/>
      <c r="S14717" s="2"/>
      <c r="T14717" s="2"/>
      <c r="U14717" s="2"/>
      <c r="V14717" s="2"/>
      <c r="W14717" s="2"/>
      <c r="X14717" s="2"/>
      <c r="Y14717" s="2"/>
      <c r="Z14717" s="2"/>
    </row>
    <row r="14718" spans="1:26" ht="16.5" x14ac:dyDescent="0.35">
      <c r="A14718" s="2" t="str">
        <f ca="1">IFERROR(__xludf.DUMMYFUNCTION("""COMPUTED_VALUE"""),"Dubai")</f>
        <v>Dubai</v>
      </c>
      <c r="B14718" s="2" t="str">
        <f ca="1">IFERROR(__xludf.DUMMYFUNCTION("""COMPUTED_VALUE"""),"Al Vista Tower A")</f>
        <v>Al Vista Tower A</v>
      </c>
      <c r="C14718" s="2" t="str">
        <f ca="1">IFERROR(__xludf.DUMMYFUNCTION("""COMPUTED_VALUE"""),"Building")</f>
        <v>Building</v>
      </c>
      <c r="D14718" s="2" t="str">
        <f ca="1">IFERROR(__xludf.DUMMYFUNCTION("""COMPUTED_VALUE"""),"Dubai&gt;Meydan Horizon&gt;Al Vista&gt;Al Vista Tower A")</f>
        <v>Dubai&gt;Meydan Horizon&gt;Al Vista&gt;Al Vista Tower A</v>
      </c>
      <c r="E14718" s="2"/>
      <c r="F14718" s="2"/>
      <c r="G14718" s="2"/>
      <c r="H14718" s="2"/>
      <c r="I14718" s="2"/>
      <c r="J14718" s="2"/>
      <c r="K14718" s="2"/>
      <c r="L14718" s="2"/>
      <c r="M14718" s="2"/>
      <c r="N14718" s="2"/>
      <c r="O14718" s="2"/>
      <c r="P14718" s="2"/>
      <c r="Q14718" s="2"/>
      <c r="R14718" s="2"/>
      <c r="S14718" s="2"/>
      <c r="T14718" s="2"/>
      <c r="U14718" s="2"/>
      <c r="V14718" s="2"/>
      <c r="W14718" s="2"/>
      <c r="X14718" s="2"/>
      <c r="Y14718" s="2"/>
      <c r="Z14718" s="2"/>
    </row>
    <row r="14719" spans="1:26" ht="16.5" x14ac:dyDescent="0.35">
      <c r="A14719" s="2" t="str">
        <f ca="1">IFERROR(__xludf.DUMMYFUNCTION("""COMPUTED_VALUE"""),"Dubai")</f>
        <v>Dubai</v>
      </c>
      <c r="B14719" s="2" t="str">
        <f ca="1">IFERROR(__xludf.DUMMYFUNCTION("""COMPUTED_VALUE"""),"Block H")</f>
        <v>Block H</v>
      </c>
      <c r="C14719" s="2" t="str">
        <f ca="1">IFERROR(__xludf.DUMMYFUNCTION("""COMPUTED_VALUE"""),"Neighbourhood")</f>
        <v>Neighbourhood</v>
      </c>
      <c r="D14719" s="2" t="str">
        <f ca="1">IFERROR(__xludf.DUMMYFUNCTION("""COMPUTED_VALUE"""),"Dubai&gt;Al Wasl&gt;Dar Wasl&gt;Block H")</f>
        <v>Dubai&gt;Al Wasl&gt;Dar Wasl&gt;Block H</v>
      </c>
      <c r="E14719" s="2"/>
      <c r="F14719" s="2"/>
      <c r="G14719" s="2"/>
      <c r="H14719" s="2"/>
      <c r="I14719" s="2"/>
      <c r="J14719" s="2"/>
      <c r="K14719" s="2"/>
      <c r="L14719" s="2"/>
      <c r="M14719" s="2"/>
      <c r="N14719" s="2"/>
      <c r="O14719" s="2"/>
      <c r="P14719" s="2"/>
      <c r="Q14719" s="2"/>
      <c r="R14719" s="2"/>
      <c r="S14719" s="2"/>
      <c r="T14719" s="2"/>
      <c r="U14719" s="2"/>
      <c r="V14719" s="2"/>
      <c r="W14719" s="2"/>
      <c r="X14719" s="2"/>
      <c r="Y14719" s="2"/>
      <c r="Z14719" s="2"/>
    </row>
    <row r="14720" spans="1:26" ht="16.5" x14ac:dyDescent="0.35">
      <c r="A14720" s="2" t="str">
        <f ca="1">IFERROR(__xludf.DUMMYFUNCTION("""COMPUTED_VALUE"""),"Dubai")</f>
        <v>Dubai</v>
      </c>
      <c r="B14720" s="2" t="str">
        <f ca="1">IFERROR(__xludf.DUMMYFUNCTION("""COMPUTED_VALUE"""),"Fern")</f>
        <v>Fern</v>
      </c>
      <c r="C14720" s="2" t="str">
        <f ca="1">IFERROR(__xludf.DUMMYFUNCTION("""COMPUTED_VALUE"""),"Building")</f>
        <v>Building</v>
      </c>
      <c r="D14720" s="2" t="str">
        <f ca="1">IFERROR(__xludf.DUMMYFUNCTION("""COMPUTED_VALUE"""),"Dubai&gt;Al Wasl&gt;City Walk&gt;Central Park&gt;Fern")</f>
        <v>Dubai&gt;Al Wasl&gt;City Walk&gt;Central Park&gt;Fern</v>
      </c>
      <c r="E14720" s="2"/>
      <c r="F14720" s="2"/>
      <c r="G14720" s="2"/>
      <c r="H14720" s="2"/>
      <c r="I14720" s="2"/>
      <c r="J14720" s="2"/>
      <c r="K14720" s="2"/>
      <c r="L14720" s="2"/>
      <c r="M14720" s="2"/>
      <c r="N14720" s="2"/>
      <c r="O14720" s="2"/>
      <c r="P14720" s="2"/>
      <c r="Q14720" s="2"/>
      <c r="R14720" s="2"/>
      <c r="S14720" s="2"/>
      <c r="T14720" s="2"/>
      <c r="U14720" s="2"/>
      <c r="V14720" s="2"/>
      <c r="W14720" s="2"/>
      <c r="X14720" s="2"/>
      <c r="Y14720" s="2"/>
      <c r="Z14720" s="2"/>
    </row>
    <row r="14721" spans="1:26" ht="16.5" x14ac:dyDescent="0.35">
      <c r="A14721" s="2" t="str">
        <f ca="1">IFERROR(__xludf.DUMMYFUNCTION("""COMPUTED_VALUE"""),"Dubai")</f>
        <v>Dubai</v>
      </c>
      <c r="B14721" s="2" t="str">
        <f ca="1">IFERROR(__xludf.DUMMYFUNCTION("""COMPUTED_VALUE"""),"City Walk Crestlane 1 Building B")</f>
        <v>City Walk Crestlane 1 Building B</v>
      </c>
      <c r="C14721" s="2" t="str">
        <f ca="1">IFERROR(__xludf.DUMMYFUNCTION("""COMPUTED_VALUE"""),"Building")</f>
        <v>Building</v>
      </c>
      <c r="D14721" s="2" t="str">
        <f ca="1">IFERROR(__xludf.DUMMYFUNCTION("""COMPUTED_VALUE"""),"Dubai&gt;Al Wasl&gt;City Walk&gt;City Walk Crestlane 1&gt;City Walk Crestlane 1 Building B")</f>
        <v>Dubai&gt;Al Wasl&gt;City Walk&gt;City Walk Crestlane 1&gt;City Walk Crestlane 1 Building B</v>
      </c>
      <c r="E14721" s="2"/>
      <c r="F14721" s="2"/>
      <c r="G14721" s="2"/>
      <c r="H14721" s="2"/>
      <c r="I14721" s="2"/>
      <c r="J14721" s="2"/>
      <c r="K14721" s="2"/>
      <c r="L14721" s="2"/>
      <c r="M14721" s="2"/>
      <c r="N14721" s="2"/>
      <c r="O14721" s="2"/>
      <c r="P14721" s="2"/>
      <c r="Q14721" s="2"/>
      <c r="R14721" s="2"/>
      <c r="S14721" s="2"/>
      <c r="T14721" s="2"/>
      <c r="U14721" s="2"/>
      <c r="V14721" s="2"/>
      <c r="W14721" s="2"/>
      <c r="X14721" s="2"/>
      <c r="Y14721" s="2"/>
      <c r="Z14721" s="2"/>
    </row>
    <row r="14722" spans="1:26" ht="16.5" x14ac:dyDescent="0.35">
      <c r="A14722" s="2" t="str">
        <f ca="1">IFERROR(__xludf.DUMMYFUNCTION("""COMPUTED_VALUE"""),"Dubai")</f>
        <v>Dubai</v>
      </c>
      <c r="B14722" s="2" t="str">
        <f ca="1">IFERROR(__xludf.DUMMYFUNCTION("""COMPUTED_VALUE"""),"Park Residences")</f>
        <v>Park Residences</v>
      </c>
      <c r="C14722" s="2" t="str">
        <f ca="1">IFERROR(__xludf.DUMMYFUNCTION("""COMPUTED_VALUE"""),"Building")</f>
        <v>Building</v>
      </c>
      <c r="D14722" s="2" t="str">
        <f ca="1">IFERROR(__xludf.DUMMYFUNCTION("""COMPUTED_VALUE"""),"Dubai&gt;Al Wasl&gt;Park Residences")</f>
        <v>Dubai&gt;Al Wasl&gt;Park Residences</v>
      </c>
      <c r="E14722" s="2"/>
      <c r="F14722" s="2"/>
      <c r="G14722" s="2"/>
      <c r="H14722" s="2"/>
      <c r="I14722" s="2"/>
      <c r="J14722" s="2"/>
      <c r="K14722" s="2"/>
      <c r="L14722" s="2"/>
      <c r="M14722" s="2"/>
      <c r="N14722" s="2"/>
      <c r="O14722" s="2"/>
      <c r="P14722" s="2"/>
      <c r="Q14722" s="2"/>
      <c r="R14722" s="2"/>
      <c r="S14722" s="2"/>
      <c r="T14722" s="2"/>
      <c r="U14722" s="2"/>
      <c r="V14722" s="2"/>
      <c r="W14722" s="2"/>
      <c r="X14722" s="2"/>
      <c r="Y14722" s="2"/>
      <c r="Z14722" s="2"/>
    </row>
    <row r="14723" spans="1:26" ht="16.5" x14ac:dyDescent="0.35">
      <c r="A14723" s="2" t="str">
        <f ca="1">IFERROR(__xludf.DUMMYFUNCTION("""COMPUTED_VALUE"""),"Dubai")</f>
        <v>Dubai</v>
      </c>
      <c r="B14723" s="2" t="str">
        <f ca="1">IFERROR(__xludf.DUMMYFUNCTION("""COMPUTED_VALUE"""),"Vincitore Boulevard B")</f>
        <v>Vincitore Boulevard B</v>
      </c>
      <c r="C14723" s="2" t="str">
        <f ca="1">IFERROR(__xludf.DUMMYFUNCTION("""COMPUTED_VALUE"""),"Building")</f>
        <v>Building</v>
      </c>
      <c r="D14723" s="2" t="str">
        <f ca="1">IFERROR(__xludf.DUMMYFUNCTION("""COMPUTED_VALUE"""),"Dubai&gt;Arjan&gt;Vincitore Boulevard&gt;Vincitore Boulevard B")</f>
        <v>Dubai&gt;Arjan&gt;Vincitore Boulevard&gt;Vincitore Boulevard B</v>
      </c>
      <c r="E14723" s="2"/>
      <c r="F14723" s="2"/>
      <c r="G14723" s="2"/>
      <c r="H14723" s="2"/>
      <c r="I14723" s="2"/>
      <c r="J14723" s="2"/>
      <c r="K14723" s="2"/>
      <c r="L14723" s="2"/>
      <c r="M14723" s="2"/>
      <c r="N14723" s="2"/>
      <c r="O14723" s="2"/>
      <c r="P14723" s="2"/>
      <c r="Q14723" s="2"/>
      <c r="R14723" s="2"/>
      <c r="S14723" s="2"/>
      <c r="T14723" s="2"/>
      <c r="U14723" s="2"/>
      <c r="V14723" s="2"/>
      <c r="W14723" s="2"/>
      <c r="X14723" s="2"/>
      <c r="Y14723" s="2"/>
      <c r="Z14723" s="2"/>
    </row>
    <row r="14724" spans="1:26" ht="16.5" x14ac:dyDescent="0.35">
      <c r="A14724" s="2" t="str">
        <f ca="1">IFERROR(__xludf.DUMMYFUNCTION("""COMPUTED_VALUE"""),"Dubai")</f>
        <v>Dubai</v>
      </c>
      <c r="B14724" s="2" t="str">
        <f ca="1">IFERROR(__xludf.DUMMYFUNCTION("""COMPUTED_VALUE"""),"Burj Al khair")</f>
        <v>Burj Al khair</v>
      </c>
      <c r="C14724" s="2" t="str">
        <f ca="1">IFERROR(__xludf.DUMMYFUNCTION("""COMPUTED_VALUE"""),"Building")</f>
        <v>Building</v>
      </c>
      <c r="D14724" s="2" t="str">
        <f ca="1">IFERROR(__xludf.DUMMYFUNCTION("""COMPUTED_VALUE"""),"Dubai&gt;Arjan&gt;Burj Al khair")</f>
        <v>Dubai&gt;Arjan&gt;Burj Al khair</v>
      </c>
      <c r="E14724" s="2"/>
      <c r="F14724" s="2"/>
      <c r="G14724" s="2"/>
      <c r="H14724" s="2"/>
      <c r="I14724" s="2"/>
      <c r="J14724" s="2"/>
      <c r="K14724" s="2"/>
      <c r="L14724" s="2"/>
      <c r="M14724" s="2"/>
      <c r="N14724" s="2"/>
      <c r="O14724" s="2"/>
      <c r="P14724" s="2"/>
      <c r="Q14724" s="2"/>
      <c r="R14724" s="2"/>
      <c r="S14724" s="2"/>
      <c r="T14724" s="2"/>
      <c r="U14724" s="2"/>
      <c r="V14724" s="2"/>
      <c r="W14724" s="2"/>
      <c r="X14724" s="2"/>
      <c r="Y14724" s="2"/>
      <c r="Z14724" s="2"/>
    </row>
    <row r="14725" spans="1:26" ht="16.5" x14ac:dyDescent="0.35">
      <c r="A14725" s="2" t="str">
        <f ca="1">IFERROR(__xludf.DUMMYFUNCTION("""COMPUTED_VALUE"""),"Dubai")</f>
        <v>Dubai</v>
      </c>
      <c r="B14725" s="2" t="str">
        <f ca="1">IFERROR(__xludf.DUMMYFUNCTION("""COMPUTED_VALUE"""),"Vincitore Palacio")</f>
        <v>Vincitore Palacio</v>
      </c>
      <c r="C14725" s="2" t="str">
        <f ca="1">IFERROR(__xludf.DUMMYFUNCTION("""COMPUTED_VALUE"""),"Building")</f>
        <v>Building</v>
      </c>
      <c r="D14725" s="2" t="str">
        <f ca="1">IFERROR(__xludf.DUMMYFUNCTION("""COMPUTED_VALUE"""),"Dubai&gt;Arjan&gt;Vincitore Palacio")</f>
        <v>Dubai&gt;Arjan&gt;Vincitore Palacio</v>
      </c>
      <c r="E14725" s="2"/>
      <c r="F14725" s="2"/>
      <c r="G14725" s="2"/>
      <c r="H14725" s="2"/>
      <c r="I14725" s="2"/>
      <c r="J14725" s="2"/>
      <c r="K14725" s="2"/>
      <c r="L14725" s="2"/>
      <c r="M14725" s="2"/>
      <c r="N14725" s="2"/>
      <c r="O14725" s="2"/>
      <c r="P14725" s="2"/>
      <c r="Q14725" s="2"/>
      <c r="R14725" s="2"/>
      <c r="S14725" s="2"/>
      <c r="T14725" s="2"/>
      <c r="U14725" s="2"/>
      <c r="V14725" s="2"/>
      <c r="W14725" s="2"/>
      <c r="X14725" s="2"/>
      <c r="Y14725" s="2"/>
      <c r="Z14725" s="2"/>
    </row>
    <row r="14726" spans="1:26" ht="16.5" x14ac:dyDescent="0.35">
      <c r="A14726" s="2" t="str">
        <f ca="1">IFERROR(__xludf.DUMMYFUNCTION("""COMPUTED_VALUE"""),"Dubai")</f>
        <v>Dubai</v>
      </c>
      <c r="B14726" s="2" t="str">
        <f ca="1">IFERROR(__xludf.DUMMYFUNCTION("""COMPUTED_VALUE"""),"Torino by ORO24 Building 5")</f>
        <v>Torino by ORO24 Building 5</v>
      </c>
      <c r="C14726" s="2" t="str">
        <f ca="1">IFERROR(__xludf.DUMMYFUNCTION("""COMPUTED_VALUE"""),"Building")</f>
        <v>Building</v>
      </c>
      <c r="D14726" s="2" t="str">
        <f ca="1">IFERROR(__xludf.DUMMYFUNCTION("""COMPUTED_VALUE"""),"Dubai&gt;Arjan&gt;Torino by ORO24&gt;Torino by ORO24 Building 5")</f>
        <v>Dubai&gt;Arjan&gt;Torino by ORO24&gt;Torino by ORO24 Building 5</v>
      </c>
      <c r="E14726" s="2"/>
      <c r="F14726" s="2"/>
      <c r="G14726" s="2"/>
      <c r="H14726" s="2"/>
      <c r="I14726" s="2"/>
      <c r="J14726" s="2"/>
      <c r="K14726" s="2"/>
      <c r="L14726" s="2"/>
      <c r="M14726" s="2"/>
      <c r="N14726" s="2"/>
      <c r="O14726" s="2"/>
      <c r="P14726" s="2"/>
      <c r="Q14726" s="2"/>
      <c r="R14726" s="2"/>
      <c r="S14726" s="2"/>
      <c r="T14726" s="2"/>
      <c r="U14726" s="2"/>
      <c r="V14726" s="2"/>
      <c r="W14726" s="2"/>
      <c r="X14726" s="2"/>
      <c r="Y14726" s="2"/>
      <c r="Z14726" s="2"/>
    </row>
    <row r="14727" spans="1:26" ht="16.5" x14ac:dyDescent="0.35">
      <c r="A14727" s="2" t="str">
        <f ca="1">IFERROR(__xludf.DUMMYFUNCTION("""COMPUTED_VALUE"""),"Dubai")</f>
        <v>Dubai</v>
      </c>
      <c r="B14727" s="2" t="str">
        <f ca="1">IFERROR(__xludf.DUMMYFUNCTION("""COMPUTED_VALUE"""),"Floarea Residence")</f>
        <v>Floarea Residence</v>
      </c>
      <c r="C14727" s="2" t="str">
        <f ca="1">IFERROR(__xludf.DUMMYFUNCTION("""COMPUTED_VALUE"""),"Building")</f>
        <v>Building</v>
      </c>
      <c r="D14727" s="2" t="str">
        <f ca="1">IFERROR(__xludf.DUMMYFUNCTION("""COMPUTED_VALUE"""),"Dubai&gt;Arjan&gt;Floarea Residence")</f>
        <v>Dubai&gt;Arjan&gt;Floarea Residence</v>
      </c>
      <c r="E14727" s="2"/>
      <c r="F14727" s="2"/>
      <c r="G14727" s="2"/>
      <c r="H14727" s="2"/>
      <c r="I14727" s="2"/>
      <c r="J14727" s="2"/>
      <c r="K14727" s="2"/>
      <c r="L14727" s="2"/>
      <c r="M14727" s="2"/>
      <c r="N14727" s="2"/>
      <c r="O14727" s="2"/>
      <c r="P14727" s="2"/>
      <c r="Q14727" s="2"/>
      <c r="R14727" s="2"/>
      <c r="S14727" s="2"/>
      <c r="T14727" s="2"/>
      <c r="U14727" s="2"/>
      <c r="V14727" s="2"/>
      <c r="W14727" s="2"/>
      <c r="X14727" s="2"/>
      <c r="Y14727" s="2"/>
      <c r="Z14727" s="2"/>
    </row>
    <row r="14728" spans="1:26" ht="16.5" x14ac:dyDescent="0.35">
      <c r="A14728" s="2" t="str">
        <f ca="1">IFERROR(__xludf.DUMMYFUNCTION("""COMPUTED_VALUE"""),"Dubai")</f>
        <v>Dubai</v>
      </c>
      <c r="B14728" s="2" t="str">
        <f ca="1">IFERROR(__xludf.DUMMYFUNCTION("""COMPUTED_VALUE"""),"Arjan Seven B2")</f>
        <v>Arjan Seven B2</v>
      </c>
      <c r="C14728" s="2" t="str">
        <f ca="1">IFERROR(__xludf.DUMMYFUNCTION("""COMPUTED_VALUE"""),"Building")</f>
        <v>Building</v>
      </c>
      <c r="D14728" s="2" t="str">
        <f ca="1">IFERROR(__xludf.DUMMYFUNCTION("""COMPUTED_VALUE"""),"Dubai&gt;Arjan&gt;Arjan Seven&gt;Arjan Seven B2")</f>
        <v>Dubai&gt;Arjan&gt;Arjan Seven&gt;Arjan Seven B2</v>
      </c>
      <c r="E14728" s="2"/>
      <c r="F14728" s="2"/>
      <c r="G14728" s="2"/>
      <c r="H14728" s="2"/>
      <c r="I14728" s="2"/>
      <c r="J14728" s="2"/>
      <c r="K14728" s="2"/>
      <c r="L14728" s="2"/>
      <c r="M14728" s="2"/>
      <c r="N14728" s="2"/>
      <c r="O14728" s="2"/>
      <c r="P14728" s="2"/>
      <c r="Q14728" s="2"/>
      <c r="R14728" s="2"/>
      <c r="S14728" s="2"/>
      <c r="T14728" s="2"/>
      <c r="U14728" s="2"/>
      <c r="V14728" s="2"/>
      <c r="W14728" s="2"/>
      <c r="X14728" s="2"/>
      <c r="Y14728" s="2"/>
      <c r="Z14728" s="2"/>
    </row>
    <row r="14729" spans="1:26" ht="16.5" x14ac:dyDescent="0.35">
      <c r="A14729" s="2" t="str">
        <f ca="1">IFERROR(__xludf.DUMMYFUNCTION("""COMPUTED_VALUE"""),"Dubai")</f>
        <v>Dubai</v>
      </c>
      <c r="B14729" s="2" t="str">
        <f ca="1">IFERROR(__xludf.DUMMYFUNCTION("""COMPUTED_VALUE"""),"Samana Imperial Gardens")</f>
        <v>Samana Imperial Gardens</v>
      </c>
      <c r="C14729" s="2" t="str">
        <f ca="1">IFERROR(__xludf.DUMMYFUNCTION("""COMPUTED_VALUE"""),"Building")</f>
        <v>Building</v>
      </c>
      <c r="D14729" s="2" t="str">
        <f ca="1">IFERROR(__xludf.DUMMYFUNCTION("""COMPUTED_VALUE"""),"Dubai&gt;Arjan&gt;Samana Imperial Gardens")</f>
        <v>Dubai&gt;Arjan&gt;Samana Imperial Gardens</v>
      </c>
      <c r="E14729" s="2"/>
      <c r="F14729" s="2"/>
      <c r="G14729" s="2"/>
      <c r="H14729" s="2"/>
      <c r="I14729" s="2"/>
      <c r="J14729" s="2"/>
      <c r="K14729" s="2"/>
      <c r="L14729" s="2"/>
      <c r="M14729" s="2"/>
      <c r="N14729" s="2"/>
      <c r="O14729" s="2"/>
      <c r="P14729" s="2"/>
      <c r="Q14729" s="2"/>
      <c r="R14729" s="2"/>
      <c r="S14729" s="2"/>
      <c r="T14729" s="2"/>
      <c r="U14729" s="2"/>
      <c r="V14729" s="2"/>
      <c r="W14729" s="2"/>
      <c r="X14729" s="2"/>
      <c r="Y14729" s="2"/>
      <c r="Z14729" s="2"/>
    </row>
    <row r="14730" spans="1:26" ht="16.5" x14ac:dyDescent="0.35">
      <c r="A14730" s="2" t="str">
        <f ca="1">IFERROR(__xludf.DUMMYFUNCTION("""COMPUTED_VALUE"""),"Dubai")</f>
        <v>Dubai</v>
      </c>
      <c r="B14730" s="2" t="str">
        <f ca="1">IFERROR(__xludf.DUMMYFUNCTION("""COMPUTED_VALUE"""),"The Loft Office 3")</f>
        <v>The Loft Office 3</v>
      </c>
      <c r="C14730" s="2" t="str">
        <f ca="1">IFERROR(__xludf.DUMMYFUNCTION("""COMPUTED_VALUE"""),"Building")</f>
        <v>Building</v>
      </c>
      <c r="D14730" s="2" t="str">
        <f ca="1">IFERROR(__xludf.DUMMYFUNCTION("""COMPUTED_VALUE"""),"Dubai&gt;Dubai Media City&gt;The Loft Offices&gt;The Loft Office 3")</f>
        <v>Dubai&gt;Dubai Media City&gt;The Loft Offices&gt;The Loft Office 3</v>
      </c>
      <c r="E14730" s="2"/>
      <c r="F14730" s="2"/>
      <c r="G14730" s="2"/>
      <c r="H14730" s="2"/>
      <c r="I14730" s="2"/>
      <c r="J14730" s="2"/>
      <c r="K14730" s="2"/>
      <c r="L14730" s="2"/>
      <c r="M14730" s="2"/>
      <c r="N14730" s="2"/>
      <c r="O14730" s="2"/>
      <c r="P14730" s="2"/>
      <c r="Q14730" s="2"/>
      <c r="R14730" s="2"/>
      <c r="S14730" s="2"/>
      <c r="T14730" s="2"/>
      <c r="U14730" s="2"/>
      <c r="V14730" s="2"/>
      <c r="W14730" s="2"/>
      <c r="X14730" s="2"/>
      <c r="Y14730" s="2"/>
      <c r="Z14730" s="2"/>
    </row>
    <row r="14731" spans="1:26" ht="16.5" x14ac:dyDescent="0.35">
      <c r="A14731" s="2" t="str">
        <f ca="1">IFERROR(__xludf.DUMMYFUNCTION("""COMPUTED_VALUE"""),"Abu Dhabi")</f>
        <v>Abu Dhabi</v>
      </c>
      <c r="B14731" s="2" t="str">
        <f ca="1">IFERROR(__xludf.DUMMYFUNCTION("""COMPUTED_VALUE"""),"Al Dhafrah 1")</f>
        <v>Al Dhafrah 1</v>
      </c>
      <c r="C14731" s="2" t="str">
        <f ca="1">IFERROR(__xludf.DUMMYFUNCTION("""COMPUTED_VALUE"""),"Building")</f>
        <v>Building</v>
      </c>
      <c r="D14731" s="2" t="str">
        <f ca="1">IFERROR(__xludf.DUMMYFUNCTION("""COMPUTED_VALUE"""),"Abu Dhabi&gt;Al Dhafrah&gt;Al Dhafrah 1")</f>
        <v>Abu Dhabi&gt;Al Dhafrah&gt;Al Dhafrah 1</v>
      </c>
      <c r="E14731" s="2"/>
      <c r="F14731" s="2"/>
      <c r="G14731" s="2"/>
      <c r="H14731" s="2"/>
      <c r="I14731" s="2"/>
      <c r="J14731" s="2"/>
      <c r="K14731" s="2"/>
      <c r="L14731" s="2"/>
      <c r="M14731" s="2"/>
      <c r="N14731" s="2"/>
      <c r="O14731" s="2"/>
      <c r="P14731" s="2"/>
      <c r="Q14731" s="2"/>
      <c r="R14731" s="2"/>
      <c r="S14731" s="2"/>
      <c r="T14731" s="2"/>
      <c r="U14731" s="2"/>
      <c r="V14731" s="2"/>
      <c r="W14731" s="2"/>
      <c r="X14731" s="2"/>
      <c r="Y14731" s="2"/>
      <c r="Z14731" s="2"/>
    </row>
    <row r="14732" spans="1:26" ht="16.5" x14ac:dyDescent="0.35">
      <c r="A14732" s="2" t="str">
        <f ca="1">IFERROR(__xludf.DUMMYFUNCTION("""COMPUTED_VALUE"""),"Abu Dhabi")</f>
        <v>Abu Dhabi</v>
      </c>
      <c r="B14732" s="2" t="str">
        <f ca="1">IFERROR(__xludf.DUMMYFUNCTION("""COMPUTED_VALUE"""),"Spanish School of Abu Dhabi")</f>
        <v>Spanish School of Abu Dhabi</v>
      </c>
      <c r="C14732" s="2" t="str">
        <f ca="1">IFERROR(__xludf.DUMMYFUNCTION("""COMPUTED_VALUE"""),"School")</f>
        <v>School</v>
      </c>
      <c r="D14732" s="2" t="str">
        <f ca="1">IFERROR(__xludf.DUMMYFUNCTION("""COMPUTED_VALUE"""),"Abu Dhabi&gt;Al Bateen&gt;Spanish School of Abu Dhabi")</f>
        <v>Abu Dhabi&gt;Al Bateen&gt;Spanish School of Abu Dhabi</v>
      </c>
      <c r="E14732" s="2"/>
      <c r="F14732" s="2"/>
      <c r="G14732" s="2"/>
      <c r="H14732" s="2"/>
      <c r="I14732" s="2"/>
      <c r="J14732" s="2"/>
      <c r="K14732" s="2"/>
      <c r="L14732" s="2"/>
      <c r="M14732" s="2"/>
      <c r="N14732" s="2"/>
      <c r="O14732" s="2"/>
      <c r="P14732" s="2"/>
      <c r="Q14732" s="2"/>
      <c r="R14732" s="2"/>
      <c r="S14732" s="2"/>
      <c r="T14732" s="2"/>
      <c r="U14732" s="2"/>
      <c r="V14732" s="2"/>
      <c r="W14732" s="2"/>
      <c r="X14732" s="2"/>
      <c r="Y14732" s="2"/>
      <c r="Z14732" s="2"/>
    </row>
    <row r="14733" spans="1:26" ht="16.5" x14ac:dyDescent="0.35">
      <c r="A14733" s="2" t="str">
        <f ca="1">IFERROR(__xludf.DUMMYFUNCTION("""COMPUTED_VALUE"""),"Abu Dhabi")</f>
        <v>Abu Dhabi</v>
      </c>
      <c r="B14733" s="2" t="str">
        <f ca="1">IFERROR(__xludf.DUMMYFUNCTION("""COMPUTED_VALUE"""),"New Emi State Tower")</f>
        <v>New Emi State Tower</v>
      </c>
      <c r="C14733" s="2"/>
      <c r="D14733" s="2" t="str">
        <f ca="1">IFERROR(__xludf.DUMMYFUNCTION("""COMPUTED_VALUE"""),"Abu Dhabi&gt;Airport Street&gt;New Emi State Tower")</f>
        <v>Abu Dhabi&gt;Airport Street&gt;New Emi State Tower</v>
      </c>
      <c r="E14733" s="2"/>
      <c r="F14733" s="2"/>
      <c r="G14733" s="2"/>
      <c r="H14733" s="2"/>
      <c r="I14733" s="2"/>
      <c r="J14733" s="2"/>
      <c r="K14733" s="2"/>
      <c r="L14733" s="2"/>
      <c r="M14733" s="2"/>
      <c r="N14733" s="2"/>
      <c r="O14733" s="2"/>
      <c r="P14733" s="2"/>
      <c r="Q14733" s="2"/>
      <c r="R14733" s="2"/>
      <c r="S14733" s="2"/>
      <c r="T14733" s="2"/>
      <c r="U14733" s="2"/>
      <c r="V14733" s="2"/>
      <c r="W14733" s="2"/>
      <c r="X14733" s="2"/>
      <c r="Y14733" s="2"/>
      <c r="Z14733" s="2"/>
    </row>
    <row r="14734" spans="1:26" ht="16.5" x14ac:dyDescent="0.35">
      <c r="A14734" s="2" t="str">
        <f ca="1">IFERROR(__xludf.DUMMYFUNCTION("""COMPUTED_VALUE"""),"Abu Dhabi")</f>
        <v>Abu Dhabi</v>
      </c>
      <c r="B14734" s="2" t="str">
        <f ca="1">IFERROR(__xludf.DUMMYFUNCTION("""COMPUTED_VALUE"""),"Beach Rotana Hotel")</f>
        <v>Beach Rotana Hotel</v>
      </c>
      <c r="C14734" s="2" t="str">
        <f ca="1">IFERROR(__xludf.DUMMYFUNCTION("""COMPUTED_VALUE"""),"Building")</f>
        <v>Building</v>
      </c>
      <c r="D14734" s="2" t="str">
        <f ca="1">IFERROR(__xludf.DUMMYFUNCTION("""COMPUTED_VALUE"""),"Abu Dhabi&gt;Tourist Club Area (TCA)&gt;Beach Rotana Hotel")</f>
        <v>Abu Dhabi&gt;Tourist Club Area (TCA)&gt;Beach Rotana Hotel</v>
      </c>
      <c r="E14734" s="2"/>
      <c r="F14734" s="2"/>
      <c r="G14734" s="2"/>
      <c r="H14734" s="2"/>
      <c r="I14734" s="2"/>
      <c r="J14734" s="2"/>
      <c r="K14734" s="2"/>
      <c r="L14734" s="2"/>
      <c r="M14734" s="2"/>
      <c r="N14734" s="2"/>
      <c r="O14734" s="2"/>
      <c r="P14734" s="2"/>
      <c r="Q14734" s="2"/>
      <c r="R14734" s="2"/>
      <c r="S14734" s="2"/>
      <c r="T14734" s="2"/>
      <c r="U14734" s="2"/>
      <c r="V14734" s="2"/>
      <c r="W14734" s="2"/>
      <c r="X14734" s="2"/>
      <c r="Y14734" s="2"/>
      <c r="Z14734" s="2"/>
    </row>
    <row r="14735" spans="1:26" ht="16.5" x14ac:dyDescent="0.35">
      <c r="A14735" s="2" t="str">
        <f ca="1">IFERROR(__xludf.DUMMYFUNCTION("""COMPUTED_VALUE"""),"Abu Dhabi")</f>
        <v>Abu Dhabi</v>
      </c>
      <c r="B14735" s="2" t="str">
        <f ca="1">IFERROR(__xludf.DUMMYFUNCTION("""COMPUTED_VALUE"""),"Al Nahda National School for Girls, Abu Dhabi")</f>
        <v>Al Nahda National School for Girls, Abu Dhabi</v>
      </c>
      <c r="C14735" s="2" t="str">
        <f ca="1">IFERROR(__xludf.DUMMYFUNCTION("""COMPUTED_VALUE"""),"School")</f>
        <v>School</v>
      </c>
      <c r="D14735" s="2" t="str">
        <f ca="1">IFERROR(__xludf.DUMMYFUNCTION("""COMPUTED_VALUE"""),"Abu Dhabi&gt;Al Mushrif&gt;Al Nahda National School for Girls, Abu Dhabi")</f>
        <v>Abu Dhabi&gt;Al Mushrif&gt;Al Nahda National School for Girls, Abu Dhabi</v>
      </c>
      <c r="E14735" s="2"/>
      <c r="F14735" s="2"/>
      <c r="G14735" s="2"/>
      <c r="H14735" s="2"/>
      <c r="I14735" s="2"/>
      <c r="J14735" s="2"/>
      <c r="K14735" s="2"/>
      <c r="L14735" s="2"/>
      <c r="M14735" s="2"/>
      <c r="N14735" s="2"/>
      <c r="O14735" s="2"/>
      <c r="P14735" s="2"/>
      <c r="Q14735" s="2"/>
      <c r="R14735" s="2"/>
      <c r="S14735" s="2"/>
      <c r="T14735" s="2"/>
      <c r="U14735" s="2"/>
      <c r="V14735" s="2"/>
      <c r="W14735" s="2"/>
      <c r="X14735" s="2"/>
      <c r="Y14735" s="2"/>
      <c r="Z14735" s="2"/>
    </row>
    <row r="14736" spans="1:26" ht="16.5" x14ac:dyDescent="0.35">
      <c r="A14736" s="2" t="str">
        <f ca="1">IFERROR(__xludf.DUMMYFUNCTION("""COMPUTED_VALUE"""),"Abu Dhabi")</f>
        <v>Abu Dhabi</v>
      </c>
      <c r="B14736" s="2" t="str">
        <f ca="1">IFERROR(__xludf.DUMMYFUNCTION("""COMPUTED_VALUE"""),"Naseem")</f>
        <v>Naseem</v>
      </c>
      <c r="C14736" s="2" t="str">
        <f ca="1">IFERROR(__xludf.DUMMYFUNCTION("""COMPUTED_VALUE"""),"Neighbourhood")</f>
        <v>Neighbourhood</v>
      </c>
      <c r="D14736" s="2" t="str">
        <f ca="1">IFERROR(__xludf.DUMMYFUNCTION("""COMPUTED_VALUE"""),"Abu Dhabi&gt;Al Jurf&gt;Al Jurf Gardens&gt;Naseem")</f>
        <v>Abu Dhabi&gt;Al Jurf&gt;Al Jurf Gardens&gt;Naseem</v>
      </c>
      <c r="E14736" s="2"/>
      <c r="F14736" s="2"/>
      <c r="G14736" s="2"/>
      <c r="H14736" s="2"/>
      <c r="I14736" s="2"/>
      <c r="J14736" s="2"/>
      <c r="K14736" s="2"/>
      <c r="L14736" s="2"/>
      <c r="M14736" s="2"/>
      <c r="N14736" s="2"/>
      <c r="O14736" s="2"/>
      <c r="P14736" s="2"/>
      <c r="Q14736" s="2"/>
      <c r="R14736" s="2"/>
      <c r="S14736" s="2"/>
      <c r="T14736" s="2"/>
      <c r="U14736" s="2"/>
      <c r="V14736" s="2"/>
      <c r="W14736" s="2"/>
      <c r="X14736" s="2"/>
      <c r="Y14736" s="2"/>
      <c r="Z14736" s="2"/>
    </row>
    <row r="14737" spans="1:26" ht="16.5" x14ac:dyDescent="0.35">
      <c r="A14737" s="2" t="str">
        <f ca="1">IFERROR(__xludf.DUMMYFUNCTION("""COMPUTED_VALUE"""),"Abu Dhabi")</f>
        <v>Abu Dhabi</v>
      </c>
      <c r="B14737" s="2" t="str">
        <f ca="1">IFERROR(__xludf.DUMMYFUNCTION("""COMPUTED_VALUE"""),"Al Rehhan")</f>
        <v>Al Rehhan</v>
      </c>
      <c r="C14737" s="2" t="str">
        <f ca="1">IFERROR(__xludf.DUMMYFUNCTION("""COMPUTED_VALUE"""),"Neighbourhood")</f>
        <v>Neighbourhood</v>
      </c>
      <c r="D14737" s="2" t="str">
        <f ca="1">IFERROR(__xludf.DUMMYFUNCTION("""COMPUTED_VALUE"""),"Abu Dhabi&gt;Al Rehhan")</f>
        <v>Abu Dhabi&gt;Al Rehhan</v>
      </c>
      <c r="E14737" s="2"/>
      <c r="F14737" s="2"/>
      <c r="G14737" s="2"/>
      <c r="H14737" s="2"/>
      <c r="I14737" s="2"/>
      <c r="J14737" s="2"/>
      <c r="K14737" s="2"/>
      <c r="L14737" s="2"/>
      <c r="M14737" s="2"/>
      <c r="N14737" s="2"/>
      <c r="O14737" s="2"/>
      <c r="P14737" s="2"/>
      <c r="Q14737" s="2"/>
      <c r="R14737" s="2"/>
      <c r="S14737" s="2"/>
      <c r="T14737" s="2"/>
      <c r="U14737" s="2"/>
      <c r="V14737" s="2"/>
      <c r="W14737" s="2"/>
      <c r="X14737" s="2"/>
      <c r="Y14737" s="2"/>
      <c r="Z14737" s="2"/>
    </row>
    <row r="14738" spans="1:26" ht="16.5" x14ac:dyDescent="0.35">
      <c r="A14738" s="2" t="str">
        <f ca="1">IFERROR(__xludf.DUMMYFUNCTION("""COMPUTED_VALUE"""),"Abu Dhabi")</f>
        <v>Abu Dhabi</v>
      </c>
      <c r="B14738" s="2" t="str">
        <f ca="1">IFERROR(__xludf.DUMMYFUNCTION("""COMPUTED_VALUE"""),"The Gate")</f>
        <v>The Gate</v>
      </c>
      <c r="C14738" s="2" t="str">
        <f ca="1">IFERROR(__xludf.DUMMYFUNCTION("""COMPUTED_VALUE"""),"Building")</f>
        <v>Building</v>
      </c>
      <c r="D14738" s="2" t="str">
        <f ca="1">IFERROR(__xludf.DUMMYFUNCTION("""COMPUTED_VALUE"""),"Abu Dhabi&gt;Masdar City&gt;The Gate")</f>
        <v>Abu Dhabi&gt;Masdar City&gt;The Gate</v>
      </c>
      <c r="E14738" s="2"/>
      <c r="F14738" s="2"/>
      <c r="G14738" s="2"/>
      <c r="H14738" s="2"/>
      <c r="I14738" s="2"/>
      <c r="J14738" s="2"/>
      <c r="K14738" s="2"/>
      <c r="L14738" s="2"/>
      <c r="M14738" s="2"/>
      <c r="N14738" s="2"/>
      <c r="O14738" s="2"/>
      <c r="P14738" s="2"/>
      <c r="Q14738" s="2"/>
      <c r="R14738" s="2"/>
      <c r="S14738" s="2"/>
      <c r="T14738" s="2"/>
      <c r="U14738" s="2"/>
      <c r="V14738" s="2"/>
      <c r="W14738" s="2"/>
      <c r="X14738" s="2"/>
      <c r="Y14738" s="2"/>
      <c r="Z14738" s="2"/>
    </row>
    <row r="14739" spans="1:26" ht="16.5" x14ac:dyDescent="0.35">
      <c r="A14739" s="2" t="str">
        <f ca="1">IFERROR(__xludf.DUMMYFUNCTION("""COMPUTED_VALUE"""),"Abu Dhabi")</f>
        <v>Abu Dhabi</v>
      </c>
      <c r="B14739" s="2" t="str">
        <f ca="1">IFERROR(__xludf.DUMMYFUNCTION("""COMPUTED_VALUE"""),"Between Two Bridges (Bain Al Jessrain)")</f>
        <v>Between Two Bridges (Bain Al Jessrain)</v>
      </c>
      <c r="C14739" s="2" t="str">
        <f ca="1">IFERROR(__xludf.DUMMYFUNCTION("""COMPUTED_VALUE"""),"Neighbourhood")</f>
        <v>Neighbourhood</v>
      </c>
      <c r="D14739" s="2" t="str">
        <f ca="1">IFERROR(__xludf.DUMMYFUNCTION("""COMPUTED_VALUE"""),"Abu Dhabi&gt;Between Two Bridges (Bain Al Jessrain)")</f>
        <v>Abu Dhabi&gt;Between Two Bridges (Bain Al Jessrain)</v>
      </c>
      <c r="E14739" s="2"/>
      <c r="F14739" s="2"/>
      <c r="G14739" s="2"/>
      <c r="H14739" s="2"/>
      <c r="I14739" s="2"/>
      <c r="J14739" s="2"/>
      <c r="K14739" s="2"/>
      <c r="L14739" s="2"/>
      <c r="M14739" s="2"/>
      <c r="N14739" s="2"/>
      <c r="O14739" s="2"/>
      <c r="P14739" s="2"/>
      <c r="Q14739" s="2"/>
      <c r="R14739" s="2"/>
      <c r="S14739" s="2"/>
      <c r="T14739" s="2"/>
      <c r="U14739" s="2"/>
      <c r="V14739" s="2"/>
      <c r="W14739" s="2"/>
      <c r="X14739" s="2"/>
      <c r="Y14739" s="2"/>
      <c r="Z14739" s="2"/>
    </row>
    <row r="14740" spans="1:26" ht="16.5" x14ac:dyDescent="0.35">
      <c r="A14740" s="2" t="str">
        <f ca="1">IFERROR(__xludf.DUMMYFUNCTION("""COMPUTED_VALUE"""),"Abu Dhabi")</f>
        <v>Abu Dhabi</v>
      </c>
      <c r="B14740" s="2" t="str">
        <f ca="1">IFERROR(__xludf.DUMMYFUNCTION("""COMPUTED_VALUE"""),"Al Maryah Vista")</f>
        <v>Al Maryah Vista</v>
      </c>
      <c r="C14740" s="2" t="str">
        <f ca="1">IFERROR(__xludf.DUMMYFUNCTION("""COMPUTED_VALUE"""),"Building")</f>
        <v>Building</v>
      </c>
      <c r="D14740" s="2" t="str">
        <f ca="1">IFERROR(__xludf.DUMMYFUNCTION("""COMPUTED_VALUE"""),"Abu Dhabi&gt;Al Maryah Island&gt;Al Maryah Vista")</f>
        <v>Abu Dhabi&gt;Al Maryah Island&gt;Al Maryah Vista</v>
      </c>
      <c r="E14740" s="2"/>
      <c r="F14740" s="2"/>
      <c r="G14740" s="2"/>
      <c r="H14740" s="2"/>
      <c r="I14740" s="2"/>
      <c r="J14740" s="2"/>
      <c r="K14740" s="2"/>
      <c r="L14740" s="2"/>
      <c r="M14740" s="2"/>
      <c r="N14740" s="2"/>
      <c r="O14740" s="2"/>
      <c r="P14740" s="2"/>
      <c r="Q14740" s="2"/>
      <c r="R14740" s="2"/>
      <c r="S14740" s="2"/>
      <c r="T14740" s="2"/>
      <c r="U14740" s="2"/>
      <c r="V14740" s="2"/>
      <c r="W14740" s="2"/>
      <c r="X14740" s="2"/>
      <c r="Y14740" s="2"/>
      <c r="Z14740" s="2"/>
    </row>
    <row r="14741" spans="1:26" ht="16.5" x14ac:dyDescent="0.35">
      <c r="A14741" s="2" t="str">
        <f ca="1">IFERROR(__xludf.DUMMYFUNCTION("""COMPUTED_VALUE"""),"Abu Dhabi")</f>
        <v>Abu Dhabi</v>
      </c>
      <c r="B14741" s="2" t="str">
        <f ca="1">IFERROR(__xludf.DUMMYFUNCTION("""COMPUTED_VALUE"""),"Al Matar")</f>
        <v>Al Matar</v>
      </c>
      <c r="C14741" s="2" t="str">
        <f ca="1">IFERROR(__xludf.DUMMYFUNCTION("""COMPUTED_VALUE"""),"Neighbourhood")</f>
        <v>Neighbourhood</v>
      </c>
      <c r="D14741" s="2" t="str">
        <f ca="1">IFERROR(__xludf.DUMMYFUNCTION("""COMPUTED_VALUE"""),"Abu Dhabi&gt;Al Matar")</f>
        <v>Abu Dhabi&gt;Al Matar</v>
      </c>
      <c r="E14741" s="2"/>
      <c r="F14741" s="2"/>
      <c r="G14741" s="2"/>
      <c r="H14741" s="2"/>
      <c r="I14741" s="2"/>
      <c r="J14741" s="2"/>
      <c r="K14741" s="2"/>
      <c r="L14741" s="2"/>
      <c r="M14741" s="2"/>
      <c r="N14741" s="2"/>
      <c r="O14741" s="2"/>
      <c r="P14741" s="2"/>
      <c r="Q14741" s="2"/>
      <c r="R14741" s="2"/>
      <c r="S14741" s="2"/>
      <c r="T14741" s="2"/>
      <c r="U14741" s="2"/>
      <c r="V14741" s="2"/>
      <c r="W14741" s="2"/>
      <c r="X14741" s="2"/>
      <c r="Y14741" s="2"/>
      <c r="Z14741" s="2"/>
    </row>
    <row r="14742" spans="1:26" ht="16.5" x14ac:dyDescent="0.35">
      <c r="A14742" s="2" t="str">
        <f ca="1">IFERROR(__xludf.DUMMYFUNCTION("""COMPUTED_VALUE"""),"Abu Dhabi")</f>
        <v>Abu Dhabi</v>
      </c>
      <c r="B14742" s="2" t="str">
        <f ca="1">IFERROR(__xludf.DUMMYFUNCTION("""COMPUTED_VALUE"""),"MSH12")</f>
        <v>MSH12</v>
      </c>
      <c r="C14742" s="2" t="str">
        <f ca="1">IFERROR(__xludf.DUMMYFUNCTION("""COMPUTED_VALUE"""),"Neighbourhood")</f>
        <v>Neighbourhood</v>
      </c>
      <c r="D14742" s="2" t="str">
        <f ca="1">IFERROR(__xludf.DUMMYFUNCTION("""COMPUTED_VALUE"""),"Abu Dhabi&gt;Shakhbout City&gt;MSH12")</f>
        <v>Abu Dhabi&gt;Shakhbout City&gt;MSH12</v>
      </c>
      <c r="E14742" s="2"/>
      <c r="F14742" s="2"/>
      <c r="G14742" s="2"/>
      <c r="H14742" s="2"/>
      <c r="I14742" s="2"/>
      <c r="J14742" s="2"/>
      <c r="K14742" s="2"/>
      <c r="L14742" s="2"/>
      <c r="M14742" s="2"/>
      <c r="N14742" s="2"/>
      <c r="O14742" s="2"/>
      <c r="P14742" s="2"/>
      <c r="Q14742" s="2"/>
      <c r="R14742" s="2"/>
      <c r="S14742" s="2"/>
      <c r="T14742" s="2"/>
      <c r="U14742" s="2"/>
      <c r="V14742" s="2"/>
      <c r="W14742" s="2"/>
      <c r="X14742" s="2"/>
      <c r="Y14742" s="2"/>
      <c r="Z14742" s="2"/>
    </row>
    <row r="14743" spans="1:26" ht="16.5" x14ac:dyDescent="0.35">
      <c r="A14743" s="2" t="str">
        <f ca="1">IFERROR(__xludf.DUMMYFUNCTION("""COMPUTED_VALUE"""),"Abu Dhabi")</f>
        <v>Abu Dhabi</v>
      </c>
      <c r="B14743" s="2" t="str">
        <f ca="1">IFERROR(__xludf.DUMMYFUNCTION("""COMPUTED_VALUE"""),"MSH44")</f>
        <v>MSH44</v>
      </c>
      <c r="C14743" s="2" t="str">
        <f ca="1">IFERROR(__xludf.DUMMYFUNCTION("""COMPUTED_VALUE"""),"Neighbourhood")</f>
        <v>Neighbourhood</v>
      </c>
      <c r="D14743" s="2" t="str">
        <f ca="1">IFERROR(__xludf.DUMMYFUNCTION("""COMPUTED_VALUE"""),"Abu Dhabi&gt;Shakhbout City&gt;MSH44")</f>
        <v>Abu Dhabi&gt;Shakhbout City&gt;MSH44</v>
      </c>
      <c r="E14743" s="2"/>
      <c r="F14743" s="2"/>
      <c r="G14743" s="2"/>
      <c r="H14743" s="2"/>
      <c r="I14743" s="2"/>
      <c r="J14743" s="2"/>
      <c r="K14743" s="2"/>
      <c r="L14743" s="2"/>
      <c r="M14743" s="2"/>
      <c r="N14743" s="2"/>
      <c r="O14743" s="2"/>
      <c r="P14743" s="2"/>
      <c r="Q14743" s="2"/>
      <c r="R14743" s="2"/>
      <c r="S14743" s="2"/>
      <c r="T14743" s="2"/>
      <c r="U14743" s="2"/>
      <c r="V14743" s="2"/>
      <c r="W14743" s="2"/>
      <c r="X14743" s="2"/>
      <c r="Y14743" s="2"/>
      <c r="Z14743" s="2"/>
    </row>
    <row r="14744" spans="1:26" ht="16.5" x14ac:dyDescent="0.35">
      <c r="A14744" s="2" t="str">
        <f ca="1">IFERROR(__xludf.DUMMYFUNCTION("""COMPUTED_VALUE"""),"Abu Dhabi")</f>
        <v>Abu Dhabi</v>
      </c>
      <c r="B14744" s="2" t="str">
        <f ca="1">IFERROR(__xludf.DUMMYFUNCTION("""COMPUTED_VALUE"""),"Al Shahama")</f>
        <v>Al Shahama</v>
      </c>
      <c r="C14744" s="2" t="str">
        <f ca="1">IFERROR(__xludf.DUMMYFUNCTION("""COMPUTED_VALUE"""),"Neighbourhood")</f>
        <v>Neighbourhood</v>
      </c>
      <c r="D14744" s="2" t="str">
        <f ca="1">IFERROR(__xludf.DUMMYFUNCTION("""COMPUTED_VALUE"""),"Abu Dhabi&gt;Al Shahama")</f>
        <v>Abu Dhabi&gt;Al Shahama</v>
      </c>
      <c r="E14744" s="2"/>
      <c r="F14744" s="2"/>
      <c r="G14744" s="2"/>
      <c r="H14744" s="2"/>
      <c r="I14744" s="2"/>
      <c r="J14744" s="2"/>
      <c r="K14744" s="2"/>
      <c r="L14744" s="2"/>
      <c r="M14744" s="2"/>
      <c r="N14744" s="2"/>
      <c r="O14744" s="2"/>
      <c r="P14744" s="2"/>
      <c r="Q14744" s="2"/>
      <c r="R14744" s="2"/>
      <c r="S14744" s="2"/>
      <c r="T14744" s="2"/>
      <c r="U14744" s="2"/>
      <c r="V14744" s="2"/>
      <c r="W14744" s="2"/>
      <c r="X14744" s="2"/>
      <c r="Y14744" s="2"/>
      <c r="Z14744" s="2"/>
    </row>
    <row r="14745" spans="1:26" ht="16.5" x14ac:dyDescent="0.35">
      <c r="A14745" s="2" t="str">
        <f ca="1">IFERROR(__xludf.DUMMYFUNCTION("""COMPUTED_VALUE"""),"Abu Dhabi")</f>
        <v>Abu Dhabi</v>
      </c>
      <c r="B14745" s="2" t="str">
        <f ca="1">IFERROR(__xludf.DUMMYFUNCTION("""COMPUTED_VALUE"""),"Sea Tower")</f>
        <v>Sea Tower</v>
      </c>
      <c r="C14745" s="2" t="str">
        <f ca="1">IFERROR(__xludf.DUMMYFUNCTION("""COMPUTED_VALUE"""),"Building")</f>
        <v>Building</v>
      </c>
      <c r="D14745" s="2" t="str">
        <f ca="1">IFERROR(__xludf.DUMMYFUNCTION("""COMPUTED_VALUE"""),"Abu Dhabi&gt;Al Hisn&gt;Sea Tower")</f>
        <v>Abu Dhabi&gt;Al Hisn&gt;Sea Tower</v>
      </c>
      <c r="E14745" s="2"/>
      <c r="F14745" s="2"/>
      <c r="G14745" s="2"/>
      <c r="H14745" s="2"/>
      <c r="I14745" s="2"/>
      <c r="J14745" s="2"/>
      <c r="K14745" s="2"/>
      <c r="L14745" s="2"/>
      <c r="M14745" s="2"/>
      <c r="N14745" s="2"/>
      <c r="O14745" s="2"/>
      <c r="P14745" s="2"/>
      <c r="Q14745" s="2"/>
      <c r="R14745" s="2"/>
      <c r="S14745" s="2"/>
      <c r="T14745" s="2"/>
      <c r="U14745" s="2"/>
      <c r="V14745" s="2"/>
      <c r="W14745" s="2"/>
      <c r="X14745" s="2"/>
      <c r="Y14745" s="2"/>
      <c r="Z14745" s="2"/>
    </row>
    <row r="14746" spans="1:26" ht="16.5" x14ac:dyDescent="0.35">
      <c r="A14746" s="2" t="str">
        <f ca="1">IFERROR(__xludf.DUMMYFUNCTION("""COMPUTED_VALUE"""),"Abu Dhabi")</f>
        <v>Abu Dhabi</v>
      </c>
      <c r="B14746" s="2" t="str">
        <f ca="1">IFERROR(__xludf.DUMMYFUNCTION("""COMPUTED_VALUE"""),"Al Samha East")</f>
        <v>Al Samha East</v>
      </c>
      <c r="C14746" s="2" t="str">
        <f ca="1">IFERROR(__xludf.DUMMYFUNCTION("""COMPUTED_VALUE"""),"Neighbourhood")</f>
        <v>Neighbourhood</v>
      </c>
      <c r="D14746" s="2" t="str">
        <f ca="1">IFERROR(__xludf.DUMMYFUNCTION("""COMPUTED_VALUE"""),"Abu Dhabi&gt;Al Samha&gt;Al Samha East")</f>
        <v>Abu Dhabi&gt;Al Samha&gt;Al Samha East</v>
      </c>
      <c r="E14746" s="2"/>
      <c r="F14746" s="2"/>
      <c r="G14746" s="2"/>
      <c r="H14746" s="2"/>
      <c r="I14746" s="2"/>
      <c r="J14746" s="2"/>
      <c r="K14746" s="2"/>
      <c r="L14746" s="2"/>
      <c r="M14746" s="2"/>
      <c r="N14746" s="2"/>
      <c r="O14746" s="2"/>
      <c r="P14746" s="2"/>
      <c r="Q14746" s="2"/>
      <c r="R14746" s="2"/>
      <c r="S14746" s="2"/>
      <c r="T14746" s="2"/>
      <c r="U14746" s="2"/>
      <c r="V14746" s="2"/>
      <c r="W14746" s="2"/>
      <c r="X14746" s="2"/>
      <c r="Y14746" s="2"/>
      <c r="Z14746" s="2"/>
    </row>
    <row r="14747" spans="1:26" ht="16.5" x14ac:dyDescent="0.35">
      <c r="A14747" s="2" t="str">
        <f ca="1">IFERROR(__xludf.DUMMYFUNCTION("""COMPUTED_VALUE"""),"Abu Dhabi")</f>
        <v>Abu Dhabi</v>
      </c>
      <c r="B14747" s="2" t="str">
        <f ca="1">IFERROR(__xludf.DUMMYFUNCTION("""COMPUTED_VALUE"""),"Fahid Beach Residences Tower B4")</f>
        <v>Fahid Beach Residences Tower B4</v>
      </c>
      <c r="C14747" s="2" t="str">
        <f ca="1">IFERROR(__xludf.DUMMYFUNCTION("""COMPUTED_VALUE"""),"Building")</f>
        <v>Building</v>
      </c>
      <c r="D14747" s="2" t="str">
        <f ca="1">IFERROR(__xludf.DUMMYFUNCTION("""COMPUTED_VALUE"""),"Abu Dhabi&gt;Fahid Island&gt;Fahid Beach Residences&gt;Fahid Beach Residences Tower B4")</f>
        <v>Abu Dhabi&gt;Fahid Island&gt;Fahid Beach Residences&gt;Fahid Beach Residences Tower B4</v>
      </c>
      <c r="E14747" s="2"/>
      <c r="F14747" s="2"/>
      <c r="G14747" s="2"/>
      <c r="H14747" s="2"/>
      <c r="I14747" s="2"/>
      <c r="J14747" s="2"/>
      <c r="K14747" s="2"/>
      <c r="L14747" s="2"/>
      <c r="M14747" s="2"/>
      <c r="N14747" s="2"/>
      <c r="O14747" s="2"/>
      <c r="P14747" s="2"/>
      <c r="Q14747" s="2"/>
      <c r="R14747" s="2"/>
      <c r="S14747" s="2"/>
      <c r="T14747" s="2"/>
      <c r="U14747" s="2"/>
      <c r="V14747" s="2"/>
      <c r="W14747" s="2"/>
      <c r="X14747" s="2"/>
      <c r="Y14747" s="2"/>
      <c r="Z14747" s="2"/>
    </row>
    <row r="14748" spans="1:26" ht="16.5" x14ac:dyDescent="0.35">
      <c r="A14748" s="2" t="str">
        <f ca="1">IFERROR(__xludf.DUMMYFUNCTION("""COMPUTED_VALUE"""),"Abu Dhabi")</f>
        <v>Abu Dhabi</v>
      </c>
      <c r="B14748" s="2" t="str">
        <f ca="1">IFERROR(__xludf.DUMMYFUNCTION("""COMPUTED_VALUE"""),"Sky Gardens Tower")</f>
        <v>Sky Gardens Tower</v>
      </c>
      <c r="C14748" s="2" t="str">
        <f ca="1">IFERROR(__xludf.DUMMYFUNCTION("""COMPUTED_VALUE"""),"Building")</f>
        <v>Building</v>
      </c>
      <c r="D14748" s="2" t="str">
        <f ca="1">IFERROR(__xludf.DUMMYFUNCTION("""COMPUTED_VALUE"""),"Abu Dhabi&gt;Al Reem Island&gt;Sky Gardens Tower")</f>
        <v>Abu Dhabi&gt;Al Reem Island&gt;Sky Gardens Tower</v>
      </c>
      <c r="E14748" s="2"/>
      <c r="F14748" s="2"/>
      <c r="G14748" s="2"/>
      <c r="H14748" s="2"/>
      <c r="I14748" s="2"/>
      <c r="J14748" s="2"/>
      <c r="K14748" s="2"/>
      <c r="L14748" s="2"/>
      <c r="M14748" s="2"/>
      <c r="N14748" s="2"/>
      <c r="O14748" s="2"/>
      <c r="P14748" s="2"/>
      <c r="Q14748" s="2"/>
      <c r="R14748" s="2"/>
      <c r="S14748" s="2"/>
      <c r="T14748" s="2"/>
      <c r="U14748" s="2"/>
      <c r="V14748" s="2"/>
      <c r="W14748" s="2"/>
      <c r="X14748" s="2"/>
      <c r="Y14748" s="2"/>
      <c r="Z14748" s="2"/>
    </row>
    <row r="14749" spans="1:26" ht="16.5" x14ac:dyDescent="0.35">
      <c r="A14749" s="2" t="str">
        <f ca="1">IFERROR(__xludf.DUMMYFUNCTION("""COMPUTED_VALUE"""),"Abu Dhabi")</f>
        <v>Abu Dhabi</v>
      </c>
      <c r="B14749" s="2" t="str">
        <f ca="1">IFERROR(__xludf.DUMMYFUNCTION("""COMPUTED_VALUE"""),"Pixel")</f>
        <v>Pixel</v>
      </c>
      <c r="C14749" s="2" t="str">
        <f ca="1">IFERROR(__xludf.DUMMYFUNCTION("""COMPUTED_VALUE"""),"Building")</f>
        <v>Building</v>
      </c>
      <c r="D14749" s="2" t="str">
        <f ca="1">IFERROR(__xludf.DUMMYFUNCTION("""COMPUTED_VALUE"""),"Abu Dhabi&gt;Al Reem Island&gt;Makers District&gt;Pixel")</f>
        <v>Abu Dhabi&gt;Al Reem Island&gt;Makers District&gt;Pixel</v>
      </c>
      <c r="E14749" s="2"/>
      <c r="F14749" s="2"/>
      <c r="G14749" s="2"/>
      <c r="H14749" s="2"/>
      <c r="I14749" s="2"/>
      <c r="J14749" s="2"/>
      <c r="K14749" s="2"/>
      <c r="L14749" s="2"/>
      <c r="M14749" s="2"/>
      <c r="N14749" s="2"/>
      <c r="O14749" s="2"/>
      <c r="P14749" s="2"/>
      <c r="Q14749" s="2"/>
      <c r="R14749" s="2"/>
      <c r="S14749" s="2"/>
      <c r="T14749" s="2"/>
      <c r="U14749" s="2"/>
      <c r="V14749" s="2"/>
      <c r="W14749" s="2"/>
      <c r="X14749" s="2"/>
      <c r="Y14749" s="2"/>
      <c r="Z14749" s="2"/>
    </row>
    <row r="14750" spans="1:26" ht="16.5" x14ac:dyDescent="0.35">
      <c r="A14750" s="2" t="str">
        <f ca="1">IFERROR(__xludf.DUMMYFUNCTION("""COMPUTED_VALUE"""),"Abu Dhabi")</f>
        <v>Abu Dhabi</v>
      </c>
      <c r="B14750" s="2" t="str">
        <f ca="1">IFERROR(__xludf.DUMMYFUNCTION("""COMPUTED_VALUE"""),"Mangrove Residence")</f>
        <v>Mangrove Residence</v>
      </c>
      <c r="C14750" s="2" t="str">
        <f ca="1">IFERROR(__xludf.DUMMYFUNCTION("""COMPUTED_VALUE"""),"Building")</f>
        <v>Building</v>
      </c>
      <c r="D14750" s="2" t="str">
        <f ca="1">IFERROR(__xludf.DUMMYFUNCTION("""COMPUTED_VALUE"""),"Abu Dhabi&gt;Al Reem Island&gt;Shams Abu Dhabi&gt;Mangrove Residence")</f>
        <v>Abu Dhabi&gt;Al Reem Island&gt;Shams Abu Dhabi&gt;Mangrove Residence</v>
      </c>
      <c r="E14750" s="2"/>
      <c r="F14750" s="2"/>
      <c r="G14750" s="2"/>
      <c r="H14750" s="2"/>
      <c r="I14750" s="2"/>
      <c r="J14750" s="2"/>
      <c r="K14750" s="2"/>
      <c r="L14750" s="2"/>
      <c r="M14750" s="2"/>
      <c r="N14750" s="2"/>
      <c r="O14750" s="2"/>
      <c r="P14750" s="2"/>
      <c r="Q14750" s="2"/>
      <c r="R14750" s="2"/>
      <c r="S14750" s="2"/>
      <c r="T14750" s="2"/>
      <c r="U14750" s="2"/>
      <c r="V14750" s="2"/>
      <c r="W14750" s="2"/>
      <c r="X14750" s="2"/>
      <c r="Y14750" s="2"/>
      <c r="Z14750" s="2"/>
    </row>
    <row r="14751" spans="1:26" ht="16.5" x14ac:dyDescent="0.35">
      <c r="A14751" s="2" t="str">
        <f ca="1">IFERROR(__xludf.DUMMYFUNCTION("""COMPUTED_VALUE"""),"Abu Dhabi")</f>
        <v>Abu Dhabi</v>
      </c>
      <c r="B14751" s="2" t="str">
        <f ca="1">IFERROR(__xludf.DUMMYFUNCTION("""COMPUTED_VALUE"""),"Hydra Square")</f>
        <v>Hydra Square</v>
      </c>
      <c r="C14751" s="2" t="str">
        <f ca="1">IFERROR(__xludf.DUMMYFUNCTION("""COMPUTED_VALUE"""),"Building")</f>
        <v>Building</v>
      </c>
      <c r="D14751" s="2" t="str">
        <f ca="1">IFERROR(__xludf.DUMMYFUNCTION("""COMPUTED_VALUE"""),"Abu Dhabi&gt;Al Reem Island&gt;Shams Abu Dhabi&gt;Hydra Square")</f>
        <v>Abu Dhabi&gt;Al Reem Island&gt;Shams Abu Dhabi&gt;Hydra Square</v>
      </c>
      <c r="E14751" s="2"/>
      <c r="F14751" s="2"/>
      <c r="G14751" s="2"/>
      <c r="H14751" s="2"/>
      <c r="I14751" s="2"/>
      <c r="J14751" s="2"/>
      <c r="K14751" s="2"/>
      <c r="L14751" s="2"/>
      <c r="M14751" s="2"/>
      <c r="N14751" s="2"/>
      <c r="O14751" s="2"/>
      <c r="P14751" s="2"/>
      <c r="Q14751" s="2"/>
      <c r="R14751" s="2"/>
      <c r="S14751" s="2"/>
      <c r="T14751" s="2"/>
      <c r="U14751" s="2"/>
      <c r="V14751" s="2"/>
      <c r="W14751" s="2"/>
      <c r="X14751" s="2"/>
      <c r="Y14751" s="2"/>
      <c r="Z14751" s="2"/>
    </row>
    <row r="14752" spans="1:26" ht="16.5" x14ac:dyDescent="0.35">
      <c r="A14752" s="2" t="str">
        <f ca="1">IFERROR(__xludf.DUMMYFUNCTION("""COMPUTED_VALUE"""),"Abu Dhabi")</f>
        <v>Abu Dhabi</v>
      </c>
      <c r="B14752" s="2" t="str">
        <f ca="1">IFERROR(__xludf.DUMMYFUNCTION("""COMPUTED_VALUE"""),"Marina Bay Tower 2")</f>
        <v>Marina Bay Tower 2</v>
      </c>
      <c r="C14752" s="2" t="str">
        <f ca="1">IFERROR(__xludf.DUMMYFUNCTION("""COMPUTED_VALUE"""),"Building")</f>
        <v>Building</v>
      </c>
      <c r="D14752" s="2" t="str">
        <f ca="1">IFERROR(__xludf.DUMMYFUNCTION("""COMPUTED_VALUE"""),"Abu Dhabi&gt;Al Reem Island&gt;City of Lights&gt;Marina Bay&gt;Marina Bay Tower 2")</f>
        <v>Abu Dhabi&gt;Al Reem Island&gt;City of Lights&gt;Marina Bay&gt;Marina Bay Tower 2</v>
      </c>
      <c r="E14752" s="2"/>
      <c r="F14752" s="2"/>
      <c r="G14752" s="2"/>
      <c r="H14752" s="2"/>
      <c r="I14752" s="2"/>
      <c r="J14752" s="2"/>
      <c r="K14752" s="2"/>
      <c r="L14752" s="2"/>
      <c r="M14752" s="2"/>
      <c r="N14752" s="2"/>
      <c r="O14752" s="2"/>
      <c r="P14752" s="2"/>
      <c r="Q14752" s="2"/>
      <c r="R14752" s="2"/>
      <c r="S14752" s="2"/>
      <c r="T14752" s="2"/>
      <c r="U14752" s="2"/>
      <c r="V14752" s="2"/>
      <c r="W14752" s="2"/>
      <c r="X14752" s="2"/>
      <c r="Y14752" s="2"/>
      <c r="Z14752" s="2"/>
    </row>
    <row r="14753" spans="1:26" ht="16.5" x14ac:dyDescent="0.35">
      <c r="A14753" s="2" t="str">
        <f ca="1">IFERROR(__xludf.DUMMYFUNCTION("""COMPUTED_VALUE"""),"Abu Dhabi")</f>
        <v>Abu Dhabi</v>
      </c>
      <c r="B14753" s="2" t="str">
        <f ca="1">IFERROR(__xludf.DUMMYFUNCTION("""COMPUTED_VALUE"""),"Burooj Crystal")</f>
        <v>Burooj Crystal</v>
      </c>
      <c r="C14753" s="2" t="str">
        <f ca="1">IFERROR(__xludf.DUMMYFUNCTION("""COMPUTED_VALUE"""),"Building")</f>
        <v>Building</v>
      </c>
      <c r="D14753" s="2" t="str">
        <f ca="1">IFERROR(__xludf.DUMMYFUNCTION("""COMPUTED_VALUE"""),"Abu Dhabi&gt;Al Reem Island&gt;Burooj Crystal")</f>
        <v>Abu Dhabi&gt;Al Reem Island&gt;Burooj Crystal</v>
      </c>
      <c r="E14753" s="2"/>
      <c r="F14753" s="2"/>
      <c r="G14753" s="2"/>
      <c r="H14753" s="2"/>
      <c r="I14753" s="2"/>
      <c r="J14753" s="2"/>
      <c r="K14753" s="2"/>
      <c r="L14753" s="2"/>
      <c r="M14753" s="2"/>
      <c r="N14753" s="2"/>
      <c r="O14753" s="2"/>
      <c r="P14753" s="2"/>
      <c r="Q14753" s="2"/>
      <c r="R14753" s="2"/>
      <c r="S14753" s="2"/>
      <c r="T14753" s="2"/>
      <c r="U14753" s="2"/>
      <c r="V14753" s="2"/>
      <c r="W14753" s="2"/>
      <c r="X14753" s="2"/>
      <c r="Y14753" s="2"/>
      <c r="Z14753" s="2"/>
    </row>
    <row r="14754" spans="1:26" ht="16.5" x14ac:dyDescent="0.35">
      <c r="A14754" s="2" t="str">
        <f ca="1">IFERROR(__xludf.DUMMYFUNCTION("""COMPUTED_VALUE"""),"Abu Dhabi")</f>
        <v>Abu Dhabi</v>
      </c>
      <c r="B14754" s="2" t="str">
        <f ca="1">IFERROR(__xludf.DUMMYFUNCTION("""COMPUTED_VALUE"""),"Fairmont Marina Residences")</f>
        <v>Fairmont Marina Residences</v>
      </c>
      <c r="C14754" s="2" t="str">
        <f ca="1">IFERROR(__xludf.DUMMYFUNCTION("""COMPUTED_VALUE"""),"Building")</f>
        <v>Building</v>
      </c>
      <c r="D14754" s="2" t="str">
        <f ca="1">IFERROR(__xludf.DUMMYFUNCTION("""COMPUTED_VALUE"""),"Abu Dhabi&gt;The Marina&gt;Fairmont Marina Residences")</f>
        <v>Abu Dhabi&gt;The Marina&gt;Fairmont Marina Residences</v>
      </c>
      <c r="E14754" s="2"/>
      <c r="F14754" s="2"/>
      <c r="G14754" s="2"/>
      <c r="H14754" s="2"/>
      <c r="I14754" s="2"/>
      <c r="J14754" s="2"/>
      <c r="K14754" s="2"/>
      <c r="L14754" s="2"/>
      <c r="M14754" s="2"/>
      <c r="N14754" s="2"/>
      <c r="O14754" s="2"/>
      <c r="P14754" s="2"/>
      <c r="Q14754" s="2"/>
      <c r="R14754" s="2"/>
      <c r="S14754" s="2"/>
      <c r="T14754" s="2"/>
      <c r="U14754" s="2"/>
      <c r="V14754" s="2"/>
      <c r="W14754" s="2"/>
      <c r="X14754" s="2"/>
      <c r="Y14754" s="2"/>
      <c r="Z14754" s="2"/>
    </row>
    <row r="14755" spans="1:26" ht="16.5" x14ac:dyDescent="0.35">
      <c r="A14755" s="2" t="str">
        <f ca="1">IFERROR(__xludf.DUMMYFUNCTION("""COMPUTED_VALUE"""),"Abu Dhabi")</f>
        <v>Abu Dhabi</v>
      </c>
      <c r="B14755" s="2" t="str">
        <f ca="1">IFERROR(__xludf.DUMMYFUNCTION("""COMPUTED_VALUE"""),"East Cornich Road")</f>
        <v>East Cornich Road</v>
      </c>
      <c r="C14755" s="2"/>
      <c r="D14755" s="2" t="str">
        <f ca="1">IFERROR(__xludf.DUMMYFUNCTION("""COMPUTED_VALUE"""),"Abu Dhabi&gt;Hamdan Street&gt;East Cornich Road")</f>
        <v>Abu Dhabi&gt;Hamdan Street&gt;East Cornich Road</v>
      </c>
      <c r="E14755" s="2"/>
      <c r="F14755" s="2"/>
      <c r="G14755" s="2"/>
      <c r="H14755" s="2"/>
      <c r="I14755" s="2"/>
      <c r="J14755" s="2"/>
      <c r="K14755" s="2"/>
      <c r="L14755" s="2"/>
      <c r="M14755" s="2"/>
      <c r="N14755" s="2"/>
      <c r="O14755" s="2"/>
      <c r="P14755" s="2"/>
      <c r="Q14755" s="2"/>
      <c r="R14755" s="2"/>
      <c r="S14755" s="2"/>
      <c r="T14755" s="2"/>
      <c r="U14755" s="2"/>
      <c r="V14755" s="2"/>
      <c r="W14755" s="2"/>
      <c r="X14755" s="2"/>
      <c r="Y14755" s="2"/>
      <c r="Z14755" s="2"/>
    </row>
    <row r="14756" spans="1:26" ht="16.5" x14ac:dyDescent="0.35">
      <c r="A14756" s="2" t="str">
        <f ca="1">IFERROR(__xludf.DUMMYFUNCTION("""COMPUTED_VALUE"""),"Abu Dhabi")</f>
        <v>Abu Dhabi</v>
      </c>
      <c r="B14756" s="2" t="str">
        <f ca="1">IFERROR(__xludf.DUMMYFUNCTION("""COMPUTED_VALUE"""),"Khalidiyah Tower B")</f>
        <v>Khalidiyah Tower B</v>
      </c>
      <c r="C14756" s="2" t="str">
        <f ca="1">IFERROR(__xludf.DUMMYFUNCTION("""COMPUTED_VALUE"""),"Building")</f>
        <v>Building</v>
      </c>
      <c r="D14756" s="2" t="str">
        <f ca="1">IFERROR(__xludf.DUMMYFUNCTION("""COMPUTED_VALUE"""),"Abu Dhabi&gt;Al Khalidiyah&gt;Khalidiyah Twin Towers&gt;Khalidiyah Tower B")</f>
        <v>Abu Dhabi&gt;Al Khalidiyah&gt;Khalidiyah Twin Towers&gt;Khalidiyah Tower B</v>
      </c>
      <c r="E14756" s="2"/>
      <c r="F14756" s="2"/>
      <c r="G14756" s="2"/>
      <c r="H14756" s="2"/>
      <c r="I14756" s="2"/>
      <c r="J14756" s="2"/>
      <c r="K14756" s="2"/>
      <c r="L14756" s="2"/>
      <c r="M14756" s="2"/>
      <c r="N14756" s="2"/>
      <c r="O14756" s="2"/>
      <c r="P14756" s="2"/>
      <c r="Q14756" s="2"/>
      <c r="R14756" s="2"/>
      <c r="S14756" s="2"/>
      <c r="T14756" s="2"/>
      <c r="U14756" s="2"/>
      <c r="V14756" s="2"/>
      <c r="W14756" s="2"/>
      <c r="X14756" s="2"/>
      <c r="Y14756" s="2"/>
      <c r="Z14756" s="2"/>
    </row>
    <row r="14757" spans="1:26" ht="16.5" x14ac:dyDescent="0.35">
      <c r="A14757" s="2" t="str">
        <f ca="1">IFERROR(__xludf.DUMMYFUNCTION("""COMPUTED_VALUE"""),"Abu Dhabi")</f>
        <v>Abu Dhabi</v>
      </c>
      <c r="B14757" s="2" t="str">
        <f ca="1">IFERROR(__xludf.DUMMYFUNCTION("""COMPUTED_VALUE"""),"Children’s House Montessori")</f>
        <v>Children’s House Montessori</v>
      </c>
      <c r="C14757" s="2" t="str">
        <f ca="1">IFERROR(__xludf.DUMMYFUNCTION("""COMPUTED_VALUE"""),"Nursery")</f>
        <v>Nursery</v>
      </c>
      <c r="D14757" s="2" t="str">
        <f ca="1">IFERROR(__xludf.DUMMYFUNCTION("""COMPUTED_VALUE"""),"Abu Dhabi&gt;Khalifa City&gt;Children’s House Montessori")</f>
        <v>Abu Dhabi&gt;Khalifa City&gt;Children’s House Montessori</v>
      </c>
      <c r="E14757" s="2"/>
      <c r="F14757" s="2"/>
      <c r="G14757" s="2"/>
      <c r="H14757" s="2"/>
      <c r="I14757" s="2"/>
      <c r="J14757" s="2"/>
      <c r="K14757" s="2"/>
      <c r="L14757" s="2"/>
      <c r="M14757" s="2"/>
      <c r="N14757" s="2"/>
      <c r="O14757" s="2"/>
      <c r="P14757" s="2"/>
      <c r="Q14757" s="2"/>
      <c r="R14757" s="2"/>
      <c r="S14757" s="2"/>
      <c r="T14757" s="2"/>
      <c r="U14757" s="2"/>
      <c r="V14757" s="2"/>
      <c r="W14757" s="2"/>
      <c r="X14757" s="2"/>
      <c r="Y14757" s="2"/>
      <c r="Z14757" s="2"/>
    </row>
    <row r="14758" spans="1:26" ht="16.5" x14ac:dyDescent="0.35">
      <c r="A14758" s="2" t="str">
        <f ca="1">IFERROR(__xludf.DUMMYFUNCTION("""COMPUTED_VALUE"""),"Abu Dhabi")</f>
        <v>Abu Dhabi</v>
      </c>
      <c r="B14758" s="2" t="str">
        <f ca="1">IFERROR(__xludf.DUMMYFUNCTION("""COMPUTED_VALUE"""),"SW11")</f>
        <v>SW11</v>
      </c>
      <c r="C14758" s="2" t="str">
        <f ca="1">IFERROR(__xludf.DUMMYFUNCTION("""COMPUTED_VALUE"""),"Neighbourhood")</f>
        <v>Neighbourhood</v>
      </c>
      <c r="D14758" s="2" t="str">
        <f ca="1">IFERROR(__xludf.DUMMYFUNCTION("""COMPUTED_VALUE"""),"Abu Dhabi&gt;Khalifa City&gt;SW11")</f>
        <v>Abu Dhabi&gt;Khalifa City&gt;SW11</v>
      </c>
      <c r="E14758" s="2"/>
      <c r="F14758" s="2"/>
      <c r="G14758" s="2"/>
      <c r="H14758" s="2"/>
      <c r="I14758" s="2"/>
      <c r="J14758" s="2"/>
      <c r="K14758" s="2"/>
      <c r="L14758" s="2"/>
      <c r="M14758" s="2"/>
      <c r="N14758" s="2"/>
      <c r="O14758" s="2"/>
      <c r="P14758" s="2"/>
      <c r="Q14758" s="2"/>
      <c r="R14758" s="2"/>
      <c r="S14758" s="2"/>
      <c r="T14758" s="2"/>
      <c r="U14758" s="2"/>
      <c r="V14758" s="2"/>
      <c r="W14758" s="2"/>
      <c r="X14758" s="2"/>
      <c r="Y14758" s="2"/>
      <c r="Z14758" s="2"/>
    </row>
    <row r="14759" spans="1:26" ht="16.5" x14ac:dyDescent="0.35">
      <c r="A14759" s="2" t="str">
        <f ca="1">IFERROR(__xludf.DUMMYFUNCTION("""COMPUTED_VALUE"""),"Abu Dhabi")</f>
        <v>Abu Dhabi</v>
      </c>
      <c r="B14759" s="2" t="str">
        <f ca="1">IFERROR(__xludf.DUMMYFUNCTION("""COMPUTED_VALUE"""),"The Blue Tower")</f>
        <v>The Blue Tower</v>
      </c>
      <c r="C14759" s="2" t="str">
        <f ca="1">IFERROR(__xludf.DUMMYFUNCTION("""COMPUTED_VALUE"""),"Building")</f>
        <v>Building</v>
      </c>
      <c r="D14759" s="2" t="str">
        <f ca="1">IFERROR(__xludf.DUMMYFUNCTION("""COMPUTED_VALUE"""),"Abu Dhabi&gt;Al Markaziya&gt;The Blue Tower")</f>
        <v>Abu Dhabi&gt;Al Markaziya&gt;The Blue Tower</v>
      </c>
      <c r="E14759" s="2"/>
      <c r="F14759" s="2"/>
      <c r="G14759" s="2"/>
      <c r="H14759" s="2"/>
      <c r="I14759" s="2"/>
      <c r="J14759" s="2"/>
      <c r="K14759" s="2"/>
      <c r="L14759" s="2"/>
      <c r="M14759" s="2"/>
      <c r="N14759" s="2"/>
      <c r="O14759" s="2"/>
      <c r="P14759" s="2"/>
      <c r="Q14759" s="2"/>
      <c r="R14759" s="2"/>
      <c r="S14759" s="2"/>
      <c r="T14759" s="2"/>
      <c r="U14759" s="2"/>
      <c r="V14759" s="2"/>
      <c r="W14759" s="2"/>
      <c r="X14759" s="2"/>
      <c r="Y14759" s="2"/>
      <c r="Z14759" s="2"/>
    </row>
    <row r="14760" spans="1:26" ht="16.5" x14ac:dyDescent="0.35">
      <c r="A14760" s="2" t="str">
        <f ca="1">IFERROR(__xludf.DUMMYFUNCTION("""COMPUTED_VALUE"""),"Abu Dhabi")</f>
        <v>Abu Dhabi</v>
      </c>
      <c r="B14760" s="2" t="str">
        <f ca="1">IFERROR(__xludf.DUMMYFUNCTION("""COMPUTED_VALUE"""),"Al Raha Gardens")</f>
        <v>Al Raha Gardens</v>
      </c>
      <c r="C14760" s="2" t="str">
        <f ca="1">IFERROR(__xludf.DUMMYFUNCTION("""COMPUTED_VALUE"""),"Neighbourhood")</f>
        <v>Neighbourhood</v>
      </c>
      <c r="D14760" s="2" t="str">
        <f ca="1">IFERROR(__xludf.DUMMYFUNCTION("""COMPUTED_VALUE"""),"Abu Dhabi&gt;Al Raha Gardens")</f>
        <v>Abu Dhabi&gt;Al Raha Gardens</v>
      </c>
      <c r="E14760" s="2"/>
      <c r="F14760" s="2"/>
      <c r="G14760" s="2"/>
      <c r="H14760" s="2"/>
      <c r="I14760" s="2"/>
      <c r="J14760" s="2"/>
      <c r="K14760" s="2"/>
      <c r="L14760" s="2"/>
      <c r="M14760" s="2"/>
      <c r="N14760" s="2"/>
      <c r="O14760" s="2"/>
      <c r="P14760" s="2"/>
      <c r="Q14760" s="2"/>
      <c r="R14760" s="2"/>
      <c r="S14760" s="2"/>
      <c r="T14760" s="2"/>
      <c r="U14760" s="2"/>
      <c r="V14760" s="2"/>
      <c r="W14760" s="2"/>
      <c r="X14760" s="2"/>
      <c r="Y14760" s="2"/>
      <c r="Z14760" s="2"/>
    </row>
    <row r="14761" spans="1:26" ht="16.5" x14ac:dyDescent="0.35">
      <c r="A14761" s="2" t="str">
        <f ca="1">IFERROR(__xludf.DUMMYFUNCTION("""COMPUTED_VALUE"""),"Abu Dhabi")</f>
        <v>Abu Dhabi</v>
      </c>
      <c r="B14761" s="2" t="str">
        <f ca="1">IFERROR(__xludf.DUMMYFUNCTION("""COMPUTED_VALUE"""),"Grove Museum Views")</f>
        <v>Grove Museum Views</v>
      </c>
      <c r="C14761" s="2" t="str">
        <f ca="1">IFERROR(__xludf.DUMMYFUNCTION("""COMPUTED_VALUE"""),"Building")</f>
        <v>Building</v>
      </c>
      <c r="D14761" s="2" t="str">
        <f ca="1">IFERROR(__xludf.DUMMYFUNCTION("""COMPUTED_VALUE"""),"Abu Dhabi&gt;Saadiyat Island&gt;Saadiyat Cultural District&gt;Saadiyat Grove&gt;Grove Museum Views")</f>
        <v>Abu Dhabi&gt;Saadiyat Island&gt;Saadiyat Cultural District&gt;Saadiyat Grove&gt;Grove Museum Views</v>
      </c>
      <c r="E14761" s="2"/>
      <c r="F14761" s="2"/>
      <c r="G14761" s="2"/>
      <c r="H14761" s="2"/>
      <c r="I14761" s="2"/>
      <c r="J14761" s="2"/>
      <c r="K14761" s="2"/>
      <c r="L14761" s="2"/>
      <c r="M14761" s="2"/>
      <c r="N14761" s="2"/>
      <c r="O14761" s="2"/>
      <c r="P14761" s="2"/>
      <c r="Q14761" s="2"/>
      <c r="R14761" s="2"/>
      <c r="S14761" s="2"/>
      <c r="T14761" s="2"/>
      <c r="U14761" s="2"/>
      <c r="V14761" s="2"/>
      <c r="W14761" s="2"/>
      <c r="X14761" s="2"/>
      <c r="Y14761" s="2"/>
      <c r="Z14761" s="2"/>
    </row>
    <row r="14762" spans="1:26" ht="16.5" x14ac:dyDescent="0.35">
      <c r="A14762" s="2" t="str">
        <f ca="1">IFERROR(__xludf.DUMMYFUNCTION("""COMPUTED_VALUE"""),"Abu Dhabi")</f>
        <v>Abu Dhabi</v>
      </c>
      <c r="B14762" s="2" t="str">
        <f ca="1">IFERROR(__xludf.DUMMYFUNCTION("""COMPUTED_VALUE"""),"Qaryat Al HIDD")</f>
        <v>Qaryat Al HIDD</v>
      </c>
      <c r="C14762" s="2" t="str">
        <f ca="1">IFERROR(__xludf.DUMMYFUNCTION("""COMPUTED_VALUE"""),"Neighbourhood")</f>
        <v>Neighbourhood</v>
      </c>
      <c r="D14762" s="2" t="str">
        <f ca="1">IFERROR(__xludf.DUMMYFUNCTION("""COMPUTED_VALUE"""),"Abu Dhabi&gt;Saadiyat Island&gt;HIDD Al Saadiyat&gt;Qaryat Al HIDD")</f>
        <v>Abu Dhabi&gt;Saadiyat Island&gt;HIDD Al Saadiyat&gt;Qaryat Al HIDD</v>
      </c>
      <c r="E14762" s="2"/>
      <c r="F14762" s="2"/>
      <c r="G14762" s="2"/>
      <c r="H14762" s="2"/>
      <c r="I14762" s="2"/>
      <c r="J14762" s="2"/>
      <c r="K14762" s="2"/>
      <c r="L14762" s="2"/>
      <c r="M14762" s="2"/>
      <c r="N14762" s="2"/>
      <c r="O14762" s="2"/>
      <c r="P14762" s="2"/>
      <c r="Q14762" s="2"/>
      <c r="R14762" s="2"/>
      <c r="S14762" s="2"/>
      <c r="T14762" s="2"/>
      <c r="U14762" s="2"/>
      <c r="V14762" s="2"/>
      <c r="W14762" s="2"/>
      <c r="X14762" s="2"/>
      <c r="Y14762" s="2"/>
      <c r="Z14762" s="2"/>
    </row>
    <row r="14763" spans="1:26" ht="16.5" x14ac:dyDescent="0.35">
      <c r="A14763" s="2" t="str">
        <f ca="1">IFERROR(__xludf.DUMMYFUNCTION("""COMPUTED_VALUE"""),"Abu Dhabi")</f>
        <v>Abu Dhabi</v>
      </c>
      <c r="B14763" s="2" t="str">
        <f ca="1">IFERROR(__xludf.DUMMYFUNCTION("""COMPUTED_VALUE"""),"St Regis Villas")</f>
        <v>St Regis Villas</v>
      </c>
      <c r="C14763" s="2" t="str">
        <f ca="1">IFERROR(__xludf.DUMMYFUNCTION("""COMPUTED_VALUE"""),"Neighbourhood")</f>
        <v>Neighbourhood</v>
      </c>
      <c r="D14763" s="2" t="str">
        <f ca="1">IFERROR(__xludf.DUMMYFUNCTION("""COMPUTED_VALUE"""),"Abu Dhabi&gt;Saadiyat Island&gt;St Regis Villas")</f>
        <v>Abu Dhabi&gt;Saadiyat Island&gt;St Regis Villas</v>
      </c>
      <c r="E14763" s="2"/>
      <c r="F14763" s="2"/>
      <c r="G14763" s="2"/>
      <c r="H14763" s="2"/>
      <c r="I14763" s="2"/>
      <c r="J14763" s="2"/>
      <c r="K14763" s="2"/>
      <c r="L14763" s="2"/>
      <c r="M14763" s="2"/>
      <c r="N14763" s="2"/>
      <c r="O14763" s="2"/>
      <c r="P14763" s="2"/>
      <c r="Q14763" s="2"/>
      <c r="R14763" s="2"/>
      <c r="S14763" s="2"/>
      <c r="T14763" s="2"/>
      <c r="U14763" s="2"/>
      <c r="V14763" s="2"/>
      <c r="W14763" s="2"/>
      <c r="X14763" s="2"/>
      <c r="Y14763" s="2"/>
      <c r="Z14763" s="2"/>
    </row>
    <row r="14764" spans="1:26" ht="16.5" x14ac:dyDescent="0.35">
      <c r="A14764" s="2" t="str">
        <f ca="1">IFERROR(__xludf.DUMMYFUNCTION("""COMPUTED_VALUE"""),"Abu Dhabi")</f>
        <v>Abu Dhabi</v>
      </c>
      <c r="B14764" s="2" t="str">
        <f ca="1">IFERROR(__xludf.DUMMYFUNCTION("""COMPUTED_VALUE"""),"Al Seef")</f>
        <v>Al Seef</v>
      </c>
      <c r="C14764" s="2" t="str">
        <f ca="1">IFERROR(__xludf.DUMMYFUNCTION("""COMPUTED_VALUE"""),"Neighbourhood")</f>
        <v>Neighbourhood</v>
      </c>
      <c r="D14764" s="2" t="str">
        <f ca="1">IFERROR(__xludf.DUMMYFUNCTION("""COMPUTED_VALUE"""),"Abu Dhabi&gt;Al Raha Beach&gt;Al Seef")</f>
        <v>Abu Dhabi&gt;Al Raha Beach&gt;Al Seef</v>
      </c>
      <c r="E14764" s="2"/>
      <c r="F14764" s="2"/>
      <c r="G14764" s="2"/>
      <c r="H14764" s="2"/>
      <c r="I14764" s="2"/>
      <c r="J14764" s="2"/>
      <c r="K14764" s="2"/>
      <c r="L14764" s="2"/>
      <c r="M14764" s="2"/>
      <c r="N14764" s="2"/>
      <c r="O14764" s="2"/>
      <c r="P14764" s="2"/>
      <c r="Q14764" s="2"/>
      <c r="R14764" s="2"/>
      <c r="S14764" s="2"/>
      <c r="T14764" s="2"/>
      <c r="U14764" s="2"/>
      <c r="V14764" s="2"/>
      <c r="W14764" s="2"/>
      <c r="X14764" s="2"/>
      <c r="Y14764" s="2"/>
      <c r="Z14764" s="2"/>
    </row>
    <row r="14765" spans="1:26" ht="16.5" x14ac:dyDescent="0.35">
      <c r="A14765" s="2" t="str">
        <f ca="1">IFERROR(__xludf.DUMMYFUNCTION("""COMPUTED_VALUE"""),"Abu Dhabi")</f>
        <v>Abu Dhabi</v>
      </c>
      <c r="B14765" s="2" t="str">
        <f ca="1">IFERROR(__xludf.DUMMYFUNCTION("""COMPUTED_VALUE"""),"Al Rahba")</f>
        <v>Al Rahba</v>
      </c>
      <c r="C14765" s="2" t="str">
        <f ca="1">IFERROR(__xludf.DUMMYFUNCTION("""COMPUTED_VALUE"""),"Cluster")</f>
        <v>Cluster</v>
      </c>
      <c r="D14765" s="2" t="str">
        <f ca="1">IFERROR(__xludf.DUMMYFUNCTION("""COMPUTED_VALUE"""),"Abu Dhabi&gt;Al Raha Beach&gt;Al Muneera&gt;Al Rahba")</f>
        <v>Abu Dhabi&gt;Al Raha Beach&gt;Al Muneera&gt;Al Rahba</v>
      </c>
      <c r="E14765" s="2"/>
      <c r="F14765" s="2"/>
      <c r="G14765" s="2"/>
      <c r="H14765" s="2"/>
      <c r="I14765" s="2"/>
      <c r="J14765" s="2"/>
      <c r="K14765" s="2"/>
      <c r="L14765" s="2"/>
      <c r="M14765" s="2"/>
      <c r="N14765" s="2"/>
      <c r="O14765" s="2"/>
      <c r="P14765" s="2"/>
      <c r="Q14765" s="2"/>
      <c r="R14765" s="2"/>
      <c r="S14765" s="2"/>
      <c r="T14765" s="2"/>
      <c r="U14765" s="2"/>
      <c r="V14765" s="2"/>
      <c r="W14765" s="2"/>
      <c r="X14765" s="2"/>
      <c r="Y14765" s="2"/>
      <c r="Z14765" s="2"/>
    </row>
    <row r="14766" spans="1:26" ht="16.5" x14ac:dyDescent="0.35">
      <c r="A14766" s="2" t="str">
        <f ca="1">IFERROR(__xludf.DUMMYFUNCTION("""COMPUTED_VALUE"""),"Abu Dhabi")</f>
        <v>Abu Dhabi</v>
      </c>
      <c r="B14766" s="2" t="str">
        <f ca="1">IFERROR(__xludf.DUMMYFUNCTION("""COMPUTED_VALUE"""),"Q Residence")</f>
        <v>Q Residence</v>
      </c>
      <c r="C14766" s="2" t="str">
        <f ca="1">IFERROR(__xludf.DUMMYFUNCTION("""COMPUTED_VALUE"""),"Building")</f>
        <v>Building</v>
      </c>
      <c r="D14766" s="2" t="str">
        <f ca="1">IFERROR(__xludf.DUMMYFUNCTION("""COMPUTED_VALUE"""),"Abu Dhabi&gt;Al Raha Beach&gt;Q Residence")</f>
        <v>Abu Dhabi&gt;Al Raha Beach&gt;Q Residence</v>
      </c>
      <c r="E14766" s="2"/>
      <c r="F14766" s="2"/>
      <c r="G14766" s="2"/>
      <c r="H14766" s="2"/>
      <c r="I14766" s="2"/>
      <c r="J14766" s="2"/>
      <c r="K14766" s="2"/>
      <c r="L14766" s="2"/>
      <c r="M14766" s="2"/>
      <c r="N14766" s="2"/>
      <c r="O14766" s="2"/>
      <c r="P14766" s="2"/>
      <c r="Q14766" s="2"/>
      <c r="R14766" s="2"/>
      <c r="S14766" s="2"/>
      <c r="T14766" s="2"/>
      <c r="U14766" s="2"/>
      <c r="V14766" s="2"/>
      <c r="W14766" s="2"/>
      <c r="X14766" s="2"/>
      <c r="Y14766" s="2"/>
      <c r="Z14766" s="2"/>
    </row>
    <row r="14767" spans="1:26" ht="16.5" x14ac:dyDescent="0.35">
      <c r="A14767" s="2" t="str">
        <f ca="1">IFERROR(__xludf.DUMMYFUNCTION("""COMPUTED_VALUE"""),"Abu Dhabi")</f>
        <v>Abu Dhabi</v>
      </c>
      <c r="B14767" s="2" t="str">
        <f ca="1">IFERROR(__xludf.DUMMYFUNCTION("""COMPUTED_VALUE"""),"P-2657")</f>
        <v>P-2657</v>
      </c>
      <c r="C14767" s="2" t="str">
        <f ca="1">IFERROR(__xludf.DUMMYFUNCTION("""COMPUTED_VALUE"""),"Building")</f>
        <v>Building</v>
      </c>
      <c r="D14767" s="2" t="str">
        <f ca="1">IFERROR(__xludf.DUMMYFUNCTION("""COMPUTED_VALUE"""),"Abu Dhabi&gt;Al Raha Beach&gt;P-2657")</f>
        <v>Abu Dhabi&gt;Al Raha Beach&gt;P-2657</v>
      </c>
      <c r="E14767" s="2"/>
      <c r="F14767" s="2"/>
      <c r="G14767" s="2"/>
      <c r="H14767" s="2"/>
      <c r="I14767" s="2"/>
      <c r="J14767" s="2"/>
      <c r="K14767" s="2"/>
      <c r="L14767" s="2"/>
      <c r="M14767" s="2"/>
      <c r="N14767" s="2"/>
      <c r="O14767" s="2"/>
      <c r="P14767" s="2"/>
      <c r="Q14767" s="2"/>
      <c r="R14767" s="2"/>
      <c r="S14767" s="2"/>
      <c r="T14767" s="2"/>
      <c r="U14767" s="2"/>
      <c r="V14767" s="2"/>
      <c r="W14767" s="2"/>
      <c r="X14767" s="2"/>
      <c r="Y14767" s="2"/>
      <c r="Z14767" s="2"/>
    </row>
    <row r="14768" spans="1:26" ht="16.5" x14ac:dyDescent="0.35">
      <c r="A14768" s="2" t="str">
        <f ca="1">IFERROR(__xludf.DUMMYFUNCTION("""COMPUTED_VALUE"""),"Abu Dhabi")</f>
        <v>Abu Dhabi</v>
      </c>
      <c r="B14768" s="2" t="str">
        <f ca="1">IFERROR(__xludf.DUMMYFUNCTION("""COMPUTED_VALUE"""),"Gazelle Residence")</f>
        <v>Gazelle Residence</v>
      </c>
      <c r="C14768" s="2"/>
      <c r="D14768" s="2" t="str">
        <f ca="1">IFERROR(__xludf.DUMMYFUNCTION("""COMPUTED_VALUE"""),"Abu Dhabi&gt;Al Salam Street&gt;Gazelle Residence")</f>
        <v>Abu Dhabi&gt;Al Salam Street&gt;Gazelle Residence</v>
      </c>
      <c r="E14768" s="2"/>
      <c r="F14768" s="2"/>
      <c r="G14768" s="2"/>
      <c r="H14768" s="2"/>
      <c r="I14768" s="2"/>
      <c r="J14768" s="2"/>
      <c r="K14768" s="2"/>
      <c r="L14768" s="2"/>
      <c r="M14768" s="2"/>
      <c r="N14768" s="2"/>
      <c r="O14768" s="2"/>
      <c r="P14768" s="2"/>
      <c r="Q14768" s="2"/>
      <c r="R14768" s="2"/>
      <c r="S14768" s="2"/>
      <c r="T14768" s="2"/>
      <c r="U14768" s="2"/>
      <c r="V14768" s="2"/>
      <c r="W14768" s="2"/>
      <c r="X14768" s="2"/>
      <c r="Y14768" s="2"/>
      <c r="Z14768" s="2"/>
    </row>
    <row r="14769" spans="1:26" ht="16.5" x14ac:dyDescent="0.35">
      <c r="A14769" s="2" t="str">
        <f ca="1">IFERROR(__xludf.DUMMYFUNCTION("""COMPUTED_VALUE"""),"Abu Dhabi")</f>
        <v>Abu Dhabi</v>
      </c>
      <c r="B14769" s="2" t="str">
        <f ca="1">IFERROR(__xludf.DUMMYFUNCTION("""COMPUTED_VALUE"""),"The Model School, Abu Dhabi")</f>
        <v>The Model School, Abu Dhabi</v>
      </c>
      <c r="C14769" s="2" t="str">
        <f ca="1">IFERROR(__xludf.DUMMYFUNCTION("""COMPUTED_VALUE"""),"School")</f>
        <v>School</v>
      </c>
      <c r="D14769" s="2" t="str">
        <f ca="1">IFERROR(__xludf.DUMMYFUNCTION("""COMPUTED_VALUE"""),"Abu Dhabi&gt;Mohamed Bin Zayed City&gt;The Model School, Abu Dhabi")</f>
        <v>Abu Dhabi&gt;Mohamed Bin Zayed City&gt;The Model School, Abu Dhabi</v>
      </c>
      <c r="E14769" s="2"/>
      <c r="F14769" s="2"/>
      <c r="G14769" s="2"/>
      <c r="H14769" s="2"/>
      <c r="I14769" s="2"/>
      <c r="J14769" s="2"/>
      <c r="K14769" s="2"/>
      <c r="L14769" s="2"/>
      <c r="M14769" s="2"/>
      <c r="N14769" s="2"/>
      <c r="O14769" s="2"/>
      <c r="P14769" s="2"/>
      <c r="Q14769" s="2"/>
      <c r="R14769" s="2"/>
      <c r="S14769" s="2"/>
      <c r="T14769" s="2"/>
      <c r="U14769" s="2"/>
      <c r="V14769" s="2"/>
      <c r="W14769" s="2"/>
      <c r="X14769" s="2"/>
      <c r="Y14769" s="2"/>
      <c r="Z14769" s="2"/>
    </row>
    <row r="14770" spans="1:26" ht="16.5" x14ac:dyDescent="0.35">
      <c r="A14770" s="2" t="str">
        <f ca="1">IFERROR(__xludf.DUMMYFUNCTION("""COMPUTED_VALUE"""),"Abu Dhabi")</f>
        <v>Abu Dhabi</v>
      </c>
      <c r="B14770" s="2" t="str">
        <f ca="1">IFERROR(__xludf.DUMMYFUNCTION("""COMPUTED_VALUE"""),"Zone 7")</f>
        <v>Zone 7</v>
      </c>
      <c r="C14770" s="2" t="str">
        <f ca="1">IFERROR(__xludf.DUMMYFUNCTION("""COMPUTED_VALUE"""),"Neighbourhood")</f>
        <v>Neighbourhood</v>
      </c>
      <c r="D14770" s="2" t="str">
        <f ca="1">IFERROR(__xludf.DUMMYFUNCTION("""COMPUTED_VALUE"""),"Abu Dhabi&gt;Mohamed Bin Zayed City&gt;Zone 7")</f>
        <v>Abu Dhabi&gt;Mohamed Bin Zayed City&gt;Zone 7</v>
      </c>
      <c r="E14770" s="2"/>
      <c r="F14770" s="2"/>
      <c r="G14770" s="2"/>
      <c r="H14770" s="2"/>
      <c r="I14770" s="2"/>
      <c r="J14770" s="2"/>
      <c r="K14770" s="2"/>
      <c r="L14770" s="2"/>
      <c r="M14770" s="2"/>
      <c r="N14770" s="2"/>
      <c r="O14770" s="2"/>
      <c r="P14770" s="2"/>
      <c r="Q14770" s="2"/>
      <c r="R14770" s="2"/>
      <c r="S14770" s="2"/>
      <c r="T14770" s="2"/>
      <c r="U14770" s="2"/>
      <c r="V14770" s="2"/>
      <c r="W14770" s="2"/>
      <c r="X14770" s="2"/>
      <c r="Y14770" s="2"/>
      <c r="Z14770" s="2"/>
    </row>
    <row r="14771" spans="1:26" ht="16.5" x14ac:dyDescent="0.35">
      <c r="A14771" s="2" t="str">
        <f ca="1">IFERROR(__xludf.DUMMYFUNCTION("""COMPUTED_VALUE"""),"Abu Dhabi")</f>
        <v>Abu Dhabi</v>
      </c>
      <c r="B14771" s="2" t="str">
        <f ca="1">IFERROR(__xludf.DUMMYFUNCTION("""COMPUTED_VALUE"""),"Building 14")</f>
        <v>Building 14</v>
      </c>
      <c r="C14771" s="2" t="str">
        <f ca="1">IFERROR(__xludf.DUMMYFUNCTION("""COMPUTED_VALUE"""),"Building")</f>
        <v>Building</v>
      </c>
      <c r="D14771" s="2" t="str">
        <f ca="1">IFERROR(__xludf.DUMMYFUNCTION("""COMPUTED_VALUE"""),"Abu Dhabi&gt;Al Reef&gt;Al Reef Downtown&gt;Building 14")</f>
        <v>Abu Dhabi&gt;Al Reef&gt;Al Reef Downtown&gt;Building 14</v>
      </c>
      <c r="E14771" s="2"/>
      <c r="F14771" s="2"/>
      <c r="G14771" s="2"/>
      <c r="H14771" s="2"/>
      <c r="I14771" s="2"/>
      <c r="J14771" s="2"/>
      <c r="K14771" s="2"/>
      <c r="L14771" s="2"/>
      <c r="M14771" s="2"/>
      <c r="N14771" s="2"/>
      <c r="O14771" s="2"/>
      <c r="P14771" s="2"/>
      <c r="Q14771" s="2"/>
      <c r="R14771" s="2"/>
      <c r="S14771" s="2"/>
      <c r="T14771" s="2"/>
      <c r="U14771" s="2"/>
      <c r="V14771" s="2"/>
      <c r="W14771" s="2"/>
      <c r="X14771" s="2"/>
      <c r="Y14771" s="2"/>
      <c r="Z14771" s="2"/>
    </row>
    <row r="14772" spans="1:26" ht="16.5" x14ac:dyDescent="0.35">
      <c r="A14772" s="2" t="str">
        <f ca="1">IFERROR(__xludf.DUMMYFUNCTION("""COMPUTED_VALUE"""),"Abu Dhabi")</f>
        <v>Abu Dhabi</v>
      </c>
      <c r="B14772" s="2" t="str">
        <f ca="1">IFERROR(__xludf.DUMMYFUNCTION("""COMPUTED_VALUE"""),"Building 38")</f>
        <v>Building 38</v>
      </c>
      <c r="C14772" s="2" t="str">
        <f ca="1">IFERROR(__xludf.DUMMYFUNCTION("""COMPUTED_VALUE"""),"Building")</f>
        <v>Building</v>
      </c>
      <c r="D14772" s="2" t="str">
        <f ca="1">IFERROR(__xludf.DUMMYFUNCTION("""COMPUTED_VALUE"""),"Abu Dhabi&gt;Al Reef&gt;Al Reef Downtown&gt;Building 38")</f>
        <v>Abu Dhabi&gt;Al Reef&gt;Al Reef Downtown&gt;Building 38</v>
      </c>
      <c r="E14772" s="2"/>
      <c r="F14772" s="2"/>
      <c r="G14772" s="2"/>
      <c r="H14772" s="2"/>
      <c r="I14772" s="2"/>
      <c r="J14772" s="2"/>
      <c r="K14772" s="2"/>
      <c r="L14772" s="2"/>
      <c r="M14772" s="2"/>
      <c r="N14772" s="2"/>
      <c r="O14772" s="2"/>
      <c r="P14772" s="2"/>
      <c r="Q14772" s="2"/>
      <c r="R14772" s="2"/>
      <c r="S14772" s="2"/>
      <c r="T14772" s="2"/>
      <c r="U14772" s="2"/>
      <c r="V14772" s="2"/>
      <c r="W14772" s="2"/>
      <c r="X14772" s="2"/>
      <c r="Y14772" s="2"/>
      <c r="Z14772" s="2"/>
    </row>
    <row r="14773" spans="1:26" ht="16.5" x14ac:dyDescent="0.35">
      <c r="A14773" s="2" t="str">
        <f ca="1">IFERROR(__xludf.DUMMYFUNCTION("""COMPUTED_VALUE"""),"Abu Dhabi")</f>
        <v>Abu Dhabi</v>
      </c>
      <c r="B14773" s="2" t="str">
        <f ca="1">IFERROR(__xludf.DUMMYFUNCTION("""COMPUTED_VALUE"""),"Zakher MAAM Residence")</f>
        <v>Zakher MAAM Residence</v>
      </c>
      <c r="C14773" s="2" t="str">
        <f ca="1">IFERROR(__xludf.DUMMYFUNCTION("""COMPUTED_VALUE"""),"Building")</f>
        <v>Building</v>
      </c>
      <c r="D14773" s="2" t="str">
        <f ca="1">IFERROR(__xludf.DUMMYFUNCTION("""COMPUTED_VALUE"""),"Abu Dhabi&gt;Al Najda Street&gt;Zakher MAAM Residence")</f>
        <v>Abu Dhabi&gt;Al Najda Street&gt;Zakher MAAM Residence</v>
      </c>
      <c r="E14773" s="2"/>
      <c r="F14773" s="2"/>
      <c r="G14773" s="2"/>
      <c r="H14773" s="2"/>
      <c r="I14773" s="2"/>
      <c r="J14773" s="2"/>
      <c r="K14773" s="2"/>
      <c r="L14773" s="2"/>
      <c r="M14773" s="2"/>
      <c r="N14773" s="2"/>
      <c r="O14773" s="2"/>
      <c r="P14773" s="2"/>
      <c r="Q14773" s="2"/>
      <c r="R14773" s="2"/>
      <c r="S14773" s="2"/>
      <c r="T14773" s="2"/>
      <c r="U14773" s="2"/>
      <c r="V14773" s="2"/>
      <c r="W14773" s="2"/>
      <c r="X14773" s="2"/>
      <c r="Y14773" s="2"/>
      <c r="Z14773" s="2"/>
    </row>
    <row r="14774" spans="1:26" ht="16.5" x14ac:dyDescent="0.35">
      <c r="A14774" s="2" t="str">
        <f ca="1">IFERROR(__xludf.DUMMYFUNCTION("""COMPUTED_VALUE"""),"Abu Dhabi")</f>
        <v>Abu Dhabi</v>
      </c>
      <c r="B14774" s="2" t="str">
        <f ca="1">IFERROR(__xludf.DUMMYFUNCTION("""COMPUTED_VALUE"""),"Blue Sky Tower")</f>
        <v>Blue Sky Tower</v>
      </c>
      <c r="C14774" s="2" t="str">
        <f ca="1">IFERROR(__xludf.DUMMYFUNCTION("""COMPUTED_VALUE"""),"Building")</f>
        <v>Building</v>
      </c>
      <c r="D14774" s="2" t="str">
        <f ca="1">IFERROR(__xludf.DUMMYFUNCTION("""COMPUTED_VALUE"""),"Abu Dhabi&gt;Capital Centre&gt;Blue Sky Tower")</f>
        <v>Abu Dhabi&gt;Capital Centre&gt;Blue Sky Tower</v>
      </c>
      <c r="E14774" s="2"/>
      <c r="F14774" s="2"/>
      <c r="G14774" s="2"/>
      <c r="H14774" s="2"/>
      <c r="I14774" s="2"/>
      <c r="J14774" s="2"/>
      <c r="K14774" s="2"/>
      <c r="L14774" s="2"/>
      <c r="M14774" s="2"/>
      <c r="N14774" s="2"/>
      <c r="O14774" s="2"/>
      <c r="P14774" s="2"/>
      <c r="Q14774" s="2"/>
      <c r="R14774" s="2"/>
      <c r="S14774" s="2"/>
      <c r="T14774" s="2"/>
      <c r="U14774" s="2"/>
      <c r="V14774" s="2"/>
      <c r="W14774" s="2"/>
      <c r="X14774" s="2"/>
      <c r="Y14774" s="2"/>
      <c r="Z14774" s="2"/>
    </row>
    <row r="14775" spans="1:26" ht="16.5" x14ac:dyDescent="0.35">
      <c r="A14775" s="2" t="str">
        <f ca="1">IFERROR(__xludf.DUMMYFUNCTION("""COMPUTED_VALUE"""),"Abu Dhabi")</f>
        <v>Abu Dhabi</v>
      </c>
      <c r="B14775" s="2" t="str">
        <f ca="1">IFERROR(__xludf.DUMMYFUNCTION("""COMPUTED_VALUE"""),"Water's Edge")</f>
        <v>Water's Edge</v>
      </c>
      <c r="C14775" s="2" t="str">
        <f ca="1">IFERROR(__xludf.DUMMYFUNCTION("""COMPUTED_VALUE"""),"Building")</f>
        <v>Building</v>
      </c>
      <c r="D14775" s="2" t="str">
        <f ca="1">IFERROR(__xludf.DUMMYFUNCTION("""COMPUTED_VALUE"""),"Abu Dhabi&gt;Yas Island&gt;Water's Edge")</f>
        <v>Abu Dhabi&gt;Yas Island&gt;Water's Edge</v>
      </c>
      <c r="E14775" s="2"/>
      <c r="F14775" s="2"/>
      <c r="G14775" s="2"/>
      <c r="H14775" s="2"/>
      <c r="I14775" s="2"/>
      <c r="J14775" s="2"/>
      <c r="K14775" s="2"/>
      <c r="L14775" s="2"/>
      <c r="M14775" s="2"/>
      <c r="N14775" s="2"/>
      <c r="O14775" s="2"/>
      <c r="P14775" s="2"/>
      <c r="Q14775" s="2"/>
      <c r="R14775" s="2"/>
      <c r="S14775" s="2"/>
      <c r="T14775" s="2"/>
      <c r="U14775" s="2"/>
      <c r="V14775" s="2"/>
      <c r="W14775" s="2"/>
      <c r="X14775" s="2"/>
      <c r="Y14775" s="2"/>
      <c r="Z14775" s="2"/>
    </row>
    <row r="14776" spans="1:26" ht="16.5" x14ac:dyDescent="0.35">
      <c r="A14776" s="2" t="str">
        <f ca="1">IFERROR(__xludf.DUMMYFUNCTION("""COMPUTED_VALUE"""),"Abu Dhabi")</f>
        <v>Abu Dhabi</v>
      </c>
      <c r="B14776" s="2" t="str">
        <f ca="1">IFERROR(__xludf.DUMMYFUNCTION("""COMPUTED_VALUE"""),"The Magnolias")</f>
        <v>The Magnolias</v>
      </c>
      <c r="C14776" s="2" t="str">
        <f ca="1">IFERROR(__xludf.DUMMYFUNCTION("""COMPUTED_VALUE"""),"Neighbourhood")</f>
        <v>Neighbourhood</v>
      </c>
      <c r="D14776" s="2" t="str">
        <f ca="1">IFERROR(__xludf.DUMMYFUNCTION("""COMPUTED_VALUE"""),"Abu Dhabi&gt;Yas Island&gt;Yas Acres&gt;The Magnolias")</f>
        <v>Abu Dhabi&gt;Yas Island&gt;Yas Acres&gt;The Magnolias</v>
      </c>
      <c r="E14776" s="2"/>
      <c r="F14776" s="2"/>
      <c r="G14776" s="2"/>
      <c r="H14776" s="2"/>
      <c r="I14776" s="2"/>
      <c r="J14776" s="2"/>
      <c r="K14776" s="2"/>
      <c r="L14776" s="2"/>
      <c r="M14776" s="2"/>
      <c r="N14776" s="2"/>
      <c r="O14776" s="2"/>
      <c r="P14776" s="2"/>
      <c r="Q14776" s="2"/>
      <c r="R14776" s="2"/>
      <c r="S14776" s="2"/>
      <c r="T14776" s="2"/>
      <c r="U14776" s="2"/>
      <c r="V14776" s="2"/>
      <c r="W14776" s="2"/>
      <c r="X14776" s="2"/>
      <c r="Y14776" s="2"/>
      <c r="Z14776" s="2"/>
    </row>
    <row r="14777" spans="1:26" ht="16.5" x14ac:dyDescent="0.35">
      <c r="A14777" s="2" t="str">
        <f ca="1">IFERROR(__xludf.DUMMYFUNCTION("""COMPUTED_VALUE"""),"Abu Dhabi")</f>
        <v>Abu Dhabi</v>
      </c>
      <c r="B14777" s="2" t="str">
        <f ca="1">IFERROR(__xludf.DUMMYFUNCTION("""COMPUTED_VALUE"""),"DoubleTree by Hilton Abu Dhabi Yas Island Residences")</f>
        <v>DoubleTree by Hilton Abu Dhabi Yas Island Residences</v>
      </c>
      <c r="C14777" s="2" t="str">
        <f ca="1">IFERROR(__xludf.DUMMYFUNCTION("""COMPUTED_VALUE"""),"Building")</f>
        <v>Building</v>
      </c>
      <c r="D14777" s="2" t="str">
        <f ca="1">IFERROR(__xludf.DUMMYFUNCTION("""COMPUTED_VALUE"""),"Abu Dhabi&gt;Yas Island&gt;DoubleTree by Hilton Abu Dhabi Yas Island Residences")</f>
        <v>Abu Dhabi&gt;Yas Island&gt;DoubleTree by Hilton Abu Dhabi Yas Island Residences</v>
      </c>
      <c r="E14777" s="2"/>
      <c r="F14777" s="2"/>
      <c r="G14777" s="2"/>
      <c r="H14777" s="2"/>
      <c r="I14777" s="2"/>
      <c r="J14777" s="2"/>
      <c r="K14777" s="2"/>
      <c r="L14777" s="2"/>
      <c r="M14777" s="2"/>
      <c r="N14777" s="2"/>
      <c r="O14777" s="2"/>
      <c r="P14777" s="2"/>
      <c r="Q14777" s="2"/>
      <c r="R14777" s="2"/>
      <c r="S14777" s="2"/>
      <c r="T14777" s="2"/>
      <c r="U14777" s="2"/>
      <c r="V14777" s="2"/>
      <c r="W14777" s="2"/>
      <c r="X14777" s="2"/>
      <c r="Y14777" s="2"/>
      <c r="Z14777" s="2"/>
    </row>
    <row r="14778" spans="1:26" ht="16.5" x14ac:dyDescent="0.35">
      <c r="A14778" s="2" t="str">
        <f ca="1">IFERROR(__xludf.DUMMYFUNCTION("""COMPUTED_VALUE"""),"Abu Dhabi")</f>
        <v>Abu Dhabi</v>
      </c>
      <c r="B14778" s="2" t="str">
        <f ca="1">IFERROR(__xludf.DUMMYFUNCTION("""COMPUTED_VALUE"""),"ABC Private School")</f>
        <v>ABC Private School</v>
      </c>
      <c r="C14778" s="2" t="str">
        <f ca="1">IFERROR(__xludf.DUMMYFUNCTION("""COMPUTED_VALUE"""),"School")</f>
        <v>School</v>
      </c>
      <c r="D14778" s="2" t="str">
        <f ca="1">IFERROR(__xludf.DUMMYFUNCTION("""COMPUTED_VALUE"""),"Abu Dhabi&gt;Al Shamkha&gt;ABC Private School")</f>
        <v>Abu Dhabi&gt;Al Shamkha&gt;ABC Private School</v>
      </c>
      <c r="E14778" s="2"/>
      <c r="F14778" s="2"/>
      <c r="G14778" s="2"/>
      <c r="H14778" s="2"/>
      <c r="I14778" s="2"/>
      <c r="J14778" s="2"/>
      <c r="K14778" s="2"/>
      <c r="L14778" s="2"/>
      <c r="M14778" s="2"/>
      <c r="N14778" s="2"/>
      <c r="O14778" s="2"/>
      <c r="P14778" s="2"/>
      <c r="Q14778" s="2"/>
      <c r="R14778" s="2"/>
      <c r="S14778" s="2"/>
      <c r="T14778" s="2"/>
      <c r="U14778" s="2"/>
      <c r="V14778" s="2"/>
      <c r="W14778" s="2"/>
      <c r="X14778" s="2"/>
      <c r="Y14778" s="2"/>
      <c r="Z14778" s="2"/>
    </row>
    <row r="14779" spans="1:26" ht="16.5" x14ac:dyDescent="0.35">
      <c r="A14779" s="2" t="str">
        <f ca="1">IFERROR(__xludf.DUMMYFUNCTION("""COMPUTED_VALUE"""),"Ajman")</f>
        <v>Ajman</v>
      </c>
      <c r="B14779" s="2" t="str">
        <f ca="1">IFERROR(__xludf.DUMMYFUNCTION("""COMPUTED_VALUE"""),"BlueBell Residence")</f>
        <v>BlueBell Residence</v>
      </c>
      <c r="C14779" s="2" t="str">
        <f ca="1">IFERROR(__xludf.DUMMYFUNCTION("""COMPUTED_VALUE"""),"Building")</f>
        <v>Building</v>
      </c>
      <c r="D14779" s="2" t="str">
        <f ca="1">IFERROR(__xludf.DUMMYFUNCTION("""COMPUTED_VALUE"""),"Ajman&gt;Al Amerah&gt;BlueBell Residence")</f>
        <v>Ajman&gt;Al Amerah&gt;BlueBell Residence</v>
      </c>
      <c r="E14779" s="2"/>
      <c r="F14779" s="2"/>
      <c r="G14779" s="2"/>
      <c r="H14779" s="2"/>
      <c r="I14779" s="2"/>
      <c r="J14779" s="2"/>
      <c r="K14779" s="2"/>
      <c r="L14779" s="2"/>
      <c r="M14779" s="2"/>
      <c r="N14779" s="2"/>
      <c r="O14779" s="2"/>
      <c r="P14779" s="2"/>
      <c r="Q14779" s="2"/>
      <c r="R14779" s="2"/>
      <c r="S14779" s="2"/>
      <c r="T14779" s="2"/>
      <c r="U14779" s="2"/>
      <c r="V14779" s="2"/>
      <c r="W14779" s="2"/>
      <c r="X14779" s="2"/>
      <c r="Y14779" s="2"/>
      <c r="Z14779" s="2"/>
    </row>
    <row r="14780" spans="1:26" ht="16.5" x14ac:dyDescent="0.35">
      <c r="A14780" s="2" t="str">
        <f ca="1">IFERROR(__xludf.DUMMYFUNCTION("""COMPUTED_VALUE"""),"Ajman")</f>
        <v>Ajman</v>
      </c>
      <c r="B14780" s="2" t="str">
        <f ca="1">IFERROR(__xludf.DUMMYFUNCTION("""COMPUTED_VALUE"""),"Paradise Lakes B4")</f>
        <v>Paradise Lakes B4</v>
      </c>
      <c r="C14780" s="2" t="str">
        <f ca="1">IFERROR(__xludf.DUMMYFUNCTION("""COMPUTED_VALUE"""),"Building")</f>
        <v>Building</v>
      </c>
      <c r="D14780" s="2" t="str">
        <f ca="1">IFERROR(__xludf.DUMMYFUNCTION("""COMPUTED_VALUE"""),"Ajman&gt;Emirates City&gt;Paradise Lakes&gt;Paradise Lakes B4")</f>
        <v>Ajman&gt;Emirates City&gt;Paradise Lakes&gt;Paradise Lakes B4</v>
      </c>
      <c r="E14780" s="2"/>
      <c r="F14780" s="2"/>
      <c r="G14780" s="2"/>
      <c r="H14780" s="2"/>
      <c r="I14780" s="2"/>
      <c r="J14780" s="2"/>
      <c r="K14780" s="2"/>
      <c r="L14780" s="2"/>
      <c r="M14780" s="2"/>
      <c r="N14780" s="2"/>
      <c r="O14780" s="2"/>
      <c r="P14780" s="2"/>
      <c r="Q14780" s="2"/>
      <c r="R14780" s="2"/>
      <c r="S14780" s="2"/>
      <c r="T14780" s="2"/>
      <c r="U14780" s="2"/>
      <c r="V14780" s="2"/>
      <c r="W14780" s="2"/>
      <c r="X14780" s="2"/>
      <c r="Y14780" s="2"/>
      <c r="Z14780" s="2"/>
    </row>
    <row r="14781" spans="1:26" ht="16.5" x14ac:dyDescent="0.35">
      <c r="A14781" s="2" t="str">
        <f ca="1">IFERROR(__xludf.DUMMYFUNCTION("""COMPUTED_VALUE"""),"Ajman")</f>
        <v>Ajman</v>
      </c>
      <c r="B14781" s="2" t="str">
        <f ca="1">IFERROR(__xludf.DUMMYFUNCTION("""COMPUTED_VALUE"""),"Burj Al Furqan")</f>
        <v>Burj Al Furqan</v>
      </c>
      <c r="C14781" s="2" t="str">
        <f ca="1">IFERROR(__xludf.DUMMYFUNCTION("""COMPUTED_VALUE"""),"Building")</f>
        <v>Building</v>
      </c>
      <c r="D14781" s="2" t="str">
        <f ca="1">IFERROR(__xludf.DUMMYFUNCTION("""COMPUTED_VALUE"""),"Ajman&gt;Emirates City&gt;Burj Al Furqan")</f>
        <v>Ajman&gt;Emirates City&gt;Burj Al Furqan</v>
      </c>
      <c r="E14781" s="2"/>
      <c r="F14781" s="2"/>
      <c r="G14781" s="2"/>
      <c r="H14781" s="2"/>
      <c r="I14781" s="2"/>
      <c r="J14781" s="2"/>
      <c r="K14781" s="2"/>
      <c r="L14781" s="2"/>
      <c r="M14781" s="2"/>
      <c r="N14781" s="2"/>
      <c r="O14781" s="2"/>
      <c r="P14781" s="2"/>
      <c r="Q14781" s="2"/>
      <c r="R14781" s="2"/>
      <c r="S14781" s="2"/>
      <c r="T14781" s="2"/>
      <c r="U14781" s="2"/>
      <c r="V14781" s="2"/>
      <c r="W14781" s="2"/>
      <c r="X14781" s="2"/>
      <c r="Y14781" s="2"/>
      <c r="Z14781" s="2"/>
    </row>
    <row r="14782" spans="1:26" ht="16.5" x14ac:dyDescent="0.35">
      <c r="A14782" s="2" t="str">
        <f ca="1">IFERROR(__xludf.DUMMYFUNCTION("""COMPUTED_VALUE"""),"Ajman")</f>
        <v>Ajman</v>
      </c>
      <c r="B14782" s="2" t="str">
        <f ca="1">IFERROR(__xludf.DUMMYFUNCTION("""COMPUTED_VALUE"""),"Pakistani School Ajman")</f>
        <v>Pakistani School Ajman</v>
      </c>
      <c r="C14782" s="2" t="str">
        <f ca="1">IFERROR(__xludf.DUMMYFUNCTION("""COMPUTED_VALUE"""),"School")</f>
        <v>School</v>
      </c>
      <c r="D14782" s="2" t="str">
        <f ca="1">IFERROR(__xludf.DUMMYFUNCTION("""COMPUTED_VALUE"""),"Ajman&gt;Al Jurf&gt;Al Jurf 2&gt;Pakistani School Ajman")</f>
        <v>Ajman&gt;Al Jurf&gt;Al Jurf 2&gt;Pakistani School Ajman</v>
      </c>
      <c r="E14782" s="2"/>
      <c r="F14782" s="2"/>
      <c r="G14782" s="2"/>
      <c r="H14782" s="2"/>
      <c r="I14782" s="2"/>
      <c r="J14782" s="2"/>
      <c r="K14782" s="2"/>
      <c r="L14782" s="2"/>
      <c r="M14782" s="2"/>
      <c r="N14782" s="2"/>
      <c r="O14782" s="2"/>
      <c r="P14782" s="2"/>
      <c r="Q14782" s="2"/>
      <c r="R14782" s="2"/>
      <c r="S14782" s="2"/>
      <c r="T14782" s="2"/>
      <c r="U14782" s="2"/>
      <c r="V14782" s="2"/>
      <c r="W14782" s="2"/>
      <c r="X14782" s="2"/>
      <c r="Y14782" s="2"/>
      <c r="Z14782" s="2"/>
    </row>
    <row r="14783" spans="1:26" ht="16.5" x14ac:dyDescent="0.35">
      <c r="A14783" s="2" t="str">
        <f ca="1">IFERROR(__xludf.DUMMYFUNCTION("""COMPUTED_VALUE"""),"Ajman")</f>
        <v>Ajman</v>
      </c>
      <c r="B14783" s="2" t="str">
        <f ca="1">IFERROR(__xludf.DUMMYFUNCTION("""COMPUTED_VALUE"""),"Orient Towers")</f>
        <v>Orient Towers</v>
      </c>
      <c r="C14783" s="2"/>
      <c r="D14783" s="2" t="str">
        <f ca="1">IFERROR(__xludf.DUMMYFUNCTION("""COMPUTED_VALUE"""),"Ajman&gt;Al Bustan&gt;Orient Towers")</f>
        <v>Ajman&gt;Al Bustan&gt;Orient Towers</v>
      </c>
      <c r="E14783" s="2"/>
      <c r="F14783" s="2"/>
      <c r="G14783" s="2"/>
      <c r="H14783" s="2"/>
      <c r="I14783" s="2"/>
      <c r="J14783" s="2"/>
      <c r="K14783" s="2"/>
      <c r="L14783" s="2"/>
      <c r="M14783" s="2"/>
      <c r="N14783" s="2"/>
      <c r="O14783" s="2"/>
      <c r="P14783" s="2"/>
      <c r="Q14783" s="2"/>
      <c r="R14783" s="2"/>
      <c r="S14783" s="2"/>
      <c r="T14783" s="2"/>
      <c r="U14783" s="2"/>
      <c r="V14783" s="2"/>
      <c r="W14783" s="2"/>
      <c r="X14783" s="2"/>
      <c r="Y14783" s="2"/>
      <c r="Z14783" s="2"/>
    </row>
    <row r="14784" spans="1:26" ht="16.5" x14ac:dyDescent="0.35">
      <c r="A14784" s="2" t="str">
        <f ca="1">IFERROR(__xludf.DUMMYFUNCTION("""COMPUTED_VALUE"""),"Ajman")</f>
        <v>Ajman</v>
      </c>
      <c r="B14784" s="2" t="str">
        <f ca="1">IFERROR(__xludf.DUMMYFUNCTION("""COMPUTED_VALUE"""),"Gulfa Towers")</f>
        <v>Gulfa Towers</v>
      </c>
      <c r="C14784" s="2" t="str">
        <f ca="1">IFERROR(__xludf.DUMMYFUNCTION("""COMPUTED_VALUE"""),"Building")</f>
        <v>Building</v>
      </c>
      <c r="D14784" s="2" t="str">
        <f ca="1">IFERROR(__xludf.DUMMYFUNCTION("""COMPUTED_VALUE"""),"Ajman&gt;Al Rashidiya&gt;Al Rashidiya 1&gt;Gulfa Towers")</f>
        <v>Ajman&gt;Al Rashidiya&gt;Al Rashidiya 1&gt;Gulfa Towers</v>
      </c>
      <c r="E14784" s="2"/>
      <c r="F14784" s="2"/>
      <c r="G14784" s="2"/>
      <c r="H14784" s="2"/>
      <c r="I14784" s="2"/>
      <c r="J14784" s="2"/>
      <c r="K14784" s="2"/>
      <c r="L14784" s="2"/>
      <c r="M14784" s="2"/>
      <c r="N14784" s="2"/>
      <c r="O14784" s="2"/>
      <c r="P14784" s="2"/>
      <c r="Q14784" s="2"/>
      <c r="R14784" s="2"/>
      <c r="S14784" s="2"/>
      <c r="T14784" s="2"/>
      <c r="U14784" s="2"/>
      <c r="V14784" s="2"/>
      <c r="W14784" s="2"/>
      <c r="X14784" s="2"/>
      <c r="Y14784" s="2"/>
      <c r="Z14784" s="2"/>
    </row>
    <row r="14785" spans="1:26" ht="16.5" x14ac:dyDescent="0.35">
      <c r="A14785" s="2" t="str">
        <f ca="1">IFERROR(__xludf.DUMMYFUNCTION("""COMPUTED_VALUE"""),"Ajman")</f>
        <v>Ajman</v>
      </c>
      <c r="B14785" s="2" t="str">
        <f ca="1">IFERROR(__xludf.DUMMYFUNCTION("""COMPUTED_VALUE"""),"Ajman One Tower 11")</f>
        <v>Ajman One Tower 11</v>
      </c>
      <c r="C14785" s="2"/>
      <c r="D14785" s="2" t="str">
        <f ca="1">IFERROR(__xludf.DUMMYFUNCTION("""COMPUTED_VALUE"""),"Ajman&gt;Al Rashidiya&gt;Al Rashidiya 3&gt;Ajman One Towers&gt;Ajman One Tower 11")</f>
        <v>Ajman&gt;Al Rashidiya&gt;Al Rashidiya 3&gt;Ajman One Towers&gt;Ajman One Tower 11</v>
      </c>
      <c r="E14785" s="2"/>
      <c r="F14785" s="2"/>
      <c r="G14785" s="2"/>
      <c r="H14785" s="2"/>
      <c r="I14785" s="2"/>
      <c r="J14785" s="2"/>
      <c r="K14785" s="2"/>
      <c r="L14785" s="2"/>
      <c r="M14785" s="2"/>
      <c r="N14785" s="2"/>
      <c r="O14785" s="2"/>
      <c r="P14785" s="2"/>
      <c r="Q14785" s="2"/>
      <c r="R14785" s="2"/>
      <c r="S14785" s="2"/>
      <c r="T14785" s="2"/>
      <c r="U14785" s="2"/>
      <c r="V14785" s="2"/>
      <c r="W14785" s="2"/>
      <c r="X14785" s="2"/>
      <c r="Y14785" s="2"/>
      <c r="Z14785" s="2"/>
    </row>
    <row r="14786" spans="1:26" ht="16.5" x14ac:dyDescent="0.35">
      <c r="A14786" s="2" t="str">
        <f ca="1">IFERROR(__xludf.DUMMYFUNCTION("""COMPUTED_VALUE"""),"Ajman")</f>
        <v>Ajman</v>
      </c>
      <c r="B14786" s="2" t="str">
        <f ca="1">IFERROR(__xludf.DUMMYFUNCTION("""COMPUTED_VALUE"""),"JR Residence 5")</f>
        <v>JR Residence 5</v>
      </c>
      <c r="C14786" s="2" t="str">
        <f ca="1">IFERROR(__xludf.DUMMYFUNCTION("""COMPUTED_VALUE"""),"Building")</f>
        <v>Building</v>
      </c>
      <c r="D14786" s="2" t="str">
        <f ca="1">IFERROR(__xludf.DUMMYFUNCTION("""COMPUTED_VALUE"""),"Ajman&gt;Al Mowaihat&gt;Al Mowaihat 3&gt;JR Residence 5")</f>
        <v>Ajman&gt;Al Mowaihat&gt;Al Mowaihat 3&gt;JR Residence 5</v>
      </c>
      <c r="E14786" s="2"/>
      <c r="F14786" s="2"/>
      <c r="G14786" s="2"/>
      <c r="H14786" s="2"/>
      <c r="I14786" s="2"/>
      <c r="J14786" s="2"/>
      <c r="K14786" s="2"/>
      <c r="L14786" s="2"/>
      <c r="M14786" s="2"/>
      <c r="N14786" s="2"/>
      <c r="O14786" s="2"/>
      <c r="P14786" s="2"/>
      <c r="Q14786" s="2"/>
      <c r="R14786" s="2"/>
      <c r="S14786" s="2"/>
      <c r="T14786" s="2"/>
      <c r="U14786" s="2"/>
      <c r="V14786" s="2"/>
      <c r="W14786" s="2"/>
      <c r="X14786" s="2"/>
      <c r="Y14786" s="2"/>
      <c r="Z14786" s="2"/>
    </row>
    <row r="14787" spans="1:26" ht="16.5" x14ac:dyDescent="0.35">
      <c r="A14787" s="2" t="str">
        <f ca="1">IFERROR(__xludf.DUMMYFUNCTION("""COMPUTED_VALUE"""),"Ajman")</f>
        <v>Ajman</v>
      </c>
      <c r="B14787" s="2" t="str">
        <f ca="1">IFERROR(__xludf.DUMMYFUNCTION("""COMPUTED_VALUE"""),"Royal Plaza")</f>
        <v>Royal Plaza</v>
      </c>
      <c r="C14787" s="2"/>
      <c r="D14787" s="2" t="str">
        <f ca="1">IFERROR(__xludf.DUMMYFUNCTION("""COMPUTED_VALUE"""),"Ajman&gt;Emirates Lake Towers&gt;Royal Plaza")</f>
        <v>Ajman&gt;Emirates Lake Towers&gt;Royal Plaza</v>
      </c>
      <c r="E14787" s="2"/>
      <c r="F14787" s="2"/>
      <c r="G14787" s="2"/>
      <c r="H14787" s="2"/>
      <c r="I14787" s="2"/>
      <c r="J14787" s="2"/>
      <c r="K14787" s="2"/>
      <c r="L14787" s="2"/>
      <c r="M14787" s="2"/>
      <c r="N14787" s="2"/>
      <c r="O14787" s="2"/>
      <c r="P14787" s="2"/>
      <c r="Q14787" s="2"/>
      <c r="R14787" s="2"/>
      <c r="S14787" s="2"/>
      <c r="T14787" s="2"/>
      <c r="U14787" s="2"/>
      <c r="V14787" s="2"/>
      <c r="W14787" s="2"/>
      <c r="X14787" s="2"/>
      <c r="Y14787" s="2"/>
      <c r="Z14787" s="2"/>
    </row>
    <row r="14788" spans="1:26" ht="16.5" x14ac:dyDescent="0.35">
      <c r="A14788" s="2" t="str">
        <f ca="1">IFERROR(__xludf.DUMMYFUNCTION("""COMPUTED_VALUE"""),"Ajman")</f>
        <v>Ajman</v>
      </c>
      <c r="B14788" s="2" t="str">
        <f ca="1">IFERROR(__xludf.DUMMYFUNCTION("""COMPUTED_VALUE"""),"Tiger Downtown Ajman Tower A2")</f>
        <v>Tiger Downtown Ajman Tower A2</v>
      </c>
      <c r="C14788" s="2" t="str">
        <f ca="1">IFERROR(__xludf.DUMMYFUNCTION("""COMPUTED_VALUE"""),"Building")</f>
        <v>Building</v>
      </c>
      <c r="D14788" s="2" t="str">
        <f ca="1">IFERROR(__xludf.DUMMYFUNCTION("""COMPUTED_VALUE"""),"Ajman&gt;Al Alia&gt;Tiger Downtown Ajman&gt;Tiger Downtown Ajman Tower A2")</f>
        <v>Ajman&gt;Al Alia&gt;Tiger Downtown Ajman&gt;Tiger Downtown Ajman Tower A2</v>
      </c>
      <c r="E14788" s="2"/>
      <c r="F14788" s="2"/>
      <c r="G14788" s="2"/>
      <c r="H14788" s="2"/>
      <c r="I14788" s="2"/>
      <c r="J14788" s="2"/>
      <c r="K14788" s="2"/>
      <c r="L14788" s="2"/>
      <c r="M14788" s="2"/>
      <c r="N14788" s="2"/>
      <c r="O14788" s="2"/>
      <c r="P14788" s="2"/>
      <c r="Q14788" s="2"/>
      <c r="R14788" s="2"/>
      <c r="S14788" s="2"/>
      <c r="T14788" s="2"/>
      <c r="U14788" s="2"/>
      <c r="V14788" s="2"/>
      <c r="W14788" s="2"/>
      <c r="X14788" s="2"/>
      <c r="Y14788" s="2"/>
      <c r="Z14788" s="2"/>
    </row>
    <row r="14789" spans="1:26" ht="16.5" x14ac:dyDescent="0.35">
      <c r="A14789" s="2" t="str">
        <f ca="1">IFERROR(__xludf.DUMMYFUNCTION("""COMPUTED_VALUE"""),"Ajman")</f>
        <v>Ajman</v>
      </c>
      <c r="B14789" s="2" t="str">
        <f ca="1">IFERROR(__xludf.DUMMYFUNCTION("""COMPUTED_VALUE"""),"Sky Tower 1")</f>
        <v>Sky Tower 1</v>
      </c>
      <c r="C14789" s="2"/>
      <c r="D14789" s="2" t="str">
        <f ca="1">IFERROR(__xludf.DUMMYFUNCTION("""COMPUTED_VALUE"""),"Ajman&gt;Al Humaid City&gt;Sky Tower&gt;Sky Tower 1")</f>
        <v>Ajman&gt;Al Humaid City&gt;Sky Tower&gt;Sky Tower 1</v>
      </c>
      <c r="E14789" s="2"/>
      <c r="F14789" s="2"/>
      <c r="G14789" s="2"/>
      <c r="H14789" s="2"/>
      <c r="I14789" s="2"/>
      <c r="J14789" s="2"/>
      <c r="K14789" s="2"/>
      <c r="L14789" s="2"/>
      <c r="M14789" s="2"/>
      <c r="N14789" s="2"/>
      <c r="O14789" s="2"/>
      <c r="P14789" s="2"/>
      <c r="Q14789" s="2"/>
      <c r="R14789" s="2"/>
      <c r="S14789" s="2"/>
      <c r="T14789" s="2"/>
      <c r="U14789" s="2"/>
      <c r="V14789" s="2"/>
      <c r="W14789" s="2"/>
      <c r="X14789" s="2"/>
      <c r="Y14789" s="2"/>
      <c r="Z14789" s="2"/>
    </row>
    <row r="14790" spans="1:26" ht="16.5" x14ac:dyDescent="0.35">
      <c r="A14790" s="2" t="str">
        <f ca="1">IFERROR(__xludf.DUMMYFUNCTION("""COMPUTED_VALUE"""),"Ajman")</f>
        <v>Ajman</v>
      </c>
      <c r="B14790" s="2" t="str">
        <f ca="1">IFERROR(__xludf.DUMMYFUNCTION("""COMPUTED_VALUE"""),"China Mall")</f>
        <v>China Mall</v>
      </c>
      <c r="C14790" s="2"/>
      <c r="D14790" s="2" t="str">
        <f ca="1">IFERROR(__xludf.DUMMYFUNCTION("""COMPUTED_VALUE"""),"Ajman&gt;China Mall")</f>
        <v>Ajman&gt;China Mall</v>
      </c>
      <c r="E14790" s="2"/>
      <c r="F14790" s="2"/>
      <c r="G14790" s="2"/>
      <c r="H14790" s="2"/>
      <c r="I14790" s="2"/>
      <c r="J14790" s="2"/>
      <c r="K14790" s="2"/>
      <c r="L14790" s="2"/>
      <c r="M14790" s="2"/>
      <c r="N14790" s="2"/>
      <c r="O14790" s="2"/>
      <c r="P14790" s="2"/>
      <c r="Q14790" s="2"/>
      <c r="R14790" s="2"/>
      <c r="S14790" s="2"/>
      <c r="T14790" s="2"/>
      <c r="U14790" s="2"/>
      <c r="V14790" s="2"/>
      <c r="W14790" s="2"/>
      <c r="X14790" s="2"/>
      <c r="Y14790" s="2"/>
      <c r="Z14790" s="2"/>
    </row>
    <row r="14791" spans="1:26" ht="16.5" x14ac:dyDescent="0.35">
      <c r="A14791" s="2" t="str">
        <f ca="1">IFERROR(__xludf.DUMMYFUNCTION("""COMPUTED_VALUE"""),"Ajman")</f>
        <v>Ajman</v>
      </c>
      <c r="B14791" s="2" t="str">
        <f ca="1">IFERROR(__xludf.DUMMYFUNCTION("""COMPUTED_VALUE"""),"Al Nuaimiya 3")</f>
        <v>Al Nuaimiya 3</v>
      </c>
      <c r="C14791" s="2" t="str">
        <f ca="1">IFERROR(__xludf.DUMMYFUNCTION("""COMPUTED_VALUE"""),"Neighbourhood")</f>
        <v>Neighbourhood</v>
      </c>
      <c r="D14791" s="2" t="str">
        <f ca="1">IFERROR(__xludf.DUMMYFUNCTION("""COMPUTED_VALUE"""),"Ajman&gt;Al Nuaimiya&gt;Al Nuaimiya 3")</f>
        <v>Ajman&gt;Al Nuaimiya&gt;Al Nuaimiya 3</v>
      </c>
      <c r="E14791" s="2"/>
      <c r="F14791" s="2"/>
      <c r="G14791" s="2"/>
      <c r="H14791" s="2"/>
      <c r="I14791" s="2"/>
      <c r="J14791" s="2"/>
      <c r="K14791" s="2"/>
      <c r="L14791" s="2"/>
      <c r="M14791" s="2"/>
      <c r="N14791" s="2"/>
      <c r="O14791" s="2"/>
      <c r="P14791" s="2"/>
      <c r="Q14791" s="2"/>
      <c r="R14791" s="2"/>
      <c r="S14791" s="2"/>
      <c r="T14791" s="2"/>
      <c r="U14791" s="2"/>
      <c r="V14791" s="2"/>
      <c r="W14791" s="2"/>
      <c r="X14791" s="2"/>
      <c r="Y14791" s="2"/>
      <c r="Z14791" s="2"/>
    </row>
    <row r="14792" spans="1:26" ht="16.5" x14ac:dyDescent="0.35">
      <c r="A14792" s="2" t="str">
        <f ca="1">IFERROR(__xludf.DUMMYFUNCTION("""COMPUTED_VALUE"""),"Ajman")</f>
        <v>Ajman</v>
      </c>
      <c r="B14792" s="2" t="str">
        <f ca="1">IFERROR(__xludf.DUMMYFUNCTION("""COMPUTED_VALUE"""),"Century Tower 2")</f>
        <v>Century Tower 2</v>
      </c>
      <c r="C14792" s="2" t="str">
        <f ca="1">IFERROR(__xludf.DUMMYFUNCTION("""COMPUTED_VALUE"""),"Building")</f>
        <v>Building</v>
      </c>
      <c r="D14792" s="2" t="str">
        <f ca="1">IFERROR(__xludf.DUMMYFUNCTION("""COMPUTED_VALUE"""),"Ajman&gt;Park View City&gt;Century Tower 2")</f>
        <v>Ajman&gt;Park View City&gt;Century Tower 2</v>
      </c>
      <c r="E14792" s="2"/>
      <c r="F14792" s="2"/>
      <c r="G14792" s="2"/>
      <c r="H14792" s="2"/>
      <c r="I14792" s="2"/>
      <c r="J14792" s="2"/>
      <c r="K14792" s="2"/>
      <c r="L14792" s="2"/>
      <c r="M14792" s="2"/>
      <c r="N14792" s="2"/>
      <c r="O14792" s="2"/>
      <c r="P14792" s="2"/>
      <c r="Q14792" s="2"/>
      <c r="R14792" s="2"/>
      <c r="S14792" s="2"/>
      <c r="T14792" s="2"/>
      <c r="U14792" s="2"/>
      <c r="V14792" s="2"/>
      <c r="W14792" s="2"/>
      <c r="X14792" s="2"/>
      <c r="Y14792" s="2"/>
      <c r="Z14792" s="2"/>
    </row>
    <row r="14793" spans="1:26" ht="16.5" x14ac:dyDescent="0.35">
      <c r="A14793" s="2" t="str">
        <f ca="1">IFERROR(__xludf.DUMMYFUNCTION("""COMPUTED_VALUE"""),"Sharjah")</f>
        <v>Sharjah</v>
      </c>
      <c r="B14793" s="2" t="str">
        <f ca="1">IFERROR(__xludf.DUMMYFUNCTION("""COMPUTED_VALUE"""),"Al Nahda Sahara Plaza")</f>
        <v>Al Nahda Sahara Plaza</v>
      </c>
      <c r="C14793" s="2" t="str">
        <f ca="1">IFERROR(__xludf.DUMMYFUNCTION("""COMPUTED_VALUE"""),"Cluster")</f>
        <v>Cluster</v>
      </c>
      <c r="D14793" s="2" t="str">
        <f ca="1">IFERROR(__xludf.DUMMYFUNCTION("""COMPUTED_VALUE"""),"Sharjah&gt;Al Nahda (Sharjah)&gt;Al Nahda Sahara Plaza")</f>
        <v>Sharjah&gt;Al Nahda (Sharjah)&gt;Al Nahda Sahara Plaza</v>
      </c>
      <c r="E14793" s="2"/>
      <c r="F14793" s="2"/>
      <c r="G14793" s="2"/>
      <c r="H14793" s="2"/>
      <c r="I14793" s="2"/>
      <c r="J14793" s="2"/>
      <c r="K14793" s="2"/>
      <c r="L14793" s="2"/>
      <c r="M14793" s="2"/>
      <c r="N14793" s="2"/>
      <c r="O14793" s="2"/>
      <c r="P14793" s="2"/>
      <c r="Q14793" s="2"/>
      <c r="R14793" s="2"/>
      <c r="S14793" s="2"/>
      <c r="T14793" s="2"/>
      <c r="U14793" s="2"/>
      <c r="V14793" s="2"/>
      <c r="W14793" s="2"/>
      <c r="X14793" s="2"/>
      <c r="Y14793" s="2"/>
      <c r="Z14793" s="2"/>
    </row>
    <row r="14794" spans="1:26" ht="16.5" x14ac:dyDescent="0.35">
      <c r="A14794" s="2" t="str">
        <f ca="1">IFERROR(__xludf.DUMMYFUNCTION("""COMPUTED_VALUE"""),"Sharjah")</f>
        <v>Sharjah</v>
      </c>
      <c r="B14794" s="2" t="str">
        <f ca="1">IFERROR(__xludf.DUMMYFUNCTION("""COMPUTED_VALUE"""),"Lulu Tower")</f>
        <v>Lulu Tower</v>
      </c>
      <c r="C14794" s="2"/>
      <c r="D14794" s="2" t="str">
        <f ca="1">IFERROR(__xludf.DUMMYFUNCTION("""COMPUTED_VALUE"""),"Sharjah&gt;Al Nahda (Sharjah)&gt;Lulu Tower")</f>
        <v>Sharjah&gt;Al Nahda (Sharjah)&gt;Lulu Tower</v>
      </c>
      <c r="E14794" s="2"/>
      <c r="F14794" s="2"/>
      <c r="G14794" s="2"/>
      <c r="H14794" s="2"/>
      <c r="I14794" s="2"/>
      <c r="J14794" s="2"/>
      <c r="K14794" s="2"/>
      <c r="L14794" s="2"/>
      <c r="M14794" s="2"/>
      <c r="N14794" s="2"/>
      <c r="O14794" s="2"/>
      <c r="P14794" s="2"/>
      <c r="Q14794" s="2"/>
      <c r="R14794" s="2"/>
      <c r="S14794" s="2"/>
      <c r="T14794" s="2"/>
      <c r="U14794" s="2"/>
      <c r="V14794" s="2"/>
      <c r="W14794" s="2"/>
      <c r="X14794" s="2"/>
      <c r="Y14794" s="2"/>
      <c r="Z14794" s="2"/>
    </row>
    <row r="14795" spans="1:26" ht="16.5" x14ac:dyDescent="0.35">
      <c r="A14795" s="2" t="str">
        <f ca="1">IFERROR(__xludf.DUMMYFUNCTION("""COMPUTED_VALUE"""),"Sharjah")</f>
        <v>Sharjah</v>
      </c>
      <c r="B14795" s="2" t="str">
        <f ca="1">IFERROR(__xludf.DUMMYFUNCTION("""COMPUTED_VALUE"""),"Al Tayer Building")</f>
        <v>Al Tayer Building</v>
      </c>
      <c r="C14795" s="2" t="str">
        <f ca="1">IFERROR(__xludf.DUMMYFUNCTION("""COMPUTED_VALUE"""),"Building")</f>
        <v>Building</v>
      </c>
      <c r="D14795" s="2" t="str">
        <f ca="1">IFERROR(__xludf.DUMMYFUNCTION("""COMPUTED_VALUE"""),"Sharjah&gt;Al Nahda (Sharjah)&gt;Al Tayer Building")</f>
        <v>Sharjah&gt;Al Nahda (Sharjah)&gt;Al Tayer Building</v>
      </c>
      <c r="E14795" s="2"/>
      <c r="F14795" s="2"/>
      <c r="G14795" s="2"/>
      <c r="H14795" s="2"/>
      <c r="I14795" s="2"/>
      <c r="J14795" s="2"/>
      <c r="K14795" s="2"/>
      <c r="L14795" s="2"/>
      <c r="M14795" s="2"/>
      <c r="N14795" s="2"/>
      <c r="O14795" s="2"/>
      <c r="P14795" s="2"/>
      <c r="Q14795" s="2"/>
      <c r="R14795" s="2"/>
      <c r="S14795" s="2"/>
      <c r="T14795" s="2"/>
      <c r="U14795" s="2"/>
      <c r="V14795" s="2"/>
      <c r="W14795" s="2"/>
      <c r="X14795" s="2"/>
      <c r="Y14795" s="2"/>
      <c r="Z14795" s="2"/>
    </row>
    <row r="14796" spans="1:26" ht="16.5" x14ac:dyDescent="0.35">
      <c r="A14796" s="2" t="str">
        <f ca="1">IFERROR(__xludf.DUMMYFUNCTION("""COMPUTED_VALUE"""),"Sharjah")</f>
        <v>Sharjah</v>
      </c>
      <c r="B14796" s="2" t="str">
        <f ca="1">IFERROR(__xludf.DUMMYFUNCTION("""COMPUTED_VALUE"""),"Sharjah Tower Al Nahda")</f>
        <v>Sharjah Tower Al Nahda</v>
      </c>
      <c r="C14796" s="2" t="str">
        <f ca="1">IFERROR(__xludf.DUMMYFUNCTION("""COMPUTED_VALUE"""),"Building")</f>
        <v>Building</v>
      </c>
      <c r="D14796" s="2" t="str">
        <f ca="1">IFERROR(__xludf.DUMMYFUNCTION("""COMPUTED_VALUE"""),"Sharjah&gt;Al Nahda (Sharjah)&gt;Sharjah Tower Al Nahda")</f>
        <v>Sharjah&gt;Al Nahda (Sharjah)&gt;Sharjah Tower Al Nahda</v>
      </c>
      <c r="E14796" s="2"/>
      <c r="F14796" s="2"/>
      <c r="G14796" s="2"/>
      <c r="H14796" s="2"/>
      <c r="I14796" s="2"/>
      <c r="J14796" s="2"/>
      <c r="K14796" s="2"/>
      <c r="L14796" s="2"/>
      <c r="M14796" s="2"/>
      <c r="N14796" s="2"/>
      <c r="O14796" s="2"/>
      <c r="P14796" s="2"/>
      <c r="Q14796" s="2"/>
      <c r="R14796" s="2"/>
      <c r="S14796" s="2"/>
      <c r="T14796" s="2"/>
      <c r="U14796" s="2"/>
      <c r="V14796" s="2"/>
      <c r="W14796" s="2"/>
      <c r="X14796" s="2"/>
      <c r="Y14796" s="2"/>
      <c r="Z14796" s="2"/>
    </row>
    <row r="14797" spans="1:26" ht="16.5" x14ac:dyDescent="0.35">
      <c r="A14797" s="2" t="str">
        <f ca="1">IFERROR(__xludf.DUMMYFUNCTION("""COMPUTED_VALUE"""),"Sharjah")</f>
        <v>Sharjah</v>
      </c>
      <c r="B14797" s="2" t="str">
        <f ca="1">IFERROR(__xludf.DUMMYFUNCTION("""COMPUTED_VALUE"""),"Al Zubair Orchards")</f>
        <v>Al Zubair Orchards</v>
      </c>
      <c r="C14797" s="2" t="str">
        <f ca="1">IFERROR(__xludf.DUMMYFUNCTION("""COMPUTED_VALUE"""),"Neighbourhood")</f>
        <v>Neighbourhood</v>
      </c>
      <c r="D14797" s="2" t="str">
        <f ca="1">IFERROR(__xludf.DUMMYFUNCTION("""COMPUTED_VALUE"""),"Sharjah&gt;Al Zubair&gt;Al Zubair Orchards")</f>
        <v>Sharjah&gt;Al Zubair&gt;Al Zubair Orchards</v>
      </c>
      <c r="E14797" s="2"/>
      <c r="F14797" s="2"/>
      <c r="G14797" s="2"/>
      <c r="H14797" s="2"/>
      <c r="I14797" s="2"/>
      <c r="J14797" s="2"/>
      <c r="K14797" s="2"/>
      <c r="L14797" s="2"/>
      <c r="M14797" s="2"/>
      <c r="N14797" s="2"/>
      <c r="O14797" s="2"/>
      <c r="P14797" s="2"/>
      <c r="Q14797" s="2"/>
      <c r="R14797" s="2"/>
      <c r="S14797" s="2"/>
      <c r="T14797" s="2"/>
      <c r="U14797" s="2"/>
      <c r="V14797" s="2"/>
      <c r="W14797" s="2"/>
      <c r="X14797" s="2"/>
      <c r="Y14797" s="2"/>
      <c r="Z14797" s="2"/>
    </row>
    <row r="14798" spans="1:26" ht="16.5" x14ac:dyDescent="0.35">
      <c r="A14798" s="2" t="str">
        <f ca="1">IFERROR(__xludf.DUMMYFUNCTION("""COMPUTED_VALUE"""),"Sharjah")</f>
        <v>Sharjah</v>
      </c>
      <c r="B14798" s="2" t="str">
        <f ca="1">IFERROR(__xludf.DUMMYFUNCTION("""COMPUTED_VALUE"""),"The Riff 1")</f>
        <v>The Riff 1</v>
      </c>
      <c r="C14798" s="2" t="str">
        <f ca="1">IFERROR(__xludf.DUMMYFUNCTION("""COMPUTED_VALUE"""),"Building")</f>
        <v>Building</v>
      </c>
      <c r="D14798" s="2" t="str">
        <f ca="1">IFERROR(__xludf.DUMMYFUNCTION("""COMPUTED_VALUE"""),"Sharjah&gt;Aljada&gt;East Village&gt;The Riff&gt;The Riff 1")</f>
        <v>Sharjah&gt;Aljada&gt;East Village&gt;The Riff&gt;The Riff 1</v>
      </c>
      <c r="E14798" s="2"/>
      <c r="F14798" s="2"/>
      <c r="G14798" s="2"/>
      <c r="H14798" s="2"/>
      <c r="I14798" s="2"/>
      <c r="J14798" s="2"/>
      <c r="K14798" s="2"/>
      <c r="L14798" s="2"/>
      <c r="M14798" s="2"/>
      <c r="N14798" s="2"/>
      <c r="O14798" s="2"/>
      <c r="P14798" s="2"/>
      <c r="Q14798" s="2"/>
      <c r="R14798" s="2"/>
      <c r="S14798" s="2"/>
      <c r="T14798" s="2"/>
      <c r="U14798" s="2"/>
      <c r="V14798" s="2"/>
      <c r="W14798" s="2"/>
      <c r="X14798" s="2"/>
      <c r="Y14798" s="2"/>
      <c r="Z14798" s="2"/>
    </row>
    <row r="14799" spans="1:26" ht="16.5" x14ac:dyDescent="0.35">
      <c r="A14799" s="2" t="str">
        <f ca="1">IFERROR(__xludf.DUMMYFUNCTION("""COMPUTED_VALUE"""),"Sharjah")</f>
        <v>Sharjah</v>
      </c>
      <c r="B14799" s="2" t="str">
        <f ca="1">IFERROR(__xludf.DUMMYFUNCTION("""COMPUTED_VALUE"""),"Tiraz 2")</f>
        <v>Tiraz 2</v>
      </c>
      <c r="C14799" s="2" t="str">
        <f ca="1">IFERROR(__xludf.DUMMYFUNCTION("""COMPUTED_VALUE"""),"Building")</f>
        <v>Building</v>
      </c>
      <c r="D14799" s="2" t="str">
        <f ca="1">IFERROR(__xludf.DUMMYFUNCTION("""COMPUTED_VALUE"""),"Sharjah&gt;Aljada&gt;Naseej District&gt;Tiraz&gt;Tiraz 2")</f>
        <v>Sharjah&gt;Aljada&gt;Naseej District&gt;Tiraz&gt;Tiraz 2</v>
      </c>
      <c r="E14799" s="2"/>
      <c r="F14799" s="2"/>
      <c r="G14799" s="2"/>
      <c r="H14799" s="2"/>
      <c r="I14799" s="2"/>
      <c r="J14799" s="2"/>
      <c r="K14799" s="2"/>
      <c r="L14799" s="2"/>
      <c r="M14799" s="2"/>
      <c r="N14799" s="2"/>
      <c r="O14799" s="2"/>
      <c r="P14799" s="2"/>
      <c r="Q14799" s="2"/>
      <c r="R14799" s="2"/>
      <c r="S14799" s="2"/>
      <c r="T14799" s="2"/>
      <c r="U14799" s="2"/>
      <c r="V14799" s="2"/>
      <c r="W14799" s="2"/>
      <c r="X14799" s="2"/>
      <c r="Y14799" s="2"/>
      <c r="Z14799" s="2"/>
    </row>
    <row r="14800" spans="1:26" ht="16.5" x14ac:dyDescent="0.35">
      <c r="A14800" s="2" t="str">
        <f ca="1">IFERROR(__xludf.DUMMYFUNCTION("""COMPUTED_VALUE"""),"Sharjah")</f>
        <v>Sharjah</v>
      </c>
      <c r="B14800" s="2" t="str">
        <f ca="1">IFERROR(__xludf.DUMMYFUNCTION("""COMPUTED_VALUE"""),"Nesba 3")</f>
        <v>Nesba 3</v>
      </c>
      <c r="C14800" s="2" t="str">
        <f ca="1">IFERROR(__xludf.DUMMYFUNCTION("""COMPUTED_VALUE"""),"Building")</f>
        <v>Building</v>
      </c>
      <c r="D14800" s="2" t="str">
        <f ca="1">IFERROR(__xludf.DUMMYFUNCTION("""COMPUTED_VALUE"""),"Sharjah&gt;Aljada&gt;Nesba&gt;Nesba 3")</f>
        <v>Sharjah&gt;Aljada&gt;Nesba&gt;Nesba 3</v>
      </c>
      <c r="E14800" s="2"/>
      <c r="F14800" s="2"/>
      <c r="G14800" s="2"/>
      <c r="H14800" s="2"/>
      <c r="I14800" s="2"/>
      <c r="J14800" s="2"/>
      <c r="K14800" s="2"/>
      <c r="L14800" s="2"/>
      <c r="M14800" s="2"/>
      <c r="N14800" s="2"/>
      <c r="O14800" s="2"/>
      <c r="P14800" s="2"/>
      <c r="Q14800" s="2"/>
      <c r="R14800" s="2"/>
      <c r="S14800" s="2"/>
      <c r="T14800" s="2"/>
      <c r="U14800" s="2"/>
      <c r="V14800" s="2"/>
      <c r="W14800" s="2"/>
      <c r="X14800" s="2"/>
      <c r="Y14800" s="2"/>
      <c r="Z14800" s="2"/>
    </row>
    <row r="14801" spans="1:26" ht="16.5" x14ac:dyDescent="0.35">
      <c r="A14801" s="2" t="str">
        <f ca="1">IFERROR(__xludf.DUMMYFUNCTION("""COMPUTED_VALUE"""),"Sharjah")</f>
        <v>Sharjah</v>
      </c>
      <c r="B14801" s="2" t="str">
        <f ca="1">IFERROR(__xludf.DUMMYFUNCTION("""COMPUTED_VALUE"""),"Al Majara Residences")</f>
        <v>Al Majara Residences</v>
      </c>
      <c r="C14801" s="2"/>
      <c r="D14801" s="2" t="str">
        <f ca="1">IFERROR(__xludf.DUMMYFUNCTION("""COMPUTED_VALUE"""),"Sharjah&gt;Al Mujarrah&gt;Al Majara Residences")</f>
        <v>Sharjah&gt;Al Mujarrah&gt;Al Majara Residences</v>
      </c>
      <c r="E14801" s="2"/>
      <c r="F14801" s="2"/>
      <c r="G14801" s="2"/>
      <c r="H14801" s="2"/>
      <c r="I14801" s="2"/>
      <c r="J14801" s="2"/>
      <c r="K14801" s="2"/>
      <c r="L14801" s="2"/>
      <c r="M14801" s="2"/>
      <c r="N14801" s="2"/>
      <c r="O14801" s="2"/>
      <c r="P14801" s="2"/>
      <c r="Q14801" s="2"/>
      <c r="R14801" s="2"/>
      <c r="S14801" s="2"/>
      <c r="T14801" s="2"/>
      <c r="U14801" s="2"/>
      <c r="V14801" s="2"/>
      <c r="W14801" s="2"/>
      <c r="X14801" s="2"/>
      <c r="Y14801" s="2"/>
      <c r="Z14801" s="2"/>
    </row>
    <row r="14802" spans="1:26" ht="16.5" x14ac:dyDescent="0.35">
      <c r="A14802" s="2" t="str">
        <f ca="1">IFERROR(__xludf.DUMMYFUNCTION("""COMPUTED_VALUE"""),"Sharjah")</f>
        <v>Sharjah</v>
      </c>
      <c r="B14802" s="2" t="str">
        <f ca="1">IFERROR(__xludf.DUMMYFUNCTION("""COMPUTED_VALUE"""),"Al Sharif Building")</f>
        <v>Al Sharif Building</v>
      </c>
      <c r="C14802" s="2"/>
      <c r="D14802" s="2" t="str">
        <f ca="1">IFERROR(__xludf.DUMMYFUNCTION("""COMPUTED_VALUE"""),"Sharjah&gt;Abu Shagara&gt;Al Sharif Building")</f>
        <v>Sharjah&gt;Abu Shagara&gt;Al Sharif Building</v>
      </c>
      <c r="E14802" s="2"/>
      <c r="F14802" s="2"/>
      <c r="G14802" s="2"/>
      <c r="H14802" s="2"/>
      <c r="I14802" s="2"/>
      <c r="J14802" s="2"/>
      <c r="K14802" s="2"/>
      <c r="L14802" s="2"/>
      <c r="M14802" s="2"/>
      <c r="N14802" s="2"/>
      <c r="O14802" s="2"/>
      <c r="P14802" s="2"/>
      <c r="Q14802" s="2"/>
      <c r="R14802" s="2"/>
      <c r="S14802" s="2"/>
      <c r="T14802" s="2"/>
      <c r="U14802" s="2"/>
      <c r="V14802" s="2"/>
      <c r="W14802" s="2"/>
      <c r="X14802" s="2"/>
      <c r="Y14802" s="2"/>
      <c r="Z14802" s="2"/>
    </row>
    <row r="14803" spans="1:26" ht="16.5" x14ac:dyDescent="0.35">
      <c r="A14803" s="2" t="str">
        <f ca="1">IFERROR(__xludf.DUMMYFUNCTION("""COMPUTED_VALUE"""),"Sharjah")</f>
        <v>Sharjah</v>
      </c>
      <c r="B14803" s="2" t="str">
        <f ca="1">IFERROR(__xludf.DUMMYFUNCTION("""COMPUTED_VALUE"""),"Dalma Tower")</f>
        <v>Dalma Tower</v>
      </c>
      <c r="C14803" s="2"/>
      <c r="D14803" s="2" t="str">
        <f ca="1">IFERROR(__xludf.DUMMYFUNCTION("""COMPUTED_VALUE"""),"Sharjah&gt;Al Mamzar&gt;Dalma Tower")</f>
        <v>Sharjah&gt;Al Mamzar&gt;Dalma Tower</v>
      </c>
      <c r="E14803" s="2"/>
      <c r="F14803" s="2"/>
      <c r="G14803" s="2"/>
      <c r="H14803" s="2"/>
      <c r="I14803" s="2"/>
      <c r="J14803" s="2"/>
      <c r="K14803" s="2"/>
      <c r="L14803" s="2"/>
      <c r="M14803" s="2"/>
      <c r="N14803" s="2"/>
      <c r="O14803" s="2"/>
      <c r="P14803" s="2"/>
      <c r="Q14803" s="2"/>
      <c r="R14803" s="2"/>
      <c r="S14803" s="2"/>
      <c r="T14803" s="2"/>
      <c r="U14803" s="2"/>
      <c r="V14803" s="2"/>
      <c r="W14803" s="2"/>
      <c r="X14803" s="2"/>
      <c r="Y14803" s="2"/>
      <c r="Z14803" s="2"/>
    </row>
    <row r="14804" spans="1:26" ht="16.5" x14ac:dyDescent="0.35">
      <c r="A14804" s="2" t="str">
        <f ca="1">IFERROR(__xludf.DUMMYFUNCTION("""COMPUTED_VALUE"""),"Sharjah")</f>
        <v>Sharjah</v>
      </c>
      <c r="B14804" s="2" t="str">
        <f ca="1">IFERROR(__xludf.DUMMYFUNCTION("""COMPUTED_VALUE"""),"Anwar Al Faraj")</f>
        <v>Anwar Al Faraj</v>
      </c>
      <c r="C14804" s="2"/>
      <c r="D14804" s="2" t="str">
        <f ca="1">IFERROR(__xludf.DUMMYFUNCTION("""COMPUTED_VALUE"""),"Sharjah&gt;Al Jubail&gt;Anwar Al Faraj")</f>
        <v>Sharjah&gt;Al Jubail&gt;Anwar Al Faraj</v>
      </c>
      <c r="E14804" s="2"/>
      <c r="F14804" s="2"/>
      <c r="G14804" s="2"/>
      <c r="H14804" s="2"/>
      <c r="I14804" s="2"/>
      <c r="J14804" s="2"/>
      <c r="K14804" s="2"/>
      <c r="L14804" s="2"/>
      <c r="M14804" s="2"/>
      <c r="N14804" s="2"/>
      <c r="O14804" s="2"/>
      <c r="P14804" s="2"/>
      <c r="Q14804" s="2"/>
      <c r="R14804" s="2"/>
      <c r="S14804" s="2"/>
      <c r="T14804" s="2"/>
      <c r="U14804" s="2"/>
      <c r="V14804" s="2"/>
      <c r="W14804" s="2"/>
      <c r="X14804" s="2"/>
      <c r="Y14804" s="2"/>
      <c r="Z14804" s="2"/>
    </row>
    <row r="14805" spans="1:26" ht="16.5" x14ac:dyDescent="0.35">
      <c r="A14805" s="2" t="str">
        <f ca="1">IFERROR(__xludf.DUMMYFUNCTION("""COMPUTED_VALUE"""),"Sharjah")</f>
        <v>Sharjah</v>
      </c>
      <c r="B14805" s="2" t="str">
        <f ca="1">IFERROR(__xludf.DUMMYFUNCTION("""COMPUTED_VALUE"""),"Hawa Residence")</f>
        <v>Hawa Residence</v>
      </c>
      <c r="C14805" s="2" t="str">
        <f ca="1">IFERROR(__xludf.DUMMYFUNCTION("""COMPUTED_VALUE"""),"Building")</f>
        <v>Building</v>
      </c>
      <c r="D14805" s="2" t="str">
        <f ca="1">IFERROR(__xludf.DUMMYFUNCTION("""COMPUTED_VALUE"""),"Sharjah&gt;Tilal City&gt;Hawa Residence")</f>
        <v>Sharjah&gt;Tilal City&gt;Hawa Residence</v>
      </c>
      <c r="E14805" s="2"/>
      <c r="F14805" s="2"/>
      <c r="G14805" s="2"/>
      <c r="H14805" s="2"/>
      <c r="I14805" s="2"/>
      <c r="J14805" s="2"/>
      <c r="K14805" s="2"/>
      <c r="L14805" s="2"/>
      <c r="M14805" s="2"/>
      <c r="N14805" s="2"/>
      <c r="O14805" s="2"/>
      <c r="P14805" s="2"/>
      <c r="Q14805" s="2"/>
      <c r="R14805" s="2"/>
      <c r="S14805" s="2"/>
      <c r="T14805" s="2"/>
      <c r="U14805" s="2"/>
      <c r="V14805" s="2"/>
      <c r="W14805" s="2"/>
      <c r="X14805" s="2"/>
      <c r="Y14805" s="2"/>
      <c r="Z14805" s="2"/>
    </row>
    <row r="14806" spans="1:26" ht="16.5" x14ac:dyDescent="0.35">
      <c r="A14806" s="2" t="str">
        <f ca="1">IFERROR(__xludf.DUMMYFUNCTION("""COMPUTED_VALUE"""),"Sharjah")</f>
        <v>Sharjah</v>
      </c>
      <c r="B14806" s="2" t="str">
        <f ca="1">IFERROR(__xludf.DUMMYFUNCTION("""COMPUTED_VALUE"""),"Al Noaf 3")</f>
        <v>Al Noaf 3</v>
      </c>
      <c r="C14806" s="2"/>
      <c r="D14806" s="2" t="str">
        <f ca="1">IFERROR(__xludf.DUMMYFUNCTION("""COMPUTED_VALUE"""),"Sharjah&gt;Al Noaf&gt;Al Noaf 3")</f>
        <v>Sharjah&gt;Al Noaf&gt;Al Noaf 3</v>
      </c>
      <c r="E14806" s="2"/>
      <c r="F14806" s="2"/>
      <c r="G14806" s="2"/>
      <c r="H14806" s="2"/>
      <c r="I14806" s="2"/>
      <c r="J14806" s="2"/>
      <c r="K14806" s="2"/>
      <c r="L14806" s="2"/>
      <c r="M14806" s="2"/>
      <c r="N14806" s="2"/>
      <c r="O14806" s="2"/>
      <c r="P14806" s="2"/>
      <c r="Q14806" s="2"/>
      <c r="R14806" s="2"/>
      <c r="S14806" s="2"/>
      <c r="T14806" s="2"/>
      <c r="U14806" s="2"/>
      <c r="V14806" s="2"/>
      <c r="W14806" s="2"/>
      <c r="X14806" s="2"/>
      <c r="Y14806" s="2"/>
      <c r="Z14806" s="2"/>
    </row>
    <row r="14807" spans="1:26" ht="16.5" x14ac:dyDescent="0.35">
      <c r="A14807" s="2" t="str">
        <f ca="1">IFERROR(__xludf.DUMMYFUNCTION("""COMPUTED_VALUE"""),"Sharjah")</f>
        <v>Sharjah</v>
      </c>
      <c r="B14807" s="2" t="str">
        <f ca="1">IFERROR(__xludf.DUMMYFUNCTION("""COMPUTED_VALUE"""),"Zwena Building")</f>
        <v>Zwena Building</v>
      </c>
      <c r="C14807" s="2" t="str">
        <f ca="1">IFERROR(__xludf.DUMMYFUNCTION("""COMPUTED_VALUE"""),"Building")</f>
        <v>Building</v>
      </c>
      <c r="D14807" s="2" t="str">
        <f ca="1">IFERROR(__xludf.DUMMYFUNCTION("""COMPUTED_VALUE"""),"Sharjah&gt;Al Musalla&gt;Zwena Building")</f>
        <v>Sharjah&gt;Al Musalla&gt;Zwena Building</v>
      </c>
      <c r="E14807" s="2"/>
      <c r="F14807" s="2"/>
      <c r="G14807" s="2"/>
      <c r="H14807" s="2"/>
      <c r="I14807" s="2"/>
      <c r="J14807" s="2"/>
      <c r="K14807" s="2"/>
      <c r="L14807" s="2"/>
      <c r="M14807" s="2"/>
      <c r="N14807" s="2"/>
      <c r="O14807" s="2"/>
      <c r="P14807" s="2"/>
      <c r="Q14807" s="2"/>
      <c r="R14807" s="2"/>
      <c r="S14807" s="2"/>
      <c r="T14807" s="2"/>
      <c r="U14807" s="2"/>
      <c r="V14807" s="2"/>
      <c r="W14807" s="2"/>
      <c r="X14807" s="2"/>
      <c r="Y14807" s="2"/>
      <c r="Z14807" s="2"/>
    </row>
    <row r="14808" spans="1:26" ht="16.5" x14ac:dyDescent="0.35">
      <c r="A14808" s="2" t="str">
        <f ca="1">IFERROR(__xludf.DUMMYFUNCTION("""COMPUTED_VALUE"""),"Sharjah")</f>
        <v>Sharjah</v>
      </c>
      <c r="B14808" s="2" t="str">
        <f ca="1">IFERROR(__xludf.DUMMYFUNCTION("""COMPUTED_VALUE"""),"Happy Home Nursery")</f>
        <v>Happy Home Nursery</v>
      </c>
      <c r="C14808" s="2" t="str">
        <f ca="1">IFERROR(__xludf.DUMMYFUNCTION("""COMPUTED_VALUE"""),"Nursery")</f>
        <v>Nursery</v>
      </c>
      <c r="D14808" s="2" t="str">
        <f ca="1">IFERROR(__xludf.DUMMYFUNCTION("""COMPUTED_VALUE"""),"Sharjah&gt;Maysaloon&gt;Happy Home Nursery")</f>
        <v>Sharjah&gt;Maysaloon&gt;Happy Home Nursery</v>
      </c>
      <c r="E14808" s="2"/>
      <c r="F14808" s="2"/>
      <c r="G14808" s="2"/>
      <c r="H14808" s="2"/>
      <c r="I14808" s="2"/>
      <c r="J14808" s="2"/>
      <c r="K14808" s="2"/>
      <c r="L14808" s="2"/>
      <c r="M14808" s="2"/>
      <c r="N14808" s="2"/>
      <c r="O14808" s="2"/>
      <c r="P14808" s="2"/>
      <c r="Q14808" s="2"/>
      <c r="R14808" s="2"/>
      <c r="S14808" s="2"/>
      <c r="T14808" s="2"/>
      <c r="U14808" s="2"/>
      <c r="V14808" s="2"/>
      <c r="W14808" s="2"/>
      <c r="X14808" s="2"/>
      <c r="Y14808" s="2"/>
      <c r="Z14808" s="2"/>
    </row>
    <row r="14809" spans="1:26" ht="16.5" x14ac:dyDescent="0.35">
      <c r="A14809" s="2" t="str">
        <f ca="1">IFERROR(__xludf.DUMMYFUNCTION("""COMPUTED_VALUE"""),"Sharjah")</f>
        <v>Sharjah</v>
      </c>
      <c r="B14809" s="2" t="str">
        <f ca="1">IFERROR(__xludf.DUMMYFUNCTION("""COMPUTED_VALUE"""),"Sheikha Laila Building")</f>
        <v>Sheikha Laila Building</v>
      </c>
      <c r="C14809" s="2"/>
      <c r="D14809" s="2" t="str">
        <f ca="1">IFERROR(__xludf.DUMMYFUNCTION("""COMPUTED_VALUE"""),"Sharjah&gt;Al Mareija&gt;Sheikha Laila Building")</f>
        <v>Sharjah&gt;Al Mareija&gt;Sheikha Laila Building</v>
      </c>
      <c r="E14809" s="2"/>
      <c r="F14809" s="2"/>
      <c r="G14809" s="2"/>
      <c r="H14809" s="2"/>
      <c r="I14809" s="2"/>
      <c r="J14809" s="2"/>
      <c r="K14809" s="2"/>
      <c r="L14809" s="2"/>
      <c r="M14809" s="2"/>
      <c r="N14809" s="2"/>
      <c r="O14809" s="2"/>
      <c r="P14809" s="2"/>
      <c r="Q14809" s="2"/>
      <c r="R14809" s="2"/>
      <c r="S14809" s="2"/>
      <c r="T14809" s="2"/>
      <c r="U14809" s="2"/>
      <c r="V14809" s="2"/>
      <c r="W14809" s="2"/>
      <c r="X14809" s="2"/>
      <c r="Y14809" s="2"/>
      <c r="Z14809" s="2"/>
    </row>
    <row r="14810" spans="1:26" ht="16.5" x14ac:dyDescent="0.35">
      <c r="A14810" s="2" t="str">
        <f ca="1">IFERROR(__xludf.DUMMYFUNCTION("""COMPUTED_VALUE"""),"Sharjah")</f>
        <v>Sharjah</v>
      </c>
      <c r="B14810" s="2" t="str">
        <f ca="1">IFERROR(__xludf.DUMMYFUNCTION("""COMPUTED_VALUE"""),"The Residence")</f>
        <v>The Residence</v>
      </c>
      <c r="C14810" s="2" t="str">
        <f ca="1">IFERROR(__xludf.DUMMYFUNCTION("""COMPUTED_VALUE"""),"Building")</f>
        <v>Building</v>
      </c>
      <c r="D14810" s="2" t="str">
        <f ca="1">IFERROR(__xludf.DUMMYFUNCTION("""COMPUTED_VALUE"""),"Sharjah&gt;Al Khaledia Suburb&gt;The Residence")</f>
        <v>Sharjah&gt;Al Khaledia Suburb&gt;The Residence</v>
      </c>
      <c r="E14810" s="2"/>
      <c r="F14810" s="2"/>
      <c r="G14810" s="2"/>
      <c r="H14810" s="2"/>
      <c r="I14810" s="2"/>
      <c r="J14810" s="2"/>
      <c r="K14810" s="2"/>
      <c r="L14810" s="2"/>
      <c r="M14810" s="2"/>
      <c r="N14810" s="2"/>
      <c r="O14810" s="2"/>
      <c r="P14810" s="2"/>
      <c r="Q14810" s="2"/>
      <c r="R14810" s="2"/>
      <c r="S14810" s="2"/>
      <c r="T14810" s="2"/>
      <c r="U14810" s="2"/>
      <c r="V14810" s="2"/>
      <c r="W14810" s="2"/>
      <c r="X14810" s="2"/>
      <c r="Y14810" s="2"/>
      <c r="Z14810" s="2"/>
    </row>
    <row r="14811" spans="1:26" ht="16.5" x14ac:dyDescent="0.35">
      <c r="A14811" s="2" t="str">
        <f ca="1">IFERROR(__xludf.DUMMYFUNCTION("""COMPUTED_VALUE"""),"Sharjah")</f>
        <v>Sharjah</v>
      </c>
      <c r="B14811" s="2" t="str">
        <f ca="1">IFERROR(__xludf.DUMMYFUNCTION("""COMPUTED_VALUE"""),"Rawan Tower")</f>
        <v>Rawan Tower</v>
      </c>
      <c r="C14811" s="2" t="str">
        <f ca="1">IFERROR(__xludf.DUMMYFUNCTION("""COMPUTED_VALUE"""),"Building")</f>
        <v>Building</v>
      </c>
      <c r="D14811" s="2" t="str">
        <f ca="1">IFERROR(__xludf.DUMMYFUNCTION("""COMPUTED_VALUE"""),"Sharjah&gt;Al Mahatah&gt;Rawan Tower")</f>
        <v>Sharjah&gt;Al Mahatah&gt;Rawan Tower</v>
      </c>
      <c r="E14811" s="2"/>
      <c r="F14811" s="2"/>
      <c r="G14811" s="2"/>
      <c r="H14811" s="2"/>
      <c r="I14811" s="2"/>
      <c r="J14811" s="2"/>
      <c r="K14811" s="2"/>
      <c r="L14811" s="2"/>
      <c r="M14811" s="2"/>
      <c r="N14811" s="2"/>
      <c r="O14811" s="2"/>
      <c r="P14811" s="2"/>
      <c r="Q14811" s="2"/>
      <c r="R14811" s="2"/>
      <c r="S14811" s="2"/>
      <c r="T14811" s="2"/>
      <c r="U14811" s="2"/>
      <c r="V14811" s="2"/>
      <c r="W14811" s="2"/>
      <c r="X14811" s="2"/>
      <c r="Y14811" s="2"/>
      <c r="Z14811" s="2"/>
    </row>
    <row r="14812" spans="1:26" ht="16.5" x14ac:dyDescent="0.35">
      <c r="A14812" s="2" t="str">
        <f ca="1">IFERROR(__xludf.DUMMYFUNCTION("""COMPUTED_VALUE"""),"Sharjah")</f>
        <v>Sharjah</v>
      </c>
      <c r="B14812" s="2" t="str">
        <f ca="1">IFERROR(__xludf.DUMMYFUNCTION("""COMPUTED_VALUE"""),"Al Bandary Tower B")</f>
        <v>Al Bandary Tower B</v>
      </c>
      <c r="C14812" s="2" t="str">
        <f ca="1">IFERROR(__xludf.DUMMYFUNCTION("""COMPUTED_VALUE"""),"Building")</f>
        <v>Building</v>
      </c>
      <c r="D14812" s="2" t="str">
        <f ca="1">IFERROR(__xludf.DUMMYFUNCTION("""COMPUTED_VALUE"""),"Sharjah&gt;Al Khan&gt;Al Bandary Twin Towers&gt;Al Bandary Tower B")</f>
        <v>Sharjah&gt;Al Khan&gt;Al Bandary Twin Towers&gt;Al Bandary Tower B</v>
      </c>
      <c r="E14812" s="2"/>
      <c r="F14812" s="2"/>
      <c r="G14812" s="2"/>
      <c r="H14812" s="2"/>
      <c r="I14812" s="2"/>
      <c r="J14812" s="2"/>
      <c r="K14812" s="2"/>
      <c r="L14812" s="2"/>
      <c r="M14812" s="2"/>
      <c r="N14812" s="2"/>
      <c r="O14812" s="2"/>
      <c r="P14812" s="2"/>
      <c r="Q14812" s="2"/>
      <c r="R14812" s="2"/>
      <c r="S14812" s="2"/>
      <c r="T14812" s="2"/>
      <c r="U14812" s="2"/>
      <c r="V14812" s="2"/>
      <c r="W14812" s="2"/>
      <c r="X14812" s="2"/>
      <c r="Y14812" s="2"/>
      <c r="Z14812" s="2"/>
    </row>
    <row r="14813" spans="1:26" ht="16.5" x14ac:dyDescent="0.35">
      <c r="A14813" s="2" t="str">
        <f ca="1">IFERROR(__xludf.DUMMYFUNCTION("""COMPUTED_VALUE"""),"Sharjah")</f>
        <v>Sharjah</v>
      </c>
      <c r="B14813" s="2" t="str">
        <f ca="1">IFERROR(__xludf.DUMMYFUNCTION("""COMPUTED_VALUE"""),"Future Tower 3")</f>
        <v>Future Tower 3</v>
      </c>
      <c r="C14813" s="2" t="str">
        <f ca="1">IFERROR(__xludf.DUMMYFUNCTION("""COMPUTED_VALUE"""),"Building")</f>
        <v>Building</v>
      </c>
      <c r="D14813" s="2" t="str">
        <f ca="1">IFERROR(__xludf.DUMMYFUNCTION("""COMPUTED_VALUE"""),"Sharjah&gt;Al Khan&gt;Future Tower&gt;Future Tower 3")</f>
        <v>Sharjah&gt;Al Khan&gt;Future Tower&gt;Future Tower 3</v>
      </c>
      <c r="E14813" s="2"/>
      <c r="F14813" s="2"/>
      <c r="G14813" s="2"/>
      <c r="H14813" s="2"/>
      <c r="I14813" s="2"/>
      <c r="J14813" s="2"/>
      <c r="K14813" s="2"/>
      <c r="L14813" s="2"/>
      <c r="M14813" s="2"/>
      <c r="N14813" s="2"/>
      <c r="O14813" s="2"/>
      <c r="P14813" s="2"/>
      <c r="Q14813" s="2"/>
      <c r="R14813" s="2"/>
      <c r="S14813" s="2"/>
      <c r="T14813" s="2"/>
      <c r="U14813" s="2"/>
      <c r="V14813" s="2"/>
      <c r="W14813" s="2"/>
      <c r="X14813" s="2"/>
      <c r="Y14813" s="2"/>
      <c r="Z14813" s="2"/>
    </row>
    <row r="14814" spans="1:26" ht="16.5" x14ac:dyDescent="0.35">
      <c r="A14814" s="2" t="str">
        <f ca="1">IFERROR(__xludf.DUMMYFUNCTION("""COMPUTED_VALUE"""),"Sharjah")</f>
        <v>Sharjah</v>
      </c>
      <c r="B14814" s="2" t="str">
        <f ca="1">IFERROR(__xludf.DUMMYFUNCTION("""COMPUTED_VALUE"""),"Rehan Residence")</f>
        <v>Rehan Residence</v>
      </c>
      <c r="C14814" s="2" t="str">
        <f ca="1">IFERROR(__xludf.DUMMYFUNCTION("""COMPUTED_VALUE"""),"Building")</f>
        <v>Building</v>
      </c>
      <c r="D14814" s="2" t="str">
        <f ca="1">IFERROR(__xludf.DUMMYFUNCTION("""COMPUTED_VALUE"""),"Sharjah&gt;Al Khan&gt;Maryam Island&gt;Rehan Residence")</f>
        <v>Sharjah&gt;Al Khan&gt;Maryam Island&gt;Rehan Residence</v>
      </c>
      <c r="E14814" s="2"/>
      <c r="F14814" s="2"/>
      <c r="G14814" s="2"/>
      <c r="H14814" s="2"/>
      <c r="I14814" s="2"/>
      <c r="J14814" s="2"/>
      <c r="K14814" s="2"/>
      <c r="L14814" s="2"/>
      <c r="M14814" s="2"/>
      <c r="N14814" s="2"/>
      <c r="O14814" s="2"/>
      <c r="P14814" s="2"/>
      <c r="Q14814" s="2"/>
      <c r="R14814" s="2"/>
      <c r="S14814" s="2"/>
      <c r="T14814" s="2"/>
      <c r="U14814" s="2"/>
      <c r="V14814" s="2"/>
      <c r="W14814" s="2"/>
      <c r="X14814" s="2"/>
      <c r="Y14814" s="2"/>
      <c r="Z14814" s="2"/>
    </row>
    <row r="14815" spans="1:26" ht="16.5" x14ac:dyDescent="0.35">
      <c r="A14815" s="2" t="str">
        <f ca="1">IFERROR(__xludf.DUMMYFUNCTION("""COMPUTED_VALUE"""),"Sharjah")</f>
        <v>Sharjah</v>
      </c>
      <c r="B14815" s="2" t="str">
        <f ca="1">IFERROR(__xludf.DUMMYFUNCTION("""COMPUTED_VALUE"""),"Hidaya Building")</f>
        <v>Hidaya Building</v>
      </c>
      <c r="C14815" s="2"/>
      <c r="D14815" s="2" t="str">
        <f ca="1">IFERROR(__xludf.DUMMYFUNCTION("""COMPUTED_VALUE"""),"Sharjah&gt;Al Khan&gt;Hidaya Building")</f>
        <v>Sharjah&gt;Al Khan&gt;Hidaya Building</v>
      </c>
      <c r="E14815" s="2"/>
      <c r="F14815" s="2"/>
      <c r="G14815" s="2"/>
      <c r="H14815" s="2"/>
      <c r="I14815" s="2"/>
      <c r="J14815" s="2"/>
      <c r="K14815" s="2"/>
      <c r="L14815" s="2"/>
      <c r="M14815" s="2"/>
      <c r="N14815" s="2"/>
      <c r="O14815" s="2"/>
      <c r="P14815" s="2"/>
      <c r="Q14815" s="2"/>
      <c r="R14815" s="2"/>
      <c r="S14815" s="2"/>
      <c r="T14815" s="2"/>
      <c r="U14815" s="2"/>
      <c r="V14815" s="2"/>
      <c r="W14815" s="2"/>
      <c r="X14815" s="2"/>
      <c r="Y14815" s="2"/>
      <c r="Z14815" s="2"/>
    </row>
    <row r="14816" spans="1:26" ht="16.5" x14ac:dyDescent="0.35">
      <c r="A14816" s="2" t="str">
        <f ca="1">IFERROR(__xludf.DUMMYFUNCTION("""COMPUTED_VALUE"""),"Sharjah")</f>
        <v>Sharjah</v>
      </c>
      <c r="B14816" s="2" t="str">
        <f ca="1">IFERROR(__xludf.DUMMYFUNCTION("""COMPUTED_VALUE"""),"Pearl Tower")</f>
        <v>Pearl Tower</v>
      </c>
      <c r="C14816" s="2" t="str">
        <f ca="1">IFERROR(__xludf.DUMMYFUNCTION("""COMPUTED_VALUE"""),"Building")</f>
        <v>Building</v>
      </c>
      <c r="D14816" s="2" t="str">
        <f ca="1">IFERROR(__xludf.DUMMYFUNCTION("""COMPUTED_VALUE"""),"Sharjah&gt;Al Majaz&gt;Al Majaz 2&gt;Pearl Tower")</f>
        <v>Sharjah&gt;Al Majaz&gt;Al Majaz 2&gt;Pearl Tower</v>
      </c>
      <c r="E14816" s="2"/>
      <c r="F14816" s="2"/>
      <c r="G14816" s="2"/>
      <c r="H14816" s="2"/>
      <c r="I14816" s="2"/>
      <c r="J14816" s="2"/>
      <c r="K14816" s="2"/>
      <c r="L14816" s="2"/>
      <c r="M14816" s="2"/>
      <c r="N14816" s="2"/>
      <c r="O14816" s="2"/>
      <c r="P14816" s="2"/>
      <c r="Q14816" s="2"/>
      <c r="R14816" s="2"/>
      <c r="S14816" s="2"/>
      <c r="T14816" s="2"/>
      <c r="U14816" s="2"/>
      <c r="V14816" s="2"/>
      <c r="W14816" s="2"/>
      <c r="X14816" s="2"/>
      <c r="Y14816" s="2"/>
      <c r="Z14816" s="2"/>
    </row>
    <row r="14817" spans="1:26" ht="16.5" x14ac:dyDescent="0.35">
      <c r="A14817" s="2" t="str">
        <f ca="1">IFERROR(__xludf.DUMMYFUNCTION("""COMPUTED_VALUE"""),"Sharjah")</f>
        <v>Sharjah</v>
      </c>
      <c r="B14817" s="2" t="str">
        <f ca="1">IFERROR(__xludf.DUMMYFUNCTION("""COMPUTED_VALUE"""),"Azza Abdalla Matar Alme Hairi Building")</f>
        <v>Azza Abdalla Matar Alme Hairi Building</v>
      </c>
      <c r="C14817" s="2"/>
      <c r="D14817" s="2" t="str">
        <f ca="1">IFERROR(__xludf.DUMMYFUNCTION("""COMPUTED_VALUE"""),"Sharjah&gt;Al Majaz&gt;Al Majaz 2&gt;Azza Abdalla Matar Alme Hairi Building")</f>
        <v>Sharjah&gt;Al Majaz&gt;Al Majaz 2&gt;Azza Abdalla Matar Alme Hairi Building</v>
      </c>
      <c r="E14817" s="2"/>
      <c r="F14817" s="2"/>
      <c r="G14817" s="2"/>
      <c r="H14817" s="2"/>
      <c r="I14817" s="2"/>
      <c r="J14817" s="2"/>
      <c r="K14817" s="2"/>
      <c r="L14817" s="2"/>
      <c r="M14817" s="2"/>
      <c r="N14817" s="2"/>
      <c r="O14817" s="2"/>
      <c r="P14817" s="2"/>
      <c r="Q14817" s="2"/>
      <c r="R14817" s="2"/>
      <c r="S14817" s="2"/>
      <c r="T14817" s="2"/>
      <c r="U14817" s="2"/>
      <c r="V14817" s="2"/>
      <c r="W14817" s="2"/>
      <c r="X14817" s="2"/>
      <c r="Y14817" s="2"/>
      <c r="Z14817" s="2"/>
    </row>
    <row r="14818" spans="1:26" ht="16.5" x14ac:dyDescent="0.35">
      <c r="A14818" s="2" t="str">
        <f ca="1">IFERROR(__xludf.DUMMYFUNCTION("""COMPUTED_VALUE"""),"Sharjah")</f>
        <v>Sharjah</v>
      </c>
      <c r="B14818" s="2" t="str">
        <f ca="1">IFERROR(__xludf.DUMMYFUNCTION("""COMPUTED_VALUE"""),"Hamzah Al Khatib Tower")</f>
        <v>Hamzah Al Khatib Tower</v>
      </c>
      <c r="C14818" s="2" t="str">
        <f ca="1">IFERROR(__xludf.DUMMYFUNCTION("""COMPUTED_VALUE"""),"Building")</f>
        <v>Building</v>
      </c>
      <c r="D14818" s="2" t="str">
        <f ca="1">IFERROR(__xludf.DUMMYFUNCTION("""COMPUTED_VALUE"""),"Sharjah&gt;Al Majaz&gt;Al Majaz 2&gt;Hamzah Al Khatib Tower")</f>
        <v>Sharjah&gt;Al Majaz&gt;Al Majaz 2&gt;Hamzah Al Khatib Tower</v>
      </c>
      <c r="E14818" s="2"/>
      <c r="F14818" s="2"/>
      <c r="G14818" s="2"/>
      <c r="H14818" s="2"/>
      <c r="I14818" s="2"/>
      <c r="J14818" s="2"/>
      <c r="K14818" s="2"/>
      <c r="L14818" s="2"/>
      <c r="M14818" s="2"/>
      <c r="N14818" s="2"/>
      <c r="O14818" s="2"/>
      <c r="P14818" s="2"/>
      <c r="Q14818" s="2"/>
      <c r="R14818" s="2"/>
      <c r="S14818" s="2"/>
      <c r="T14818" s="2"/>
      <c r="U14818" s="2"/>
      <c r="V14818" s="2"/>
      <c r="W14818" s="2"/>
      <c r="X14818" s="2"/>
      <c r="Y14818" s="2"/>
      <c r="Z14818" s="2"/>
    </row>
    <row r="14819" spans="1:26" ht="16.5" x14ac:dyDescent="0.35">
      <c r="A14819" s="2" t="str">
        <f ca="1">IFERROR(__xludf.DUMMYFUNCTION("""COMPUTED_VALUE"""),"Sharjah")</f>
        <v>Sharjah</v>
      </c>
      <c r="B14819" s="2" t="str">
        <f ca="1">IFERROR(__xludf.DUMMYFUNCTION("""COMPUTED_VALUE"""),"Ibtikar 5 Building")</f>
        <v>Ibtikar 5 Building</v>
      </c>
      <c r="C14819" s="2" t="str">
        <f ca="1">IFERROR(__xludf.DUMMYFUNCTION("""COMPUTED_VALUE"""),"Building")</f>
        <v>Building</v>
      </c>
      <c r="D14819" s="2" t="str">
        <f ca="1">IFERROR(__xludf.DUMMYFUNCTION("""COMPUTED_VALUE"""),"Sharjah&gt;Al Majaz&gt;Al Majaz 3&gt;Ibtikar 5 Building")</f>
        <v>Sharjah&gt;Al Majaz&gt;Al Majaz 3&gt;Ibtikar 5 Building</v>
      </c>
      <c r="E14819" s="2"/>
      <c r="F14819" s="2"/>
      <c r="G14819" s="2"/>
      <c r="H14819" s="2"/>
      <c r="I14819" s="2"/>
      <c r="J14819" s="2"/>
      <c r="K14819" s="2"/>
      <c r="L14819" s="2"/>
      <c r="M14819" s="2"/>
      <c r="N14819" s="2"/>
      <c r="O14819" s="2"/>
      <c r="P14819" s="2"/>
      <c r="Q14819" s="2"/>
      <c r="R14819" s="2"/>
      <c r="S14819" s="2"/>
      <c r="T14819" s="2"/>
      <c r="U14819" s="2"/>
      <c r="V14819" s="2"/>
      <c r="W14819" s="2"/>
      <c r="X14819" s="2"/>
      <c r="Y14819" s="2"/>
      <c r="Z14819" s="2"/>
    </row>
    <row r="14820" spans="1:26" ht="16.5" x14ac:dyDescent="0.35">
      <c r="A14820" s="2" t="str">
        <f ca="1">IFERROR(__xludf.DUMMYFUNCTION("""COMPUTED_VALUE"""),"Sharjah")</f>
        <v>Sharjah</v>
      </c>
      <c r="B14820" s="2" t="str">
        <f ca="1">IFERROR(__xludf.DUMMYFUNCTION("""COMPUTED_VALUE"""),"Emirate Sail Tower")</f>
        <v>Emirate Sail Tower</v>
      </c>
      <c r="C14820" s="2"/>
      <c r="D14820" s="2" t="str">
        <f ca="1">IFERROR(__xludf.DUMMYFUNCTION("""COMPUTED_VALUE"""),"Sharjah&gt;Al Majaz&gt;Al Majaz 3&gt;Emirate Sail Tower")</f>
        <v>Sharjah&gt;Al Majaz&gt;Al Majaz 3&gt;Emirate Sail Tower</v>
      </c>
      <c r="E14820" s="2"/>
      <c r="F14820" s="2"/>
      <c r="G14820" s="2"/>
      <c r="H14820" s="2"/>
      <c r="I14820" s="2"/>
      <c r="J14820" s="2"/>
      <c r="K14820" s="2"/>
      <c r="L14820" s="2"/>
      <c r="M14820" s="2"/>
      <c r="N14820" s="2"/>
      <c r="O14820" s="2"/>
      <c r="P14820" s="2"/>
      <c r="Q14820" s="2"/>
      <c r="R14820" s="2"/>
      <c r="S14820" s="2"/>
      <c r="T14820" s="2"/>
      <c r="U14820" s="2"/>
      <c r="V14820" s="2"/>
      <c r="W14820" s="2"/>
      <c r="X14820" s="2"/>
      <c r="Y14820" s="2"/>
      <c r="Z14820" s="2"/>
    </row>
    <row r="14821" spans="1:26" ht="16.5" x14ac:dyDescent="0.35">
      <c r="A14821" s="2" t="str">
        <f ca="1">IFERROR(__xludf.DUMMYFUNCTION("""COMPUTED_VALUE"""),"Sharjah")</f>
        <v>Sharjah</v>
      </c>
      <c r="B14821" s="2" t="str">
        <f ca="1">IFERROR(__xludf.DUMMYFUNCTION("""COMPUTED_VALUE"""),"Al Ferasa Tower")</f>
        <v>Al Ferasa Tower</v>
      </c>
      <c r="C14821" s="2"/>
      <c r="D14821" s="2" t="str">
        <f ca="1">IFERROR(__xludf.DUMMYFUNCTION("""COMPUTED_VALUE"""),"Sharjah&gt;Al Majaz&gt;Al Majaz 1&gt;Al Ferasa Tower")</f>
        <v>Sharjah&gt;Al Majaz&gt;Al Majaz 1&gt;Al Ferasa Tower</v>
      </c>
      <c r="E14821" s="2"/>
      <c r="F14821" s="2"/>
      <c r="G14821" s="2"/>
      <c r="H14821" s="2"/>
      <c r="I14821" s="2"/>
      <c r="J14821" s="2"/>
      <c r="K14821" s="2"/>
      <c r="L14821" s="2"/>
      <c r="M14821" s="2"/>
      <c r="N14821" s="2"/>
      <c r="O14821" s="2"/>
      <c r="P14821" s="2"/>
      <c r="Q14821" s="2"/>
      <c r="R14821" s="2"/>
      <c r="S14821" s="2"/>
      <c r="T14821" s="2"/>
      <c r="U14821" s="2"/>
      <c r="V14821" s="2"/>
      <c r="W14821" s="2"/>
      <c r="X14821" s="2"/>
      <c r="Y14821" s="2"/>
      <c r="Z14821" s="2"/>
    </row>
    <row r="14822" spans="1:26" ht="16.5" x14ac:dyDescent="0.35">
      <c r="A14822" s="2" t="str">
        <f ca="1">IFERROR(__xludf.DUMMYFUNCTION("""COMPUTED_VALUE"""),"Sharjah")</f>
        <v>Sharjah</v>
      </c>
      <c r="B14822" s="2" t="str">
        <f ca="1">IFERROR(__xludf.DUMMYFUNCTION("""COMPUTED_VALUE"""),"Shihab Tower")</f>
        <v>Shihab Tower</v>
      </c>
      <c r="C14822" s="2"/>
      <c r="D14822" s="2" t="str">
        <f ca="1">IFERROR(__xludf.DUMMYFUNCTION("""COMPUTED_VALUE"""),"Sharjah&gt;Al Majaz&gt;Al Majaz 1&gt;Shihab Tower")</f>
        <v>Sharjah&gt;Al Majaz&gt;Al Majaz 1&gt;Shihab Tower</v>
      </c>
      <c r="E14822" s="2"/>
      <c r="F14822" s="2"/>
      <c r="G14822" s="2"/>
      <c r="H14822" s="2"/>
      <c r="I14822" s="2"/>
      <c r="J14822" s="2"/>
      <c r="K14822" s="2"/>
      <c r="L14822" s="2"/>
      <c r="M14822" s="2"/>
      <c r="N14822" s="2"/>
      <c r="O14822" s="2"/>
      <c r="P14822" s="2"/>
      <c r="Q14822" s="2"/>
      <c r="R14822" s="2"/>
      <c r="S14822" s="2"/>
      <c r="T14822" s="2"/>
      <c r="U14822" s="2"/>
      <c r="V14822" s="2"/>
      <c r="W14822" s="2"/>
      <c r="X14822" s="2"/>
      <c r="Y14822" s="2"/>
      <c r="Z14822" s="2"/>
    </row>
    <row r="14823" spans="1:26" ht="16.5" x14ac:dyDescent="0.35">
      <c r="A14823" s="2" t="str">
        <f ca="1">IFERROR(__xludf.DUMMYFUNCTION("""COMPUTED_VALUE"""),"Sharjah")</f>
        <v>Sharjah</v>
      </c>
      <c r="B14823" s="2" t="str">
        <f ca="1">IFERROR(__xludf.DUMMYFUNCTION("""COMPUTED_VALUE"""),"Emirates Tower")</f>
        <v>Emirates Tower</v>
      </c>
      <c r="C14823" s="2"/>
      <c r="D14823" s="2" t="str">
        <f ca="1">IFERROR(__xludf.DUMMYFUNCTION("""COMPUTED_VALUE"""),"Sharjah&gt;Al Taawun&gt;Emirates Tower")</f>
        <v>Sharjah&gt;Al Taawun&gt;Emirates Tower</v>
      </c>
      <c r="E14823" s="2"/>
      <c r="F14823" s="2"/>
      <c r="G14823" s="2"/>
      <c r="H14823" s="2"/>
      <c r="I14823" s="2"/>
      <c r="J14823" s="2"/>
      <c r="K14823" s="2"/>
      <c r="L14823" s="2"/>
      <c r="M14823" s="2"/>
      <c r="N14823" s="2"/>
      <c r="O14823" s="2"/>
      <c r="P14823" s="2"/>
      <c r="Q14823" s="2"/>
      <c r="R14823" s="2"/>
      <c r="S14823" s="2"/>
      <c r="T14823" s="2"/>
      <c r="U14823" s="2"/>
      <c r="V14823" s="2"/>
      <c r="W14823" s="2"/>
      <c r="X14823" s="2"/>
      <c r="Y14823" s="2"/>
      <c r="Z14823" s="2"/>
    </row>
    <row r="14824" spans="1:26" ht="16.5" x14ac:dyDescent="0.35">
      <c r="A14824" s="2" t="str">
        <f ca="1">IFERROR(__xludf.DUMMYFUNCTION("""COMPUTED_VALUE"""),"Sharjah")</f>
        <v>Sharjah</v>
      </c>
      <c r="B14824" s="2" t="str">
        <f ca="1">IFERROR(__xludf.DUMMYFUNCTION("""COMPUTED_VALUE"""),"Al Salam Grand Hotel")</f>
        <v>Al Salam Grand Hotel</v>
      </c>
      <c r="C14824" s="2"/>
      <c r="D14824" s="2" t="str">
        <f ca="1">IFERROR(__xludf.DUMMYFUNCTION("""COMPUTED_VALUE"""),"Sharjah&gt;Al Taawun&gt;Al Salam Grand Hotel")</f>
        <v>Sharjah&gt;Al Taawun&gt;Al Salam Grand Hotel</v>
      </c>
      <c r="E14824" s="2"/>
      <c r="F14824" s="2"/>
      <c r="G14824" s="2"/>
      <c r="H14824" s="2"/>
      <c r="I14824" s="2"/>
      <c r="J14824" s="2"/>
      <c r="K14824" s="2"/>
      <c r="L14824" s="2"/>
      <c r="M14824" s="2"/>
      <c r="N14824" s="2"/>
      <c r="O14824" s="2"/>
      <c r="P14824" s="2"/>
      <c r="Q14824" s="2"/>
      <c r="R14824" s="2"/>
      <c r="S14824" s="2"/>
      <c r="T14824" s="2"/>
      <c r="U14824" s="2"/>
      <c r="V14824" s="2"/>
      <c r="W14824" s="2"/>
      <c r="X14824" s="2"/>
      <c r="Y14824" s="2"/>
      <c r="Z14824" s="2"/>
    </row>
    <row r="14825" spans="1:26" ht="16.5" x14ac:dyDescent="0.35">
      <c r="A14825" s="2" t="str">
        <f ca="1">IFERROR(__xludf.DUMMYFUNCTION("""COMPUTED_VALUE"""),"Sharjah")</f>
        <v>Sharjah</v>
      </c>
      <c r="B14825" s="2" t="str">
        <f ca="1">IFERROR(__xludf.DUMMYFUNCTION("""COMPUTED_VALUE"""),"ABC Building")</f>
        <v>ABC Building</v>
      </c>
      <c r="C14825" s="2" t="str">
        <f ca="1">IFERROR(__xludf.DUMMYFUNCTION("""COMPUTED_VALUE"""),"Building")</f>
        <v>Building</v>
      </c>
      <c r="D14825" s="2" t="str">
        <f ca="1">IFERROR(__xludf.DUMMYFUNCTION("""COMPUTED_VALUE"""),"Sharjah&gt;Al Qasimia&gt;Al Nad&gt;ABC Building")</f>
        <v>Sharjah&gt;Al Qasimia&gt;Al Nad&gt;ABC Building</v>
      </c>
      <c r="E14825" s="2"/>
      <c r="F14825" s="2"/>
      <c r="G14825" s="2"/>
      <c r="H14825" s="2"/>
      <c r="I14825" s="2"/>
      <c r="J14825" s="2"/>
      <c r="K14825" s="2"/>
      <c r="L14825" s="2"/>
      <c r="M14825" s="2"/>
      <c r="N14825" s="2"/>
      <c r="O14825" s="2"/>
      <c r="P14825" s="2"/>
      <c r="Q14825" s="2"/>
      <c r="R14825" s="2"/>
      <c r="S14825" s="2"/>
      <c r="T14825" s="2"/>
      <c r="U14825" s="2"/>
      <c r="V14825" s="2"/>
      <c r="W14825" s="2"/>
      <c r="X14825" s="2"/>
      <c r="Y14825" s="2"/>
      <c r="Z14825" s="2"/>
    </row>
    <row r="14826" spans="1:26" ht="16.5" x14ac:dyDescent="0.35">
      <c r="A14826" s="2" t="str">
        <f ca="1">IFERROR(__xludf.DUMMYFUNCTION("""COMPUTED_VALUE"""),"Sharjah")</f>
        <v>Sharjah</v>
      </c>
      <c r="B14826" s="2" t="str">
        <f ca="1">IFERROR(__xludf.DUMMYFUNCTION("""COMPUTED_VALUE"""),"Al Sahab Building")</f>
        <v>Al Sahab Building</v>
      </c>
      <c r="C14826" s="2"/>
      <c r="D14826" s="2" t="str">
        <f ca="1">IFERROR(__xludf.DUMMYFUNCTION("""COMPUTED_VALUE"""),"Sharjah&gt;Al Qasimia&gt;Al Nad&gt;Al Sahab Building")</f>
        <v>Sharjah&gt;Al Qasimia&gt;Al Nad&gt;Al Sahab Building</v>
      </c>
      <c r="E14826" s="2"/>
      <c r="F14826" s="2"/>
      <c r="G14826" s="2"/>
      <c r="H14826" s="2"/>
      <c r="I14826" s="2"/>
      <c r="J14826" s="2"/>
      <c r="K14826" s="2"/>
      <c r="L14826" s="2"/>
      <c r="M14826" s="2"/>
      <c r="N14826" s="2"/>
      <c r="O14826" s="2"/>
      <c r="P14826" s="2"/>
      <c r="Q14826" s="2"/>
      <c r="R14826" s="2"/>
      <c r="S14826" s="2"/>
      <c r="T14826" s="2"/>
      <c r="U14826" s="2"/>
      <c r="V14826" s="2"/>
      <c r="W14826" s="2"/>
      <c r="X14826" s="2"/>
      <c r="Y14826" s="2"/>
      <c r="Z14826" s="2"/>
    </row>
    <row r="14827" spans="1:26" ht="16.5" x14ac:dyDescent="0.35">
      <c r="A14827" s="2" t="str">
        <f ca="1">IFERROR(__xludf.DUMMYFUNCTION("""COMPUTED_VALUE"""),"Sharjah")</f>
        <v>Sharjah</v>
      </c>
      <c r="B14827" s="2" t="str">
        <f ca="1">IFERROR(__xludf.DUMMYFUNCTION("""COMPUTED_VALUE"""),"Odeh Tower")</f>
        <v>Odeh Tower</v>
      </c>
      <c r="C14827" s="2"/>
      <c r="D14827" s="2" t="str">
        <f ca="1">IFERROR(__xludf.DUMMYFUNCTION("""COMPUTED_VALUE"""),"Sharjah&gt;Al Qasimia&gt;Al Nad&gt;Odeh Tower")</f>
        <v>Sharjah&gt;Al Qasimia&gt;Al Nad&gt;Odeh Tower</v>
      </c>
      <c r="E14827" s="2"/>
      <c r="F14827" s="2"/>
      <c r="G14827" s="2"/>
      <c r="H14827" s="2"/>
      <c r="I14827" s="2"/>
      <c r="J14827" s="2"/>
      <c r="K14827" s="2"/>
      <c r="L14827" s="2"/>
      <c r="M14827" s="2"/>
      <c r="N14827" s="2"/>
      <c r="O14827" s="2"/>
      <c r="P14827" s="2"/>
      <c r="Q14827" s="2"/>
      <c r="R14827" s="2"/>
      <c r="S14827" s="2"/>
      <c r="T14827" s="2"/>
      <c r="U14827" s="2"/>
      <c r="V14827" s="2"/>
      <c r="W14827" s="2"/>
      <c r="X14827" s="2"/>
      <c r="Y14827" s="2"/>
      <c r="Z14827" s="2"/>
    </row>
    <row r="14828" spans="1:26" ht="16.5" x14ac:dyDescent="0.35">
      <c r="A14828" s="2" t="str">
        <f ca="1">IFERROR(__xludf.DUMMYFUNCTION("""COMPUTED_VALUE"""),"Sharjah")</f>
        <v>Sharjah</v>
      </c>
      <c r="B14828" s="2" t="str">
        <f ca="1">IFERROR(__xludf.DUMMYFUNCTION("""COMPUTED_VALUE"""),"Al Amana Private School")</f>
        <v>Al Amana Private School</v>
      </c>
      <c r="C14828" s="2" t="str">
        <f ca="1">IFERROR(__xludf.DUMMYFUNCTION("""COMPUTED_VALUE"""),"School")</f>
        <v>School</v>
      </c>
      <c r="D14828" s="2" t="str">
        <f ca="1">IFERROR(__xludf.DUMMYFUNCTION("""COMPUTED_VALUE"""),"Sharjah&gt;Al Wahda Street&gt;Al Amana Private School")</f>
        <v>Sharjah&gt;Al Wahda Street&gt;Al Amana Private School</v>
      </c>
      <c r="E14828" s="2"/>
      <c r="F14828" s="2"/>
      <c r="G14828" s="2"/>
      <c r="H14828" s="2"/>
      <c r="I14828" s="2"/>
      <c r="J14828" s="2"/>
      <c r="K14828" s="2"/>
      <c r="L14828" s="2"/>
      <c r="M14828" s="2"/>
      <c r="N14828" s="2"/>
      <c r="O14828" s="2"/>
      <c r="P14828" s="2"/>
      <c r="Q14828" s="2"/>
      <c r="R14828" s="2"/>
      <c r="S14828" s="2"/>
      <c r="T14828" s="2"/>
      <c r="U14828" s="2"/>
      <c r="V14828" s="2"/>
      <c r="W14828" s="2"/>
      <c r="X14828" s="2"/>
      <c r="Y14828" s="2"/>
      <c r="Z14828" s="2"/>
    </row>
    <row r="14829" spans="1:26" ht="16.5" x14ac:dyDescent="0.35">
      <c r="A14829" s="2" t="str">
        <f ca="1">IFERROR(__xludf.DUMMYFUNCTION("""COMPUTED_VALUE"""),"Sharjah")</f>
        <v>Sharjah</v>
      </c>
      <c r="B14829" s="2" t="str">
        <f ca="1">IFERROR(__xludf.DUMMYFUNCTION("""COMPUTED_VALUE"""),"Grand Plaza")</f>
        <v>Grand Plaza</v>
      </c>
      <c r="C14829" s="2"/>
      <c r="D14829" s="2" t="str">
        <f ca="1">IFERROR(__xludf.DUMMYFUNCTION("""COMPUTED_VALUE"""),"Sharjah&gt;Al Nabba&gt;Grand Plaza")</f>
        <v>Sharjah&gt;Al Nabba&gt;Grand Plaza</v>
      </c>
      <c r="E14829" s="2"/>
      <c r="F14829" s="2"/>
      <c r="G14829" s="2"/>
      <c r="H14829" s="2"/>
      <c r="I14829" s="2"/>
      <c r="J14829" s="2"/>
      <c r="K14829" s="2"/>
      <c r="L14829" s="2"/>
      <c r="M14829" s="2"/>
      <c r="N14829" s="2"/>
      <c r="O14829" s="2"/>
      <c r="P14829" s="2"/>
      <c r="Q14829" s="2"/>
      <c r="R14829" s="2"/>
      <c r="S14829" s="2"/>
      <c r="T14829" s="2"/>
      <c r="U14829" s="2"/>
      <c r="V14829" s="2"/>
      <c r="W14829" s="2"/>
      <c r="X14829" s="2"/>
      <c r="Y14829" s="2"/>
      <c r="Z14829" s="2"/>
    </row>
    <row r="14830" spans="1:26" ht="16.5" x14ac:dyDescent="0.35">
      <c r="A14830" s="2" t="str">
        <f ca="1">IFERROR(__xludf.DUMMYFUNCTION("""COMPUTED_VALUE"""),"Sharjah")</f>
        <v>Sharjah</v>
      </c>
      <c r="B14830" s="2" t="str">
        <f ca="1">IFERROR(__xludf.DUMMYFUNCTION("""COMPUTED_VALUE"""),"Industrial Area 12")</f>
        <v>Industrial Area 12</v>
      </c>
      <c r="C14830" s="2" t="str">
        <f ca="1">IFERROR(__xludf.DUMMYFUNCTION("""COMPUTED_VALUE"""),"Neighbourhood")</f>
        <v>Neighbourhood</v>
      </c>
      <c r="D14830" s="2" t="str">
        <f ca="1">IFERROR(__xludf.DUMMYFUNCTION("""COMPUTED_VALUE"""),"Sharjah&gt;Industrial Area&gt;Industrial Area 12")</f>
        <v>Sharjah&gt;Industrial Area&gt;Industrial Area 12</v>
      </c>
      <c r="E14830" s="2"/>
      <c r="F14830" s="2"/>
      <c r="G14830" s="2"/>
      <c r="H14830" s="2"/>
      <c r="I14830" s="2"/>
      <c r="J14830" s="2"/>
      <c r="K14830" s="2"/>
      <c r="L14830" s="2"/>
      <c r="M14830" s="2"/>
      <c r="N14830" s="2"/>
      <c r="O14830" s="2"/>
      <c r="P14830" s="2"/>
      <c r="Q14830" s="2"/>
      <c r="R14830" s="2"/>
      <c r="S14830" s="2"/>
      <c r="T14830" s="2"/>
      <c r="U14830" s="2"/>
      <c r="V14830" s="2"/>
      <c r="W14830" s="2"/>
      <c r="X14830" s="2"/>
      <c r="Y14830" s="2"/>
      <c r="Z14830" s="2"/>
    </row>
    <row r="14831" spans="1:26" ht="16.5" x14ac:dyDescent="0.35">
      <c r="A14831" s="2" t="str">
        <f ca="1">IFERROR(__xludf.DUMMYFUNCTION("""COMPUTED_VALUE"""),"Sharjah")</f>
        <v>Sharjah</v>
      </c>
      <c r="B14831" s="2" t="str">
        <f ca="1">IFERROR(__xludf.DUMMYFUNCTION("""COMPUTED_VALUE"""),"SN 4")</f>
        <v>SN 4</v>
      </c>
      <c r="C14831" s="2" t="str">
        <f ca="1">IFERROR(__xludf.DUMMYFUNCTION("""COMPUTED_VALUE"""),"Building")</f>
        <v>Building</v>
      </c>
      <c r="D14831" s="2" t="str">
        <f ca="1">IFERROR(__xludf.DUMMYFUNCTION("""COMPUTED_VALUE"""),"Sharjah&gt;Muwaileh&gt;Al Mamsha&gt;Souks Residential&gt;SN 4")</f>
        <v>Sharjah&gt;Muwaileh&gt;Al Mamsha&gt;Souks Residential&gt;SN 4</v>
      </c>
      <c r="E14831" s="2"/>
      <c r="F14831" s="2"/>
      <c r="G14831" s="2"/>
      <c r="H14831" s="2"/>
      <c r="I14831" s="2"/>
      <c r="J14831" s="2"/>
      <c r="K14831" s="2"/>
      <c r="L14831" s="2"/>
      <c r="M14831" s="2"/>
      <c r="N14831" s="2"/>
      <c r="O14831" s="2"/>
      <c r="P14831" s="2"/>
      <c r="Q14831" s="2"/>
      <c r="R14831" s="2"/>
      <c r="S14831" s="2"/>
      <c r="T14831" s="2"/>
      <c r="U14831" s="2"/>
      <c r="V14831" s="2"/>
      <c r="W14831" s="2"/>
      <c r="X14831" s="2"/>
      <c r="Y14831" s="2"/>
      <c r="Z14831" s="2"/>
    </row>
    <row r="14832" spans="1:26" ht="16.5" x14ac:dyDescent="0.35">
      <c r="A14832" s="2" t="str">
        <f ca="1">IFERROR(__xludf.DUMMYFUNCTION("""COMPUTED_VALUE"""),"Sharjah")</f>
        <v>Sharjah</v>
      </c>
      <c r="B14832" s="2" t="str">
        <f ca="1">IFERROR(__xludf.DUMMYFUNCTION("""COMPUTED_VALUE"""),"Darb 5")</f>
        <v>Darb 5</v>
      </c>
      <c r="C14832" s="2" t="str">
        <f ca="1">IFERROR(__xludf.DUMMYFUNCTION("""COMPUTED_VALUE"""),"Building")</f>
        <v>Building</v>
      </c>
      <c r="D14832" s="2" t="str">
        <f ca="1">IFERROR(__xludf.DUMMYFUNCTION("""COMPUTED_VALUE"""),"Sharjah&gt;Muwaileh&gt;Al Mamsha&gt;Raseel&gt;Darb 5")</f>
        <v>Sharjah&gt;Muwaileh&gt;Al Mamsha&gt;Raseel&gt;Darb 5</v>
      </c>
      <c r="E14832" s="2"/>
      <c r="F14832" s="2"/>
      <c r="G14832" s="2"/>
      <c r="H14832" s="2"/>
      <c r="I14832" s="2"/>
      <c r="J14832" s="2"/>
      <c r="K14832" s="2"/>
      <c r="L14832" s="2"/>
      <c r="M14832" s="2"/>
      <c r="N14832" s="2"/>
      <c r="O14832" s="2"/>
      <c r="P14832" s="2"/>
      <c r="Q14832" s="2"/>
      <c r="R14832" s="2"/>
      <c r="S14832" s="2"/>
      <c r="T14832" s="2"/>
      <c r="U14832" s="2"/>
      <c r="V14832" s="2"/>
      <c r="W14832" s="2"/>
      <c r="X14832" s="2"/>
      <c r="Y14832" s="2"/>
      <c r="Z14832" s="2"/>
    </row>
    <row r="14833" spans="1:26" ht="16.5" x14ac:dyDescent="0.35">
      <c r="A14833" s="2" t="str">
        <f ca="1">IFERROR(__xludf.DUMMYFUNCTION("""COMPUTED_VALUE"""),"Sharjah")</f>
        <v>Sharjah</v>
      </c>
      <c r="B14833" s="2" t="str">
        <f ca="1">IFERROR(__xludf.DUMMYFUNCTION("""COMPUTED_VALUE"""),"Al Narjis")</f>
        <v>Al Narjis</v>
      </c>
      <c r="C14833" s="2" t="str">
        <f ca="1">IFERROR(__xludf.DUMMYFUNCTION("""COMPUTED_VALUE"""),"Neighbourhood")</f>
        <v>Neighbourhood</v>
      </c>
      <c r="D14833" s="2" t="str">
        <f ca="1">IFERROR(__xludf.DUMMYFUNCTION("""COMPUTED_VALUE"""),"Sharjah&gt;Muwaileh&gt;Al Zahia&gt;Al Narjis")</f>
        <v>Sharjah&gt;Muwaileh&gt;Al Zahia&gt;Al Narjis</v>
      </c>
      <c r="E14833" s="2"/>
      <c r="F14833" s="2"/>
      <c r="G14833" s="2"/>
      <c r="H14833" s="2"/>
      <c r="I14833" s="2"/>
      <c r="J14833" s="2"/>
      <c r="K14833" s="2"/>
      <c r="L14833" s="2"/>
      <c r="M14833" s="2"/>
      <c r="N14833" s="2"/>
      <c r="O14833" s="2"/>
      <c r="P14833" s="2"/>
      <c r="Q14833" s="2"/>
      <c r="R14833" s="2"/>
      <c r="S14833" s="2"/>
      <c r="T14833" s="2"/>
      <c r="U14833" s="2"/>
      <c r="V14833" s="2"/>
      <c r="W14833" s="2"/>
      <c r="X14833" s="2"/>
      <c r="Y14833" s="2"/>
      <c r="Z14833" s="2"/>
    </row>
    <row r="14834" spans="1:26" ht="16.5" x14ac:dyDescent="0.35">
      <c r="A14834" s="2" t="str">
        <f ca="1">IFERROR(__xludf.DUMMYFUNCTION("""COMPUTED_VALUE"""),"Sharjah")</f>
        <v>Sharjah</v>
      </c>
      <c r="B14834" s="2" t="str">
        <f ca="1">IFERROR(__xludf.DUMMYFUNCTION("""COMPUTED_VALUE"""),"The Square Two")</f>
        <v>The Square Two</v>
      </c>
      <c r="C14834" s="2"/>
      <c r="D14834" s="2" t="str">
        <f ca="1">IFERROR(__xludf.DUMMYFUNCTION("""COMPUTED_VALUE"""),"Sharjah&gt;Muwaileh Commercial&gt;The Square Two")</f>
        <v>Sharjah&gt;Muwaileh Commercial&gt;The Square Two</v>
      </c>
      <c r="E14834" s="2"/>
      <c r="F14834" s="2"/>
      <c r="G14834" s="2"/>
      <c r="H14834" s="2"/>
      <c r="I14834" s="2"/>
      <c r="J14834" s="2"/>
      <c r="K14834" s="2"/>
      <c r="L14834" s="2"/>
      <c r="M14834" s="2"/>
      <c r="N14834" s="2"/>
      <c r="O14834" s="2"/>
      <c r="P14834" s="2"/>
      <c r="Q14834" s="2"/>
      <c r="R14834" s="2"/>
      <c r="S14834" s="2"/>
      <c r="T14834" s="2"/>
      <c r="U14834" s="2"/>
      <c r="V14834" s="2"/>
      <c r="W14834" s="2"/>
      <c r="X14834" s="2"/>
      <c r="Y14834" s="2"/>
      <c r="Z14834" s="2"/>
    </row>
    <row r="14835" spans="1:26" ht="16.5" x14ac:dyDescent="0.35">
      <c r="A14835" s="2" t="str">
        <f ca="1">IFERROR(__xludf.DUMMYFUNCTION("""COMPUTED_VALUE"""),"Sharjah")</f>
        <v>Sharjah</v>
      </c>
      <c r="B14835" s="2" t="str">
        <f ca="1">IFERROR(__xludf.DUMMYFUNCTION("""COMPUTED_VALUE"""),"3033 Muwaileh Building")</f>
        <v>3033 Muwaileh Building</v>
      </c>
      <c r="C14835" s="2" t="str">
        <f ca="1">IFERROR(__xludf.DUMMYFUNCTION("""COMPUTED_VALUE"""),"Building")</f>
        <v>Building</v>
      </c>
      <c r="D14835" s="2" t="str">
        <f ca="1">IFERROR(__xludf.DUMMYFUNCTION("""COMPUTED_VALUE"""),"Sharjah&gt;Muwaileh Commercial&gt;3033 Muwaileh Building")</f>
        <v>Sharjah&gt;Muwaileh Commercial&gt;3033 Muwaileh Building</v>
      </c>
      <c r="E14835" s="2"/>
      <c r="F14835" s="2"/>
      <c r="G14835" s="2"/>
      <c r="H14835" s="2"/>
      <c r="I14835" s="2"/>
      <c r="J14835" s="2"/>
      <c r="K14835" s="2"/>
      <c r="L14835" s="2"/>
      <c r="M14835" s="2"/>
      <c r="N14835" s="2"/>
      <c r="O14835" s="2"/>
      <c r="P14835" s="2"/>
      <c r="Q14835" s="2"/>
      <c r="R14835" s="2"/>
      <c r="S14835" s="2"/>
      <c r="T14835" s="2"/>
      <c r="U14835" s="2"/>
      <c r="V14835" s="2"/>
      <c r="W14835" s="2"/>
      <c r="X14835" s="2"/>
      <c r="Y14835" s="2"/>
      <c r="Z14835" s="2"/>
    </row>
    <row r="14836" spans="1:26" ht="16.5" x14ac:dyDescent="0.35">
      <c r="A14836" s="2" t="str">
        <f ca="1">IFERROR(__xludf.DUMMYFUNCTION("""COMPUTED_VALUE"""),"Sharjah")</f>
        <v>Sharjah</v>
      </c>
      <c r="B14836" s="2" t="str">
        <f ca="1">IFERROR(__xludf.DUMMYFUNCTION("""COMPUTED_VALUE"""),"Building 1596")</f>
        <v>Building 1596</v>
      </c>
      <c r="C14836" s="2" t="str">
        <f ca="1">IFERROR(__xludf.DUMMYFUNCTION("""COMPUTED_VALUE"""),"Building")</f>
        <v>Building</v>
      </c>
      <c r="D14836" s="2" t="str">
        <f ca="1">IFERROR(__xludf.DUMMYFUNCTION("""COMPUTED_VALUE"""),"Sharjah&gt;Muwaileh Commercial&gt;Building 1596")</f>
        <v>Sharjah&gt;Muwaileh Commercial&gt;Building 1596</v>
      </c>
      <c r="E14836" s="2"/>
      <c r="F14836" s="2"/>
      <c r="G14836" s="2"/>
      <c r="H14836" s="2"/>
      <c r="I14836" s="2"/>
      <c r="J14836" s="2"/>
      <c r="K14836" s="2"/>
      <c r="L14836" s="2"/>
      <c r="M14836" s="2"/>
      <c r="N14836" s="2"/>
      <c r="O14836" s="2"/>
      <c r="P14836" s="2"/>
      <c r="Q14836" s="2"/>
      <c r="R14836" s="2"/>
      <c r="S14836" s="2"/>
      <c r="T14836" s="2"/>
      <c r="U14836" s="2"/>
      <c r="V14836" s="2"/>
      <c r="W14836" s="2"/>
      <c r="X14836" s="2"/>
      <c r="Y14836" s="2"/>
      <c r="Z14836" s="2"/>
    </row>
    <row r="14837" spans="1:26" ht="16.5" x14ac:dyDescent="0.35">
      <c r="A14837" s="2" t="str">
        <f ca="1">IFERROR(__xludf.DUMMYFUNCTION("""COMPUTED_VALUE"""),"Al Ain")</f>
        <v>Al Ain</v>
      </c>
      <c r="B14837" s="2" t="str">
        <f ca="1">IFERROR(__xludf.DUMMYFUNCTION("""COMPUTED_VALUE"""),"Al Ifaz")</f>
        <v>Al Ifaz</v>
      </c>
      <c r="C14837" s="2" t="str">
        <f ca="1">IFERROR(__xludf.DUMMYFUNCTION("""COMPUTED_VALUE"""),"Neighbourhood")</f>
        <v>Neighbourhood</v>
      </c>
      <c r="D14837" s="2" t="str">
        <f ca="1">IFERROR(__xludf.DUMMYFUNCTION("""COMPUTED_VALUE"""),"Al Ain&gt;Al Rawdah Al Sharqiyah&gt;Al Ifaz")</f>
        <v>Al Ain&gt;Al Rawdah Al Sharqiyah&gt;Al Ifaz</v>
      </c>
      <c r="E14837" s="2"/>
      <c r="F14837" s="2"/>
      <c r="G14837" s="2"/>
      <c r="H14837" s="2"/>
      <c r="I14837" s="2"/>
      <c r="J14837" s="2"/>
      <c r="K14837" s="2"/>
      <c r="L14837" s="2"/>
      <c r="M14837" s="2"/>
      <c r="N14837" s="2"/>
      <c r="O14837" s="2"/>
      <c r="P14837" s="2"/>
      <c r="Q14837" s="2"/>
      <c r="R14837" s="2"/>
      <c r="S14837" s="2"/>
      <c r="T14837" s="2"/>
      <c r="U14837" s="2"/>
      <c r="V14837" s="2"/>
      <c r="W14837" s="2"/>
      <c r="X14837" s="2"/>
      <c r="Y14837" s="2"/>
      <c r="Z14837" s="2"/>
    </row>
    <row r="14838" spans="1:26" ht="16.5" x14ac:dyDescent="0.35">
      <c r="A14838" s="2" t="str">
        <f ca="1">IFERROR(__xludf.DUMMYFUNCTION("""COMPUTED_VALUE"""),"Al Ain")</f>
        <v>Al Ain</v>
      </c>
      <c r="B14838" s="2" t="str">
        <f ca="1">IFERROR(__xludf.DUMMYFUNCTION("""COMPUTED_VALUE"""),"Golden Bell Nursery")</f>
        <v>Golden Bell Nursery</v>
      </c>
      <c r="C14838" s="2" t="str">
        <f ca="1">IFERROR(__xludf.DUMMYFUNCTION("""COMPUTED_VALUE"""),"Nursery")</f>
        <v>Nursery</v>
      </c>
      <c r="D14838" s="2" t="str">
        <f ca="1">IFERROR(__xludf.DUMMYFUNCTION("""COMPUTED_VALUE"""),"Al Ain&gt;Central District&gt;Nad Al Rusas&gt;Golden Bell Nursery")</f>
        <v>Al Ain&gt;Central District&gt;Nad Al Rusas&gt;Golden Bell Nursery</v>
      </c>
      <c r="E14838" s="2"/>
      <c r="F14838" s="2"/>
      <c r="G14838" s="2"/>
      <c r="H14838" s="2"/>
      <c r="I14838" s="2"/>
      <c r="J14838" s="2"/>
      <c r="K14838" s="2"/>
      <c r="L14838" s="2"/>
      <c r="M14838" s="2"/>
      <c r="N14838" s="2"/>
      <c r="O14838" s="2"/>
      <c r="P14838" s="2"/>
      <c r="Q14838" s="2"/>
      <c r="R14838" s="2"/>
      <c r="S14838" s="2"/>
      <c r="T14838" s="2"/>
      <c r="U14838" s="2"/>
      <c r="V14838" s="2"/>
      <c r="W14838" s="2"/>
      <c r="X14838" s="2"/>
      <c r="Y14838" s="2"/>
      <c r="Z14838" s="2"/>
    </row>
    <row r="14839" spans="1:26" ht="16.5" x14ac:dyDescent="0.35">
      <c r="A14839" s="2" t="str">
        <f ca="1">IFERROR(__xludf.DUMMYFUNCTION("""COMPUTED_VALUE"""),"Al Ain")</f>
        <v>Al Ain</v>
      </c>
      <c r="B14839" s="2" t="str">
        <f ca="1">IFERROR(__xludf.DUMMYFUNCTION("""COMPUTED_VALUE"""),"Ramlat Zakher")</f>
        <v>Ramlat Zakher</v>
      </c>
      <c r="C14839" s="2" t="str">
        <f ca="1">IFERROR(__xludf.DUMMYFUNCTION("""COMPUTED_VALUE"""),"Neighbourhood")</f>
        <v>Neighbourhood</v>
      </c>
      <c r="D14839" s="2" t="str">
        <f ca="1">IFERROR(__xludf.DUMMYFUNCTION("""COMPUTED_VALUE"""),"Al Ain&gt;Zakhir&gt;Ramlat Zakher")</f>
        <v>Al Ain&gt;Zakhir&gt;Ramlat Zakher</v>
      </c>
      <c r="E14839" s="2"/>
      <c r="F14839" s="2"/>
      <c r="G14839" s="2"/>
      <c r="H14839" s="2"/>
      <c r="I14839" s="2"/>
      <c r="J14839" s="2"/>
      <c r="K14839" s="2"/>
      <c r="L14839" s="2"/>
      <c r="M14839" s="2"/>
      <c r="N14839" s="2"/>
      <c r="O14839" s="2"/>
      <c r="P14839" s="2"/>
      <c r="Q14839" s="2"/>
      <c r="R14839" s="2"/>
      <c r="S14839" s="2"/>
      <c r="T14839" s="2"/>
      <c r="U14839" s="2"/>
      <c r="V14839" s="2"/>
      <c r="W14839" s="2"/>
      <c r="X14839" s="2"/>
      <c r="Y14839" s="2"/>
      <c r="Z14839" s="2"/>
    </row>
    <row r="14840" spans="1:26" ht="16.5" x14ac:dyDescent="0.35">
      <c r="A14840" s="2" t="str">
        <f ca="1">IFERROR(__xludf.DUMMYFUNCTION("""COMPUTED_VALUE"""),"Al Ain")</f>
        <v>Al Ain</v>
      </c>
      <c r="B14840" s="2" t="str">
        <f ca="1">IFERROR(__xludf.DUMMYFUNCTION("""COMPUTED_VALUE"""),"Al Nashaa Al Saleh Private School, Al Ain")</f>
        <v>Al Nashaa Al Saleh Private School, Al Ain</v>
      </c>
      <c r="C14840" s="2" t="str">
        <f ca="1">IFERROR(__xludf.DUMMYFUNCTION("""COMPUTED_VALUE"""),"School")</f>
        <v>School</v>
      </c>
      <c r="D14840" s="2" t="str">
        <f ca="1">IFERROR(__xludf.DUMMYFUNCTION("""COMPUTED_VALUE"""),"Al Ain&gt;Al Tiwayya&gt;Al Nashaa Al Saleh Private School, Al Ain")</f>
        <v>Al Ain&gt;Al Tiwayya&gt;Al Nashaa Al Saleh Private School, Al Ain</v>
      </c>
      <c r="E14840" s="2"/>
      <c r="F14840" s="2"/>
      <c r="G14840" s="2"/>
      <c r="H14840" s="2"/>
      <c r="I14840" s="2"/>
      <c r="J14840" s="2"/>
      <c r="K14840" s="2"/>
      <c r="L14840" s="2"/>
      <c r="M14840" s="2"/>
      <c r="N14840" s="2"/>
      <c r="O14840" s="2"/>
      <c r="P14840" s="2"/>
      <c r="Q14840" s="2"/>
      <c r="R14840" s="2"/>
      <c r="S14840" s="2"/>
      <c r="T14840" s="2"/>
      <c r="U14840" s="2"/>
      <c r="V14840" s="2"/>
      <c r="W14840" s="2"/>
      <c r="X14840" s="2"/>
      <c r="Y14840" s="2"/>
      <c r="Z14840" s="2"/>
    </row>
    <row r="14841" spans="1:26" ht="16.5" x14ac:dyDescent="0.35">
      <c r="A14841" s="2" t="str">
        <f ca="1">IFERROR(__xludf.DUMMYFUNCTION("""COMPUTED_VALUE"""),"Al Ain")</f>
        <v>Al Ain</v>
      </c>
      <c r="B14841" s="2" t="str">
        <f ca="1">IFERROR(__xludf.DUMMYFUNCTION("""COMPUTED_VALUE"""),"Al Mnaizlah")</f>
        <v>Al Mnaizlah</v>
      </c>
      <c r="C14841" s="2" t="str">
        <f ca="1">IFERROR(__xludf.DUMMYFUNCTION("""COMPUTED_VALUE"""),"Neighbourhood")</f>
        <v>Neighbourhood</v>
      </c>
      <c r="D14841" s="2" t="str">
        <f ca="1">IFERROR(__xludf.DUMMYFUNCTION("""COMPUTED_VALUE"""),"Al Ain&gt;Falaj Hazzaa&gt;Al Mnaizlah")</f>
        <v>Al Ain&gt;Falaj Hazzaa&gt;Al Mnaizlah</v>
      </c>
      <c r="E14841" s="2"/>
      <c r="F14841" s="2"/>
      <c r="G14841" s="2"/>
      <c r="H14841" s="2"/>
      <c r="I14841" s="2"/>
      <c r="J14841" s="2"/>
      <c r="K14841" s="2"/>
      <c r="L14841" s="2"/>
      <c r="M14841" s="2"/>
      <c r="N14841" s="2"/>
      <c r="O14841" s="2"/>
      <c r="P14841" s="2"/>
      <c r="Q14841" s="2"/>
      <c r="R14841" s="2"/>
      <c r="S14841" s="2"/>
      <c r="T14841" s="2"/>
      <c r="U14841" s="2"/>
      <c r="V14841" s="2"/>
      <c r="W14841" s="2"/>
      <c r="X14841" s="2"/>
      <c r="Y14841" s="2"/>
      <c r="Z14841" s="2"/>
    </row>
    <row r="14842" spans="1:26" ht="16.5" x14ac:dyDescent="0.35">
      <c r="A14842" s="2" t="str">
        <f ca="1">IFERROR(__xludf.DUMMYFUNCTION("""COMPUTED_VALUE"""),"Al Ain")</f>
        <v>Al Ain</v>
      </c>
      <c r="B14842" s="2" t="str">
        <f ca="1">IFERROR(__xludf.DUMMYFUNCTION("""COMPUTED_VALUE"""),"Al Khaznah")</f>
        <v>Al Khaznah</v>
      </c>
      <c r="C14842" s="2" t="str">
        <f ca="1">IFERROR(__xludf.DUMMYFUNCTION("""COMPUTED_VALUE"""),"Neighbourhood")</f>
        <v>Neighbourhood</v>
      </c>
      <c r="D14842" s="2" t="str">
        <f ca="1">IFERROR(__xludf.DUMMYFUNCTION("""COMPUTED_VALUE"""),"Al Ain&gt;Al Khaznah")</f>
        <v>Al Ain&gt;Al Khaznah</v>
      </c>
      <c r="E14842" s="2"/>
      <c r="F14842" s="2"/>
      <c r="G14842" s="2"/>
      <c r="H14842" s="2"/>
      <c r="I14842" s="2"/>
      <c r="J14842" s="2"/>
      <c r="K14842" s="2"/>
      <c r="L14842" s="2"/>
      <c r="M14842" s="2"/>
      <c r="N14842" s="2"/>
      <c r="O14842" s="2"/>
      <c r="P14842" s="2"/>
      <c r="Q14842" s="2"/>
      <c r="R14842" s="2"/>
      <c r="S14842" s="2"/>
      <c r="T14842" s="2"/>
      <c r="U14842" s="2"/>
      <c r="V14842" s="2"/>
      <c r="W14842" s="2"/>
      <c r="X14842" s="2"/>
      <c r="Y14842" s="2"/>
      <c r="Z14842" s="2"/>
    </row>
    <row r="14843" spans="1:26" ht="16.5" x14ac:dyDescent="0.35">
      <c r="A14843" s="2" t="str">
        <f ca="1">IFERROR(__xludf.DUMMYFUNCTION("""COMPUTED_VALUE"""),"Ras Al Khaimah")</f>
        <v>Ras Al Khaimah</v>
      </c>
      <c r="B14843" s="2" t="str">
        <f ca="1">IFERROR(__xludf.DUMMYFUNCTION("""COMPUTED_VALUE"""),"Flamingo Villas")</f>
        <v>Flamingo Villas</v>
      </c>
      <c r="C14843" s="2"/>
      <c r="D14843" s="2" t="str">
        <f ca="1">IFERROR(__xludf.DUMMYFUNCTION("""COMPUTED_VALUE"""),"Ras Al Khaimah&gt;Mina Al Arab&gt;Flamingo Villas")</f>
        <v>Ras Al Khaimah&gt;Mina Al Arab&gt;Flamingo Villas</v>
      </c>
      <c r="E14843" s="2"/>
      <c r="F14843" s="2"/>
      <c r="G14843" s="2"/>
      <c r="H14843" s="2"/>
      <c r="I14843" s="2"/>
      <c r="J14843" s="2"/>
      <c r="K14843" s="2"/>
      <c r="L14843" s="2"/>
      <c r="M14843" s="2"/>
      <c r="N14843" s="2"/>
      <c r="O14843" s="2"/>
      <c r="P14843" s="2"/>
      <c r="Q14843" s="2"/>
      <c r="R14843" s="2"/>
      <c r="S14843" s="2"/>
      <c r="T14843" s="2"/>
      <c r="U14843" s="2"/>
      <c r="V14843" s="2"/>
      <c r="W14843" s="2"/>
      <c r="X14843" s="2"/>
      <c r="Y14843" s="2"/>
      <c r="Z14843" s="2"/>
    </row>
    <row r="14844" spans="1:26" ht="16.5" x14ac:dyDescent="0.35">
      <c r="A14844" s="2" t="str">
        <f ca="1">IFERROR(__xludf.DUMMYFUNCTION("""COMPUTED_VALUE"""),"Ras Al Khaimah")</f>
        <v>Ras Al Khaimah</v>
      </c>
      <c r="B14844" s="2" t="str">
        <f ca="1">IFERROR(__xludf.DUMMYFUNCTION("""COMPUTED_VALUE"""),"Solera")</f>
        <v>Solera</v>
      </c>
      <c r="C14844" s="2" t="str">
        <f ca="1">IFERROR(__xludf.DUMMYFUNCTION("""COMPUTED_VALUE"""),"Building")</f>
        <v>Building</v>
      </c>
      <c r="D14844" s="2" t="str">
        <f ca="1">IFERROR(__xludf.DUMMYFUNCTION("""COMPUTED_VALUE"""),"Ras Al Khaimah&gt;Mina Al Arab&gt;Solera")</f>
        <v>Ras Al Khaimah&gt;Mina Al Arab&gt;Solera</v>
      </c>
      <c r="E14844" s="2"/>
      <c r="F14844" s="2"/>
      <c r="G14844" s="2"/>
      <c r="H14844" s="2"/>
      <c r="I14844" s="2"/>
      <c r="J14844" s="2"/>
      <c r="K14844" s="2"/>
      <c r="L14844" s="2"/>
      <c r="M14844" s="2"/>
      <c r="N14844" s="2"/>
      <c r="O14844" s="2"/>
      <c r="P14844" s="2"/>
      <c r="Q14844" s="2"/>
      <c r="R14844" s="2"/>
      <c r="S14844" s="2"/>
      <c r="T14844" s="2"/>
      <c r="U14844" s="2"/>
      <c r="V14844" s="2"/>
      <c r="W14844" s="2"/>
      <c r="X14844" s="2"/>
      <c r="Y14844" s="2"/>
      <c r="Z14844" s="2"/>
    </row>
    <row r="14845" spans="1:26" ht="16.5" x14ac:dyDescent="0.35">
      <c r="A14845" s="2" t="str">
        <f ca="1">IFERROR(__xludf.DUMMYFUNCTION("""COMPUTED_VALUE"""),"Ras Al Khaimah")</f>
        <v>Ras Al Khaimah</v>
      </c>
      <c r="B14845" s="2" t="str">
        <f ca="1">IFERROR(__xludf.DUMMYFUNCTION("""COMPUTED_VALUE"""),"The Beach House")</f>
        <v>The Beach House</v>
      </c>
      <c r="C14845" s="2" t="str">
        <f ca="1">IFERROR(__xludf.DUMMYFUNCTION("""COMPUTED_VALUE"""),"Neighbourhood")</f>
        <v>Neighbourhood</v>
      </c>
      <c r="D14845" s="2" t="str">
        <f ca="1">IFERROR(__xludf.DUMMYFUNCTION("""COMPUTED_VALUE"""),"Ras Al Khaimah&gt;Al Marjan Island&gt;The Beach House")</f>
        <v>Ras Al Khaimah&gt;Al Marjan Island&gt;The Beach House</v>
      </c>
      <c r="E14845" s="2"/>
      <c r="F14845" s="2"/>
      <c r="G14845" s="2"/>
      <c r="H14845" s="2"/>
      <c r="I14845" s="2"/>
      <c r="J14845" s="2"/>
      <c r="K14845" s="2"/>
      <c r="L14845" s="2"/>
      <c r="M14845" s="2"/>
      <c r="N14845" s="2"/>
      <c r="O14845" s="2"/>
      <c r="P14845" s="2"/>
      <c r="Q14845" s="2"/>
      <c r="R14845" s="2"/>
      <c r="S14845" s="2"/>
      <c r="T14845" s="2"/>
      <c r="U14845" s="2"/>
      <c r="V14845" s="2"/>
      <c r="W14845" s="2"/>
      <c r="X14845" s="2"/>
      <c r="Y14845" s="2"/>
      <c r="Z14845" s="2"/>
    </row>
    <row r="14846" spans="1:26" ht="16.5" x14ac:dyDescent="0.35">
      <c r="A14846" s="2" t="str">
        <f ca="1">IFERROR(__xludf.DUMMYFUNCTION("""COMPUTED_VALUE"""),"Ras Al Khaimah")</f>
        <v>Ras Al Khaimah</v>
      </c>
      <c r="B14846" s="2" t="str">
        <f ca="1">IFERROR(__xludf.DUMMYFUNCTION("""COMPUTED_VALUE"""),"Aquino by BNW")</f>
        <v>Aquino by BNW</v>
      </c>
      <c r="C14846" s="2" t="str">
        <f ca="1">IFERROR(__xludf.DUMMYFUNCTION("""COMPUTED_VALUE"""),"Building")</f>
        <v>Building</v>
      </c>
      <c r="D14846" s="2" t="str">
        <f ca="1">IFERROR(__xludf.DUMMYFUNCTION("""COMPUTED_VALUE"""),"Ras Al Khaimah&gt;Al Marjan Island&gt;Aquino by BNW")</f>
        <v>Ras Al Khaimah&gt;Al Marjan Island&gt;Aquino by BNW</v>
      </c>
      <c r="E14846" s="2"/>
      <c r="F14846" s="2"/>
      <c r="G14846" s="2"/>
      <c r="H14846" s="2"/>
      <c r="I14846" s="2"/>
      <c r="J14846" s="2"/>
      <c r="K14846" s="2"/>
      <c r="L14846" s="2"/>
      <c r="M14846" s="2"/>
      <c r="N14846" s="2"/>
      <c r="O14846" s="2"/>
      <c r="P14846" s="2"/>
      <c r="Q14846" s="2"/>
      <c r="R14846" s="2"/>
      <c r="S14846" s="2"/>
      <c r="T14846" s="2"/>
      <c r="U14846" s="2"/>
      <c r="V14846" s="2"/>
      <c r="W14846" s="2"/>
      <c r="X14846" s="2"/>
      <c r="Y14846" s="2"/>
      <c r="Z14846" s="2"/>
    </row>
    <row r="14847" spans="1:26" ht="16.5" x14ac:dyDescent="0.35">
      <c r="A14847" s="2" t="str">
        <f ca="1">IFERROR(__xludf.DUMMYFUNCTION("""COMPUTED_VALUE"""),"Ras Al Khaimah")</f>
        <v>Ras Al Khaimah</v>
      </c>
      <c r="B14847" s="2" t="str">
        <f ca="1">IFERROR(__xludf.DUMMYFUNCTION("""COMPUTED_VALUE"""),"Royal Breeze 2")</f>
        <v>Royal Breeze 2</v>
      </c>
      <c r="C14847" s="2" t="str">
        <f ca="1">IFERROR(__xludf.DUMMYFUNCTION("""COMPUTED_VALUE"""),"Building")</f>
        <v>Building</v>
      </c>
      <c r="D14847" s="2" t="str">
        <f ca="1">IFERROR(__xludf.DUMMYFUNCTION("""COMPUTED_VALUE"""),"Ras Al Khaimah&gt;Al Hamra Village&gt;Royal Breeze Apartment&gt;Royal Breeze 2")</f>
        <v>Ras Al Khaimah&gt;Al Hamra Village&gt;Royal Breeze Apartment&gt;Royal Breeze 2</v>
      </c>
      <c r="E14847" s="2"/>
      <c r="F14847" s="2"/>
      <c r="G14847" s="2"/>
      <c r="H14847" s="2"/>
      <c r="I14847" s="2"/>
      <c r="J14847" s="2"/>
      <c r="K14847" s="2"/>
      <c r="L14847" s="2"/>
      <c r="M14847" s="2"/>
      <c r="N14847" s="2"/>
      <c r="O14847" s="2"/>
      <c r="P14847" s="2"/>
      <c r="Q14847" s="2"/>
      <c r="R14847" s="2"/>
      <c r="S14847" s="2"/>
      <c r="T14847" s="2"/>
      <c r="U14847" s="2"/>
      <c r="V14847" s="2"/>
      <c r="W14847" s="2"/>
      <c r="X14847" s="2"/>
      <c r="Y14847" s="2"/>
      <c r="Z14847" s="2"/>
    </row>
    <row r="14848" spans="1:26" ht="16.5" x14ac:dyDescent="0.35">
      <c r="A14848" s="2" t="str">
        <f ca="1">IFERROR(__xludf.DUMMYFUNCTION("""COMPUTED_VALUE"""),"Ras Al Khaimah")</f>
        <v>Ras Al Khaimah</v>
      </c>
      <c r="B14848" s="2" t="str">
        <f ca="1">IFERROR(__xludf.DUMMYFUNCTION("""COMPUTED_VALUE"""),"Yasmin Village Building 6")</f>
        <v>Yasmin Village Building 6</v>
      </c>
      <c r="C14848" s="2" t="str">
        <f ca="1">IFERROR(__xludf.DUMMYFUNCTION("""COMPUTED_VALUE"""),"Building")</f>
        <v>Building</v>
      </c>
      <c r="D14848" s="2" t="str">
        <f ca="1">IFERROR(__xludf.DUMMYFUNCTION("""COMPUTED_VALUE"""),"Ras Al Khaimah&gt;Yasmin Village&gt;Yasmin Village Building 6")</f>
        <v>Ras Al Khaimah&gt;Yasmin Village&gt;Yasmin Village Building 6</v>
      </c>
      <c r="E14848" s="2"/>
      <c r="F14848" s="2"/>
      <c r="G14848" s="2"/>
      <c r="H14848" s="2"/>
      <c r="I14848" s="2"/>
      <c r="J14848" s="2"/>
      <c r="K14848" s="2"/>
      <c r="L14848" s="2"/>
      <c r="M14848" s="2"/>
      <c r="N14848" s="2"/>
      <c r="O14848" s="2"/>
      <c r="P14848" s="2"/>
      <c r="Q14848" s="2"/>
      <c r="R14848" s="2"/>
      <c r="S14848" s="2"/>
      <c r="T14848" s="2"/>
      <c r="U14848" s="2"/>
      <c r="V14848" s="2"/>
      <c r="W14848" s="2"/>
      <c r="X14848" s="2"/>
      <c r="Y14848" s="2"/>
      <c r="Z14848" s="2"/>
    </row>
    <row r="14849" spans="1:26" ht="16.5" x14ac:dyDescent="0.35">
      <c r="A14849" s="2" t="str">
        <f ca="1">IFERROR(__xludf.DUMMYFUNCTION("""COMPUTED_VALUE"""),"Ras Al Khaimah")</f>
        <v>Ras Al Khaimah</v>
      </c>
      <c r="B14849" s="2" t="str">
        <f ca="1">IFERROR(__xludf.DUMMYFUNCTION("""COMPUTED_VALUE"""),"Al Mamourah")</f>
        <v>Al Mamourah</v>
      </c>
      <c r="C14849" s="2" t="str">
        <f ca="1">IFERROR(__xludf.DUMMYFUNCTION("""COMPUTED_VALUE"""),"Neighbourhood")</f>
        <v>Neighbourhood</v>
      </c>
      <c r="D14849" s="2" t="str">
        <f ca="1">IFERROR(__xludf.DUMMYFUNCTION("""COMPUTED_VALUE"""),"Ras Al Khaimah&gt;Al Mamourah")</f>
        <v>Ras Al Khaimah&gt;Al Mamourah</v>
      </c>
      <c r="E14849" s="2"/>
      <c r="F14849" s="2"/>
      <c r="G14849" s="2"/>
      <c r="H14849" s="2"/>
      <c r="I14849" s="2"/>
      <c r="J14849" s="2"/>
      <c r="K14849" s="2"/>
      <c r="L14849" s="2"/>
      <c r="M14849" s="2"/>
      <c r="N14849" s="2"/>
      <c r="O14849" s="2"/>
      <c r="P14849" s="2"/>
      <c r="Q14849" s="2"/>
      <c r="R14849" s="2"/>
      <c r="S14849" s="2"/>
      <c r="T14849" s="2"/>
      <c r="U14849" s="2"/>
      <c r="V14849" s="2"/>
      <c r="W14849" s="2"/>
      <c r="X14849" s="2"/>
      <c r="Y14849" s="2"/>
      <c r="Z14849" s="2"/>
    </row>
    <row r="14850" spans="1:26" ht="16.5" x14ac:dyDescent="0.35">
      <c r="A14850" s="2" t="str">
        <f ca="1">IFERROR(__xludf.DUMMYFUNCTION("""COMPUTED_VALUE"""),"Ras Al Khaimah")</f>
        <v>Ras Al Khaimah</v>
      </c>
      <c r="B14850" s="2" t="str">
        <f ca="1">IFERROR(__xludf.DUMMYFUNCTION("""COMPUTED_VALUE"""),"The Concord Building")</f>
        <v>The Concord Building</v>
      </c>
      <c r="C14850" s="2" t="str">
        <f ca="1">IFERROR(__xludf.DUMMYFUNCTION("""COMPUTED_VALUE"""),"Building")</f>
        <v>Building</v>
      </c>
      <c r="D14850" s="2" t="str">
        <f ca="1">IFERROR(__xludf.DUMMYFUNCTION("""COMPUTED_VALUE"""),"Ras Al Khaimah&gt;Al Mairid&gt;The Concord Building")</f>
        <v>Ras Al Khaimah&gt;Al Mairid&gt;The Concord Building</v>
      </c>
      <c r="E14850" s="2"/>
      <c r="F14850" s="2"/>
      <c r="G14850" s="2"/>
      <c r="H14850" s="2"/>
      <c r="I14850" s="2"/>
      <c r="J14850" s="2"/>
      <c r="K14850" s="2"/>
      <c r="L14850" s="2"/>
      <c r="M14850" s="2"/>
      <c r="N14850" s="2"/>
      <c r="O14850" s="2"/>
      <c r="P14850" s="2"/>
      <c r="Q14850" s="2"/>
      <c r="R14850" s="2"/>
      <c r="S14850" s="2"/>
      <c r="T14850" s="2"/>
      <c r="U14850" s="2"/>
      <c r="V14850" s="2"/>
      <c r="W14850" s="2"/>
      <c r="X14850" s="2"/>
      <c r="Y14850" s="2"/>
      <c r="Z14850" s="2"/>
    </row>
    <row r="14851" spans="1:26" ht="16.5" x14ac:dyDescent="0.35">
      <c r="A14851" s="2" t="str">
        <f ca="1">IFERROR(__xludf.DUMMYFUNCTION("""COMPUTED_VALUE"""),"Ras Al Khaimah")</f>
        <v>Ras Al Khaimah</v>
      </c>
      <c r="B14851" s="2" t="str">
        <f ca="1">IFERROR(__xludf.DUMMYFUNCTION("""COMPUTED_VALUE"""),"Seih Al Harf")</f>
        <v>Seih Al Harf</v>
      </c>
      <c r="C14851" s="2"/>
      <c r="D14851" s="2" t="str">
        <f ca="1">IFERROR(__xludf.DUMMYFUNCTION("""COMPUTED_VALUE"""),"Ras Al Khaimah&gt;Seih Al Harf")</f>
        <v>Ras Al Khaimah&gt;Seih Al Harf</v>
      </c>
      <c r="E14851" s="2"/>
      <c r="F14851" s="2"/>
      <c r="G14851" s="2"/>
      <c r="H14851" s="2"/>
      <c r="I14851" s="2"/>
      <c r="J14851" s="2"/>
      <c r="K14851" s="2"/>
      <c r="L14851" s="2"/>
      <c r="M14851" s="2"/>
      <c r="N14851" s="2"/>
      <c r="O14851" s="2"/>
      <c r="P14851" s="2"/>
      <c r="Q14851" s="2"/>
      <c r="R14851" s="2"/>
      <c r="S14851" s="2"/>
      <c r="T14851" s="2"/>
      <c r="U14851" s="2"/>
      <c r="V14851" s="2"/>
      <c r="W14851" s="2"/>
      <c r="X14851" s="2"/>
      <c r="Y14851" s="2"/>
      <c r="Z14851" s="2"/>
    </row>
    <row r="14852" spans="1:26" ht="16.5" x14ac:dyDescent="0.35">
      <c r="A14852" s="2" t="str">
        <f ca="1">IFERROR(__xludf.DUMMYFUNCTION("""COMPUTED_VALUE"""),"Umm Al Quwain")</f>
        <v>Umm Al Quwain</v>
      </c>
      <c r="B14852" s="2" t="str">
        <f ca="1">IFERROR(__xludf.DUMMYFUNCTION("""COMPUTED_VALUE"""),"King Faisal Street")</f>
        <v>King Faisal Street</v>
      </c>
      <c r="C14852" s="2"/>
      <c r="D14852" s="2" t="str">
        <f ca="1">IFERROR(__xludf.DUMMYFUNCTION("""COMPUTED_VALUE"""),"Umm Al Quwain&gt;King Faisal Street")</f>
        <v>Umm Al Quwain&gt;King Faisal Street</v>
      </c>
      <c r="E14852" s="2"/>
      <c r="F14852" s="2"/>
      <c r="G14852" s="2"/>
      <c r="H14852" s="2"/>
      <c r="I14852" s="2"/>
      <c r="J14852" s="2"/>
      <c r="K14852" s="2"/>
      <c r="L14852" s="2"/>
      <c r="M14852" s="2"/>
      <c r="N14852" s="2"/>
      <c r="O14852" s="2"/>
      <c r="P14852" s="2"/>
      <c r="Q14852" s="2"/>
      <c r="R14852" s="2"/>
      <c r="S14852" s="2"/>
      <c r="T14852" s="2"/>
      <c r="U14852" s="2"/>
      <c r="V14852" s="2"/>
      <c r="W14852" s="2"/>
      <c r="X14852" s="2"/>
      <c r="Y14852" s="2"/>
      <c r="Z14852" s="2"/>
    </row>
    <row r="14853" spans="1:26" ht="16.5" x14ac:dyDescent="0.35">
      <c r="A14853" s="2" t="str">
        <f ca="1">IFERROR(__xludf.DUMMYFUNCTION("""COMPUTED_VALUE"""),"Umm Al Quwain")</f>
        <v>Umm Al Quwain</v>
      </c>
      <c r="B14853" s="2" t="str">
        <f ca="1">IFERROR(__xludf.DUMMYFUNCTION("""COMPUTED_VALUE"""),"Al Ramlah A")</f>
        <v>Al Ramlah A</v>
      </c>
      <c r="C14853" s="2"/>
      <c r="D14853" s="2" t="str">
        <f ca="1">IFERROR(__xludf.DUMMYFUNCTION("""COMPUTED_VALUE"""),"Umm Al Quwain&gt;Al Ramlah&gt;Al Ramlah A")</f>
        <v>Umm Al Quwain&gt;Al Ramlah&gt;Al Ramlah A</v>
      </c>
      <c r="E14853" s="2"/>
      <c r="F14853" s="2"/>
      <c r="G14853" s="2"/>
      <c r="H14853" s="2"/>
      <c r="I14853" s="2"/>
      <c r="J14853" s="2"/>
      <c r="K14853" s="2"/>
      <c r="L14853" s="2"/>
      <c r="M14853" s="2"/>
      <c r="N14853" s="2"/>
      <c r="O14853" s="2"/>
      <c r="P14853" s="2"/>
      <c r="Q14853" s="2"/>
      <c r="R14853" s="2"/>
      <c r="S14853" s="2"/>
      <c r="T14853" s="2"/>
      <c r="U14853" s="2"/>
      <c r="V14853" s="2"/>
      <c r="W14853" s="2"/>
      <c r="X14853" s="2"/>
      <c r="Y14853" s="2"/>
      <c r="Z14853" s="2"/>
    </row>
    <row r="14854" spans="1:26" ht="16.5" x14ac:dyDescent="0.35">
      <c r="A14854" s="2" t="str">
        <f ca="1">IFERROR(__xludf.DUMMYFUNCTION("""COMPUTED_VALUE"""),"Umm Al Quwain")</f>
        <v>Umm Al Quwain</v>
      </c>
      <c r="B14854" s="2" t="str">
        <f ca="1">IFERROR(__xludf.DUMMYFUNCTION("""COMPUTED_VALUE"""),"Delphine Beach Residences")</f>
        <v>Delphine Beach Residences</v>
      </c>
      <c r="C14854" s="2" t="str">
        <f ca="1">IFERROR(__xludf.DUMMYFUNCTION("""COMPUTED_VALUE"""),"Cluster")</f>
        <v>Cluster</v>
      </c>
      <c r="D14854" s="2" t="str">
        <f ca="1">IFERROR(__xludf.DUMMYFUNCTION("""COMPUTED_VALUE"""),"Umm Al Quwain&gt;Al Seanneeah&gt;Sobha Siniya Island&gt;Delphine Beach Residences")</f>
        <v>Umm Al Quwain&gt;Al Seanneeah&gt;Sobha Siniya Island&gt;Delphine Beach Residences</v>
      </c>
      <c r="E14854" s="2"/>
      <c r="F14854" s="2"/>
      <c r="G14854" s="2"/>
      <c r="H14854" s="2"/>
      <c r="I14854" s="2"/>
      <c r="J14854" s="2"/>
      <c r="K14854" s="2"/>
      <c r="L14854" s="2"/>
      <c r="M14854" s="2"/>
      <c r="N14854" s="2"/>
      <c r="O14854" s="2"/>
      <c r="P14854" s="2"/>
      <c r="Q14854" s="2"/>
      <c r="R14854" s="2"/>
      <c r="S14854" s="2"/>
      <c r="T14854" s="2"/>
      <c r="U14854" s="2"/>
      <c r="V14854" s="2"/>
      <c r="W14854" s="2"/>
      <c r="X14854" s="2"/>
      <c r="Y14854" s="2"/>
      <c r="Z14854" s="2"/>
    </row>
    <row r="14855" spans="1:26" ht="16.5" x14ac:dyDescent="0.35">
      <c r="A14855" s="2" t="str">
        <f ca="1">IFERROR(__xludf.DUMMYFUNCTION("""COMPUTED_VALUE"""),"Umm Al Quwain")</f>
        <v>Umm Al Quwain</v>
      </c>
      <c r="B14855" s="2" t="str">
        <f ca="1">IFERROR(__xludf.DUMMYFUNCTION("""COMPUTED_VALUE"""),"Starline Beach Residences Building 3")</f>
        <v>Starline Beach Residences Building 3</v>
      </c>
      <c r="C14855" s="2" t="str">
        <f ca="1">IFERROR(__xludf.DUMMYFUNCTION("""COMPUTED_VALUE"""),"Building")</f>
        <v>Building</v>
      </c>
      <c r="D14855" s="2" t="str">
        <f ca="1">IFERROR(__xludf.DUMMYFUNCTION("""COMPUTED_VALUE"""),"Umm Al Quwain&gt;Al Seanneeah&gt;Sobha Siniya Island&gt;Starline Beach Residences&gt;Starline Beach Residences Building 3")</f>
        <v>Umm Al Quwain&gt;Al Seanneeah&gt;Sobha Siniya Island&gt;Starline Beach Residences&gt;Starline Beach Residences Building 3</v>
      </c>
      <c r="E14855" s="2"/>
      <c r="F14855" s="2"/>
      <c r="G14855" s="2"/>
      <c r="H14855" s="2"/>
      <c r="I14855" s="2"/>
      <c r="J14855" s="2"/>
      <c r="K14855" s="2"/>
      <c r="L14855" s="2"/>
      <c r="M14855" s="2"/>
      <c r="N14855" s="2"/>
      <c r="O14855" s="2"/>
      <c r="P14855" s="2"/>
      <c r="Q14855" s="2"/>
      <c r="R14855" s="2"/>
      <c r="S14855" s="2"/>
      <c r="T14855" s="2"/>
      <c r="U14855" s="2"/>
      <c r="V14855" s="2"/>
      <c r="W14855" s="2"/>
      <c r="X14855" s="2"/>
      <c r="Y14855" s="2"/>
      <c r="Z14855" s="2"/>
    </row>
    <row r="14856" spans="1:26" ht="16.5" x14ac:dyDescent="0.35">
      <c r="A14856" s="2" t="str">
        <f ca="1">IFERROR(__xludf.DUMMYFUNCTION("""COMPUTED_VALUE"""),"Fujairah")</f>
        <v>Fujairah</v>
      </c>
      <c r="B14856" s="2" t="str">
        <f ca="1">IFERROR(__xludf.DUMMYFUNCTION("""COMPUTED_VALUE"""),"Mina Al Fajer (Solarium Villas)")</f>
        <v>Mina Al Fajer (Solarium Villas)</v>
      </c>
      <c r="C14856" s="2"/>
      <c r="D14856" s="2" t="str">
        <f ca="1">IFERROR(__xludf.DUMMYFUNCTION("""COMPUTED_VALUE"""),"Fujairah&gt;Mina Al Fajer&gt;Mina Al Fajer (Solarium Villas)")</f>
        <v>Fujairah&gt;Mina Al Fajer&gt;Mina Al Fajer (Solarium Villas)</v>
      </c>
      <c r="E14856" s="2"/>
      <c r="F14856" s="2"/>
      <c r="G14856" s="2"/>
      <c r="H14856" s="2"/>
      <c r="I14856" s="2"/>
      <c r="J14856" s="2"/>
      <c r="K14856" s="2"/>
      <c r="L14856" s="2"/>
      <c r="M14856" s="2"/>
      <c r="N14856" s="2"/>
      <c r="O14856" s="2"/>
      <c r="P14856" s="2"/>
      <c r="Q14856" s="2"/>
      <c r="R14856" s="2"/>
      <c r="S14856" s="2"/>
      <c r="T14856" s="2"/>
      <c r="U14856" s="2"/>
      <c r="V14856" s="2"/>
      <c r="W14856" s="2"/>
      <c r="X14856" s="2"/>
      <c r="Y14856" s="2"/>
      <c r="Z14856" s="2"/>
    </row>
    <row r="14857" spans="1:26" ht="16.5" x14ac:dyDescent="0.35">
      <c r="A14857" s="2" t="str">
        <f ca="1">IFERROR(__xludf.DUMMYFUNCTION("""COMPUTED_VALUE"""),"Fujairah")</f>
        <v>Fujairah</v>
      </c>
      <c r="B14857" s="2" t="str">
        <f ca="1">IFERROR(__xludf.DUMMYFUNCTION("""COMPUTED_VALUE"""),"Mattar Residence 3")</f>
        <v>Mattar Residence 3</v>
      </c>
      <c r="C14857" s="2" t="str">
        <f ca="1">IFERROR(__xludf.DUMMYFUNCTION("""COMPUTED_VALUE"""),"Building")</f>
        <v>Building</v>
      </c>
      <c r="D14857" s="2" t="str">
        <f ca="1">IFERROR(__xludf.DUMMYFUNCTION("""COMPUTED_VALUE"""),"Fujairah&gt;Al Faseel Area&gt;Mattar Residence 3")</f>
        <v>Fujairah&gt;Al Faseel Area&gt;Mattar Residence 3</v>
      </c>
      <c r="E14857" s="2"/>
      <c r="F14857" s="2"/>
      <c r="G14857" s="2"/>
      <c r="H14857" s="2"/>
      <c r="I14857" s="2"/>
      <c r="J14857" s="2"/>
      <c r="K14857" s="2"/>
      <c r="L14857" s="2"/>
      <c r="M14857" s="2"/>
      <c r="N14857" s="2"/>
      <c r="O14857" s="2"/>
      <c r="P14857" s="2"/>
      <c r="Q14857" s="2"/>
      <c r="R14857" s="2"/>
      <c r="S14857" s="2"/>
      <c r="T14857" s="2"/>
      <c r="U14857" s="2"/>
      <c r="V14857" s="2"/>
      <c r="W14857" s="2"/>
      <c r="X14857" s="2"/>
      <c r="Y14857" s="2"/>
      <c r="Z14857" s="2"/>
    </row>
    <row r="14858" spans="1:26" ht="16.5" x14ac:dyDescent="0.35">
      <c r="A14858" s="2" t="str">
        <f ca="1">IFERROR(__xludf.DUMMYFUNCTION("""COMPUTED_VALUE"""),"Fujairah")</f>
        <v>Fujairah</v>
      </c>
      <c r="B14858" s="2" t="str">
        <f ca="1">IFERROR(__xludf.DUMMYFUNCTION("""COMPUTED_VALUE"""),"The Uptown Hotel Apartments")</f>
        <v>The Uptown Hotel Apartments</v>
      </c>
      <c r="C14858" s="2" t="str">
        <f ca="1">IFERROR(__xludf.DUMMYFUNCTION("""COMPUTED_VALUE"""),"Building")</f>
        <v>Building</v>
      </c>
      <c r="D14858" s="2" t="str">
        <f ca="1">IFERROR(__xludf.DUMMYFUNCTION("""COMPUTED_VALUE"""),"Fujairah&gt;Al Hilal City&gt;The Uptown Hotel Apartments")</f>
        <v>Fujairah&gt;Al Hilal City&gt;The Uptown Hotel Apartments</v>
      </c>
      <c r="E14858" s="2"/>
      <c r="F14858" s="2"/>
      <c r="G14858" s="2"/>
      <c r="H14858" s="2"/>
      <c r="I14858" s="2"/>
      <c r="J14858" s="2"/>
      <c r="K14858" s="2"/>
      <c r="L14858" s="2"/>
      <c r="M14858" s="2"/>
      <c r="N14858" s="2"/>
      <c r="O14858" s="2"/>
      <c r="P14858" s="2"/>
      <c r="Q14858" s="2"/>
      <c r="R14858" s="2"/>
      <c r="S14858" s="2"/>
      <c r="T14858" s="2"/>
      <c r="U14858" s="2"/>
      <c r="V14858" s="2"/>
      <c r="W14858" s="2"/>
      <c r="X14858" s="2"/>
      <c r="Y14858" s="2"/>
      <c r="Z14858" s="2"/>
    </row>
    <row r="14859" spans="1:26" ht="16.5" x14ac:dyDescent="0.35">
      <c r="A14859" s="2" t="str">
        <f ca="1">IFERROR(__xludf.DUMMYFUNCTION("""COMPUTED_VALUE"""),"Dubai")</f>
        <v>Dubai</v>
      </c>
      <c r="B14859" s="2" t="str">
        <f ca="1">IFERROR(__xludf.DUMMYFUNCTION("""COMPUTED_VALUE"""),"Cluster 50")</f>
        <v>Cluster 50</v>
      </c>
      <c r="C14859" s="2" t="str">
        <f ca="1">IFERROR(__xludf.DUMMYFUNCTION("""COMPUTED_VALUE"""),"Neighbourhood")</f>
        <v>Neighbourhood</v>
      </c>
      <c r="D14859" s="2" t="str">
        <f ca="1">IFERROR(__xludf.DUMMYFUNCTION("""COMPUTED_VALUE"""),"Dubai&gt;Jumeirah Islands&gt;Cluster 50")</f>
        <v>Dubai&gt;Jumeirah Islands&gt;Cluster 50</v>
      </c>
      <c r="E14859" s="2"/>
      <c r="F14859" s="2"/>
      <c r="G14859" s="2"/>
      <c r="H14859" s="2"/>
      <c r="I14859" s="2"/>
      <c r="J14859" s="2"/>
      <c r="K14859" s="2"/>
      <c r="L14859" s="2"/>
      <c r="M14859" s="2"/>
      <c r="N14859" s="2"/>
      <c r="O14859" s="2"/>
      <c r="P14859" s="2"/>
      <c r="Q14859" s="2"/>
      <c r="R14859" s="2"/>
      <c r="S14859" s="2"/>
      <c r="T14859" s="2"/>
      <c r="U14859" s="2"/>
      <c r="V14859" s="2"/>
      <c r="W14859" s="2"/>
      <c r="X14859" s="2"/>
      <c r="Y14859" s="2"/>
      <c r="Z14859" s="2"/>
    </row>
    <row r="14860" spans="1:26" ht="16.5" x14ac:dyDescent="0.35">
      <c r="A14860" s="2" t="str">
        <f ca="1">IFERROR(__xludf.DUMMYFUNCTION("""COMPUTED_VALUE"""),"Dubai")</f>
        <v>Dubai</v>
      </c>
      <c r="B14860" s="2" t="str">
        <f ca="1">IFERROR(__xludf.DUMMYFUNCTION("""COMPUTED_VALUE"""),"Al Narah Apartments")</f>
        <v>Al Narah Apartments</v>
      </c>
      <c r="C14860" s="2" t="str">
        <f ca="1">IFERROR(__xludf.DUMMYFUNCTION("""COMPUTED_VALUE"""),"Cluster")</f>
        <v>Cluster</v>
      </c>
      <c r="D14860" s="2" t="str">
        <f ca="1">IFERROR(__xludf.DUMMYFUNCTION("""COMPUTED_VALUE"""),"Dubai&gt;Green Community&gt;Al Narah Apartments")</f>
        <v>Dubai&gt;Green Community&gt;Al Narah Apartments</v>
      </c>
      <c r="E14860" s="2"/>
      <c r="F14860" s="2"/>
      <c r="G14860" s="2"/>
      <c r="H14860" s="2"/>
      <c r="I14860" s="2"/>
      <c r="J14860" s="2"/>
      <c r="K14860" s="2"/>
      <c r="L14860" s="2"/>
      <c r="M14860" s="2"/>
      <c r="N14860" s="2"/>
      <c r="O14860" s="2"/>
      <c r="P14860" s="2"/>
      <c r="Q14860" s="2"/>
      <c r="R14860" s="2"/>
      <c r="S14860" s="2"/>
      <c r="T14860" s="2"/>
      <c r="U14860" s="2"/>
      <c r="V14860" s="2"/>
      <c r="W14860" s="2"/>
      <c r="X14860" s="2"/>
      <c r="Y14860" s="2"/>
      <c r="Z14860" s="2"/>
    </row>
    <row r="14861" spans="1:26" ht="16.5" x14ac:dyDescent="0.35">
      <c r="A14861" s="2" t="str">
        <f ca="1">IFERROR(__xludf.DUMMYFUNCTION("""COMPUTED_VALUE"""),"Dubai")</f>
        <v>Dubai</v>
      </c>
      <c r="B14861" s="2" t="str">
        <f ca="1">IFERROR(__xludf.DUMMYFUNCTION("""COMPUTED_VALUE"""),"Southwest Apartments 8")</f>
        <v>Southwest Apartments 8</v>
      </c>
      <c r="C14861" s="2" t="str">
        <f ca="1">IFERROR(__xludf.DUMMYFUNCTION("""COMPUTED_VALUE"""),"Building")</f>
        <v>Building</v>
      </c>
      <c r="D14861" s="2" t="str">
        <f ca="1">IFERROR(__xludf.DUMMYFUNCTION("""COMPUTED_VALUE"""),"Dubai&gt;Green Community&gt;Green Community West&gt;Southwest Apartments&gt;Southwest Apartments 8")</f>
        <v>Dubai&gt;Green Community&gt;Green Community West&gt;Southwest Apartments&gt;Southwest Apartments 8</v>
      </c>
      <c r="E14861" s="2"/>
      <c r="F14861" s="2"/>
      <c r="G14861" s="2"/>
      <c r="H14861" s="2"/>
      <c r="I14861" s="2"/>
      <c r="J14861" s="2"/>
      <c r="K14861" s="2"/>
      <c r="L14861" s="2"/>
      <c r="M14861" s="2"/>
      <c r="N14861" s="2"/>
      <c r="O14861" s="2"/>
      <c r="P14861" s="2"/>
      <c r="Q14861" s="2"/>
      <c r="R14861" s="2"/>
      <c r="S14861" s="2"/>
      <c r="T14861" s="2"/>
      <c r="U14861" s="2"/>
      <c r="V14861" s="2"/>
      <c r="W14861" s="2"/>
      <c r="X14861" s="2"/>
      <c r="Y14861" s="2"/>
      <c r="Z14861" s="2"/>
    </row>
    <row r="14862" spans="1:26" ht="16.5" x14ac:dyDescent="0.35">
      <c r="A14862" s="2" t="str">
        <f ca="1">IFERROR(__xludf.DUMMYFUNCTION("""COMPUTED_VALUE"""),"Dubai")</f>
        <v>Dubai</v>
      </c>
      <c r="B14862" s="2" t="str">
        <f ca="1">IFERROR(__xludf.DUMMYFUNCTION("""COMPUTED_VALUE"""),"Elite Sports Residence 3")</f>
        <v>Elite Sports Residence 3</v>
      </c>
      <c r="C14862" s="2" t="str">
        <f ca="1">IFERROR(__xludf.DUMMYFUNCTION("""COMPUTED_VALUE"""),"Building")</f>
        <v>Building</v>
      </c>
      <c r="D14862" s="2" t="str">
        <f ca="1">IFERROR(__xludf.DUMMYFUNCTION("""COMPUTED_VALUE"""),"Dubai&gt;Dubai Sports City&gt;Elite Sports Residence&gt;Elite Sports Residence 3")</f>
        <v>Dubai&gt;Dubai Sports City&gt;Elite Sports Residence&gt;Elite Sports Residence 3</v>
      </c>
      <c r="E14862" s="2"/>
      <c r="F14862" s="2"/>
      <c r="G14862" s="2"/>
      <c r="H14862" s="2"/>
      <c r="I14862" s="2"/>
      <c r="J14862" s="2"/>
      <c r="K14862" s="2"/>
      <c r="L14862" s="2"/>
      <c r="M14862" s="2"/>
      <c r="N14862" s="2"/>
      <c r="O14862" s="2"/>
      <c r="P14862" s="2"/>
      <c r="Q14862" s="2"/>
      <c r="R14862" s="2"/>
      <c r="S14862" s="2"/>
      <c r="T14862" s="2"/>
      <c r="U14862" s="2"/>
      <c r="V14862" s="2"/>
      <c r="W14862" s="2"/>
      <c r="X14862" s="2"/>
      <c r="Y14862" s="2"/>
      <c r="Z14862" s="2"/>
    </row>
    <row r="14863" spans="1:26" ht="16.5" x14ac:dyDescent="0.35">
      <c r="A14863" s="2" t="str">
        <f ca="1">IFERROR(__xludf.DUMMYFUNCTION("""COMPUTED_VALUE"""),"Dubai")</f>
        <v>Dubai</v>
      </c>
      <c r="B14863" s="2" t="str">
        <f ca="1">IFERROR(__xludf.DUMMYFUNCTION("""COMPUTED_VALUE"""),"Venetian")</f>
        <v>Venetian</v>
      </c>
      <c r="C14863" s="2" t="str">
        <f ca="1">IFERROR(__xludf.DUMMYFUNCTION("""COMPUTED_VALUE"""),"Building")</f>
        <v>Building</v>
      </c>
      <c r="D14863" s="2" t="str">
        <f ca="1">IFERROR(__xludf.DUMMYFUNCTION("""COMPUTED_VALUE"""),"Dubai&gt;Dubai Sports City&gt;Canal Residence West&gt;Venetian")</f>
        <v>Dubai&gt;Dubai Sports City&gt;Canal Residence West&gt;Venetian</v>
      </c>
      <c r="E14863" s="2"/>
      <c r="F14863" s="2"/>
      <c r="G14863" s="2"/>
      <c r="H14863" s="2"/>
      <c r="I14863" s="2"/>
      <c r="J14863" s="2"/>
      <c r="K14863" s="2"/>
      <c r="L14863" s="2"/>
      <c r="M14863" s="2"/>
      <c r="N14863" s="2"/>
      <c r="O14863" s="2"/>
      <c r="P14863" s="2"/>
      <c r="Q14863" s="2"/>
      <c r="R14863" s="2"/>
      <c r="S14863" s="2"/>
      <c r="T14863" s="2"/>
      <c r="U14863" s="2"/>
      <c r="V14863" s="2"/>
      <c r="W14863" s="2"/>
      <c r="X14863" s="2"/>
      <c r="Y14863" s="2"/>
      <c r="Z14863" s="2"/>
    </row>
    <row r="14864" spans="1:26" ht="16.5" x14ac:dyDescent="0.35">
      <c r="A14864" s="2" t="str">
        <f ca="1">IFERROR(__xludf.DUMMYFUNCTION("""COMPUTED_VALUE"""),"Dubai")</f>
        <v>Dubai</v>
      </c>
      <c r="B14864" s="2" t="str">
        <f ca="1">IFERROR(__xludf.DUMMYFUNCTION("""COMPUTED_VALUE"""),"Sevilla")</f>
        <v>Sevilla</v>
      </c>
      <c r="C14864" s="2" t="str">
        <f ca="1">IFERROR(__xludf.DUMMYFUNCTION("""COMPUTED_VALUE"""),"Neighbourhood")</f>
        <v>Neighbourhood</v>
      </c>
      <c r="D14864" s="2" t="str">
        <f ca="1">IFERROR(__xludf.DUMMYFUNCTION("""COMPUTED_VALUE"""),"Dubai&gt;Dubai Sports City&gt;Victory Heights&gt;Sevilla")</f>
        <v>Dubai&gt;Dubai Sports City&gt;Victory Heights&gt;Sevilla</v>
      </c>
      <c r="E14864" s="2"/>
      <c r="F14864" s="2"/>
      <c r="G14864" s="2"/>
      <c r="H14864" s="2"/>
      <c r="I14864" s="2"/>
      <c r="J14864" s="2"/>
      <c r="K14864" s="2"/>
      <c r="L14864" s="2"/>
      <c r="M14864" s="2"/>
      <c r="N14864" s="2"/>
      <c r="O14864" s="2"/>
      <c r="P14864" s="2"/>
      <c r="Q14864" s="2"/>
      <c r="R14864" s="2"/>
      <c r="S14864" s="2"/>
      <c r="T14864" s="2"/>
      <c r="U14864" s="2"/>
      <c r="V14864" s="2"/>
      <c r="W14864" s="2"/>
      <c r="X14864" s="2"/>
      <c r="Y14864" s="2"/>
      <c r="Z14864" s="2"/>
    </row>
    <row r="14865" spans="1:26" ht="16.5" x14ac:dyDescent="0.35">
      <c r="A14865" s="2" t="str">
        <f ca="1">IFERROR(__xludf.DUMMYFUNCTION("""COMPUTED_VALUE"""),"Dubai")</f>
        <v>Dubai</v>
      </c>
      <c r="B14865" s="2" t="str">
        <f ca="1">IFERROR(__xludf.DUMMYFUNCTION("""COMPUTED_VALUE"""),"Joya Mimosa Residences")</f>
        <v>Joya Mimosa Residences</v>
      </c>
      <c r="C14865" s="2" t="str">
        <f ca="1">IFERROR(__xludf.DUMMYFUNCTION("""COMPUTED_VALUE"""),"Building")</f>
        <v>Building</v>
      </c>
      <c r="D14865" s="2" t="str">
        <f ca="1">IFERROR(__xludf.DUMMYFUNCTION("""COMPUTED_VALUE"""),"Dubai&gt;Dubai Sports City&gt;Joya Mimosa Residences")</f>
        <v>Dubai&gt;Dubai Sports City&gt;Joya Mimosa Residences</v>
      </c>
      <c r="E14865" s="2"/>
      <c r="F14865" s="2"/>
      <c r="G14865" s="2"/>
      <c r="H14865" s="2"/>
      <c r="I14865" s="2"/>
      <c r="J14865" s="2"/>
      <c r="K14865" s="2"/>
      <c r="L14865" s="2"/>
      <c r="M14865" s="2"/>
      <c r="N14865" s="2"/>
      <c r="O14865" s="2"/>
      <c r="P14865" s="2"/>
      <c r="Q14865" s="2"/>
      <c r="R14865" s="2"/>
      <c r="S14865" s="2"/>
      <c r="T14865" s="2"/>
      <c r="U14865" s="2"/>
      <c r="V14865" s="2"/>
      <c r="W14865" s="2"/>
      <c r="X14865" s="2"/>
      <c r="Y14865" s="2"/>
      <c r="Z14865" s="2"/>
    </row>
    <row r="14866" spans="1:26" ht="16.5" x14ac:dyDescent="0.35">
      <c r="A14866" s="2" t="str">
        <f ca="1">IFERROR(__xludf.DUMMYFUNCTION("""COMPUTED_VALUE"""),"Dubai")</f>
        <v>Dubai</v>
      </c>
      <c r="B14866" s="2" t="str">
        <f ca="1">IFERROR(__xludf.DUMMYFUNCTION("""COMPUTED_VALUE"""),"A.W. Bin Shabib Twin Tower")</f>
        <v>A.W. Bin Shabib Twin Tower</v>
      </c>
      <c r="C14866" s="2" t="str">
        <f ca="1">IFERROR(__xludf.DUMMYFUNCTION("""COMPUTED_VALUE"""),"Building")</f>
        <v>Building</v>
      </c>
      <c r="D14866" s="2" t="str">
        <f ca="1">IFERROR(__xludf.DUMMYFUNCTION("""COMPUTED_VALUE"""),"Dubai&gt;Al Nahda (Dubai)&gt;Al Nahda 1&gt;A.W. Bin Shabib Twin Tower")</f>
        <v>Dubai&gt;Al Nahda (Dubai)&gt;Al Nahda 1&gt;A.W. Bin Shabib Twin Tower</v>
      </c>
      <c r="E14866" s="2"/>
      <c r="F14866" s="2"/>
      <c r="G14866" s="2"/>
      <c r="H14866" s="2"/>
      <c r="I14866" s="2"/>
      <c r="J14866" s="2"/>
      <c r="K14866" s="2"/>
      <c r="L14866" s="2"/>
      <c r="M14866" s="2"/>
      <c r="N14866" s="2"/>
      <c r="O14866" s="2"/>
      <c r="P14866" s="2"/>
      <c r="Q14866" s="2"/>
      <c r="R14866" s="2"/>
      <c r="S14866" s="2"/>
      <c r="T14866" s="2"/>
      <c r="U14866" s="2"/>
      <c r="V14866" s="2"/>
      <c r="W14866" s="2"/>
      <c r="X14866" s="2"/>
      <c r="Y14866" s="2"/>
      <c r="Z14866" s="2"/>
    </row>
    <row r="14867" spans="1:26" ht="16.5" x14ac:dyDescent="0.35">
      <c r="A14867" s="2" t="str">
        <f ca="1">IFERROR(__xludf.DUMMYFUNCTION("""COMPUTED_VALUE"""),"Dubai")</f>
        <v>Dubai</v>
      </c>
      <c r="B14867" s="2" t="str">
        <f ca="1">IFERROR(__xludf.DUMMYFUNCTION("""COMPUTED_VALUE"""),"Ahli House A")</f>
        <v>Ahli House A</v>
      </c>
      <c r="C14867" s="2" t="str">
        <f ca="1">IFERROR(__xludf.DUMMYFUNCTION("""COMPUTED_VALUE"""),"Building")</f>
        <v>Building</v>
      </c>
      <c r="D14867" s="2" t="str">
        <f ca="1">IFERROR(__xludf.DUMMYFUNCTION("""COMPUTED_VALUE"""),"Dubai&gt;Al Nahda (Dubai)&gt;Al Nahda 1&gt;Ahli House A")</f>
        <v>Dubai&gt;Al Nahda (Dubai)&gt;Al Nahda 1&gt;Ahli House A</v>
      </c>
      <c r="E14867" s="2"/>
      <c r="F14867" s="2"/>
      <c r="G14867" s="2"/>
      <c r="H14867" s="2"/>
      <c r="I14867" s="2"/>
      <c r="J14867" s="2"/>
      <c r="K14867" s="2"/>
      <c r="L14867" s="2"/>
      <c r="M14867" s="2"/>
      <c r="N14867" s="2"/>
      <c r="O14867" s="2"/>
      <c r="P14867" s="2"/>
      <c r="Q14867" s="2"/>
      <c r="R14867" s="2"/>
      <c r="S14867" s="2"/>
      <c r="T14867" s="2"/>
      <c r="U14867" s="2"/>
      <c r="V14867" s="2"/>
      <c r="W14867" s="2"/>
      <c r="X14867" s="2"/>
      <c r="Y14867" s="2"/>
      <c r="Z14867" s="2"/>
    </row>
    <row r="14868" spans="1:26" ht="16.5" x14ac:dyDescent="0.35">
      <c r="A14868" s="2" t="str">
        <f ca="1">IFERROR(__xludf.DUMMYFUNCTION("""COMPUTED_VALUE"""),"Dubai")</f>
        <v>Dubai</v>
      </c>
      <c r="B14868" s="2" t="str">
        <f ca="1">IFERROR(__xludf.DUMMYFUNCTION("""COMPUTED_VALUE"""),"Nahda Oasis Residence")</f>
        <v>Nahda Oasis Residence</v>
      </c>
      <c r="C14868" s="2" t="str">
        <f ca="1">IFERROR(__xludf.DUMMYFUNCTION("""COMPUTED_VALUE"""),"Building")</f>
        <v>Building</v>
      </c>
      <c r="D14868" s="2" t="str">
        <f ca="1">IFERROR(__xludf.DUMMYFUNCTION("""COMPUTED_VALUE"""),"Dubai&gt;Al Nahda (Dubai)&gt;Al Nahda 2&gt;Nahda Oasis Residence")</f>
        <v>Dubai&gt;Al Nahda (Dubai)&gt;Al Nahda 2&gt;Nahda Oasis Residence</v>
      </c>
      <c r="E14868" s="2"/>
      <c r="F14868" s="2"/>
      <c r="G14868" s="2"/>
      <c r="H14868" s="2"/>
      <c r="I14868" s="2"/>
      <c r="J14868" s="2"/>
      <c r="K14868" s="2"/>
      <c r="L14868" s="2"/>
      <c r="M14868" s="2"/>
      <c r="N14868" s="2"/>
      <c r="O14868" s="2"/>
      <c r="P14868" s="2"/>
      <c r="Q14868" s="2"/>
      <c r="R14868" s="2"/>
      <c r="S14868" s="2"/>
      <c r="T14868" s="2"/>
      <c r="U14868" s="2"/>
      <c r="V14868" s="2"/>
      <c r="W14868" s="2"/>
      <c r="X14868" s="2"/>
      <c r="Y14868" s="2"/>
      <c r="Z14868" s="2"/>
    </row>
    <row r="14869" spans="1:26" ht="16.5" x14ac:dyDescent="0.35">
      <c r="A14869" s="2" t="str">
        <f ca="1">IFERROR(__xludf.DUMMYFUNCTION("""COMPUTED_VALUE"""),"Dubai")</f>
        <v>Dubai</v>
      </c>
      <c r="B14869" s="2" t="str">
        <f ca="1">IFERROR(__xludf.DUMMYFUNCTION("""COMPUTED_VALUE"""),"Al Salem Tower")</f>
        <v>Al Salem Tower</v>
      </c>
      <c r="C14869" s="2" t="str">
        <f ca="1">IFERROR(__xludf.DUMMYFUNCTION("""COMPUTED_VALUE"""),"Building")</f>
        <v>Building</v>
      </c>
      <c r="D14869" s="2" t="str">
        <f ca="1">IFERROR(__xludf.DUMMYFUNCTION("""COMPUTED_VALUE"""),"Dubai&gt;Al Nahda (Dubai)&gt;Al Nahda 2&gt;Al Salem Tower")</f>
        <v>Dubai&gt;Al Nahda (Dubai)&gt;Al Nahda 2&gt;Al Salem Tower</v>
      </c>
      <c r="E14869" s="2"/>
      <c r="F14869" s="2"/>
      <c r="G14869" s="2"/>
      <c r="H14869" s="2"/>
      <c r="I14869" s="2"/>
      <c r="J14869" s="2"/>
      <c r="K14869" s="2"/>
      <c r="L14869" s="2"/>
      <c r="M14869" s="2"/>
      <c r="N14869" s="2"/>
      <c r="O14869" s="2"/>
      <c r="P14869" s="2"/>
      <c r="Q14869" s="2"/>
      <c r="R14869" s="2"/>
      <c r="S14869" s="2"/>
      <c r="T14869" s="2"/>
      <c r="U14869" s="2"/>
      <c r="V14869" s="2"/>
      <c r="W14869" s="2"/>
      <c r="X14869" s="2"/>
      <c r="Y14869" s="2"/>
      <c r="Z14869" s="2"/>
    </row>
    <row r="14870" spans="1:26" ht="16.5" x14ac:dyDescent="0.35">
      <c r="A14870" s="2" t="str">
        <f ca="1">IFERROR(__xludf.DUMMYFUNCTION("""COMPUTED_VALUE"""),"Dubai")</f>
        <v>Dubai</v>
      </c>
      <c r="B14870" s="2" t="str">
        <f ca="1">IFERROR(__xludf.DUMMYFUNCTION("""COMPUTED_VALUE"""),"Al Mezin Building")</f>
        <v>Al Mezin Building</v>
      </c>
      <c r="C14870" s="2" t="str">
        <f ca="1">IFERROR(__xludf.DUMMYFUNCTION("""COMPUTED_VALUE"""),"Building")</f>
        <v>Building</v>
      </c>
      <c r="D14870" s="2" t="str">
        <f ca="1">IFERROR(__xludf.DUMMYFUNCTION("""COMPUTED_VALUE"""),"Dubai&gt;Al Nahda (Dubai)&gt;Al Nahda 2&gt;Al Mezin Building")</f>
        <v>Dubai&gt;Al Nahda (Dubai)&gt;Al Nahda 2&gt;Al Mezin Building</v>
      </c>
      <c r="E14870" s="2"/>
      <c r="F14870" s="2"/>
      <c r="G14870" s="2"/>
      <c r="H14870" s="2"/>
      <c r="I14870" s="2"/>
      <c r="J14870" s="2"/>
      <c r="K14870" s="2"/>
      <c r="L14870" s="2"/>
      <c r="M14870" s="2"/>
      <c r="N14870" s="2"/>
      <c r="O14870" s="2"/>
      <c r="P14870" s="2"/>
      <c r="Q14870" s="2"/>
      <c r="R14870" s="2"/>
      <c r="S14870" s="2"/>
      <c r="T14870" s="2"/>
      <c r="U14870" s="2"/>
      <c r="V14870" s="2"/>
      <c r="W14870" s="2"/>
      <c r="X14870" s="2"/>
      <c r="Y14870" s="2"/>
      <c r="Z14870" s="2"/>
    </row>
    <row r="14871" spans="1:26" ht="16.5" x14ac:dyDescent="0.35">
      <c r="A14871" s="2" t="str">
        <f ca="1">IFERROR(__xludf.DUMMYFUNCTION("""COMPUTED_VALUE"""),"Dubai")</f>
        <v>Dubai</v>
      </c>
      <c r="B14871" s="2" t="str">
        <f ca="1">IFERROR(__xludf.DUMMYFUNCTION("""COMPUTED_VALUE"""),"Al Farah Plaza")</f>
        <v>Al Farah Plaza</v>
      </c>
      <c r="C14871" s="2" t="str">
        <f ca="1">IFERROR(__xludf.DUMMYFUNCTION("""COMPUTED_VALUE"""),"Building")</f>
        <v>Building</v>
      </c>
      <c r="D14871" s="2" t="str">
        <f ca="1">IFERROR(__xludf.DUMMYFUNCTION("""COMPUTED_VALUE"""),"Dubai&gt;Al Nahda (Dubai)&gt;Al Nahda 2&gt;Al Farah Plaza")</f>
        <v>Dubai&gt;Al Nahda (Dubai)&gt;Al Nahda 2&gt;Al Farah Plaza</v>
      </c>
      <c r="E14871" s="2"/>
      <c r="F14871" s="2"/>
      <c r="G14871" s="2"/>
      <c r="H14871" s="2"/>
      <c r="I14871" s="2"/>
      <c r="J14871" s="2"/>
      <c r="K14871" s="2"/>
      <c r="L14871" s="2"/>
      <c r="M14871" s="2"/>
      <c r="N14871" s="2"/>
      <c r="O14871" s="2"/>
      <c r="P14871" s="2"/>
      <c r="Q14871" s="2"/>
      <c r="R14871" s="2"/>
      <c r="S14871" s="2"/>
      <c r="T14871" s="2"/>
      <c r="U14871" s="2"/>
      <c r="V14871" s="2"/>
      <c r="W14871" s="2"/>
      <c r="X14871" s="2"/>
      <c r="Y14871" s="2"/>
      <c r="Z14871" s="2"/>
    </row>
    <row r="14872" spans="1:26" ht="16.5" x14ac:dyDescent="0.35">
      <c r="A14872" s="2" t="str">
        <f ca="1">IFERROR(__xludf.DUMMYFUNCTION("""COMPUTED_VALUE"""),"Dubai")</f>
        <v>Dubai</v>
      </c>
      <c r="B14872" s="2" t="str">
        <f ca="1">IFERROR(__xludf.DUMMYFUNCTION("""COMPUTED_VALUE"""),"Legacy")</f>
        <v>Legacy</v>
      </c>
      <c r="C14872" s="2" t="str">
        <f ca="1">IFERROR(__xludf.DUMMYFUNCTION("""COMPUTED_VALUE"""),"Neighbourhood")</f>
        <v>Neighbourhood</v>
      </c>
      <c r="D14872" s="2" t="str">
        <f ca="1">IFERROR(__xludf.DUMMYFUNCTION("""COMPUTED_VALUE"""),"Dubai&gt;Jumeirah Park&gt;Legacy")</f>
        <v>Dubai&gt;Jumeirah Park&gt;Legacy</v>
      </c>
      <c r="E14872" s="2"/>
      <c r="F14872" s="2"/>
      <c r="G14872" s="2"/>
      <c r="H14872" s="2"/>
      <c r="I14872" s="2"/>
      <c r="J14872" s="2"/>
      <c r="K14872" s="2"/>
      <c r="L14872" s="2"/>
      <c r="M14872" s="2"/>
      <c r="N14872" s="2"/>
      <c r="O14872" s="2"/>
      <c r="P14872" s="2"/>
      <c r="Q14872" s="2"/>
      <c r="R14872" s="2"/>
      <c r="S14872" s="2"/>
      <c r="T14872" s="2"/>
      <c r="U14872" s="2"/>
      <c r="V14872" s="2"/>
      <c r="W14872" s="2"/>
      <c r="X14872" s="2"/>
      <c r="Y14872" s="2"/>
      <c r="Z14872" s="2"/>
    </row>
    <row r="14873" spans="1:26" ht="16.5" x14ac:dyDescent="0.35">
      <c r="A14873" s="2" t="str">
        <f ca="1">IFERROR(__xludf.DUMMYFUNCTION("""COMPUTED_VALUE"""),"Dubai")</f>
        <v>Dubai</v>
      </c>
      <c r="B14873" s="2" t="str">
        <f ca="1">IFERROR(__xludf.DUMMYFUNCTION("""COMPUTED_VALUE"""),"Lagoon Views 5")</f>
        <v>Lagoon Views 5</v>
      </c>
      <c r="C14873" s="2" t="str">
        <f ca="1">IFERROR(__xludf.DUMMYFUNCTION("""COMPUTED_VALUE"""),"Building")</f>
        <v>Building</v>
      </c>
      <c r="D14873" s="2" t="str">
        <f ca="1">IFERROR(__xludf.DUMMYFUNCTION("""COMPUTED_VALUE"""),"Dubai&gt;DAMAC Lagoons&gt;Lagoon Views&gt;Lagoon Views 5")</f>
        <v>Dubai&gt;DAMAC Lagoons&gt;Lagoon Views&gt;Lagoon Views 5</v>
      </c>
      <c r="E14873" s="2"/>
      <c r="F14873" s="2"/>
      <c r="G14873" s="2"/>
      <c r="H14873" s="2"/>
      <c r="I14873" s="2"/>
      <c r="J14873" s="2"/>
      <c r="K14873" s="2"/>
      <c r="L14873" s="2"/>
      <c r="M14873" s="2"/>
      <c r="N14873" s="2"/>
      <c r="O14873" s="2"/>
      <c r="P14873" s="2"/>
      <c r="Q14873" s="2"/>
      <c r="R14873" s="2"/>
      <c r="S14873" s="2"/>
      <c r="T14873" s="2"/>
      <c r="U14873" s="2"/>
      <c r="V14873" s="2"/>
      <c r="W14873" s="2"/>
      <c r="X14873" s="2"/>
      <c r="Y14873" s="2"/>
      <c r="Z14873" s="2"/>
    </row>
    <row r="14874" spans="1:26" ht="16.5" x14ac:dyDescent="0.35">
      <c r="A14874" s="2" t="str">
        <f ca="1">IFERROR(__xludf.DUMMYFUNCTION("""COMPUTED_VALUE"""),"Dubai")</f>
        <v>Dubai</v>
      </c>
      <c r="B14874" s="2" t="str">
        <f ca="1">IFERROR(__xludf.DUMMYFUNCTION("""COMPUTED_VALUE"""),"Miral 2")</f>
        <v>Miral 2</v>
      </c>
      <c r="C14874" s="2" t="str">
        <f ca="1">IFERROR(__xludf.DUMMYFUNCTION("""COMPUTED_VALUE"""),"Building")</f>
        <v>Building</v>
      </c>
      <c r="D14874" s="2" t="str">
        <f ca="1">IFERROR(__xludf.DUMMYFUNCTION("""COMPUTED_VALUE"""),"Dubai&gt;Liwan 2&gt;Miral&gt;Miral 2")</f>
        <v>Dubai&gt;Liwan 2&gt;Miral&gt;Miral 2</v>
      </c>
      <c r="E14874" s="2"/>
      <c r="F14874" s="2"/>
      <c r="G14874" s="2"/>
      <c r="H14874" s="2"/>
      <c r="I14874" s="2"/>
      <c r="J14874" s="2"/>
      <c r="K14874" s="2"/>
      <c r="L14874" s="2"/>
      <c r="M14874" s="2"/>
      <c r="N14874" s="2"/>
      <c r="O14874" s="2"/>
      <c r="P14874" s="2"/>
      <c r="Q14874" s="2"/>
      <c r="R14874" s="2"/>
      <c r="S14874" s="2"/>
      <c r="T14874" s="2"/>
      <c r="U14874" s="2"/>
      <c r="V14874" s="2"/>
      <c r="W14874" s="2"/>
      <c r="X14874" s="2"/>
      <c r="Y14874" s="2"/>
      <c r="Z14874" s="2"/>
    </row>
    <row r="14875" spans="1:26" ht="16.5" x14ac:dyDescent="0.35">
      <c r="A14875" s="2" t="str">
        <f ca="1">IFERROR(__xludf.DUMMYFUNCTION("""COMPUTED_VALUE"""),"Dubai")</f>
        <v>Dubai</v>
      </c>
      <c r="B14875" s="2" t="str">
        <f ca="1">IFERROR(__xludf.DUMMYFUNCTION("""COMPUTED_VALUE"""),"Liwan Gate 3")</f>
        <v>Liwan Gate 3</v>
      </c>
      <c r="C14875" s="2" t="str">
        <f ca="1">IFERROR(__xludf.DUMMYFUNCTION("""COMPUTED_VALUE"""),"Building")</f>
        <v>Building</v>
      </c>
      <c r="D14875" s="2" t="str">
        <f ca="1">IFERROR(__xludf.DUMMYFUNCTION("""COMPUTED_VALUE"""),"Dubai&gt;Liwan 2&gt;Liwan Gate 3")</f>
        <v>Dubai&gt;Liwan 2&gt;Liwan Gate 3</v>
      </c>
      <c r="E14875" s="2"/>
      <c r="F14875" s="2"/>
      <c r="G14875" s="2"/>
      <c r="H14875" s="2"/>
      <c r="I14875" s="2"/>
      <c r="J14875" s="2"/>
      <c r="K14875" s="2"/>
      <c r="L14875" s="2"/>
      <c r="M14875" s="2"/>
      <c r="N14875" s="2"/>
      <c r="O14875" s="2"/>
      <c r="P14875" s="2"/>
      <c r="Q14875" s="2"/>
      <c r="R14875" s="2"/>
      <c r="S14875" s="2"/>
      <c r="T14875" s="2"/>
      <c r="U14875" s="2"/>
      <c r="V14875" s="2"/>
      <c r="W14875" s="2"/>
      <c r="X14875" s="2"/>
      <c r="Y14875" s="2"/>
      <c r="Z14875" s="2"/>
    </row>
    <row r="14876" spans="1:26" ht="16.5" x14ac:dyDescent="0.35">
      <c r="A14876" s="2" t="str">
        <f ca="1">IFERROR(__xludf.DUMMYFUNCTION("""COMPUTED_VALUE"""),"Dubai")</f>
        <v>Dubai</v>
      </c>
      <c r="B14876" s="2" t="str">
        <f ca="1">IFERROR(__xludf.DUMMYFUNCTION("""COMPUTED_VALUE"""),"Lotus Residence 3")</f>
        <v>Lotus Residence 3</v>
      </c>
      <c r="C14876" s="2" t="str">
        <f ca="1">IFERROR(__xludf.DUMMYFUNCTION("""COMPUTED_VALUE"""),"Building")</f>
        <v>Building</v>
      </c>
      <c r="D14876" s="2" t="str">
        <f ca="1">IFERROR(__xludf.DUMMYFUNCTION("""COMPUTED_VALUE"""),"Dubai&gt;Dubai Investment Park (DIP)&gt;Dubai Investment Park 1&gt;Lotus Residence&gt;Lotus Residence 3")</f>
        <v>Dubai&gt;Dubai Investment Park (DIP)&gt;Dubai Investment Park 1&gt;Lotus Residence&gt;Lotus Residence 3</v>
      </c>
      <c r="E14876" s="2"/>
      <c r="F14876" s="2"/>
      <c r="G14876" s="2"/>
      <c r="H14876" s="2"/>
      <c r="I14876" s="2"/>
      <c r="J14876" s="2"/>
      <c r="K14876" s="2"/>
      <c r="L14876" s="2"/>
      <c r="M14876" s="2"/>
      <c r="N14876" s="2"/>
      <c r="O14876" s="2"/>
      <c r="P14876" s="2"/>
      <c r="Q14876" s="2"/>
      <c r="R14876" s="2"/>
      <c r="S14876" s="2"/>
      <c r="T14876" s="2"/>
      <c r="U14876" s="2"/>
      <c r="V14876" s="2"/>
      <c r="W14876" s="2"/>
      <c r="X14876" s="2"/>
      <c r="Y14876" s="2"/>
      <c r="Z14876" s="2"/>
    </row>
    <row r="14877" spans="1:26" ht="16.5" x14ac:dyDescent="0.35">
      <c r="A14877" s="2" t="str">
        <f ca="1">IFERROR(__xludf.DUMMYFUNCTION("""COMPUTED_VALUE"""),"Dubai")</f>
        <v>Dubai</v>
      </c>
      <c r="B14877" s="2" t="str">
        <f ca="1">IFERROR(__xludf.DUMMYFUNCTION("""COMPUTED_VALUE"""),"Block D")</f>
        <v>Block D</v>
      </c>
      <c r="C14877" s="2" t="str">
        <f ca="1">IFERROR(__xludf.DUMMYFUNCTION("""COMPUTED_VALUE"""),"Building")</f>
        <v>Building</v>
      </c>
      <c r="D14877" s="2" t="str">
        <f ca="1">IFERROR(__xludf.DUMMYFUNCTION("""COMPUTED_VALUE"""),"Dubai&gt;Dubai Investment Park (DIP)&gt;Dubai Investment Park 1&gt;Dubai Driving Centre Staff Accommodation&gt;Block D")</f>
        <v>Dubai&gt;Dubai Investment Park (DIP)&gt;Dubai Investment Park 1&gt;Dubai Driving Centre Staff Accommodation&gt;Block D</v>
      </c>
      <c r="E14877" s="2"/>
      <c r="F14877" s="2"/>
      <c r="G14877" s="2"/>
      <c r="H14877" s="2"/>
      <c r="I14877" s="2"/>
      <c r="J14877" s="2"/>
      <c r="K14877" s="2"/>
      <c r="L14877" s="2"/>
      <c r="M14877" s="2"/>
      <c r="N14877" s="2"/>
      <c r="O14877" s="2"/>
      <c r="P14877" s="2"/>
      <c r="Q14877" s="2"/>
      <c r="R14877" s="2"/>
      <c r="S14877" s="2"/>
      <c r="T14877" s="2"/>
      <c r="U14877" s="2"/>
      <c r="V14877" s="2"/>
      <c r="W14877" s="2"/>
      <c r="X14877" s="2"/>
      <c r="Y14877" s="2"/>
      <c r="Z14877" s="2"/>
    </row>
    <row r="14878" spans="1:26" ht="16.5" x14ac:dyDescent="0.35">
      <c r="A14878" s="2" t="str">
        <f ca="1">IFERROR(__xludf.DUMMYFUNCTION("""COMPUTED_VALUE"""),"Dubai")</f>
        <v>Dubai</v>
      </c>
      <c r="B14878" s="2" t="str">
        <f ca="1">IFERROR(__xludf.DUMMYFUNCTION("""COMPUTED_VALUE"""),"Darwish Bin Ahmed &amp; Sons Block C")</f>
        <v>Darwish Bin Ahmed &amp; Sons Block C</v>
      </c>
      <c r="C14878" s="2" t="str">
        <f ca="1">IFERROR(__xludf.DUMMYFUNCTION("""COMPUTED_VALUE"""),"Building")</f>
        <v>Building</v>
      </c>
      <c r="D14878" s="2" t="str">
        <f ca="1">IFERROR(__xludf.DUMMYFUNCTION("""COMPUTED_VALUE"""),"Dubai&gt;Dubai Investment Park (DIP)&gt;Dubai Investment Park 1&gt;Darwish Bin Ahmed &amp; Sons Block C")</f>
        <v>Dubai&gt;Dubai Investment Park (DIP)&gt;Dubai Investment Park 1&gt;Darwish Bin Ahmed &amp; Sons Block C</v>
      </c>
      <c r="E14878" s="2"/>
      <c r="F14878" s="2"/>
      <c r="G14878" s="2"/>
      <c r="H14878" s="2"/>
      <c r="I14878" s="2"/>
      <c r="J14878" s="2"/>
      <c r="K14878" s="2"/>
      <c r="L14878" s="2"/>
      <c r="M14878" s="2"/>
      <c r="N14878" s="2"/>
      <c r="O14878" s="2"/>
      <c r="P14878" s="2"/>
      <c r="Q14878" s="2"/>
      <c r="R14878" s="2"/>
      <c r="S14878" s="2"/>
      <c r="T14878" s="2"/>
      <c r="U14878" s="2"/>
      <c r="V14878" s="2"/>
      <c r="W14878" s="2"/>
      <c r="X14878" s="2"/>
      <c r="Y14878" s="2"/>
      <c r="Z14878" s="2"/>
    </row>
    <row r="14879" spans="1:26" ht="16.5" x14ac:dyDescent="0.35">
      <c r="A14879" s="2" t="str">
        <f ca="1">IFERROR(__xludf.DUMMYFUNCTION("""COMPUTED_VALUE"""),"Dubai")</f>
        <v>Dubai</v>
      </c>
      <c r="B14879" s="2" t="str">
        <f ca="1">IFERROR(__xludf.DUMMYFUNCTION("""COMPUTED_VALUE"""),"Ritaj Block C")</f>
        <v>Ritaj Block C</v>
      </c>
      <c r="C14879" s="2" t="str">
        <f ca="1">IFERROR(__xludf.DUMMYFUNCTION("""COMPUTED_VALUE"""),"Building")</f>
        <v>Building</v>
      </c>
      <c r="D14879" s="2" t="str">
        <f ca="1">IFERROR(__xludf.DUMMYFUNCTION("""COMPUTED_VALUE"""),"Dubai&gt;Dubai Investment Park (DIP)&gt;Dubai Investment Park 2&gt;Ritaj (Residential Complex)&gt;Ritaj Block C")</f>
        <v>Dubai&gt;Dubai Investment Park (DIP)&gt;Dubai Investment Park 2&gt;Ritaj (Residential Complex)&gt;Ritaj Block C</v>
      </c>
      <c r="E14879" s="2"/>
      <c r="F14879" s="2"/>
      <c r="G14879" s="2"/>
      <c r="H14879" s="2"/>
      <c r="I14879" s="2"/>
      <c r="J14879" s="2"/>
      <c r="K14879" s="2"/>
      <c r="L14879" s="2"/>
      <c r="M14879" s="2"/>
      <c r="N14879" s="2"/>
      <c r="O14879" s="2"/>
      <c r="P14879" s="2"/>
      <c r="Q14879" s="2"/>
      <c r="R14879" s="2"/>
      <c r="S14879" s="2"/>
      <c r="T14879" s="2"/>
      <c r="U14879" s="2"/>
      <c r="V14879" s="2"/>
      <c r="W14879" s="2"/>
      <c r="X14879" s="2"/>
      <c r="Y14879" s="2"/>
      <c r="Z14879" s="2"/>
    </row>
    <row r="14880" spans="1:26" ht="16.5" x14ac:dyDescent="0.35">
      <c r="A14880" s="2" t="str">
        <f ca="1">IFERROR(__xludf.DUMMYFUNCTION("""COMPUTED_VALUE"""),"Dubai")</f>
        <v>Dubai</v>
      </c>
      <c r="B14880" s="2" t="str">
        <f ca="1">IFERROR(__xludf.DUMMYFUNCTION("""COMPUTED_VALUE"""),"Sunrise Tower")</f>
        <v>Sunrise Tower</v>
      </c>
      <c r="C14880" s="2" t="str">
        <f ca="1">IFERROR(__xludf.DUMMYFUNCTION("""COMPUTED_VALUE"""),"Building")</f>
        <v>Building</v>
      </c>
      <c r="D14880" s="2" t="str">
        <f ca="1">IFERROR(__xludf.DUMMYFUNCTION("""COMPUTED_VALUE"""),"Dubai&gt;Dubai Investment Park (DIP)&gt;Dubai Investment Park 2&gt;Sunrise Tower")</f>
        <v>Dubai&gt;Dubai Investment Park (DIP)&gt;Dubai Investment Park 2&gt;Sunrise Tower</v>
      </c>
      <c r="E14880" s="2"/>
      <c r="F14880" s="2"/>
      <c r="G14880" s="2"/>
      <c r="H14880" s="2"/>
      <c r="I14880" s="2"/>
      <c r="J14880" s="2"/>
      <c r="K14880" s="2"/>
      <c r="L14880" s="2"/>
      <c r="M14880" s="2"/>
      <c r="N14880" s="2"/>
      <c r="O14880" s="2"/>
      <c r="P14880" s="2"/>
      <c r="Q14880" s="2"/>
      <c r="R14880" s="2"/>
      <c r="S14880" s="2"/>
      <c r="T14880" s="2"/>
      <c r="U14880" s="2"/>
      <c r="V14880" s="2"/>
      <c r="W14880" s="2"/>
      <c r="X14880" s="2"/>
      <c r="Y14880" s="2"/>
      <c r="Z14880" s="2"/>
    </row>
    <row r="14881" spans="1:26" ht="16.5" x14ac:dyDescent="0.35">
      <c r="A14881" s="2" t="str">
        <f ca="1">IFERROR(__xludf.DUMMYFUNCTION("""COMPUTED_VALUE"""),"Dubai")</f>
        <v>Dubai</v>
      </c>
      <c r="B14881" s="2" t="str">
        <f ca="1">IFERROR(__xludf.DUMMYFUNCTION("""COMPUTED_VALUE"""),"Lush")</f>
        <v>Lush</v>
      </c>
      <c r="C14881" s="2" t="str">
        <f ca="1">IFERROR(__xludf.DUMMYFUNCTION("""COMPUTED_VALUE"""),"Neighbourhood")</f>
        <v>Neighbourhood</v>
      </c>
      <c r="D14881" s="2" t="str">
        <f ca="1">IFERROR(__xludf.DUMMYFUNCTION("""COMPUTED_VALUE"""),"Dubai&gt;Dubai Investment Park (DIP)&gt;DAMAC Riverside&gt;Lush")</f>
        <v>Dubai&gt;Dubai Investment Park (DIP)&gt;DAMAC Riverside&gt;Lush</v>
      </c>
      <c r="E14881" s="2"/>
      <c r="F14881" s="2"/>
      <c r="G14881" s="2"/>
      <c r="H14881" s="2"/>
      <c r="I14881" s="2"/>
      <c r="J14881" s="2"/>
      <c r="K14881" s="2"/>
      <c r="L14881" s="2"/>
      <c r="M14881" s="2"/>
      <c r="N14881" s="2"/>
      <c r="O14881" s="2"/>
      <c r="P14881" s="2"/>
      <c r="Q14881" s="2"/>
      <c r="R14881" s="2"/>
      <c r="S14881" s="2"/>
      <c r="T14881" s="2"/>
      <c r="U14881" s="2"/>
      <c r="V14881" s="2"/>
      <c r="W14881" s="2"/>
      <c r="X14881" s="2"/>
      <c r="Y14881" s="2"/>
      <c r="Z14881" s="2"/>
    </row>
    <row r="14882" spans="1:26" ht="16.5" x14ac:dyDescent="0.35">
      <c r="A14882" s="2" t="str">
        <f ca="1">IFERROR(__xludf.DUMMYFUNCTION("""COMPUTED_VALUE"""),"Dubai")</f>
        <v>Dubai</v>
      </c>
      <c r="B14882" s="2" t="str">
        <f ca="1">IFERROR(__xludf.DUMMYFUNCTION("""COMPUTED_VALUE"""),"Verdana Empire")</f>
        <v>Verdana Empire</v>
      </c>
      <c r="C14882" s="2" t="str">
        <f ca="1">IFERROR(__xludf.DUMMYFUNCTION("""COMPUTED_VALUE"""),"Building")</f>
        <v>Building</v>
      </c>
      <c r="D14882" s="2" t="str">
        <f ca="1">IFERROR(__xludf.DUMMYFUNCTION("""COMPUTED_VALUE"""),"Dubai&gt;Dubai Investment Park (DIP)&gt;Verdana Empire")</f>
        <v>Dubai&gt;Dubai Investment Park (DIP)&gt;Verdana Empire</v>
      </c>
      <c r="E14882" s="2"/>
      <c r="F14882" s="2"/>
      <c r="G14882" s="2"/>
      <c r="H14882" s="2"/>
      <c r="I14882" s="2"/>
      <c r="J14882" s="2"/>
      <c r="K14882" s="2"/>
      <c r="L14882" s="2"/>
      <c r="M14882" s="2"/>
      <c r="N14882" s="2"/>
      <c r="O14882" s="2"/>
      <c r="P14882" s="2"/>
      <c r="Q14882" s="2"/>
      <c r="R14882" s="2"/>
      <c r="S14882" s="2"/>
      <c r="T14882" s="2"/>
      <c r="U14882" s="2"/>
      <c r="V14882" s="2"/>
      <c r="W14882" s="2"/>
      <c r="X14882" s="2"/>
      <c r="Y14882" s="2"/>
      <c r="Z14882" s="2"/>
    </row>
    <row r="14883" spans="1:26" ht="16.5" x14ac:dyDescent="0.35">
      <c r="A14883" s="2" t="str">
        <f ca="1">IFERROR(__xludf.DUMMYFUNCTION("""COMPUTED_VALUE"""),"Dubai")</f>
        <v>Dubai</v>
      </c>
      <c r="B14883" s="2" t="str">
        <f ca="1">IFERROR(__xludf.DUMMYFUNCTION("""COMPUTED_VALUE"""),"Remal Mall")</f>
        <v>Remal Mall</v>
      </c>
      <c r="C14883" s="2" t="str">
        <f ca="1">IFERROR(__xludf.DUMMYFUNCTION("""COMPUTED_VALUE"""),"Building")</f>
        <v>Building</v>
      </c>
      <c r="D14883" s="2" t="str">
        <f ca="1">IFERROR(__xludf.DUMMYFUNCTION("""COMPUTED_VALUE"""),"Dubai&gt;Majan&gt;Remal Mall")</f>
        <v>Dubai&gt;Majan&gt;Remal Mall</v>
      </c>
      <c r="E14883" s="2"/>
      <c r="F14883" s="2"/>
      <c r="G14883" s="2"/>
      <c r="H14883" s="2"/>
      <c r="I14883" s="2"/>
      <c r="J14883" s="2"/>
      <c r="K14883" s="2"/>
      <c r="L14883" s="2"/>
      <c r="M14883" s="2"/>
      <c r="N14883" s="2"/>
      <c r="O14883" s="2"/>
      <c r="P14883" s="2"/>
      <c r="Q14883" s="2"/>
      <c r="R14883" s="2"/>
      <c r="S14883" s="2"/>
      <c r="T14883" s="2"/>
      <c r="U14883" s="2"/>
      <c r="V14883" s="2"/>
      <c r="W14883" s="2"/>
      <c r="X14883" s="2"/>
      <c r="Y14883" s="2"/>
      <c r="Z14883" s="2"/>
    </row>
    <row r="14884" spans="1:26" ht="16.5" x14ac:dyDescent="0.35">
      <c r="A14884" s="2" t="str">
        <f ca="1">IFERROR(__xludf.DUMMYFUNCTION("""COMPUTED_VALUE"""),"Dubai")</f>
        <v>Dubai</v>
      </c>
      <c r="B14884" s="2" t="str">
        <f ca="1">IFERROR(__xludf.DUMMYFUNCTION("""COMPUTED_VALUE"""),"The Haven II Residences")</f>
        <v>The Haven II Residences</v>
      </c>
      <c r="C14884" s="2" t="str">
        <f ca="1">IFERROR(__xludf.DUMMYFUNCTION("""COMPUTED_VALUE"""),"Building")</f>
        <v>Building</v>
      </c>
      <c r="D14884" s="2" t="str">
        <f ca="1">IFERROR(__xludf.DUMMYFUNCTION("""COMPUTED_VALUE"""),"Dubai&gt;Majan&gt;The Haven II Residences")</f>
        <v>Dubai&gt;Majan&gt;The Haven II Residences</v>
      </c>
      <c r="E14884" s="2"/>
      <c r="F14884" s="2"/>
      <c r="G14884" s="2"/>
      <c r="H14884" s="2"/>
      <c r="I14884" s="2"/>
      <c r="J14884" s="2"/>
      <c r="K14884" s="2"/>
      <c r="L14884" s="2"/>
      <c r="M14884" s="2"/>
      <c r="N14884" s="2"/>
      <c r="O14884" s="2"/>
      <c r="P14884" s="2"/>
      <c r="Q14884" s="2"/>
      <c r="R14884" s="2"/>
      <c r="S14884" s="2"/>
      <c r="T14884" s="2"/>
      <c r="U14884" s="2"/>
      <c r="V14884" s="2"/>
      <c r="W14884" s="2"/>
      <c r="X14884" s="2"/>
      <c r="Y14884" s="2"/>
      <c r="Z14884" s="2"/>
    </row>
    <row r="14885" spans="1:26" ht="16.5" x14ac:dyDescent="0.35">
      <c r="A14885" s="2" t="str">
        <f ca="1">IFERROR(__xludf.DUMMYFUNCTION("""COMPUTED_VALUE"""),"Dubai")</f>
        <v>Dubai</v>
      </c>
      <c r="B14885" s="2" t="str">
        <f ca="1">IFERROR(__xludf.DUMMYFUNCTION("""COMPUTED_VALUE"""),"Palmiera 3")</f>
        <v>Palmiera 3</v>
      </c>
      <c r="C14885" s="2" t="str">
        <f ca="1">IFERROR(__xludf.DUMMYFUNCTION("""COMPUTED_VALUE"""),"Neighbourhood")</f>
        <v>Neighbourhood</v>
      </c>
      <c r="D14885" s="2" t="str">
        <f ca="1">IFERROR(__xludf.DUMMYFUNCTION("""COMPUTED_VALUE"""),"Dubai&gt;The Oasis by Emaar&gt;Palmiera 3")</f>
        <v>Dubai&gt;The Oasis by Emaar&gt;Palmiera 3</v>
      </c>
      <c r="E14885" s="2"/>
      <c r="F14885" s="2"/>
      <c r="G14885" s="2"/>
      <c r="H14885" s="2"/>
      <c r="I14885" s="2"/>
      <c r="J14885" s="2"/>
      <c r="K14885" s="2"/>
      <c r="L14885" s="2"/>
      <c r="M14885" s="2"/>
      <c r="N14885" s="2"/>
      <c r="O14885" s="2"/>
      <c r="P14885" s="2"/>
      <c r="Q14885" s="2"/>
      <c r="R14885" s="2"/>
      <c r="S14885" s="2"/>
      <c r="T14885" s="2"/>
      <c r="U14885" s="2"/>
      <c r="V14885" s="2"/>
      <c r="W14885" s="2"/>
      <c r="X14885" s="2"/>
      <c r="Y14885" s="2"/>
      <c r="Z14885" s="2"/>
    </row>
    <row r="14886" spans="1:26" ht="16.5" x14ac:dyDescent="0.35">
      <c r="A14886" s="2" t="str">
        <f ca="1">IFERROR(__xludf.DUMMYFUNCTION("""COMPUTED_VALUE"""),"Dubai")</f>
        <v>Dubai</v>
      </c>
      <c r="B14886" s="2" t="str">
        <f ca="1">IFERROR(__xludf.DUMMYFUNCTION("""COMPUTED_VALUE"""),"Mushraif")</f>
        <v>Mushraif</v>
      </c>
      <c r="C14886" s="2" t="str">
        <f ca="1">IFERROR(__xludf.DUMMYFUNCTION("""COMPUTED_VALUE"""),"Neighbourhood")</f>
        <v>Neighbourhood</v>
      </c>
      <c r="D14886" s="2" t="str">
        <f ca="1">IFERROR(__xludf.DUMMYFUNCTION("""COMPUTED_VALUE"""),"Dubai&gt;Mushraif")</f>
        <v>Dubai&gt;Mushraif</v>
      </c>
      <c r="E14886" s="2"/>
      <c r="F14886" s="2"/>
      <c r="G14886" s="2"/>
      <c r="H14886" s="2"/>
      <c r="I14886" s="2"/>
      <c r="J14886" s="2"/>
      <c r="K14886" s="2"/>
      <c r="L14886" s="2"/>
      <c r="M14886" s="2"/>
      <c r="N14886" s="2"/>
      <c r="O14886" s="2"/>
      <c r="P14886" s="2"/>
      <c r="Q14886" s="2"/>
      <c r="R14886" s="2"/>
      <c r="S14886" s="2"/>
      <c r="T14886" s="2"/>
      <c r="U14886" s="2"/>
      <c r="V14886" s="2"/>
      <c r="W14886" s="2"/>
      <c r="X14886" s="2"/>
      <c r="Y14886" s="2"/>
      <c r="Z14886" s="2"/>
    </row>
    <row r="14887" spans="1:26" ht="16.5" x14ac:dyDescent="0.35">
      <c r="A14887" s="2" t="str">
        <f ca="1">IFERROR(__xludf.DUMMYFUNCTION("""COMPUTED_VALUE"""),"Dubai")</f>
        <v>Dubai</v>
      </c>
      <c r="B14887" s="2" t="str">
        <f ca="1">IFERROR(__xludf.DUMMYFUNCTION("""COMPUTED_VALUE"""),"BS-05")</f>
        <v>BS-05</v>
      </c>
      <c r="C14887" s="2" t="str">
        <f ca="1">IFERROR(__xludf.DUMMYFUNCTION("""COMPUTED_VALUE"""),"Building")</f>
        <v>Building</v>
      </c>
      <c r="D14887" s="2" t="str">
        <f ca="1">IFERROR(__xludf.DUMMYFUNCTION("""COMPUTED_VALUE"""),"Dubai&gt;Dubai Studio City&gt;Boutique Studios&gt;BS-05")</f>
        <v>Dubai&gt;Dubai Studio City&gt;Boutique Studios&gt;BS-05</v>
      </c>
      <c r="E14887" s="2"/>
      <c r="F14887" s="2"/>
      <c r="G14887" s="2"/>
      <c r="H14887" s="2"/>
      <c r="I14887" s="2"/>
      <c r="J14887" s="2"/>
      <c r="K14887" s="2"/>
      <c r="L14887" s="2"/>
      <c r="M14887" s="2"/>
      <c r="N14887" s="2"/>
      <c r="O14887" s="2"/>
      <c r="P14887" s="2"/>
      <c r="Q14887" s="2"/>
      <c r="R14887" s="2"/>
      <c r="S14887" s="2"/>
      <c r="T14887" s="2"/>
      <c r="U14887" s="2"/>
      <c r="V14887" s="2"/>
      <c r="W14887" s="2"/>
      <c r="X14887" s="2"/>
      <c r="Y14887" s="2"/>
      <c r="Z14887" s="2"/>
    </row>
    <row r="14888" spans="1:26" ht="16.5" x14ac:dyDescent="0.35">
      <c r="A14888" s="2" t="str">
        <f ca="1">IFERROR(__xludf.DUMMYFUNCTION("""COMPUTED_VALUE"""),"Dubai")</f>
        <v>Dubai</v>
      </c>
      <c r="B14888" s="2" t="str">
        <f ca="1">IFERROR(__xludf.DUMMYFUNCTION("""COMPUTED_VALUE"""),"Hartland International School")</f>
        <v>Hartland International School</v>
      </c>
      <c r="C14888" s="2" t="str">
        <f ca="1">IFERROR(__xludf.DUMMYFUNCTION("""COMPUTED_VALUE"""),"School")</f>
        <v>School</v>
      </c>
      <c r="D14888" s="2" t="str">
        <f ca="1">IFERROR(__xludf.DUMMYFUNCTION("""COMPUTED_VALUE"""),"Dubai&gt;Sobha Hartland&gt;Hartland International School")</f>
        <v>Dubai&gt;Sobha Hartland&gt;Hartland International School</v>
      </c>
      <c r="E14888" s="2"/>
      <c r="F14888" s="2"/>
      <c r="G14888" s="2"/>
      <c r="H14888" s="2"/>
      <c r="I14888" s="2"/>
      <c r="J14888" s="2"/>
      <c r="K14888" s="2"/>
      <c r="L14888" s="2"/>
      <c r="M14888" s="2"/>
      <c r="N14888" s="2"/>
      <c r="O14888" s="2"/>
      <c r="P14888" s="2"/>
      <c r="Q14888" s="2"/>
      <c r="R14888" s="2"/>
      <c r="S14888" s="2"/>
      <c r="T14888" s="2"/>
      <c r="U14888" s="2"/>
      <c r="V14888" s="2"/>
      <c r="W14888" s="2"/>
      <c r="X14888" s="2"/>
      <c r="Y14888" s="2"/>
      <c r="Z14888" s="2"/>
    </row>
    <row r="14889" spans="1:26" ht="16.5" x14ac:dyDescent="0.35">
      <c r="A14889" s="2" t="str">
        <f ca="1">IFERROR(__xludf.DUMMYFUNCTION("""COMPUTED_VALUE"""),"Dubai")</f>
        <v>Dubai</v>
      </c>
      <c r="B14889" s="2" t="str">
        <f ca="1">IFERROR(__xludf.DUMMYFUNCTION("""COMPUTED_VALUE"""),"Sobha Creek Vistas Reserve Tower A")</f>
        <v>Sobha Creek Vistas Reserve Tower A</v>
      </c>
      <c r="C14889" s="2" t="str">
        <f ca="1">IFERROR(__xludf.DUMMYFUNCTION("""COMPUTED_VALUE"""),"Building")</f>
        <v>Building</v>
      </c>
      <c r="D14889" s="2" t="str">
        <f ca="1">IFERROR(__xludf.DUMMYFUNCTION("""COMPUTED_VALUE"""),"Dubai&gt;Sobha Hartland&gt;Sobha Creek Vistas Reserve&gt;Sobha Creek Vistas Reserve Tower A")</f>
        <v>Dubai&gt;Sobha Hartland&gt;Sobha Creek Vistas Reserve&gt;Sobha Creek Vistas Reserve Tower A</v>
      </c>
      <c r="E14889" s="2"/>
      <c r="F14889" s="2"/>
      <c r="G14889" s="2"/>
      <c r="H14889" s="2"/>
      <c r="I14889" s="2"/>
      <c r="J14889" s="2"/>
      <c r="K14889" s="2"/>
      <c r="L14889" s="2"/>
      <c r="M14889" s="2"/>
      <c r="N14889" s="2"/>
      <c r="O14889" s="2"/>
      <c r="P14889" s="2"/>
      <c r="Q14889" s="2"/>
      <c r="R14889" s="2"/>
      <c r="S14889" s="2"/>
      <c r="T14889" s="2"/>
      <c r="U14889" s="2"/>
      <c r="V14889" s="2"/>
      <c r="W14889" s="2"/>
      <c r="X14889" s="2"/>
      <c r="Y14889" s="2"/>
      <c r="Z14889" s="2"/>
    </row>
    <row r="14890" spans="1:26" ht="16.5" x14ac:dyDescent="0.35">
      <c r="A14890" s="2" t="str">
        <f ca="1">IFERROR(__xludf.DUMMYFUNCTION("""COMPUTED_VALUE"""),"Dubai")</f>
        <v>Dubai</v>
      </c>
      <c r="B14890" s="2" t="str">
        <f ca="1">IFERROR(__xludf.DUMMYFUNCTION("""COMPUTED_VALUE"""),"Jumeirah Heights C")</f>
        <v>Jumeirah Heights C</v>
      </c>
      <c r="C14890" s="2" t="str">
        <f ca="1">IFERROR(__xludf.DUMMYFUNCTION("""COMPUTED_VALUE"""),"Building")</f>
        <v>Building</v>
      </c>
      <c r="D14890" s="2" t="str">
        <f ca="1">IFERROR(__xludf.DUMMYFUNCTION("""COMPUTED_VALUE"""),"Dubai&gt;Jumeirah Heights&gt;Jumeirah Heights C")</f>
        <v>Dubai&gt;Jumeirah Heights&gt;Jumeirah Heights C</v>
      </c>
      <c r="E14890" s="2"/>
      <c r="F14890" s="2"/>
      <c r="G14890" s="2"/>
      <c r="H14890" s="2"/>
      <c r="I14890" s="2"/>
      <c r="J14890" s="2"/>
      <c r="K14890" s="2"/>
      <c r="L14890" s="2"/>
      <c r="M14890" s="2"/>
      <c r="N14890" s="2"/>
      <c r="O14890" s="2"/>
      <c r="P14890" s="2"/>
      <c r="Q14890" s="2"/>
      <c r="R14890" s="2"/>
      <c r="S14890" s="2"/>
      <c r="T14890" s="2"/>
      <c r="U14890" s="2"/>
      <c r="V14890" s="2"/>
      <c r="W14890" s="2"/>
      <c r="X14890" s="2"/>
      <c r="Y14890" s="2"/>
      <c r="Z14890" s="2"/>
    </row>
    <row r="14891" spans="1:26" ht="16.5" x14ac:dyDescent="0.35">
      <c r="A14891" s="2" t="str">
        <f ca="1">IFERROR(__xludf.DUMMYFUNCTION("""COMPUTED_VALUE"""),"Dubai")</f>
        <v>Dubai</v>
      </c>
      <c r="B14891" s="2" t="str">
        <f ca="1">IFERROR(__xludf.DUMMYFUNCTION("""COMPUTED_VALUE"""),"Yasmina Villas")</f>
        <v>Yasmina Villas</v>
      </c>
      <c r="C14891" s="2" t="str">
        <f ca="1">IFERROR(__xludf.DUMMYFUNCTION("""COMPUTED_VALUE"""),"Neighbourhood")</f>
        <v>Neighbourhood</v>
      </c>
      <c r="D14891" s="2" t="str">
        <f ca="1">IFERROR(__xludf.DUMMYFUNCTION("""COMPUTED_VALUE"""),"Dubai&gt;Expo City&gt;Expo Valley&gt;Yasmina Villas")</f>
        <v>Dubai&gt;Expo City&gt;Expo Valley&gt;Yasmina Villas</v>
      </c>
      <c r="E14891" s="2"/>
      <c r="F14891" s="2"/>
      <c r="G14891" s="2"/>
      <c r="H14891" s="2"/>
      <c r="I14891" s="2"/>
      <c r="J14891" s="2"/>
      <c r="K14891" s="2"/>
      <c r="L14891" s="2"/>
      <c r="M14891" s="2"/>
      <c r="N14891" s="2"/>
      <c r="O14891" s="2"/>
      <c r="P14891" s="2"/>
      <c r="Q14891" s="2"/>
      <c r="R14891" s="2"/>
      <c r="S14891" s="2"/>
      <c r="T14891" s="2"/>
      <c r="U14891" s="2"/>
      <c r="V14891" s="2"/>
      <c r="W14891" s="2"/>
      <c r="X14891" s="2"/>
      <c r="Y14891" s="2"/>
      <c r="Z14891" s="2"/>
    </row>
    <row r="14892" spans="1:26" ht="16.5" x14ac:dyDescent="0.35">
      <c r="A14892" s="2" t="str">
        <f ca="1">IFERROR(__xludf.DUMMYFUNCTION("""COMPUTED_VALUE"""),"Dubai")</f>
        <v>Dubai</v>
      </c>
      <c r="B14892" s="2" t="str">
        <f ca="1">IFERROR(__xludf.DUMMYFUNCTION("""COMPUTED_VALUE"""),"Cote D' Azur Resort")</f>
        <v>Cote D' Azur Resort</v>
      </c>
      <c r="C14892" s="2" t="str">
        <f ca="1">IFERROR(__xludf.DUMMYFUNCTION("""COMPUTED_VALUE"""),"Cluster")</f>
        <v>Cluster</v>
      </c>
      <c r="D14892" s="2" t="str">
        <f ca="1">IFERROR(__xludf.DUMMYFUNCTION("""COMPUTED_VALUE"""),"Dubai&gt;The World Islands&gt;The Heart of Europe&gt;Cote D' Azur Resort")</f>
        <v>Dubai&gt;The World Islands&gt;The Heart of Europe&gt;Cote D' Azur Resort</v>
      </c>
      <c r="E14892" s="2"/>
      <c r="F14892" s="2"/>
      <c r="G14892" s="2"/>
      <c r="H14892" s="2"/>
      <c r="I14892" s="2"/>
      <c r="J14892" s="2"/>
      <c r="K14892" s="2"/>
      <c r="L14892" s="2"/>
      <c r="M14892" s="2"/>
      <c r="N14892" s="2"/>
      <c r="O14892" s="2"/>
      <c r="P14892" s="2"/>
      <c r="Q14892" s="2"/>
      <c r="R14892" s="2"/>
      <c r="S14892" s="2"/>
      <c r="T14892" s="2"/>
      <c r="U14892" s="2"/>
      <c r="V14892" s="2"/>
      <c r="W14892" s="2"/>
      <c r="X14892" s="2"/>
      <c r="Y14892" s="2"/>
      <c r="Z14892" s="2"/>
    </row>
    <row r="14893" spans="1:26" ht="16.5" x14ac:dyDescent="0.35">
      <c r="A14893" s="2" t="str">
        <f ca="1">IFERROR(__xludf.DUMMYFUNCTION("""COMPUTED_VALUE"""),"Dubai")</f>
        <v>Dubai</v>
      </c>
      <c r="B14893" s="2" t="str">
        <f ca="1">IFERROR(__xludf.DUMMYFUNCTION("""COMPUTED_VALUE"""),"Grayteesah")</f>
        <v>Grayteesah</v>
      </c>
      <c r="C14893" s="2" t="str">
        <f ca="1">IFERROR(__xludf.DUMMYFUNCTION("""COMPUTED_VALUE"""),"Neighbourhood")</f>
        <v>Neighbourhood</v>
      </c>
      <c r="D14893" s="2" t="str">
        <f ca="1">IFERROR(__xludf.DUMMYFUNCTION("""COMPUTED_VALUE"""),"Dubai&gt;Grayteesah")</f>
        <v>Dubai&gt;Grayteesah</v>
      </c>
      <c r="E14893" s="2"/>
      <c r="F14893" s="2"/>
      <c r="G14893" s="2"/>
      <c r="H14893" s="2"/>
      <c r="I14893" s="2"/>
      <c r="J14893" s="2"/>
      <c r="K14893" s="2"/>
      <c r="L14893" s="2"/>
      <c r="M14893" s="2"/>
      <c r="N14893" s="2"/>
      <c r="O14893" s="2"/>
      <c r="P14893" s="2"/>
      <c r="Q14893" s="2"/>
      <c r="R14893" s="2"/>
      <c r="S14893" s="2"/>
      <c r="T14893" s="2"/>
      <c r="U14893" s="2"/>
      <c r="V14893" s="2"/>
      <c r="W14893" s="2"/>
      <c r="X14893" s="2"/>
      <c r="Y14893" s="2"/>
      <c r="Z14893" s="2"/>
    </row>
    <row r="14894" spans="1:26" ht="16.5" x14ac:dyDescent="0.35">
      <c r="A14894" s="2" t="str">
        <f ca="1">IFERROR(__xludf.DUMMYFUNCTION("""COMPUTED_VALUE"""),"Dubai")</f>
        <v>Dubai</v>
      </c>
      <c r="B14894" s="2" t="str">
        <f ca="1">IFERROR(__xludf.DUMMYFUNCTION("""COMPUTED_VALUE"""),"Milon")</f>
        <v>Milon</v>
      </c>
      <c r="C14894" s="2" t="str">
        <f ca="1">IFERROR(__xludf.DUMMYFUNCTION("""COMPUTED_VALUE"""),"Neighbourhood")</f>
        <v>Neighbourhood</v>
      </c>
      <c r="D14894" s="2" t="str">
        <f ca="1">IFERROR(__xludf.DUMMYFUNCTION("""COMPUTED_VALUE"""),"Dubai&gt;Athlon by Aldar&gt;Milon")</f>
        <v>Dubai&gt;Athlon by Aldar&gt;Milon</v>
      </c>
      <c r="E14894" s="2"/>
      <c r="F14894" s="2"/>
      <c r="G14894" s="2"/>
      <c r="H14894" s="2"/>
      <c r="I14894" s="2"/>
      <c r="J14894" s="2"/>
      <c r="K14894" s="2"/>
      <c r="L14894" s="2"/>
      <c r="M14894" s="2"/>
      <c r="N14894" s="2"/>
      <c r="O14894" s="2"/>
      <c r="P14894" s="2"/>
      <c r="Q14894" s="2"/>
      <c r="R14894" s="2"/>
      <c r="S14894" s="2"/>
      <c r="T14894" s="2"/>
      <c r="U14894" s="2"/>
      <c r="V14894" s="2"/>
      <c r="W14894" s="2"/>
      <c r="X14894" s="2"/>
      <c r="Y14894" s="2"/>
      <c r="Z14894" s="2"/>
    </row>
    <row r="14895" spans="1:26" ht="16.5" x14ac:dyDescent="0.35">
      <c r="A14895" s="2" t="str">
        <f ca="1">IFERROR(__xludf.DUMMYFUNCTION("""COMPUTED_VALUE"""),"Dubai")</f>
        <v>Dubai</v>
      </c>
      <c r="B14895" s="2" t="str">
        <f ca="1">IFERROR(__xludf.DUMMYFUNCTION("""COMPUTED_VALUE"""),"Cilia Building 9")</f>
        <v>Cilia Building 9</v>
      </c>
      <c r="C14895" s="2" t="str">
        <f ca="1">IFERROR(__xludf.DUMMYFUNCTION("""COMPUTED_VALUE"""),"Building")</f>
        <v>Building</v>
      </c>
      <c r="D14895" s="2" t="str">
        <f ca="1">IFERROR(__xludf.DUMMYFUNCTION("""COMPUTED_VALUE"""),"Dubai&gt;Ghaf Woods&gt;Cilia&gt;Cilia Building 9")</f>
        <v>Dubai&gt;Ghaf Woods&gt;Cilia&gt;Cilia Building 9</v>
      </c>
      <c r="E14895" s="2"/>
      <c r="F14895" s="2"/>
      <c r="G14895" s="2"/>
      <c r="H14895" s="2"/>
      <c r="I14895" s="2"/>
      <c r="J14895" s="2"/>
      <c r="K14895" s="2"/>
      <c r="L14895" s="2"/>
      <c r="M14895" s="2"/>
      <c r="N14895" s="2"/>
      <c r="O14895" s="2"/>
      <c r="P14895" s="2"/>
      <c r="Q14895" s="2"/>
      <c r="R14895" s="2"/>
      <c r="S14895" s="2"/>
      <c r="T14895" s="2"/>
      <c r="U14895" s="2"/>
      <c r="V14895" s="2"/>
      <c r="W14895" s="2"/>
      <c r="X14895" s="2"/>
      <c r="Y14895" s="2"/>
      <c r="Z14895" s="2"/>
    </row>
    <row r="14896" spans="1:26" ht="16.5" x14ac:dyDescent="0.35">
      <c r="A14896" s="2" t="str">
        <f ca="1">IFERROR(__xludf.DUMMYFUNCTION("""COMPUTED_VALUE"""),"Dubai")</f>
        <v>Dubai</v>
      </c>
      <c r="B14896" s="2" t="str">
        <f ca="1">IFERROR(__xludf.DUMMYFUNCTION("""COMPUTED_VALUE"""),"Seychelles 2")</f>
        <v>Seychelles 2</v>
      </c>
      <c r="C14896" s="2" t="str">
        <f ca="1">IFERROR(__xludf.DUMMYFUNCTION("""COMPUTED_VALUE"""),"Neighbourhood")</f>
        <v>Neighbourhood</v>
      </c>
      <c r="D14896" s="2" t="str">
        <f ca="1">IFERROR(__xludf.DUMMYFUNCTION("""COMPUTED_VALUE"""),"Dubai&gt;DAMAC Islands&gt;Seychelles 2")</f>
        <v>Dubai&gt;DAMAC Islands&gt;Seychelles 2</v>
      </c>
      <c r="E14896" s="2"/>
      <c r="F14896" s="2"/>
      <c r="G14896" s="2"/>
      <c r="H14896" s="2"/>
      <c r="I14896" s="2"/>
      <c r="J14896" s="2"/>
      <c r="K14896" s="2"/>
      <c r="L14896" s="2"/>
      <c r="M14896" s="2"/>
      <c r="N14896" s="2"/>
      <c r="O14896" s="2"/>
      <c r="P14896" s="2"/>
      <c r="Q14896" s="2"/>
      <c r="R14896" s="2"/>
      <c r="S14896" s="2"/>
      <c r="T14896" s="2"/>
      <c r="U14896" s="2"/>
      <c r="V14896" s="2"/>
      <c r="W14896" s="2"/>
      <c r="X14896" s="2"/>
      <c r="Y14896" s="2"/>
      <c r="Z14896" s="2"/>
    </row>
    <row r="14897" spans="1:26" ht="16.5" x14ac:dyDescent="0.35">
      <c r="A14897" s="2" t="str">
        <f ca="1">IFERROR(__xludf.DUMMYFUNCTION("""COMPUTED_VALUE"""),"Dubai")</f>
        <v>Dubai</v>
      </c>
      <c r="B14897" s="2" t="str">
        <f ca="1">IFERROR(__xludf.DUMMYFUNCTION("""COMPUTED_VALUE"""),"Monroes Nursery")</f>
        <v>Monroes Nursery</v>
      </c>
      <c r="C14897" s="2" t="str">
        <f ca="1">IFERROR(__xludf.DUMMYFUNCTION("""COMPUTED_VALUE"""),"Nursery")</f>
        <v>Nursery</v>
      </c>
      <c r="D14897" s="2" t="str">
        <f ca="1">IFERROR(__xludf.DUMMYFUNCTION("""COMPUTED_VALUE"""),"Dubai&gt;Jumeirah Beach Residence (JBR)&gt;Murjan&gt;Monroes Nursery")</f>
        <v>Dubai&gt;Jumeirah Beach Residence (JBR)&gt;Murjan&gt;Monroes Nursery</v>
      </c>
      <c r="E14897" s="2"/>
      <c r="F14897" s="2"/>
      <c r="G14897" s="2"/>
      <c r="H14897" s="2"/>
      <c r="I14897" s="2"/>
      <c r="J14897" s="2"/>
      <c r="K14897" s="2"/>
      <c r="L14897" s="2"/>
      <c r="M14897" s="2"/>
      <c r="N14897" s="2"/>
      <c r="O14897" s="2"/>
      <c r="P14897" s="2"/>
      <c r="Q14897" s="2"/>
      <c r="R14897" s="2"/>
      <c r="S14897" s="2"/>
      <c r="T14897" s="2"/>
      <c r="U14897" s="2"/>
      <c r="V14897" s="2"/>
      <c r="W14897" s="2"/>
      <c r="X14897" s="2"/>
      <c r="Y14897" s="2"/>
      <c r="Z14897" s="2"/>
    </row>
    <row r="14898" spans="1:26" ht="16.5" x14ac:dyDescent="0.35">
      <c r="A14898" s="2" t="str">
        <f ca="1">IFERROR(__xludf.DUMMYFUNCTION("""COMPUTED_VALUE"""),"Dubai")</f>
        <v>Dubai</v>
      </c>
      <c r="B14898" s="2" t="str">
        <f ca="1">IFERROR(__xludf.DUMMYFUNCTION("""COMPUTED_VALUE"""),"Amwaj")</f>
        <v>Amwaj</v>
      </c>
      <c r="C14898" s="2" t="str">
        <f ca="1">IFERROR(__xludf.DUMMYFUNCTION("""COMPUTED_VALUE"""),"Cluster")</f>
        <v>Cluster</v>
      </c>
      <c r="D14898" s="2" t="str">
        <f ca="1">IFERROR(__xludf.DUMMYFUNCTION("""COMPUTED_VALUE"""),"Dubai&gt;Jumeirah Beach Residence (JBR)&gt;Amwaj")</f>
        <v>Dubai&gt;Jumeirah Beach Residence (JBR)&gt;Amwaj</v>
      </c>
      <c r="E14898" s="2"/>
      <c r="F14898" s="2"/>
      <c r="G14898" s="2"/>
      <c r="H14898" s="2"/>
      <c r="I14898" s="2"/>
      <c r="J14898" s="2"/>
      <c r="K14898" s="2"/>
      <c r="L14898" s="2"/>
      <c r="M14898" s="2"/>
      <c r="N14898" s="2"/>
      <c r="O14898" s="2"/>
      <c r="P14898" s="2"/>
      <c r="Q14898" s="2"/>
      <c r="R14898" s="2"/>
      <c r="S14898" s="2"/>
      <c r="T14898" s="2"/>
      <c r="U14898" s="2"/>
      <c r="V14898" s="2"/>
      <c r="W14898" s="2"/>
      <c r="X14898" s="2"/>
      <c r="Y14898" s="2"/>
      <c r="Z14898" s="2"/>
    </row>
    <row r="14899" spans="1:26" ht="16.5" x14ac:dyDescent="0.35">
      <c r="A14899" s="2" t="str">
        <f ca="1">IFERROR(__xludf.DUMMYFUNCTION("""COMPUTED_VALUE"""),"Dubai")</f>
        <v>Dubai</v>
      </c>
      <c r="B14899" s="2" t="str">
        <f ca="1">IFERROR(__xludf.DUMMYFUNCTION("""COMPUTED_VALUE"""),"The Winslow")</f>
        <v>The Winslow</v>
      </c>
      <c r="C14899" s="2" t="str">
        <f ca="1">IFERROR(__xludf.DUMMYFUNCTION("""COMPUTED_VALUE"""),"Building")</f>
        <v>Building</v>
      </c>
      <c r="D14899" s="2" t="str">
        <f ca="1">IFERROR(__xludf.DUMMYFUNCTION("""COMPUTED_VALUE"""),"Dubai&gt;Meydan Horizon&gt;The Winslow")</f>
        <v>Dubai&gt;Meydan Horizon&gt;The Winslow</v>
      </c>
      <c r="E14899" s="2"/>
      <c r="F14899" s="2"/>
      <c r="G14899" s="2"/>
      <c r="H14899" s="2"/>
      <c r="I14899" s="2"/>
      <c r="J14899" s="2"/>
      <c r="K14899" s="2"/>
      <c r="L14899" s="2"/>
      <c r="M14899" s="2"/>
      <c r="N14899" s="2"/>
      <c r="O14899" s="2"/>
      <c r="P14899" s="2"/>
      <c r="Q14899" s="2"/>
      <c r="R14899" s="2"/>
      <c r="S14899" s="2"/>
      <c r="T14899" s="2"/>
      <c r="U14899" s="2"/>
      <c r="V14899" s="2"/>
      <c r="W14899" s="2"/>
      <c r="X14899" s="2"/>
      <c r="Y14899" s="2"/>
      <c r="Z14899" s="2"/>
    </row>
    <row r="14900" spans="1:26" ht="16.5" x14ac:dyDescent="0.35">
      <c r="A14900" s="2" t="str">
        <f ca="1">IFERROR(__xludf.DUMMYFUNCTION("""COMPUTED_VALUE"""),"Dubai")</f>
        <v>Dubai</v>
      </c>
      <c r="B14900" s="2" t="str">
        <f ca="1">IFERROR(__xludf.DUMMYFUNCTION("""COMPUTED_VALUE"""),"Building 13A")</f>
        <v>Building 13A</v>
      </c>
      <c r="C14900" s="2" t="str">
        <f ca="1">IFERROR(__xludf.DUMMYFUNCTION("""COMPUTED_VALUE"""),"Building")</f>
        <v>Building</v>
      </c>
      <c r="D14900" s="2" t="str">
        <f ca="1">IFERROR(__xludf.DUMMYFUNCTION("""COMPUTED_VALUE"""),"Dubai&gt;Al Wasl&gt;City Walk&gt;Building 13A")</f>
        <v>Dubai&gt;Al Wasl&gt;City Walk&gt;Building 13A</v>
      </c>
      <c r="E14900" s="2"/>
      <c r="F14900" s="2"/>
      <c r="G14900" s="2"/>
      <c r="H14900" s="2"/>
      <c r="I14900" s="2"/>
      <c r="J14900" s="2"/>
      <c r="K14900" s="2"/>
      <c r="L14900" s="2"/>
      <c r="M14900" s="2"/>
      <c r="N14900" s="2"/>
      <c r="O14900" s="2"/>
      <c r="P14900" s="2"/>
      <c r="Q14900" s="2"/>
      <c r="R14900" s="2"/>
      <c r="S14900" s="2"/>
      <c r="T14900" s="2"/>
      <c r="U14900" s="2"/>
      <c r="V14900" s="2"/>
      <c r="W14900" s="2"/>
      <c r="X14900" s="2"/>
      <c r="Y14900" s="2"/>
      <c r="Z14900" s="2"/>
    </row>
    <row r="14901" spans="1:26" ht="16.5" x14ac:dyDescent="0.35">
      <c r="A14901" s="2" t="str">
        <f ca="1">IFERROR(__xludf.DUMMYFUNCTION("""COMPUTED_VALUE"""),"Dubai")</f>
        <v>Dubai</v>
      </c>
      <c r="B14901" s="2" t="str">
        <f ca="1">IFERROR(__xludf.DUMMYFUNCTION("""COMPUTED_VALUE"""),"Thyme at Central Park")</f>
        <v>Thyme at Central Park</v>
      </c>
      <c r="C14901" s="2" t="str">
        <f ca="1">IFERROR(__xludf.DUMMYFUNCTION("""COMPUTED_VALUE"""),"Building")</f>
        <v>Building</v>
      </c>
      <c r="D14901" s="2" t="str">
        <f ca="1">IFERROR(__xludf.DUMMYFUNCTION("""COMPUTED_VALUE"""),"Dubai&gt;Al Wasl&gt;City Walk&gt;Central Park&gt;Thyme at Central Park")</f>
        <v>Dubai&gt;Al Wasl&gt;City Walk&gt;Central Park&gt;Thyme at Central Park</v>
      </c>
      <c r="E14901" s="2"/>
      <c r="F14901" s="2"/>
      <c r="G14901" s="2"/>
      <c r="H14901" s="2"/>
      <c r="I14901" s="2"/>
      <c r="J14901" s="2"/>
      <c r="K14901" s="2"/>
      <c r="L14901" s="2"/>
      <c r="M14901" s="2"/>
      <c r="N14901" s="2"/>
      <c r="O14901" s="2"/>
      <c r="P14901" s="2"/>
      <c r="Q14901" s="2"/>
      <c r="R14901" s="2"/>
      <c r="S14901" s="2"/>
      <c r="T14901" s="2"/>
      <c r="U14901" s="2"/>
      <c r="V14901" s="2"/>
      <c r="W14901" s="2"/>
      <c r="X14901" s="2"/>
      <c r="Y14901" s="2"/>
      <c r="Z14901" s="2"/>
    </row>
    <row r="14902" spans="1:26" ht="16.5" x14ac:dyDescent="0.35">
      <c r="A14902" s="2" t="str">
        <f ca="1">IFERROR(__xludf.DUMMYFUNCTION("""COMPUTED_VALUE"""),"Dubai")</f>
        <v>Dubai</v>
      </c>
      <c r="B14902" s="2" t="str">
        <f ca="1">IFERROR(__xludf.DUMMYFUNCTION("""COMPUTED_VALUE"""),"City Walk Crestlane 2 Building B")</f>
        <v>City Walk Crestlane 2 Building B</v>
      </c>
      <c r="C14902" s="2" t="str">
        <f ca="1">IFERROR(__xludf.DUMMYFUNCTION("""COMPUTED_VALUE"""),"Building")</f>
        <v>Building</v>
      </c>
      <c r="D14902" s="2" t="str">
        <f ca="1">IFERROR(__xludf.DUMMYFUNCTION("""COMPUTED_VALUE"""),"Dubai&gt;Al Wasl&gt;City Walk&gt;City Walk Crestlane 2&gt;City Walk Crestlane 2 Building B")</f>
        <v>Dubai&gt;Al Wasl&gt;City Walk&gt;City Walk Crestlane 2&gt;City Walk Crestlane 2 Building B</v>
      </c>
      <c r="E14902" s="2"/>
      <c r="F14902" s="2"/>
      <c r="G14902" s="2"/>
      <c r="H14902" s="2"/>
      <c r="I14902" s="2"/>
      <c r="J14902" s="2"/>
      <c r="K14902" s="2"/>
      <c r="L14902" s="2"/>
      <c r="M14902" s="2"/>
      <c r="N14902" s="2"/>
      <c r="O14902" s="2"/>
      <c r="P14902" s="2"/>
      <c r="Q14902" s="2"/>
      <c r="R14902" s="2"/>
      <c r="S14902" s="2"/>
      <c r="T14902" s="2"/>
      <c r="U14902" s="2"/>
      <c r="V14902" s="2"/>
      <c r="W14902" s="2"/>
      <c r="X14902" s="2"/>
      <c r="Y14902" s="2"/>
      <c r="Z14902" s="2"/>
    </row>
    <row r="14903" spans="1:26" ht="16.5" x14ac:dyDescent="0.35">
      <c r="A14903" s="2" t="str">
        <f ca="1">IFERROR(__xludf.DUMMYFUNCTION("""COMPUTED_VALUE"""),"Dubai")</f>
        <v>Dubai</v>
      </c>
      <c r="B14903" s="2" t="str">
        <f ca="1">IFERROR(__xludf.DUMMYFUNCTION("""COMPUTED_VALUE"""),"Al Wasl Plaza")</f>
        <v>Al Wasl Plaza</v>
      </c>
      <c r="C14903" s="2" t="str">
        <f ca="1">IFERROR(__xludf.DUMMYFUNCTION("""COMPUTED_VALUE"""),"Building")</f>
        <v>Building</v>
      </c>
      <c r="D14903" s="2" t="str">
        <f ca="1">IFERROR(__xludf.DUMMYFUNCTION("""COMPUTED_VALUE"""),"Dubai&gt;Al Wasl&gt;Al Wasl Plaza")</f>
        <v>Dubai&gt;Al Wasl&gt;Al Wasl Plaza</v>
      </c>
      <c r="E14903" s="2"/>
      <c r="F14903" s="2"/>
      <c r="G14903" s="2"/>
      <c r="H14903" s="2"/>
      <c r="I14903" s="2"/>
      <c r="J14903" s="2"/>
      <c r="K14903" s="2"/>
      <c r="L14903" s="2"/>
      <c r="M14903" s="2"/>
      <c r="N14903" s="2"/>
      <c r="O14903" s="2"/>
      <c r="P14903" s="2"/>
      <c r="Q14903" s="2"/>
      <c r="R14903" s="2"/>
      <c r="S14903" s="2"/>
      <c r="T14903" s="2"/>
      <c r="U14903" s="2"/>
      <c r="V14903" s="2"/>
      <c r="W14903" s="2"/>
      <c r="X14903" s="2"/>
      <c r="Y14903" s="2"/>
      <c r="Z14903" s="2"/>
    </row>
    <row r="14904" spans="1:26" ht="16.5" x14ac:dyDescent="0.35">
      <c r="A14904" s="2" t="str">
        <f ca="1">IFERROR(__xludf.DUMMYFUNCTION("""COMPUTED_VALUE"""),"Dubai")</f>
        <v>Dubai</v>
      </c>
      <c r="B14904" s="2" t="str">
        <f ca="1">IFERROR(__xludf.DUMMYFUNCTION("""COMPUTED_VALUE"""),"Vincitore Boulevard E")</f>
        <v>Vincitore Boulevard E</v>
      </c>
      <c r="C14904" s="2" t="str">
        <f ca="1">IFERROR(__xludf.DUMMYFUNCTION("""COMPUTED_VALUE"""),"Building")</f>
        <v>Building</v>
      </c>
      <c r="D14904" s="2" t="str">
        <f ca="1">IFERROR(__xludf.DUMMYFUNCTION("""COMPUTED_VALUE"""),"Dubai&gt;Arjan&gt;Vincitore Boulevard&gt;Vincitore Boulevard E")</f>
        <v>Dubai&gt;Arjan&gt;Vincitore Boulevard&gt;Vincitore Boulevard E</v>
      </c>
      <c r="E14904" s="2"/>
      <c r="F14904" s="2"/>
      <c r="G14904" s="2"/>
      <c r="H14904" s="2"/>
      <c r="I14904" s="2"/>
      <c r="J14904" s="2"/>
      <c r="K14904" s="2"/>
      <c r="L14904" s="2"/>
      <c r="M14904" s="2"/>
      <c r="N14904" s="2"/>
      <c r="O14904" s="2"/>
      <c r="P14904" s="2"/>
      <c r="Q14904" s="2"/>
      <c r="R14904" s="2"/>
      <c r="S14904" s="2"/>
      <c r="T14904" s="2"/>
      <c r="U14904" s="2"/>
      <c r="V14904" s="2"/>
      <c r="W14904" s="2"/>
      <c r="X14904" s="2"/>
      <c r="Y14904" s="2"/>
      <c r="Z14904" s="2"/>
    </row>
    <row r="14905" spans="1:26" ht="16.5" x14ac:dyDescent="0.35">
      <c r="A14905" s="2" t="str">
        <f ca="1">IFERROR(__xludf.DUMMYFUNCTION("""COMPUTED_VALUE"""),"Dubai")</f>
        <v>Dubai</v>
      </c>
      <c r="B14905" s="2" t="str">
        <f ca="1">IFERROR(__xludf.DUMMYFUNCTION("""COMPUTED_VALUE"""),"Ghala Garden")</f>
        <v>Ghala Garden</v>
      </c>
      <c r="C14905" s="2" t="str">
        <f ca="1">IFERROR(__xludf.DUMMYFUNCTION("""COMPUTED_VALUE"""),"Building")</f>
        <v>Building</v>
      </c>
      <c r="D14905" s="2" t="str">
        <f ca="1">IFERROR(__xludf.DUMMYFUNCTION("""COMPUTED_VALUE"""),"Dubai&gt;Arjan&gt;Ghala Garden")</f>
        <v>Dubai&gt;Arjan&gt;Ghala Garden</v>
      </c>
      <c r="E14905" s="2"/>
      <c r="F14905" s="2"/>
      <c r="G14905" s="2"/>
      <c r="H14905" s="2"/>
      <c r="I14905" s="2"/>
      <c r="J14905" s="2"/>
      <c r="K14905" s="2"/>
      <c r="L14905" s="2"/>
      <c r="M14905" s="2"/>
      <c r="N14905" s="2"/>
      <c r="O14905" s="2"/>
      <c r="P14905" s="2"/>
      <c r="Q14905" s="2"/>
      <c r="R14905" s="2"/>
      <c r="S14905" s="2"/>
      <c r="T14905" s="2"/>
      <c r="U14905" s="2"/>
      <c r="V14905" s="2"/>
      <c r="W14905" s="2"/>
      <c r="X14905" s="2"/>
      <c r="Y14905" s="2"/>
      <c r="Z14905" s="2"/>
    </row>
    <row r="14906" spans="1:26" ht="16.5" x14ac:dyDescent="0.35">
      <c r="A14906" s="2" t="str">
        <f ca="1">IFERROR(__xludf.DUMMYFUNCTION("""COMPUTED_VALUE"""),"Dubai")</f>
        <v>Dubai</v>
      </c>
      <c r="B14906" s="2" t="str">
        <f ca="1">IFERROR(__xludf.DUMMYFUNCTION("""COMPUTED_VALUE"""),"Genesis by Meraki")</f>
        <v>Genesis by Meraki</v>
      </c>
      <c r="C14906" s="2" t="str">
        <f ca="1">IFERROR(__xludf.DUMMYFUNCTION("""COMPUTED_VALUE"""),"Building")</f>
        <v>Building</v>
      </c>
      <c r="D14906" s="2" t="str">
        <f ca="1">IFERROR(__xludf.DUMMYFUNCTION("""COMPUTED_VALUE"""),"Dubai&gt;Arjan&gt;Genesis by Meraki")</f>
        <v>Dubai&gt;Arjan&gt;Genesis by Meraki</v>
      </c>
      <c r="E14906" s="2"/>
      <c r="F14906" s="2"/>
      <c r="G14906" s="2"/>
      <c r="H14906" s="2"/>
      <c r="I14906" s="2"/>
      <c r="J14906" s="2"/>
      <c r="K14906" s="2"/>
      <c r="L14906" s="2"/>
      <c r="M14906" s="2"/>
      <c r="N14906" s="2"/>
      <c r="O14906" s="2"/>
      <c r="P14906" s="2"/>
      <c r="Q14906" s="2"/>
      <c r="R14906" s="2"/>
      <c r="S14906" s="2"/>
      <c r="T14906" s="2"/>
      <c r="U14906" s="2"/>
      <c r="V14906" s="2"/>
      <c r="W14906" s="2"/>
      <c r="X14906" s="2"/>
      <c r="Y14906" s="2"/>
      <c r="Z14906" s="2"/>
    </row>
    <row r="14907" spans="1:26" ht="16.5" x14ac:dyDescent="0.35">
      <c r="A14907" s="2" t="str">
        <f ca="1">IFERROR(__xludf.DUMMYFUNCTION("""COMPUTED_VALUE"""),"Dubai")</f>
        <v>Dubai</v>
      </c>
      <c r="B14907" s="2" t="str">
        <f ca="1">IFERROR(__xludf.DUMMYFUNCTION("""COMPUTED_VALUE"""),"The Corner")</f>
        <v>The Corner</v>
      </c>
      <c r="C14907" s="2" t="str">
        <f ca="1">IFERROR(__xludf.DUMMYFUNCTION("""COMPUTED_VALUE"""),"Building")</f>
        <v>Building</v>
      </c>
      <c r="D14907" s="2" t="str">
        <f ca="1">IFERROR(__xludf.DUMMYFUNCTION("""COMPUTED_VALUE"""),"Dubai&gt;Arjan&gt;The Corner")</f>
        <v>Dubai&gt;Arjan&gt;The Corner</v>
      </c>
      <c r="E14907" s="2"/>
      <c r="F14907" s="2"/>
      <c r="G14907" s="2"/>
      <c r="H14907" s="2"/>
      <c r="I14907" s="2"/>
      <c r="J14907" s="2"/>
      <c r="K14907" s="2"/>
      <c r="L14907" s="2"/>
      <c r="M14907" s="2"/>
      <c r="N14907" s="2"/>
      <c r="O14907" s="2"/>
      <c r="P14907" s="2"/>
      <c r="Q14907" s="2"/>
      <c r="R14907" s="2"/>
      <c r="S14907" s="2"/>
      <c r="T14907" s="2"/>
      <c r="U14907" s="2"/>
      <c r="V14907" s="2"/>
      <c r="W14907" s="2"/>
      <c r="X14907" s="2"/>
      <c r="Y14907" s="2"/>
      <c r="Z14907" s="2"/>
    </row>
    <row r="14908" spans="1:26" ht="16.5" x14ac:dyDescent="0.35">
      <c r="A14908" s="2" t="str">
        <f ca="1">IFERROR(__xludf.DUMMYFUNCTION("""COMPUTED_VALUE"""),"Dubai")</f>
        <v>Dubai</v>
      </c>
      <c r="B14908" s="2" t="str">
        <f ca="1">IFERROR(__xludf.DUMMYFUNCTION("""COMPUTED_VALUE"""),"Malak Arjan Block A")</f>
        <v>Malak Arjan Block A</v>
      </c>
      <c r="C14908" s="2" t="str">
        <f ca="1">IFERROR(__xludf.DUMMYFUNCTION("""COMPUTED_VALUE"""),"Building")</f>
        <v>Building</v>
      </c>
      <c r="D14908" s="2" t="str">
        <f ca="1">IFERROR(__xludf.DUMMYFUNCTION("""COMPUTED_VALUE"""),"Dubai&gt;Arjan&gt;Malak Arjan&gt;Malak Arjan Block A")</f>
        <v>Dubai&gt;Arjan&gt;Malak Arjan&gt;Malak Arjan Block A</v>
      </c>
      <c r="E14908" s="2"/>
      <c r="F14908" s="2"/>
      <c r="G14908" s="2"/>
      <c r="H14908" s="2"/>
      <c r="I14908" s="2"/>
      <c r="J14908" s="2"/>
      <c r="K14908" s="2"/>
      <c r="L14908" s="2"/>
      <c r="M14908" s="2"/>
      <c r="N14908" s="2"/>
      <c r="O14908" s="2"/>
      <c r="P14908" s="2"/>
      <c r="Q14908" s="2"/>
      <c r="R14908" s="2"/>
      <c r="S14908" s="2"/>
      <c r="T14908" s="2"/>
      <c r="U14908" s="2"/>
      <c r="V14908" s="2"/>
      <c r="W14908" s="2"/>
      <c r="X14908" s="2"/>
      <c r="Y14908" s="2"/>
      <c r="Z14908" s="2"/>
    </row>
    <row r="14909" spans="1:26" ht="16.5" x14ac:dyDescent="0.35">
      <c r="A14909" s="2" t="str">
        <f ca="1">IFERROR(__xludf.DUMMYFUNCTION("""COMPUTED_VALUE"""),"Dubai")</f>
        <v>Dubai</v>
      </c>
      <c r="B14909" s="2" t="str">
        <f ca="1">IFERROR(__xludf.DUMMYFUNCTION("""COMPUTED_VALUE"""),"Arjan Seven B1")</f>
        <v>Arjan Seven B1</v>
      </c>
      <c r="C14909" s="2" t="str">
        <f ca="1">IFERROR(__xludf.DUMMYFUNCTION("""COMPUTED_VALUE"""),"Building")</f>
        <v>Building</v>
      </c>
      <c r="D14909" s="2" t="str">
        <f ca="1">IFERROR(__xludf.DUMMYFUNCTION("""COMPUTED_VALUE"""),"Dubai&gt;Arjan&gt;Arjan Seven&gt;Arjan Seven B1")</f>
        <v>Dubai&gt;Arjan&gt;Arjan Seven&gt;Arjan Seven B1</v>
      </c>
      <c r="E14909" s="2"/>
      <c r="F14909" s="2"/>
      <c r="G14909" s="2"/>
      <c r="H14909" s="2"/>
      <c r="I14909" s="2"/>
      <c r="J14909" s="2"/>
      <c r="K14909" s="2"/>
      <c r="L14909" s="2"/>
      <c r="M14909" s="2"/>
      <c r="N14909" s="2"/>
      <c r="O14909" s="2"/>
      <c r="P14909" s="2"/>
      <c r="Q14909" s="2"/>
      <c r="R14909" s="2"/>
      <c r="S14909" s="2"/>
      <c r="T14909" s="2"/>
      <c r="U14909" s="2"/>
      <c r="V14909" s="2"/>
      <c r="W14909" s="2"/>
      <c r="X14909" s="2"/>
      <c r="Y14909" s="2"/>
      <c r="Z14909" s="2"/>
    </row>
    <row r="14910" spans="1:26" ht="16.5" x14ac:dyDescent="0.35">
      <c r="A14910" s="2" t="str">
        <f ca="1">IFERROR(__xludf.DUMMYFUNCTION("""COMPUTED_VALUE"""),"Dubai")</f>
        <v>Dubai</v>
      </c>
      <c r="B14910" s="2" t="str">
        <f ca="1">IFERROR(__xludf.DUMMYFUNCTION("""COMPUTED_VALUE"""),"Al Safa")</f>
        <v>Al Safa</v>
      </c>
      <c r="C14910" s="2" t="str">
        <f ca="1">IFERROR(__xludf.DUMMYFUNCTION("""COMPUTED_VALUE"""),"Neighbourhood")</f>
        <v>Neighbourhood</v>
      </c>
      <c r="D14910" s="2" t="str">
        <f ca="1">IFERROR(__xludf.DUMMYFUNCTION("""COMPUTED_VALUE"""),"Dubai&gt;Al Safa")</f>
        <v>Dubai&gt;Al Safa</v>
      </c>
      <c r="E14910" s="2"/>
      <c r="F14910" s="2"/>
      <c r="G14910" s="2"/>
      <c r="H14910" s="2"/>
      <c r="I14910" s="2"/>
      <c r="J14910" s="2"/>
      <c r="K14910" s="2"/>
      <c r="L14910" s="2"/>
      <c r="M14910" s="2"/>
      <c r="N14910" s="2"/>
      <c r="O14910" s="2"/>
      <c r="P14910" s="2"/>
      <c r="Q14910" s="2"/>
      <c r="R14910" s="2"/>
      <c r="S14910" s="2"/>
      <c r="T14910" s="2"/>
      <c r="U14910" s="2"/>
      <c r="V14910" s="2"/>
      <c r="W14910" s="2"/>
      <c r="X14910" s="2"/>
      <c r="Y14910" s="2"/>
      <c r="Z14910" s="2"/>
    </row>
    <row r="14911" spans="1:26" ht="16.5" x14ac:dyDescent="0.35">
      <c r="A14911" s="2" t="str">
        <f ca="1">IFERROR(__xludf.DUMMYFUNCTION("""COMPUTED_VALUE"""),"Dubai")</f>
        <v>Dubai</v>
      </c>
      <c r="B14911" s="2" t="str">
        <f ca="1">IFERROR(__xludf.DUMMYFUNCTION("""COMPUTED_VALUE"""),"Avani Palm View Dubai Hotel &amp; Suites")</f>
        <v>Avani Palm View Dubai Hotel &amp; Suites</v>
      </c>
      <c r="C14911" s="2" t="str">
        <f ca="1">IFERROR(__xludf.DUMMYFUNCTION("""COMPUTED_VALUE"""),"Building")</f>
        <v>Building</v>
      </c>
      <c r="D14911" s="2" t="str">
        <f ca="1">IFERROR(__xludf.DUMMYFUNCTION("""COMPUTED_VALUE"""),"Dubai&gt;Dubai Media City&gt;Avani Palm View Dubai Hotel &amp; Suites")</f>
        <v>Dubai&gt;Dubai Media City&gt;Avani Palm View Dubai Hotel &amp; Suites</v>
      </c>
      <c r="E14911" s="2"/>
      <c r="F14911" s="2"/>
      <c r="G14911" s="2"/>
      <c r="H14911" s="2"/>
      <c r="I14911" s="2"/>
      <c r="J14911" s="2"/>
      <c r="K14911" s="2"/>
      <c r="L14911" s="2"/>
      <c r="M14911" s="2"/>
      <c r="N14911" s="2"/>
      <c r="O14911" s="2"/>
      <c r="P14911" s="2"/>
      <c r="Q14911" s="2"/>
      <c r="R14911" s="2"/>
      <c r="S14911" s="2"/>
      <c r="T14911" s="2"/>
      <c r="U14911" s="2"/>
      <c r="V14911" s="2"/>
      <c r="W14911" s="2"/>
      <c r="X14911" s="2"/>
      <c r="Y14911" s="2"/>
      <c r="Z14911" s="2"/>
    </row>
    <row r="14912" spans="1:26" ht="16.5" x14ac:dyDescent="0.35">
      <c r="A14912" s="2" t="str">
        <f ca="1">IFERROR(__xludf.DUMMYFUNCTION("""COMPUTED_VALUE"""),"Abu Dhabi")</f>
        <v>Abu Dhabi</v>
      </c>
      <c r="B14912" s="2" t="str">
        <f ca="1">IFERROR(__xludf.DUMMYFUNCTION("""COMPUTED_VALUE"""),"Junaibi Tower")</f>
        <v>Junaibi Tower</v>
      </c>
      <c r="C14912" s="2" t="str">
        <f ca="1">IFERROR(__xludf.DUMMYFUNCTION("""COMPUTED_VALUE"""),"Building")</f>
        <v>Building</v>
      </c>
      <c r="D14912" s="2" t="str">
        <f ca="1">IFERROR(__xludf.DUMMYFUNCTION("""COMPUTED_VALUE"""),"Abu Dhabi&gt;Al Dhafrah&gt;Junaibi Tower")</f>
        <v>Abu Dhabi&gt;Al Dhafrah&gt;Junaibi Tower</v>
      </c>
      <c r="E14912" s="2"/>
      <c r="F14912" s="2"/>
      <c r="G14912" s="2"/>
      <c r="H14912" s="2"/>
      <c r="I14912" s="2"/>
      <c r="J14912" s="2"/>
      <c r="K14912" s="2"/>
      <c r="L14912" s="2"/>
      <c r="M14912" s="2"/>
      <c r="N14912" s="2"/>
      <c r="O14912" s="2"/>
      <c r="P14912" s="2"/>
      <c r="Q14912" s="2"/>
      <c r="R14912" s="2"/>
      <c r="S14912" s="2"/>
      <c r="T14912" s="2"/>
      <c r="U14912" s="2"/>
      <c r="V14912" s="2"/>
      <c r="W14912" s="2"/>
      <c r="X14912" s="2"/>
      <c r="Y14912" s="2"/>
      <c r="Z14912" s="2"/>
    </row>
    <row r="14913" spans="1:26" ht="16.5" x14ac:dyDescent="0.35">
      <c r="A14913" s="2" t="str">
        <f ca="1">IFERROR(__xludf.DUMMYFUNCTION("""COMPUTED_VALUE"""),"Abu Dhabi")</f>
        <v>Abu Dhabi</v>
      </c>
      <c r="B14913" s="2" t="str">
        <f ca="1">IFERROR(__xludf.DUMMYFUNCTION("""COMPUTED_VALUE"""),"Bright Beginnings Nursery Mehairba")</f>
        <v>Bright Beginnings Nursery Mehairba</v>
      </c>
      <c r="C14913" s="2" t="str">
        <f ca="1">IFERROR(__xludf.DUMMYFUNCTION("""COMPUTED_VALUE"""),"Nursery")</f>
        <v>Nursery</v>
      </c>
      <c r="D14913" s="2" t="str">
        <f ca="1">IFERROR(__xludf.DUMMYFUNCTION("""COMPUTED_VALUE"""),"Abu Dhabi&gt;Al Bateen&gt;Bright Beginnings Nursery Mehairba")</f>
        <v>Abu Dhabi&gt;Al Bateen&gt;Bright Beginnings Nursery Mehairba</v>
      </c>
      <c r="E14913" s="2"/>
      <c r="F14913" s="2"/>
      <c r="G14913" s="2"/>
      <c r="H14913" s="2"/>
      <c r="I14913" s="2"/>
      <c r="J14913" s="2"/>
      <c r="K14913" s="2"/>
      <c r="L14913" s="2"/>
      <c r="M14913" s="2"/>
      <c r="N14913" s="2"/>
      <c r="O14913" s="2"/>
      <c r="P14913" s="2"/>
      <c r="Q14913" s="2"/>
      <c r="R14913" s="2"/>
      <c r="S14913" s="2"/>
      <c r="T14913" s="2"/>
      <c r="U14913" s="2"/>
      <c r="V14913" s="2"/>
      <c r="W14913" s="2"/>
      <c r="X14913" s="2"/>
      <c r="Y14913" s="2"/>
      <c r="Z14913" s="2"/>
    </row>
    <row r="14914" spans="1:26" ht="16.5" x14ac:dyDescent="0.35">
      <c r="A14914" s="2" t="str">
        <f ca="1">IFERROR(__xludf.DUMMYFUNCTION("""COMPUTED_VALUE"""),"Abu Dhabi")</f>
        <v>Abu Dhabi</v>
      </c>
      <c r="B14914" s="2" t="str">
        <f ca="1">IFERROR(__xludf.DUMMYFUNCTION("""COMPUTED_VALUE"""),"Summer Tower")</f>
        <v>Summer Tower</v>
      </c>
      <c r="C14914" s="2" t="str">
        <f ca="1">IFERROR(__xludf.DUMMYFUNCTION("""COMPUTED_VALUE"""),"Building")</f>
        <v>Building</v>
      </c>
      <c r="D14914" s="2" t="str">
        <f ca="1">IFERROR(__xludf.DUMMYFUNCTION("""COMPUTED_VALUE"""),"Abu Dhabi&gt;Airport Street&gt;Fotouh Al Khair&gt;Summer Tower")</f>
        <v>Abu Dhabi&gt;Airport Street&gt;Fotouh Al Khair&gt;Summer Tower</v>
      </c>
      <c r="E14914" s="2"/>
      <c r="F14914" s="2"/>
      <c r="G14914" s="2"/>
      <c r="H14914" s="2"/>
      <c r="I14914" s="2"/>
      <c r="J14914" s="2"/>
      <c r="K14914" s="2"/>
      <c r="L14914" s="2"/>
      <c r="M14914" s="2"/>
      <c r="N14914" s="2"/>
      <c r="O14914" s="2"/>
      <c r="P14914" s="2"/>
      <c r="Q14914" s="2"/>
      <c r="R14914" s="2"/>
      <c r="S14914" s="2"/>
      <c r="T14914" s="2"/>
      <c r="U14914" s="2"/>
      <c r="V14914" s="2"/>
      <c r="W14914" s="2"/>
      <c r="X14914" s="2"/>
      <c r="Y14914" s="2"/>
      <c r="Z14914" s="2"/>
    </row>
    <row r="14915" spans="1:26" ht="16.5" x14ac:dyDescent="0.35">
      <c r="A14915" s="2" t="str">
        <f ca="1">IFERROR(__xludf.DUMMYFUNCTION("""COMPUTED_VALUE"""),"Abu Dhabi")</f>
        <v>Abu Dhabi</v>
      </c>
      <c r="B14915" s="2" t="str">
        <f ca="1">IFERROR(__xludf.DUMMYFUNCTION("""COMPUTED_VALUE"""),"Waterfront Tower B")</f>
        <v>Waterfront Tower B</v>
      </c>
      <c r="C14915" s="2" t="str">
        <f ca="1">IFERROR(__xludf.DUMMYFUNCTION("""COMPUTED_VALUE"""),"Building")</f>
        <v>Building</v>
      </c>
      <c r="D14915" s="2" t="str">
        <f ca="1">IFERROR(__xludf.DUMMYFUNCTION("""COMPUTED_VALUE"""),"Abu Dhabi&gt;Tourist Club Area (TCA)&gt;Waterfront Residential Towers&gt;Waterfront Tower B")</f>
        <v>Abu Dhabi&gt;Tourist Club Area (TCA)&gt;Waterfront Residential Towers&gt;Waterfront Tower B</v>
      </c>
      <c r="E14915" s="2"/>
      <c r="F14915" s="2"/>
      <c r="G14915" s="2"/>
      <c r="H14915" s="2"/>
      <c r="I14915" s="2"/>
      <c r="J14915" s="2"/>
      <c r="K14915" s="2"/>
      <c r="L14915" s="2"/>
      <c r="M14915" s="2"/>
      <c r="N14915" s="2"/>
      <c r="O14915" s="2"/>
      <c r="P14915" s="2"/>
      <c r="Q14915" s="2"/>
      <c r="R14915" s="2"/>
      <c r="S14915" s="2"/>
      <c r="T14915" s="2"/>
      <c r="U14915" s="2"/>
      <c r="V14915" s="2"/>
      <c r="W14915" s="2"/>
      <c r="X14915" s="2"/>
      <c r="Y14915" s="2"/>
      <c r="Z14915" s="2"/>
    </row>
    <row r="14916" spans="1:26" ht="16.5" x14ac:dyDescent="0.35">
      <c r="A14916" s="2" t="str">
        <f ca="1">IFERROR(__xludf.DUMMYFUNCTION("""COMPUTED_VALUE"""),"Abu Dhabi")</f>
        <v>Abu Dhabi</v>
      </c>
      <c r="B14916" s="2" t="str">
        <f ca="1">IFERROR(__xludf.DUMMYFUNCTION("""COMPUTED_VALUE"""),"International School of Choueifat (ISC), Abu Dhabi")</f>
        <v>International School of Choueifat (ISC), Abu Dhabi</v>
      </c>
      <c r="C14916" s="2" t="str">
        <f ca="1">IFERROR(__xludf.DUMMYFUNCTION("""COMPUTED_VALUE"""),"School")</f>
        <v>School</v>
      </c>
      <c r="D14916" s="2" t="str">
        <f ca="1">IFERROR(__xludf.DUMMYFUNCTION("""COMPUTED_VALUE"""),"Abu Dhabi&gt;Al Mushrif&gt;International School of Choueifat (ISC), Abu Dhabi")</f>
        <v>Abu Dhabi&gt;Al Mushrif&gt;International School of Choueifat (ISC), Abu Dhabi</v>
      </c>
      <c r="E14916" s="2"/>
      <c r="F14916" s="2"/>
      <c r="G14916" s="2"/>
      <c r="H14916" s="2"/>
      <c r="I14916" s="2"/>
      <c r="J14916" s="2"/>
      <c r="K14916" s="2"/>
      <c r="L14916" s="2"/>
      <c r="M14916" s="2"/>
      <c r="N14916" s="2"/>
      <c r="O14916" s="2"/>
      <c r="P14916" s="2"/>
      <c r="Q14916" s="2"/>
      <c r="R14916" s="2"/>
      <c r="S14916" s="2"/>
      <c r="T14916" s="2"/>
      <c r="U14916" s="2"/>
      <c r="V14916" s="2"/>
      <c r="W14916" s="2"/>
      <c r="X14916" s="2"/>
      <c r="Y14916" s="2"/>
      <c r="Z14916" s="2"/>
    </row>
    <row r="14917" spans="1:26" ht="16.5" x14ac:dyDescent="0.35">
      <c r="A14917" s="2" t="str">
        <f ca="1">IFERROR(__xludf.DUMMYFUNCTION("""COMPUTED_VALUE"""),"Abu Dhabi")</f>
        <v>Abu Dhabi</v>
      </c>
      <c r="B14917" s="2" t="str">
        <f ca="1">IFERROR(__xludf.DUMMYFUNCTION("""COMPUTED_VALUE"""),"Jacob &amp; Co Beachfront Living by Ohana")</f>
        <v>Jacob &amp; Co Beachfront Living by Ohana</v>
      </c>
      <c r="C14917" s="2" t="str">
        <f ca="1">IFERROR(__xludf.DUMMYFUNCTION("""COMPUTED_VALUE"""),"Neighbourhood")</f>
        <v>Neighbourhood</v>
      </c>
      <c r="D14917" s="2" t="str">
        <f ca="1">IFERROR(__xludf.DUMMYFUNCTION("""COMPUTED_VALUE"""),"Abu Dhabi&gt;Al Jurf&gt;Jacob &amp; Co Beachfront Living by Ohana")</f>
        <v>Abu Dhabi&gt;Al Jurf&gt;Jacob &amp; Co Beachfront Living by Ohana</v>
      </c>
      <c r="E14917" s="2"/>
      <c r="F14917" s="2"/>
      <c r="G14917" s="2"/>
      <c r="H14917" s="2"/>
      <c r="I14917" s="2"/>
      <c r="J14917" s="2"/>
      <c r="K14917" s="2"/>
      <c r="L14917" s="2"/>
      <c r="M14917" s="2"/>
      <c r="N14917" s="2"/>
      <c r="O14917" s="2"/>
      <c r="P14917" s="2"/>
      <c r="Q14917" s="2"/>
      <c r="R14917" s="2"/>
      <c r="S14917" s="2"/>
      <c r="T14917" s="2"/>
      <c r="U14917" s="2"/>
      <c r="V14917" s="2"/>
      <c r="W14917" s="2"/>
      <c r="X14917" s="2"/>
      <c r="Y14917" s="2"/>
      <c r="Z14917" s="2"/>
    </row>
    <row r="14918" spans="1:26" ht="16.5" x14ac:dyDescent="0.35">
      <c r="A14918" s="2" t="str">
        <f ca="1">IFERROR(__xludf.DUMMYFUNCTION("""COMPUTED_VALUE"""),"Abu Dhabi")</f>
        <v>Abu Dhabi</v>
      </c>
      <c r="B14918" s="2" t="str">
        <f ca="1">IFERROR(__xludf.DUMMYFUNCTION("""COMPUTED_VALUE"""),"Rabdan")</f>
        <v>Rabdan</v>
      </c>
      <c r="C14918" s="2" t="str">
        <f ca="1">IFERROR(__xludf.DUMMYFUNCTION("""COMPUTED_VALUE"""),"Neighbourhood")</f>
        <v>Neighbourhood</v>
      </c>
      <c r="D14918" s="2" t="str">
        <f ca="1">IFERROR(__xludf.DUMMYFUNCTION("""COMPUTED_VALUE"""),"Abu Dhabi&gt;Rabdan")</f>
        <v>Abu Dhabi&gt;Rabdan</v>
      </c>
      <c r="E14918" s="2"/>
      <c r="F14918" s="2"/>
      <c r="G14918" s="2"/>
      <c r="H14918" s="2"/>
      <c r="I14918" s="2"/>
      <c r="J14918" s="2"/>
      <c r="K14918" s="2"/>
      <c r="L14918" s="2"/>
      <c r="M14918" s="2"/>
      <c r="N14918" s="2"/>
      <c r="O14918" s="2"/>
      <c r="P14918" s="2"/>
      <c r="Q14918" s="2"/>
      <c r="R14918" s="2"/>
      <c r="S14918" s="2"/>
      <c r="T14918" s="2"/>
      <c r="U14918" s="2"/>
      <c r="V14918" s="2"/>
      <c r="W14918" s="2"/>
      <c r="X14918" s="2"/>
      <c r="Y14918" s="2"/>
      <c r="Z14918" s="2"/>
    </row>
    <row r="14919" spans="1:26" ht="16.5" x14ac:dyDescent="0.35">
      <c r="A14919" s="2" t="str">
        <f ca="1">IFERROR(__xludf.DUMMYFUNCTION("""COMPUTED_VALUE"""),"Abu Dhabi")</f>
        <v>Abu Dhabi</v>
      </c>
      <c r="B14919" s="2" t="str">
        <f ca="1">IFERROR(__xludf.DUMMYFUNCTION("""COMPUTED_VALUE"""),"Oasis Residences")</f>
        <v>Oasis Residences</v>
      </c>
      <c r="C14919" s="2" t="str">
        <f ca="1">IFERROR(__xludf.DUMMYFUNCTION("""COMPUTED_VALUE"""),"Cluster")</f>
        <v>Cluster</v>
      </c>
      <c r="D14919" s="2" t="str">
        <f ca="1">IFERROR(__xludf.DUMMYFUNCTION("""COMPUTED_VALUE"""),"Abu Dhabi&gt;Masdar City&gt;Oasis Residences")</f>
        <v>Abu Dhabi&gt;Masdar City&gt;Oasis Residences</v>
      </c>
      <c r="E14919" s="2"/>
      <c r="F14919" s="2"/>
      <c r="G14919" s="2"/>
      <c r="H14919" s="2"/>
      <c r="I14919" s="2"/>
      <c r="J14919" s="2"/>
      <c r="K14919" s="2"/>
      <c r="L14919" s="2"/>
      <c r="M14919" s="2"/>
      <c r="N14919" s="2"/>
      <c r="O14919" s="2"/>
      <c r="P14919" s="2"/>
      <c r="Q14919" s="2"/>
      <c r="R14919" s="2"/>
      <c r="S14919" s="2"/>
      <c r="T14919" s="2"/>
      <c r="U14919" s="2"/>
      <c r="V14919" s="2"/>
      <c r="W14919" s="2"/>
      <c r="X14919" s="2"/>
      <c r="Y14919" s="2"/>
      <c r="Z14919" s="2"/>
    </row>
    <row r="14920" spans="1:26" ht="16.5" x14ac:dyDescent="0.35">
      <c r="A14920" s="2" t="str">
        <f ca="1">IFERROR(__xludf.DUMMYFUNCTION("""COMPUTED_VALUE"""),"Abu Dhabi")</f>
        <v>Abu Dhabi</v>
      </c>
      <c r="B14920" s="2" t="str">
        <f ca="1">IFERROR(__xludf.DUMMYFUNCTION("""COMPUTED_VALUE"""),"Urban Oasis Compound")</f>
        <v>Urban Oasis Compound</v>
      </c>
      <c r="C14920" s="2" t="str">
        <f ca="1">IFERROR(__xludf.DUMMYFUNCTION("""COMPUTED_VALUE"""),"Building")</f>
        <v>Building</v>
      </c>
      <c r="D14920" s="2" t="str">
        <f ca="1">IFERROR(__xludf.DUMMYFUNCTION("""COMPUTED_VALUE"""),"Abu Dhabi&gt;Between Two Bridges (Bain Al Jessrain)&gt;Urban Oasis Compound")</f>
        <v>Abu Dhabi&gt;Between Two Bridges (Bain Al Jessrain)&gt;Urban Oasis Compound</v>
      </c>
      <c r="E14920" s="2"/>
      <c r="F14920" s="2"/>
      <c r="G14920" s="2"/>
      <c r="H14920" s="2"/>
      <c r="I14920" s="2"/>
      <c r="J14920" s="2"/>
      <c r="K14920" s="2"/>
      <c r="L14920" s="2"/>
      <c r="M14920" s="2"/>
      <c r="N14920" s="2"/>
      <c r="O14920" s="2"/>
      <c r="P14920" s="2"/>
      <c r="Q14920" s="2"/>
      <c r="R14920" s="2"/>
      <c r="S14920" s="2"/>
      <c r="T14920" s="2"/>
      <c r="U14920" s="2"/>
      <c r="V14920" s="2"/>
      <c r="W14920" s="2"/>
      <c r="X14920" s="2"/>
      <c r="Y14920" s="2"/>
      <c r="Z14920" s="2"/>
    </row>
    <row r="14921" spans="1:26" ht="16.5" x14ac:dyDescent="0.35">
      <c r="A14921" s="2" t="str">
        <f ca="1">IFERROR(__xludf.DUMMYFUNCTION("""COMPUTED_VALUE"""),"Abu Dhabi")</f>
        <v>Abu Dhabi</v>
      </c>
      <c r="B14921" s="2" t="str">
        <f ca="1">IFERROR(__xludf.DUMMYFUNCTION("""COMPUTED_VALUE"""),"Four Seasons Hotel")</f>
        <v>Four Seasons Hotel</v>
      </c>
      <c r="C14921" s="2" t="str">
        <f ca="1">IFERROR(__xludf.DUMMYFUNCTION("""COMPUTED_VALUE"""),"Building")</f>
        <v>Building</v>
      </c>
      <c r="D14921" s="2" t="str">
        <f ca="1">IFERROR(__xludf.DUMMYFUNCTION("""COMPUTED_VALUE"""),"Abu Dhabi&gt;Al Maryah Island&gt;Four Seasons Hotel")</f>
        <v>Abu Dhabi&gt;Al Maryah Island&gt;Four Seasons Hotel</v>
      </c>
      <c r="E14921" s="2"/>
      <c r="F14921" s="2"/>
      <c r="G14921" s="2"/>
      <c r="H14921" s="2"/>
      <c r="I14921" s="2"/>
      <c r="J14921" s="2"/>
      <c r="K14921" s="2"/>
      <c r="L14921" s="2"/>
      <c r="M14921" s="2"/>
      <c r="N14921" s="2"/>
      <c r="O14921" s="2"/>
      <c r="P14921" s="2"/>
      <c r="Q14921" s="2"/>
      <c r="R14921" s="2"/>
      <c r="S14921" s="2"/>
      <c r="T14921" s="2"/>
      <c r="U14921" s="2"/>
      <c r="V14921" s="2"/>
      <c r="W14921" s="2"/>
      <c r="X14921" s="2"/>
      <c r="Y14921" s="2"/>
      <c r="Z14921" s="2"/>
    </row>
    <row r="14922" spans="1:26" ht="16.5" x14ac:dyDescent="0.35">
      <c r="A14922" s="2" t="str">
        <f ca="1">IFERROR(__xludf.DUMMYFUNCTION("""COMPUTED_VALUE"""),"Abu Dhabi")</f>
        <v>Abu Dhabi</v>
      </c>
      <c r="B14922" s="2" t="str">
        <f ca="1">IFERROR(__xludf.DUMMYFUNCTION("""COMPUTED_VALUE"""),"The Montessori Children's Garden Abu Dhabi")</f>
        <v>The Montessori Children's Garden Abu Dhabi</v>
      </c>
      <c r="C14922" s="2" t="str">
        <f ca="1">IFERROR(__xludf.DUMMYFUNCTION("""COMPUTED_VALUE"""),"Nursery")</f>
        <v>Nursery</v>
      </c>
      <c r="D14922" s="2" t="str">
        <f ca="1">IFERROR(__xludf.DUMMYFUNCTION("""COMPUTED_VALUE"""),"Abu Dhabi&gt;Al Matar&gt;The Montessori Children's Garden Abu Dhabi")</f>
        <v>Abu Dhabi&gt;Al Matar&gt;The Montessori Children's Garden Abu Dhabi</v>
      </c>
      <c r="E14922" s="2"/>
      <c r="F14922" s="2"/>
      <c r="G14922" s="2"/>
      <c r="H14922" s="2"/>
      <c r="I14922" s="2"/>
      <c r="J14922" s="2"/>
      <c r="K14922" s="2"/>
      <c r="L14922" s="2"/>
      <c r="M14922" s="2"/>
      <c r="N14922" s="2"/>
      <c r="O14922" s="2"/>
      <c r="P14922" s="2"/>
      <c r="Q14922" s="2"/>
      <c r="R14922" s="2"/>
      <c r="S14922" s="2"/>
      <c r="T14922" s="2"/>
      <c r="U14922" s="2"/>
      <c r="V14922" s="2"/>
      <c r="W14922" s="2"/>
      <c r="X14922" s="2"/>
      <c r="Y14922" s="2"/>
      <c r="Z14922" s="2"/>
    </row>
    <row r="14923" spans="1:26" ht="16.5" x14ac:dyDescent="0.35">
      <c r="A14923" s="2" t="str">
        <f ca="1">IFERROR(__xludf.DUMMYFUNCTION("""COMPUTED_VALUE"""),"Abu Dhabi")</f>
        <v>Abu Dhabi</v>
      </c>
      <c r="B14923" s="2" t="str">
        <f ca="1">IFERROR(__xludf.DUMMYFUNCTION("""COMPUTED_VALUE"""),"MSH15")</f>
        <v>MSH15</v>
      </c>
      <c r="C14923" s="2" t="str">
        <f ca="1">IFERROR(__xludf.DUMMYFUNCTION("""COMPUTED_VALUE"""),"Neighbourhood")</f>
        <v>Neighbourhood</v>
      </c>
      <c r="D14923" s="2" t="str">
        <f ca="1">IFERROR(__xludf.DUMMYFUNCTION("""COMPUTED_VALUE"""),"Abu Dhabi&gt;Shakhbout City&gt;MSH15")</f>
        <v>Abu Dhabi&gt;Shakhbout City&gt;MSH15</v>
      </c>
      <c r="E14923" s="2"/>
      <c r="F14923" s="2"/>
      <c r="G14923" s="2"/>
      <c r="H14923" s="2"/>
      <c r="I14923" s="2"/>
      <c r="J14923" s="2"/>
      <c r="K14923" s="2"/>
      <c r="L14923" s="2"/>
      <c r="M14923" s="2"/>
      <c r="N14923" s="2"/>
      <c r="O14923" s="2"/>
      <c r="P14923" s="2"/>
      <c r="Q14923" s="2"/>
      <c r="R14923" s="2"/>
      <c r="S14923" s="2"/>
      <c r="T14923" s="2"/>
      <c r="U14923" s="2"/>
      <c r="V14923" s="2"/>
      <c r="W14923" s="2"/>
      <c r="X14923" s="2"/>
      <c r="Y14923" s="2"/>
      <c r="Z14923" s="2"/>
    </row>
    <row r="14924" spans="1:26" ht="16.5" x14ac:dyDescent="0.35">
      <c r="A14924" s="2" t="str">
        <f ca="1">IFERROR(__xludf.DUMMYFUNCTION("""COMPUTED_VALUE"""),"Abu Dhabi")</f>
        <v>Abu Dhabi</v>
      </c>
      <c r="B14924" s="2" t="str">
        <f ca="1">IFERROR(__xludf.DUMMYFUNCTION("""COMPUTED_VALUE"""),"Lycée Français Louis Massignon, Abu Dhabi")</f>
        <v>Lycée Français Louis Massignon, Abu Dhabi</v>
      </c>
      <c r="C14924" s="2" t="str">
        <f ca="1">IFERROR(__xludf.DUMMYFUNCTION("""COMPUTED_VALUE"""),"School")</f>
        <v>School</v>
      </c>
      <c r="D14924" s="2" t="str">
        <f ca="1">IFERROR(__xludf.DUMMYFUNCTION("""COMPUTED_VALUE"""),"Abu Dhabi&gt;Al Sa'adah&gt;Lycée Français Louis Massignon, Abu Dhabi")</f>
        <v>Abu Dhabi&gt;Al Sa'adah&gt;Lycée Français Louis Massignon, Abu Dhabi</v>
      </c>
      <c r="E14924" s="2"/>
      <c r="F14924" s="2"/>
      <c r="G14924" s="2"/>
      <c r="H14924" s="2"/>
      <c r="I14924" s="2"/>
      <c r="J14924" s="2"/>
      <c r="K14924" s="2"/>
      <c r="L14924" s="2"/>
      <c r="M14924" s="2"/>
      <c r="N14924" s="2"/>
      <c r="O14924" s="2"/>
      <c r="P14924" s="2"/>
      <c r="Q14924" s="2"/>
      <c r="R14924" s="2"/>
      <c r="S14924" s="2"/>
      <c r="T14924" s="2"/>
      <c r="U14924" s="2"/>
      <c r="V14924" s="2"/>
      <c r="W14924" s="2"/>
      <c r="X14924" s="2"/>
      <c r="Y14924" s="2"/>
      <c r="Z14924" s="2"/>
    </row>
    <row r="14925" spans="1:26" ht="16.5" x14ac:dyDescent="0.35">
      <c r="A14925" s="2" t="str">
        <f ca="1">IFERROR(__xludf.DUMMYFUNCTION("""COMPUTED_VALUE"""),"Abu Dhabi")</f>
        <v>Abu Dhabi</v>
      </c>
      <c r="B14925" s="2" t="str">
        <f ca="1">IFERROR(__xludf.DUMMYFUNCTION("""COMPUTED_VALUE"""),"My Nursery Abu Dhabi")</f>
        <v>My Nursery Abu Dhabi</v>
      </c>
      <c r="C14925" s="2" t="str">
        <f ca="1">IFERROR(__xludf.DUMMYFUNCTION("""COMPUTED_VALUE"""),"Nursery")</f>
        <v>Nursery</v>
      </c>
      <c r="D14925" s="2" t="str">
        <f ca="1">IFERROR(__xludf.DUMMYFUNCTION("""COMPUTED_VALUE"""),"Abu Dhabi&gt;Al Khubeirah&gt;My Nursery Abu Dhabi")</f>
        <v>Abu Dhabi&gt;Al Khubeirah&gt;My Nursery Abu Dhabi</v>
      </c>
      <c r="E14925" s="2"/>
      <c r="F14925" s="2"/>
      <c r="G14925" s="2"/>
      <c r="H14925" s="2"/>
      <c r="I14925" s="2"/>
      <c r="J14925" s="2"/>
      <c r="K14925" s="2"/>
      <c r="L14925" s="2"/>
      <c r="M14925" s="2"/>
      <c r="N14925" s="2"/>
      <c r="O14925" s="2"/>
      <c r="P14925" s="2"/>
      <c r="Q14925" s="2"/>
      <c r="R14925" s="2"/>
      <c r="S14925" s="2"/>
      <c r="T14925" s="2"/>
      <c r="U14925" s="2"/>
      <c r="V14925" s="2"/>
      <c r="W14925" s="2"/>
      <c r="X14925" s="2"/>
      <c r="Y14925" s="2"/>
      <c r="Z14925" s="2"/>
    </row>
    <row r="14926" spans="1:26" ht="16.5" x14ac:dyDescent="0.35">
      <c r="A14926" s="2" t="str">
        <f ca="1">IFERROR(__xludf.DUMMYFUNCTION("""COMPUTED_VALUE"""),"Abu Dhabi")</f>
        <v>Abu Dhabi</v>
      </c>
      <c r="B14926" s="2" t="str">
        <f ca="1">IFERROR(__xludf.DUMMYFUNCTION("""COMPUTED_VALUE"""),"Aryam Tower")</f>
        <v>Aryam Tower</v>
      </c>
      <c r="C14926" s="2" t="str">
        <f ca="1">IFERROR(__xludf.DUMMYFUNCTION("""COMPUTED_VALUE"""),"Building")</f>
        <v>Building</v>
      </c>
      <c r="D14926" s="2" t="str">
        <f ca="1">IFERROR(__xludf.DUMMYFUNCTION("""COMPUTED_VALUE"""),"Abu Dhabi&gt;Al Hisn&gt;Aryam Tower")</f>
        <v>Abu Dhabi&gt;Al Hisn&gt;Aryam Tower</v>
      </c>
      <c r="E14926" s="2"/>
      <c r="F14926" s="2"/>
      <c r="G14926" s="2"/>
      <c r="H14926" s="2"/>
      <c r="I14926" s="2"/>
      <c r="J14926" s="2"/>
      <c r="K14926" s="2"/>
      <c r="L14926" s="2"/>
      <c r="M14926" s="2"/>
      <c r="N14926" s="2"/>
      <c r="O14926" s="2"/>
      <c r="P14926" s="2"/>
      <c r="Q14926" s="2"/>
      <c r="R14926" s="2"/>
      <c r="S14926" s="2"/>
      <c r="T14926" s="2"/>
      <c r="U14926" s="2"/>
      <c r="V14926" s="2"/>
      <c r="W14926" s="2"/>
      <c r="X14926" s="2"/>
      <c r="Y14926" s="2"/>
      <c r="Z14926" s="2"/>
    </row>
    <row r="14927" spans="1:26" ht="16.5" x14ac:dyDescent="0.35">
      <c r="A14927" s="2" t="str">
        <f ca="1">IFERROR(__xludf.DUMMYFUNCTION("""COMPUTED_VALUE"""),"Abu Dhabi")</f>
        <v>Abu Dhabi</v>
      </c>
      <c r="B14927" s="2" t="str">
        <f ca="1">IFERROR(__xludf.DUMMYFUNCTION("""COMPUTED_VALUE"""),"Abu Dhabi International Private School")</f>
        <v>Abu Dhabi International Private School</v>
      </c>
      <c r="C14927" s="2" t="str">
        <f ca="1">IFERROR(__xludf.DUMMYFUNCTION("""COMPUTED_VALUE"""),"School")</f>
        <v>School</v>
      </c>
      <c r="D14927" s="2" t="str">
        <f ca="1">IFERROR(__xludf.DUMMYFUNCTION("""COMPUTED_VALUE"""),"Abu Dhabi&gt;Al Manhal&gt;Abu Dhabi International Private School")</f>
        <v>Abu Dhabi&gt;Al Manhal&gt;Abu Dhabi International Private School</v>
      </c>
      <c r="E14927" s="2"/>
      <c r="F14927" s="2"/>
      <c r="G14927" s="2"/>
      <c r="H14927" s="2"/>
      <c r="I14927" s="2"/>
      <c r="J14927" s="2"/>
      <c r="K14927" s="2"/>
      <c r="L14927" s="2"/>
      <c r="M14927" s="2"/>
      <c r="N14927" s="2"/>
      <c r="O14927" s="2"/>
      <c r="P14927" s="2"/>
      <c r="Q14927" s="2"/>
      <c r="R14927" s="2"/>
      <c r="S14927" s="2"/>
      <c r="T14927" s="2"/>
      <c r="U14927" s="2"/>
      <c r="V14927" s="2"/>
      <c r="W14927" s="2"/>
      <c r="X14927" s="2"/>
      <c r="Y14927" s="2"/>
      <c r="Z14927" s="2"/>
    </row>
    <row r="14928" spans="1:26" ht="16.5" x14ac:dyDescent="0.35">
      <c r="A14928" s="2" t="str">
        <f ca="1">IFERROR(__xludf.DUMMYFUNCTION("""COMPUTED_VALUE"""),"Abu Dhabi")</f>
        <v>Abu Dhabi</v>
      </c>
      <c r="B14928" s="2" t="str">
        <f ca="1">IFERROR(__xludf.DUMMYFUNCTION("""COMPUTED_VALUE"""),"Fahid Beach Residences Tower B7")</f>
        <v>Fahid Beach Residences Tower B7</v>
      </c>
      <c r="C14928" s="2" t="str">
        <f ca="1">IFERROR(__xludf.DUMMYFUNCTION("""COMPUTED_VALUE"""),"Building")</f>
        <v>Building</v>
      </c>
      <c r="D14928" s="2" t="str">
        <f ca="1">IFERROR(__xludf.DUMMYFUNCTION("""COMPUTED_VALUE"""),"Abu Dhabi&gt;Fahid Island&gt;Fahid Beach Residences&gt;Fahid Beach Residences Tower B7")</f>
        <v>Abu Dhabi&gt;Fahid Island&gt;Fahid Beach Residences&gt;Fahid Beach Residences Tower B7</v>
      </c>
      <c r="E14928" s="2"/>
      <c r="F14928" s="2"/>
      <c r="G14928" s="2"/>
      <c r="H14928" s="2"/>
      <c r="I14928" s="2"/>
      <c r="J14928" s="2"/>
      <c r="K14928" s="2"/>
      <c r="L14928" s="2"/>
      <c r="M14928" s="2"/>
      <c r="N14928" s="2"/>
      <c r="O14928" s="2"/>
      <c r="P14928" s="2"/>
      <c r="Q14928" s="2"/>
      <c r="R14928" s="2"/>
      <c r="S14928" s="2"/>
      <c r="T14928" s="2"/>
      <c r="U14928" s="2"/>
      <c r="V14928" s="2"/>
      <c r="W14928" s="2"/>
      <c r="X14928" s="2"/>
      <c r="Y14928" s="2"/>
      <c r="Z14928" s="2"/>
    </row>
    <row r="14929" spans="1:26" ht="16.5" x14ac:dyDescent="0.35">
      <c r="A14929" s="2" t="str">
        <f ca="1">IFERROR(__xludf.DUMMYFUNCTION("""COMPUTED_VALUE"""),"Abu Dhabi")</f>
        <v>Abu Dhabi</v>
      </c>
      <c r="B14929" s="2" t="str">
        <f ca="1">IFERROR(__xludf.DUMMYFUNCTION("""COMPUTED_VALUE"""),"Baheen Tower")</f>
        <v>Baheen Tower</v>
      </c>
      <c r="C14929" s="2" t="str">
        <f ca="1">IFERROR(__xludf.DUMMYFUNCTION("""COMPUTED_VALUE"""),"Building")</f>
        <v>Building</v>
      </c>
      <c r="D14929" s="2" t="str">
        <f ca="1">IFERROR(__xludf.DUMMYFUNCTION("""COMPUTED_VALUE"""),"Abu Dhabi&gt;Al Reem Island&gt;Najmat Abu Dhabi&gt;Baheen Tower")</f>
        <v>Abu Dhabi&gt;Al Reem Island&gt;Najmat Abu Dhabi&gt;Baheen Tower</v>
      </c>
      <c r="E14929" s="2"/>
      <c r="F14929" s="2"/>
      <c r="G14929" s="2"/>
      <c r="H14929" s="2"/>
      <c r="I14929" s="2"/>
      <c r="J14929" s="2"/>
      <c r="K14929" s="2"/>
      <c r="L14929" s="2"/>
      <c r="M14929" s="2"/>
      <c r="N14929" s="2"/>
      <c r="O14929" s="2"/>
      <c r="P14929" s="2"/>
      <c r="Q14929" s="2"/>
      <c r="R14929" s="2"/>
      <c r="S14929" s="2"/>
      <c r="T14929" s="2"/>
      <c r="U14929" s="2"/>
      <c r="V14929" s="2"/>
      <c r="W14929" s="2"/>
      <c r="X14929" s="2"/>
      <c r="Y14929" s="2"/>
      <c r="Z14929" s="2"/>
    </row>
    <row r="14930" spans="1:26" ht="16.5" x14ac:dyDescent="0.35">
      <c r="A14930" s="2" t="str">
        <f ca="1">IFERROR(__xludf.DUMMYFUNCTION("""COMPUTED_VALUE"""),"Abu Dhabi")</f>
        <v>Abu Dhabi</v>
      </c>
      <c r="B14930" s="2" t="str">
        <f ca="1">IFERROR(__xludf.DUMMYFUNCTION("""COMPUTED_VALUE"""),"Marina Square")</f>
        <v>Marina Square</v>
      </c>
      <c r="C14930" s="2" t="str">
        <f ca="1">IFERROR(__xludf.DUMMYFUNCTION("""COMPUTED_VALUE"""),"Neighbourhood")</f>
        <v>Neighbourhood</v>
      </c>
      <c r="D14930" s="2" t="str">
        <f ca="1">IFERROR(__xludf.DUMMYFUNCTION("""COMPUTED_VALUE"""),"Abu Dhabi&gt;Al Reem Island&gt;Marina Square")</f>
        <v>Abu Dhabi&gt;Al Reem Island&gt;Marina Square</v>
      </c>
      <c r="E14930" s="2"/>
      <c r="F14930" s="2"/>
      <c r="G14930" s="2"/>
      <c r="H14930" s="2"/>
      <c r="I14930" s="2"/>
      <c r="J14930" s="2"/>
      <c r="K14930" s="2"/>
      <c r="L14930" s="2"/>
      <c r="M14930" s="2"/>
      <c r="N14930" s="2"/>
      <c r="O14930" s="2"/>
      <c r="P14930" s="2"/>
      <c r="Q14930" s="2"/>
      <c r="R14930" s="2"/>
      <c r="S14930" s="2"/>
      <c r="T14930" s="2"/>
      <c r="U14930" s="2"/>
      <c r="V14930" s="2"/>
      <c r="W14930" s="2"/>
      <c r="X14930" s="2"/>
      <c r="Y14930" s="2"/>
      <c r="Z14930" s="2"/>
    </row>
    <row r="14931" spans="1:26" ht="16.5" x14ac:dyDescent="0.35">
      <c r="A14931" s="2" t="str">
        <f ca="1">IFERROR(__xludf.DUMMYFUNCTION("""COMPUTED_VALUE"""),"Abu Dhabi")</f>
        <v>Abu Dhabi</v>
      </c>
      <c r="B14931" s="2" t="str">
        <f ca="1">IFERROR(__xludf.DUMMYFUNCTION("""COMPUTED_VALUE"""),"Azure")</f>
        <v>Azure</v>
      </c>
      <c r="C14931" s="2" t="str">
        <f ca="1">IFERROR(__xludf.DUMMYFUNCTION("""COMPUTED_VALUE"""),"Building")</f>
        <v>Building</v>
      </c>
      <c r="D14931" s="2" t="str">
        <f ca="1">IFERROR(__xludf.DUMMYFUNCTION("""COMPUTED_VALUE"""),"Abu Dhabi&gt;Al Reem Island&gt;Shams Abu Dhabi&gt;Azure")</f>
        <v>Abu Dhabi&gt;Al Reem Island&gt;Shams Abu Dhabi&gt;Azure</v>
      </c>
      <c r="E14931" s="2"/>
      <c r="F14931" s="2"/>
      <c r="G14931" s="2"/>
      <c r="H14931" s="2"/>
      <c r="I14931" s="2"/>
      <c r="J14931" s="2"/>
      <c r="K14931" s="2"/>
      <c r="L14931" s="2"/>
      <c r="M14931" s="2"/>
      <c r="N14931" s="2"/>
      <c r="O14931" s="2"/>
      <c r="P14931" s="2"/>
      <c r="Q14931" s="2"/>
      <c r="R14931" s="2"/>
      <c r="S14931" s="2"/>
      <c r="T14931" s="2"/>
      <c r="U14931" s="2"/>
      <c r="V14931" s="2"/>
      <c r="W14931" s="2"/>
      <c r="X14931" s="2"/>
      <c r="Y14931" s="2"/>
      <c r="Z14931" s="2"/>
    </row>
    <row r="14932" spans="1:26" ht="16.5" x14ac:dyDescent="0.35">
      <c r="A14932" s="2" t="str">
        <f ca="1">IFERROR(__xludf.DUMMYFUNCTION("""COMPUTED_VALUE"""),"Abu Dhabi")</f>
        <v>Abu Dhabi</v>
      </c>
      <c r="B14932" s="2" t="str">
        <f ca="1">IFERROR(__xludf.DUMMYFUNCTION("""COMPUTED_VALUE"""),"Al Odaid Beach Residences")</f>
        <v>Al Odaid Beach Residences</v>
      </c>
      <c r="C14932" s="2" t="str">
        <f ca="1">IFERROR(__xludf.DUMMYFUNCTION("""COMPUTED_VALUE"""),"Building")</f>
        <v>Building</v>
      </c>
      <c r="D14932" s="2" t="str">
        <f ca="1">IFERROR(__xludf.DUMMYFUNCTION("""COMPUTED_VALUE"""),"Abu Dhabi&gt;Al Reem Island&gt;Shams Abu Dhabi&gt;Al Odaid Beach Residences")</f>
        <v>Abu Dhabi&gt;Al Reem Island&gt;Shams Abu Dhabi&gt;Al Odaid Beach Residences</v>
      </c>
      <c r="E14932" s="2"/>
      <c r="F14932" s="2"/>
      <c r="G14932" s="2"/>
      <c r="H14932" s="2"/>
      <c r="I14932" s="2"/>
      <c r="J14932" s="2"/>
      <c r="K14932" s="2"/>
      <c r="L14932" s="2"/>
      <c r="M14932" s="2"/>
      <c r="N14932" s="2"/>
      <c r="O14932" s="2"/>
      <c r="P14932" s="2"/>
      <c r="Q14932" s="2"/>
      <c r="R14932" s="2"/>
      <c r="S14932" s="2"/>
      <c r="T14932" s="2"/>
      <c r="U14932" s="2"/>
      <c r="V14932" s="2"/>
      <c r="W14932" s="2"/>
      <c r="X14932" s="2"/>
      <c r="Y14932" s="2"/>
      <c r="Z14932" s="2"/>
    </row>
    <row r="14933" spans="1:26" ht="16.5" x14ac:dyDescent="0.35">
      <c r="A14933" s="2" t="str">
        <f ca="1">IFERROR(__xludf.DUMMYFUNCTION("""COMPUTED_VALUE"""),"Abu Dhabi")</f>
        <v>Abu Dhabi</v>
      </c>
      <c r="B14933" s="2" t="str">
        <f ca="1">IFERROR(__xludf.DUMMYFUNCTION("""COMPUTED_VALUE"""),"C5 Tower")</f>
        <v>C5 Tower</v>
      </c>
      <c r="C14933" s="2" t="str">
        <f ca="1">IFERROR(__xludf.DUMMYFUNCTION("""COMPUTED_VALUE"""),"Building")</f>
        <v>Building</v>
      </c>
      <c r="D14933" s="2" t="str">
        <f ca="1">IFERROR(__xludf.DUMMYFUNCTION("""COMPUTED_VALUE"""),"Abu Dhabi&gt;Al Reem Island&gt;City of Lights&gt;C5 Tower")</f>
        <v>Abu Dhabi&gt;Al Reem Island&gt;City of Lights&gt;C5 Tower</v>
      </c>
      <c r="E14933" s="2"/>
      <c r="F14933" s="2"/>
      <c r="G14933" s="2"/>
      <c r="H14933" s="2"/>
      <c r="I14933" s="2"/>
      <c r="J14933" s="2"/>
      <c r="K14933" s="2"/>
      <c r="L14933" s="2"/>
      <c r="M14933" s="2"/>
      <c r="N14933" s="2"/>
      <c r="O14933" s="2"/>
      <c r="P14933" s="2"/>
      <c r="Q14933" s="2"/>
      <c r="R14933" s="2"/>
      <c r="S14933" s="2"/>
      <c r="T14933" s="2"/>
      <c r="U14933" s="2"/>
      <c r="V14933" s="2"/>
      <c r="W14933" s="2"/>
      <c r="X14933" s="2"/>
      <c r="Y14933" s="2"/>
      <c r="Z14933" s="2"/>
    </row>
    <row r="14934" spans="1:26" ht="16.5" x14ac:dyDescent="0.35">
      <c r="A14934" s="2" t="str">
        <f ca="1">IFERROR(__xludf.DUMMYFUNCTION("""COMPUTED_VALUE"""),"Dubai")</f>
        <v>Dubai</v>
      </c>
      <c r="B14934" s="2" t="str">
        <f ca="1">IFERROR(__xludf.DUMMYFUNCTION("""COMPUTED_VALUE"""),"A Villas")</f>
        <v>A Villas</v>
      </c>
      <c r="C14934" s="2" t="str">
        <f ca="1">IFERROR(__xludf.DUMMYFUNCTION("""COMPUTED_VALUE"""),"Neighbourhood")</f>
        <v>Neighbourhood</v>
      </c>
      <c r="D14934" s="2" t="str">
        <f ca="1">IFERROR(__xludf.DUMMYFUNCTION("""COMPUTED_VALUE"""),"Dubai&gt;Living Legends&gt;A Villas")</f>
        <v>Dubai&gt;Living Legends&gt;A Villas</v>
      </c>
      <c r="E14934" s="2"/>
      <c r="F14934" s="2"/>
      <c r="G14934" s="2"/>
      <c r="H14934" s="2"/>
      <c r="I14934" s="2"/>
      <c r="J14934" s="2"/>
      <c r="K14934" s="2"/>
      <c r="L14934" s="2"/>
      <c r="M14934" s="2"/>
      <c r="N14934" s="2"/>
      <c r="O14934" s="2"/>
      <c r="P14934" s="2"/>
      <c r="Q14934" s="2"/>
      <c r="R14934" s="2"/>
      <c r="S14934" s="2"/>
      <c r="T14934" s="2"/>
      <c r="U14934" s="2"/>
      <c r="V14934" s="2"/>
      <c r="W14934" s="2"/>
      <c r="X14934" s="2"/>
      <c r="Y14934" s="2"/>
      <c r="Z14934" s="2"/>
    </row>
    <row r="14935" spans="1:26" ht="16.5" x14ac:dyDescent="0.35">
      <c r="A14935" s="2" t="str">
        <f ca="1">IFERROR(__xludf.DUMMYFUNCTION("""COMPUTED_VALUE"""),"Dubai")</f>
        <v>Dubai</v>
      </c>
      <c r="B14935" s="2" t="str">
        <f ca="1">IFERROR(__xludf.DUMMYFUNCTION("""COMPUTED_VALUE"""),"Al Qusais Second 297")</f>
        <v>Al Qusais Second 297</v>
      </c>
      <c r="C14935" s="2" t="str">
        <f ca="1">IFERROR(__xludf.DUMMYFUNCTION("""COMPUTED_VALUE"""),"Building")</f>
        <v>Building</v>
      </c>
      <c r="D14935" s="2" t="str">
        <f ca="1">IFERROR(__xludf.DUMMYFUNCTION("""COMPUTED_VALUE"""),"Dubai&gt;Al Qusais&gt;Al Qusais Residential Area&gt;Al Qusais 2&gt;Al Qusais Second 297")</f>
        <v>Dubai&gt;Al Qusais&gt;Al Qusais Residential Area&gt;Al Qusais 2&gt;Al Qusais Second 297</v>
      </c>
      <c r="E14935" s="2"/>
      <c r="F14935" s="2"/>
      <c r="G14935" s="2"/>
      <c r="H14935" s="2"/>
      <c r="I14935" s="2"/>
      <c r="J14935" s="2"/>
      <c r="K14935" s="2"/>
      <c r="L14935" s="2"/>
      <c r="M14935" s="2"/>
      <c r="N14935" s="2"/>
      <c r="O14935" s="2"/>
      <c r="P14935" s="2"/>
      <c r="Q14935" s="2"/>
      <c r="R14935" s="2"/>
      <c r="S14935" s="2"/>
      <c r="T14935" s="2"/>
      <c r="U14935" s="2"/>
      <c r="V14935" s="2"/>
      <c r="W14935" s="2"/>
      <c r="X14935" s="2"/>
      <c r="Y14935" s="2"/>
      <c r="Z14935" s="2"/>
    </row>
    <row r="14936" spans="1:26" ht="16.5" x14ac:dyDescent="0.35">
      <c r="A14936" s="2" t="str">
        <f ca="1">IFERROR(__xludf.DUMMYFUNCTION("""COMPUTED_VALUE"""),"Dubai")</f>
        <v>Dubai</v>
      </c>
      <c r="B14936" s="2" t="str">
        <f ca="1">IFERROR(__xludf.DUMMYFUNCTION("""COMPUTED_VALUE"""),"Saeed Building")</f>
        <v>Saeed Building</v>
      </c>
      <c r="C14936" s="2" t="str">
        <f ca="1">IFERROR(__xludf.DUMMYFUNCTION("""COMPUTED_VALUE"""),"Building")</f>
        <v>Building</v>
      </c>
      <c r="D14936" s="2" t="str">
        <f ca="1">IFERROR(__xludf.DUMMYFUNCTION("""COMPUTED_VALUE"""),"Dubai&gt;Al Qusais&gt;Al Qusais Residential Area&gt;Al Qusais 1&gt;Saeed Building")</f>
        <v>Dubai&gt;Al Qusais&gt;Al Qusais Residential Area&gt;Al Qusais 1&gt;Saeed Building</v>
      </c>
      <c r="E14936" s="2"/>
      <c r="F14936" s="2"/>
      <c r="G14936" s="2"/>
      <c r="H14936" s="2"/>
      <c r="I14936" s="2"/>
      <c r="J14936" s="2"/>
      <c r="K14936" s="2"/>
      <c r="L14936" s="2"/>
      <c r="M14936" s="2"/>
      <c r="N14936" s="2"/>
      <c r="O14936" s="2"/>
      <c r="P14936" s="2"/>
      <c r="Q14936" s="2"/>
      <c r="R14936" s="2"/>
      <c r="S14936" s="2"/>
      <c r="T14936" s="2"/>
      <c r="U14936" s="2"/>
      <c r="V14936" s="2"/>
      <c r="W14936" s="2"/>
      <c r="X14936" s="2"/>
      <c r="Y14936" s="2"/>
      <c r="Z14936" s="2"/>
    </row>
    <row r="14937" spans="1:26" ht="16.5" x14ac:dyDescent="0.35">
      <c r="A14937" s="2" t="str">
        <f ca="1">IFERROR(__xludf.DUMMYFUNCTION("""COMPUTED_VALUE"""),"Dubai")</f>
        <v>Dubai</v>
      </c>
      <c r="B14937" s="2" t="str">
        <f ca="1">IFERROR(__xludf.DUMMYFUNCTION("""COMPUTED_VALUE"""),"Mabrooka 3")</f>
        <v>Mabrooka 3</v>
      </c>
      <c r="C14937" s="2" t="str">
        <f ca="1">IFERROR(__xludf.DUMMYFUNCTION("""COMPUTED_VALUE"""),"Building")</f>
        <v>Building</v>
      </c>
      <c r="D14937" s="2" t="str">
        <f ca="1">IFERROR(__xludf.DUMMYFUNCTION("""COMPUTED_VALUE"""),"Dubai&gt;Al Qusais&gt;Al Qusais Residential Area&gt;Al Qusais 1&gt;Mabrooka 3")</f>
        <v>Dubai&gt;Al Qusais&gt;Al Qusais Residential Area&gt;Al Qusais 1&gt;Mabrooka 3</v>
      </c>
      <c r="E14937" s="2"/>
      <c r="F14937" s="2"/>
      <c r="G14937" s="2"/>
      <c r="H14937" s="2"/>
      <c r="I14937" s="2"/>
      <c r="J14937" s="2"/>
      <c r="K14937" s="2"/>
      <c r="L14937" s="2"/>
      <c r="M14937" s="2"/>
      <c r="N14937" s="2"/>
      <c r="O14937" s="2"/>
      <c r="P14937" s="2"/>
      <c r="Q14937" s="2"/>
      <c r="R14937" s="2"/>
      <c r="S14937" s="2"/>
      <c r="T14937" s="2"/>
      <c r="U14937" s="2"/>
      <c r="V14937" s="2"/>
      <c r="W14937" s="2"/>
      <c r="X14937" s="2"/>
      <c r="Y14937" s="2"/>
      <c r="Z14937" s="2"/>
    </row>
    <row r="14938" spans="1:26" ht="16.5" x14ac:dyDescent="0.35">
      <c r="A14938" s="2" t="str">
        <f ca="1">IFERROR(__xludf.DUMMYFUNCTION("""COMPUTED_VALUE"""),"Dubai")</f>
        <v>Dubai</v>
      </c>
      <c r="B14938" s="2" t="str">
        <f ca="1">IFERROR(__xludf.DUMMYFUNCTION("""COMPUTED_VALUE"""),"Abdullah Saeed Belhab Building")</f>
        <v>Abdullah Saeed Belhab Building</v>
      </c>
      <c r="C14938" s="2" t="str">
        <f ca="1">IFERROR(__xludf.DUMMYFUNCTION("""COMPUTED_VALUE"""),"Building")</f>
        <v>Building</v>
      </c>
      <c r="D14938" s="2" t="str">
        <f ca="1">IFERROR(__xludf.DUMMYFUNCTION("""COMPUTED_VALUE"""),"Dubai&gt;Al Qusais&gt;Al Qusais Industrial Area&gt;Al Qusais Industrial 1&gt;Abdullah Saeed Belhab Building")</f>
        <v>Dubai&gt;Al Qusais&gt;Al Qusais Industrial Area&gt;Al Qusais Industrial 1&gt;Abdullah Saeed Belhab Building</v>
      </c>
      <c r="E14938" s="2"/>
      <c r="F14938" s="2"/>
      <c r="G14938" s="2"/>
      <c r="H14938" s="2"/>
      <c r="I14938" s="2"/>
      <c r="J14938" s="2"/>
      <c r="K14938" s="2"/>
      <c r="L14938" s="2"/>
      <c r="M14938" s="2"/>
      <c r="N14938" s="2"/>
      <c r="O14938" s="2"/>
      <c r="P14938" s="2"/>
      <c r="Q14938" s="2"/>
      <c r="R14938" s="2"/>
      <c r="S14938" s="2"/>
      <c r="T14938" s="2"/>
      <c r="U14938" s="2"/>
      <c r="V14938" s="2"/>
      <c r="W14938" s="2"/>
      <c r="X14938" s="2"/>
      <c r="Y14938" s="2"/>
      <c r="Z14938" s="2"/>
    </row>
    <row r="14939" spans="1:26" ht="16.5" x14ac:dyDescent="0.35">
      <c r="A14939" s="2" t="str">
        <f ca="1">IFERROR(__xludf.DUMMYFUNCTION("""COMPUTED_VALUE"""),"Dubai")</f>
        <v>Dubai</v>
      </c>
      <c r="B14939" s="2" t="str">
        <f ca="1">IFERROR(__xludf.DUMMYFUNCTION("""COMPUTED_VALUE"""),"Park Heights 1")</f>
        <v>Park Heights 1</v>
      </c>
      <c r="C14939" s="2" t="str">
        <f ca="1">IFERROR(__xludf.DUMMYFUNCTION("""COMPUTED_VALUE"""),"Building")</f>
        <v>Building</v>
      </c>
      <c r="D14939" s="2" t="str">
        <f ca="1">IFERROR(__xludf.DUMMYFUNCTION("""COMPUTED_VALUE"""),"Dubai&gt;Dubai Hills Estate&gt;Park Heights&gt;Park Heights 1")</f>
        <v>Dubai&gt;Dubai Hills Estate&gt;Park Heights&gt;Park Heights 1</v>
      </c>
      <c r="E14939" s="2"/>
      <c r="F14939" s="2"/>
      <c r="G14939" s="2"/>
      <c r="H14939" s="2"/>
      <c r="I14939" s="2"/>
      <c r="J14939" s="2"/>
      <c r="K14939" s="2"/>
      <c r="L14939" s="2"/>
      <c r="M14939" s="2"/>
      <c r="N14939" s="2"/>
      <c r="O14939" s="2"/>
      <c r="P14939" s="2"/>
      <c r="Q14939" s="2"/>
      <c r="R14939" s="2"/>
      <c r="S14939" s="2"/>
      <c r="T14939" s="2"/>
      <c r="U14939" s="2"/>
      <c r="V14939" s="2"/>
      <c r="W14939" s="2"/>
      <c r="X14939" s="2"/>
      <c r="Y14939" s="2"/>
      <c r="Z14939" s="2"/>
    </row>
    <row r="14940" spans="1:26" ht="16.5" x14ac:dyDescent="0.35">
      <c r="A14940" s="2" t="str">
        <f ca="1">IFERROR(__xludf.DUMMYFUNCTION("""COMPUTED_VALUE"""),"Dubai")</f>
        <v>Dubai</v>
      </c>
      <c r="B14940" s="2" t="str">
        <f ca="1">IFERROR(__xludf.DUMMYFUNCTION("""COMPUTED_VALUE"""),"Fairways Vistas")</f>
        <v>Fairways Vistas</v>
      </c>
      <c r="C14940" s="2" t="str">
        <f ca="1">IFERROR(__xludf.DUMMYFUNCTION("""COMPUTED_VALUE"""),"Neighbourhood")</f>
        <v>Neighbourhood</v>
      </c>
      <c r="D14940" s="2" t="str">
        <f ca="1">IFERROR(__xludf.DUMMYFUNCTION("""COMPUTED_VALUE"""),"Dubai&gt;Dubai Hills Estate&gt;Fairways Vistas")</f>
        <v>Dubai&gt;Dubai Hills Estate&gt;Fairways Vistas</v>
      </c>
      <c r="E14940" s="2"/>
      <c r="F14940" s="2"/>
      <c r="G14940" s="2"/>
      <c r="H14940" s="2"/>
      <c r="I14940" s="2"/>
      <c r="J14940" s="2"/>
      <c r="K14940" s="2"/>
      <c r="L14940" s="2"/>
      <c r="M14940" s="2"/>
      <c r="N14940" s="2"/>
      <c r="O14940" s="2"/>
      <c r="P14940" s="2"/>
      <c r="Q14940" s="2"/>
      <c r="R14940" s="2"/>
      <c r="S14940" s="2"/>
      <c r="T14940" s="2"/>
      <c r="U14940" s="2"/>
      <c r="V14940" s="2"/>
      <c r="W14940" s="2"/>
      <c r="X14940" s="2"/>
      <c r="Y14940" s="2"/>
      <c r="Z14940" s="2"/>
    </row>
    <row r="14941" spans="1:26" ht="16.5" x14ac:dyDescent="0.35">
      <c r="A14941" s="2" t="str">
        <f ca="1">IFERROR(__xludf.DUMMYFUNCTION("""COMPUTED_VALUE"""),"Dubai")</f>
        <v>Dubai</v>
      </c>
      <c r="B14941" s="2" t="str">
        <f ca="1">IFERROR(__xludf.DUMMYFUNCTION("""COMPUTED_VALUE"""),"Park Field Building 2")</f>
        <v>Park Field Building 2</v>
      </c>
      <c r="C14941" s="2" t="str">
        <f ca="1">IFERROR(__xludf.DUMMYFUNCTION("""COMPUTED_VALUE"""),"Building")</f>
        <v>Building</v>
      </c>
      <c r="D14941" s="2" t="str">
        <f ca="1">IFERROR(__xludf.DUMMYFUNCTION("""COMPUTED_VALUE"""),"Dubai&gt;Dubai Hills Estate&gt;Park Field&gt;Park Field Building 2")</f>
        <v>Dubai&gt;Dubai Hills Estate&gt;Park Field&gt;Park Field Building 2</v>
      </c>
      <c r="E14941" s="2"/>
      <c r="F14941" s="2"/>
      <c r="G14941" s="2"/>
      <c r="H14941" s="2"/>
      <c r="I14941" s="2"/>
      <c r="J14941" s="2"/>
      <c r="K14941" s="2"/>
      <c r="L14941" s="2"/>
      <c r="M14941" s="2"/>
      <c r="N14941" s="2"/>
      <c r="O14941" s="2"/>
      <c r="P14941" s="2"/>
      <c r="Q14941" s="2"/>
      <c r="R14941" s="2"/>
      <c r="S14941" s="2"/>
      <c r="T14941" s="2"/>
      <c r="U14941" s="2"/>
      <c r="V14941" s="2"/>
      <c r="W14941" s="2"/>
      <c r="X14941" s="2"/>
      <c r="Y14941" s="2"/>
      <c r="Z14941" s="2"/>
    </row>
    <row r="14942" spans="1:26" ht="16.5" x14ac:dyDescent="0.35">
      <c r="A14942" s="2" t="str">
        <f ca="1">IFERROR(__xludf.DUMMYFUNCTION("""COMPUTED_VALUE"""),"Dubai")</f>
        <v>Dubai</v>
      </c>
      <c r="B14942" s="2" t="str">
        <f ca="1">IFERROR(__xludf.DUMMYFUNCTION("""COMPUTED_VALUE"""),"Sidra 1")</f>
        <v>Sidra 1</v>
      </c>
      <c r="C14942" s="2" t="str">
        <f ca="1">IFERROR(__xludf.DUMMYFUNCTION("""COMPUTED_VALUE"""),"Neighbourhood")</f>
        <v>Neighbourhood</v>
      </c>
      <c r="D14942" s="2" t="str">
        <f ca="1">IFERROR(__xludf.DUMMYFUNCTION("""COMPUTED_VALUE"""),"Dubai&gt;Dubai Hills Estate&gt;Sidra Villas&gt;Sidra 1")</f>
        <v>Dubai&gt;Dubai Hills Estate&gt;Sidra Villas&gt;Sidra 1</v>
      </c>
      <c r="E14942" s="2"/>
      <c r="F14942" s="2"/>
      <c r="G14942" s="2"/>
      <c r="H14942" s="2"/>
      <c r="I14942" s="2"/>
      <c r="J14942" s="2"/>
      <c r="K14942" s="2"/>
      <c r="L14942" s="2"/>
      <c r="M14942" s="2"/>
      <c r="N14942" s="2"/>
      <c r="O14942" s="2"/>
      <c r="P14942" s="2"/>
      <c r="Q14942" s="2"/>
      <c r="R14942" s="2"/>
      <c r="S14942" s="2"/>
      <c r="T14942" s="2"/>
      <c r="U14942" s="2"/>
      <c r="V14942" s="2"/>
      <c r="W14942" s="2"/>
      <c r="X14942" s="2"/>
      <c r="Y14942" s="2"/>
      <c r="Z14942" s="2"/>
    </row>
    <row r="14943" spans="1:26" ht="16.5" x14ac:dyDescent="0.35">
      <c r="A14943" s="2" t="str">
        <f ca="1">IFERROR(__xludf.DUMMYFUNCTION("""COMPUTED_VALUE"""),"Dubai")</f>
        <v>Dubai</v>
      </c>
      <c r="B14943" s="2" t="str">
        <f ca="1">IFERROR(__xludf.DUMMYFUNCTION("""COMPUTED_VALUE"""),"Rosehill")</f>
        <v>Rosehill</v>
      </c>
      <c r="C14943" s="2" t="str">
        <f ca="1">IFERROR(__xludf.DUMMYFUNCTION("""COMPUTED_VALUE"""),"Building")</f>
        <v>Building</v>
      </c>
      <c r="D14943" s="2" t="str">
        <f ca="1">IFERROR(__xludf.DUMMYFUNCTION("""COMPUTED_VALUE"""),"Dubai&gt;Dubai Hills Estate&gt;Rosehill")</f>
        <v>Dubai&gt;Dubai Hills Estate&gt;Rosehill</v>
      </c>
      <c r="E14943" s="2"/>
      <c r="F14943" s="2"/>
      <c r="G14943" s="2"/>
      <c r="H14943" s="2"/>
      <c r="I14943" s="2"/>
      <c r="J14943" s="2"/>
      <c r="K14943" s="2"/>
      <c r="L14943" s="2"/>
      <c r="M14943" s="2"/>
      <c r="N14943" s="2"/>
      <c r="O14943" s="2"/>
      <c r="P14943" s="2"/>
      <c r="Q14943" s="2"/>
      <c r="R14943" s="2"/>
      <c r="S14943" s="2"/>
      <c r="T14943" s="2"/>
      <c r="U14943" s="2"/>
      <c r="V14943" s="2"/>
      <c r="W14943" s="2"/>
      <c r="X14943" s="2"/>
      <c r="Y14943" s="2"/>
      <c r="Z14943" s="2"/>
    </row>
    <row r="14944" spans="1:26" ht="16.5" x14ac:dyDescent="0.35">
      <c r="A14944" s="2" t="str">
        <f ca="1">IFERROR(__xludf.DUMMYFUNCTION("""COMPUTED_VALUE"""),"Dubai")</f>
        <v>Dubai</v>
      </c>
      <c r="B14944" s="2" t="str">
        <f ca="1">IFERROR(__xludf.DUMMYFUNCTION("""COMPUTED_VALUE"""),"Nasser Lootah Building")</f>
        <v>Nasser Lootah Building</v>
      </c>
      <c r="C14944" s="2" t="str">
        <f ca="1">IFERROR(__xludf.DUMMYFUNCTION("""COMPUTED_VALUE"""),"Building")</f>
        <v>Building</v>
      </c>
      <c r="D14944" s="2" t="str">
        <f ca="1">IFERROR(__xludf.DUMMYFUNCTION("""COMPUTED_VALUE"""),"Dubai&gt;Deira&gt;Al Muraqqabat&gt;Nasser Lootah Building")</f>
        <v>Dubai&gt;Deira&gt;Al Muraqqabat&gt;Nasser Lootah Building</v>
      </c>
      <c r="E14944" s="2"/>
      <c r="F14944" s="2"/>
      <c r="G14944" s="2"/>
      <c r="H14944" s="2"/>
      <c r="I14944" s="2"/>
      <c r="J14944" s="2"/>
      <c r="K14944" s="2"/>
      <c r="L14944" s="2"/>
      <c r="M14944" s="2"/>
      <c r="N14944" s="2"/>
      <c r="O14944" s="2"/>
      <c r="P14944" s="2"/>
      <c r="Q14944" s="2"/>
      <c r="R14944" s="2"/>
      <c r="S14944" s="2"/>
      <c r="T14944" s="2"/>
      <c r="U14944" s="2"/>
      <c r="V14944" s="2"/>
      <c r="W14944" s="2"/>
      <c r="X14944" s="2"/>
      <c r="Y14944" s="2"/>
      <c r="Z14944" s="2"/>
    </row>
    <row r="14945" spans="1:26" ht="16.5" x14ac:dyDescent="0.35">
      <c r="A14945" s="2" t="str">
        <f ca="1">IFERROR(__xludf.DUMMYFUNCTION("""COMPUTED_VALUE"""),"Dubai")</f>
        <v>Dubai</v>
      </c>
      <c r="B14945" s="2" t="str">
        <f ca="1">IFERROR(__xludf.DUMMYFUNCTION("""COMPUTED_VALUE"""),"Royal Plaza Building")</f>
        <v>Royal Plaza Building</v>
      </c>
      <c r="C14945" s="2" t="str">
        <f ca="1">IFERROR(__xludf.DUMMYFUNCTION("""COMPUTED_VALUE"""),"Building")</f>
        <v>Building</v>
      </c>
      <c r="D14945" s="2" t="str">
        <f ca="1">IFERROR(__xludf.DUMMYFUNCTION("""COMPUTED_VALUE"""),"Dubai&gt;Deira&gt;Al Muraqqabat&gt;Royal Plaza Building")</f>
        <v>Dubai&gt;Deira&gt;Al Muraqqabat&gt;Royal Plaza Building</v>
      </c>
      <c r="E14945" s="2"/>
      <c r="F14945" s="2"/>
      <c r="G14945" s="2"/>
      <c r="H14945" s="2"/>
      <c r="I14945" s="2"/>
      <c r="J14945" s="2"/>
      <c r="K14945" s="2"/>
      <c r="L14945" s="2"/>
      <c r="M14945" s="2"/>
      <c r="N14945" s="2"/>
      <c r="O14945" s="2"/>
      <c r="P14945" s="2"/>
      <c r="Q14945" s="2"/>
      <c r="R14945" s="2"/>
      <c r="S14945" s="2"/>
      <c r="T14945" s="2"/>
      <c r="U14945" s="2"/>
      <c r="V14945" s="2"/>
      <c r="W14945" s="2"/>
      <c r="X14945" s="2"/>
      <c r="Y14945" s="2"/>
      <c r="Z14945" s="2"/>
    </row>
    <row r="14946" spans="1:26" ht="16.5" x14ac:dyDescent="0.35">
      <c r="A14946" s="2" t="str">
        <f ca="1">IFERROR(__xludf.DUMMYFUNCTION("""COMPUTED_VALUE"""),"Dubai")</f>
        <v>Dubai</v>
      </c>
      <c r="B14946" s="2" t="str">
        <f ca="1">IFERROR(__xludf.DUMMYFUNCTION("""COMPUTED_VALUE"""),"Waterfront Market")</f>
        <v>Waterfront Market</v>
      </c>
      <c r="C14946" s="2" t="str">
        <f ca="1">IFERROR(__xludf.DUMMYFUNCTION("""COMPUTED_VALUE"""),"Building")</f>
        <v>Building</v>
      </c>
      <c r="D14946" s="2" t="str">
        <f ca="1">IFERROR(__xludf.DUMMYFUNCTION("""COMPUTED_VALUE"""),"Dubai&gt;Deira&gt;Waterfront Market")</f>
        <v>Dubai&gt;Deira&gt;Waterfront Market</v>
      </c>
      <c r="E14946" s="2"/>
      <c r="F14946" s="2"/>
      <c r="G14946" s="2"/>
      <c r="H14946" s="2"/>
      <c r="I14946" s="2"/>
      <c r="J14946" s="2"/>
      <c r="K14946" s="2"/>
      <c r="L14946" s="2"/>
      <c r="M14946" s="2"/>
      <c r="N14946" s="2"/>
      <c r="O14946" s="2"/>
      <c r="P14946" s="2"/>
      <c r="Q14946" s="2"/>
      <c r="R14946" s="2"/>
      <c r="S14946" s="2"/>
      <c r="T14946" s="2"/>
      <c r="U14946" s="2"/>
      <c r="V14946" s="2"/>
      <c r="W14946" s="2"/>
      <c r="X14946" s="2"/>
      <c r="Y14946" s="2"/>
      <c r="Z14946" s="2"/>
    </row>
    <row r="14947" spans="1:26" ht="16.5" x14ac:dyDescent="0.35">
      <c r="A14947" s="2" t="str">
        <f ca="1">IFERROR(__xludf.DUMMYFUNCTION("""COMPUTED_VALUE"""),"Dubai")</f>
        <v>Dubai</v>
      </c>
      <c r="B14947" s="2" t="str">
        <f ca="1">IFERROR(__xludf.DUMMYFUNCTION("""COMPUTED_VALUE"""),"Chubby Cheeks Mamzar")</f>
        <v>Chubby Cheeks Mamzar</v>
      </c>
      <c r="C14947" s="2" t="str">
        <f ca="1">IFERROR(__xludf.DUMMYFUNCTION("""COMPUTED_VALUE"""),"School")</f>
        <v>School</v>
      </c>
      <c r="D14947" s="2" t="str">
        <f ca="1">IFERROR(__xludf.DUMMYFUNCTION("""COMPUTED_VALUE"""),"Dubai&gt;Deira&gt;Hor Al Anz&gt;Hor Al Anz East&gt;Chubby Cheeks Mamzar")</f>
        <v>Dubai&gt;Deira&gt;Hor Al Anz&gt;Hor Al Anz East&gt;Chubby Cheeks Mamzar</v>
      </c>
      <c r="E14947" s="2"/>
      <c r="F14947" s="2"/>
      <c r="G14947" s="2"/>
      <c r="H14947" s="2"/>
      <c r="I14947" s="2"/>
      <c r="J14947" s="2"/>
      <c r="K14947" s="2"/>
      <c r="L14947" s="2"/>
      <c r="M14947" s="2"/>
      <c r="N14947" s="2"/>
      <c r="O14947" s="2"/>
      <c r="P14947" s="2"/>
      <c r="Q14947" s="2"/>
      <c r="R14947" s="2"/>
      <c r="S14947" s="2"/>
      <c r="T14947" s="2"/>
      <c r="U14947" s="2"/>
      <c r="V14947" s="2"/>
      <c r="W14947" s="2"/>
      <c r="X14947" s="2"/>
      <c r="Y14947" s="2"/>
      <c r="Z14947" s="2"/>
    </row>
    <row r="14948" spans="1:26" ht="16.5" x14ac:dyDescent="0.35">
      <c r="A14948" s="2" t="str">
        <f ca="1">IFERROR(__xludf.DUMMYFUNCTION("""COMPUTED_VALUE"""),"Dubai")</f>
        <v>Dubai</v>
      </c>
      <c r="B14948" s="2" t="str">
        <f ca="1">IFERROR(__xludf.DUMMYFUNCTION("""COMPUTED_VALUE"""),"Dar Al Muteena")</f>
        <v>Dar Al Muteena</v>
      </c>
      <c r="C14948" s="2" t="str">
        <f ca="1">IFERROR(__xludf.DUMMYFUNCTION("""COMPUTED_VALUE"""),"Building")</f>
        <v>Building</v>
      </c>
      <c r="D14948" s="2" t="str">
        <f ca="1">IFERROR(__xludf.DUMMYFUNCTION("""COMPUTED_VALUE"""),"Dubai&gt;Deira&gt;Al Muteena&gt;Dar Al Muteena")</f>
        <v>Dubai&gt;Deira&gt;Al Muteena&gt;Dar Al Muteena</v>
      </c>
      <c r="E14948" s="2"/>
      <c r="F14948" s="2"/>
      <c r="G14948" s="2"/>
      <c r="H14948" s="2"/>
      <c r="I14948" s="2"/>
      <c r="J14948" s="2"/>
      <c r="K14948" s="2"/>
      <c r="L14948" s="2"/>
      <c r="M14948" s="2"/>
      <c r="N14948" s="2"/>
      <c r="O14948" s="2"/>
      <c r="P14948" s="2"/>
      <c r="Q14948" s="2"/>
      <c r="R14948" s="2"/>
      <c r="S14948" s="2"/>
      <c r="T14948" s="2"/>
      <c r="U14948" s="2"/>
      <c r="V14948" s="2"/>
      <c r="W14948" s="2"/>
      <c r="X14948" s="2"/>
      <c r="Y14948" s="2"/>
      <c r="Z14948" s="2"/>
    </row>
    <row r="14949" spans="1:26" ht="16.5" x14ac:dyDescent="0.35">
      <c r="A14949" s="2" t="str">
        <f ca="1">IFERROR(__xludf.DUMMYFUNCTION("""COMPUTED_VALUE"""),"Dubai")</f>
        <v>Dubai</v>
      </c>
      <c r="B14949" s="2" t="str">
        <f ca="1">IFERROR(__xludf.DUMMYFUNCTION("""COMPUTED_VALUE"""),"Khlafan Building")</f>
        <v>Khlafan Building</v>
      </c>
      <c r="C14949" s="2" t="str">
        <f ca="1">IFERROR(__xludf.DUMMYFUNCTION("""COMPUTED_VALUE"""),"Building")</f>
        <v>Building</v>
      </c>
      <c r="D14949" s="2" t="str">
        <f ca="1">IFERROR(__xludf.DUMMYFUNCTION("""COMPUTED_VALUE"""),"Dubai&gt;Deira&gt;Al Muteena&gt;Khlafan Building")</f>
        <v>Dubai&gt;Deira&gt;Al Muteena&gt;Khlafan Building</v>
      </c>
      <c r="E14949" s="2"/>
      <c r="F14949" s="2"/>
      <c r="G14949" s="2"/>
      <c r="H14949" s="2"/>
      <c r="I14949" s="2"/>
      <c r="J14949" s="2"/>
      <c r="K14949" s="2"/>
      <c r="L14949" s="2"/>
      <c r="M14949" s="2"/>
      <c r="N14949" s="2"/>
      <c r="O14949" s="2"/>
      <c r="P14949" s="2"/>
      <c r="Q14949" s="2"/>
      <c r="R14949" s="2"/>
      <c r="S14949" s="2"/>
      <c r="T14949" s="2"/>
      <c r="U14949" s="2"/>
      <c r="V14949" s="2"/>
      <c r="W14949" s="2"/>
      <c r="X14949" s="2"/>
      <c r="Y14949" s="2"/>
      <c r="Z14949" s="2"/>
    </row>
    <row r="14950" spans="1:26" ht="16.5" x14ac:dyDescent="0.35">
      <c r="A14950" s="2" t="str">
        <f ca="1">IFERROR(__xludf.DUMMYFUNCTION("""COMPUTED_VALUE"""),"Dubai")</f>
        <v>Dubai</v>
      </c>
      <c r="B14950" s="2" t="str">
        <f ca="1">IFERROR(__xludf.DUMMYFUNCTION("""COMPUTED_VALUE"""),"Ali Rashed Ahmad Lootah 2 Building")</f>
        <v>Ali Rashed Ahmad Lootah 2 Building</v>
      </c>
      <c r="C14950" s="2" t="str">
        <f ca="1">IFERROR(__xludf.DUMMYFUNCTION("""COMPUTED_VALUE"""),"Building")</f>
        <v>Building</v>
      </c>
      <c r="D14950" s="2" t="str">
        <f ca="1">IFERROR(__xludf.DUMMYFUNCTION("""COMPUTED_VALUE"""),"Dubai&gt;Deira&gt;Al Rigga&gt;Ali Rashed Ahmad Lootah 2 Building")</f>
        <v>Dubai&gt;Deira&gt;Al Rigga&gt;Ali Rashed Ahmad Lootah 2 Building</v>
      </c>
      <c r="E14950" s="2"/>
      <c r="F14950" s="2"/>
      <c r="G14950" s="2"/>
      <c r="H14950" s="2"/>
      <c r="I14950" s="2"/>
      <c r="J14950" s="2"/>
      <c r="K14950" s="2"/>
      <c r="L14950" s="2"/>
      <c r="M14950" s="2"/>
      <c r="N14950" s="2"/>
      <c r="O14950" s="2"/>
      <c r="P14950" s="2"/>
      <c r="Q14950" s="2"/>
      <c r="R14950" s="2"/>
      <c r="S14950" s="2"/>
      <c r="T14950" s="2"/>
      <c r="U14950" s="2"/>
      <c r="V14950" s="2"/>
      <c r="W14950" s="2"/>
      <c r="X14950" s="2"/>
      <c r="Y14950" s="2"/>
      <c r="Z14950" s="2"/>
    </row>
    <row r="14951" spans="1:26" ht="16.5" x14ac:dyDescent="0.35">
      <c r="A14951" s="2" t="str">
        <f ca="1">IFERROR(__xludf.DUMMYFUNCTION("""COMPUTED_VALUE"""),"Dubai")</f>
        <v>Dubai</v>
      </c>
      <c r="B14951" s="2" t="str">
        <f ca="1">IFERROR(__xludf.DUMMYFUNCTION("""COMPUTED_VALUE"""),"Hind Plaza 9")</f>
        <v>Hind Plaza 9</v>
      </c>
      <c r="C14951" s="2" t="str">
        <f ca="1">IFERROR(__xludf.DUMMYFUNCTION("""COMPUTED_VALUE"""),"Building")</f>
        <v>Building</v>
      </c>
      <c r="D14951" s="2" t="str">
        <f ca="1">IFERROR(__xludf.DUMMYFUNCTION("""COMPUTED_VALUE"""),"Dubai&gt;Deira&gt;Deira Enrichment Project&gt;Hind Plaza&gt;Hind Plaza 9")</f>
        <v>Dubai&gt;Deira&gt;Deira Enrichment Project&gt;Hind Plaza&gt;Hind Plaza 9</v>
      </c>
      <c r="E14951" s="2"/>
      <c r="F14951" s="2"/>
      <c r="G14951" s="2"/>
      <c r="H14951" s="2"/>
      <c r="I14951" s="2"/>
      <c r="J14951" s="2"/>
      <c r="K14951" s="2"/>
      <c r="L14951" s="2"/>
      <c r="M14951" s="2"/>
      <c r="N14951" s="2"/>
      <c r="O14951" s="2"/>
      <c r="P14951" s="2"/>
      <c r="Q14951" s="2"/>
      <c r="R14951" s="2"/>
      <c r="S14951" s="2"/>
      <c r="T14951" s="2"/>
      <c r="U14951" s="2"/>
      <c r="V14951" s="2"/>
      <c r="W14951" s="2"/>
      <c r="X14951" s="2"/>
      <c r="Y14951" s="2"/>
      <c r="Z14951" s="2"/>
    </row>
    <row r="14952" spans="1:26" ht="16.5" x14ac:dyDescent="0.35">
      <c r="A14952" s="2" t="str">
        <f ca="1">IFERROR(__xludf.DUMMYFUNCTION("""COMPUTED_VALUE"""),"Dubai")</f>
        <v>Dubai</v>
      </c>
      <c r="B14952" s="2" t="str">
        <f ca="1">IFERROR(__xludf.DUMMYFUNCTION("""COMPUTED_VALUE"""),"Al Mulla-1 Building")</f>
        <v>Al Mulla-1 Building</v>
      </c>
      <c r="C14952" s="2" t="str">
        <f ca="1">IFERROR(__xludf.DUMMYFUNCTION("""COMPUTED_VALUE"""),"Building")</f>
        <v>Building</v>
      </c>
      <c r="D14952" s="2" t="str">
        <f ca="1">IFERROR(__xludf.DUMMYFUNCTION("""COMPUTED_VALUE"""),"Dubai&gt;Deira&gt;Naif&gt;Al Mulla-1 Building")</f>
        <v>Dubai&gt;Deira&gt;Naif&gt;Al Mulla-1 Building</v>
      </c>
      <c r="E14952" s="2"/>
      <c r="F14952" s="2"/>
      <c r="G14952" s="2"/>
      <c r="H14952" s="2"/>
      <c r="I14952" s="2"/>
      <c r="J14952" s="2"/>
      <c r="K14952" s="2"/>
      <c r="L14952" s="2"/>
      <c r="M14952" s="2"/>
      <c r="N14952" s="2"/>
      <c r="O14952" s="2"/>
      <c r="P14952" s="2"/>
      <c r="Q14952" s="2"/>
      <c r="R14952" s="2"/>
      <c r="S14952" s="2"/>
      <c r="T14952" s="2"/>
      <c r="U14952" s="2"/>
      <c r="V14952" s="2"/>
      <c r="W14952" s="2"/>
      <c r="X14952" s="2"/>
      <c r="Y14952" s="2"/>
      <c r="Z14952" s="2"/>
    </row>
    <row r="14953" spans="1:26" ht="16.5" x14ac:dyDescent="0.35">
      <c r="A14953" s="2" t="str">
        <f ca="1">IFERROR(__xludf.DUMMYFUNCTION("""COMPUTED_VALUE"""),"Dubai")</f>
        <v>Dubai</v>
      </c>
      <c r="B14953" s="2" t="str">
        <f ca="1">IFERROR(__xludf.DUMMYFUNCTION("""COMPUTED_VALUE"""),"Al Hashmi Building")</f>
        <v>Al Hashmi Building</v>
      </c>
      <c r="C14953" s="2" t="str">
        <f ca="1">IFERROR(__xludf.DUMMYFUNCTION("""COMPUTED_VALUE"""),"Building")</f>
        <v>Building</v>
      </c>
      <c r="D14953" s="2" t="str">
        <f ca="1">IFERROR(__xludf.DUMMYFUNCTION("""COMPUTED_VALUE"""),"Dubai&gt;Deira&gt;Al Murar&gt;Al Hashmi Building")</f>
        <v>Dubai&gt;Deira&gt;Al Murar&gt;Al Hashmi Building</v>
      </c>
      <c r="E14953" s="2"/>
      <c r="F14953" s="2"/>
      <c r="G14953" s="2"/>
      <c r="H14953" s="2"/>
      <c r="I14953" s="2"/>
      <c r="J14953" s="2"/>
      <c r="K14953" s="2"/>
      <c r="L14953" s="2"/>
      <c r="M14953" s="2"/>
      <c r="N14953" s="2"/>
      <c r="O14953" s="2"/>
      <c r="P14953" s="2"/>
      <c r="Q14953" s="2"/>
      <c r="R14953" s="2"/>
      <c r="S14953" s="2"/>
      <c r="T14953" s="2"/>
      <c r="U14953" s="2"/>
      <c r="V14953" s="2"/>
      <c r="W14953" s="2"/>
      <c r="X14953" s="2"/>
      <c r="Y14953" s="2"/>
      <c r="Z14953" s="2"/>
    </row>
    <row r="14954" spans="1:26" ht="16.5" x14ac:dyDescent="0.35">
      <c r="A14954" s="2" t="str">
        <f ca="1">IFERROR(__xludf.DUMMYFUNCTION("""COMPUTED_VALUE"""),"Dubai")</f>
        <v>Dubai</v>
      </c>
      <c r="B14954" s="2" t="str">
        <f ca="1">IFERROR(__xludf.DUMMYFUNCTION("""COMPUTED_VALUE"""),"Abdulla Building 5")</f>
        <v>Abdulla Building 5</v>
      </c>
      <c r="C14954" s="2" t="str">
        <f ca="1">IFERROR(__xludf.DUMMYFUNCTION("""COMPUTED_VALUE"""),"Building")</f>
        <v>Building</v>
      </c>
      <c r="D14954" s="2" t="str">
        <f ca="1">IFERROR(__xludf.DUMMYFUNCTION("""COMPUTED_VALUE"""),"Dubai&gt;Deira&gt;Al Murar&gt;Abdulla Building 5")</f>
        <v>Dubai&gt;Deira&gt;Al Murar&gt;Abdulla Building 5</v>
      </c>
      <c r="E14954" s="2"/>
      <c r="F14954" s="2"/>
      <c r="G14954" s="2"/>
      <c r="H14954" s="2"/>
      <c r="I14954" s="2"/>
      <c r="J14954" s="2"/>
      <c r="K14954" s="2"/>
      <c r="L14954" s="2"/>
      <c r="M14954" s="2"/>
      <c r="N14954" s="2"/>
      <c r="O14954" s="2"/>
      <c r="P14954" s="2"/>
      <c r="Q14954" s="2"/>
      <c r="R14954" s="2"/>
      <c r="S14954" s="2"/>
      <c r="T14954" s="2"/>
      <c r="U14954" s="2"/>
      <c r="V14954" s="2"/>
      <c r="W14954" s="2"/>
      <c r="X14954" s="2"/>
      <c r="Y14954" s="2"/>
      <c r="Z14954" s="2"/>
    </row>
    <row r="14955" spans="1:26" ht="16.5" x14ac:dyDescent="0.35">
      <c r="A14955" s="2" t="str">
        <f ca="1">IFERROR(__xludf.DUMMYFUNCTION("""COMPUTED_VALUE"""),"Dubai")</f>
        <v>Dubai</v>
      </c>
      <c r="B14955" s="2" t="str">
        <f ca="1">IFERROR(__xludf.DUMMYFUNCTION("""COMPUTED_VALUE"""),"Al Ittihad Road")</f>
        <v>Al Ittihad Road</v>
      </c>
      <c r="C14955" s="2" t="str">
        <f ca="1">IFERROR(__xludf.DUMMYFUNCTION("""COMPUTED_VALUE"""),"Neighbourhood")</f>
        <v>Neighbourhood</v>
      </c>
      <c r="D14955" s="2" t="str">
        <f ca="1">IFERROR(__xludf.DUMMYFUNCTION("""COMPUTED_VALUE"""),"Dubai&gt;Deira&gt;Al Ittihad Road")</f>
        <v>Dubai&gt;Deira&gt;Al Ittihad Road</v>
      </c>
      <c r="E14955" s="2"/>
      <c r="F14955" s="2"/>
      <c r="G14955" s="2"/>
      <c r="H14955" s="2"/>
      <c r="I14955" s="2"/>
      <c r="J14955" s="2"/>
      <c r="K14955" s="2"/>
      <c r="L14955" s="2"/>
      <c r="M14955" s="2"/>
      <c r="N14955" s="2"/>
      <c r="O14955" s="2"/>
      <c r="P14955" s="2"/>
      <c r="Q14955" s="2"/>
      <c r="R14955" s="2"/>
      <c r="S14955" s="2"/>
      <c r="T14955" s="2"/>
      <c r="U14955" s="2"/>
      <c r="V14955" s="2"/>
      <c r="W14955" s="2"/>
      <c r="X14955" s="2"/>
      <c r="Y14955" s="2"/>
      <c r="Z14955" s="2"/>
    </row>
    <row r="14956" spans="1:26" ht="16.5" x14ac:dyDescent="0.35">
      <c r="A14956" s="2" t="str">
        <f ca="1">IFERROR(__xludf.DUMMYFUNCTION("""COMPUTED_VALUE"""),"Dubai")</f>
        <v>Dubai</v>
      </c>
      <c r="B14956" s="2" t="str">
        <f ca="1">IFERROR(__xludf.DUMMYFUNCTION("""COMPUTED_VALUE"""),"Al Shoala Building")</f>
        <v>Al Shoala Building</v>
      </c>
      <c r="C14956" s="2" t="str">
        <f ca="1">IFERROR(__xludf.DUMMYFUNCTION("""COMPUTED_VALUE"""),"Building")</f>
        <v>Building</v>
      </c>
      <c r="D14956" s="2" t="str">
        <f ca="1">IFERROR(__xludf.DUMMYFUNCTION("""COMPUTED_VALUE"""),"Dubai&gt;Deira&gt;Port Saeed&gt;Al Shoala Building")</f>
        <v>Dubai&gt;Deira&gt;Port Saeed&gt;Al Shoala Building</v>
      </c>
      <c r="E14956" s="2"/>
      <c r="F14956" s="2"/>
      <c r="G14956" s="2"/>
      <c r="H14956" s="2"/>
      <c r="I14956" s="2"/>
      <c r="J14956" s="2"/>
      <c r="K14956" s="2"/>
      <c r="L14956" s="2"/>
      <c r="M14956" s="2"/>
      <c r="N14956" s="2"/>
      <c r="O14956" s="2"/>
      <c r="P14956" s="2"/>
      <c r="Q14956" s="2"/>
      <c r="R14956" s="2"/>
      <c r="S14956" s="2"/>
      <c r="T14956" s="2"/>
      <c r="U14956" s="2"/>
      <c r="V14956" s="2"/>
      <c r="W14956" s="2"/>
      <c r="X14956" s="2"/>
      <c r="Y14956" s="2"/>
      <c r="Z14956" s="2"/>
    </row>
    <row r="14957" spans="1:26" ht="16.5" x14ac:dyDescent="0.35">
      <c r="A14957" s="2" t="str">
        <f ca="1">IFERROR(__xludf.DUMMYFUNCTION("""COMPUTED_VALUE"""),"Dubai")</f>
        <v>Dubai</v>
      </c>
      <c r="B14957" s="2" t="str">
        <f ca="1">IFERROR(__xludf.DUMMYFUNCTION("""COMPUTED_VALUE"""),"Metropolis Tower")</f>
        <v>Metropolis Tower</v>
      </c>
      <c r="C14957" s="2" t="str">
        <f ca="1">IFERROR(__xludf.DUMMYFUNCTION("""COMPUTED_VALUE"""),"Building")</f>
        <v>Building</v>
      </c>
      <c r="D14957" s="2" t="str">
        <f ca="1">IFERROR(__xludf.DUMMYFUNCTION("""COMPUTED_VALUE"""),"Dubai&gt;Business Bay&gt;Metropolis Tower")</f>
        <v>Dubai&gt;Business Bay&gt;Metropolis Tower</v>
      </c>
      <c r="E14957" s="2"/>
      <c r="F14957" s="2"/>
      <c r="G14957" s="2"/>
      <c r="H14957" s="2"/>
      <c r="I14957" s="2"/>
      <c r="J14957" s="2"/>
      <c r="K14957" s="2"/>
      <c r="L14957" s="2"/>
      <c r="M14957" s="2"/>
      <c r="N14957" s="2"/>
      <c r="O14957" s="2"/>
      <c r="P14957" s="2"/>
      <c r="Q14957" s="2"/>
      <c r="R14957" s="2"/>
      <c r="S14957" s="2"/>
      <c r="T14957" s="2"/>
      <c r="U14957" s="2"/>
      <c r="V14957" s="2"/>
      <c r="W14957" s="2"/>
      <c r="X14957" s="2"/>
      <c r="Y14957" s="2"/>
      <c r="Z14957" s="2"/>
    </row>
    <row r="14958" spans="1:26" ht="16.5" x14ac:dyDescent="0.35">
      <c r="A14958" s="2" t="str">
        <f ca="1">IFERROR(__xludf.DUMMYFUNCTION("""COMPUTED_VALUE"""),"Dubai")</f>
        <v>Dubai</v>
      </c>
      <c r="B14958" s="2" t="str">
        <f ca="1">IFERROR(__xludf.DUMMYFUNCTION("""COMPUTED_VALUE"""),"The Residences at Business Central")</f>
        <v>The Residences at Business Central</v>
      </c>
      <c r="C14958" s="2" t="str">
        <f ca="1">IFERROR(__xludf.DUMMYFUNCTION("""COMPUTED_VALUE"""),"Building")</f>
        <v>Building</v>
      </c>
      <c r="D14958" s="2" t="str">
        <f ca="1">IFERROR(__xludf.DUMMYFUNCTION("""COMPUTED_VALUE"""),"Dubai&gt;Business Bay&gt;The Residences at Business Central")</f>
        <v>Dubai&gt;Business Bay&gt;The Residences at Business Central</v>
      </c>
      <c r="E14958" s="2"/>
      <c r="F14958" s="2"/>
      <c r="G14958" s="2"/>
      <c r="H14958" s="2"/>
      <c r="I14958" s="2"/>
      <c r="J14958" s="2"/>
      <c r="K14958" s="2"/>
      <c r="L14958" s="2"/>
      <c r="M14958" s="2"/>
      <c r="N14958" s="2"/>
      <c r="O14958" s="2"/>
      <c r="P14958" s="2"/>
      <c r="Q14958" s="2"/>
      <c r="R14958" s="2"/>
      <c r="S14958" s="2"/>
      <c r="T14958" s="2"/>
      <c r="U14958" s="2"/>
      <c r="V14958" s="2"/>
      <c r="W14958" s="2"/>
      <c r="X14958" s="2"/>
      <c r="Y14958" s="2"/>
      <c r="Z14958" s="2"/>
    </row>
    <row r="14959" spans="1:26" ht="16.5" x14ac:dyDescent="0.35">
      <c r="A14959" s="2" t="str">
        <f ca="1">IFERROR(__xludf.DUMMYFUNCTION("""COMPUTED_VALUE"""),"Dubai")</f>
        <v>Dubai</v>
      </c>
      <c r="B14959" s="2" t="str">
        <f ca="1">IFERROR(__xludf.DUMMYFUNCTION("""COMPUTED_VALUE"""),"Bay Square 2")</f>
        <v>Bay Square 2</v>
      </c>
      <c r="C14959" s="2" t="str">
        <f ca="1">IFERROR(__xludf.DUMMYFUNCTION("""COMPUTED_VALUE"""),"Building")</f>
        <v>Building</v>
      </c>
      <c r="D14959" s="2" t="str">
        <f ca="1">IFERROR(__xludf.DUMMYFUNCTION("""COMPUTED_VALUE"""),"Dubai&gt;Business Bay&gt;Bay Square&gt;Bay Square 2")</f>
        <v>Dubai&gt;Business Bay&gt;Bay Square&gt;Bay Square 2</v>
      </c>
      <c r="E14959" s="2"/>
      <c r="F14959" s="2"/>
      <c r="G14959" s="2"/>
      <c r="H14959" s="2"/>
      <c r="I14959" s="2"/>
      <c r="J14959" s="2"/>
      <c r="K14959" s="2"/>
      <c r="L14959" s="2"/>
      <c r="M14959" s="2"/>
      <c r="N14959" s="2"/>
      <c r="O14959" s="2"/>
      <c r="P14959" s="2"/>
      <c r="Q14959" s="2"/>
      <c r="R14959" s="2"/>
      <c r="S14959" s="2"/>
      <c r="T14959" s="2"/>
      <c r="U14959" s="2"/>
      <c r="V14959" s="2"/>
      <c r="W14959" s="2"/>
      <c r="X14959" s="2"/>
      <c r="Y14959" s="2"/>
      <c r="Z14959" s="2"/>
    </row>
    <row r="14960" spans="1:26" ht="16.5" x14ac:dyDescent="0.35">
      <c r="A14960" s="2" t="str">
        <f ca="1">IFERROR(__xludf.DUMMYFUNCTION("""COMPUTED_VALUE"""),"Dubai")</f>
        <v>Dubai</v>
      </c>
      <c r="B14960" s="2" t="str">
        <f ca="1">IFERROR(__xludf.DUMMYFUNCTION("""COMPUTED_VALUE"""),"Al Noor Tower")</f>
        <v>Al Noor Tower</v>
      </c>
      <c r="C14960" s="2" t="str">
        <f ca="1">IFERROR(__xludf.DUMMYFUNCTION("""COMPUTED_VALUE"""),"Building")</f>
        <v>Building</v>
      </c>
      <c r="D14960" s="2" t="str">
        <f ca="1">IFERROR(__xludf.DUMMYFUNCTION("""COMPUTED_VALUE"""),"Dubai&gt;Business Bay&gt;Al Noor Tower")</f>
        <v>Dubai&gt;Business Bay&gt;Al Noor Tower</v>
      </c>
      <c r="E14960" s="2"/>
      <c r="F14960" s="2"/>
      <c r="G14960" s="2"/>
      <c r="H14960" s="2"/>
      <c r="I14960" s="2"/>
      <c r="J14960" s="2"/>
      <c r="K14960" s="2"/>
      <c r="L14960" s="2"/>
      <c r="M14960" s="2"/>
      <c r="N14960" s="2"/>
      <c r="O14960" s="2"/>
      <c r="P14960" s="2"/>
      <c r="Q14960" s="2"/>
      <c r="R14960" s="2"/>
      <c r="S14960" s="2"/>
      <c r="T14960" s="2"/>
      <c r="U14960" s="2"/>
      <c r="V14960" s="2"/>
      <c r="W14960" s="2"/>
      <c r="X14960" s="2"/>
      <c r="Y14960" s="2"/>
      <c r="Z14960" s="2"/>
    </row>
    <row r="14961" spans="1:26" ht="16.5" x14ac:dyDescent="0.35">
      <c r="A14961" s="2" t="str">
        <f ca="1">IFERROR(__xludf.DUMMYFUNCTION("""COMPUTED_VALUE"""),"Dubai")</f>
        <v>Dubai</v>
      </c>
      <c r="B14961" s="2" t="str">
        <f ca="1">IFERROR(__xludf.DUMMYFUNCTION("""COMPUTED_VALUE"""),"The Binary")</f>
        <v>The Binary</v>
      </c>
      <c r="C14961" s="2" t="str">
        <f ca="1">IFERROR(__xludf.DUMMYFUNCTION("""COMPUTED_VALUE"""),"Building")</f>
        <v>Building</v>
      </c>
      <c r="D14961" s="2" t="str">
        <f ca="1">IFERROR(__xludf.DUMMYFUNCTION("""COMPUTED_VALUE"""),"Dubai&gt;Business Bay&gt;The Binary")</f>
        <v>Dubai&gt;Business Bay&gt;The Binary</v>
      </c>
      <c r="E14961" s="2"/>
      <c r="F14961" s="2"/>
      <c r="G14961" s="2"/>
      <c r="H14961" s="2"/>
      <c r="I14961" s="2"/>
      <c r="J14961" s="2"/>
      <c r="K14961" s="2"/>
      <c r="L14961" s="2"/>
      <c r="M14961" s="2"/>
      <c r="N14961" s="2"/>
      <c r="O14961" s="2"/>
      <c r="P14961" s="2"/>
      <c r="Q14961" s="2"/>
      <c r="R14961" s="2"/>
      <c r="S14961" s="2"/>
      <c r="T14961" s="2"/>
      <c r="U14961" s="2"/>
      <c r="V14961" s="2"/>
      <c r="W14961" s="2"/>
      <c r="X14961" s="2"/>
      <c r="Y14961" s="2"/>
      <c r="Z14961" s="2"/>
    </row>
    <row r="14962" spans="1:26" ht="16.5" x14ac:dyDescent="0.35">
      <c r="A14962" s="2" t="str">
        <f ca="1">IFERROR(__xludf.DUMMYFUNCTION("""COMPUTED_VALUE"""),"Dubai")</f>
        <v>Dubai</v>
      </c>
      <c r="B14962" s="2" t="str">
        <f ca="1">IFERROR(__xludf.DUMMYFUNCTION("""COMPUTED_VALUE"""),"U-Bora Tower 1")</f>
        <v>U-Bora Tower 1</v>
      </c>
      <c r="C14962" s="2" t="str">
        <f ca="1">IFERROR(__xludf.DUMMYFUNCTION("""COMPUTED_VALUE"""),"Building")</f>
        <v>Building</v>
      </c>
      <c r="D14962" s="2" t="str">
        <f ca="1">IFERROR(__xludf.DUMMYFUNCTION("""COMPUTED_VALUE"""),"Dubai&gt;Business Bay&gt;U-Bora Tower&gt;U-Bora Tower 1")</f>
        <v>Dubai&gt;Business Bay&gt;U-Bora Tower&gt;U-Bora Tower 1</v>
      </c>
      <c r="E14962" s="2"/>
      <c r="F14962" s="2"/>
      <c r="G14962" s="2"/>
      <c r="H14962" s="2"/>
      <c r="I14962" s="2"/>
      <c r="J14962" s="2"/>
      <c r="K14962" s="2"/>
      <c r="L14962" s="2"/>
      <c r="M14962" s="2"/>
      <c r="N14962" s="2"/>
      <c r="O14962" s="2"/>
      <c r="P14962" s="2"/>
      <c r="Q14962" s="2"/>
      <c r="R14962" s="2"/>
      <c r="S14962" s="2"/>
      <c r="T14962" s="2"/>
      <c r="U14962" s="2"/>
      <c r="V14962" s="2"/>
      <c r="W14962" s="2"/>
      <c r="X14962" s="2"/>
      <c r="Y14962" s="2"/>
      <c r="Z14962" s="2"/>
    </row>
    <row r="14963" spans="1:26" ht="16.5" x14ac:dyDescent="0.35">
      <c r="A14963" s="2" t="str">
        <f ca="1">IFERROR(__xludf.DUMMYFUNCTION("""COMPUTED_VALUE"""),"Dubai")</f>
        <v>Dubai</v>
      </c>
      <c r="B14963" s="2" t="str">
        <f ca="1">IFERROR(__xludf.DUMMYFUNCTION("""COMPUTED_VALUE"""),"Binghatti Canal Building")</f>
        <v>Binghatti Canal Building</v>
      </c>
      <c r="C14963" s="2" t="str">
        <f ca="1">IFERROR(__xludf.DUMMYFUNCTION("""COMPUTED_VALUE"""),"Building")</f>
        <v>Building</v>
      </c>
      <c r="D14963" s="2" t="str">
        <f ca="1">IFERROR(__xludf.DUMMYFUNCTION("""COMPUTED_VALUE"""),"Dubai&gt;Business Bay&gt;Binghatti Canal Building")</f>
        <v>Dubai&gt;Business Bay&gt;Binghatti Canal Building</v>
      </c>
      <c r="E14963" s="2"/>
      <c r="F14963" s="2"/>
      <c r="G14963" s="2"/>
      <c r="H14963" s="2"/>
      <c r="I14963" s="2"/>
      <c r="J14963" s="2"/>
      <c r="K14963" s="2"/>
      <c r="L14963" s="2"/>
      <c r="M14963" s="2"/>
      <c r="N14963" s="2"/>
      <c r="O14963" s="2"/>
      <c r="P14963" s="2"/>
      <c r="Q14963" s="2"/>
      <c r="R14963" s="2"/>
      <c r="S14963" s="2"/>
      <c r="T14963" s="2"/>
      <c r="U14963" s="2"/>
      <c r="V14963" s="2"/>
      <c r="W14963" s="2"/>
      <c r="X14963" s="2"/>
      <c r="Y14963" s="2"/>
      <c r="Z14963" s="2"/>
    </row>
    <row r="14964" spans="1:26" ht="16.5" x14ac:dyDescent="0.35">
      <c r="A14964" s="2" t="str">
        <f ca="1">IFERROR(__xludf.DUMMYFUNCTION("""COMPUTED_VALUE"""),"Dubai")</f>
        <v>Dubai</v>
      </c>
      <c r="B14964" s="2" t="str">
        <f ca="1">IFERROR(__xludf.DUMMYFUNCTION("""COMPUTED_VALUE"""),"The Edge Tower A")</f>
        <v>The Edge Tower A</v>
      </c>
      <c r="C14964" s="2" t="str">
        <f ca="1">IFERROR(__xludf.DUMMYFUNCTION("""COMPUTED_VALUE"""),"Building")</f>
        <v>Building</v>
      </c>
      <c r="D14964" s="2" t="str">
        <f ca="1">IFERROR(__xludf.DUMMYFUNCTION("""COMPUTED_VALUE"""),"Dubai&gt;Business Bay&gt;The Edge&gt;The Edge Tower A")</f>
        <v>Dubai&gt;Business Bay&gt;The Edge&gt;The Edge Tower A</v>
      </c>
      <c r="E14964" s="2"/>
      <c r="F14964" s="2"/>
      <c r="G14964" s="2"/>
      <c r="H14964" s="2"/>
      <c r="I14964" s="2"/>
      <c r="J14964" s="2"/>
      <c r="K14964" s="2"/>
      <c r="L14964" s="2"/>
      <c r="M14964" s="2"/>
      <c r="N14964" s="2"/>
      <c r="O14964" s="2"/>
      <c r="P14964" s="2"/>
      <c r="Q14964" s="2"/>
      <c r="R14964" s="2"/>
      <c r="S14964" s="2"/>
      <c r="T14964" s="2"/>
      <c r="U14964" s="2"/>
      <c r="V14964" s="2"/>
      <c r="W14964" s="2"/>
      <c r="X14964" s="2"/>
      <c r="Y14964" s="2"/>
      <c r="Z14964" s="2"/>
    </row>
    <row r="14965" spans="1:26" ht="16.5" x14ac:dyDescent="0.35">
      <c r="A14965" s="2" t="str">
        <f ca="1">IFERROR(__xludf.DUMMYFUNCTION("""COMPUTED_VALUE"""),"Dubai")</f>
        <v>Dubai</v>
      </c>
      <c r="B14965" s="2" t="str">
        <f ca="1">IFERROR(__xludf.DUMMYFUNCTION("""COMPUTED_VALUE"""),"Regent Residences Dubai Sankari Place East Tower")</f>
        <v>Regent Residences Dubai Sankari Place East Tower</v>
      </c>
      <c r="C14965" s="2" t="str">
        <f ca="1">IFERROR(__xludf.DUMMYFUNCTION("""COMPUTED_VALUE"""),"Building")</f>
        <v>Building</v>
      </c>
      <c r="D14965" s="2" t="str">
        <f ca="1">IFERROR(__xludf.DUMMYFUNCTION("""COMPUTED_VALUE"""),"Dubai&gt;Business Bay&gt;Regent Residences Dubai Sankari Place&gt;Regent Residences Dubai Sankari Place East Tower")</f>
        <v>Dubai&gt;Business Bay&gt;Regent Residences Dubai Sankari Place&gt;Regent Residences Dubai Sankari Place East Tower</v>
      </c>
      <c r="E14965" s="2"/>
      <c r="F14965" s="2"/>
      <c r="G14965" s="2"/>
      <c r="H14965" s="2"/>
      <c r="I14965" s="2"/>
      <c r="J14965" s="2"/>
      <c r="K14965" s="2"/>
      <c r="L14965" s="2"/>
      <c r="M14965" s="2"/>
      <c r="N14965" s="2"/>
      <c r="O14965" s="2"/>
      <c r="P14965" s="2"/>
      <c r="Q14965" s="2"/>
      <c r="R14965" s="2"/>
      <c r="S14965" s="2"/>
      <c r="T14965" s="2"/>
      <c r="U14965" s="2"/>
      <c r="V14965" s="2"/>
      <c r="W14965" s="2"/>
      <c r="X14965" s="2"/>
      <c r="Y14965" s="2"/>
      <c r="Z14965" s="2"/>
    </row>
    <row r="14966" spans="1:26" ht="16.5" x14ac:dyDescent="0.35">
      <c r="A14966" s="2" t="str">
        <f ca="1">IFERROR(__xludf.DUMMYFUNCTION("""COMPUTED_VALUE"""),"Dubai")</f>
        <v>Dubai</v>
      </c>
      <c r="B14966" s="2" t="str">
        <f ca="1">IFERROR(__xludf.DUMMYFUNCTION("""COMPUTED_VALUE"""),"DWTN Residences")</f>
        <v>DWTN Residences</v>
      </c>
      <c r="C14966" s="2" t="str">
        <f ca="1">IFERROR(__xludf.DUMMYFUNCTION("""COMPUTED_VALUE"""),"Building")</f>
        <v>Building</v>
      </c>
      <c r="D14966" s="2" t="str">
        <f ca="1">IFERROR(__xludf.DUMMYFUNCTION("""COMPUTED_VALUE"""),"Dubai&gt;Business Bay&gt;DWTN Residences")</f>
        <v>Dubai&gt;Business Bay&gt;DWTN Residences</v>
      </c>
      <c r="E14966" s="2"/>
      <c r="F14966" s="2"/>
      <c r="G14966" s="2"/>
      <c r="H14966" s="2"/>
      <c r="I14966" s="2"/>
      <c r="J14966" s="2"/>
      <c r="K14966" s="2"/>
      <c r="L14966" s="2"/>
      <c r="M14966" s="2"/>
      <c r="N14966" s="2"/>
      <c r="O14966" s="2"/>
      <c r="P14966" s="2"/>
      <c r="Q14966" s="2"/>
      <c r="R14966" s="2"/>
      <c r="S14966" s="2"/>
      <c r="T14966" s="2"/>
      <c r="U14966" s="2"/>
      <c r="V14966" s="2"/>
      <c r="W14966" s="2"/>
      <c r="X14966" s="2"/>
      <c r="Y14966" s="2"/>
      <c r="Z14966" s="2"/>
    </row>
    <row r="14967" spans="1:26" ht="16.5" x14ac:dyDescent="0.35">
      <c r="A14967" s="2" t="str">
        <f ca="1">IFERROR(__xludf.DUMMYFUNCTION("""COMPUTED_VALUE"""),"Dubai")</f>
        <v>Dubai</v>
      </c>
      <c r="B14967" s="2" t="str">
        <f ca="1">IFERROR(__xludf.DUMMYFUNCTION("""COMPUTED_VALUE"""),"District 5F")</f>
        <v>District 5F</v>
      </c>
      <c r="C14967" s="2" t="str">
        <f ca="1">IFERROR(__xludf.DUMMYFUNCTION("""COMPUTED_VALUE"""),"Neighbourhood")</f>
        <v>Neighbourhood</v>
      </c>
      <c r="D14967" s="2" t="str">
        <f ca="1">IFERROR(__xludf.DUMMYFUNCTION("""COMPUTED_VALUE"""),"Dubai&gt;Jumeirah Village Triangle (JVT)&gt;JVT District 5&gt;District 5F")</f>
        <v>Dubai&gt;Jumeirah Village Triangle (JVT)&gt;JVT District 5&gt;District 5F</v>
      </c>
      <c r="E14967" s="2"/>
      <c r="F14967" s="2"/>
      <c r="G14967" s="2"/>
      <c r="H14967" s="2"/>
      <c r="I14967" s="2"/>
      <c r="J14967" s="2"/>
      <c r="K14967" s="2"/>
      <c r="L14967" s="2"/>
      <c r="M14967" s="2"/>
      <c r="N14967" s="2"/>
      <c r="O14967" s="2"/>
      <c r="P14967" s="2"/>
      <c r="Q14967" s="2"/>
      <c r="R14967" s="2"/>
      <c r="S14967" s="2"/>
      <c r="T14967" s="2"/>
      <c r="U14967" s="2"/>
      <c r="V14967" s="2"/>
      <c r="W14967" s="2"/>
      <c r="X14967" s="2"/>
      <c r="Y14967" s="2"/>
      <c r="Z14967" s="2"/>
    </row>
    <row r="14968" spans="1:26" ht="16.5" x14ac:dyDescent="0.35">
      <c r="A14968" s="2" t="str">
        <f ca="1">IFERROR(__xludf.DUMMYFUNCTION("""COMPUTED_VALUE"""),"Dubai")</f>
        <v>Dubai</v>
      </c>
      <c r="B14968" s="2" t="str">
        <f ca="1">IFERROR(__xludf.DUMMYFUNCTION("""COMPUTED_VALUE"""),"District 9G")</f>
        <v>District 9G</v>
      </c>
      <c r="C14968" s="2" t="str">
        <f ca="1">IFERROR(__xludf.DUMMYFUNCTION("""COMPUTED_VALUE"""),"Neighbourhood")</f>
        <v>Neighbourhood</v>
      </c>
      <c r="D14968" s="2" t="str">
        <f ca="1">IFERROR(__xludf.DUMMYFUNCTION("""COMPUTED_VALUE"""),"Dubai&gt;Jumeirah Village Triangle (JVT)&gt;JVT District 9&gt;District 9G")</f>
        <v>Dubai&gt;Jumeirah Village Triangle (JVT)&gt;JVT District 9&gt;District 9G</v>
      </c>
      <c r="E14968" s="2"/>
      <c r="F14968" s="2"/>
      <c r="G14968" s="2"/>
      <c r="H14968" s="2"/>
      <c r="I14968" s="2"/>
      <c r="J14968" s="2"/>
      <c r="K14968" s="2"/>
      <c r="L14968" s="2"/>
      <c r="M14968" s="2"/>
      <c r="N14968" s="2"/>
      <c r="O14968" s="2"/>
      <c r="P14968" s="2"/>
      <c r="Q14968" s="2"/>
      <c r="R14968" s="2"/>
      <c r="S14968" s="2"/>
      <c r="T14968" s="2"/>
      <c r="U14968" s="2"/>
      <c r="V14968" s="2"/>
      <c r="W14968" s="2"/>
      <c r="X14968" s="2"/>
      <c r="Y14968" s="2"/>
      <c r="Z14968" s="2"/>
    </row>
    <row r="14969" spans="1:26" ht="16.5" x14ac:dyDescent="0.35">
      <c r="A14969" s="2" t="str">
        <f ca="1">IFERROR(__xludf.DUMMYFUNCTION("""COMPUTED_VALUE"""),"Dubai")</f>
        <v>Dubai</v>
      </c>
      <c r="B14969" s="2" t="str">
        <f ca="1">IFERROR(__xludf.DUMMYFUNCTION("""COMPUTED_VALUE"""),"Lum1nar Tower 2")</f>
        <v>Lum1nar Tower 2</v>
      </c>
      <c r="C14969" s="2" t="str">
        <f ca="1">IFERROR(__xludf.DUMMYFUNCTION("""COMPUTED_VALUE"""),"Building")</f>
        <v>Building</v>
      </c>
      <c r="D14969" s="2" t="str">
        <f ca="1">IFERROR(__xludf.DUMMYFUNCTION("""COMPUTED_VALUE"""),"Dubai&gt;Jumeirah Village Triangle (JVT)&gt;JVT District 2&gt;Lum1nar Towers&gt;Lum1nar Tower 2")</f>
        <v>Dubai&gt;Jumeirah Village Triangle (JVT)&gt;JVT District 2&gt;Lum1nar Towers&gt;Lum1nar Tower 2</v>
      </c>
      <c r="E14969" s="2"/>
      <c r="F14969" s="2"/>
      <c r="G14969" s="2"/>
      <c r="H14969" s="2"/>
      <c r="I14969" s="2"/>
      <c r="J14969" s="2"/>
      <c r="K14969" s="2"/>
      <c r="L14969" s="2"/>
      <c r="M14969" s="2"/>
      <c r="N14969" s="2"/>
      <c r="O14969" s="2"/>
      <c r="P14969" s="2"/>
      <c r="Q14969" s="2"/>
      <c r="R14969" s="2"/>
      <c r="S14969" s="2"/>
      <c r="T14969" s="2"/>
      <c r="U14969" s="2"/>
      <c r="V14969" s="2"/>
      <c r="W14969" s="2"/>
      <c r="X14969" s="2"/>
      <c r="Y14969" s="2"/>
      <c r="Z14969" s="2"/>
    </row>
    <row r="14970" spans="1:26" ht="16.5" x14ac:dyDescent="0.35">
      <c r="A14970" s="2" t="str">
        <f ca="1">IFERROR(__xludf.DUMMYFUNCTION("""COMPUTED_VALUE"""),"Dubai")</f>
        <v>Dubai</v>
      </c>
      <c r="B14970" s="2" t="str">
        <f ca="1">IFERROR(__xludf.DUMMYFUNCTION("""COMPUTED_VALUE"""),"Park One")</f>
        <v>Park One</v>
      </c>
      <c r="C14970" s="2" t="str">
        <f ca="1">IFERROR(__xludf.DUMMYFUNCTION("""COMPUTED_VALUE"""),"Building")</f>
        <v>Building</v>
      </c>
      <c r="D14970" s="2" t="str">
        <f ca="1">IFERROR(__xludf.DUMMYFUNCTION("""COMPUTED_VALUE"""),"Dubai&gt;Jumeirah Village Triangle (JVT)&gt;JVT District 1&gt;Park One")</f>
        <v>Dubai&gt;Jumeirah Village Triangle (JVT)&gt;JVT District 1&gt;Park One</v>
      </c>
      <c r="E14970" s="2"/>
      <c r="F14970" s="2"/>
      <c r="G14970" s="2"/>
      <c r="H14970" s="2"/>
      <c r="I14970" s="2"/>
      <c r="J14970" s="2"/>
      <c r="K14970" s="2"/>
      <c r="L14970" s="2"/>
      <c r="M14970" s="2"/>
      <c r="N14970" s="2"/>
      <c r="O14970" s="2"/>
      <c r="P14970" s="2"/>
      <c r="Q14970" s="2"/>
      <c r="R14970" s="2"/>
      <c r="S14970" s="2"/>
      <c r="T14970" s="2"/>
      <c r="U14970" s="2"/>
      <c r="V14970" s="2"/>
      <c r="W14970" s="2"/>
      <c r="X14970" s="2"/>
      <c r="Y14970" s="2"/>
      <c r="Z14970" s="2"/>
    </row>
    <row r="14971" spans="1:26" ht="16.5" x14ac:dyDescent="0.35">
      <c r="A14971" s="2" t="str">
        <f ca="1">IFERROR(__xludf.DUMMYFUNCTION("""COMPUTED_VALUE"""),"Dubai")</f>
        <v>Dubai</v>
      </c>
      <c r="B14971" s="2" t="str">
        <f ca="1">IFERROR(__xludf.DUMMYFUNCTION("""COMPUTED_VALUE"""),"Jenin Building")</f>
        <v>Jenin Building</v>
      </c>
      <c r="C14971" s="2" t="str">
        <f ca="1">IFERROR(__xludf.DUMMYFUNCTION("""COMPUTED_VALUE"""),"Building")</f>
        <v>Building</v>
      </c>
      <c r="D14971" s="2" t="str">
        <f ca="1">IFERROR(__xludf.DUMMYFUNCTION("""COMPUTED_VALUE"""),"Dubai&gt;Jumeirah Village Triangle (JVT)&gt;JVT District 4&gt;Jenin Building")</f>
        <v>Dubai&gt;Jumeirah Village Triangle (JVT)&gt;JVT District 4&gt;Jenin Building</v>
      </c>
      <c r="E14971" s="2"/>
      <c r="F14971" s="2"/>
      <c r="G14971" s="2"/>
      <c r="H14971" s="2"/>
      <c r="I14971" s="2"/>
      <c r="J14971" s="2"/>
      <c r="K14971" s="2"/>
      <c r="L14971" s="2"/>
      <c r="M14971" s="2"/>
      <c r="N14971" s="2"/>
      <c r="O14971" s="2"/>
      <c r="P14971" s="2"/>
      <c r="Q14971" s="2"/>
      <c r="R14971" s="2"/>
      <c r="S14971" s="2"/>
      <c r="T14971" s="2"/>
      <c r="U14971" s="2"/>
      <c r="V14971" s="2"/>
      <c r="W14971" s="2"/>
      <c r="X14971" s="2"/>
      <c r="Y14971" s="2"/>
      <c r="Z14971" s="2"/>
    </row>
    <row r="14972" spans="1:26" ht="16.5" x14ac:dyDescent="0.35">
      <c r="A14972" s="2" t="str">
        <f ca="1">IFERROR(__xludf.DUMMYFUNCTION("""COMPUTED_VALUE"""),"Dubai")</f>
        <v>Dubai</v>
      </c>
      <c r="B14972" s="2" t="str">
        <f ca="1">IFERROR(__xludf.DUMMYFUNCTION("""COMPUTED_VALUE"""),"Sonate Residences")</f>
        <v>Sonate Residences</v>
      </c>
      <c r="C14972" s="2" t="str">
        <f ca="1">IFERROR(__xludf.DUMMYFUNCTION("""COMPUTED_VALUE"""),"Building")</f>
        <v>Building</v>
      </c>
      <c r="D14972" s="2" t="str">
        <f ca="1">IFERROR(__xludf.DUMMYFUNCTION("""COMPUTED_VALUE"""),"Dubai&gt;Jumeirah Village Triangle (JVT)&gt;JVT District 3&gt;Sonate Residences")</f>
        <v>Dubai&gt;Jumeirah Village Triangle (JVT)&gt;JVT District 3&gt;Sonate Residences</v>
      </c>
      <c r="E14972" s="2"/>
      <c r="F14972" s="2"/>
      <c r="G14972" s="2"/>
      <c r="H14972" s="2"/>
      <c r="I14972" s="2"/>
      <c r="J14972" s="2"/>
      <c r="K14972" s="2"/>
      <c r="L14972" s="2"/>
      <c r="M14972" s="2"/>
      <c r="N14972" s="2"/>
      <c r="O14972" s="2"/>
      <c r="P14972" s="2"/>
      <c r="Q14972" s="2"/>
      <c r="R14972" s="2"/>
      <c r="S14972" s="2"/>
      <c r="T14972" s="2"/>
      <c r="U14972" s="2"/>
      <c r="V14972" s="2"/>
      <c r="W14972" s="2"/>
      <c r="X14972" s="2"/>
      <c r="Y14972" s="2"/>
      <c r="Z14972" s="2"/>
    </row>
    <row r="14973" spans="1:26" ht="16.5" x14ac:dyDescent="0.35">
      <c r="A14973" s="2" t="str">
        <f ca="1">IFERROR(__xludf.DUMMYFUNCTION("""COMPUTED_VALUE"""),"Dubai")</f>
        <v>Dubai</v>
      </c>
      <c r="B14973" s="2" t="str">
        <f ca="1">IFERROR(__xludf.DUMMYFUNCTION("""COMPUTED_VALUE"""),"Al Ramth 11")</f>
        <v>Al Ramth 11</v>
      </c>
      <c r="C14973" s="2" t="str">
        <f ca="1">IFERROR(__xludf.DUMMYFUNCTION("""COMPUTED_VALUE"""),"Building")</f>
        <v>Building</v>
      </c>
      <c r="D14973" s="2" t="str">
        <f ca="1">IFERROR(__xludf.DUMMYFUNCTION("""COMPUTED_VALUE"""),"Dubai&gt;Remraam&gt;Al Ramth&gt;Al Ramth 11")</f>
        <v>Dubai&gt;Remraam&gt;Al Ramth&gt;Al Ramth 11</v>
      </c>
      <c r="E14973" s="2"/>
      <c r="F14973" s="2"/>
      <c r="G14973" s="2"/>
      <c r="H14973" s="2"/>
      <c r="I14973" s="2"/>
      <c r="J14973" s="2"/>
      <c r="K14973" s="2"/>
      <c r="L14973" s="2"/>
      <c r="M14973" s="2"/>
      <c r="N14973" s="2"/>
      <c r="O14973" s="2"/>
      <c r="P14973" s="2"/>
      <c r="Q14973" s="2"/>
      <c r="R14973" s="2"/>
      <c r="S14973" s="2"/>
      <c r="T14973" s="2"/>
      <c r="U14973" s="2"/>
      <c r="V14973" s="2"/>
      <c r="W14973" s="2"/>
      <c r="X14973" s="2"/>
      <c r="Y14973" s="2"/>
      <c r="Z14973" s="2"/>
    </row>
    <row r="14974" spans="1:26" ht="16.5" x14ac:dyDescent="0.35">
      <c r="A14974" s="2" t="str">
        <f ca="1">IFERROR(__xludf.DUMMYFUNCTION("""COMPUTED_VALUE"""),"Dubai")</f>
        <v>Dubai</v>
      </c>
      <c r="B14974" s="2" t="str">
        <f ca="1">IFERROR(__xludf.DUMMYFUNCTION("""COMPUTED_VALUE"""),"Al Thamam 41")</f>
        <v>Al Thamam 41</v>
      </c>
      <c r="C14974" s="2" t="str">
        <f ca="1">IFERROR(__xludf.DUMMYFUNCTION("""COMPUTED_VALUE"""),"Building")</f>
        <v>Building</v>
      </c>
      <c r="D14974" s="2" t="str">
        <f ca="1">IFERROR(__xludf.DUMMYFUNCTION("""COMPUTED_VALUE"""),"Dubai&gt;Remraam&gt;Al Thamam&gt;Al Thamam 41")</f>
        <v>Dubai&gt;Remraam&gt;Al Thamam&gt;Al Thamam 41</v>
      </c>
      <c r="E14974" s="2"/>
      <c r="F14974" s="2"/>
      <c r="G14974" s="2"/>
      <c r="H14974" s="2"/>
      <c r="I14974" s="2"/>
      <c r="J14974" s="2"/>
      <c r="K14974" s="2"/>
      <c r="L14974" s="2"/>
      <c r="M14974" s="2"/>
      <c r="N14974" s="2"/>
      <c r="O14974" s="2"/>
      <c r="P14974" s="2"/>
      <c r="Q14974" s="2"/>
      <c r="R14974" s="2"/>
      <c r="S14974" s="2"/>
      <c r="T14974" s="2"/>
      <c r="U14974" s="2"/>
      <c r="V14974" s="2"/>
      <c r="W14974" s="2"/>
      <c r="X14974" s="2"/>
      <c r="Y14974" s="2"/>
      <c r="Z14974" s="2"/>
    </row>
    <row r="14975" spans="1:26" ht="16.5" x14ac:dyDescent="0.35">
      <c r="A14975" s="2" t="str">
        <f ca="1">IFERROR(__xludf.DUMMYFUNCTION("""COMPUTED_VALUE"""),"Dubai")</f>
        <v>Dubai</v>
      </c>
      <c r="B14975" s="2" t="str">
        <f ca="1">IFERROR(__xludf.DUMMYFUNCTION("""COMPUTED_VALUE"""),"Al Thamam 33")</f>
        <v>Al Thamam 33</v>
      </c>
      <c r="C14975" s="2" t="str">
        <f ca="1">IFERROR(__xludf.DUMMYFUNCTION("""COMPUTED_VALUE"""),"Building")</f>
        <v>Building</v>
      </c>
      <c r="D14975" s="2" t="str">
        <f ca="1">IFERROR(__xludf.DUMMYFUNCTION("""COMPUTED_VALUE"""),"Dubai&gt;Remraam&gt;Al Thamam&gt;Al Thamam 33")</f>
        <v>Dubai&gt;Remraam&gt;Al Thamam&gt;Al Thamam 33</v>
      </c>
      <c r="E14975" s="2"/>
      <c r="F14975" s="2"/>
      <c r="G14975" s="2"/>
      <c r="H14975" s="2"/>
      <c r="I14975" s="2"/>
      <c r="J14975" s="2"/>
      <c r="K14975" s="2"/>
      <c r="L14975" s="2"/>
      <c r="M14975" s="2"/>
      <c r="N14975" s="2"/>
      <c r="O14975" s="2"/>
      <c r="P14975" s="2"/>
      <c r="Q14975" s="2"/>
      <c r="R14975" s="2"/>
      <c r="S14975" s="2"/>
      <c r="T14975" s="2"/>
      <c r="U14975" s="2"/>
      <c r="V14975" s="2"/>
      <c r="W14975" s="2"/>
      <c r="X14975" s="2"/>
      <c r="Y14975" s="2"/>
      <c r="Z14975" s="2"/>
    </row>
    <row r="14976" spans="1:26" ht="16.5" x14ac:dyDescent="0.35">
      <c r="A14976" s="2" t="str">
        <f ca="1">IFERROR(__xludf.DUMMYFUNCTION("""COMPUTED_VALUE"""),"Dubai")</f>
        <v>Dubai</v>
      </c>
      <c r="B14976" s="2" t="str">
        <f ca="1">IFERROR(__xludf.DUMMYFUNCTION("""COMPUTED_VALUE"""),"Dana Tower")</f>
        <v>Dana Tower</v>
      </c>
      <c r="C14976" s="2" t="str">
        <f ca="1">IFERROR(__xludf.DUMMYFUNCTION("""COMPUTED_VALUE"""),"Building")</f>
        <v>Building</v>
      </c>
      <c r="D14976" s="2" t="str">
        <f ca="1">IFERROR(__xludf.DUMMYFUNCTION("""COMPUTED_VALUE"""),"Dubai&gt;Jumeirah Village Circle (JVC)&gt;JVC District 12&gt;Dana Tower")</f>
        <v>Dubai&gt;Jumeirah Village Circle (JVC)&gt;JVC District 12&gt;Dana Tower</v>
      </c>
      <c r="E14976" s="2"/>
      <c r="F14976" s="2"/>
      <c r="G14976" s="2"/>
      <c r="H14976" s="2"/>
      <c r="I14976" s="2"/>
      <c r="J14976" s="2"/>
      <c r="K14976" s="2"/>
      <c r="L14976" s="2"/>
      <c r="M14976" s="2"/>
      <c r="N14976" s="2"/>
      <c r="O14976" s="2"/>
      <c r="P14976" s="2"/>
      <c r="Q14976" s="2"/>
      <c r="R14976" s="2"/>
      <c r="S14976" s="2"/>
      <c r="T14976" s="2"/>
      <c r="U14976" s="2"/>
      <c r="V14976" s="2"/>
      <c r="W14976" s="2"/>
      <c r="X14976" s="2"/>
      <c r="Y14976" s="2"/>
      <c r="Z14976" s="2"/>
    </row>
    <row r="14977" spans="1:26" ht="16.5" x14ac:dyDescent="0.35">
      <c r="A14977" s="2" t="str">
        <f ca="1">IFERROR(__xludf.DUMMYFUNCTION("""COMPUTED_VALUE"""),"Dubai")</f>
        <v>Dubai</v>
      </c>
      <c r="B14977" s="2" t="str">
        <f ca="1">IFERROR(__xludf.DUMMYFUNCTION("""COMPUTED_VALUE"""),"Belgravia Heights 1")</f>
        <v>Belgravia Heights 1</v>
      </c>
      <c r="C14977" s="2" t="str">
        <f ca="1">IFERROR(__xludf.DUMMYFUNCTION("""COMPUTED_VALUE"""),"Building")</f>
        <v>Building</v>
      </c>
      <c r="D14977" s="2" t="str">
        <f ca="1">IFERROR(__xludf.DUMMYFUNCTION("""COMPUTED_VALUE"""),"Dubai&gt;Jumeirah Village Circle (JVC)&gt;JVC District 12&gt;Belgravia Heights 1")</f>
        <v>Dubai&gt;Jumeirah Village Circle (JVC)&gt;JVC District 12&gt;Belgravia Heights 1</v>
      </c>
      <c r="E14977" s="2"/>
      <c r="F14977" s="2"/>
      <c r="G14977" s="2"/>
      <c r="H14977" s="2"/>
      <c r="I14977" s="2"/>
      <c r="J14977" s="2"/>
      <c r="K14977" s="2"/>
      <c r="L14977" s="2"/>
      <c r="M14977" s="2"/>
      <c r="N14977" s="2"/>
      <c r="O14977" s="2"/>
      <c r="P14977" s="2"/>
      <c r="Q14977" s="2"/>
      <c r="R14977" s="2"/>
      <c r="S14977" s="2"/>
      <c r="T14977" s="2"/>
      <c r="U14977" s="2"/>
      <c r="V14977" s="2"/>
      <c r="W14977" s="2"/>
      <c r="X14977" s="2"/>
      <c r="Y14977" s="2"/>
      <c r="Z14977" s="2"/>
    </row>
    <row r="14978" spans="1:26" ht="16.5" x14ac:dyDescent="0.35">
      <c r="A14978" s="2" t="str">
        <f ca="1">IFERROR(__xludf.DUMMYFUNCTION("""COMPUTED_VALUE"""),"Dubai")</f>
        <v>Dubai</v>
      </c>
      <c r="B14978" s="2" t="str">
        <f ca="1">IFERROR(__xludf.DUMMYFUNCTION("""COMPUTED_VALUE"""),"RA1N Residence")</f>
        <v>RA1N Residence</v>
      </c>
      <c r="C14978" s="2" t="str">
        <f ca="1">IFERROR(__xludf.DUMMYFUNCTION("""COMPUTED_VALUE"""),"Building")</f>
        <v>Building</v>
      </c>
      <c r="D14978" s="2" t="str">
        <f ca="1">IFERROR(__xludf.DUMMYFUNCTION("""COMPUTED_VALUE"""),"Dubai&gt;Jumeirah Village Circle (JVC)&gt;JVC District 12&gt;RA1N Residence")</f>
        <v>Dubai&gt;Jumeirah Village Circle (JVC)&gt;JVC District 12&gt;RA1N Residence</v>
      </c>
      <c r="E14978" s="2"/>
      <c r="F14978" s="2"/>
      <c r="G14978" s="2"/>
      <c r="H14978" s="2"/>
      <c r="I14978" s="2"/>
      <c r="J14978" s="2"/>
      <c r="K14978" s="2"/>
      <c r="L14978" s="2"/>
      <c r="M14978" s="2"/>
      <c r="N14978" s="2"/>
      <c r="O14978" s="2"/>
      <c r="P14978" s="2"/>
      <c r="Q14978" s="2"/>
      <c r="R14978" s="2"/>
      <c r="S14978" s="2"/>
      <c r="T14978" s="2"/>
      <c r="U14978" s="2"/>
      <c r="V14978" s="2"/>
      <c r="W14978" s="2"/>
      <c r="X14978" s="2"/>
      <c r="Y14978" s="2"/>
      <c r="Z14978" s="2"/>
    </row>
    <row r="14979" spans="1:26" ht="16.5" x14ac:dyDescent="0.35">
      <c r="A14979" s="2" t="str">
        <f ca="1">IFERROR(__xludf.DUMMYFUNCTION("""COMPUTED_VALUE"""),"Dubai")</f>
        <v>Dubai</v>
      </c>
      <c r="B14979" s="2" t="str">
        <f ca="1">IFERROR(__xludf.DUMMYFUNCTION("""COMPUTED_VALUE"""),"SquareX One")</f>
        <v>SquareX One</v>
      </c>
      <c r="C14979" s="2" t="str">
        <f ca="1">IFERROR(__xludf.DUMMYFUNCTION("""COMPUTED_VALUE"""),"Building")</f>
        <v>Building</v>
      </c>
      <c r="D14979" s="2" t="str">
        <f ca="1">IFERROR(__xludf.DUMMYFUNCTION("""COMPUTED_VALUE"""),"Dubai&gt;Jumeirah Village Circle (JVC)&gt;JVC District 12&gt;SquareX One")</f>
        <v>Dubai&gt;Jumeirah Village Circle (JVC)&gt;JVC District 12&gt;SquareX One</v>
      </c>
      <c r="E14979" s="2"/>
      <c r="F14979" s="2"/>
      <c r="G14979" s="2"/>
      <c r="H14979" s="2"/>
      <c r="I14979" s="2"/>
      <c r="J14979" s="2"/>
      <c r="K14979" s="2"/>
      <c r="L14979" s="2"/>
      <c r="M14979" s="2"/>
      <c r="N14979" s="2"/>
      <c r="O14979" s="2"/>
      <c r="P14979" s="2"/>
      <c r="Q14979" s="2"/>
      <c r="R14979" s="2"/>
      <c r="S14979" s="2"/>
      <c r="T14979" s="2"/>
      <c r="U14979" s="2"/>
      <c r="V14979" s="2"/>
      <c r="W14979" s="2"/>
      <c r="X14979" s="2"/>
      <c r="Y14979" s="2"/>
      <c r="Z14979" s="2"/>
    </row>
    <row r="14980" spans="1:26" ht="16.5" x14ac:dyDescent="0.35">
      <c r="A14980" s="2" t="str">
        <f ca="1">IFERROR(__xludf.DUMMYFUNCTION("""COMPUTED_VALUE"""),"Dubai")</f>
        <v>Dubai</v>
      </c>
      <c r="B14980" s="2" t="str">
        <f ca="1">IFERROR(__xludf.DUMMYFUNCTION("""COMPUTED_VALUE"""),"Pantheon Boulevard")</f>
        <v>Pantheon Boulevard</v>
      </c>
      <c r="C14980" s="2" t="str">
        <f ca="1">IFERROR(__xludf.DUMMYFUNCTION("""COMPUTED_VALUE"""),"Building")</f>
        <v>Building</v>
      </c>
      <c r="D14980" s="2" t="str">
        <f ca="1">IFERROR(__xludf.DUMMYFUNCTION("""COMPUTED_VALUE"""),"Dubai&gt;Jumeirah Village Circle (JVC)&gt;JVC District 13&gt;Pantheon Boulevard")</f>
        <v>Dubai&gt;Jumeirah Village Circle (JVC)&gt;JVC District 13&gt;Pantheon Boulevard</v>
      </c>
      <c r="E14980" s="2"/>
      <c r="F14980" s="2"/>
      <c r="G14980" s="2"/>
      <c r="H14980" s="2"/>
      <c r="I14980" s="2"/>
      <c r="J14980" s="2"/>
      <c r="K14980" s="2"/>
      <c r="L14980" s="2"/>
      <c r="M14980" s="2"/>
      <c r="N14980" s="2"/>
      <c r="O14980" s="2"/>
      <c r="P14980" s="2"/>
      <c r="Q14980" s="2"/>
      <c r="R14980" s="2"/>
      <c r="S14980" s="2"/>
      <c r="T14980" s="2"/>
      <c r="U14980" s="2"/>
      <c r="V14980" s="2"/>
      <c r="W14980" s="2"/>
      <c r="X14980" s="2"/>
      <c r="Y14980" s="2"/>
      <c r="Z14980" s="2"/>
    </row>
    <row r="14981" spans="1:26" ht="16.5" x14ac:dyDescent="0.35">
      <c r="A14981" s="2" t="str">
        <f ca="1">IFERROR(__xludf.DUMMYFUNCTION("""COMPUTED_VALUE"""),"Dubai")</f>
        <v>Dubai</v>
      </c>
      <c r="B14981" s="2" t="str">
        <f ca="1">IFERROR(__xludf.DUMMYFUNCTION("""COMPUTED_VALUE"""),"Pearl House by Imtiaz")</f>
        <v>Pearl House by Imtiaz</v>
      </c>
      <c r="C14981" s="2" t="str">
        <f ca="1">IFERROR(__xludf.DUMMYFUNCTION("""COMPUTED_VALUE"""),"Building")</f>
        <v>Building</v>
      </c>
      <c r="D14981" s="2" t="str">
        <f ca="1">IFERROR(__xludf.DUMMYFUNCTION("""COMPUTED_VALUE"""),"Dubai&gt;Jumeirah Village Circle (JVC)&gt;JVC District 13&gt;Pearl House by Imtiaz")</f>
        <v>Dubai&gt;Jumeirah Village Circle (JVC)&gt;JVC District 13&gt;Pearl House by Imtiaz</v>
      </c>
      <c r="E14981" s="2"/>
      <c r="F14981" s="2"/>
      <c r="G14981" s="2"/>
      <c r="H14981" s="2"/>
      <c r="I14981" s="2"/>
      <c r="J14981" s="2"/>
      <c r="K14981" s="2"/>
      <c r="L14981" s="2"/>
      <c r="M14981" s="2"/>
      <c r="N14981" s="2"/>
      <c r="O14981" s="2"/>
      <c r="P14981" s="2"/>
      <c r="Q14981" s="2"/>
      <c r="R14981" s="2"/>
      <c r="S14981" s="2"/>
      <c r="T14981" s="2"/>
      <c r="U14981" s="2"/>
      <c r="V14981" s="2"/>
      <c r="W14981" s="2"/>
      <c r="X14981" s="2"/>
      <c r="Y14981" s="2"/>
      <c r="Z14981" s="2"/>
    </row>
    <row r="14982" spans="1:26" ht="16.5" x14ac:dyDescent="0.35">
      <c r="A14982" s="2" t="str">
        <f ca="1">IFERROR(__xludf.DUMMYFUNCTION("""COMPUTED_VALUE"""),"Dubai")</f>
        <v>Dubai</v>
      </c>
      <c r="B14982" s="2" t="str">
        <f ca="1">IFERROR(__xludf.DUMMYFUNCTION("""COMPUTED_VALUE"""),"Tower 108")</f>
        <v>Tower 108</v>
      </c>
      <c r="C14982" s="2" t="str">
        <f ca="1">IFERROR(__xludf.DUMMYFUNCTION("""COMPUTED_VALUE"""),"Building")</f>
        <v>Building</v>
      </c>
      <c r="D14982" s="2" t="str">
        <f ca="1">IFERROR(__xludf.DUMMYFUNCTION("""COMPUTED_VALUE"""),"Dubai&gt;Jumeirah Village Circle (JVC)&gt;JVC District 18&gt;Tower 108")</f>
        <v>Dubai&gt;Jumeirah Village Circle (JVC)&gt;JVC District 18&gt;Tower 108</v>
      </c>
      <c r="E14982" s="2"/>
      <c r="F14982" s="2"/>
      <c r="G14982" s="2"/>
      <c r="H14982" s="2"/>
      <c r="I14982" s="2"/>
      <c r="J14982" s="2"/>
      <c r="K14982" s="2"/>
      <c r="L14982" s="2"/>
      <c r="M14982" s="2"/>
      <c r="N14982" s="2"/>
      <c r="O14982" s="2"/>
      <c r="P14982" s="2"/>
      <c r="Q14982" s="2"/>
      <c r="R14982" s="2"/>
      <c r="S14982" s="2"/>
      <c r="T14982" s="2"/>
      <c r="U14982" s="2"/>
      <c r="V14982" s="2"/>
      <c r="W14982" s="2"/>
      <c r="X14982" s="2"/>
      <c r="Y14982" s="2"/>
      <c r="Z14982" s="2"/>
    </row>
    <row r="14983" spans="1:26" ht="16.5" x14ac:dyDescent="0.35">
      <c r="A14983" s="2" t="str">
        <f ca="1">IFERROR(__xludf.DUMMYFUNCTION("""COMPUTED_VALUE"""),"Dubai")</f>
        <v>Dubai</v>
      </c>
      <c r="B14983" s="2" t="str">
        <f ca="1">IFERROR(__xludf.DUMMYFUNCTION("""COMPUTED_VALUE"""),"Westar La Residencia del Sol")</f>
        <v>Westar La Residencia del Sol</v>
      </c>
      <c r="C14983" s="2" t="str">
        <f ca="1">IFERROR(__xludf.DUMMYFUNCTION("""COMPUTED_VALUE"""),"Neighbourhood")</f>
        <v>Neighbourhood</v>
      </c>
      <c r="D14983" s="2" t="str">
        <f ca="1">IFERROR(__xludf.DUMMYFUNCTION("""COMPUTED_VALUE"""),"Dubai&gt;Jumeirah Village Circle (JVC)&gt;JVC District 10&gt;Westar La Residencia del Sol")</f>
        <v>Dubai&gt;Jumeirah Village Circle (JVC)&gt;JVC District 10&gt;Westar La Residencia del Sol</v>
      </c>
      <c r="E14983" s="2"/>
      <c r="F14983" s="2"/>
      <c r="G14983" s="2"/>
      <c r="H14983" s="2"/>
      <c r="I14983" s="2"/>
      <c r="J14983" s="2"/>
      <c r="K14983" s="2"/>
      <c r="L14983" s="2"/>
      <c r="M14983" s="2"/>
      <c r="N14983" s="2"/>
      <c r="O14983" s="2"/>
      <c r="P14983" s="2"/>
      <c r="Q14983" s="2"/>
      <c r="R14983" s="2"/>
      <c r="S14983" s="2"/>
      <c r="T14983" s="2"/>
      <c r="U14983" s="2"/>
      <c r="V14983" s="2"/>
      <c r="W14983" s="2"/>
      <c r="X14983" s="2"/>
      <c r="Y14983" s="2"/>
      <c r="Z14983" s="2"/>
    </row>
    <row r="14984" spans="1:26" ht="16.5" x14ac:dyDescent="0.35">
      <c r="A14984" s="2" t="str">
        <f ca="1">IFERROR(__xludf.DUMMYFUNCTION("""COMPUTED_VALUE"""),"Dubai")</f>
        <v>Dubai</v>
      </c>
      <c r="B14984" s="2" t="str">
        <f ca="1">IFERROR(__xludf.DUMMYFUNCTION("""COMPUTED_VALUE"""),"Grand Paradise II")</f>
        <v>Grand Paradise II</v>
      </c>
      <c r="C14984" s="2" t="str">
        <f ca="1">IFERROR(__xludf.DUMMYFUNCTION("""COMPUTED_VALUE"""),"Neighbourhood")</f>
        <v>Neighbourhood</v>
      </c>
      <c r="D14984" s="2" t="str">
        <f ca="1">IFERROR(__xludf.DUMMYFUNCTION("""COMPUTED_VALUE"""),"Dubai&gt;Jumeirah Village Circle (JVC)&gt;JVC District 10&gt;Grand Paradise II")</f>
        <v>Dubai&gt;Jumeirah Village Circle (JVC)&gt;JVC District 10&gt;Grand Paradise II</v>
      </c>
      <c r="E14984" s="2"/>
      <c r="F14984" s="2"/>
      <c r="G14984" s="2"/>
      <c r="H14984" s="2"/>
      <c r="I14984" s="2"/>
      <c r="J14984" s="2"/>
      <c r="K14984" s="2"/>
      <c r="L14984" s="2"/>
      <c r="M14984" s="2"/>
      <c r="N14984" s="2"/>
      <c r="O14984" s="2"/>
      <c r="P14984" s="2"/>
      <c r="Q14984" s="2"/>
      <c r="R14984" s="2"/>
      <c r="S14984" s="2"/>
      <c r="T14984" s="2"/>
      <c r="U14984" s="2"/>
      <c r="V14984" s="2"/>
      <c r="W14984" s="2"/>
      <c r="X14984" s="2"/>
      <c r="Y14984" s="2"/>
      <c r="Z14984" s="2"/>
    </row>
    <row r="14985" spans="1:26" ht="16.5" x14ac:dyDescent="0.35">
      <c r="A14985" s="2" t="str">
        <f ca="1">IFERROR(__xludf.DUMMYFUNCTION("""COMPUTED_VALUE"""),"Dubai")</f>
        <v>Dubai</v>
      </c>
      <c r="B14985" s="2" t="str">
        <f ca="1">IFERROR(__xludf.DUMMYFUNCTION("""COMPUTED_VALUE"""),"La Riviera Estate Block D")</f>
        <v>La Riviera Estate Block D</v>
      </c>
      <c r="C14985" s="2" t="str">
        <f ca="1">IFERROR(__xludf.DUMMYFUNCTION("""COMPUTED_VALUE"""),"Neighbourhood")</f>
        <v>Neighbourhood</v>
      </c>
      <c r="D14985" s="2" t="str">
        <f ca="1">IFERROR(__xludf.DUMMYFUNCTION("""COMPUTED_VALUE"""),"Dubai&gt;Jumeirah Village Circle (JVC)&gt;JVC District 10&gt;La Riviera Estate Block D")</f>
        <v>Dubai&gt;Jumeirah Village Circle (JVC)&gt;JVC District 10&gt;La Riviera Estate Block D</v>
      </c>
      <c r="E14985" s="2"/>
      <c r="F14985" s="2"/>
      <c r="G14985" s="2"/>
      <c r="H14985" s="2"/>
      <c r="I14985" s="2"/>
      <c r="J14985" s="2"/>
      <c r="K14985" s="2"/>
      <c r="L14985" s="2"/>
      <c r="M14985" s="2"/>
      <c r="N14985" s="2"/>
      <c r="O14985" s="2"/>
      <c r="P14985" s="2"/>
      <c r="Q14985" s="2"/>
      <c r="R14985" s="2"/>
      <c r="S14985" s="2"/>
      <c r="T14985" s="2"/>
      <c r="U14985" s="2"/>
      <c r="V14985" s="2"/>
      <c r="W14985" s="2"/>
      <c r="X14985" s="2"/>
      <c r="Y14985" s="2"/>
      <c r="Z14985" s="2"/>
    </row>
    <row r="14986" spans="1:26" ht="16.5" x14ac:dyDescent="0.35">
      <c r="A14986" s="2" t="str">
        <f ca="1">IFERROR(__xludf.DUMMYFUNCTION("""COMPUTED_VALUE"""),"Dubai")</f>
        <v>Dubai</v>
      </c>
      <c r="B14986" s="2" t="str">
        <f ca="1">IFERROR(__xludf.DUMMYFUNCTION("""COMPUTED_VALUE"""),"Al Serh Residences 11")</f>
        <v>Al Serh Residences 11</v>
      </c>
      <c r="C14986" s="2" t="str">
        <f ca="1">IFERROR(__xludf.DUMMYFUNCTION("""COMPUTED_VALUE"""),"Building")</f>
        <v>Building</v>
      </c>
      <c r="D14986" s="2" t="str">
        <f ca="1">IFERROR(__xludf.DUMMYFUNCTION("""COMPUTED_VALUE"""),"Dubai&gt;Jumeirah Village Circle (JVC)&gt;JVC District 10&gt;Al Serh Residences 11")</f>
        <v>Dubai&gt;Jumeirah Village Circle (JVC)&gt;JVC District 10&gt;Al Serh Residences 11</v>
      </c>
      <c r="E14986" s="2"/>
      <c r="F14986" s="2"/>
      <c r="G14986" s="2"/>
      <c r="H14986" s="2"/>
      <c r="I14986" s="2"/>
      <c r="J14986" s="2"/>
      <c r="K14986" s="2"/>
      <c r="L14986" s="2"/>
      <c r="M14986" s="2"/>
      <c r="N14986" s="2"/>
      <c r="O14986" s="2"/>
      <c r="P14986" s="2"/>
      <c r="Q14986" s="2"/>
      <c r="R14986" s="2"/>
      <c r="S14986" s="2"/>
      <c r="T14986" s="2"/>
      <c r="U14986" s="2"/>
      <c r="V14986" s="2"/>
      <c r="W14986" s="2"/>
      <c r="X14986" s="2"/>
      <c r="Y14986" s="2"/>
      <c r="Z14986" s="2"/>
    </row>
    <row r="14987" spans="1:26" ht="16.5" x14ac:dyDescent="0.35">
      <c r="A14987" s="2" t="str">
        <f ca="1">IFERROR(__xludf.DUMMYFUNCTION("""COMPUTED_VALUE"""),"Dubai")</f>
        <v>Dubai</v>
      </c>
      <c r="B14987" s="2" t="str">
        <f ca="1">IFERROR(__xludf.DUMMYFUNCTION("""COMPUTED_VALUE"""),"Jehaan 10")</f>
        <v>Jehaan 10</v>
      </c>
      <c r="C14987" s="2" t="str">
        <f ca="1">IFERROR(__xludf.DUMMYFUNCTION("""COMPUTED_VALUE"""),"Building")</f>
        <v>Building</v>
      </c>
      <c r="D14987" s="2" t="str">
        <f ca="1">IFERROR(__xludf.DUMMYFUNCTION("""COMPUTED_VALUE"""),"Dubai&gt;Jumeirah Village Circle (JVC)&gt;JVC District 16&gt;Jehaan&gt;Jehaan 10")</f>
        <v>Dubai&gt;Jumeirah Village Circle (JVC)&gt;JVC District 16&gt;Jehaan&gt;Jehaan 10</v>
      </c>
      <c r="E14987" s="2"/>
      <c r="F14987" s="2"/>
      <c r="G14987" s="2"/>
      <c r="H14987" s="2"/>
      <c r="I14987" s="2"/>
      <c r="J14987" s="2"/>
      <c r="K14987" s="2"/>
      <c r="L14987" s="2"/>
      <c r="M14987" s="2"/>
      <c r="N14987" s="2"/>
      <c r="O14987" s="2"/>
      <c r="P14987" s="2"/>
      <c r="Q14987" s="2"/>
      <c r="R14987" s="2"/>
      <c r="S14987" s="2"/>
      <c r="T14987" s="2"/>
      <c r="U14987" s="2"/>
      <c r="V14987" s="2"/>
      <c r="W14987" s="2"/>
      <c r="X14987" s="2"/>
      <c r="Y14987" s="2"/>
      <c r="Z14987" s="2"/>
    </row>
    <row r="14988" spans="1:26" ht="16.5" x14ac:dyDescent="0.35">
      <c r="A14988" s="2" t="str">
        <f ca="1">IFERROR(__xludf.DUMMYFUNCTION("""COMPUTED_VALUE"""),"Dubai")</f>
        <v>Dubai</v>
      </c>
      <c r="B14988" s="2" t="str">
        <f ca="1">IFERROR(__xludf.DUMMYFUNCTION("""COMPUTED_VALUE"""),"Belgravia 3A")</f>
        <v>Belgravia 3A</v>
      </c>
      <c r="C14988" s="2" t="str">
        <f ca="1">IFERROR(__xludf.DUMMYFUNCTION("""COMPUTED_VALUE"""),"Building")</f>
        <v>Building</v>
      </c>
      <c r="D14988" s="2" t="str">
        <f ca="1">IFERROR(__xludf.DUMMYFUNCTION("""COMPUTED_VALUE"""),"Dubai&gt;Jumeirah Village Circle (JVC)&gt;JVC District 15&gt;Belgravia 3&gt;Belgravia 3A")</f>
        <v>Dubai&gt;Jumeirah Village Circle (JVC)&gt;JVC District 15&gt;Belgravia 3&gt;Belgravia 3A</v>
      </c>
      <c r="E14988" s="2"/>
      <c r="F14988" s="2"/>
      <c r="G14988" s="2"/>
      <c r="H14988" s="2"/>
      <c r="I14988" s="2"/>
      <c r="J14988" s="2"/>
      <c r="K14988" s="2"/>
      <c r="L14988" s="2"/>
      <c r="M14988" s="2"/>
      <c r="N14988" s="2"/>
      <c r="O14988" s="2"/>
      <c r="P14988" s="2"/>
      <c r="Q14988" s="2"/>
      <c r="R14988" s="2"/>
      <c r="S14988" s="2"/>
      <c r="T14988" s="2"/>
      <c r="U14988" s="2"/>
      <c r="V14988" s="2"/>
      <c r="W14988" s="2"/>
      <c r="X14988" s="2"/>
      <c r="Y14988" s="2"/>
      <c r="Z14988" s="2"/>
    </row>
    <row r="14989" spans="1:26" ht="16.5" x14ac:dyDescent="0.35">
      <c r="A14989" s="2" t="str">
        <f ca="1">IFERROR(__xludf.DUMMYFUNCTION("""COMPUTED_VALUE"""),"Dubai")</f>
        <v>Dubai</v>
      </c>
      <c r="B14989" s="2" t="str">
        <f ca="1">IFERROR(__xludf.DUMMYFUNCTION("""COMPUTED_VALUE"""),"Marwa Heights")</f>
        <v>Marwa Heights</v>
      </c>
      <c r="C14989" s="2" t="str">
        <f ca="1">IFERROR(__xludf.DUMMYFUNCTION("""COMPUTED_VALUE"""),"Building")</f>
        <v>Building</v>
      </c>
      <c r="D14989" s="2" t="str">
        <f ca="1">IFERROR(__xludf.DUMMYFUNCTION("""COMPUTED_VALUE"""),"Dubai&gt;Jumeirah Village Circle (JVC)&gt;JVC District 15&gt;Marwa Heights")</f>
        <v>Dubai&gt;Jumeirah Village Circle (JVC)&gt;JVC District 15&gt;Marwa Heights</v>
      </c>
      <c r="E14989" s="2"/>
      <c r="F14989" s="2"/>
      <c r="G14989" s="2"/>
      <c r="H14989" s="2"/>
      <c r="I14989" s="2"/>
      <c r="J14989" s="2"/>
      <c r="K14989" s="2"/>
      <c r="L14989" s="2"/>
      <c r="M14989" s="2"/>
      <c r="N14989" s="2"/>
      <c r="O14989" s="2"/>
      <c r="P14989" s="2"/>
      <c r="Q14989" s="2"/>
      <c r="R14989" s="2"/>
      <c r="S14989" s="2"/>
      <c r="T14989" s="2"/>
      <c r="U14989" s="2"/>
      <c r="V14989" s="2"/>
      <c r="W14989" s="2"/>
      <c r="X14989" s="2"/>
      <c r="Y14989" s="2"/>
      <c r="Z14989" s="2"/>
    </row>
    <row r="14990" spans="1:26" ht="16.5" x14ac:dyDescent="0.35">
      <c r="A14990" s="2" t="str">
        <f ca="1">IFERROR(__xludf.DUMMYFUNCTION("""COMPUTED_VALUE"""),"Dubai")</f>
        <v>Dubai</v>
      </c>
      <c r="B14990" s="2" t="str">
        <f ca="1">IFERROR(__xludf.DUMMYFUNCTION("""COMPUTED_VALUE"""),"Jeewar Apartments")</f>
        <v>Jeewar Apartments</v>
      </c>
      <c r="C14990" s="2" t="str">
        <f ca="1">IFERROR(__xludf.DUMMYFUNCTION("""COMPUTED_VALUE"""),"Building")</f>
        <v>Building</v>
      </c>
      <c r="D14990" s="2" t="str">
        <f ca="1">IFERROR(__xludf.DUMMYFUNCTION("""COMPUTED_VALUE"""),"Dubai&gt;Jumeirah Village Circle (JVC)&gt;JVC District 11&gt;Jeewar Apartments")</f>
        <v>Dubai&gt;Jumeirah Village Circle (JVC)&gt;JVC District 11&gt;Jeewar Apartments</v>
      </c>
      <c r="E14990" s="2"/>
      <c r="F14990" s="2"/>
      <c r="G14990" s="2"/>
      <c r="H14990" s="2"/>
      <c r="I14990" s="2"/>
      <c r="J14990" s="2"/>
      <c r="K14990" s="2"/>
      <c r="L14990" s="2"/>
      <c r="M14990" s="2"/>
      <c r="N14990" s="2"/>
      <c r="O14990" s="2"/>
      <c r="P14990" s="2"/>
      <c r="Q14990" s="2"/>
      <c r="R14990" s="2"/>
      <c r="S14990" s="2"/>
      <c r="T14990" s="2"/>
      <c r="U14990" s="2"/>
      <c r="V14990" s="2"/>
      <c r="W14990" s="2"/>
      <c r="X14990" s="2"/>
      <c r="Y14990" s="2"/>
      <c r="Z14990" s="2"/>
    </row>
    <row r="14991" spans="1:26" ht="16.5" x14ac:dyDescent="0.35">
      <c r="A14991" s="2" t="str">
        <f ca="1">IFERROR(__xludf.DUMMYFUNCTION("""COMPUTED_VALUE"""),"Dubai")</f>
        <v>Dubai</v>
      </c>
      <c r="B14991" s="2" t="str">
        <f ca="1">IFERROR(__xludf.DUMMYFUNCTION("""COMPUTED_VALUE"""),"One Park Square by Iman")</f>
        <v>One Park Square by Iman</v>
      </c>
      <c r="C14991" s="2" t="str">
        <f ca="1">IFERROR(__xludf.DUMMYFUNCTION("""COMPUTED_VALUE"""),"Building")</f>
        <v>Building</v>
      </c>
      <c r="D14991" s="2" t="str">
        <f ca="1">IFERROR(__xludf.DUMMYFUNCTION("""COMPUTED_VALUE"""),"Dubai&gt;Jumeirah Village Circle (JVC)&gt;JVC District 11&gt;One Park Square by Iman")</f>
        <v>Dubai&gt;Jumeirah Village Circle (JVC)&gt;JVC District 11&gt;One Park Square by Iman</v>
      </c>
      <c r="E14991" s="2"/>
      <c r="F14991" s="2"/>
      <c r="G14991" s="2"/>
      <c r="H14991" s="2"/>
      <c r="I14991" s="2"/>
      <c r="J14991" s="2"/>
      <c r="K14991" s="2"/>
      <c r="L14991" s="2"/>
      <c r="M14991" s="2"/>
      <c r="N14991" s="2"/>
      <c r="O14991" s="2"/>
      <c r="P14991" s="2"/>
      <c r="Q14991" s="2"/>
      <c r="R14991" s="2"/>
      <c r="S14991" s="2"/>
      <c r="T14991" s="2"/>
      <c r="U14991" s="2"/>
      <c r="V14991" s="2"/>
      <c r="W14991" s="2"/>
      <c r="X14991" s="2"/>
      <c r="Y14991" s="2"/>
      <c r="Z14991" s="2"/>
    </row>
    <row r="14992" spans="1:26" ht="16.5" x14ac:dyDescent="0.35">
      <c r="A14992" s="2" t="str">
        <f ca="1">IFERROR(__xludf.DUMMYFUNCTION("""COMPUTED_VALUE"""),"Dubai")</f>
        <v>Dubai</v>
      </c>
      <c r="B14992" s="2" t="str">
        <f ca="1">IFERROR(__xludf.DUMMYFUNCTION("""COMPUTED_VALUE"""),"Binghatti Amber")</f>
        <v>Binghatti Amber</v>
      </c>
      <c r="C14992" s="2" t="str">
        <f ca="1">IFERROR(__xludf.DUMMYFUNCTION("""COMPUTED_VALUE"""),"Building")</f>
        <v>Building</v>
      </c>
      <c r="D14992" s="2" t="str">
        <f ca="1">IFERROR(__xludf.DUMMYFUNCTION("""COMPUTED_VALUE"""),"Dubai&gt;Jumeirah Village Circle (JVC)&gt;JVC District 11&gt;Binghatti Amber")</f>
        <v>Dubai&gt;Jumeirah Village Circle (JVC)&gt;JVC District 11&gt;Binghatti Amber</v>
      </c>
      <c r="E14992" s="2"/>
      <c r="F14992" s="2"/>
      <c r="G14992" s="2"/>
      <c r="H14992" s="2"/>
      <c r="I14992" s="2"/>
      <c r="J14992" s="2"/>
      <c r="K14992" s="2"/>
      <c r="L14992" s="2"/>
      <c r="M14992" s="2"/>
      <c r="N14992" s="2"/>
      <c r="O14992" s="2"/>
      <c r="P14992" s="2"/>
      <c r="Q14992" s="2"/>
      <c r="R14992" s="2"/>
      <c r="S14992" s="2"/>
      <c r="T14992" s="2"/>
      <c r="U14992" s="2"/>
      <c r="V14992" s="2"/>
      <c r="W14992" s="2"/>
      <c r="X14992" s="2"/>
      <c r="Y14992" s="2"/>
      <c r="Z14992" s="2"/>
    </row>
    <row r="14993" spans="1:26" ht="16.5" x14ac:dyDescent="0.35">
      <c r="A14993" s="2" t="str">
        <f ca="1">IFERROR(__xludf.DUMMYFUNCTION("""COMPUTED_VALUE"""),"Dubai")</f>
        <v>Dubai</v>
      </c>
      <c r="B14993" s="2" t="str">
        <f ca="1">IFERROR(__xludf.DUMMYFUNCTION("""COMPUTED_VALUE"""),"Vivanti Residences Tower B")</f>
        <v>Vivanti Residences Tower B</v>
      </c>
      <c r="C14993" s="2" t="str">
        <f ca="1">IFERROR(__xludf.DUMMYFUNCTION("""COMPUTED_VALUE"""),"Building")</f>
        <v>Building</v>
      </c>
      <c r="D14993" s="2" t="str">
        <f ca="1">IFERROR(__xludf.DUMMYFUNCTION("""COMPUTED_VALUE"""),"Dubai&gt;Jumeirah Village Circle (JVC)&gt;JVC District 11&gt;Vivanti Residences&gt;Vivanti Residences Tower B")</f>
        <v>Dubai&gt;Jumeirah Village Circle (JVC)&gt;JVC District 11&gt;Vivanti Residences&gt;Vivanti Residences Tower B</v>
      </c>
      <c r="E14993" s="2"/>
      <c r="F14993" s="2"/>
      <c r="G14993" s="2"/>
      <c r="H14993" s="2"/>
      <c r="I14993" s="2"/>
      <c r="J14993" s="2"/>
      <c r="K14993" s="2"/>
      <c r="L14993" s="2"/>
      <c r="M14993" s="2"/>
      <c r="N14993" s="2"/>
      <c r="O14993" s="2"/>
      <c r="P14993" s="2"/>
      <c r="Q14993" s="2"/>
      <c r="R14993" s="2"/>
      <c r="S14993" s="2"/>
      <c r="T14993" s="2"/>
      <c r="U14993" s="2"/>
      <c r="V14993" s="2"/>
      <c r="W14993" s="2"/>
      <c r="X14993" s="2"/>
      <c r="Y14993" s="2"/>
      <c r="Z14993" s="2"/>
    </row>
    <row r="14994" spans="1:26" ht="16.5" x14ac:dyDescent="0.35">
      <c r="A14994" s="2" t="str">
        <f ca="1">IFERROR(__xludf.DUMMYFUNCTION("""COMPUTED_VALUE"""),"Dubai")</f>
        <v>Dubai</v>
      </c>
      <c r="B14994" s="2" t="str">
        <f ca="1">IFERROR(__xludf.DUMMYFUNCTION("""COMPUTED_VALUE"""),"Al Zain Residence")</f>
        <v>Al Zain Residence</v>
      </c>
      <c r="C14994" s="2" t="str">
        <f ca="1">IFERROR(__xludf.DUMMYFUNCTION("""COMPUTED_VALUE"""),"Building")</f>
        <v>Building</v>
      </c>
      <c r="D14994" s="2" t="str">
        <f ca="1">IFERROR(__xludf.DUMMYFUNCTION("""COMPUTED_VALUE"""),"Dubai&gt;Jumeirah Village Circle (JVC)&gt;JVC District 14&gt;Al Zain Residence")</f>
        <v>Dubai&gt;Jumeirah Village Circle (JVC)&gt;JVC District 14&gt;Al Zain Residence</v>
      </c>
      <c r="E14994" s="2"/>
      <c r="F14994" s="2"/>
      <c r="G14994" s="2"/>
      <c r="H14994" s="2"/>
      <c r="I14994" s="2"/>
      <c r="J14994" s="2"/>
      <c r="K14994" s="2"/>
      <c r="L14994" s="2"/>
      <c r="M14994" s="2"/>
      <c r="N14994" s="2"/>
      <c r="O14994" s="2"/>
      <c r="P14994" s="2"/>
      <c r="Q14994" s="2"/>
      <c r="R14994" s="2"/>
      <c r="S14994" s="2"/>
      <c r="T14994" s="2"/>
      <c r="U14994" s="2"/>
      <c r="V14994" s="2"/>
      <c r="W14994" s="2"/>
      <c r="X14994" s="2"/>
      <c r="Y14994" s="2"/>
      <c r="Z14994" s="2"/>
    </row>
    <row r="14995" spans="1:26" ht="16.5" x14ac:dyDescent="0.35">
      <c r="A14995" s="2" t="str">
        <f ca="1">IFERROR(__xludf.DUMMYFUNCTION("""COMPUTED_VALUE"""),"Dubai")</f>
        <v>Dubai</v>
      </c>
      <c r="B14995" s="2" t="str">
        <f ca="1">IFERROR(__xludf.DUMMYFUNCTION("""COMPUTED_VALUE"""),"Mayas Geneva")</f>
        <v>Mayas Geneva</v>
      </c>
      <c r="C14995" s="2" t="str">
        <f ca="1">IFERROR(__xludf.DUMMYFUNCTION("""COMPUTED_VALUE"""),"Building")</f>
        <v>Building</v>
      </c>
      <c r="D14995" s="2" t="str">
        <f ca="1">IFERROR(__xludf.DUMMYFUNCTION("""COMPUTED_VALUE"""),"Dubai&gt;Jumeirah Village Circle (JVC)&gt;JVC District 14&gt;Mayas Geneva")</f>
        <v>Dubai&gt;Jumeirah Village Circle (JVC)&gt;JVC District 14&gt;Mayas Geneva</v>
      </c>
      <c r="E14995" s="2"/>
      <c r="F14995" s="2"/>
      <c r="G14995" s="2"/>
      <c r="H14995" s="2"/>
      <c r="I14995" s="2"/>
      <c r="J14995" s="2"/>
      <c r="K14995" s="2"/>
      <c r="L14995" s="2"/>
      <c r="M14995" s="2"/>
      <c r="N14995" s="2"/>
      <c r="O14995" s="2"/>
      <c r="P14995" s="2"/>
      <c r="Q14995" s="2"/>
      <c r="R14995" s="2"/>
      <c r="S14995" s="2"/>
      <c r="T14995" s="2"/>
      <c r="U14995" s="2"/>
      <c r="V14995" s="2"/>
      <c r="W14995" s="2"/>
      <c r="X14995" s="2"/>
      <c r="Y14995" s="2"/>
      <c r="Z14995" s="2"/>
    </row>
    <row r="14996" spans="1:26" ht="16.5" x14ac:dyDescent="0.35">
      <c r="A14996" s="2" t="str">
        <f ca="1">IFERROR(__xludf.DUMMYFUNCTION("""COMPUTED_VALUE"""),"Dubai")</f>
        <v>Dubai</v>
      </c>
      <c r="B14996" s="2" t="str">
        <f ca="1">IFERROR(__xludf.DUMMYFUNCTION("""COMPUTED_VALUE"""),"Arcadia Tower")</f>
        <v>Arcadia Tower</v>
      </c>
      <c r="C14996" s="2" t="str">
        <f ca="1">IFERROR(__xludf.DUMMYFUNCTION("""COMPUTED_VALUE"""),"Building")</f>
        <v>Building</v>
      </c>
      <c r="D14996" s="2" t="str">
        <f ca="1">IFERROR(__xludf.DUMMYFUNCTION("""COMPUTED_VALUE"""),"Dubai&gt;Jumeirah Village Circle (JVC)&gt;JVC District 14&gt;Arcadia Tower")</f>
        <v>Dubai&gt;Jumeirah Village Circle (JVC)&gt;JVC District 14&gt;Arcadia Tower</v>
      </c>
      <c r="E14996" s="2"/>
      <c r="F14996" s="2"/>
      <c r="G14996" s="2"/>
      <c r="H14996" s="2"/>
      <c r="I14996" s="2"/>
      <c r="J14996" s="2"/>
      <c r="K14996" s="2"/>
      <c r="L14996" s="2"/>
      <c r="M14996" s="2"/>
      <c r="N14996" s="2"/>
      <c r="O14996" s="2"/>
      <c r="P14996" s="2"/>
      <c r="Q14996" s="2"/>
      <c r="R14996" s="2"/>
      <c r="S14996" s="2"/>
      <c r="T14996" s="2"/>
      <c r="U14996" s="2"/>
      <c r="V14996" s="2"/>
      <c r="W14996" s="2"/>
      <c r="X14996" s="2"/>
      <c r="Y14996" s="2"/>
      <c r="Z14996" s="2"/>
    </row>
    <row r="14997" spans="1:26" ht="16.5" x14ac:dyDescent="0.35">
      <c r="A14997" s="2" t="str">
        <f ca="1">IFERROR(__xludf.DUMMYFUNCTION("""COMPUTED_VALUE"""),"Dubai")</f>
        <v>Dubai</v>
      </c>
      <c r="B14997" s="2" t="str">
        <f ca="1">IFERROR(__xludf.DUMMYFUNCTION("""COMPUTED_VALUE"""),"Etlala Residence")</f>
        <v>Etlala Residence</v>
      </c>
      <c r="C14997" s="2" t="str">
        <f ca="1">IFERROR(__xludf.DUMMYFUNCTION("""COMPUTED_VALUE"""),"Building")</f>
        <v>Building</v>
      </c>
      <c r="D14997" s="2" t="str">
        <f ca="1">IFERROR(__xludf.DUMMYFUNCTION("""COMPUTED_VALUE"""),"Dubai&gt;Dubai Land Residence Complex&gt;Etlala Residence")</f>
        <v>Dubai&gt;Dubai Land Residence Complex&gt;Etlala Residence</v>
      </c>
      <c r="E14997" s="2"/>
      <c r="F14997" s="2"/>
      <c r="G14997" s="2"/>
      <c r="H14997" s="2"/>
      <c r="I14997" s="2"/>
      <c r="J14997" s="2"/>
      <c r="K14997" s="2"/>
      <c r="L14997" s="2"/>
      <c r="M14997" s="2"/>
      <c r="N14997" s="2"/>
      <c r="O14997" s="2"/>
      <c r="P14997" s="2"/>
      <c r="Q14997" s="2"/>
      <c r="R14997" s="2"/>
      <c r="S14997" s="2"/>
      <c r="T14997" s="2"/>
      <c r="U14997" s="2"/>
      <c r="V14997" s="2"/>
      <c r="W14997" s="2"/>
      <c r="X14997" s="2"/>
      <c r="Y14997" s="2"/>
      <c r="Z14997" s="2"/>
    </row>
    <row r="14998" spans="1:26" ht="16.5" x14ac:dyDescent="0.35">
      <c r="A14998" s="2" t="str">
        <f ca="1">IFERROR(__xludf.DUMMYFUNCTION("""COMPUTED_VALUE"""),"Dubai")</f>
        <v>Dubai</v>
      </c>
      <c r="B14998" s="2" t="str">
        <f ca="1">IFERROR(__xludf.DUMMYFUNCTION("""COMPUTED_VALUE"""),"Badri Building")</f>
        <v>Badri Building</v>
      </c>
      <c r="C14998" s="2" t="str">
        <f ca="1">IFERROR(__xludf.DUMMYFUNCTION("""COMPUTED_VALUE"""),"Cluster")</f>
        <v>Cluster</v>
      </c>
      <c r="D14998" s="2" t="str">
        <f ca="1">IFERROR(__xludf.DUMMYFUNCTION("""COMPUTED_VALUE"""),"Dubai&gt;Dubai Land Residence Complex&gt;Badri Building")</f>
        <v>Dubai&gt;Dubai Land Residence Complex&gt;Badri Building</v>
      </c>
      <c r="E14998" s="2"/>
      <c r="F14998" s="2"/>
      <c r="G14998" s="2"/>
      <c r="H14998" s="2"/>
      <c r="I14998" s="2"/>
      <c r="J14998" s="2"/>
      <c r="K14998" s="2"/>
      <c r="L14998" s="2"/>
      <c r="M14998" s="2"/>
      <c r="N14998" s="2"/>
      <c r="O14998" s="2"/>
      <c r="P14998" s="2"/>
      <c r="Q14998" s="2"/>
      <c r="R14998" s="2"/>
      <c r="S14998" s="2"/>
      <c r="T14998" s="2"/>
      <c r="U14998" s="2"/>
      <c r="V14998" s="2"/>
      <c r="W14998" s="2"/>
      <c r="X14998" s="2"/>
      <c r="Y14998" s="2"/>
      <c r="Z14998" s="2"/>
    </row>
    <row r="14999" spans="1:26" ht="16.5" x14ac:dyDescent="0.35">
      <c r="A14999" s="2" t="str">
        <f ca="1">IFERROR(__xludf.DUMMYFUNCTION("""COMPUTED_VALUE"""),"Dubai")</f>
        <v>Dubai</v>
      </c>
      <c r="B14999" s="2" t="str">
        <f ca="1">IFERROR(__xludf.DUMMYFUNCTION("""COMPUTED_VALUE"""),"Skycourts Tower A")</f>
        <v>Skycourts Tower A</v>
      </c>
      <c r="C14999" s="2" t="str">
        <f ca="1">IFERROR(__xludf.DUMMYFUNCTION("""COMPUTED_VALUE"""),"Building")</f>
        <v>Building</v>
      </c>
      <c r="D14999" s="2" t="str">
        <f ca="1">IFERROR(__xludf.DUMMYFUNCTION("""COMPUTED_VALUE"""),"Dubai&gt;Dubai Land Residence Complex&gt;Skycourts Towers&gt;Skycourts Tower A")</f>
        <v>Dubai&gt;Dubai Land Residence Complex&gt;Skycourts Towers&gt;Skycourts Tower A</v>
      </c>
      <c r="E14999" s="2"/>
      <c r="F14999" s="2"/>
      <c r="G14999" s="2"/>
      <c r="H14999" s="2"/>
      <c r="I14999" s="2"/>
      <c r="J14999" s="2"/>
      <c r="K14999" s="2"/>
      <c r="L14999" s="2"/>
      <c r="M14999" s="2"/>
      <c r="N14999" s="2"/>
      <c r="O14999" s="2"/>
      <c r="P14999" s="2"/>
      <c r="Q14999" s="2"/>
      <c r="R14999" s="2"/>
      <c r="S14999" s="2"/>
      <c r="T14999" s="2"/>
      <c r="U14999" s="2"/>
      <c r="V14999" s="2"/>
      <c r="W14999" s="2"/>
      <c r="X14999" s="2"/>
      <c r="Y14999" s="2"/>
      <c r="Z14999" s="2"/>
    </row>
    <row r="15000" spans="1:26" ht="16.5" x14ac:dyDescent="0.35">
      <c r="A15000" s="2" t="str">
        <f ca="1">IFERROR(__xludf.DUMMYFUNCTION("""COMPUTED_VALUE"""),"Dubai")</f>
        <v>Dubai</v>
      </c>
      <c r="B15000" s="2" t="str">
        <f ca="1">IFERROR(__xludf.DUMMYFUNCTION("""COMPUTED_VALUE"""),"Al Waleed W.S 1")</f>
        <v>Al Waleed W.S 1</v>
      </c>
      <c r="C15000" s="2" t="str">
        <f ca="1">IFERROR(__xludf.DUMMYFUNCTION("""COMPUTED_VALUE"""),"Building")</f>
        <v>Building</v>
      </c>
      <c r="D15000" s="2" t="str">
        <f ca="1">IFERROR(__xludf.DUMMYFUNCTION("""COMPUTED_VALUE"""),"Dubai&gt;Dubai Land Residence Complex&gt;Al Waleed W.S 1")</f>
        <v>Dubai&gt;Dubai Land Residence Complex&gt;Al Waleed W.S 1</v>
      </c>
      <c r="E15000" s="2"/>
      <c r="F15000" s="2"/>
      <c r="G15000" s="2"/>
      <c r="H15000" s="2"/>
      <c r="I15000" s="2"/>
      <c r="J15000" s="2"/>
      <c r="K15000" s="2"/>
      <c r="L15000" s="2"/>
      <c r="M15000" s="2"/>
      <c r="N15000" s="2"/>
      <c r="O15000" s="2"/>
      <c r="P15000" s="2"/>
      <c r="Q15000" s="2"/>
      <c r="R15000" s="2"/>
      <c r="S15000" s="2"/>
      <c r="T15000" s="2"/>
      <c r="U15000" s="2"/>
      <c r="V15000" s="2"/>
      <c r="W15000" s="2"/>
      <c r="X15000" s="2"/>
      <c r="Y15000" s="2"/>
      <c r="Z15000" s="2"/>
    </row>
    <row r="15001" spans="1:26" ht="16.5" x14ac:dyDescent="0.35">
      <c r="A15001" s="2" t="str">
        <f ca="1">IFERROR(__xludf.DUMMYFUNCTION("""COMPUTED_VALUE"""),"Dubai")</f>
        <v>Dubai</v>
      </c>
      <c r="B15001" s="2" t="str">
        <f ca="1">IFERROR(__xludf.DUMMYFUNCTION("""COMPUTED_VALUE"""),"Super Kids Nursery")</f>
        <v>Super Kids Nursery</v>
      </c>
      <c r="C15001" s="2" t="str">
        <f ca="1">IFERROR(__xludf.DUMMYFUNCTION("""COMPUTED_VALUE"""),"Nursery")</f>
        <v>Nursery</v>
      </c>
      <c r="D15001" s="2" t="str">
        <f ca="1">IFERROR(__xludf.DUMMYFUNCTION("""COMPUTED_VALUE"""),"Dubai&gt;Mirdif&gt;Super Kids Nursery")</f>
        <v>Dubai&gt;Mirdif&gt;Super Kids Nursery</v>
      </c>
      <c r="E15001" s="2"/>
      <c r="F15001" s="2"/>
      <c r="G15001" s="2"/>
      <c r="H15001" s="2"/>
      <c r="I15001" s="2"/>
      <c r="J15001" s="2"/>
      <c r="K15001" s="2"/>
      <c r="L15001" s="2"/>
      <c r="M15001" s="2"/>
      <c r="N15001" s="2"/>
      <c r="O15001" s="2"/>
      <c r="P15001" s="2"/>
      <c r="Q15001" s="2"/>
      <c r="R15001" s="2"/>
      <c r="S15001" s="2"/>
      <c r="T15001" s="2"/>
      <c r="U15001" s="2"/>
      <c r="V15001" s="2"/>
      <c r="W15001" s="2"/>
      <c r="X15001" s="2"/>
      <c r="Y15001" s="2"/>
      <c r="Z15001" s="2"/>
    </row>
    <row r="15002" spans="1:26" ht="16.5" x14ac:dyDescent="0.35">
      <c r="A15002" s="2" t="str">
        <f ca="1">IFERROR(__xludf.DUMMYFUNCTION("""COMPUTED_VALUE"""),"Dubai")</f>
        <v>Dubai</v>
      </c>
      <c r="B15002" s="2" t="str">
        <f ca="1">IFERROR(__xludf.DUMMYFUNCTION("""COMPUTED_VALUE"""),"Nasayem Avenue Block D")</f>
        <v>Nasayem Avenue Block D</v>
      </c>
      <c r="C15002" s="2" t="str">
        <f ca="1">IFERROR(__xludf.DUMMYFUNCTION("""COMPUTED_VALUE"""),"Building")</f>
        <v>Building</v>
      </c>
      <c r="D15002" s="2" t="str">
        <f ca="1">IFERROR(__xludf.DUMMYFUNCTION("""COMPUTED_VALUE"""),"Dubai&gt;Mirdif&gt;Mirdif Hills&gt;Nasayem Avenue&gt;Nasayem Avenue Block D")</f>
        <v>Dubai&gt;Mirdif&gt;Mirdif Hills&gt;Nasayem Avenue&gt;Nasayem Avenue Block D</v>
      </c>
      <c r="E15002" s="2"/>
      <c r="F15002" s="2"/>
      <c r="G15002" s="2"/>
      <c r="H15002" s="2"/>
      <c r="I15002" s="2"/>
      <c r="J15002" s="2"/>
      <c r="K15002" s="2"/>
      <c r="L15002" s="2"/>
      <c r="M15002" s="2"/>
      <c r="N15002" s="2"/>
      <c r="O15002" s="2"/>
      <c r="P15002" s="2"/>
      <c r="Q15002" s="2"/>
      <c r="R15002" s="2"/>
      <c r="S15002" s="2"/>
      <c r="T15002" s="2"/>
      <c r="U15002" s="2"/>
      <c r="V15002" s="2"/>
      <c r="W15002" s="2"/>
      <c r="X15002" s="2"/>
      <c r="Y15002" s="2"/>
      <c r="Z15002" s="2"/>
    </row>
    <row r="15003" spans="1:26" ht="16.5" x14ac:dyDescent="0.35">
      <c r="A15003" s="2" t="str">
        <f ca="1">IFERROR(__xludf.DUMMYFUNCTION("""COMPUTED_VALUE"""),"Dubai")</f>
        <v>Dubai</v>
      </c>
      <c r="B15003" s="2" t="str">
        <f ca="1">IFERROR(__xludf.DUMMYFUNCTION("""COMPUTED_VALUE"""),"Raffles Nursery Lakes 2")</f>
        <v>Raffles Nursery Lakes 2</v>
      </c>
      <c r="C15003" s="2" t="str">
        <f ca="1">IFERROR(__xludf.DUMMYFUNCTION("""COMPUTED_VALUE"""),"Nursery")</f>
        <v>Nursery</v>
      </c>
      <c r="D15003" s="2" t="str">
        <f ca="1">IFERROR(__xludf.DUMMYFUNCTION("""COMPUTED_VALUE"""),"Dubai&gt;The Lakes&gt;Raffles Nursery Lakes 2")</f>
        <v>Dubai&gt;The Lakes&gt;Raffles Nursery Lakes 2</v>
      </c>
      <c r="E15003" s="2"/>
      <c r="F15003" s="2"/>
      <c r="G15003" s="2"/>
      <c r="H15003" s="2"/>
      <c r="I15003" s="2"/>
      <c r="J15003" s="2"/>
      <c r="K15003" s="2"/>
      <c r="L15003" s="2"/>
      <c r="M15003" s="2"/>
      <c r="N15003" s="2"/>
      <c r="O15003" s="2"/>
      <c r="P15003" s="2"/>
      <c r="Q15003" s="2"/>
      <c r="R15003" s="2"/>
      <c r="S15003" s="2"/>
      <c r="T15003" s="2"/>
      <c r="U15003" s="2"/>
      <c r="V15003" s="2"/>
      <c r="W15003" s="2"/>
      <c r="X15003" s="2"/>
      <c r="Y15003" s="2"/>
      <c r="Z15003" s="2"/>
    </row>
    <row r="15004" spans="1:26" ht="16.5" x14ac:dyDescent="0.35">
      <c r="A15004" s="2" t="str">
        <f ca="1">IFERROR(__xludf.DUMMYFUNCTION("""COMPUTED_VALUE"""),"Dubai")</f>
        <v>Dubai</v>
      </c>
      <c r="B15004" s="2" t="str">
        <f ca="1">IFERROR(__xludf.DUMMYFUNCTION("""COMPUTED_VALUE"""),"New Indian Model School")</f>
        <v>New Indian Model School</v>
      </c>
      <c r="C15004" s="2" t="str">
        <f ca="1">IFERROR(__xludf.DUMMYFUNCTION("""COMPUTED_VALUE"""),"School")</f>
        <v>School</v>
      </c>
      <c r="D15004" s="2" t="str">
        <f ca="1">IFERROR(__xludf.DUMMYFUNCTION("""COMPUTED_VALUE"""),"Dubai&gt;Al Garhoud&gt;New Indian Model School")</f>
        <v>Dubai&gt;Al Garhoud&gt;New Indian Model School</v>
      </c>
      <c r="E15004" s="2"/>
      <c r="F15004" s="2"/>
      <c r="G15004" s="2"/>
      <c r="H15004" s="2"/>
      <c r="I15004" s="2"/>
      <c r="J15004" s="2"/>
      <c r="K15004" s="2"/>
      <c r="L15004" s="2"/>
      <c r="M15004" s="2"/>
      <c r="N15004" s="2"/>
      <c r="O15004" s="2"/>
      <c r="P15004" s="2"/>
      <c r="Q15004" s="2"/>
      <c r="R15004" s="2"/>
      <c r="S15004" s="2"/>
      <c r="T15004" s="2"/>
      <c r="U15004" s="2"/>
      <c r="V15004" s="2"/>
      <c r="W15004" s="2"/>
      <c r="X15004" s="2"/>
      <c r="Y15004" s="2"/>
      <c r="Z15004" s="2"/>
    </row>
    <row r="15005" spans="1:26" ht="16.5" x14ac:dyDescent="0.35">
      <c r="A15005" s="2" t="str">
        <f ca="1">IFERROR(__xludf.DUMMYFUNCTION("""COMPUTED_VALUE"""),"Dubai")</f>
        <v>Dubai</v>
      </c>
      <c r="B15005" s="2" t="str">
        <f ca="1">IFERROR(__xludf.DUMMYFUNCTION("""COMPUTED_VALUE"""),"Al Garhoud Complex")</f>
        <v>Al Garhoud Complex</v>
      </c>
      <c r="C15005" s="2" t="str">
        <f ca="1">IFERROR(__xludf.DUMMYFUNCTION("""COMPUTED_VALUE"""),"Neighbourhood")</f>
        <v>Neighbourhood</v>
      </c>
      <c r="D15005" s="2" t="str">
        <f ca="1">IFERROR(__xludf.DUMMYFUNCTION("""COMPUTED_VALUE"""),"Dubai&gt;Al Garhoud&gt;Al Garhoud Complex")</f>
        <v>Dubai&gt;Al Garhoud&gt;Al Garhoud Complex</v>
      </c>
      <c r="E15005" s="2"/>
      <c r="F15005" s="2"/>
      <c r="G15005" s="2"/>
      <c r="H15005" s="2"/>
      <c r="I15005" s="2"/>
      <c r="J15005" s="2"/>
      <c r="K15005" s="2"/>
      <c r="L15005" s="2"/>
      <c r="M15005" s="2"/>
      <c r="N15005" s="2"/>
      <c r="O15005" s="2"/>
      <c r="P15005" s="2"/>
      <c r="Q15005" s="2"/>
      <c r="R15005" s="2"/>
      <c r="S15005" s="2"/>
      <c r="T15005" s="2"/>
      <c r="U15005" s="2"/>
      <c r="V15005" s="2"/>
      <c r="W15005" s="2"/>
      <c r="X15005" s="2"/>
      <c r="Y15005" s="2"/>
      <c r="Z15005" s="2"/>
    </row>
    <row r="15006" spans="1:26" ht="16.5" x14ac:dyDescent="0.35">
      <c r="A15006" s="2" t="str">
        <f ca="1">IFERROR(__xludf.DUMMYFUNCTION("""COMPUTED_VALUE"""),"Abu Dhabi")</f>
        <v>Abu Dhabi</v>
      </c>
      <c r="B15006" s="2" t="str">
        <f ca="1">IFERROR(__xludf.DUMMYFUNCTION("""COMPUTED_VALUE"""),"Reem Hills")</f>
        <v>Reem Hills</v>
      </c>
      <c r="C15006" s="2" t="str">
        <f ca="1">IFERROR(__xludf.DUMMYFUNCTION("""COMPUTED_VALUE"""),"Neighbourhood")</f>
        <v>Neighbourhood</v>
      </c>
      <c r="D15006" s="2" t="str">
        <f ca="1">IFERROR(__xludf.DUMMYFUNCTION("""COMPUTED_VALUE"""),"Abu Dhabi&gt;Al Reem Island&gt;Reem Hills")</f>
        <v>Abu Dhabi&gt;Al Reem Island&gt;Reem Hills</v>
      </c>
      <c r="E15006" s="2"/>
      <c r="F15006" s="2"/>
      <c r="G15006" s="2"/>
      <c r="H15006" s="2"/>
      <c r="I15006" s="2"/>
      <c r="J15006" s="2"/>
      <c r="K15006" s="2"/>
      <c r="L15006" s="2"/>
      <c r="M15006" s="2"/>
      <c r="N15006" s="2"/>
      <c r="O15006" s="2"/>
      <c r="P15006" s="2"/>
      <c r="Q15006" s="2"/>
      <c r="R15006" s="2"/>
      <c r="S15006" s="2"/>
      <c r="T15006" s="2"/>
      <c r="U15006" s="2"/>
      <c r="V15006" s="2"/>
      <c r="W15006" s="2"/>
      <c r="X15006" s="2"/>
      <c r="Y15006" s="2"/>
      <c r="Z15006" s="2"/>
    </row>
    <row r="15007" spans="1:26" ht="16.5" x14ac:dyDescent="0.35">
      <c r="A15007" s="2" t="str">
        <f ca="1">IFERROR(__xludf.DUMMYFUNCTION("""COMPUTED_VALUE"""),"Abu Dhabi")</f>
        <v>Abu Dhabi</v>
      </c>
      <c r="B15007" s="2" t="str">
        <f ca="1">IFERROR(__xludf.DUMMYFUNCTION("""COMPUTED_VALUE"""),"Golden Tower")</f>
        <v>Golden Tower</v>
      </c>
      <c r="C15007" s="2"/>
      <c r="D15007" s="2" t="str">
        <f ca="1">IFERROR(__xludf.DUMMYFUNCTION("""COMPUTED_VALUE"""),"Abu Dhabi&gt;Corniche Road&gt;Golden Tower")</f>
        <v>Abu Dhabi&gt;Corniche Road&gt;Golden Tower</v>
      </c>
      <c r="E15007" s="2"/>
      <c r="F15007" s="2"/>
      <c r="G15007" s="2"/>
      <c r="H15007" s="2"/>
      <c r="I15007" s="2"/>
      <c r="J15007" s="2"/>
      <c r="K15007" s="2"/>
      <c r="L15007" s="2"/>
      <c r="M15007" s="2"/>
      <c r="N15007" s="2"/>
      <c r="O15007" s="2"/>
      <c r="P15007" s="2"/>
      <c r="Q15007" s="2"/>
      <c r="R15007" s="2"/>
      <c r="S15007" s="2"/>
      <c r="T15007" s="2"/>
      <c r="U15007" s="2"/>
      <c r="V15007" s="2"/>
      <c r="W15007" s="2"/>
      <c r="X15007" s="2"/>
      <c r="Y15007" s="2"/>
      <c r="Z15007" s="2"/>
    </row>
    <row r="15008" spans="1:26" ht="16.5" x14ac:dyDescent="0.35">
      <c r="A15008" s="2" t="str">
        <f ca="1">IFERROR(__xludf.DUMMYFUNCTION("""COMPUTED_VALUE"""),"Abu Dhabi")</f>
        <v>Abu Dhabi</v>
      </c>
      <c r="B15008" s="2" t="str">
        <f ca="1">IFERROR(__xludf.DUMMYFUNCTION("""COMPUTED_VALUE"""),"The Sheikh Zayed Private Academy for Boys, Abu Dhabi")</f>
        <v>The Sheikh Zayed Private Academy for Boys, Abu Dhabi</v>
      </c>
      <c r="C15008" s="2" t="str">
        <f ca="1">IFERROR(__xludf.DUMMYFUNCTION("""COMPUTED_VALUE"""),"School")</f>
        <v>School</v>
      </c>
      <c r="D15008" s="2" t="str">
        <f ca="1">IFERROR(__xludf.DUMMYFUNCTION("""COMPUTED_VALUE"""),"Abu Dhabi&gt;Al Khalidiyah&gt;The Sheikh Zayed Private Academy for Boys, Abu Dhabi")</f>
        <v>Abu Dhabi&gt;Al Khalidiyah&gt;The Sheikh Zayed Private Academy for Boys, Abu Dhabi</v>
      </c>
      <c r="E15008" s="2"/>
      <c r="F15008" s="2"/>
      <c r="G15008" s="2"/>
      <c r="H15008" s="2"/>
      <c r="I15008" s="2"/>
      <c r="J15008" s="2"/>
      <c r="K15008" s="2"/>
      <c r="L15008" s="2"/>
      <c r="M15008" s="2"/>
      <c r="N15008" s="2"/>
      <c r="O15008" s="2"/>
      <c r="P15008" s="2"/>
      <c r="Q15008" s="2"/>
      <c r="R15008" s="2"/>
      <c r="S15008" s="2"/>
      <c r="T15008" s="2"/>
      <c r="U15008" s="2"/>
      <c r="V15008" s="2"/>
      <c r="W15008" s="2"/>
      <c r="X15008" s="2"/>
      <c r="Y15008" s="2"/>
      <c r="Z15008" s="2"/>
    </row>
    <row r="15009" spans="1:26" ht="16.5" x14ac:dyDescent="0.35">
      <c r="A15009" s="2" t="str">
        <f ca="1">IFERROR(__xludf.DUMMYFUNCTION("""COMPUTED_VALUE"""),"Abu Dhabi")</f>
        <v>Abu Dhabi</v>
      </c>
      <c r="B15009" s="2" t="str">
        <f ca="1">IFERROR(__xludf.DUMMYFUNCTION("""COMPUTED_VALUE"""),"Al Ahlia Tower")</f>
        <v>Al Ahlia Tower</v>
      </c>
      <c r="C15009" s="2" t="str">
        <f ca="1">IFERROR(__xludf.DUMMYFUNCTION("""COMPUTED_VALUE"""),"Building")</f>
        <v>Building</v>
      </c>
      <c r="D15009" s="2" t="str">
        <f ca="1">IFERROR(__xludf.DUMMYFUNCTION("""COMPUTED_VALUE"""),"Abu Dhabi&gt;Al Khalidiyah&gt;Al Ahlia Tower")</f>
        <v>Abu Dhabi&gt;Al Khalidiyah&gt;Al Ahlia Tower</v>
      </c>
      <c r="E15009" s="2"/>
      <c r="F15009" s="2"/>
      <c r="G15009" s="2"/>
      <c r="H15009" s="2"/>
      <c r="I15009" s="2"/>
      <c r="J15009" s="2"/>
      <c r="K15009" s="2"/>
      <c r="L15009" s="2"/>
      <c r="M15009" s="2"/>
      <c r="N15009" s="2"/>
      <c r="O15009" s="2"/>
      <c r="P15009" s="2"/>
      <c r="Q15009" s="2"/>
      <c r="R15009" s="2"/>
      <c r="S15009" s="2"/>
      <c r="T15009" s="2"/>
      <c r="U15009" s="2"/>
      <c r="V15009" s="2"/>
      <c r="W15009" s="2"/>
      <c r="X15009" s="2"/>
      <c r="Y15009" s="2"/>
      <c r="Z15009" s="2"/>
    </row>
    <row r="15010" spans="1:26" ht="16.5" x14ac:dyDescent="0.35">
      <c r="A15010" s="2" t="str">
        <f ca="1">IFERROR(__xludf.DUMMYFUNCTION("""COMPUTED_VALUE"""),"Abu Dhabi")</f>
        <v>Abu Dhabi</v>
      </c>
      <c r="B15010" s="2" t="str">
        <f ca="1">IFERROR(__xludf.DUMMYFUNCTION("""COMPUTED_VALUE"""),"The Windsor Early Years Nursery")</f>
        <v>The Windsor Early Years Nursery</v>
      </c>
      <c r="C15010" s="2" t="str">
        <f ca="1">IFERROR(__xludf.DUMMYFUNCTION("""COMPUTED_VALUE"""),"Nursery")</f>
        <v>Nursery</v>
      </c>
      <c r="D15010" s="2" t="str">
        <f ca="1">IFERROR(__xludf.DUMMYFUNCTION("""COMPUTED_VALUE"""),"Abu Dhabi&gt;Khalifa City&gt;The Windsor Early Years Nursery")</f>
        <v>Abu Dhabi&gt;Khalifa City&gt;The Windsor Early Years Nursery</v>
      </c>
      <c r="E15010" s="2"/>
      <c r="F15010" s="2"/>
      <c r="G15010" s="2"/>
      <c r="H15010" s="2"/>
      <c r="I15010" s="2"/>
      <c r="J15010" s="2"/>
      <c r="K15010" s="2"/>
      <c r="L15010" s="2"/>
      <c r="M15010" s="2"/>
      <c r="N15010" s="2"/>
      <c r="O15010" s="2"/>
      <c r="P15010" s="2"/>
      <c r="Q15010" s="2"/>
      <c r="R15010" s="2"/>
      <c r="S15010" s="2"/>
      <c r="T15010" s="2"/>
      <c r="U15010" s="2"/>
      <c r="V15010" s="2"/>
      <c r="W15010" s="2"/>
      <c r="X15010" s="2"/>
      <c r="Y15010" s="2"/>
      <c r="Z15010" s="2"/>
    </row>
    <row r="15011" spans="1:26" ht="16.5" x14ac:dyDescent="0.35">
      <c r="A15011" s="2" t="str">
        <f ca="1">IFERROR(__xludf.DUMMYFUNCTION("""COMPUTED_VALUE"""),"Abu Dhabi")</f>
        <v>Abu Dhabi</v>
      </c>
      <c r="B15011" s="2" t="str">
        <f ca="1">IFERROR(__xludf.DUMMYFUNCTION("""COMPUTED_VALUE"""),"SW2")</f>
        <v>SW2</v>
      </c>
      <c r="C15011" s="2" t="str">
        <f ca="1">IFERROR(__xludf.DUMMYFUNCTION("""COMPUTED_VALUE"""),"Neighbourhood")</f>
        <v>Neighbourhood</v>
      </c>
      <c r="D15011" s="2" t="str">
        <f ca="1">IFERROR(__xludf.DUMMYFUNCTION("""COMPUTED_VALUE"""),"Abu Dhabi&gt;Khalifa City&gt;SW2")</f>
        <v>Abu Dhabi&gt;Khalifa City&gt;SW2</v>
      </c>
      <c r="E15011" s="2"/>
      <c r="F15011" s="2"/>
      <c r="G15011" s="2"/>
      <c r="H15011" s="2"/>
      <c r="I15011" s="2"/>
      <c r="J15011" s="2"/>
      <c r="K15011" s="2"/>
      <c r="L15011" s="2"/>
      <c r="M15011" s="2"/>
      <c r="N15011" s="2"/>
      <c r="O15011" s="2"/>
      <c r="P15011" s="2"/>
      <c r="Q15011" s="2"/>
      <c r="R15011" s="2"/>
      <c r="S15011" s="2"/>
      <c r="T15011" s="2"/>
      <c r="U15011" s="2"/>
      <c r="V15011" s="2"/>
      <c r="W15011" s="2"/>
      <c r="X15011" s="2"/>
      <c r="Y15011" s="2"/>
      <c r="Z15011" s="2"/>
    </row>
    <row r="15012" spans="1:26" ht="16.5" x14ac:dyDescent="0.35">
      <c r="A15012" s="2" t="str">
        <f ca="1">IFERROR(__xludf.DUMMYFUNCTION("""COMPUTED_VALUE"""),"Abu Dhabi")</f>
        <v>Abu Dhabi</v>
      </c>
      <c r="B15012" s="2" t="str">
        <f ca="1">IFERROR(__xludf.DUMMYFUNCTION("""COMPUTED_VALUE"""),"Golden Beach Tower")</f>
        <v>Golden Beach Tower</v>
      </c>
      <c r="C15012" s="2" t="str">
        <f ca="1">IFERROR(__xludf.DUMMYFUNCTION("""COMPUTED_VALUE"""),"Building")</f>
        <v>Building</v>
      </c>
      <c r="D15012" s="2" t="str">
        <f ca="1">IFERROR(__xludf.DUMMYFUNCTION("""COMPUTED_VALUE"""),"Abu Dhabi&gt;Al Markaziya&gt;Golden Beach Tower")</f>
        <v>Abu Dhabi&gt;Al Markaziya&gt;Golden Beach Tower</v>
      </c>
      <c r="E15012" s="2"/>
      <c r="F15012" s="2"/>
      <c r="G15012" s="2"/>
      <c r="H15012" s="2"/>
      <c r="I15012" s="2"/>
      <c r="J15012" s="2"/>
      <c r="K15012" s="2"/>
      <c r="L15012" s="2"/>
      <c r="M15012" s="2"/>
      <c r="N15012" s="2"/>
      <c r="O15012" s="2"/>
      <c r="P15012" s="2"/>
      <c r="Q15012" s="2"/>
      <c r="R15012" s="2"/>
      <c r="S15012" s="2"/>
      <c r="T15012" s="2"/>
      <c r="U15012" s="2"/>
      <c r="V15012" s="2"/>
      <c r="W15012" s="2"/>
      <c r="X15012" s="2"/>
      <c r="Y15012" s="2"/>
      <c r="Z15012" s="2"/>
    </row>
    <row r="15013" spans="1:26" ht="16.5" x14ac:dyDescent="0.35">
      <c r="A15013" s="2" t="str">
        <f ca="1">IFERROR(__xludf.DUMMYFUNCTION("""COMPUTED_VALUE"""),"Abu Dhabi")</f>
        <v>Abu Dhabi</v>
      </c>
      <c r="B15013" s="2" t="str">
        <f ca="1">IFERROR(__xludf.DUMMYFUNCTION("""COMPUTED_VALUE"""),"Khannour Community")</f>
        <v>Khannour Community</v>
      </c>
      <c r="C15013" s="2" t="str">
        <f ca="1">IFERROR(__xludf.DUMMYFUNCTION("""COMPUTED_VALUE"""),"Neighbourhood")</f>
        <v>Neighbourhood</v>
      </c>
      <c r="D15013" s="2" t="str">
        <f ca="1">IFERROR(__xludf.DUMMYFUNCTION("""COMPUTED_VALUE"""),"Abu Dhabi&gt;Al Raha Gardens&gt;Khannour Community")</f>
        <v>Abu Dhabi&gt;Al Raha Gardens&gt;Khannour Community</v>
      </c>
      <c r="E15013" s="2"/>
      <c r="F15013" s="2"/>
      <c r="G15013" s="2"/>
      <c r="H15013" s="2"/>
      <c r="I15013" s="2"/>
      <c r="J15013" s="2"/>
      <c r="K15013" s="2"/>
      <c r="L15013" s="2"/>
      <c r="M15013" s="2"/>
      <c r="N15013" s="2"/>
      <c r="O15013" s="2"/>
      <c r="P15013" s="2"/>
      <c r="Q15013" s="2"/>
      <c r="R15013" s="2"/>
      <c r="S15013" s="2"/>
      <c r="T15013" s="2"/>
      <c r="U15013" s="2"/>
      <c r="V15013" s="2"/>
      <c r="W15013" s="2"/>
      <c r="X15013" s="2"/>
      <c r="Y15013" s="2"/>
      <c r="Z15013" s="2"/>
    </row>
    <row r="15014" spans="1:26" ht="16.5" x14ac:dyDescent="0.35">
      <c r="A15014" s="2" t="str">
        <f ca="1">IFERROR(__xludf.DUMMYFUNCTION("""COMPUTED_VALUE"""),"Abu Dhabi")</f>
        <v>Abu Dhabi</v>
      </c>
      <c r="B15014" s="2" t="str">
        <f ca="1">IFERROR(__xludf.DUMMYFUNCTION("""COMPUTED_VALUE"""),"Louvre Abu Dhabi Residences")</f>
        <v>Louvre Abu Dhabi Residences</v>
      </c>
      <c r="C15014" s="2" t="str">
        <f ca="1">IFERROR(__xludf.DUMMYFUNCTION("""COMPUTED_VALUE"""),"Building")</f>
        <v>Building</v>
      </c>
      <c r="D15014" s="2" t="str">
        <f ca="1">IFERROR(__xludf.DUMMYFUNCTION("""COMPUTED_VALUE"""),"Abu Dhabi&gt;Saadiyat Island&gt;Saadiyat Cultural District&gt;Louvre Abu Dhabi Residences")</f>
        <v>Abu Dhabi&gt;Saadiyat Island&gt;Saadiyat Cultural District&gt;Louvre Abu Dhabi Residences</v>
      </c>
      <c r="E15014" s="2"/>
      <c r="F15014" s="2"/>
      <c r="G15014" s="2"/>
      <c r="H15014" s="2"/>
      <c r="I15014" s="2"/>
      <c r="J15014" s="2"/>
      <c r="K15014" s="2"/>
      <c r="L15014" s="2"/>
      <c r="M15014" s="2"/>
      <c r="N15014" s="2"/>
      <c r="O15014" s="2"/>
      <c r="P15014" s="2"/>
      <c r="Q15014" s="2"/>
      <c r="R15014" s="2"/>
      <c r="S15014" s="2"/>
      <c r="T15014" s="2"/>
      <c r="U15014" s="2"/>
      <c r="V15014" s="2"/>
      <c r="W15014" s="2"/>
      <c r="X15014" s="2"/>
      <c r="Y15014" s="2"/>
      <c r="Z15014" s="2"/>
    </row>
    <row r="15015" spans="1:26" ht="16.5" x14ac:dyDescent="0.35">
      <c r="A15015" s="2" t="str">
        <f ca="1">IFERROR(__xludf.DUMMYFUNCTION("""COMPUTED_VALUE"""),"Abu Dhabi")</f>
        <v>Abu Dhabi</v>
      </c>
      <c r="B15015" s="2" t="str">
        <f ca="1">IFERROR(__xludf.DUMMYFUNCTION("""COMPUTED_VALUE"""),"Saadiyat Beach")</f>
        <v>Saadiyat Beach</v>
      </c>
      <c r="C15015" s="2" t="str">
        <f ca="1">IFERROR(__xludf.DUMMYFUNCTION("""COMPUTED_VALUE"""),"Neighbourhood")</f>
        <v>Neighbourhood</v>
      </c>
      <c r="D15015" s="2" t="str">
        <f ca="1">IFERROR(__xludf.DUMMYFUNCTION("""COMPUTED_VALUE"""),"Abu Dhabi&gt;Saadiyat Island&gt;Saadiyat Beach")</f>
        <v>Abu Dhabi&gt;Saadiyat Island&gt;Saadiyat Beach</v>
      </c>
      <c r="E15015" s="2"/>
      <c r="F15015" s="2"/>
      <c r="G15015" s="2"/>
      <c r="H15015" s="2"/>
      <c r="I15015" s="2"/>
      <c r="J15015" s="2"/>
      <c r="K15015" s="2"/>
      <c r="L15015" s="2"/>
      <c r="M15015" s="2"/>
      <c r="N15015" s="2"/>
      <c r="O15015" s="2"/>
      <c r="P15015" s="2"/>
      <c r="Q15015" s="2"/>
      <c r="R15015" s="2"/>
      <c r="S15015" s="2"/>
      <c r="T15015" s="2"/>
      <c r="U15015" s="2"/>
      <c r="V15015" s="2"/>
      <c r="W15015" s="2"/>
      <c r="X15015" s="2"/>
      <c r="Y15015" s="2"/>
      <c r="Z15015" s="2"/>
    </row>
    <row r="15016" spans="1:26" ht="16.5" x14ac:dyDescent="0.35">
      <c r="A15016" s="2" t="str">
        <f ca="1">IFERROR(__xludf.DUMMYFUNCTION("""COMPUTED_VALUE"""),"Abu Dhabi")</f>
        <v>Abu Dhabi</v>
      </c>
      <c r="B15016" s="2" t="str">
        <f ca="1">IFERROR(__xludf.DUMMYFUNCTION("""COMPUTED_VALUE"""),"Bloom Arjaan by Rotana")</f>
        <v>Bloom Arjaan by Rotana</v>
      </c>
      <c r="C15016" s="2" t="str">
        <f ca="1">IFERROR(__xludf.DUMMYFUNCTION("""COMPUTED_VALUE"""),"Building")</f>
        <v>Building</v>
      </c>
      <c r="D15016" s="2" t="str">
        <f ca="1">IFERROR(__xludf.DUMMYFUNCTION("""COMPUTED_VALUE"""),"Abu Dhabi&gt;Saadiyat Island&gt;Bloom Arjaan by Rotana")</f>
        <v>Abu Dhabi&gt;Saadiyat Island&gt;Bloom Arjaan by Rotana</v>
      </c>
      <c r="E15016" s="2"/>
      <c r="F15016" s="2"/>
      <c r="G15016" s="2"/>
      <c r="H15016" s="2"/>
      <c r="I15016" s="2"/>
      <c r="J15016" s="2"/>
      <c r="K15016" s="2"/>
      <c r="L15016" s="2"/>
      <c r="M15016" s="2"/>
      <c r="N15016" s="2"/>
      <c r="O15016" s="2"/>
      <c r="P15016" s="2"/>
      <c r="Q15016" s="2"/>
      <c r="R15016" s="2"/>
      <c r="S15016" s="2"/>
      <c r="T15016" s="2"/>
      <c r="U15016" s="2"/>
      <c r="V15016" s="2"/>
      <c r="W15016" s="2"/>
      <c r="X15016" s="2"/>
      <c r="Y15016" s="2"/>
      <c r="Z15016" s="2"/>
    </row>
    <row r="15017" spans="1:26" ht="16.5" x14ac:dyDescent="0.35">
      <c r="A15017" s="2" t="str">
        <f ca="1">IFERROR(__xludf.DUMMYFUNCTION("""COMPUTED_VALUE"""),"Abu Dhabi")</f>
        <v>Abu Dhabi</v>
      </c>
      <c r="B15017" s="2" t="str">
        <f ca="1">IFERROR(__xludf.DUMMYFUNCTION("""COMPUTED_VALUE"""),"C31 Building")</f>
        <v>C31 Building</v>
      </c>
      <c r="C15017" s="2" t="str">
        <f ca="1">IFERROR(__xludf.DUMMYFUNCTION("""COMPUTED_VALUE"""),"Building")</f>
        <v>Building</v>
      </c>
      <c r="D15017" s="2" t="str">
        <f ca="1">IFERROR(__xludf.DUMMYFUNCTION("""COMPUTED_VALUE"""),"Abu Dhabi&gt;Al Raha Beach&gt;Al Seef&gt;C31 Building")</f>
        <v>Abu Dhabi&gt;Al Raha Beach&gt;Al Seef&gt;C31 Building</v>
      </c>
      <c r="E15017" s="2"/>
      <c r="F15017" s="2"/>
      <c r="G15017" s="2"/>
      <c r="H15017" s="2"/>
      <c r="I15017" s="2"/>
      <c r="J15017" s="2"/>
      <c r="K15017" s="2"/>
      <c r="L15017" s="2"/>
      <c r="M15017" s="2"/>
      <c r="N15017" s="2"/>
      <c r="O15017" s="2"/>
      <c r="P15017" s="2"/>
      <c r="Q15017" s="2"/>
      <c r="R15017" s="2"/>
      <c r="S15017" s="2"/>
      <c r="T15017" s="2"/>
      <c r="U15017" s="2"/>
      <c r="V15017" s="2"/>
      <c r="W15017" s="2"/>
      <c r="X15017" s="2"/>
      <c r="Y15017" s="2"/>
      <c r="Z15017" s="2"/>
    </row>
    <row r="15018" spans="1:26" ht="16.5" x14ac:dyDescent="0.35">
      <c r="A15018" s="2" t="str">
        <f ca="1">IFERROR(__xludf.DUMMYFUNCTION("""COMPUTED_VALUE"""),"Abu Dhabi")</f>
        <v>Abu Dhabi</v>
      </c>
      <c r="B15018" s="2" t="str">
        <f ca="1">IFERROR(__xludf.DUMMYFUNCTION("""COMPUTED_VALUE"""),"Al Nada")</f>
        <v>Al Nada</v>
      </c>
      <c r="C15018" s="2" t="str">
        <f ca="1">IFERROR(__xludf.DUMMYFUNCTION("""COMPUTED_VALUE"""),"Cluster")</f>
        <v>Cluster</v>
      </c>
      <c r="D15018" s="2" t="str">
        <f ca="1">IFERROR(__xludf.DUMMYFUNCTION("""COMPUTED_VALUE"""),"Abu Dhabi&gt;Al Raha Beach&gt;Al Muneera&gt;Al Nada")</f>
        <v>Abu Dhabi&gt;Al Raha Beach&gt;Al Muneera&gt;Al Nada</v>
      </c>
      <c r="E15018" s="2"/>
      <c r="F15018" s="2"/>
      <c r="G15018" s="2"/>
      <c r="H15018" s="2"/>
      <c r="I15018" s="2"/>
      <c r="J15018" s="2"/>
      <c r="K15018" s="2"/>
      <c r="L15018" s="2"/>
      <c r="M15018" s="2"/>
      <c r="N15018" s="2"/>
      <c r="O15018" s="2"/>
      <c r="P15018" s="2"/>
      <c r="Q15018" s="2"/>
      <c r="R15018" s="2"/>
      <c r="S15018" s="2"/>
      <c r="T15018" s="2"/>
      <c r="U15018" s="2"/>
      <c r="V15018" s="2"/>
      <c r="W15018" s="2"/>
      <c r="X15018" s="2"/>
      <c r="Y15018" s="2"/>
      <c r="Z15018" s="2"/>
    </row>
    <row r="15019" spans="1:26" ht="16.5" x14ac:dyDescent="0.35">
      <c r="A15019" s="2" t="str">
        <f ca="1">IFERROR(__xludf.DUMMYFUNCTION("""COMPUTED_VALUE"""),"Abu Dhabi")</f>
        <v>Abu Dhabi</v>
      </c>
      <c r="B15019" s="2" t="str">
        <f ca="1">IFERROR(__xludf.DUMMYFUNCTION("""COMPUTED_VALUE"""),"Juman 1")</f>
        <v>Juman 1</v>
      </c>
      <c r="C15019" s="2" t="str">
        <f ca="1">IFERROR(__xludf.DUMMYFUNCTION("""COMPUTED_VALUE"""),"Building")</f>
        <v>Building</v>
      </c>
      <c r="D15019" s="2" t="str">
        <f ca="1">IFERROR(__xludf.DUMMYFUNCTION("""COMPUTED_VALUE"""),"Abu Dhabi&gt;Al Raha Beach&gt;Luluat Al Raha&gt;Juman 1")</f>
        <v>Abu Dhabi&gt;Al Raha Beach&gt;Luluat Al Raha&gt;Juman 1</v>
      </c>
      <c r="E15019" s="2"/>
      <c r="F15019" s="2"/>
      <c r="G15019" s="2"/>
      <c r="H15019" s="2"/>
      <c r="I15019" s="2"/>
      <c r="J15019" s="2"/>
      <c r="K15019" s="2"/>
      <c r="L15019" s="2"/>
      <c r="M15019" s="2"/>
      <c r="N15019" s="2"/>
      <c r="O15019" s="2"/>
      <c r="P15019" s="2"/>
      <c r="Q15019" s="2"/>
      <c r="R15019" s="2"/>
      <c r="S15019" s="2"/>
      <c r="T15019" s="2"/>
      <c r="U15019" s="2"/>
      <c r="V15019" s="2"/>
      <c r="W15019" s="2"/>
      <c r="X15019" s="2"/>
      <c r="Y15019" s="2"/>
      <c r="Z15019" s="2"/>
    </row>
    <row r="15020" spans="1:26" ht="16.5" x14ac:dyDescent="0.35">
      <c r="A15020" s="2" t="str">
        <f ca="1">IFERROR(__xludf.DUMMYFUNCTION("""COMPUTED_VALUE"""),"Abu Dhabi")</f>
        <v>Abu Dhabi</v>
      </c>
      <c r="B15020" s="2" t="str">
        <f ca="1">IFERROR(__xludf.DUMMYFUNCTION("""COMPUTED_VALUE"""),"P1144")</f>
        <v>P1144</v>
      </c>
      <c r="C15020" s="2" t="str">
        <f ca="1">IFERROR(__xludf.DUMMYFUNCTION("""COMPUTED_VALUE"""),"Building")</f>
        <v>Building</v>
      </c>
      <c r="D15020" s="2" t="str">
        <f ca="1">IFERROR(__xludf.DUMMYFUNCTION("""COMPUTED_VALUE"""),"Abu Dhabi&gt;Al Raha Beach&gt;P1144")</f>
        <v>Abu Dhabi&gt;Al Raha Beach&gt;P1144</v>
      </c>
      <c r="E15020" s="2"/>
      <c r="F15020" s="2"/>
      <c r="G15020" s="2"/>
      <c r="H15020" s="2"/>
      <c r="I15020" s="2"/>
      <c r="J15020" s="2"/>
      <c r="K15020" s="2"/>
      <c r="L15020" s="2"/>
      <c r="M15020" s="2"/>
      <c r="N15020" s="2"/>
      <c r="O15020" s="2"/>
      <c r="P15020" s="2"/>
      <c r="Q15020" s="2"/>
      <c r="R15020" s="2"/>
      <c r="S15020" s="2"/>
      <c r="T15020" s="2"/>
      <c r="U15020" s="2"/>
      <c r="V15020" s="2"/>
      <c r="W15020" s="2"/>
      <c r="X15020" s="2"/>
      <c r="Y15020" s="2"/>
      <c r="Z15020" s="2"/>
    </row>
    <row r="15021" spans="1:26" ht="16.5" x14ac:dyDescent="0.35">
      <c r="A15021" s="2" t="str">
        <f ca="1">IFERROR(__xludf.DUMMYFUNCTION("""COMPUTED_VALUE"""),"Abu Dhabi")</f>
        <v>Abu Dhabi</v>
      </c>
      <c r="B15021" s="2" t="str">
        <f ca="1">IFERROR(__xludf.DUMMYFUNCTION("""COMPUTED_VALUE"""),"Al Seef Village")</f>
        <v>Al Seef Village</v>
      </c>
      <c r="C15021" s="2"/>
      <c r="D15021" s="2" t="str">
        <f ca="1">IFERROR(__xludf.DUMMYFUNCTION("""COMPUTED_VALUE"""),"Abu Dhabi&gt;Al Salam Street&gt;Al Seef Village")</f>
        <v>Abu Dhabi&gt;Al Salam Street&gt;Al Seef Village</v>
      </c>
      <c r="E15021" s="2"/>
      <c r="F15021" s="2"/>
      <c r="G15021" s="2"/>
      <c r="H15021" s="2"/>
      <c r="I15021" s="2"/>
      <c r="J15021" s="2"/>
      <c r="K15021" s="2"/>
      <c r="L15021" s="2"/>
      <c r="M15021" s="2"/>
      <c r="N15021" s="2"/>
      <c r="O15021" s="2"/>
      <c r="P15021" s="2"/>
      <c r="Q15021" s="2"/>
      <c r="R15021" s="2"/>
      <c r="S15021" s="2"/>
      <c r="T15021" s="2"/>
      <c r="U15021" s="2"/>
      <c r="V15021" s="2"/>
      <c r="W15021" s="2"/>
      <c r="X15021" s="2"/>
      <c r="Y15021" s="2"/>
      <c r="Z15021" s="2"/>
    </row>
    <row r="15022" spans="1:26" ht="16.5" x14ac:dyDescent="0.35">
      <c r="A15022" s="2" t="str">
        <f ca="1">IFERROR(__xludf.DUMMYFUNCTION("""COMPUTED_VALUE"""),"Abu Dhabi")</f>
        <v>Abu Dhabi</v>
      </c>
      <c r="B15022" s="2" t="str">
        <f ca="1">IFERROR(__xludf.DUMMYFUNCTION("""COMPUTED_VALUE"""),"Prestige Tower")</f>
        <v>Prestige Tower</v>
      </c>
      <c r="C15022" s="2" t="str">
        <f ca="1">IFERROR(__xludf.DUMMYFUNCTION("""COMPUTED_VALUE"""),"Building")</f>
        <v>Building</v>
      </c>
      <c r="D15022" s="2" t="str">
        <f ca="1">IFERROR(__xludf.DUMMYFUNCTION("""COMPUTED_VALUE"""),"Abu Dhabi&gt;Mohamed Bin Zayed City&gt;Prestige Tower")</f>
        <v>Abu Dhabi&gt;Mohamed Bin Zayed City&gt;Prestige Tower</v>
      </c>
      <c r="E15022" s="2"/>
      <c r="F15022" s="2"/>
      <c r="G15022" s="2"/>
      <c r="H15022" s="2"/>
      <c r="I15022" s="2"/>
      <c r="J15022" s="2"/>
      <c r="K15022" s="2"/>
      <c r="L15022" s="2"/>
      <c r="M15022" s="2"/>
      <c r="N15022" s="2"/>
      <c r="O15022" s="2"/>
      <c r="P15022" s="2"/>
      <c r="Q15022" s="2"/>
      <c r="R15022" s="2"/>
      <c r="S15022" s="2"/>
      <c r="T15022" s="2"/>
      <c r="U15022" s="2"/>
      <c r="V15022" s="2"/>
      <c r="W15022" s="2"/>
      <c r="X15022" s="2"/>
      <c r="Y15022" s="2"/>
      <c r="Z15022" s="2"/>
    </row>
    <row r="15023" spans="1:26" ht="16.5" x14ac:dyDescent="0.35">
      <c r="A15023" s="2" t="str">
        <f ca="1">IFERROR(__xludf.DUMMYFUNCTION("""COMPUTED_VALUE"""),"Abu Dhabi")</f>
        <v>Abu Dhabi</v>
      </c>
      <c r="B15023" s="2" t="str">
        <f ca="1">IFERROR(__xludf.DUMMYFUNCTION("""COMPUTED_VALUE"""),"Zone 26")</f>
        <v>Zone 26</v>
      </c>
      <c r="C15023" s="2" t="str">
        <f ca="1">IFERROR(__xludf.DUMMYFUNCTION("""COMPUTED_VALUE"""),"Neighbourhood")</f>
        <v>Neighbourhood</v>
      </c>
      <c r="D15023" s="2" t="str">
        <f ca="1">IFERROR(__xludf.DUMMYFUNCTION("""COMPUTED_VALUE"""),"Abu Dhabi&gt;Mohamed Bin Zayed City&gt;Zone 26")</f>
        <v>Abu Dhabi&gt;Mohamed Bin Zayed City&gt;Zone 26</v>
      </c>
      <c r="E15023" s="2"/>
      <c r="F15023" s="2"/>
      <c r="G15023" s="2"/>
      <c r="H15023" s="2"/>
      <c r="I15023" s="2"/>
      <c r="J15023" s="2"/>
      <c r="K15023" s="2"/>
      <c r="L15023" s="2"/>
      <c r="M15023" s="2"/>
      <c r="N15023" s="2"/>
      <c r="O15023" s="2"/>
      <c r="P15023" s="2"/>
      <c r="Q15023" s="2"/>
      <c r="R15023" s="2"/>
      <c r="S15023" s="2"/>
      <c r="T15023" s="2"/>
      <c r="U15023" s="2"/>
      <c r="V15023" s="2"/>
      <c r="W15023" s="2"/>
      <c r="X15023" s="2"/>
      <c r="Y15023" s="2"/>
      <c r="Z15023" s="2"/>
    </row>
    <row r="15024" spans="1:26" ht="16.5" x14ac:dyDescent="0.35">
      <c r="A15024" s="2" t="str">
        <f ca="1">IFERROR(__xludf.DUMMYFUNCTION("""COMPUTED_VALUE"""),"Abu Dhabi")</f>
        <v>Abu Dhabi</v>
      </c>
      <c r="B15024" s="2" t="str">
        <f ca="1">IFERROR(__xludf.DUMMYFUNCTION("""COMPUTED_VALUE"""),"Building 24")</f>
        <v>Building 24</v>
      </c>
      <c r="C15024" s="2" t="str">
        <f ca="1">IFERROR(__xludf.DUMMYFUNCTION("""COMPUTED_VALUE"""),"Building")</f>
        <v>Building</v>
      </c>
      <c r="D15024" s="2" t="str">
        <f ca="1">IFERROR(__xludf.DUMMYFUNCTION("""COMPUTED_VALUE"""),"Abu Dhabi&gt;Al Reef&gt;Al Reef Downtown&gt;Building 24")</f>
        <v>Abu Dhabi&gt;Al Reef&gt;Al Reef Downtown&gt;Building 24</v>
      </c>
      <c r="E15024" s="2"/>
      <c r="F15024" s="2"/>
      <c r="G15024" s="2"/>
      <c r="H15024" s="2"/>
      <c r="I15024" s="2"/>
      <c r="J15024" s="2"/>
      <c r="K15024" s="2"/>
      <c r="L15024" s="2"/>
      <c r="M15024" s="2"/>
      <c r="N15024" s="2"/>
      <c r="O15024" s="2"/>
      <c r="P15024" s="2"/>
      <c r="Q15024" s="2"/>
      <c r="R15024" s="2"/>
      <c r="S15024" s="2"/>
      <c r="T15024" s="2"/>
      <c r="U15024" s="2"/>
      <c r="V15024" s="2"/>
      <c r="W15024" s="2"/>
      <c r="X15024" s="2"/>
      <c r="Y15024" s="2"/>
      <c r="Z15024" s="2"/>
    </row>
    <row r="15025" spans="1:26" ht="16.5" x14ac:dyDescent="0.35">
      <c r="A15025" s="2" t="str">
        <f ca="1">IFERROR(__xludf.DUMMYFUNCTION("""COMPUTED_VALUE"""),"Abu Dhabi")</f>
        <v>Abu Dhabi</v>
      </c>
      <c r="B15025" s="2" t="str">
        <f ca="1">IFERROR(__xludf.DUMMYFUNCTION("""COMPUTED_VALUE"""),"Building 9")</f>
        <v>Building 9</v>
      </c>
      <c r="C15025" s="2" t="str">
        <f ca="1">IFERROR(__xludf.DUMMYFUNCTION("""COMPUTED_VALUE"""),"Building")</f>
        <v>Building</v>
      </c>
      <c r="D15025" s="2" t="str">
        <f ca="1">IFERROR(__xludf.DUMMYFUNCTION("""COMPUTED_VALUE"""),"Abu Dhabi&gt;Al Reef&gt;Al Reef Downtown&gt;Building 9")</f>
        <v>Abu Dhabi&gt;Al Reef&gt;Al Reef Downtown&gt;Building 9</v>
      </c>
      <c r="E15025" s="2"/>
      <c r="F15025" s="2"/>
      <c r="G15025" s="2"/>
      <c r="H15025" s="2"/>
      <c r="I15025" s="2"/>
      <c r="J15025" s="2"/>
      <c r="K15025" s="2"/>
      <c r="L15025" s="2"/>
      <c r="M15025" s="2"/>
      <c r="N15025" s="2"/>
      <c r="O15025" s="2"/>
      <c r="P15025" s="2"/>
      <c r="Q15025" s="2"/>
      <c r="R15025" s="2"/>
      <c r="S15025" s="2"/>
      <c r="T15025" s="2"/>
      <c r="U15025" s="2"/>
      <c r="V15025" s="2"/>
      <c r="W15025" s="2"/>
      <c r="X15025" s="2"/>
      <c r="Y15025" s="2"/>
      <c r="Z15025" s="2"/>
    </row>
    <row r="15026" spans="1:26" ht="16.5" x14ac:dyDescent="0.35">
      <c r="A15026" s="2" t="str">
        <f ca="1">IFERROR(__xludf.DUMMYFUNCTION("""COMPUTED_VALUE"""),"Abu Dhabi")</f>
        <v>Abu Dhabi</v>
      </c>
      <c r="B15026" s="2" t="str">
        <f ca="1">IFERROR(__xludf.DUMMYFUNCTION("""COMPUTED_VALUE"""),"Khalidiyah Palace Rayhaan")</f>
        <v>Khalidiyah Palace Rayhaan</v>
      </c>
      <c r="C15026" s="2" t="str">
        <f ca="1">IFERROR(__xludf.DUMMYFUNCTION("""COMPUTED_VALUE"""),"Building")</f>
        <v>Building</v>
      </c>
      <c r="D15026" s="2" t="str">
        <f ca="1">IFERROR(__xludf.DUMMYFUNCTION("""COMPUTED_VALUE"""),"Abu Dhabi&gt;Al Ras Al Akhdar&gt;Khalidiyah Palace Rayhaan")</f>
        <v>Abu Dhabi&gt;Al Ras Al Akhdar&gt;Khalidiyah Palace Rayhaan</v>
      </c>
      <c r="E15026" s="2"/>
      <c r="F15026" s="2"/>
      <c r="G15026" s="2"/>
      <c r="H15026" s="2"/>
      <c r="I15026" s="2"/>
      <c r="J15026" s="2"/>
      <c r="K15026" s="2"/>
      <c r="L15026" s="2"/>
      <c r="M15026" s="2"/>
      <c r="N15026" s="2"/>
      <c r="O15026" s="2"/>
      <c r="P15026" s="2"/>
      <c r="Q15026" s="2"/>
      <c r="R15026" s="2"/>
      <c r="S15026" s="2"/>
      <c r="T15026" s="2"/>
      <c r="U15026" s="2"/>
      <c r="V15026" s="2"/>
      <c r="W15026" s="2"/>
      <c r="X15026" s="2"/>
      <c r="Y15026" s="2"/>
      <c r="Z15026" s="2"/>
    </row>
    <row r="15027" spans="1:26" ht="16.5" x14ac:dyDescent="0.35">
      <c r="A15027" s="2" t="str">
        <f ca="1">IFERROR(__xludf.DUMMYFUNCTION("""COMPUTED_VALUE"""),"Abu Dhabi")</f>
        <v>Abu Dhabi</v>
      </c>
      <c r="B15027" s="2" t="str">
        <f ca="1">IFERROR(__xludf.DUMMYFUNCTION("""COMPUTED_VALUE"""),"Al Badie Tower")</f>
        <v>Al Badie Tower</v>
      </c>
      <c r="C15027" s="2" t="str">
        <f ca="1">IFERROR(__xludf.DUMMYFUNCTION("""COMPUTED_VALUE"""),"Building")</f>
        <v>Building</v>
      </c>
      <c r="D15027" s="2" t="str">
        <f ca="1">IFERROR(__xludf.DUMMYFUNCTION("""COMPUTED_VALUE"""),"Abu Dhabi&gt;Capital Centre&gt;Al Badie Tower")</f>
        <v>Abu Dhabi&gt;Capital Centre&gt;Al Badie Tower</v>
      </c>
      <c r="E15027" s="2"/>
      <c r="F15027" s="2"/>
      <c r="G15027" s="2"/>
      <c r="H15027" s="2"/>
      <c r="I15027" s="2"/>
      <c r="J15027" s="2"/>
      <c r="K15027" s="2"/>
      <c r="L15027" s="2"/>
      <c r="M15027" s="2"/>
      <c r="N15027" s="2"/>
      <c r="O15027" s="2"/>
      <c r="P15027" s="2"/>
      <c r="Q15027" s="2"/>
      <c r="R15027" s="2"/>
      <c r="S15027" s="2"/>
      <c r="T15027" s="2"/>
      <c r="U15027" s="2"/>
      <c r="V15027" s="2"/>
      <c r="W15027" s="2"/>
      <c r="X15027" s="2"/>
      <c r="Y15027" s="2"/>
      <c r="Z15027" s="2"/>
    </row>
    <row r="15028" spans="1:26" ht="16.5" x14ac:dyDescent="0.35">
      <c r="A15028" s="2" t="str">
        <f ca="1">IFERROR(__xludf.DUMMYFUNCTION("""COMPUTED_VALUE"""),"Abu Dhabi")</f>
        <v>Abu Dhabi</v>
      </c>
      <c r="B15028" s="2" t="str">
        <f ca="1">IFERROR(__xludf.DUMMYFUNCTION("""COMPUTED_VALUE"""),"Perla 1")</f>
        <v>Perla 1</v>
      </c>
      <c r="C15028" s="2" t="str">
        <f ca="1">IFERROR(__xludf.DUMMYFUNCTION("""COMPUTED_VALUE"""),"Building")</f>
        <v>Building</v>
      </c>
      <c r="D15028" s="2" t="str">
        <f ca="1">IFERROR(__xludf.DUMMYFUNCTION("""COMPUTED_VALUE"""),"Abu Dhabi&gt;Yas Island&gt;Yas Bay&gt;Perla 1")</f>
        <v>Abu Dhabi&gt;Yas Island&gt;Yas Bay&gt;Perla 1</v>
      </c>
      <c r="E15028" s="2"/>
      <c r="F15028" s="2"/>
      <c r="G15028" s="2"/>
      <c r="H15028" s="2"/>
      <c r="I15028" s="2"/>
      <c r="J15028" s="2"/>
      <c r="K15028" s="2"/>
      <c r="L15028" s="2"/>
      <c r="M15028" s="2"/>
      <c r="N15028" s="2"/>
      <c r="O15028" s="2"/>
      <c r="P15028" s="2"/>
      <c r="Q15028" s="2"/>
      <c r="R15028" s="2"/>
      <c r="S15028" s="2"/>
      <c r="T15028" s="2"/>
      <c r="U15028" s="2"/>
      <c r="V15028" s="2"/>
      <c r="W15028" s="2"/>
      <c r="X15028" s="2"/>
      <c r="Y15028" s="2"/>
      <c r="Z15028" s="2"/>
    </row>
    <row r="15029" spans="1:26" ht="16.5" x14ac:dyDescent="0.35">
      <c r="A15029" s="2" t="str">
        <f ca="1">IFERROR(__xludf.DUMMYFUNCTION("""COMPUTED_VALUE"""),"Abu Dhabi")</f>
        <v>Abu Dhabi</v>
      </c>
      <c r="B15029" s="2" t="str">
        <f ca="1">IFERROR(__xludf.DUMMYFUNCTION("""COMPUTED_VALUE"""),"Redwoods")</f>
        <v>Redwoods</v>
      </c>
      <c r="C15029" s="2" t="str">
        <f ca="1">IFERROR(__xludf.DUMMYFUNCTION("""COMPUTED_VALUE"""),"Neighbourhood")</f>
        <v>Neighbourhood</v>
      </c>
      <c r="D15029" s="2" t="str">
        <f ca="1">IFERROR(__xludf.DUMMYFUNCTION("""COMPUTED_VALUE"""),"Abu Dhabi&gt;Yas Island&gt;Yas Acres&gt;Redwoods")</f>
        <v>Abu Dhabi&gt;Yas Island&gt;Yas Acres&gt;Redwoods</v>
      </c>
      <c r="E15029" s="2"/>
      <c r="F15029" s="2"/>
      <c r="G15029" s="2"/>
      <c r="H15029" s="2"/>
      <c r="I15029" s="2"/>
      <c r="J15029" s="2"/>
      <c r="K15029" s="2"/>
      <c r="L15029" s="2"/>
      <c r="M15029" s="2"/>
      <c r="N15029" s="2"/>
      <c r="O15029" s="2"/>
      <c r="P15029" s="2"/>
      <c r="Q15029" s="2"/>
      <c r="R15029" s="2"/>
      <c r="S15029" s="2"/>
      <c r="T15029" s="2"/>
      <c r="U15029" s="2"/>
      <c r="V15029" s="2"/>
      <c r="W15029" s="2"/>
      <c r="X15029" s="2"/>
      <c r="Y15029" s="2"/>
      <c r="Z15029" s="2"/>
    </row>
    <row r="15030" spans="1:26" ht="16.5" x14ac:dyDescent="0.35">
      <c r="A15030" s="2" t="str">
        <f ca="1">IFERROR(__xludf.DUMMYFUNCTION("""COMPUTED_VALUE"""),"Abu Dhabi")</f>
        <v>Abu Dhabi</v>
      </c>
      <c r="B15030" s="2" t="str">
        <f ca="1">IFERROR(__xludf.DUMMYFUNCTION("""COMPUTED_VALUE"""),"Sama Yas")</f>
        <v>Sama Yas</v>
      </c>
      <c r="C15030" s="2" t="str">
        <f ca="1">IFERROR(__xludf.DUMMYFUNCTION("""COMPUTED_VALUE"""),"Building")</f>
        <v>Building</v>
      </c>
      <c r="D15030" s="2" t="str">
        <f ca="1">IFERROR(__xludf.DUMMYFUNCTION("""COMPUTED_VALUE"""),"Abu Dhabi&gt;Yas Island&gt;Sama Yas")</f>
        <v>Abu Dhabi&gt;Yas Island&gt;Sama Yas</v>
      </c>
      <c r="E15030" s="2"/>
      <c r="F15030" s="2"/>
      <c r="G15030" s="2"/>
      <c r="H15030" s="2"/>
      <c r="I15030" s="2"/>
      <c r="J15030" s="2"/>
      <c r="K15030" s="2"/>
      <c r="L15030" s="2"/>
      <c r="M15030" s="2"/>
      <c r="N15030" s="2"/>
      <c r="O15030" s="2"/>
      <c r="P15030" s="2"/>
      <c r="Q15030" s="2"/>
      <c r="R15030" s="2"/>
      <c r="S15030" s="2"/>
      <c r="T15030" s="2"/>
      <c r="U15030" s="2"/>
      <c r="V15030" s="2"/>
      <c r="W15030" s="2"/>
      <c r="X15030" s="2"/>
      <c r="Y15030" s="2"/>
      <c r="Z15030" s="2"/>
    </row>
    <row r="15031" spans="1:26" ht="16.5" x14ac:dyDescent="0.35">
      <c r="A15031" s="2" t="str">
        <f ca="1">IFERROR(__xludf.DUMMYFUNCTION("""COMPUTED_VALUE"""),"Abu Dhabi")</f>
        <v>Abu Dhabi</v>
      </c>
      <c r="B15031" s="2" t="str">
        <f ca="1">IFERROR(__xludf.DUMMYFUNCTION("""COMPUTED_VALUE"""),"Reeman Living")</f>
        <v>Reeman Living</v>
      </c>
      <c r="C15031" s="2" t="str">
        <f ca="1">IFERROR(__xludf.DUMMYFUNCTION("""COMPUTED_VALUE"""),"Building")</f>
        <v>Building</v>
      </c>
      <c r="D15031" s="2" t="str">
        <f ca="1">IFERROR(__xludf.DUMMYFUNCTION("""COMPUTED_VALUE"""),"Abu Dhabi&gt;Al Shamkha&gt;Al Reeman 1&gt;Reeman Living")</f>
        <v>Abu Dhabi&gt;Al Shamkha&gt;Al Reeman 1&gt;Reeman Living</v>
      </c>
      <c r="E15031" s="2"/>
      <c r="F15031" s="2"/>
      <c r="G15031" s="2"/>
      <c r="H15031" s="2"/>
      <c r="I15031" s="2"/>
      <c r="J15031" s="2"/>
      <c r="K15031" s="2"/>
      <c r="L15031" s="2"/>
      <c r="M15031" s="2"/>
      <c r="N15031" s="2"/>
      <c r="O15031" s="2"/>
      <c r="P15031" s="2"/>
      <c r="Q15031" s="2"/>
      <c r="R15031" s="2"/>
      <c r="S15031" s="2"/>
      <c r="T15031" s="2"/>
      <c r="U15031" s="2"/>
      <c r="V15031" s="2"/>
      <c r="W15031" s="2"/>
      <c r="X15031" s="2"/>
      <c r="Y15031" s="2"/>
      <c r="Z15031" s="2"/>
    </row>
    <row r="15032" spans="1:26" ht="16.5" x14ac:dyDescent="0.35">
      <c r="A15032" s="2" t="str">
        <f ca="1">IFERROR(__xludf.DUMMYFUNCTION("""COMPUTED_VALUE"""),"Ajman")</f>
        <v>Ajman</v>
      </c>
      <c r="B15032" s="2" t="str">
        <f ca="1">IFERROR(__xludf.DUMMYFUNCTION("""COMPUTED_VALUE"""),"New Industrial City")</f>
        <v>New Industrial City</v>
      </c>
      <c r="C15032" s="2"/>
      <c r="D15032" s="2" t="str">
        <f ca="1">IFERROR(__xludf.DUMMYFUNCTION("""COMPUTED_VALUE"""),"Ajman&gt;New Industrial City")</f>
        <v>Ajman&gt;New Industrial City</v>
      </c>
      <c r="E15032" s="2"/>
      <c r="F15032" s="2"/>
      <c r="G15032" s="2"/>
      <c r="H15032" s="2"/>
      <c r="I15032" s="2"/>
      <c r="J15032" s="2"/>
      <c r="K15032" s="2"/>
      <c r="L15032" s="2"/>
      <c r="M15032" s="2"/>
      <c r="N15032" s="2"/>
      <c r="O15032" s="2"/>
      <c r="P15032" s="2"/>
      <c r="Q15032" s="2"/>
      <c r="R15032" s="2"/>
      <c r="S15032" s="2"/>
      <c r="T15032" s="2"/>
      <c r="U15032" s="2"/>
      <c r="V15032" s="2"/>
      <c r="W15032" s="2"/>
      <c r="X15032" s="2"/>
      <c r="Y15032" s="2"/>
      <c r="Z15032" s="2"/>
    </row>
    <row r="15033" spans="1:26" ht="16.5" x14ac:dyDescent="0.35">
      <c r="A15033" s="2" t="str">
        <f ca="1">IFERROR(__xludf.DUMMYFUNCTION("""COMPUTED_VALUE"""),"Ajman")</f>
        <v>Ajman</v>
      </c>
      <c r="B15033" s="2" t="str">
        <f ca="1">IFERROR(__xludf.DUMMYFUNCTION("""COMPUTED_VALUE"""),"Lake View Tower 2")</f>
        <v>Lake View Tower 2</v>
      </c>
      <c r="C15033" s="2" t="str">
        <f ca="1">IFERROR(__xludf.DUMMYFUNCTION("""COMPUTED_VALUE"""),"Building")</f>
        <v>Building</v>
      </c>
      <c r="D15033" s="2" t="str">
        <f ca="1">IFERROR(__xludf.DUMMYFUNCTION("""COMPUTED_VALUE"""),"Ajman&gt;Emirates City&gt;Lake View Tower&gt;Lake View Tower 2")</f>
        <v>Ajman&gt;Emirates City&gt;Lake View Tower&gt;Lake View Tower 2</v>
      </c>
      <c r="E15033" s="2"/>
      <c r="F15033" s="2"/>
      <c r="G15033" s="2"/>
      <c r="H15033" s="2"/>
      <c r="I15033" s="2"/>
      <c r="J15033" s="2"/>
      <c r="K15033" s="2"/>
      <c r="L15033" s="2"/>
      <c r="M15033" s="2"/>
      <c r="N15033" s="2"/>
      <c r="O15033" s="2"/>
      <c r="P15033" s="2"/>
      <c r="Q15033" s="2"/>
      <c r="R15033" s="2"/>
      <c r="S15033" s="2"/>
      <c r="T15033" s="2"/>
      <c r="U15033" s="2"/>
      <c r="V15033" s="2"/>
      <c r="W15033" s="2"/>
      <c r="X15033" s="2"/>
      <c r="Y15033" s="2"/>
      <c r="Z15033" s="2"/>
    </row>
    <row r="15034" spans="1:26" ht="16.5" x14ac:dyDescent="0.35">
      <c r="A15034" s="2" t="str">
        <f ca="1">IFERROR(__xludf.DUMMYFUNCTION("""COMPUTED_VALUE"""),"Ajman")</f>
        <v>Ajman</v>
      </c>
      <c r="B15034" s="2" t="str">
        <f ca="1">IFERROR(__xludf.DUMMYFUNCTION("""COMPUTED_VALUE"""),"Al Jazeera Tower")</f>
        <v>Al Jazeera Tower</v>
      </c>
      <c r="C15034" s="2"/>
      <c r="D15034" s="2" t="str">
        <f ca="1">IFERROR(__xludf.DUMMYFUNCTION("""COMPUTED_VALUE"""),"Ajman&gt;Emirates City&gt;Al Jazeera Tower")</f>
        <v>Ajman&gt;Emirates City&gt;Al Jazeera Tower</v>
      </c>
      <c r="E15034" s="2"/>
      <c r="F15034" s="2"/>
      <c r="G15034" s="2"/>
      <c r="H15034" s="2"/>
      <c r="I15034" s="2"/>
      <c r="J15034" s="2"/>
      <c r="K15034" s="2"/>
      <c r="L15034" s="2"/>
      <c r="M15034" s="2"/>
      <c r="N15034" s="2"/>
      <c r="O15034" s="2"/>
      <c r="P15034" s="2"/>
      <c r="Q15034" s="2"/>
      <c r="R15034" s="2"/>
      <c r="S15034" s="2"/>
      <c r="T15034" s="2"/>
      <c r="U15034" s="2"/>
      <c r="V15034" s="2"/>
      <c r="W15034" s="2"/>
      <c r="X15034" s="2"/>
      <c r="Y15034" s="2"/>
      <c r="Z15034" s="2"/>
    </row>
    <row r="15035" spans="1:26" ht="16.5" x14ac:dyDescent="0.35">
      <c r="A15035" s="2" t="str">
        <f ca="1">IFERROR(__xludf.DUMMYFUNCTION("""COMPUTED_VALUE"""),"Ajman")</f>
        <v>Ajman</v>
      </c>
      <c r="B15035" s="2" t="str">
        <f ca="1">IFERROR(__xludf.DUMMYFUNCTION("""COMPUTED_VALUE"""),"Manar Al-Iman Charitable Private School")</f>
        <v>Manar Al-Iman Charitable Private School</v>
      </c>
      <c r="C15035" s="2" t="str">
        <f ca="1">IFERROR(__xludf.DUMMYFUNCTION("""COMPUTED_VALUE"""),"School")</f>
        <v>School</v>
      </c>
      <c r="D15035" s="2" t="str">
        <f ca="1">IFERROR(__xludf.DUMMYFUNCTION("""COMPUTED_VALUE"""),"Ajman&gt;Al Jurf&gt;Al Jurf 2&gt;Manar Al-Iman Charitable Private School")</f>
        <v>Ajman&gt;Al Jurf&gt;Al Jurf 2&gt;Manar Al-Iman Charitable Private School</v>
      </c>
      <c r="E15035" s="2"/>
      <c r="F15035" s="2"/>
      <c r="G15035" s="2"/>
      <c r="H15035" s="2"/>
      <c r="I15035" s="2"/>
      <c r="J15035" s="2"/>
      <c r="K15035" s="2"/>
      <c r="L15035" s="2"/>
      <c r="M15035" s="2"/>
      <c r="N15035" s="2"/>
      <c r="O15035" s="2"/>
      <c r="P15035" s="2"/>
      <c r="Q15035" s="2"/>
      <c r="R15035" s="2"/>
      <c r="S15035" s="2"/>
      <c r="T15035" s="2"/>
      <c r="U15035" s="2"/>
      <c r="V15035" s="2"/>
      <c r="W15035" s="2"/>
      <c r="X15035" s="2"/>
      <c r="Y15035" s="2"/>
      <c r="Z15035" s="2"/>
    </row>
    <row r="15036" spans="1:26" ht="16.5" x14ac:dyDescent="0.35">
      <c r="A15036" s="2" t="str">
        <f ca="1">IFERROR(__xludf.DUMMYFUNCTION("""COMPUTED_VALUE"""),"Ajman")</f>
        <v>Ajman</v>
      </c>
      <c r="B15036" s="2" t="str">
        <f ca="1">IFERROR(__xludf.DUMMYFUNCTION("""COMPUTED_VALUE"""),"Erica 2V")</f>
        <v>Erica 2V</v>
      </c>
      <c r="C15036" s="2"/>
      <c r="D15036" s="2" t="str">
        <f ca="1">IFERROR(__xludf.DUMMYFUNCTION("""COMPUTED_VALUE"""),"Ajman&gt;Ajman Uptown&gt;Erica 2V")</f>
        <v>Ajman&gt;Ajman Uptown&gt;Erica 2V</v>
      </c>
      <c r="E15036" s="2"/>
      <c r="F15036" s="2"/>
      <c r="G15036" s="2"/>
      <c r="H15036" s="2"/>
      <c r="I15036" s="2"/>
      <c r="J15036" s="2"/>
      <c r="K15036" s="2"/>
      <c r="L15036" s="2"/>
      <c r="M15036" s="2"/>
      <c r="N15036" s="2"/>
      <c r="O15036" s="2"/>
      <c r="P15036" s="2"/>
      <c r="Q15036" s="2"/>
      <c r="R15036" s="2"/>
      <c r="S15036" s="2"/>
      <c r="T15036" s="2"/>
      <c r="U15036" s="2"/>
      <c r="V15036" s="2"/>
      <c r="W15036" s="2"/>
      <c r="X15036" s="2"/>
      <c r="Y15036" s="2"/>
      <c r="Z15036" s="2"/>
    </row>
    <row r="15037" spans="1:26" ht="16.5" x14ac:dyDescent="0.35">
      <c r="A15037" s="2" t="str">
        <f ca="1">IFERROR(__xludf.DUMMYFUNCTION("""COMPUTED_VALUE"""),"Ajman")</f>
        <v>Ajman</v>
      </c>
      <c r="B15037" s="2" t="str">
        <f ca="1">IFERROR(__xludf.DUMMYFUNCTION("""COMPUTED_VALUE"""),"Barajeel Tower B")</f>
        <v>Barajeel Tower B</v>
      </c>
      <c r="C15037" s="2" t="str">
        <f ca="1">IFERROR(__xludf.DUMMYFUNCTION("""COMPUTED_VALUE"""),"Building")</f>
        <v>Building</v>
      </c>
      <c r="D15037" s="2" t="str">
        <f ca="1">IFERROR(__xludf.DUMMYFUNCTION("""COMPUTED_VALUE"""),"Ajman&gt;Al Rashidiya&gt;Al Rashidiya 1&gt;Barajeel Towers&gt;Barajeel Tower B")</f>
        <v>Ajman&gt;Al Rashidiya&gt;Al Rashidiya 1&gt;Barajeel Towers&gt;Barajeel Tower B</v>
      </c>
      <c r="E15037" s="2"/>
      <c r="F15037" s="2"/>
      <c r="G15037" s="2"/>
      <c r="H15037" s="2"/>
      <c r="I15037" s="2"/>
      <c r="J15037" s="2"/>
      <c r="K15037" s="2"/>
      <c r="L15037" s="2"/>
      <c r="M15037" s="2"/>
      <c r="N15037" s="2"/>
      <c r="O15037" s="2"/>
      <c r="P15037" s="2"/>
      <c r="Q15037" s="2"/>
      <c r="R15037" s="2"/>
      <c r="S15037" s="2"/>
      <c r="T15037" s="2"/>
      <c r="U15037" s="2"/>
      <c r="V15037" s="2"/>
      <c r="W15037" s="2"/>
      <c r="X15037" s="2"/>
      <c r="Y15037" s="2"/>
      <c r="Z15037" s="2"/>
    </row>
    <row r="15038" spans="1:26" ht="16.5" x14ac:dyDescent="0.35">
      <c r="A15038" s="2" t="str">
        <f ca="1">IFERROR(__xludf.DUMMYFUNCTION("""COMPUTED_VALUE"""),"Ajman")</f>
        <v>Ajman</v>
      </c>
      <c r="B15038" s="2" t="str">
        <f ca="1">IFERROR(__xludf.DUMMYFUNCTION("""COMPUTED_VALUE"""),"The Icon Casa 2")</f>
        <v>The Icon Casa 2</v>
      </c>
      <c r="C15038" s="2" t="str">
        <f ca="1">IFERROR(__xludf.DUMMYFUNCTION("""COMPUTED_VALUE"""),"Building")</f>
        <v>Building</v>
      </c>
      <c r="D15038" s="2" t="str">
        <f ca="1">IFERROR(__xludf.DUMMYFUNCTION("""COMPUTED_VALUE"""),"Ajman&gt;Al Rashidiya&gt;Al Rashidiya 3&gt;The Icon Casa 2")</f>
        <v>Ajman&gt;Al Rashidiya&gt;Al Rashidiya 3&gt;The Icon Casa 2</v>
      </c>
      <c r="E15038" s="2"/>
      <c r="F15038" s="2"/>
      <c r="G15038" s="2"/>
      <c r="H15038" s="2"/>
      <c r="I15038" s="2"/>
      <c r="J15038" s="2"/>
      <c r="K15038" s="2"/>
      <c r="L15038" s="2"/>
      <c r="M15038" s="2"/>
      <c r="N15038" s="2"/>
      <c r="O15038" s="2"/>
      <c r="P15038" s="2"/>
      <c r="Q15038" s="2"/>
      <c r="R15038" s="2"/>
      <c r="S15038" s="2"/>
      <c r="T15038" s="2"/>
      <c r="U15038" s="2"/>
      <c r="V15038" s="2"/>
      <c r="W15038" s="2"/>
      <c r="X15038" s="2"/>
      <c r="Y15038" s="2"/>
      <c r="Z15038" s="2"/>
    </row>
    <row r="15039" spans="1:26" ht="16.5" x14ac:dyDescent="0.35">
      <c r="A15039" s="2" t="str">
        <f ca="1">IFERROR(__xludf.DUMMYFUNCTION("""COMPUTED_VALUE"""),"Ajman")</f>
        <v>Ajman</v>
      </c>
      <c r="B15039" s="2" t="str">
        <f ca="1">IFERROR(__xludf.DUMMYFUNCTION("""COMPUTED_VALUE"""),"Al Afeef Building")</f>
        <v>Al Afeef Building</v>
      </c>
      <c r="C15039" s="2"/>
      <c r="D15039" s="2" t="str">
        <f ca="1">IFERROR(__xludf.DUMMYFUNCTION("""COMPUTED_VALUE"""),"Ajman&gt;Al Mowaihat&gt;Al Mowaihat 1&gt;Al Afeef Building")</f>
        <v>Ajman&gt;Al Mowaihat&gt;Al Mowaihat 1&gt;Al Afeef Building</v>
      </c>
      <c r="E15039" s="2"/>
      <c r="F15039" s="2"/>
      <c r="G15039" s="2"/>
      <c r="H15039" s="2"/>
      <c r="I15039" s="2"/>
      <c r="J15039" s="2"/>
      <c r="K15039" s="2"/>
      <c r="L15039" s="2"/>
      <c r="M15039" s="2"/>
      <c r="N15039" s="2"/>
      <c r="O15039" s="2"/>
      <c r="P15039" s="2"/>
      <c r="Q15039" s="2"/>
      <c r="R15039" s="2"/>
      <c r="S15039" s="2"/>
      <c r="T15039" s="2"/>
      <c r="U15039" s="2"/>
      <c r="V15039" s="2"/>
      <c r="W15039" s="2"/>
      <c r="X15039" s="2"/>
      <c r="Y15039" s="2"/>
      <c r="Z15039" s="2"/>
    </row>
    <row r="15040" spans="1:26" ht="16.5" x14ac:dyDescent="0.35">
      <c r="A15040" s="2" t="str">
        <f ca="1">IFERROR(__xludf.DUMMYFUNCTION("""COMPUTED_VALUE"""),"Ajman")</f>
        <v>Ajman</v>
      </c>
      <c r="B15040" s="2" t="str">
        <f ca="1">IFERROR(__xludf.DUMMYFUNCTION("""COMPUTED_VALUE"""),"Chapal Tropicals")</f>
        <v>Chapal Tropicals</v>
      </c>
      <c r="C15040" s="2"/>
      <c r="D15040" s="2" t="str">
        <f ca="1">IFERROR(__xludf.DUMMYFUNCTION("""COMPUTED_VALUE"""),"Ajman&gt;Emirates Lake Towers&gt;Chapal Tropicals")</f>
        <v>Ajman&gt;Emirates Lake Towers&gt;Chapal Tropicals</v>
      </c>
      <c r="E15040" s="2"/>
      <c r="F15040" s="2"/>
      <c r="G15040" s="2"/>
      <c r="H15040" s="2"/>
      <c r="I15040" s="2"/>
      <c r="J15040" s="2"/>
      <c r="K15040" s="2"/>
      <c r="L15040" s="2"/>
      <c r="M15040" s="2"/>
      <c r="N15040" s="2"/>
      <c r="O15040" s="2"/>
      <c r="P15040" s="2"/>
      <c r="Q15040" s="2"/>
      <c r="R15040" s="2"/>
      <c r="S15040" s="2"/>
      <c r="T15040" s="2"/>
      <c r="U15040" s="2"/>
      <c r="V15040" s="2"/>
      <c r="W15040" s="2"/>
      <c r="X15040" s="2"/>
      <c r="Y15040" s="2"/>
      <c r="Z15040" s="2"/>
    </row>
    <row r="15041" spans="1:26" ht="16.5" x14ac:dyDescent="0.35">
      <c r="A15041" s="2" t="str">
        <f ca="1">IFERROR(__xludf.DUMMYFUNCTION("""COMPUTED_VALUE"""),"Ajman")</f>
        <v>Ajman</v>
      </c>
      <c r="B15041" s="2" t="str">
        <f ca="1">IFERROR(__xludf.DUMMYFUNCTION("""COMPUTED_VALUE"""),"Al Zorah")</f>
        <v>Al Zorah</v>
      </c>
      <c r="C15041" s="2" t="str">
        <f ca="1">IFERROR(__xludf.DUMMYFUNCTION("""COMPUTED_VALUE"""),"Neighbourhood")</f>
        <v>Neighbourhood</v>
      </c>
      <c r="D15041" s="2" t="str">
        <f ca="1">IFERROR(__xludf.DUMMYFUNCTION("""COMPUTED_VALUE"""),"Ajman&gt;Al Zorah")</f>
        <v>Ajman&gt;Al Zorah</v>
      </c>
      <c r="E15041" s="2"/>
      <c r="F15041" s="2"/>
      <c r="G15041" s="2"/>
      <c r="H15041" s="2"/>
      <c r="I15041" s="2"/>
      <c r="J15041" s="2"/>
      <c r="K15041" s="2"/>
      <c r="L15041" s="2"/>
      <c r="M15041" s="2"/>
      <c r="N15041" s="2"/>
      <c r="O15041" s="2"/>
      <c r="P15041" s="2"/>
      <c r="Q15041" s="2"/>
      <c r="R15041" s="2"/>
      <c r="S15041" s="2"/>
      <c r="T15041" s="2"/>
      <c r="U15041" s="2"/>
      <c r="V15041" s="2"/>
      <c r="W15041" s="2"/>
      <c r="X15041" s="2"/>
      <c r="Y15041" s="2"/>
      <c r="Z15041" s="2"/>
    </row>
    <row r="15042" spans="1:26" ht="16.5" x14ac:dyDescent="0.35">
      <c r="A15042" s="2" t="str">
        <f ca="1">IFERROR(__xludf.DUMMYFUNCTION("""COMPUTED_VALUE"""),"Ajman")</f>
        <v>Ajman</v>
      </c>
      <c r="B15042" s="2" t="str">
        <f ca="1">IFERROR(__xludf.DUMMYFUNCTION("""COMPUTED_VALUE"""),"Global Pearl Residence")</f>
        <v>Global Pearl Residence</v>
      </c>
      <c r="C15042" s="2" t="str">
        <f ca="1">IFERROR(__xludf.DUMMYFUNCTION("""COMPUTED_VALUE"""),"Building")</f>
        <v>Building</v>
      </c>
      <c r="D15042" s="2" t="str">
        <f ca="1">IFERROR(__xludf.DUMMYFUNCTION("""COMPUTED_VALUE"""),"Ajman&gt;Al Humaid City&gt;Global Pearl Residence")</f>
        <v>Ajman&gt;Al Humaid City&gt;Global Pearl Residence</v>
      </c>
      <c r="E15042" s="2"/>
      <c r="F15042" s="2"/>
      <c r="G15042" s="2"/>
      <c r="H15042" s="2"/>
      <c r="I15042" s="2"/>
      <c r="J15042" s="2"/>
      <c r="K15042" s="2"/>
      <c r="L15042" s="2"/>
      <c r="M15042" s="2"/>
      <c r="N15042" s="2"/>
      <c r="O15042" s="2"/>
      <c r="P15042" s="2"/>
      <c r="Q15042" s="2"/>
      <c r="R15042" s="2"/>
      <c r="S15042" s="2"/>
      <c r="T15042" s="2"/>
      <c r="U15042" s="2"/>
      <c r="V15042" s="2"/>
      <c r="W15042" s="2"/>
      <c r="X15042" s="2"/>
      <c r="Y15042" s="2"/>
      <c r="Z15042" s="2"/>
    </row>
    <row r="15043" spans="1:26" ht="16.5" x14ac:dyDescent="0.35">
      <c r="A15043" s="2" t="str">
        <f ca="1">IFERROR(__xludf.DUMMYFUNCTION("""COMPUTED_VALUE"""),"Ajman")</f>
        <v>Ajman</v>
      </c>
      <c r="B15043" s="2" t="str">
        <f ca="1">IFERROR(__xludf.DUMMYFUNCTION("""COMPUTED_VALUE"""),"Meeza Villas")</f>
        <v>Meeza Villas</v>
      </c>
      <c r="C15043" s="2"/>
      <c r="D15043" s="2" t="str">
        <f ca="1">IFERROR(__xludf.DUMMYFUNCTION("""COMPUTED_VALUE"""),"Ajman&gt;Al Ittihad Village&gt;Meeza Villas")</f>
        <v>Ajman&gt;Al Ittihad Village&gt;Meeza Villas</v>
      </c>
      <c r="E15043" s="2"/>
      <c r="F15043" s="2"/>
      <c r="G15043" s="2"/>
      <c r="H15043" s="2"/>
      <c r="I15043" s="2"/>
      <c r="J15043" s="2"/>
      <c r="K15043" s="2"/>
      <c r="L15043" s="2"/>
      <c r="M15043" s="2"/>
      <c r="N15043" s="2"/>
      <c r="O15043" s="2"/>
      <c r="P15043" s="2"/>
      <c r="Q15043" s="2"/>
      <c r="R15043" s="2"/>
      <c r="S15043" s="2"/>
      <c r="T15043" s="2"/>
      <c r="U15043" s="2"/>
      <c r="V15043" s="2"/>
      <c r="W15043" s="2"/>
      <c r="X15043" s="2"/>
      <c r="Y15043" s="2"/>
      <c r="Z15043" s="2"/>
    </row>
    <row r="15044" spans="1:26" ht="16.5" x14ac:dyDescent="0.35">
      <c r="A15044" s="2" t="str">
        <f ca="1">IFERROR(__xludf.DUMMYFUNCTION("""COMPUTED_VALUE"""),"Ajman")</f>
        <v>Ajman</v>
      </c>
      <c r="B15044" s="2" t="str">
        <f ca="1">IFERROR(__xludf.DUMMYFUNCTION("""COMPUTED_VALUE"""),"Al Anwar Tower")</f>
        <v>Al Anwar Tower</v>
      </c>
      <c r="C15044" s="2" t="str">
        <f ca="1">IFERROR(__xludf.DUMMYFUNCTION("""COMPUTED_VALUE"""),"Building")</f>
        <v>Building</v>
      </c>
      <c r="D15044" s="2" t="str">
        <f ca="1">IFERROR(__xludf.DUMMYFUNCTION("""COMPUTED_VALUE"""),"Ajman&gt;Al Nuaimiya&gt;Al Nuaimiya 3&gt;Al Anwar Tower")</f>
        <v>Ajman&gt;Al Nuaimiya&gt;Al Nuaimiya 3&gt;Al Anwar Tower</v>
      </c>
      <c r="E15044" s="2"/>
      <c r="F15044" s="2"/>
      <c r="G15044" s="2"/>
      <c r="H15044" s="2"/>
      <c r="I15044" s="2"/>
      <c r="J15044" s="2"/>
      <c r="K15044" s="2"/>
      <c r="L15044" s="2"/>
      <c r="M15044" s="2"/>
      <c r="N15044" s="2"/>
      <c r="O15044" s="2"/>
      <c r="P15044" s="2"/>
      <c r="Q15044" s="2"/>
      <c r="R15044" s="2"/>
      <c r="S15044" s="2"/>
      <c r="T15044" s="2"/>
      <c r="U15044" s="2"/>
      <c r="V15044" s="2"/>
      <c r="W15044" s="2"/>
      <c r="X15044" s="2"/>
      <c r="Y15044" s="2"/>
      <c r="Z15044" s="2"/>
    </row>
    <row r="15045" spans="1:26" ht="16.5" x14ac:dyDescent="0.35">
      <c r="A15045" s="2" t="str">
        <f ca="1">IFERROR(__xludf.DUMMYFUNCTION("""COMPUTED_VALUE"""),"Ajman")</f>
        <v>Ajman</v>
      </c>
      <c r="B15045" s="2" t="str">
        <f ca="1">IFERROR(__xludf.DUMMYFUNCTION("""COMPUTED_VALUE"""),"Century Tower 1")</f>
        <v>Century Tower 1</v>
      </c>
      <c r="C15045" s="2" t="str">
        <f ca="1">IFERROR(__xludf.DUMMYFUNCTION("""COMPUTED_VALUE"""),"Building")</f>
        <v>Building</v>
      </c>
      <c r="D15045" s="2" t="str">
        <f ca="1">IFERROR(__xludf.DUMMYFUNCTION("""COMPUTED_VALUE"""),"Ajman&gt;Park View City&gt;Century Tower 1")</f>
        <v>Ajman&gt;Park View City&gt;Century Tower 1</v>
      </c>
      <c r="E15045" s="2"/>
      <c r="F15045" s="2"/>
      <c r="G15045" s="2"/>
      <c r="H15045" s="2"/>
      <c r="I15045" s="2"/>
      <c r="J15045" s="2"/>
      <c r="K15045" s="2"/>
      <c r="L15045" s="2"/>
      <c r="M15045" s="2"/>
      <c r="N15045" s="2"/>
      <c r="O15045" s="2"/>
      <c r="P15045" s="2"/>
      <c r="Q15045" s="2"/>
      <c r="R15045" s="2"/>
      <c r="S15045" s="2"/>
      <c r="T15045" s="2"/>
      <c r="U15045" s="2"/>
      <c r="V15045" s="2"/>
      <c r="W15045" s="2"/>
      <c r="X15045" s="2"/>
      <c r="Y15045" s="2"/>
      <c r="Z15045" s="2"/>
    </row>
    <row r="15046" spans="1:26" ht="16.5" x14ac:dyDescent="0.35">
      <c r="A15046" s="2" t="str">
        <f ca="1">IFERROR(__xludf.DUMMYFUNCTION("""COMPUTED_VALUE"""),"Sharjah")</f>
        <v>Sharjah</v>
      </c>
      <c r="B15046" s="2" t="str">
        <f ca="1">IFERROR(__xludf.DUMMYFUNCTION("""COMPUTED_VALUE"""),"Al Nahda Sahara Plaza C")</f>
        <v>Al Nahda Sahara Plaza C</v>
      </c>
      <c r="C15046" s="2" t="str">
        <f ca="1">IFERROR(__xludf.DUMMYFUNCTION("""COMPUTED_VALUE"""),"Building")</f>
        <v>Building</v>
      </c>
      <c r="D15046" s="2" t="str">
        <f ca="1">IFERROR(__xludf.DUMMYFUNCTION("""COMPUTED_VALUE"""),"Sharjah&gt;Al Nahda (Sharjah)&gt;Al Nahda Sahara Plaza&gt;Al Nahda Sahara Plaza C")</f>
        <v>Sharjah&gt;Al Nahda (Sharjah)&gt;Al Nahda Sahara Plaza&gt;Al Nahda Sahara Plaza C</v>
      </c>
      <c r="E15046" s="2"/>
      <c r="F15046" s="2"/>
      <c r="G15046" s="2"/>
      <c r="H15046" s="2"/>
      <c r="I15046" s="2"/>
      <c r="J15046" s="2"/>
      <c r="K15046" s="2"/>
      <c r="L15046" s="2"/>
      <c r="M15046" s="2"/>
      <c r="N15046" s="2"/>
      <c r="O15046" s="2"/>
      <c r="P15046" s="2"/>
      <c r="Q15046" s="2"/>
      <c r="R15046" s="2"/>
      <c r="S15046" s="2"/>
      <c r="T15046" s="2"/>
      <c r="U15046" s="2"/>
      <c r="V15046" s="2"/>
      <c r="W15046" s="2"/>
      <c r="X15046" s="2"/>
      <c r="Y15046" s="2"/>
      <c r="Z15046" s="2"/>
    </row>
    <row r="15047" spans="1:26" ht="16.5" x14ac:dyDescent="0.35">
      <c r="A15047" s="2" t="str">
        <f ca="1">IFERROR(__xludf.DUMMYFUNCTION("""COMPUTED_VALUE"""),"Sharjah")</f>
        <v>Sharjah</v>
      </c>
      <c r="B15047" s="2" t="str">
        <f ca="1">IFERROR(__xludf.DUMMYFUNCTION("""COMPUTED_VALUE"""),"Al Dafra Tower")</f>
        <v>Al Dafra Tower</v>
      </c>
      <c r="C15047" s="2"/>
      <c r="D15047" s="2" t="str">
        <f ca="1">IFERROR(__xludf.DUMMYFUNCTION("""COMPUTED_VALUE"""),"Sharjah&gt;Al Nahda (Sharjah)&gt;Al Dafra Tower")</f>
        <v>Sharjah&gt;Al Nahda (Sharjah)&gt;Al Dafra Tower</v>
      </c>
      <c r="E15047" s="2"/>
      <c r="F15047" s="2"/>
      <c r="G15047" s="2"/>
      <c r="H15047" s="2"/>
      <c r="I15047" s="2"/>
      <c r="J15047" s="2"/>
      <c r="K15047" s="2"/>
      <c r="L15047" s="2"/>
      <c r="M15047" s="2"/>
      <c r="N15047" s="2"/>
      <c r="O15047" s="2"/>
      <c r="P15047" s="2"/>
      <c r="Q15047" s="2"/>
      <c r="R15047" s="2"/>
      <c r="S15047" s="2"/>
      <c r="T15047" s="2"/>
      <c r="U15047" s="2"/>
      <c r="V15047" s="2"/>
      <c r="W15047" s="2"/>
      <c r="X15047" s="2"/>
      <c r="Y15047" s="2"/>
      <c r="Z15047" s="2"/>
    </row>
    <row r="15048" spans="1:26" ht="16.5" x14ac:dyDescent="0.35">
      <c r="A15048" s="2" t="str">
        <f ca="1">IFERROR(__xludf.DUMMYFUNCTION("""COMPUTED_VALUE"""),"Sharjah")</f>
        <v>Sharjah</v>
      </c>
      <c r="B15048" s="2" t="str">
        <f ca="1">IFERROR(__xludf.DUMMYFUNCTION("""COMPUTED_VALUE"""),"Andha Lusia Building")</f>
        <v>Andha Lusia Building</v>
      </c>
      <c r="C15048" s="2"/>
      <c r="D15048" s="2" t="str">
        <f ca="1">IFERROR(__xludf.DUMMYFUNCTION("""COMPUTED_VALUE"""),"Sharjah&gt;Al Nahda (Sharjah)&gt;Andha Lusia Building")</f>
        <v>Sharjah&gt;Al Nahda (Sharjah)&gt;Andha Lusia Building</v>
      </c>
      <c r="E15048" s="2"/>
      <c r="F15048" s="2"/>
      <c r="G15048" s="2"/>
      <c r="H15048" s="2"/>
      <c r="I15048" s="2"/>
      <c r="J15048" s="2"/>
      <c r="K15048" s="2"/>
      <c r="L15048" s="2"/>
      <c r="M15048" s="2"/>
      <c r="N15048" s="2"/>
      <c r="O15048" s="2"/>
      <c r="P15048" s="2"/>
      <c r="Q15048" s="2"/>
      <c r="R15048" s="2"/>
      <c r="S15048" s="2"/>
      <c r="T15048" s="2"/>
      <c r="U15048" s="2"/>
      <c r="V15048" s="2"/>
      <c r="W15048" s="2"/>
      <c r="X15048" s="2"/>
      <c r="Y15048" s="2"/>
      <c r="Z15048" s="2"/>
    </row>
    <row r="15049" spans="1:26" ht="16.5" x14ac:dyDescent="0.35">
      <c r="A15049" s="2" t="str">
        <f ca="1">IFERROR(__xludf.DUMMYFUNCTION("""COMPUTED_VALUE"""),"Sharjah")</f>
        <v>Sharjah</v>
      </c>
      <c r="B15049" s="2" t="str">
        <f ca="1">IFERROR(__xludf.DUMMYFUNCTION("""COMPUTED_VALUE"""),"Tariq Building")</f>
        <v>Tariq Building</v>
      </c>
      <c r="C15049" s="2" t="str">
        <f ca="1">IFERROR(__xludf.DUMMYFUNCTION("""COMPUTED_VALUE"""),"Building")</f>
        <v>Building</v>
      </c>
      <c r="D15049" s="2" t="str">
        <f ca="1">IFERROR(__xludf.DUMMYFUNCTION("""COMPUTED_VALUE"""),"Sharjah&gt;Al Nahda (Sharjah)&gt;Tariq Building")</f>
        <v>Sharjah&gt;Al Nahda (Sharjah)&gt;Tariq Building</v>
      </c>
      <c r="E15049" s="2"/>
      <c r="F15049" s="2"/>
      <c r="G15049" s="2"/>
      <c r="H15049" s="2"/>
      <c r="I15049" s="2"/>
      <c r="J15049" s="2"/>
      <c r="K15049" s="2"/>
      <c r="L15049" s="2"/>
      <c r="M15049" s="2"/>
      <c r="N15049" s="2"/>
      <c r="O15049" s="2"/>
      <c r="P15049" s="2"/>
      <c r="Q15049" s="2"/>
      <c r="R15049" s="2"/>
      <c r="S15049" s="2"/>
      <c r="T15049" s="2"/>
      <c r="U15049" s="2"/>
      <c r="V15049" s="2"/>
      <c r="W15049" s="2"/>
      <c r="X15049" s="2"/>
      <c r="Y15049" s="2"/>
      <c r="Z15049" s="2"/>
    </row>
    <row r="15050" spans="1:26" ht="16.5" x14ac:dyDescent="0.35">
      <c r="A15050" s="2" t="str">
        <f ca="1">IFERROR(__xludf.DUMMYFUNCTION("""COMPUTED_VALUE"""),"Sharjah")</f>
        <v>Sharjah</v>
      </c>
      <c r="B15050" s="2" t="str">
        <f ca="1">IFERROR(__xludf.DUMMYFUNCTION("""COMPUTED_VALUE"""),"Al Qasimia City")</f>
        <v>Al Qasimia City</v>
      </c>
      <c r="C15050" s="2" t="str">
        <f ca="1">IFERROR(__xludf.DUMMYFUNCTION("""COMPUTED_VALUE"""),"Neighbourhood")</f>
        <v>Neighbourhood</v>
      </c>
      <c r="D15050" s="2" t="str">
        <f ca="1">IFERROR(__xludf.DUMMYFUNCTION("""COMPUTED_VALUE"""),"Sharjah&gt;Al Madam&gt;Al Qasimia City")</f>
        <v>Sharjah&gt;Al Madam&gt;Al Qasimia City</v>
      </c>
      <c r="E15050" s="2"/>
      <c r="F15050" s="2"/>
      <c r="G15050" s="2"/>
      <c r="H15050" s="2"/>
      <c r="I15050" s="2"/>
      <c r="J15050" s="2"/>
      <c r="K15050" s="2"/>
      <c r="L15050" s="2"/>
      <c r="M15050" s="2"/>
      <c r="N15050" s="2"/>
      <c r="O15050" s="2"/>
      <c r="P15050" s="2"/>
      <c r="Q15050" s="2"/>
      <c r="R15050" s="2"/>
      <c r="S15050" s="2"/>
      <c r="T15050" s="2"/>
      <c r="U15050" s="2"/>
      <c r="V15050" s="2"/>
      <c r="W15050" s="2"/>
      <c r="X15050" s="2"/>
      <c r="Y15050" s="2"/>
      <c r="Z15050" s="2"/>
    </row>
    <row r="15051" spans="1:26" ht="16.5" x14ac:dyDescent="0.35">
      <c r="A15051" s="2" t="str">
        <f ca="1">IFERROR(__xludf.DUMMYFUNCTION("""COMPUTED_VALUE"""),"Sharjah")</f>
        <v>Sharjah</v>
      </c>
      <c r="B15051" s="2" t="str">
        <f ca="1">IFERROR(__xludf.DUMMYFUNCTION("""COMPUTED_VALUE"""),"The Riff 4")</f>
        <v>The Riff 4</v>
      </c>
      <c r="C15051" s="2" t="str">
        <f ca="1">IFERROR(__xludf.DUMMYFUNCTION("""COMPUTED_VALUE"""),"Building")</f>
        <v>Building</v>
      </c>
      <c r="D15051" s="2" t="str">
        <f ca="1">IFERROR(__xludf.DUMMYFUNCTION("""COMPUTED_VALUE"""),"Sharjah&gt;Aljada&gt;East Village&gt;The Riff&gt;The Riff 4")</f>
        <v>Sharjah&gt;Aljada&gt;East Village&gt;The Riff&gt;The Riff 4</v>
      </c>
      <c r="E15051" s="2"/>
      <c r="F15051" s="2"/>
      <c r="G15051" s="2"/>
      <c r="H15051" s="2"/>
      <c r="I15051" s="2"/>
      <c r="J15051" s="2"/>
      <c r="K15051" s="2"/>
      <c r="L15051" s="2"/>
      <c r="M15051" s="2"/>
      <c r="N15051" s="2"/>
      <c r="O15051" s="2"/>
      <c r="P15051" s="2"/>
      <c r="Q15051" s="2"/>
      <c r="R15051" s="2"/>
      <c r="S15051" s="2"/>
      <c r="T15051" s="2"/>
      <c r="U15051" s="2"/>
      <c r="V15051" s="2"/>
      <c r="W15051" s="2"/>
      <c r="X15051" s="2"/>
      <c r="Y15051" s="2"/>
      <c r="Z15051" s="2"/>
    </row>
    <row r="15052" spans="1:26" ht="16.5" x14ac:dyDescent="0.35">
      <c r="A15052" s="2" t="str">
        <f ca="1">IFERROR(__xludf.DUMMYFUNCTION("""COMPUTED_VALUE"""),"Sharjah")</f>
        <v>Sharjah</v>
      </c>
      <c r="B15052" s="2" t="str">
        <f ca="1">IFERROR(__xludf.DUMMYFUNCTION("""COMPUTED_VALUE"""),"Tiraz 6")</f>
        <v>Tiraz 6</v>
      </c>
      <c r="C15052" s="2" t="str">
        <f ca="1">IFERROR(__xludf.DUMMYFUNCTION("""COMPUTED_VALUE"""),"Building")</f>
        <v>Building</v>
      </c>
      <c r="D15052" s="2" t="str">
        <f ca="1">IFERROR(__xludf.DUMMYFUNCTION("""COMPUTED_VALUE"""),"Sharjah&gt;Aljada&gt;Naseej District&gt;Tiraz&gt;Tiraz 6")</f>
        <v>Sharjah&gt;Aljada&gt;Naseej District&gt;Tiraz&gt;Tiraz 6</v>
      </c>
      <c r="E15052" s="2"/>
      <c r="F15052" s="2"/>
      <c r="G15052" s="2"/>
      <c r="H15052" s="2"/>
      <c r="I15052" s="2"/>
      <c r="J15052" s="2"/>
      <c r="K15052" s="2"/>
      <c r="L15052" s="2"/>
      <c r="M15052" s="2"/>
      <c r="N15052" s="2"/>
      <c r="O15052" s="2"/>
      <c r="P15052" s="2"/>
      <c r="Q15052" s="2"/>
      <c r="R15052" s="2"/>
      <c r="S15052" s="2"/>
      <c r="T15052" s="2"/>
      <c r="U15052" s="2"/>
      <c r="V15052" s="2"/>
      <c r="W15052" s="2"/>
      <c r="X15052" s="2"/>
      <c r="Y15052" s="2"/>
      <c r="Z15052" s="2"/>
    </row>
    <row r="15053" spans="1:26" ht="16.5" x14ac:dyDescent="0.35">
      <c r="A15053" s="2" t="str">
        <f ca="1">IFERROR(__xludf.DUMMYFUNCTION("""COMPUTED_VALUE"""),"Sharjah")</f>
        <v>Sharjah</v>
      </c>
      <c r="B15053" s="2" t="str">
        <f ca="1">IFERROR(__xludf.DUMMYFUNCTION("""COMPUTED_VALUE"""),"il Teatro Residences 1")</f>
        <v>il Teatro Residences 1</v>
      </c>
      <c r="C15053" s="2" t="str">
        <f ca="1">IFERROR(__xludf.DUMMYFUNCTION("""COMPUTED_VALUE"""),"Building")</f>
        <v>Building</v>
      </c>
      <c r="D15053" s="2" t="str">
        <f ca="1">IFERROR(__xludf.DUMMYFUNCTION("""COMPUTED_VALUE"""),"Sharjah&gt;Aljada&gt;il Teatro Residences&gt;il Teatro Residences 1")</f>
        <v>Sharjah&gt;Aljada&gt;il Teatro Residences&gt;il Teatro Residences 1</v>
      </c>
      <c r="E15053" s="2"/>
      <c r="F15053" s="2"/>
      <c r="G15053" s="2"/>
      <c r="H15053" s="2"/>
      <c r="I15053" s="2"/>
      <c r="J15053" s="2"/>
      <c r="K15053" s="2"/>
      <c r="L15053" s="2"/>
      <c r="M15053" s="2"/>
      <c r="N15053" s="2"/>
      <c r="O15053" s="2"/>
      <c r="P15053" s="2"/>
      <c r="Q15053" s="2"/>
      <c r="R15053" s="2"/>
      <c r="S15053" s="2"/>
      <c r="T15053" s="2"/>
      <c r="U15053" s="2"/>
      <c r="V15053" s="2"/>
      <c r="W15053" s="2"/>
      <c r="X15053" s="2"/>
      <c r="Y15053" s="2"/>
      <c r="Z15053" s="2"/>
    </row>
    <row r="15054" spans="1:26" ht="16.5" x14ac:dyDescent="0.35">
      <c r="A15054" s="2" t="str">
        <f ca="1">IFERROR(__xludf.DUMMYFUNCTION("""COMPUTED_VALUE"""),"Sharjah")</f>
        <v>Sharjah</v>
      </c>
      <c r="B15054" s="2" t="str">
        <f ca="1">IFERROR(__xludf.DUMMYFUNCTION("""COMPUTED_VALUE"""),"Sharqan")</f>
        <v>Sharqan</v>
      </c>
      <c r="C15054" s="2" t="str">
        <f ca="1">IFERROR(__xludf.DUMMYFUNCTION("""COMPUTED_VALUE"""),"Neighbourhood")</f>
        <v>Neighbourhood</v>
      </c>
      <c r="D15054" s="2" t="str">
        <f ca="1">IFERROR(__xludf.DUMMYFUNCTION("""COMPUTED_VALUE"""),"Sharjah&gt;Sharqan")</f>
        <v>Sharjah&gt;Sharqan</v>
      </c>
      <c r="E15054" s="2"/>
      <c r="F15054" s="2"/>
      <c r="G15054" s="2"/>
      <c r="H15054" s="2"/>
      <c r="I15054" s="2"/>
      <c r="J15054" s="2"/>
      <c r="K15054" s="2"/>
      <c r="L15054" s="2"/>
      <c r="M15054" s="2"/>
      <c r="N15054" s="2"/>
      <c r="O15054" s="2"/>
      <c r="P15054" s="2"/>
      <c r="Q15054" s="2"/>
      <c r="R15054" s="2"/>
      <c r="S15054" s="2"/>
      <c r="T15054" s="2"/>
      <c r="U15054" s="2"/>
      <c r="V15054" s="2"/>
      <c r="W15054" s="2"/>
      <c r="X15054" s="2"/>
      <c r="Y15054" s="2"/>
      <c r="Z15054" s="2"/>
    </row>
    <row r="15055" spans="1:26" ht="16.5" x14ac:dyDescent="0.35">
      <c r="A15055" s="2" t="str">
        <f ca="1">IFERROR(__xludf.DUMMYFUNCTION("""COMPUTED_VALUE"""),"Sharjah")</f>
        <v>Sharjah</v>
      </c>
      <c r="B15055" s="2" t="str">
        <f ca="1">IFERROR(__xludf.DUMMYFUNCTION("""COMPUTED_VALUE"""),"Grand Exelsior (Bahwan Tower)")</f>
        <v>Grand Exelsior (Bahwan Tower)</v>
      </c>
      <c r="C15055" s="2" t="str">
        <f ca="1">IFERROR(__xludf.DUMMYFUNCTION("""COMPUTED_VALUE"""),"Building")</f>
        <v>Building</v>
      </c>
      <c r="D15055" s="2" t="str">
        <f ca="1">IFERROR(__xludf.DUMMYFUNCTION("""COMPUTED_VALUE"""),"Sharjah&gt;Abu Shagara&gt;Grand Exelsior (Bahwan Tower)")</f>
        <v>Sharjah&gt;Abu Shagara&gt;Grand Exelsior (Bahwan Tower)</v>
      </c>
      <c r="E15055" s="2"/>
      <c r="F15055" s="2"/>
      <c r="G15055" s="2"/>
      <c r="H15055" s="2"/>
      <c r="I15055" s="2"/>
      <c r="J15055" s="2"/>
      <c r="K15055" s="2"/>
      <c r="L15055" s="2"/>
      <c r="M15055" s="2"/>
      <c r="N15055" s="2"/>
      <c r="O15055" s="2"/>
      <c r="P15055" s="2"/>
      <c r="Q15055" s="2"/>
      <c r="R15055" s="2"/>
      <c r="S15055" s="2"/>
      <c r="T15055" s="2"/>
      <c r="U15055" s="2"/>
      <c r="V15055" s="2"/>
      <c r="W15055" s="2"/>
      <c r="X15055" s="2"/>
      <c r="Y15055" s="2"/>
      <c r="Z15055" s="2"/>
    </row>
    <row r="15056" spans="1:26" ht="16.5" x14ac:dyDescent="0.35">
      <c r="A15056" s="2" t="str">
        <f ca="1">IFERROR(__xludf.DUMMYFUNCTION("""COMPUTED_VALUE"""),"Sharjah")</f>
        <v>Sharjah</v>
      </c>
      <c r="B15056" s="2" t="str">
        <f ca="1">IFERROR(__xludf.DUMMYFUNCTION("""COMPUTED_VALUE"""),"Al Shaqaaq Tower")</f>
        <v>Al Shaqaaq Tower</v>
      </c>
      <c r="C15056" s="2"/>
      <c r="D15056" s="2" t="str">
        <f ca="1">IFERROR(__xludf.DUMMYFUNCTION("""COMPUTED_VALUE"""),"Sharjah&gt;Al Mamzar&gt;Al Shaqaaq Tower")</f>
        <v>Sharjah&gt;Al Mamzar&gt;Al Shaqaaq Tower</v>
      </c>
      <c r="E15056" s="2"/>
      <c r="F15056" s="2"/>
      <c r="G15056" s="2"/>
      <c r="H15056" s="2"/>
      <c r="I15056" s="2"/>
      <c r="J15056" s="2"/>
      <c r="K15056" s="2"/>
      <c r="L15056" s="2"/>
      <c r="M15056" s="2"/>
      <c r="N15056" s="2"/>
      <c r="O15056" s="2"/>
      <c r="P15056" s="2"/>
      <c r="Q15056" s="2"/>
      <c r="R15056" s="2"/>
      <c r="S15056" s="2"/>
      <c r="T15056" s="2"/>
      <c r="U15056" s="2"/>
      <c r="V15056" s="2"/>
      <c r="W15056" s="2"/>
      <c r="X15056" s="2"/>
      <c r="Y15056" s="2"/>
      <c r="Z15056" s="2"/>
    </row>
    <row r="15057" spans="1:26" ht="16.5" x14ac:dyDescent="0.35">
      <c r="A15057" s="2" t="str">
        <f ca="1">IFERROR(__xludf.DUMMYFUNCTION("""COMPUTED_VALUE"""),"Sharjah")</f>
        <v>Sharjah</v>
      </c>
      <c r="B15057" s="2" t="str">
        <f ca="1">IFERROR(__xludf.DUMMYFUNCTION("""COMPUTED_VALUE"""),"Sheika Hind Building")</f>
        <v>Sheika Hind Building</v>
      </c>
      <c r="C15057" s="2"/>
      <c r="D15057" s="2" t="str">
        <f ca="1">IFERROR(__xludf.DUMMYFUNCTION("""COMPUTED_VALUE"""),"Sharjah&gt;Al Jubail&gt;Sheika Hind Building")</f>
        <v>Sharjah&gt;Al Jubail&gt;Sheika Hind Building</v>
      </c>
      <c r="E15057" s="2"/>
      <c r="F15057" s="2"/>
      <c r="G15057" s="2"/>
      <c r="H15057" s="2"/>
      <c r="I15057" s="2"/>
      <c r="J15057" s="2"/>
      <c r="K15057" s="2"/>
      <c r="L15057" s="2"/>
      <c r="M15057" s="2"/>
      <c r="N15057" s="2"/>
      <c r="O15057" s="2"/>
      <c r="P15057" s="2"/>
      <c r="Q15057" s="2"/>
      <c r="R15057" s="2"/>
      <c r="S15057" s="2"/>
      <c r="T15057" s="2"/>
      <c r="U15057" s="2"/>
      <c r="V15057" s="2"/>
      <c r="W15057" s="2"/>
      <c r="X15057" s="2"/>
      <c r="Y15057" s="2"/>
      <c r="Z15057" s="2"/>
    </row>
    <row r="15058" spans="1:26" ht="16.5" x14ac:dyDescent="0.35">
      <c r="A15058" s="2" t="str">
        <f ca="1">IFERROR(__xludf.DUMMYFUNCTION("""COMPUTED_VALUE"""),"Sharjah")</f>
        <v>Sharjah</v>
      </c>
      <c r="B15058" s="2" t="str">
        <f ca="1">IFERROR(__xludf.DUMMYFUNCTION("""COMPUTED_VALUE"""),"Al Itqan American School")</f>
        <v>Al Itqan American School</v>
      </c>
      <c r="C15058" s="2" t="str">
        <f ca="1">IFERROR(__xludf.DUMMYFUNCTION("""COMPUTED_VALUE"""),"School")</f>
        <v>School</v>
      </c>
      <c r="D15058" s="2" t="str">
        <f ca="1">IFERROR(__xludf.DUMMYFUNCTION("""COMPUTED_VALUE"""),"Sharjah&gt;Al Azra&gt;Al Itqan American School")</f>
        <v>Sharjah&gt;Al Azra&gt;Al Itqan American School</v>
      </c>
      <c r="E15058" s="2"/>
      <c r="F15058" s="2"/>
      <c r="G15058" s="2"/>
      <c r="H15058" s="2"/>
      <c r="I15058" s="2"/>
      <c r="J15058" s="2"/>
      <c r="K15058" s="2"/>
      <c r="L15058" s="2"/>
      <c r="M15058" s="2"/>
      <c r="N15058" s="2"/>
      <c r="O15058" s="2"/>
      <c r="P15058" s="2"/>
      <c r="Q15058" s="2"/>
      <c r="R15058" s="2"/>
      <c r="S15058" s="2"/>
      <c r="T15058" s="2"/>
      <c r="U15058" s="2"/>
      <c r="V15058" s="2"/>
      <c r="W15058" s="2"/>
      <c r="X15058" s="2"/>
      <c r="Y15058" s="2"/>
      <c r="Z15058" s="2"/>
    </row>
    <row r="15059" spans="1:26" ht="16.5" x14ac:dyDescent="0.35">
      <c r="A15059" s="2" t="str">
        <f ca="1">IFERROR(__xludf.DUMMYFUNCTION("""COMPUTED_VALUE"""),"Sharjah")</f>
        <v>Sharjah</v>
      </c>
      <c r="B15059" s="2" t="str">
        <f ca="1">IFERROR(__xludf.DUMMYFUNCTION("""COMPUTED_VALUE"""),"Al Qulayaah")</f>
        <v>Al Qulayaah</v>
      </c>
      <c r="C15059" s="2" t="str">
        <f ca="1">IFERROR(__xludf.DUMMYFUNCTION("""COMPUTED_VALUE"""),"Neighbourhood")</f>
        <v>Neighbourhood</v>
      </c>
      <c r="D15059" s="2" t="str">
        <f ca="1">IFERROR(__xludf.DUMMYFUNCTION("""COMPUTED_VALUE"""),"Sharjah&gt;Al Qulayaah")</f>
        <v>Sharjah&gt;Al Qulayaah</v>
      </c>
      <c r="E15059" s="2"/>
      <c r="F15059" s="2"/>
      <c r="G15059" s="2"/>
      <c r="H15059" s="2"/>
      <c r="I15059" s="2"/>
      <c r="J15059" s="2"/>
      <c r="K15059" s="2"/>
      <c r="L15059" s="2"/>
      <c r="M15059" s="2"/>
      <c r="N15059" s="2"/>
      <c r="O15059" s="2"/>
      <c r="P15059" s="2"/>
      <c r="Q15059" s="2"/>
      <c r="R15059" s="2"/>
      <c r="S15059" s="2"/>
      <c r="T15059" s="2"/>
      <c r="U15059" s="2"/>
      <c r="V15059" s="2"/>
      <c r="W15059" s="2"/>
      <c r="X15059" s="2"/>
      <c r="Y15059" s="2"/>
      <c r="Z15059" s="2"/>
    </row>
    <row r="15060" spans="1:26" ht="16.5" x14ac:dyDescent="0.35">
      <c r="A15060" s="2" t="str">
        <f ca="1">IFERROR(__xludf.DUMMYFUNCTION("""COMPUTED_VALUE"""),"Sharjah")</f>
        <v>Sharjah</v>
      </c>
      <c r="B15060" s="2" t="str">
        <f ca="1">IFERROR(__xludf.DUMMYFUNCTION("""COMPUTED_VALUE"""),"Al Shuwaihean")</f>
        <v>Al Shuwaihean</v>
      </c>
      <c r="C15060" s="2" t="str">
        <f ca="1">IFERROR(__xludf.DUMMYFUNCTION("""COMPUTED_VALUE"""),"Neighbourhood")</f>
        <v>Neighbourhood</v>
      </c>
      <c r="D15060" s="2" t="str">
        <f ca="1">IFERROR(__xludf.DUMMYFUNCTION("""COMPUTED_VALUE"""),"Sharjah&gt;Al Shuwaihean")</f>
        <v>Sharjah&gt;Al Shuwaihean</v>
      </c>
      <c r="E15060" s="2"/>
      <c r="F15060" s="2"/>
      <c r="G15060" s="2"/>
      <c r="H15060" s="2"/>
      <c r="I15060" s="2"/>
      <c r="J15060" s="2"/>
      <c r="K15060" s="2"/>
      <c r="L15060" s="2"/>
      <c r="M15060" s="2"/>
      <c r="N15060" s="2"/>
      <c r="O15060" s="2"/>
      <c r="P15060" s="2"/>
      <c r="Q15060" s="2"/>
      <c r="R15060" s="2"/>
      <c r="S15060" s="2"/>
      <c r="T15060" s="2"/>
      <c r="U15060" s="2"/>
      <c r="V15060" s="2"/>
      <c r="W15060" s="2"/>
      <c r="X15060" s="2"/>
      <c r="Y15060" s="2"/>
      <c r="Z15060" s="2"/>
    </row>
    <row r="15061" spans="1:26" ht="16.5" x14ac:dyDescent="0.35">
      <c r="A15061" s="2" t="str">
        <f ca="1">IFERROR(__xludf.DUMMYFUNCTION("""COMPUTED_VALUE"""),"Sharjah")</f>
        <v>Sharjah</v>
      </c>
      <c r="B15061" s="2" t="str">
        <f ca="1">IFERROR(__xludf.DUMMYFUNCTION("""COMPUTED_VALUE"""),"Al Darari")</f>
        <v>Al Darari</v>
      </c>
      <c r="C15061" s="2" t="str">
        <f ca="1">IFERROR(__xludf.DUMMYFUNCTION("""COMPUTED_VALUE"""),"Neighbourhood")</f>
        <v>Neighbourhood</v>
      </c>
      <c r="D15061" s="2" t="str">
        <f ca="1">IFERROR(__xludf.DUMMYFUNCTION("""COMPUTED_VALUE"""),"Sharjah&gt;Al Darari")</f>
        <v>Sharjah&gt;Al Darari</v>
      </c>
      <c r="E15061" s="2"/>
      <c r="F15061" s="2"/>
      <c r="G15061" s="2"/>
      <c r="H15061" s="2"/>
      <c r="I15061" s="2"/>
      <c r="J15061" s="2"/>
      <c r="K15061" s="2"/>
      <c r="L15061" s="2"/>
      <c r="M15061" s="2"/>
      <c r="N15061" s="2"/>
      <c r="O15061" s="2"/>
      <c r="P15061" s="2"/>
      <c r="Q15061" s="2"/>
      <c r="R15061" s="2"/>
      <c r="S15061" s="2"/>
      <c r="T15061" s="2"/>
      <c r="U15061" s="2"/>
      <c r="V15061" s="2"/>
      <c r="W15061" s="2"/>
      <c r="X15061" s="2"/>
      <c r="Y15061" s="2"/>
      <c r="Z15061" s="2"/>
    </row>
    <row r="15062" spans="1:26" ht="16.5" x14ac:dyDescent="0.35">
      <c r="A15062" s="2" t="str">
        <f ca="1">IFERROR(__xludf.DUMMYFUNCTION("""COMPUTED_VALUE"""),"Sharjah")</f>
        <v>Sharjah</v>
      </c>
      <c r="B15062" s="2" t="str">
        <f ca="1">IFERROR(__xludf.DUMMYFUNCTION("""COMPUTED_VALUE"""),"Halwan Suburb")</f>
        <v>Halwan Suburb</v>
      </c>
      <c r="C15062" s="2" t="str">
        <f ca="1">IFERROR(__xludf.DUMMYFUNCTION("""COMPUTED_VALUE"""),"Neighbourhood")</f>
        <v>Neighbourhood</v>
      </c>
      <c r="D15062" s="2" t="str">
        <f ca="1">IFERROR(__xludf.DUMMYFUNCTION("""COMPUTED_VALUE"""),"Sharjah&gt;Halwan Suburb")</f>
        <v>Sharjah&gt;Halwan Suburb</v>
      </c>
      <c r="E15062" s="2"/>
      <c r="F15062" s="2"/>
      <c r="G15062" s="2"/>
      <c r="H15062" s="2"/>
      <c r="I15062" s="2"/>
      <c r="J15062" s="2"/>
      <c r="K15062" s="2"/>
      <c r="L15062" s="2"/>
      <c r="M15062" s="2"/>
      <c r="N15062" s="2"/>
      <c r="O15062" s="2"/>
      <c r="P15062" s="2"/>
      <c r="Q15062" s="2"/>
      <c r="R15062" s="2"/>
      <c r="S15062" s="2"/>
      <c r="T15062" s="2"/>
      <c r="U15062" s="2"/>
      <c r="V15062" s="2"/>
      <c r="W15062" s="2"/>
      <c r="X15062" s="2"/>
      <c r="Y15062" s="2"/>
      <c r="Z15062" s="2"/>
    </row>
    <row r="15063" spans="1:26" ht="16.5" x14ac:dyDescent="0.35">
      <c r="A15063" s="2" t="str">
        <f ca="1">IFERROR(__xludf.DUMMYFUNCTION("""COMPUTED_VALUE"""),"Sharjah")</f>
        <v>Sharjah</v>
      </c>
      <c r="B15063" s="2" t="str">
        <f ca="1">IFERROR(__xludf.DUMMYFUNCTION("""COMPUTED_VALUE"""),"Hayyan")</f>
        <v>Hayyan</v>
      </c>
      <c r="C15063" s="2" t="str">
        <f ca="1">IFERROR(__xludf.DUMMYFUNCTION("""COMPUTED_VALUE"""),"Neighbourhood")</f>
        <v>Neighbourhood</v>
      </c>
      <c r="D15063" s="2" t="str">
        <f ca="1">IFERROR(__xludf.DUMMYFUNCTION("""COMPUTED_VALUE"""),"Sharjah&gt;Barashi&gt;Hayyan")</f>
        <v>Sharjah&gt;Barashi&gt;Hayyan</v>
      </c>
      <c r="E15063" s="2"/>
      <c r="F15063" s="2"/>
      <c r="G15063" s="2"/>
      <c r="H15063" s="2"/>
      <c r="I15063" s="2"/>
      <c r="J15063" s="2"/>
      <c r="K15063" s="2"/>
      <c r="L15063" s="2"/>
      <c r="M15063" s="2"/>
      <c r="N15063" s="2"/>
      <c r="O15063" s="2"/>
      <c r="P15063" s="2"/>
      <c r="Q15063" s="2"/>
      <c r="R15063" s="2"/>
      <c r="S15063" s="2"/>
      <c r="T15063" s="2"/>
      <c r="U15063" s="2"/>
      <c r="V15063" s="2"/>
      <c r="W15063" s="2"/>
      <c r="X15063" s="2"/>
      <c r="Y15063" s="2"/>
      <c r="Z15063" s="2"/>
    </row>
    <row r="15064" spans="1:26" ht="16.5" x14ac:dyDescent="0.35">
      <c r="A15064" s="2" t="str">
        <f ca="1">IFERROR(__xludf.DUMMYFUNCTION("""COMPUTED_VALUE"""),"Sharjah")</f>
        <v>Sharjah</v>
      </c>
      <c r="B15064" s="2" t="str">
        <f ca="1">IFERROR(__xludf.DUMMYFUNCTION("""COMPUTED_VALUE"""),"Bu Tina")</f>
        <v>Bu Tina</v>
      </c>
      <c r="C15064" s="2" t="str">
        <f ca="1">IFERROR(__xludf.DUMMYFUNCTION("""COMPUTED_VALUE"""),"Neighbourhood")</f>
        <v>Neighbourhood</v>
      </c>
      <c r="D15064" s="2" t="str">
        <f ca="1">IFERROR(__xludf.DUMMYFUNCTION("""COMPUTED_VALUE"""),"Sharjah&gt;Bu Tina")</f>
        <v>Sharjah&gt;Bu Tina</v>
      </c>
      <c r="E15064" s="2"/>
      <c r="F15064" s="2"/>
      <c r="G15064" s="2"/>
      <c r="H15064" s="2"/>
      <c r="I15064" s="2"/>
      <c r="J15064" s="2"/>
      <c r="K15064" s="2"/>
      <c r="L15064" s="2"/>
      <c r="M15064" s="2"/>
      <c r="N15064" s="2"/>
      <c r="O15064" s="2"/>
      <c r="P15064" s="2"/>
      <c r="Q15064" s="2"/>
      <c r="R15064" s="2"/>
      <c r="S15064" s="2"/>
      <c r="T15064" s="2"/>
      <c r="U15064" s="2"/>
      <c r="V15064" s="2"/>
      <c r="W15064" s="2"/>
      <c r="X15064" s="2"/>
      <c r="Y15064" s="2"/>
      <c r="Z15064" s="2"/>
    </row>
    <row r="15065" spans="1:26" ht="16.5" x14ac:dyDescent="0.35">
      <c r="A15065" s="2" t="str">
        <f ca="1">IFERROR(__xludf.DUMMYFUNCTION("""COMPUTED_VALUE"""),"Sharjah")</f>
        <v>Sharjah</v>
      </c>
      <c r="B15065" s="2" t="str">
        <f ca="1">IFERROR(__xludf.DUMMYFUNCTION("""COMPUTED_VALUE"""),"AAA Tower")</f>
        <v>AAA Tower</v>
      </c>
      <c r="C15065" s="2" t="str">
        <f ca="1">IFERROR(__xludf.DUMMYFUNCTION("""COMPUTED_VALUE"""),"Building")</f>
        <v>Building</v>
      </c>
      <c r="D15065" s="2" t="str">
        <f ca="1">IFERROR(__xludf.DUMMYFUNCTION("""COMPUTED_VALUE"""),"Sharjah&gt;Al Khan&gt;AAA Tower")</f>
        <v>Sharjah&gt;Al Khan&gt;AAA Tower</v>
      </c>
      <c r="E15065" s="2"/>
      <c r="F15065" s="2"/>
      <c r="G15065" s="2"/>
      <c r="H15065" s="2"/>
      <c r="I15065" s="2"/>
      <c r="J15065" s="2"/>
      <c r="K15065" s="2"/>
      <c r="L15065" s="2"/>
      <c r="M15065" s="2"/>
      <c r="N15065" s="2"/>
      <c r="O15065" s="2"/>
      <c r="P15065" s="2"/>
      <c r="Q15065" s="2"/>
      <c r="R15065" s="2"/>
      <c r="S15065" s="2"/>
      <c r="T15065" s="2"/>
      <c r="U15065" s="2"/>
      <c r="V15065" s="2"/>
      <c r="W15065" s="2"/>
      <c r="X15065" s="2"/>
      <c r="Y15065" s="2"/>
      <c r="Z15065" s="2"/>
    </row>
    <row r="15066" spans="1:26" ht="16.5" x14ac:dyDescent="0.35">
      <c r="A15066" s="2" t="str">
        <f ca="1">IFERROR(__xludf.DUMMYFUNCTION("""COMPUTED_VALUE"""),"Sharjah")</f>
        <v>Sharjah</v>
      </c>
      <c r="B15066" s="2" t="str">
        <f ca="1">IFERROR(__xludf.DUMMYFUNCTION("""COMPUTED_VALUE"""),"Al Salam Towers")</f>
        <v>Al Salam Towers</v>
      </c>
      <c r="C15066" s="2"/>
      <c r="D15066" s="2" t="str">
        <f ca="1">IFERROR(__xludf.DUMMYFUNCTION("""COMPUTED_VALUE"""),"Sharjah&gt;Al Khan&gt;Al Salam Towers")</f>
        <v>Sharjah&gt;Al Khan&gt;Al Salam Towers</v>
      </c>
      <c r="E15066" s="2"/>
      <c r="F15066" s="2"/>
      <c r="G15066" s="2"/>
      <c r="H15066" s="2"/>
      <c r="I15066" s="2"/>
      <c r="J15066" s="2"/>
      <c r="K15066" s="2"/>
      <c r="L15066" s="2"/>
      <c r="M15066" s="2"/>
      <c r="N15066" s="2"/>
      <c r="O15066" s="2"/>
      <c r="P15066" s="2"/>
      <c r="Q15066" s="2"/>
      <c r="R15066" s="2"/>
      <c r="S15066" s="2"/>
      <c r="T15066" s="2"/>
      <c r="U15066" s="2"/>
      <c r="V15066" s="2"/>
      <c r="W15066" s="2"/>
      <c r="X15066" s="2"/>
      <c r="Y15066" s="2"/>
      <c r="Z15066" s="2"/>
    </row>
    <row r="15067" spans="1:26" ht="16.5" x14ac:dyDescent="0.35">
      <c r="A15067" s="2" t="str">
        <f ca="1">IFERROR(__xludf.DUMMYFUNCTION("""COMPUTED_VALUE"""),"Sharjah")</f>
        <v>Sharjah</v>
      </c>
      <c r="B15067" s="2" t="str">
        <f ca="1">IFERROR(__xludf.DUMMYFUNCTION("""COMPUTED_VALUE"""),"Oud Residences")</f>
        <v>Oud Residences</v>
      </c>
      <c r="C15067" s="2" t="str">
        <f ca="1">IFERROR(__xludf.DUMMYFUNCTION("""COMPUTED_VALUE"""),"Building")</f>
        <v>Building</v>
      </c>
      <c r="D15067" s="2" t="str">
        <f ca="1">IFERROR(__xludf.DUMMYFUNCTION("""COMPUTED_VALUE"""),"Sharjah&gt;Al Khan&gt;Maryam Island&gt;Oud Residences")</f>
        <v>Sharjah&gt;Al Khan&gt;Maryam Island&gt;Oud Residences</v>
      </c>
      <c r="E15067" s="2"/>
      <c r="F15067" s="2"/>
      <c r="G15067" s="2"/>
      <c r="H15067" s="2"/>
      <c r="I15067" s="2"/>
      <c r="J15067" s="2"/>
      <c r="K15067" s="2"/>
      <c r="L15067" s="2"/>
      <c r="M15067" s="2"/>
      <c r="N15067" s="2"/>
      <c r="O15067" s="2"/>
      <c r="P15067" s="2"/>
      <c r="Q15067" s="2"/>
      <c r="R15067" s="2"/>
      <c r="S15067" s="2"/>
      <c r="T15067" s="2"/>
      <c r="U15067" s="2"/>
      <c r="V15067" s="2"/>
      <c r="W15067" s="2"/>
      <c r="X15067" s="2"/>
      <c r="Y15067" s="2"/>
      <c r="Z15067" s="2"/>
    </row>
    <row r="15068" spans="1:26" ht="16.5" x14ac:dyDescent="0.35">
      <c r="A15068" s="2" t="str">
        <f ca="1">IFERROR(__xludf.DUMMYFUNCTION("""COMPUTED_VALUE"""),"Sharjah")</f>
        <v>Sharjah</v>
      </c>
      <c r="B15068" s="2" t="str">
        <f ca="1">IFERROR(__xludf.DUMMYFUNCTION("""COMPUTED_VALUE"""),"Sharjah Tower 555")</f>
        <v>Sharjah Tower 555</v>
      </c>
      <c r="C15068" s="2"/>
      <c r="D15068" s="2" t="str">
        <f ca="1">IFERROR(__xludf.DUMMYFUNCTION("""COMPUTED_VALUE"""),"Sharjah&gt;Al Khan&gt;Sharjah Tower 555")</f>
        <v>Sharjah&gt;Al Khan&gt;Sharjah Tower 555</v>
      </c>
      <c r="E15068" s="2"/>
      <c r="F15068" s="2"/>
      <c r="G15068" s="2"/>
      <c r="H15068" s="2"/>
      <c r="I15068" s="2"/>
      <c r="J15068" s="2"/>
      <c r="K15068" s="2"/>
      <c r="L15068" s="2"/>
      <c r="M15068" s="2"/>
      <c r="N15068" s="2"/>
      <c r="O15068" s="2"/>
      <c r="P15068" s="2"/>
      <c r="Q15068" s="2"/>
      <c r="R15068" s="2"/>
      <c r="S15068" s="2"/>
      <c r="T15068" s="2"/>
      <c r="U15068" s="2"/>
      <c r="V15068" s="2"/>
      <c r="W15068" s="2"/>
      <c r="X15068" s="2"/>
      <c r="Y15068" s="2"/>
      <c r="Z15068" s="2"/>
    </row>
    <row r="15069" spans="1:26" ht="16.5" x14ac:dyDescent="0.35">
      <c r="A15069" s="2" t="str">
        <f ca="1">IFERROR(__xludf.DUMMYFUNCTION("""COMPUTED_VALUE"""),"Sharjah")</f>
        <v>Sharjah</v>
      </c>
      <c r="B15069" s="2" t="str">
        <f ca="1">IFERROR(__xludf.DUMMYFUNCTION("""COMPUTED_VALUE"""),"Belhasa Tower")</f>
        <v>Belhasa Tower</v>
      </c>
      <c r="C15069" s="2"/>
      <c r="D15069" s="2" t="str">
        <f ca="1">IFERROR(__xludf.DUMMYFUNCTION("""COMPUTED_VALUE"""),"Sharjah&gt;Al Majaz&gt;Al Majaz 2&gt;Belhasa Tower")</f>
        <v>Sharjah&gt;Al Majaz&gt;Al Majaz 2&gt;Belhasa Tower</v>
      </c>
      <c r="E15069" s="2"/>
      <c r="F15069" s="2"/>
      <c r="G15069" s="2"/>
      <c r="H15069" s="2"/>
      <c r="I15069" s="2"/>
      <c r="J15069" s="2"/>
      <c r="K15069" s="2"/>
      <c r="L15069" s="2"/>
      <c r="M15069" s="2"/>
      <c r="N15069" s="2"/>
      <c r="O15069" s="2"/>
      <c r="P15069" s="2"/>
      <c r="Q15069" s="2"/>
      <c r="R15069" s="2"/>
      <c r="S15069" s="2"/>
      <c r="T15069" s="2"/>
      <c r="U15069" s="2"/>
      <c r="V15069" s="2"/>
      <c r="W15069" s="2"/>
      <c r="X15069" s="2"/>
      <c r="Y15069" s="2"/>
      <c r="Z15069" s="2"/>
    </row>
    <row r="15070" spans="1:26" ht="16.5" x14ac:dyDescent="0.35">
      <c r="A15070" s="2" t="str">
        <f ca="1">IFERROR(__xludf.DUMMYFUNCTION("""COMPUTED_VALUE"""),"Sharjah")</f>
        <v>Sharjah</v>
      </c>
      <c r="B15070" s="2" t="str">
        <f ca="1">IFERROR(__xludf.DUMMYFUNCTION("""COMPUTED_VALUE"""),"Burj Al Awael")</f>
        <v>Burj Al Awael</v>
      </c>
      <c r="C15070" s="2"/>
      <c r="D15070" s="2" t="str">
        <f ca="1">IFERROR(__xludf.DUMMYFUNCTION("""COMPUTED_VALUE"""),"Sharjah&gt;Al Majaz&gt;Al Majaz 2&gt;Burj Al Awael")</f>
        <v>Sharjah&gt;Al Majaz&gt;Al Majaz 2&gt;Burj Al Awael</v>
      </c>
      <c r="E15070" s="2"/>
      <c r="F15070" s="2"/>
      <c r="G15070" s="2"/>
      <c r="H15070" s="2"/>
      <c r="I15070" s="2"/>
      <c r="J15070" s="2"/>
      <c r="K15070" s="2"/>
      <c r="L15070" s="2"/>
      <c r="M15070" s="2"/>
      <c r="N15070" s="2"/>
      <c r="O15070" s="2"/>
      <c r="P15070" s="2"/>
      <c r="Q15070" s="2"/>
      <c r="R15070" s="2"/>
      <c r="S15070" s="2"/>
      <c r="T15070" s="2"/>
      <c r="U15070" s="2"/>
      <c r="V15070" s="2"/>
      <c r="W15070" s="2"/>
      <c r="X15070" s="2"/>
      <c r="Y15070" s="2"/>
      <c r="Z15070" s="2"/>
    </row>
    <row r="15071" spans="1:26" ht="16.5" x14ac:dyDescent="0.35">
      <c r="A15071" s="2" t="str">
        <f ca="1">IFERROR(__xludf.DUMMYFUNCTION("""COMPUTED_VALUE"""),"Sharjah")</f>
        <v>Sharjah</v>
      </c>
      <c r="B15071" s="2" t="str">
        <f ca="1">IFERROR(__xludf.DUMMYFUNCTION("""COMPUTED_VALUE"""),"Al Jazeeri 2")</f>
        <v>Al Jazeeri 2</v>
      </c>
      <c r="C15071" s="2" t="str">
        <f ca="1">IFERROR(__xludf.DUMMYFUNCTION("""COMPUTED_VALUE"""),"Building")</f>
        <v>Building</v>
      </c>
      <c r="D15071" s="2" t="str">
        <f ca="1">IFERROR(__xludf.DUMMYFUNCTION("""COMPUTED_VALUE"""),"Sharjah&gt;Al Majaz&gt;Al Majaz 2&gt;Al Jazeeri&gt;Al Jazeeri 2")</f>
        <v>Sharjah&gt;Al Majaz&gt;Al Majaz 2&gt;Al Jazeeri&gt;Al Jazeeri 2</v>
      </c>
      <c r="E15071" s="2"/>
      <c r="F15071" s="2"/>
      <c r="G15071" s="2"/>
      <c r="H15071" s="2"/>
      <c r="I15071" s="2"/>
      <c r="J15071" s="2"/>
      <c r="K15071" s="2"/>
      <c r="L15071" s="2"/>
      <c r="M15071" s="2"/>
      <c r="N15071" s="2"/>
      <c r="O15071" s="2"/>
      <c r="P15071" s="2"/>
      <c r="Q15071" s="2"/>
      <c r="R15071" s="2"/>
      <c r="S15071" s="2"/>
      <c r="T15071" s="2"/>
      <c r="U15071" s="2"/>
      <c r="V15071" s="2"/>
      <c r="W15071" s="2"/>
      <c r="X15071" s="2"/>
      <c r="Y15071" s="2"/>
      <c r="Z15071" s="2"/>
    </row>
    <row r="15072" spans="1:26" ht="16.5" x14ac:dyDescent="0.35">
      <c r="A15072" s="2" t="str">
        <f ca="1">IFERROR(__xludf.DUMMYFUNCTION("""COMPUTED_VALUE"""),"Sharjah")</f>
        <v>Sharjah</v>
      </c>
      <c r="B15072" s="2" t="str">
        <f ca="1">IFERROR(__xludf.DUMMYFUNCTION("""COMPUTED_VALUE"""),"Al Ahliah Building")</f>
        <v>Al Ahliah Building</v>
      </c>
      <c r="C15072" s="2"/>
      <c r="D15072" s="2" t="str">
        <f ca="1">IFERROR(__xludf.DUMMYFUNCTION("""COMPUTED_VALUE"""),"Sharjah&gt;Al Majaz&gt;Al Majaz 3&gt;Al Ahliah Building")</f>
        <v>Sharjah&gt;Al Majaz&gt;Al Majaz 3&gt;Al Ahliah Building</v>
      </c>
      <c r="E15072" s="2"/>
      <c r="F15072" s="2"/>
      <c r="G15072" s="2"/>
      <c r="H15072" s="2"/>
      <c r="I15072" s="2"/>
      <c r="J15072" s="2"/>
      <c r="K15072" s="2"/>
      <c r="L15072" s="2"/>
      <c r="M15072" s="2"/>
      <c r="N15072" s="2"/>
      <c r="O15072" s="2"/>
      <c r="P15072" s="2"/>
      <c r="Q15072" s="2"/>
      <c r="R15072" s="2"/>
      <c r="S15072" s="2"/>
      <c r="T15072" s="2"/>
      <c r="U15072" s="2"/>
      <c r="V15072" s="2"/>
      <c r="W15072" s="2"/>
      <c r="X15072" s="2"/>
      <c r="Y15072" s="2"/>
      <c r="Z15072" s="2"/>
    </row>
    <row r="15073" spans="1:26" ht="16.5" x14ac:dyDescent="0.35">
      <c r="A15073" s="2" t="str">
        <f ca="1">IFERROR(__xludf.DUMMYFUNCTION("""COMPUTED_VALUE"""),"Sharjah")</f>
        <v>Sharjah</v>
      </c>
      <c r="B15073" s="2" t="str">
        <f ca="1">IFERROR(__xludf.DUMMYFUNCTION("""COMPUTED_VALUE"""),"Golden Gate Tower")</f>
        <v>Golden Gate Tower</v>
      </c>
      <c r="C15073" s="2"/>
      <c r="D15073" s="2" t="str">
        <f ca="1">IFERROR(__xludf.DUMMYFUNCTION("""COMPUTED_VALUE"""),"Sharjah&gt;Al Majaz&gt;Al Majaz 3&gt;Golden Gate Tower")</f>
        <v>Sharjah&gt;Al Majaz&gt;Al Majaz 3&gt;Golden Gate Tower</v>
      </c>
      <c r="E15073" s="2"/>
      <c r="F15073" s="2"/>
      <c r="G15073" s="2"/>
      <c r="H15073" s="2"/>
      <c r="I15073" s="2"/>
      <c r="J15073" s="2"/>
      <c r="K15073" s="2"/>
      <c r="L15073" s="2"/>
      <c r="M15073" s="2"/>
      <c r="N15073" s="2"/>
      <c r="O15073" s="2"/>
      <c r="P15073" s="2"/>
      <c r="Q15073" s="2"/>
      <c r="R15073" s="2"/>
      <c r="S15073" s="2"/>
      <c r="T15073" s="2"/>
      <c r="U15073" s="2"/>
      <c r="V15073" s="2"/>
      <c r="W15073" s="2"/>
      <c r="X15073" s="2"/>
      <c r="Y15073" s="2"/>
      <c r="Z15073" s="2"/>
    </row>
    <row r="15074" spans="1:26" ht="16.5" x14ac:dyDescent="0.35">
      <c r="A15074" s="2" t="str">
        <f ca="1">IFERROR(__xludf.DUMMYFUNCTION("""COMPUTED_VALUE"""),"Sharjah")</f>
        <v>Sharjah</v>
      </c>
      <c r="B15074" s="2" t="str">
        <f ca="1">IFERROR(__xludf.DUMMYFUNCTION("""COMPUTED_VALUE"""),"Crystal Plaza")</f>
        <v>Crystal Plaza</v>
      </c>
      <c r="C15074" s="2" t="str">
        <f ca="1">IFERROR(__xludf.DUMMYFUNCTION("""COMPUTED_VALUE"""),"Building")</f>
        <v>Building</v>
      </c>
      <c r="D15074" s="2" t="str">
        <f ca="1">IFERROR(__xludf.DUMMYFUNCTION("""COMPUTED_VALUE"""),"Sharjah&gt;Al Majaz&gt;Al Majaz 1&gt;Crystal Plaza")</f>
        <v>Sharjah&gt;Al Majaz&gt;Al Majaz 1&gt;Crystal Plaza</v>
      </c>
      <c r="E15074" s="2"/>
      <c r="F15074" s="2"/>
      <c r="G15074" s="2"/>
      <c r="H15074" s="2"/>
      <c r="I15074" s="2"/>
      <c r="J15074" s="2"/>
      <c r="K15074" s="2"/>
      <c r="L15074" s="2"/>
      <c r="M15074" s="2"/>
      <c r="N15074" s="2"/>
      <c r="O15074" s="2"/>
      <c r="P15074" s="2"/>
      <c r="Q15074" s="2"/>
      <c r="R15074" s="2"/>
      <c r="S15074" s="2"/>
      <c r="T15074" s="2"/>
      <c r="U15074" s="2"/>
      <c r="V15074" s="2"/>
      <c r="W15074" s="2"/>
      <c r="X15074" s="2"/>
      <c r="Y15074" s="2"/>
      <c r="Z15074" s="2"/>
    </row>
    <row r="15075" spans="1:26" ht="16.5" x14ac:dyDescent="0.35">
      <c r="A15075" s="2" t="str">
        <f ca="1">IFERROR(__xludf.DUMMYFUNCTION("""COMPUTED_VALUE"""),"Sharjah")</f>
        <v>Sharjah</v>
      </c>
      <c r="B15075" s="2" t="str">
        <f ca="1">IFERROR(__xludf.DUMMYFUNCTION("""COMPUTED_VALUE"""),"Riviera Building")</f>
        <v>Riviera Building</v>
      </c>
      <c r="C15075" s="2" t="str">
        <f ca="1">IFERROR(__xludf.DUMMYFUNCTION("""COMPUTED_VALUE"""),"Building")</f>
        <v>Building</v>
      </c>
      <c r="D15075" s="2" t="str">
        <f ca="1">IFERROR(__xludf.DUMMYFUNCTION("""COMPUTED_VALUE"""),"Sharjah&gt;Al Majaz&gt;Riviera Building")</f>
        <v>Sharjah&gt;Al Majaz&gt;Riviera Building</v>
      </c>
      <c r="E15075" s="2"/>
      <c r="F15075" s="2"/>
      <c r="G15075" s="2"/>
      <c r="H15075" s="2"/>
      <c r="I15075" s="2"/>
      <c r="J15075" s="2"/>
      <c r="K15075" s="2"/>
      <c r="L15075" s="2"/>
      <c r="M15075" s="2"/>
      <c r="N15075" s="2"/>
      <c r="O15075" s="2"/>
      <c r="P15075" s="2"/>
      <c r="Q15075" s="2"/>
      <c r="R15075" s="2"/>
      <c r="S15075" s="2"/>
      <c r="T15075" s="2"/>
      <c r="U15075" s="2"/>
      <c r="V15075" s="2"/>
      <c r="W15075" s="2"/>
      <c r="X15075" s="2"/>
      <c r="Y15075" s="2"/>
      <c r="Z15075" s="2"/>
    </row>
    <row r="15076" spans="1:26" ht="16.5" x14ac:dyDescent="0.35">
      <c r="A15076" s="2" t="str">
        <f ca="1">IFERROR(__xludf.DUMMYFUNCTION("""COMPUTED_VALUE"""),"Sharjah")</f>
        <v>Sharjah</v>
      </c>
      <c r="B15076" s="2" t="str">
        <f ca="1">IFERROR(__xludf.DUMMYFUNCTION("""COMPUTED_VALUE"""),"City Plaza 2")</f>
        <v>City Plaza 2</v>
      </c>
      <c r="C15076" s="2"/>
      <c r="D15076" s="2" t="str">
        <f ca="1">IFERROR(__xludf.DUMMYFUNCTION("""COMPUTED_VALUE"""),"Sharjah&gt;Al Taawun&gt;City Plaza 2")</f>
        <v>Sharjah&gt;Al Taawun&gt;City Plaza 2</v>
      </c>
      <c r="E15076" s="2"/>
      <c r="F15076" s="2"/>
      <c r="G15076" s="2"/>
      <c r="H15076" s="2"/>
      <c r="I15076" s="2"/>
      <c r="J15076" s="2"/>
      <c r="K15076" s="2"/>
      <c r="L15076" s="2"/>
      <c r="M15076" s="2"/>
      <c r="N15076" s="2"/>
      <c r="O15076" s="2"/>
      <c r="P15076" s="2"/>
      <c r="Q15076" s="2"/>
      <c r="R15076" s="2"/>
      <c r="S15076" s="2"/>
      <c r="T15076" s="2"/>
      <c r="U15076" s="2"/>
      <c r="V15076" s="2"/>
      <c r="W15076" s="2"/>
      <c r="X15076" s="2"/>
      <c r="Y15076" s="2"/>
      <c r="Z15076" s="2"/>
    </row>
    <row r="15077" spans="1:26" ht="16.5" x14ac:dyDescent="0.35">
      <c r="A15077" s="2" t="str">
        <f ca="1">IFERROR(__xludf.DUMMYFUNCTION("""COMPUTED_VALUE"""),"Sharjah")</f>
        <v>Sharjah</v>
      </c>
      <c r="B15077" s="2" t="str">
        <f ca="1">IFERROR(__xludf.DUMMYFUNCTION("""COMPUTED_VALUE"""),"Al Thani Building")</f>
        <v>Al Thani Building</v>
      </c>
      <c r="C15077" s="2" t="str">
        <f ca="1">IFERROR(__xludf.DUMMYFUNCTION("""COMPUTED_VALUE"""),"Building")</f>
        <v>Building</v>
      </c>
      <c r="D15077" s="2" t="str">
        <f ca="1">IFERROR(__xludf.DUMMYFUNCTION("""COMPUTED_VALUE"""),"Sharjah&gt;Al Taawun&gt;Al Thani Building")</f>
        <v>Sharjah&gt;Al Taawun&gt;Al Thani Building</v>
      </c>
      <c r="E15077" s="2"/>
      <c r="F15077" s="2"/>
      <c r="G15077" s="2"/>
      <c r="H15077" s="2"/>
      <c r="I15077" s="2"/>
      <c r="J15077" s="2"/>
      <c r="K15077" s="2"/>
      <c r="L15077" s="2"/>
      <c r="M15077" s="2"/>
      <c r="N15077" s="2"/>
      <c r="O15077" s="2"/>
      <c r="P15077" s="2"/>
      <c r="Q15077" s="2"/>
      <c r="R15077" s="2"/>
      <c r="S15077" s="2"/>
      <c r="T15077" s="2"/>
      <c r="U15077" s="2"/>
      <c r="V15077" s="2"/>
      <c r="W15077" s="2"/>
      <c r="X15077" s="2"/>
      <c r="Y15077" s="2"/>
      <c r="Z15077" s="2"/>
    </row>
    <row r="15078" spans="1:26" ht="16.5" x14ac:dyDescent="0.35">
      <c r="A15078" s="2" t="str">
        <f ca="1">IFERROR(__xludf.DUMMYFUNCTION("""COMPUTED_VALUE"""),"Sharjah")</f>
        <v>Sharjah</v>
      </c>
      <c r="B15078" s="2" t="str">
        <f ca="1">IFERROR(__xludf.DUMMYFUNCTION("""COMPUTED_VALUE"""),"Al Owais Building Al Nud")</f>
        <v>Al Owais Building Al Nud</v>
      </c>
      <c r="C15078" s="2"/>
      <c r="D15078" s="2" t="str">
        <f ca="1">IFERROR(__xludf.DUMMYFUNCTION("""COMPUTED_VALUE"""),"Sharjah&gt;Al Qasimia&gt;Al Nad&gt;Al Owais Building Al Nud")</f>
        <v>Sharjah&gt;Al Qasimia&gt;Al Nad&gt;Al Owais Building Al Nud</v>
      </c>
      <c r="E15078" s="2"/>
      <c r="F15078" s="2"/>
      <c r="G15078" s="2"/>
      <c r="H15078" s="2"/>
      <c r="I15078" s="2"/>
      <c r="J15078" s="2"/>
      <c r="K15078" s="2"/>
      <c r="L15078" s="2"/>
      <c r="M15078" s="2"/>
      <c r="N15078" s="2"/>
      <c r="O15078" s="2"/>
      <c r="P15078" s="2"/>
      <c r="Q15078" s="2"/>
      <c r="R15078" s="2"/>
      <c r="S15078" s="2"/>
      <c r="T15078" s="2"/>
      <c r="U15078" s="2"/>
      <c r="V15078" s="2"/>
      <c r="W15078" s="2"/>
      <c r="X15078" s="2"/>
      <c r="Y15078" s="2"/>
      <c r="Z15078" s="2"/>
    </row>
    <row r="15079" spans="1:26" ht="16.5" x14ac:dyDescent="0.35">
      <c r="A15079" s="2" t="str">
        <f ca="1">IFERROR(__xludf.DUMMYFUNCTION("""COMPUTED_VALUE"""),"Sharjah")</f>
        <v>Sharjah</v>
      </c>
      <c r="B15079" s="2" t="str">
        <f ca="1">IFERROR(__xludf.DUMMYFUNCTION("""COMPUTED_VALUE"""),"Alia Tower")</f>
        <v>Alia Tower</v>
      </c>
      <c r="C15079" s="2" t="str">
        <f ca="1">IFERROR(__xludf.DUMMYFUNCTION("""COMPUTED_VALUE"""),"Building")</f>
        <v>Building</v>
      </c>
      <c r="D15079" s="2" t="str">
        <f ca="1">IFERROR(__xludf.DUMMYFUNCTION("""COMPUTED_VALUE"""),"Sharjah&gt;Al Qasimia&gt;Al Nad&gt;Alia Tower")</f>
        <v>Sharjah&gt;Al Qasimia&gt;Al Nad&gt;Alia Tower</v>
      </c>
      <c r="E15079" s="2"/>
      <c r="F15079" s="2"/>
      <c r="G15079" s="2"/>
      <c r="H15079" s="2"/>
      <c r="I15079" s="2"/>
      <c r="J15079" s="2"/>
      <c r="K15079" s="2"/>
      <c r="L15079" s="2"/>
      <c r="M15079" s="2"/>
      <c r="N15079" s="2"/>
      <c r="O15079" s="2"/>
      <c r="P15079" s="2"/>
      <c r="Q15079" s="2"/>
      <c r="R15079" s="2"/>
      <c r="S15079" s="2"/>
      <c r="T15079" s="2"/>
      <c r="U15079" s="2"/>
      <c r="V15079" s="2"/>
      <c r="W15079" s="2"/>
      <c r="X15079" s="2"/>
      <c r="Y15079" s="2"/>
      <c r="Z15079" s="2"/>
    </row>
    <row r="15080" spans="1:26" ht="16.5" x14ac:dyDescent="0.35">
      <c r="A15080" s="2" t="str">
        <f ca="1">IFERROR(__xludf.DUMMYFUNCTION("""COMPUTED_VALUE"""),"Sharjah")</f>
        <v>Sharjah</v>
      </c>
      <c r="B15080" s="2" t="str">
        <f ca="1">IFERROR(__xludf.DUMMYFUNCTION("""COMPUTED_VALUE"""),"Q2 Building")</f>
        <v>Q2 Building</v>
      </c>
      <c r="C15080" s="2"/>
      <c r="D15080" s="2" t="str">
        <f ca="1">IFERROR(__xludf.DUMMYFUNCTION("""COMPUTED_VALUE"""),"Sharjah&gt;Al Qasimia&gt;Al Nad&gt;Q2 Building")</f>
        <v>Sharjah&gt;Al Qasimia&gt;Al Nad&gt;Q2 Building</v>
      </c>
      <c r="E15080" s="2"/>
      <c r="F15080" s="2"/>
      <c r="G15080" s="2"/>
      <c r="H15080" s="2"/>
      <c r="I15080" s="2"/>
      <c r="J15080" s="2"/>
      <c r="K15080" s="2"/>
      <c r="L15080" s="2"/>
      <c r="M15080" s="2"/>
      <c r="N15080" s="2"/>
      <c r="O15080" s="2"/>
      <c r="P15080" s="2"/>
      <c r="Q15080" s="2"/>
      <c r="R15080" s="2"/>
      <c r="S15080" s="2"/>
      <c r="T15080" s="2"/>
      <c r="U15080" s="2"/>
      <c r="V15080" s="2"/>
      <c r="W15080" s="2"/>
      <c r="X15080" s="2"/>
      <c r="Y15080" s="2"/>
      <c r="Z15080" s="2"/>
    </row>
    <row r="15081" spans="1:26" ht="16.5" x14ac:dyDescent="0.35">
      <c r="A15081" s="2" t="str">
        <f ca="1">IFERROR(__xludf.DUMMYFUNCTION("""COMPUTED_VALUE"""),"Sharjah")</f>
        <v>Sharjah</v>
      </c>
      <c r="B15081" s="2" t="str">
        <f ca="1">IFERROR(__xludf.DUMMYFUNCTION("""COMPUTED_VALUE"""),"Ebtessam Bahman Building")</f>
        <v>Ebtessam Bahman Building</v>
      </c>
      <c r="C15081" s="2"/>
      <c r="D15081" s="2" t="str">
        <f ca="1">IFERROR(__xludf.DUMMYFUNCTION("""COMPUTED_VALUE"""),"Sharjah&gt;Al Nabba&gt;Ebtessam Bahman Building")</f>
        <v>Sharjah&gt;Al Nabba&gt;Ebtessam Bahman Building</v>
      </c>
      <c r="E15081" s="2"/>
      <c r="F15081" s="2"/>
      <c r="G15081" s="2"/>
      <c r="H15081" s="2"/>
      <c r="I15081" s="2"/>
      <c r="J15081" s="2"/>
      <c r="K15081" s="2"/>
      <c r="L15081" s="2"/>
      <c r="M15081" s="2"/>
      <c r="N15081" s="2"/>
      <c r="O15081" s="2"/>
      <c r="P15081" s="2"/>
      <c r="Q15081" s="2"/>
      <c r="R15081" s="2"/>
      <c r="S15081" s="2"/>
      <c r="T15081" s="2"/>
      <c r="U15081" s="2"/>
      <c r="V15081" s="2"/>
      <c r="W15081" s="2"/>
      <c r="X15081" s="2"/>
      <c r="Y15081" s="2"/>
      <c r="Z15081" s="2"/>
    </row>
    <row r="15082" spans="1:26" ht="16.5" x14ac:dyDescent="0.35">
      <c r="A15082" s="2" t="str">
        <f ca="1">IFERROR(__xludf.DUMMYFUNCTION("""COMPUTED_VALUE"""),"Sharjah")</f>
        <v>Sharjah</v>
      </c>
      <c r="B15082" s="2" t="str">
        <f ca="1">IFERROR(__xludf.DUMMYFUNCTION("""COMPUTED_VALUE"""),"Nabatu Building")</f>
        <v>Nabatu Building</v>
      </c>
      <c r="C15082" s="2"/>
      <c r="D15082" s="2" t="str">
        <f ca="1">IFERROR(__xludf.DUMMYFUNCTION("""COMPUTED_VALUE"""),"Sharjah&gt;Al Nabba&gt;Nabatu Building")</f>
        <v>Sharjah&gt;Al Nabba&gt;Nabatu Building</v>
      </c>
      <c r="E15082" s="2"/>
      <c r="F15082" s="2"/>
      <c r="G15082" s="2"/>
      <c r="H15082" s="2"/>
      <c r="I15082" s="2"/>
      <c r="J15082" s="2"/>
      <c r="K15082" s="2"/>
      <c r="L15082" s="2"/>
      <c r="M15082" s="2"/>
      <c r="N15082" s="2"/>
      <c r="O15082" s="2"/>
      <c r="P15082" s="2"/>
      <c r="Q15082" s="2"/>
      <c r="R15082" s="2"/>
      <c r="S15082" s="2"/>
      <c r="T15082" s="2"/>
      <c r="U15082" s="2"/>
      <c r="V15082" s="2"/>
      <c r="W15082" s="2"/>
      <c r="X15082" s="2"/>
      <c r="Y15082" s="2"/>
      <c r="Z15082" s="2"/>
    </row>
    <row r="15083" spans="1:26" ht="16.5" x14ac:dyDescent="0.35">
      <c r="A15083" s="2" t="str">
        <f ca="1">IFERROR(__xludf.DUMMYFUNCTION("""COMPUTED_VALUE"""),"Sharjah")</f>
        <v>Sharjah</v>
      </c>
      <c r="B15083" s="2" t="str">
        <f ca="1">IFERROR(__xludf.DUMMYFUNCTION("""COMPUTED_VALUE"""),"Industrial Area 13")</f>
        <v>Industrial Area 13</v>
      </c>
      <c r="C15083" s="2" t="str">
        <f ca="1">IFERROR(__xludf.DUMMYFUNCTION("""COMPUTED_VALUE"""),"Neighbourhood")</f>
        <v>Neighbourhood</v>
      </c>
      <c r="D15083" s="2" t="str">
        <f ca="1">IFERROR(__xludf.DUMMYFUNCTION("""COMPUTED_VALUE"""),"Sharjah&gt;Industrial Area&gt;Industrial Area 13")</f>
        <v>Sharjah&gt;Industrial Area&gt;Industrial Area 13</v>
      </c>
      <c r="E15083" s="2"/>
      <c r="F15083" s="2"/>
      <c r="G15083" s="2"/>
      <c r="H15083" s="2"/>
      <c r="I15083" s="2"/>
      <c r="J15083" s="2"/>
      <c r="K15083" s="2"/>
      <c r="L15083" s="2"/>
      <c r="M15083" s="2"/>
      <c r="N15083" s="2"/>
      <c r="O15083" s="2"/>
      <c r="P15083" s="2"/>
      <c r="Q15083" s="2"/>
      <c r="R15083" s="2"/>
      <c r="S15083" s="2"/>
      <c r="T15083" s="2"/>
      <c r="U15083" s="2"/>
      <c r="V15083" s="2"/>
      <c r="W15083" s="2"/>
      <c r="X15083" s="2"/>
      <c r="Y15083" s="2"/>
      <c r="Z15083" s="2"/>
    </row>
    <row r="15084" spans="1:26" ht="16.5" x14ac:dyDescent="0.35">
      <c r="A15084" s="2" t="str">
        <f ca="1">IFERROR(__xludf.DUMMYFUNCTION("""COMPUTED_VALUE"""),"Sharjah")</f>
        <v>Sharjah</v>
      </c>
      <c r="B15084" s="2" t="str">
        <f ca="1">IFERROR(__xludf.DUMMYFUNCTION("""COMPUTED_VALUE"""),"SW 1")</f>
        <v>SW 1</v>
      </c>
      <c r="C15084" s="2" t="str">
        <f ca="1">IFERROR(__xludf.DUMMYFUNCTION("""COMPUTED_VALUE"""),"Building")</f>
        <v>Building</v>
      </c>
      <c r="D15084" s="2" t="str">
        <f ca="1">IFERROR(__xludf.DUMMYFUNCTION("""COMPUTED_VALUE"""),"Sharjah&gt;Muwaileh&gt;Al Mamsha&gt;Souks Residential&gt;SW 1")</f>
        <v>Sharjah&gt;Muwaileh&gt;Al Mamsha&gt;Souks Residential&gt;SW 1</v>
      </c>
      <c r="E15084" s="2"/>
      <c r="F15084" s="2"/>
      <c r="G15084" s="2"/>
      <c r="H15084" s="2"/>
      <c r="I15084" s="2"/>
      <c r="J15084" s="2"/>
      <c r="K15084" s="2"/>
      <c r="L15084" s="2"/>
      <c r="M15084" s="2"/>
      <c r="N15084" s="2"/>
      <c r="O15084" s="2"/>
      <c r="P15084" s="2"/>
      <c r="Q15084" s="2"/>
      <c r="R15084" s="2"/>
      <c r="S15084" s="2"/>
      <c r="T15084" s="2"/>
      <c r="U15084" s="2"/>
      <c r="V15084" s="2"/>
      <c r="W15084" s="2"/>
      <c r="X15084" s="2"/>
      <c r="Y15084" s="2"/>
      <c r="Z15084" s="2"/>
    </row>
    <row r="15085" spans="1:26" ht="16.5" x14ac:dyDescent="0.35">
      <c r="A15085" s="2" t="str">
        <f ca="1">IFERROR(__xludf.DUMMYFUNCTION("""COMPUTED_VALUE"""),"Sharjah")</f>
        <v>Sharjah</v>
      </c>
      <c r="B15085" s="2" t="str">
        <f ca="1">IFERROR(__xludf.DUMMYFUNCTION("""COMPUTED_VALUE"""),"Suroor")</f>
        <v>Suroor</v>
      </c>
      <c r="C15085" s="2" t="str">
        <f ca="1">IFERROR(__xludf.DUMMYFUNCTION("""COMPUTED_VALUE"""),"Cluster")</f>
        <v>Cluster</v>
      </c>
      <c r="D15085" s="2" t="str">
        <f ca="1">IFERROR(__xludf.DUMMYFUNCTION("""COMPUTED_VALUE"""),"Sharjah&gt;Muwaileh&gt;Al Mamsha&gt;Suroor")</f>
        <v>Sharjah&gt;Muwaileh&gt;Al Mamsha&gt;Suroor</v>
      </c>
      <c r="E15085" s="2"/>
      <c r="F15085" s="2"/>
      <c r="G15085" s="2"/>
      <c r="H15085" s="2"/>
      <c r="I15085" s="2"/>
      <c r="J15085" s="2"/>
      <c r="K15085" s="2"/>
      <c r="L15085" s="2"/>
      <c r="M15085" s="2"/>
      <c r="N15085" s="2"/>
      <c r="O15085" s="2"/>
      <c r="P15085" s="2"/>
      <c r="Q15085" s="2"/>
      <c r="R15085" s="2"/>
      <c r="S15085" s="2"/>
      <c r="T15085" s="2"/>
      <c r="U15085" s="2"/>
      <c r="V15085" s="2"/>
      <c r="W15085" s="2"/>
      <c r="X15085" s="2"/>
      <c r="Y15085" s="2"/>
      <c r="Z15085" s="2"/>
    </row>
    <row r="15086" spans="1:26" ht="16.5" x14ac:dyDescent="0.35">
      <c r="A15086" s="2" t="str">
        <f ca="1">IFERROR(__xludf.DUMMYFUNCTION("""COMPUTED_VALUE"""),"Sharjah")</f>
        <v>Sharjah</v>
      </c>
      <c r="B15086" s="2" t="str">
        <f ca="1">IFERROR(__xludf.DUMMYFUNCTION("""COMPUTED_VALUE"""),"Al Yasmeen")</f>
        <v>Al Yasmeen</v>
      </c>
      <c r="C15086" s="2" t="str">
        <f ca="1">IFERROR(__xludf.DUMMYFUNCTION("""COMPUTED_VALUE"""),"Neighbourhood")</f>
        <v>Neighbourhood</v>
      </c>
      <c r="D15086" s="2" t="str">
        <f ca="1">IFERROR(__xludf.DUMMYFUNCTION("""COMPUTED_VALUE"""),"Sharjah&gt;Muwaileh&gt;Al Zahia&gt;Al Yasmeen")</f>
        <v>Sharjah&gt;Muwaileh&gt;Al Zahia&gt;Al Yasmeen</v>
      </c>
      <c r="E15086" s="2"/>
      <c r="F15086" s="2"/>
      <c r="G15086" s="2"/>
      <c r="H15086" s="2"/>
      <c r="I15086" s="2"/>
      <c r="J15086" s="2"/>
      <c r="K15086" s="2"/>
      <c r="L15086" s="2"/>
      <c r="M15086" s="2"/>
      <c r="N15086" s="2"/>
      <c r="O15086" s="2"/>
      <c r="P15086" s="2"/>
      <c r="Q15086" s="2"/>
      <c r="R15086" s="2"/>
      <c r="S15086" s="2"/>
      <c r="T15086" s="2"/>
      <c r="U15086" s="2"/>
      <c r="V15086" s="2"/>
      <c r="W15086" s="2"/>
      <c r="X15086" s="2"/>
      <c r="Y15086" s="2"/>
      <c r="Z15086" s="2"/>
    </row>
    <row r="15087" spans="1:26" ht="16.5" x14ac:dyDescent="0.35">
      <c r="A15087" s="2" t="str">
        <f ca="1">IFERROR(__xludf.DUMMYFUNCTION("""COMPUTED_VALUE"""),"Sharjah")</f>
        <v>Sharjah</v>
      </c>
      <c r="B15087" s="2" t="str">
        <f ca="1">IFERROR(__xludf.DUMMYFUNCTION("""COMPUTED_VALUE"""),"Al Falasi Building")</f>
        <v>Al Falasi Building</v>
      </c>
      <c r="C15087" s="2" t="str">
        <f ca="1">IFERROR(__xludf.DUMMYFUNCTION("""COMPUTED_VALUE"""),"Building")</f>
        <v>Building</v>
      </c>
      <c r="D15087" s="2" t="str">
        <f ca="1">IFERROR(__xludf.DUMMYFUNCTION("""COMPUTED_VALUE"""),"Sharjah&gt;Muwaileh Commercial&gt;Al Falasi Building")</f>
        <v>Sharjah&gt;Muwaileh Commercial&gt;Al Falasi Building</v>
      </c>
      <c r="E15087" s="2"/>
      <c r="F15087" s="2"/>
      <c r="G15087" s="2"/>
      <c r="H15087" s="2"/>
      <c r="I15087" s="2"/>
      <c r="J15087" s="2"/>
      <c r="K15087" s="2"/>
      <c r="L15087" s="2"/>
      <c r="M15087" s="2"/>
      <c r="N15087" s="2"/>
      <c r="O15087" s="2"/>
      <c r="P15087" s="2"/>
      <c r="Q15087" s="2"/>
      <c r="R15087" s="2"/>
      <c r="S15087" s="2"/>
      <c r="T15087" s="2"/>
      <c r="U15087" s="2"/>
      <c r="V15087" s="2"/>
      <c r="W15087" s="2"/>
      <c r="X15087" s="2"/>
      <c r="Y15087" s="2"/>
      <c r="Z15087" s="2"/>
    </row>
    <row r="15088" spans="1:26" ht="16.5" x14ac:dyDescent="0.35">
      <c r="A15088" s="2" t="str">
        <f ca="1">IFERROR(__xludf.DUMMYFUNCTION("""COMPUTED_VALUE"""),"Sharjah")</f>
        <v>Sharjah</v>
      </c>
      <c r="B15088" s="2" t="str">
        <f ca="1">IFERROR(__xludf.DUMMYFUNCTION("""COMPUTED_VALUE"""),"Olfah 1")</f>
        <v>Olfah 1</v>
      </c>
      <c r="C15088" s="2" t="str">
        <f ca="1">IFERROR(__xludf.DUMMYFUNCTION("""COMPUTED_VALUE"""),"Building")</f>
        <v>Building</v>
      </c>
      <c r="D15088" s="2" t="str">
        <f ca="1">IFERROR(__xludf.DUMMYFUNCTION("""COMPUTED_VALUE"""),"Sharjah&gt;Muwaileh Commercial&gt;Olfah&gt;Olfah 1")</f>
        <v>Sharjah&gt;Muwaileh Commercial&gt;Olfah&gt;Olfah 1</v>
      </c>
      <c r="E15088" s="2"/>
      <c r="F15088" s="2"/>
      <c r="G15088" s="2"/>
      <c r="H15088" s="2"/>
      <c r="I15088" s="2"/>
      <c r="J15088" s="2"/>
      <c r="K15088" s="2"/>
      <c r="L15088" s="2"/>
      <c r="M15088" s="2"/>
      <c r="N15088" s="2"/>
      <c r="O15088" s="2"/>
      <c r="P15088" s="2"/>
      <c r="Q15088" s="2"/>
      <c r="R15088" s="2"/>
      <c r="S15088" s="2"/>
      <c r="T15088" s="2"/>
      <c r="U15088" s="2"/>
      <c r="V15088" s="2"/>
      <c r="W15088" s="2"/>
      <c r="X15088" s="2"/>
      <c r="Y15088" s="2"/>
      <c r="Z15088" s="2"/>
    </row>
    <row r="15089" spans="1:26" ht="16.5" x14ac:dyDescent="0.35">
      <c r="A15089" s="2" t="str">
        <f ca="1">IFERROR(__xludf.DUMMYFUNCTION("""COMPUTED_VALUE"""),"Sharjah")</f>
        <v>Sharjah</v>
      </c>
      <c r="B15089" s="2" t="str">
        <f ca="1">IFERROR(__xludf.DUMMYFUNCTION("""COMPUTED_VALUE"""),"Building 6612")</f>
        <v>Building 6612</v>
      </c>
      <c r="C15089" s="2" t="str">
        <f ca="1">IFERROR(__xludf.DUMMYFUNCTION("""COMPUTED_VALUE"""),"Building")</f>
        <v>Building</v>
      </c>
      <c r="D15089" s="2" t="str">
        <f ca="1">IFERROR(__xludf.DUMMYFUNCTION("""COMPUTED_VALUE"""),"Sharjah&gt;Muwaileh Commercial&gt;Building 6612")</f>
        <v>Sharjah&gt;Muwaileh Commercial&gt;Building 6612</v>
      </c>
      <c r="E15089" s="2"/>
      <c r="F15089" s="2"/>
      <c r="G15089" s="2"/>
      <c r="H15089" s="2"/>
      <c r="I15089" s="2"/>
      <c r="J15089" s="2"/>
      <c r="K15089" s="2"/>
      <c r="L15089" s="2"/>
      <c r="M15089" s="2"/>
      <c r="N15089" s="2"/>
      <c r="O15089" s="2"/>
      <c r="P15089" s="2"/>
      <c r="Q15089" s="2"/>
      <c r="R15089" s="2"/>
      <c r="S15089" s="2"/>
      <c r="T15089" s="2"/>
      <c r="U15089" s="2"/>
      <c r="V15089" s="2"/>
      <c r="W15089" s="2"/>
      <c r="X15089" s="2"/>
      <c r="Y15089" s="2"/>
      <c r="Z15089" s="2"/>
    </row>
    <row r="15090" spans="1:26" ht="16.5" x14ac:dyDescent="0.35">
      <c r="A15090" s="2" t="str">
        <f ca="1">IFERROR(__xludf.DUMMYFUNCTION("""COMPUTED_VALUE"""),"Al Ain")</f>
        <v>Al Ain</v>
      </c>
      <c r="B15090" s="2" t="str">
        <f ca="1">IFERROR(__xludf.DUMMYFUNCTION("""COMPUTED_VALUE"""),"Ni'mah")</f>
        <v>Ni'mah</v>
      </c>
      <c r="C15090" s="2" t="str">
        <f ca="1">IFERROR(__xludf.DUMMYFUNCTION("""COMPUTED_VALUE"""),"Neighbourhood")</f>
        <v>Neighbourhood</v>
      </c>
      <c r="D15090" s="2" t="str">
        <f ca="1">IFERROR(__xludf.DUMMYFUNCTION("""COMPUTED_VALUE"""),"Al Ain&gt;Ni'mah")</f>
        <v>Al Ain&gt;Ni'mah</v>
      </c>
      <c r="E15090" s="2"/>
      <c r="F15090" s="2"/>
      <c r="G15090" s="2"/>
      <c r="H15090" s="2"/>
      <c r="I15090" s="2"/>
      <c r="J15090" s="2"/>
      <c r="K15090" s="2"/>
      <c r="L15090" s="2"/>
      <c r="M15090" s="2"/>
      <c r="N15090" s="2"/>
      <c r="O15090" s="2"/>
      <c r="P15090" s="2"/>
      <c r="Q15090" s="2"/>
      <c r="R15090" s="2"/>
      <c r="S15090" s="2"/>
      <c r="T15090" s="2"/>
      <c r="U15090" s="2"/>
      <c r="V15090" s="2"/>
      <c r="W15090" s="2"/>
      <c r="X15090" s="2"/>
      <c r="Y15090" s="2"/>
      <c r="Z15090" s="2"/>
    </row>
    <row r="15091" spans="1:26" ht="16.5" x14ac:dyDescent="0.35">
      <c r="A15091" s="2" t="str">
        <f ca="1">IFERROR(__xludf.DUMMYFUNCTION("""COMPUTED_VALUE"""),"Al Ain")</f>
        <v>Al Ain</v>
      </c>
      <c r="B15091" s="2" t="str">
        <f ca="1">IFERROR(__xludf.DUMMYFUNCTION("""COMPUTED_VALUE"""),"Al Ameriya")</f>
        <v>Al Ameriya</v>
      </c>
      <c r="C15091" s="2" t="str">
        <f ca="1">IFERROR(__xludf.DUMMYFUNCTION("""COMPUTED_VALUE"""),"Neighbourhood")</f>
        <v>Neighbourhood</v>
      </c>
      <c r="D15091" s="2" t="str">
        <f ca="1">IFERROR(__xludf.DUMMYFUNCTION("""COMPUTED_VALUE"""),"Al Ain&gt;Al Jimi&gt;Al Ameriya")</f>
        <v>Al Ain&gt;Al Jimi&gt;Al Ameriya</v>
      </c>
      <c r="E15091" s="2"/>
      <c r="F15091" s="2"/>
      <c r="G15091" s="2"/>
      <c r="H15091" s="2"/>
      <c r="I15091" s="2"/>
      <c r="J15091" s="2"/>
      <c r="K15091" s="2"/>
      <c r="L15091" s="2"/>
      <c r="M15091" s="2"/>
      <c r="N15091" s="2"/>
      <c r="O15091" s="2"/>
      <c r="P15091" s="2"/>
      <c r="Q15091" s="2"/>
      <c r="R15091" s="2"/>
      <c r="S15091" s="2"/>
      <c r="T15091" s="2"/>
      <c r="U15091" s="2"/>
      <c r="V15091" s="2"/>
      <c r="W15091" s="2"/>
      <c r="X15091" s="2"/>
      <c r="Y15091" s="2"/>
      <c r="Z15091" s="2"/>
    </row>
    <row r="15092" spans="1:26" ht="16.5" x14ac:dyDescent="0.35">
      <c r="A15092" s="2" t="str">
        <f ca="1">IFERROR(__xludf.DUMMYFUNCTION("""COMPUTED_VALUE"""),"Al Ain")</f>
        <v>Al Ain</v>
      </c>
      <c r="B15092" s="2" t="str">
        <f ca="1">IFERROR(__xludf.DUMMYFUNCTION("""COMPUTED_VALUE"""),"Zakhir South")</f>
        <v>Zakhir South</v>
      </c>
      <c r="C15092" s="2" t="str">
        <f ca="1">IFERROR(__xludf.DUMMYFUNCTION("""COMPUTED_VALUE"""),"Neighbourhood")</f>
        <v>Neighbourhood</v>
      </c>
      <c r="D15092" s="2" t="str">
        <f ca="1">IFERROR(__xludf.DUMMYFUNCTION("""COMPUTED_VALUE"""),"Al Ain&gt;Zakhir&gt;Zakhir South")</f>
        <v>Al Ain&gt;Zakhir&gt;Zakhir South</v>
      </c>
      <c r="E15092" s="2"/>
      <c r="F15092" s="2"/>
      <c r="G15092" s="2"/>
      <c r="H15092" s="2"/>
      <c r="I15092" s="2"/>
      <c r="J15092" s="2"/>
      <c r="K15092" s="2"/>
      <c r="L15092" s="2"/>
      <c r="M15092" s="2"/>
      <c r="N15092" s="2"/>
      <c r="O15092" s="2"/>
      <c r="P15092" s="2"/>
      <c r="Q15092" s="2"/>
      <c r="R15092" s="2"/>
      <c r="S15092" s="2"/>
      <c r="T15092" s="2"/>
      <c r="U15092" s="2"/>
      <c r="V15092" s="2"/>
      <c r="W15092" s="2"/>
      <c r="X15092" s="2"/>
      <c r="Y15092" s="2"/>
      <c r="Z15092" s="2"/>
    </row>
    <row r="15093" spans="1:26" ht="16.5" x14ac:dyDescent="0.35">
      <c r="A15093" s="2" t="str">
        <f ca="1">IFERROR(__xludf.DUMMYFUNCTION("""COMPUTED_VALUE"""),"Al Ain")</f>
        <v>Al Ain</v>
      </c>
      <c r="B15093" s="2" t="str">
        <f ca="1">IFERROR(__xludf.DUMMYFUNCTION("""COMPUTED_VALUE"""),"Maadhi")</f>
        <v>Maadhi</v>
      </c>
      <c r="C15093" s="2" t="str">
        <f ca="1">IFERROR(__xludf.DUMMYFUNCTION("""COMPUTED_VALUE"""),"Neighbourhood")</f>
        <v>Neighbourhood</v>
      </c>
      <c r="D15093" s="2" t="str">
        <f ca="1">IFERROR(__xludf.DUMMYFUNCTION("""COMPUTED_VALUE"""),"Al Ain&gt;Al Tiwayya&gt;Maadhi")</f>
        <v>Al Ain&gt;Al Tiwayya&gt;Maadhi</v>
      </c>
      <c r="E15093" s="2"/>
      <c r="F15093" s="2"/>
      <c r="G15093" s="2"/>
      <c r="H15093" s="2"/>
      <c r="I15093" s="2"/>
      <c r="J15093" s="2"/>
      <c r="K15093" s="2"/>
      <c r="L15093" s="2"/>
      <c r="M15093" s="2"/>
      <c r="N15093" s="2"/>
      <c r="O15093" s="2"/>
      <c r="P15093" s="2"/>
      <c r="Q15093" s="2"/>
      <c r="R15093" s="2"/>
      <c r="S15093" s="2"/>
      <c r="T15093" s="2"/>
      <c r="U15093" s="2"/>
      <c r="V15093" s="2"/>
      <c r="W15093" s="2"/>
      <c r="X15093" s="2"/>
      <c r="Y15093" s="2"/>
      <c r="Z15093" s="2"/>
    </row>
    <row r="15094" spans="1:26" ht="16.5" x14ac:dyDescent="0.35">
      <c r="A15094" s="2" t="str">
        <f ca="1">IFERROR(__xludf.DUMMYFUNCTION("""COMPUTED_VALUE"""),"Al Ain")</f>
        <v>Al Ain</v>
      </c>
      <c r="B15094" s="2" t="str">
        <f ca="1">IFERROR(__xludf.DUMMYFUNCTION("""COMPUTED_VALUE"""),"Shiab Al Ashkhar")</f>
        <v>Shiab Al Ashkhar</v>
      </c>
      <c r="C15094" s="2" t="str">
        <f ca="1">IFERROR(__xludf.DUMMYFUNCTION("""COMPUTED_VALUE"""),"Neighbourhood")</f>
        <v>Neighbourhood</v>
      </c>
      <c r="D15094" s="2" t="str">
        <f ca="1">IFERROR(__xludf.DUMMYFUNCTION("""COMPUTED_VALUE"""),"Al Ain&gt;Shiab Al Ashkhar")</f>
        <v>Al Ain&gt;Shiab Al Ashkhar</v>
      </c>
      <c r="E15094" s="2"/>
      <c r="F15094" s="2"/>
      <c r="G15094" s="2"/>
      <c r="H15094" s="2"/>
      <c r="I15094" s="2"/>
      <c r="J15094" s="2"/>
      <c r="K15094" s="2"/>
      <c r="L15094" s="2"/>
      <c r="M15094" s="2"/>
      <c r="N15094" s="2"/>
      <c r="O15094" s="2"/>
      <c r="P15094" s="2"/>
      <c r="Q15094" s="2"/>
      <c r="R15094" s="2"/>
      <c r="S15094" s="2"/>
      <c r="T15094" s="2"/>
      <c r="U15094" s="2"/>
      <c r="V15094" s="2"/>
      <c r="W15094" s="2"/>
      <c r="X15094" s="2"/>
      <c r="Y15094" s="2"/>
      <c r="Z15094" s="2"/>
    </row>
    <row r="15095" spans="1:26" ht="16.5" x14ac:dyDescent="0.35">
      <c r="A15095" s="2" t="str">
        <f ca="1">IFERROR(__xludf.DUMMYFUNCTION("""COMPUTED_VALUE"""),"Al Ain")</f>
        <v>Al Ain</v>
      </c>
      <c r="B15095" s="2" t="str">
        <f ca="1">IFERROR(__xludf.DUMMYFUNCTION("""COMPUTED_VALUE"""),"Um Ghafah")</f>
        <v>Um Ghafah</v>
      </c>
      <c r="C15095" s="2" t="str">
        <f ca="1">IFERROR(__xludf.DUMMYFUNCTION("""COMPUTED_VALUE"""),"Neighbourhood")</f>
        <v>Neighbourhood</v>
      </c>
      <c r="D15095" s="2" t="str">
        <f ca="1">IFERROR(__xludf.DUMMYFUNCTION("""COMPUTED_VALUE"""),"Al Ain&gt;Um Ghafah")</f>
        <v>Al Ain&gt;Um Ghafah</v>
      </c>
      <c r="E15095" s="2"/>
      <c r="F15095" s="2"/>
      <c r="G15095" s="2"/>
      <c r="H15095" s="2"/>
      <c r="I15095" s="2"/>
      <c r="J15095" s="2"/>
      <c r="K15095" s="2"/>
      <c r="L15095" s="2"/>
      <c r="M15095" s="2"/>
      <c r="N15095" s="2"/>
      <c r="O15095" s="2"/>
      <c r="P15095" s="2"/>
      <c r="Q15095" s="2"/>
      <c r="R15095" s="2"/>
      <c r="S15095" s="2"/>
      <c r="T15095" s="2"/>
      <c r="U15095" s="2"/>
      <c r="V15095" s="2"/>
      <c r="W15095" s="2"/>
      <c r="X15095" s="2"/>
      <c r="Y15095" s="2"/>
      <c r="Z15095" s="2"/>
    </row>
    <row r="15096" spans="1:26" ht="16.5" x14ac:dyDescent="0.35">
      <c r="A15096" s="2" t="str">
        <f ca="1">IFERROR(__xludf.DUMMYFUNCTION("""COMPUTED_VALUE"""),"Ras Al Khaimah")</f>
        <v>Ras Al Khaimah</v>
      </c>
      <c r="B15096" s="2" t="str">
        <f ca="1">IFERROR(__xludf.DUMMYFUNCTION("""COMPUTED_VALUE"""),"Gateway Residence")</f>
        <v>Gateway Residence</v>
      </c>
      <c r="C15096" s="2" t="str">
        <f ca="1">IFERROR(__xludf.DUMMYFUNCTION("""COMPUTED_VALUE"""),"Building")</f>
        <v>Building</v>
      </c>
      <c r="D15096" s="2" t="str">
        <f ca="1">IFERROR(__xludf.DUMMYFUNCTION("""COMPUTED_VALUE"""),"Ras Al Khaimah&gt;Mina Al Arab&gt;Gateway Residence")</f>
        <v>Ras Al Khaimah&gt;Mina Al Arab&gt;Gateway Residence</v>
      </c>
      <c r="E15096" s="2"/>
      <c r="F15096" s="2"/>
      <c r="G15096" s="2"/>
      <c r="H15096" s="2"/>
      <c r="I15096" s="2"/>
      <c r="J15096" s="2"/>
      <c r="K15096" s="2"/>
      <c r="L15096" s="2"/>
      <c r="M15096" s="2"/>
      <c r="N15096" s="2"/>
      <c r="O15096" s="2"/>
      <c r="P15096" s="2"/>
      <c r="Q15096" s="2"/>
      <c r="R15096" s="2"/>
      <c r="S15096" s="2"/>
      <c r="T15096" s="2"/>
      <c r="U15096" s="2"/>
      <c r="V15096" s="2"/>
      <c r="W15096" s="2"/>
      <c r="X15096" s="2"/>
      <c r="Y15096" s="2"/>
      <c r="Z15096" s="2"/>
    </row>
    <row r="15097" spans="1:26" ht="16.5" x14ac:dyDescent="0.35">
      <c r="A15097" s="2" t="str">
        <f ca="1">IFERROR(__xludf.DUMMYFUNCTION("""COMPUTED_VALUE"""),"Ras Al Khaimah")</f>
        <v>Ras Al Khaimah</v>
      </c>
      <c r="B15097" s="2" t="str">
        <f ca="1">IFERROR(__xludf.DUMMYFUNCTION("""COMPUTED_VALUE"""),"Al Marjan Island")</f>
        <v>Al Marjan Island</v>
      </c>
      <c r="C15097" s="2" t="str">
        <f ca="1">IFERROR(__xludf.DUMMYFUNCTION("""COMPUTED_VALUE"""),"Neighbourhood")</f>
        <v>Neighbourhood</v>
      </c>
      <c r="D15097" s="2" t="str">
        <f ca="1">IFERROR(__xludf.DUMMYFUNCTION("""COMPUTED_VALUE"""),"Ras Al Khaimah&gt;Al Marjan Island")</f>
        <v>Ras Al Khaimah&gt;Al Marjan Island</v>
      </c>
      <c r="E15097" s="2"/>
      <c r="F15097" s="2"/>
      <c r="G15097" s="2"/>
      <c r="H15097" s="2"/>
      <c r="I15097" s="2"/>
      <c r="J15097" s="2"/>
      <c r="K15097" s="2"/>
      <c r="L15097" s="2"/>
      <c r="M15097" s="2"/>
      <c r="N15097" s="2"/>
      <c r="O15097" s="2"/>
      <c r="P15097" s="2"/>
      <c r="Q15097" s="2"/>
      <c r="R15097" s="2"/>
      <c r="S15097" s="2"/>
      <c r="T15097" s="2"/>
      <c r="U15097" s="2"/>
      <c r="V15097" s="2"/>
      <c r="W15097" s="2"/>
      <c r="X15097" s="2"/>
      <c r="Y15097" s="2"/>
      <c r="Z15097" s="2"/>
    </row>
    <row r="15098" spans="1:26" ht="16.5" x14ac:dyDescent="0.35">
      <c r="A15098" s="2" t="str">
        <f ca="1">IFERROR(__xludf.DUMMYFUNCTION("""COMPUTED_VALUE"""),"Ras Al Khaimah")</f>
        <v>Ras Al Khaimah</v>
      </c>
      <c r="B15098" s="2" t="str">
        <f ca="1">IFERROR(__xludf.DUMMYFUNCTION("""COMPUTED_VALUE"""),"Cala Del Mar")</f>
        <v>Cala Del Mar</v>
      </c>
      <c r="C15098" s="2" t="str">
        <f ca="1">IFERROR(__xludf.DUMMYFUNCTION("""COMPUTED_VALUE"""),"Building")</f>
        <v>Building</v>
      </c>
      <c r="D15098" s="2" t="str">
        <f ca="1">IFERROR(__xludf.DUMMYFUNCTION("""COMPUTED_VALUE"""),"Ras Al Khaimah&gt;Al Marjan Island&gt;Cala Del Mar")</f>
        <v>Ras Al Khaimah&gt;Al Marjan Island&gt;Cala Del Mar</v>
      </c>
      <c r="E15098" s="2"/>
      <c r="F15098" s="2"/>
      <c r="G15098" s="2"/>
      <c r="H15098" s="2"/>
      <c r="I15098" s="2"/>
      <c r="J15098" s="2"/>
      <c r="K15098" s="2"/>
      <c r="L15098" s="2"/>
      <c r="M15098" s="2"/>
      <c r="N15098" s="2"/>
      <c r="O15098" s="2"/>
      <c r="P15098" s="2"/>
      <c r="Q15098" s="2"/>
      <c r="R15098" s="2"/>
      <c r="S15098" s="2"/>
      <c r="T15098" s="2"/>
      <c r="U15098" s="2"/>
      <c r="V15098" s="2"/>
      <c r="W15098" s="2"/>
      <c r="X15098" s="2"/>
      <c r="Y15098" s="2"/>
      <c r="Z15098" s="2"/>
    </row>
    <row r="15099" spans="1:26" ht="16.5" x14ac:dyDescent="0.35">
      <c r="A15099" s="2" t="str">
        <f ca="1">IFERROR(__xludf.DUMMYFUNCTION("""COMPUTED_VALUE"""),"Ras Al Khaimah")</f>
        <v>Ras Al Khaimah</v>
      </c>
      <c r="B15099" s="2" t="str">
        <f ca="1">IFERROR(__xludf.DUMMYFUNCTION("""COMPUTED_VALUE"""),"Playa Viva")</f>
        <v>Playa Viva</v>
      </c>
      <c r="C15099" s="2" t="str">
        <f ca="1">IFERROR(__xludf.DUMMYFUNCTION("""COMPUTED_VALUE"""),"Building")</f>
        <v>Building</v>
      </c>
      <c r="D15099" s="2" t="str">
        <f ca="1">IFERROR(__xludf.DUMMYFUNCTION("""COMPUTED_VALUE"""),"Ras Al Khaimah&gt;Al Marjan Island&gt;Playa Viva")</f>
        <v>Ras Al Khaimah&gt;Al Marjan Island&gt;Playa Viva</v>
      </c>
      <c r="E15099" s="2"/>
      <c r="F15099" s="2"/>
      <c r="G15099" s="2"/>
      <c r="H15099" s="2"/>
      <c r="I15099" s="2"/>
      <c r="J15099" s="2"/>
      <c r="K15099" s="2"/>
      <c r="L15099" s="2"/>
      <c r="M15099" s="2"/>
      <c r="N15099" s="2"/>
      <c r="O15099" s="2"/>
      <c r="P15099" s="2"/>
      <c r="Q15099" s="2"/>
      <c r="R15099" s="2"/>
      <c r="S15099" s="2"/>
      <c r="T15099" s="2"/>
      <c r="U15099" s="2"/>
      <c r="V15099" s="2"/>
      <c r="W15099" s="2"/>
      <c r="X15099" s="2"/>
      <c r="Y15099" s="2"/>
      <c r="Z15099" s="2"/>
    </row>
    <row r="15100" spans="1:26" ht="16.5" x14ac:dyDescent="0.35">
      <c r="A15100" s="2" t="str">
        <f ca="1">IFERROR(__xludf.DUMMYFUNCTION("""COMPUTED_VALUE"""),"Ras Al Khaimah")</f>
        <v>Ras Al Khaimah</v>
      </c>
      <c r="B15100" s="2" t="str">
        <f ca="1">IFERROR(__xludf.DUMMYFUNCTION("""COMPUTED_VALUE"""),"Royal Breeze 5")</f>
        <v>Royal Breeze 5</v>
      </c>
      <c r="C15100" s="2" t="str">
        <f ca="1">IFERROR(__xludf.DUMMYFUNCTION("""COMPUTED_VALUE"""),"Building")</f>
        <v>Building</v>
      </c>
      <c r="D15100" s="2" t="str">
        <f ca="1">IFERROR(__xludf.DUMMYFUNCTION("""COMPUTED_VALUE"""),"Ras Al Khaimah&gt;Al Hamra Village&gt;Royal Breeze Apartment&gt;Royal Breeze 5")</f>
        <v>Ras Al Khaimah&gt;Al Hamra Village&gt;Royal Breeze Apartment&gt;Royal Breeze 5</v>
      </c>
      <c r="E15100" s="2"/>
      <c r="F15100" s="2"/>
      <c r="G15100" s="2"/>
      <c r="H15100" s="2"/>
      <c r="I15100" s="2"/>
      <c r="J15100" s="2"/>
      <c r="K15100" s="2"/>
      <c r="L15100" s="2"/>
      <c r="M15100" s="2"/>
      <c r="N15100" s="2"/>
      <c r="O15100" s="2"/>
      <c r="P15100" s="2"/>
      <c r="Q15100" s="2"/>
      <c r="R15100" s="2"/>
      <c r="S15100" s="2"/>
      <c r="T15100" s="2"/>
      <c r="U15100" s="2"/>
      <c r="V15100" s="2"/>
      <c r="W15100" s="2"/>
      <c r="X15100" s="2"/>
      <c r="Y15100" s="2"/>
      <c r="Z15100" s="2"/>
    </row>
    <row r="15101" spans="1:26" ht="16.5" x14ac:dyDescent="0.35">
      <c r="A15101" s="2" t="str">
        <f ca="1">IFERROR(__xludf.DUMMYFUNCTION("""COMPUTED_VALUE"""),"Ras Al Khaimah")</f>
        <v>Ras Al Khaimah</v>
      </c>
      <c r="B15101" s="2" t="str">
        <f ca="1">IFERROR(__xludf.DUMMYFUNCTION("""COMPUTED_VALUE"""),"Yasmin Village Building 1")</f>
        <v>Yasmin Village Building 1</v>
      </c>
      <c r="C15101" s="2" t="str">
        <f ca="1">IFERROR(__xludf.DUMMYFUNCTION("""COMPUTED_VALUE"""),"Building")</f>
        <v>Building</v>
      </c>
      <c r="D15101" s="2" t="str">
        <f ca="1">IFERROR(__xludf.DUMMYFUNCTION("""COMPUTED_VALUE"""),"Ras Al Khaimah&gt;Yasmin Village&gt;Yasmin Village Building 1")</f>
        <v>Ras Al Khaimah&gt;Yasmin Village&gt;Yasmin Village Building 1</v>
      </c>
      <c r="E15101" s="2"/>
      <c r="F15101" s="2"/>
      <c r="G15101" s="2"/>
      <c r="H15101" s="2"/>
      <c r="I15101" s="2"/>
      <c r="J15101" s="2"/>
      <c r="K15101" s="2"/>
      <c r="L15101" s="2"/>
      <c r="M15101" s="2"/>
      <c r="N15101" s="2"/>
      <c r="O15101" s="2"/>
      <c r="P15101" s="2"/>
      <c r="Q15101" s="2"/>
      <c r="R15101" s="2"/>
      <c r="S15101" s="2"/>
      <c r="T15101" s="2"/>
      <c r="U15101" s="2"/>
      <c r="V15101" s="2"/>
      <c r="W15101" s="2"/>
      <c r="X15101" s="2"/>
      <c r="Y15101" s="2"/>
      <c r="Z15101" s="2"/>
    </row>
    <row r="15102" spans="1:26" ht="16.5" x14ac:dyDescent="0.35">
      <c r="A15102" s="2" t="str">
        <f ca="1">IFERROR(__xludf.DUMMYFUNCTION("""COMPUTED_VALUE"""),"Ras Al Khaimah")</f>
        <v>Ras Al Khaimah</v>
      </c>
      <c r="B15102" s="2" t="str">
        <f ca="1">IFERROR(__xludf.DUMMYFUNCTION("""COMPUTED_VALUE"""),"Pakistan Higher Secondary School, Ras Al Khaimah")</f>
        <v>Pakistan Higher Secondary School, Ras Al Khaimah</v>
      </c>
      <c r="C15102" s="2" t="str">
        <f ca="1">IFERROR(__xludf.DUMMYFUNCTION("""COMPUTED_VALUE"""),"School")</f>
        <v>School</v>
      </c>
      <c r="D15102" s="2" t="str">
        <f ca="1">IFERROR(__xludf.DUMMYFUNCTION("""COMPUTED_VALUE"""),"Ras Al Khaimah&gt;Al Mamourah&gt;Pakistan Higher Secondary School, Ras Al Khaimah")</f>
        <v>Ras Al Khaimah&gt;Al Mamourah&gt;Pakistan Higher Secondary School, Ras Al Khaimah</v>
      </c>
      <c r="E15102" s="2"/>
      <c r="F15102" s="2"/>
      <c r="G15102" s="2"/>
      <c r="H15102" s="2"/>
      <c r="I15102" s="2"/>
      <c r="J15102" s="2"/>
      <c r="K15102" s="2"/>
      <c r="L15102" s="2"/>
      <c r="M15102" s="2"/>
      <c r="N15102" s="2"/>
      <c r="O15102" s="2"/>
      <c r="P15102" s="2"/>
      <c r="Q15102" s="2"/>
      <c r="R15102" s="2"/>
      <c r="S15102" s="2"/>
      <c r="T15102" s="2"/>
      <c r="U15102" s="2"/>
      <c r="V15102" s="2"/>
      <c r="W15102" s="2"/>
      <c r="X15102" s="2"/>
      <c r="Y15102" s="2"/>
      <c r="Z15102" s="2"/>
    </row>
    <row r="15103" spans="1:26" ht="16.5" x14ac:dyDescent="0.35">
      <c r="A15103" s="2" t="str">
        <f ca="1">IFERROR(__xludf.DUMMYFUNCTION("""COMPUTED_VALUE"""),"Ras Al Khaimah")</f>
        <v>Ras Al Khaimah</v>
      </c>
      <c r="B15103" s="2" t="str">
        <f ca="1">IFERROR(__xludf.DUMMYFUNCTION("""COMPUTED_VALUE"""),"Al Eraibi")</f>
        <v>Al Eraibi</v>
      </c>
      <c r="C15103" s="2"/>
      <c r="D15103" s="2" t="str">
        <f ca="1">IFERROR(__xludf.DUMMYFUNCTION("""COMPUTED_VALUE"""),"Ras Al Khaimah&gt;Al Eraibi")</f>
        <v>Ras Al Khaimah&gt;Al Eraibi</v>
      </c>
      <c r="E15103" s="2"/>
      <c r="F15103" s="2"/>
      <c r="G15103" s="2"/>
      <c r="H15103" s="2"/>
      <c r="I15103" s="2"/>
      <c r="J15103" s="2"/>
      <c r="K15103" s="2"/>
      <c r="L15103" s="2"/>
      <c r="M15103" s="2"/>
      <c r="N15103" s="2"/>
      <c r="O15103" s="2"/>
      <c r="P15103" s="2"/>
      <c r="Q15103" s="2"/>
      <c r="R15103" s="2"/>
      <c r="S15103" s="2"/>
      <c r="T15103" s="2"/>
      <c r="U15103" s="2"/>
      <c r="V15103" s="2"/>
      <c r="W15103" s="2"/>
      <c r="X15103" s="2"/>
      <c r="Y15103" s="2"/>
      <c r="Z15103" s="2"/>
    </row>
    <row r="15104" spans="1:26" ht="16.5" x14ac:dyDescent="0.35">
      <c r="A15104" s="2" t="str">
        <f ca="1">IFERROR(__xludf.DUMMYFUNCTION("""COMPUTED_VALUE"""),"Ras Al Khaimah")</f>
        <v>Ras Al Khaimah</v>
      </c>
      <c r="B15104" s="2" t="str">
        <f ca="1">IFERROR(__xludf.DUMMYFUNCTION("""COMPUTED_VALUE"""),"Sha'am")</f>
        <v>Sha'am</v>
      </c>
      <c r="C15104" s="2" t="str">
        <f ca="1">IFERROR(__xludf.DUMMYFUNCTION("""COMPUTED_VALUE"""),"Neighbourhood")</f>
        <v>Neighbourhood</v>
      </c>
      <c r="D15104" s="2" t="str">
        <f ca="1">IFERROR(__xludf.DUMMYFUNCTION("""COMPUTED_VALUE"""),"Ras Al Khaimah&gt;Sha'am")</f>
        <v>Ras Al Khaimah&gt;Sha'am</v>
      </c>
      <c r="E15104" s="2"/>
      <c r="F15104" s="2"/>
      <c r="G15104" s="2"/>
      <c r="H15104" s="2"/>
      <c r="I15104" s="2"/>
      <c r="J15104" s="2"/>
      <c r="K15104" s="2"/>
      <c r="L15104" s="2"/>
      <c r="M15104" s="2"/>
      <c r="N15104" s="2"/>
      <c r="O15104" s="2"/>
      <c r="P15104" s="2"/>
      <c r="Q15104" s="2"/>
      <c r="R15104" s="2"/>
      <c r="S15104" s="2"/>
      <c r="T15104" s="2"/>
      <c r="U15104" s="2"/>
      <c r="V15104" s="2"/>
      <c r="W15104" s="2"/>
      <c r="X15104" s="2"/>
      <c r="Y15104" s="2"/>
      <c r="Z15104" s="2"/>
    </row>
    <row r="15105" spans="1:26" ht="16.5" x14ac:dyDescent="0.35">
      <c r="A15105" s="2" t="str">
        <f ca="1">IFERROR(__xludf.DUMMYFUNCTION("""COMPUTED_VALUE"""),"Umm Al Quwain")</f>
        <v>Umm Al Quwain</v>
      </c>
      <c r="B15105" s="2" t="str">
        <f ca="1">IFERROR(__xludf.DUMMYFUNCTION("""COMPUTED_VALUE"""),"Al Qarayen")</f>
        <v>Al Qarayen</v>
      </c>
      <c r="C15105" s="2"/>
      <c r="D15105" s="2" t="str">
        <f ca="1">IFERROR(__xludf.DUMMYFUNCTION("""COMPUTED_VALUE"""),"Umm Al Quwain&gt;Al Qarayen")</f>
        <v>Umm Al Quwain&gt;Al Qarayen</v>
      </c>
      <c r="E15105" s="2"/>
      <c r="F15105" s="2"/>
      <c r="G15105" s="2"/>
      <c r="H15105" s="2"/>
      <c r="I15105" s="2"/>
      <c r="J15105" s="2"/>
      <c r="K15105" s="2"/>
      <c r="L15105" s="2"/>
      <c r="M15105" s="2"/>
      <c r="N15105" s="2"/>
      <c r="O15105" s="2"/>
      <c r="P15105" s="2"/>
      <c r="Q15105" s="2"/>
      <c r="R15105" s="2"/>
      <c r="S15105" s="2"/>
      <c r="T15105" s="2"/>
      <c r="U15105" s="2"/>
      <c r="V15105" s="2"/>
      <c r="W15105" s="2"/>
      <c r="X15105" s="2"/>
      <c r="Y15105" s="2"/>
      <c r="Z15105" s="2"/>
    </row>
    <row r="15106" spans="1:26" ht="16.5" x14ac:dyDescent="0.35">
      <c r="A15106" s="2" t="str">
        <f ca="1">IFERROR(__xludf.DUMMYFUNCTION("""COMPUTED_VALUE"""),"Umm Al Quwain")</f>
        <v>Umm Al Quwain</v>
      </c>
      <c r="B15106" s="2" t="str">
        <f ca="1">IFERROR(__xludf.DUMMYFUNCTION("""COMPUTED_VALUE"""),"Al Shareiah")</f>
        <v>Al Shareiah</v>
      </c>
      <c r="C15106" s="2" t="str">
        <f ca="1">IFERROR(__xludf.DUMMYFUNCTION("""COMPUTED_VALUE"""),"Neighbourhood")</f>
        <v>Neighbourhood</v>
      </c>
      <c r="D15106" s="2" t="str">
        <f ca="1">IFERROR(__xludf.DUMMYFUNCTION("""COMPUTED_VALUE"""),"Umm Al Quwain&gt;Falaj Al Mualla&gt;Al Shareiah")</f>
        <v>Umm Al Quwain&gt;Falaj Al Mualla&gt;Al Shareiah</v>
      </c>
      <c r="E15106" s="2"/>
      <c r="F15106" s="2"/>
      <c r="G15106" s="2"/>
      <c r="H15106" s="2"/>
      <c r="I15106" s="2"/>
      <c r="J15106" s="2"/>
      <c r="K15106" s="2"/>
      <c r="L15106" s="2"/>
      <c r="M15106" s="2"/>
      <c r="N15106" s="2"/>
      <c r="O15106" s="2"/>
      <c r="P15106" s="2"/>
      <c r="Q15106" s="2"/>
      <c r="R15106" s="2"/>
      <c r="S15106" s="2"/>
      <c r="T15106" s="2"/>
      <c r="U15106" s="2"/>
      <c r="V15106" s="2"/>
      <c r="W15106" s="2"/>
      <c r="X15106" s="2"/>
      <c r="Y15106" s="2"/>
      <c r="Z15106" s="2"/>
    </row>
    <row r="15107" spans="1:26" ht="16.5" x14ac:dyDescent="0.35">
      <c r="A15107" s="2" t="str">
        <f ca="1">IFERROR(__xludf.DUMMYFUNCTION("""COMPUTED_VALUE"""),"Umm Al Quwain")</f>
        <v>Umm Al Quwain</v>
      </c>
      <c r="B15107" s="2" t="str">
        <f ca="1">IFERROR(__xludf.DUMMYFUNCTION("""COMPUTED_VALUE"""),"Delphine Beach Residences Tower C")</f>
        <v>Delphine Beach Residences Tower C</v>
      </c>
      <c r="C15107" s="2" t="str">
        <f ca="1">IFERROR(__xludf.DUMMYFUNCTION("""COMPUTED_VALUE"""),"Building")</f>
        <v>Building</v>
      </c>
      <c r="D15107" s="2" t="str">
        <f ca="1">IFERROR(__xludf.DUMMYFUNCTION("""COMPUTED_VALUE"""),"Umm Al Quwain&gt;Al Seanneeah&gt;Sobha Siniya Island&gt;Delphine Beach Residences&gt;Delphine Beach Residences Tower C")</f>
        <v>Umm Al Quwain&gt;Al Seanneeah&gt;Sobha Siniya Island&gt;Delphine Beach Residences&gt;Delphine Beach Residences Tower C</v>
      </c>
      <c r="E15107" s="2"/>
      <c r="F15107" s="2"/>
      <c r="G15107" s="2"/>
      <c r="H15107" s="2"/>
      <c r="I15107" s="2"/>
      <c r="J15107" s="2"/>
      <c r="K15107" s="2"/>
      <c r="L15107" s="2"/>
      <c r="M15107" s="2"/>
      <c r="N15107" s="2"/>
      <c r="O15107" s="2"/>
      <c r="P15107" s="2"/>
      <c r="Q15107" s="2"/>
      <c r="R15107" s="2"/>
      <c r="S15107" s="2"/>
      <c r="T15107" s="2"/>
      <c r="U15107" s="2"/>
      <c r="V15107" s="2"/>
      <c r="W15107" s="2"/>
      <c r="X15107" s="2"/>
      <c r="Y15107" s="2"/>
      <c r="Z15107" s="2"/>
    </row>
    <row r="15108" spans="1:26" ht="16.5" x14ac:dyDescent="0.35">
      <c r="A15108" s="2" t="str">
        <f ca="1">IFERROR(__xludf.DUMMYFUNCTION("""COMPUTED_VALUE"""),"Umm Al Quwain")</f>
        <v>Umm Al Quwain</v>
      </c>
      <c r="B15108" s="2" t="str">
        <f ca="1">IFERROR(__xludf.DUMMYFUNCTION("""COMPUTED_VALUE"""),"Yachtside Marina Residences Tower A")</f>
        <v>Yachtside Marina Residences Tower A</v>
      </c>
      <c r="C15108" s="2" t="str">
        <f ca="1">IFERROR(__xludf.DUMMYFUNCTION("""COMPUTED_VALUE"""),"Building")</f>
        <v>Building</v>
      </c>
      <c r="D15108" s="2" t="str">
        <f ca="1">IFERROR(__xludf.DUMMYFUNCTION("""COMPUTED_VALUE"""),"Umm Al Quwain&gt;Al Seanneeah&gt;Sobha Siniya Island&gt;Yachtside Marina Residences&gt;Yachtside Marina Residences Tower A")</f>
        <v>Umm Al Quwain&gt;Al Seanneeah&gt;Sobha Siniya Island&gt;Yachtside Marina Residences&gt;Yachtside Marina Residences Tower A</v>
      </c>
      <c r="E15108" s="2"/>
      <c r="F15108" s="2"/>
      <c r="G15108" s="2"/>
      <c r="H15108" s="2"/>
      <c r="I15108" s="2"/>
      <c r="J15108" s="2"/>
      <c r="K15108" s="2"/>
      <c r="L15108" s="2"/>
      <c r="M15108" s="2"/>
      <c r="N15108" s="2"/>
      <c r="O15108" s="2"/>
      <c r="P15108" s="2"/>
      <c r="Q15108" s="2"/>
      <c r="R15108" s="2"/>
      <c r="S15108" s="2"/>
      <c r="T15108" s="2"/>
      <c r="U15108" s="2"/>
      <c r="V15108" s="2"/>
      <c r="W15108" s="2"/>
      <c r="X15108" s="2"/>
      <c r="Y15108" s="2"/>
      <c r="Z15108" s="2"/>
    </row>
    <row r="15109" spans="1:26" ht="16.5" x14ac:dyDescent="0.35">
      <c r="A15109" s="2" t="str">
        <f ca="1">IFERROR(__xludf.DUMMYFUNCTION("""COMPUTED_VALUE"""),"Fujairah")</f>
        <v>Fujairah</v>
      </c>
      <c r="B15109" s="2" t="str">
        <f ca="1">IFERROR(__xludf.DUMMYFUNCTION("""COMPUTED_VALUE"""),"Hamad Bin Abdullah Road")</f>
        <v>Hamad Bin Abdullah Road</v>
      </c>
      <c r="C15109" s="2"/>
      <c r="D15109" s="2" t="str">
        <f ca="1">IFERROR(__xludf.DUMMYFUNCTION("""COMPUTED_VALUE"""),"Fujairah&gt;Hamad Bin Abdullah Road")</f>
        <v>Fujairah&gt;Hamad Bin Abdullah Road</v>
      </c>
      <c r="E15109" s="2"/>
      <c r="F15109" s="2"/>
      <c r="G15109" s="2"/>
      <c r="H15109" s="2"/>
      <c r="I15109" s="2"/>
      <c r="J15109" s="2"/>
      <c r="K15109" s="2"/>
      <c r="L15109" s="2"/>
      <c r="M15109" s="2"/>
      <c r="N15109" s="2"/>
      <c r="O15109" s="2"/>
      <c r="P15109" s="2"/>
      <c r="Q15109" s="2"/>
      <c r="R15109" s="2"/>
      <c r="S15109" s="2"/>
      <c r="T15109" s="2"/>
      <c r="U15109" s="2"/>
      <c r="V15109" s="2"/>
      <c r="W15109" s="2"/>
      <c r="X15109" s="2"/>
      <c r="Y15109" s="2"/>
      <c r="Z15109" s="2"/>
    </row>
    <row r="15110" spans="1:26" ht="16.5" x14ac:dyDescent="0.35">
      <c r="A15110" s="2" t="str">
        <f ca="1">IFERROR(__xludf.DUMMYFUNCTION("""COMPUTED_VALUE"""),"Fujairah")</f>
        <v>Fujairah</v>
      </c>
      <c r="B15110" s="2" t="str">
        <f ca="1">IFERROR(__xludf.DUMMYFUNCTION("""COMPUTED_VALUE"""),"Fujairah Tower")</f>
        <v>Fujairah Tower</v>
      </c>
      <c r="C15110" s="2"/>
      <c r="D15110" s="2" t="str">
        <f ca="1">IFERROR(__xludf.DUMMYFUNCTION("""COMPUTED_VALUE"""),"Fujairah&gt;Fujairah Tower")</f>
        <v>Fujairah&gt;Fujairah Tower</v>
      </c>
      <c r="E15110" s="2"/>
      <c r="F15110" s="2"/>
      <c r="G15110" s="2"/>
      <c r="H15110" s="2"/>
      <c r="I15110" s="2"/>
      <c r="J15110" s="2"/>
      <c r="K15110" s="2"/>
      <c r="L15110" s="2"/>
      <c r="M15110" s="2"/>
      <c r="N15110" s="2"/>
      <c r="O15110" s="2"/>
      <c r="P15110" s="2"/>
      <c r="Q15110" s="2"/>
      <c r="R15110" s="2"/>
      <c r="S15110" s="2"/>
      <c r="T15110" s="2"/>
      <c r="U15110" s="2"/>
      <c r="V15110" s="2"/>
      <c r="W15110" s="2"/>
      <c r="X15110" s="2"/>
      <c r="Y15110" s="2"/>
      <c r="Z15110" s="2"/>
    </row>
    <row r="15111" spans="1:26" ht="16.5" x14ac:dyDescent="0.35">
      <c r="A15111" s="2" t="str">
        <f ca="1">IFERROR(__xludf.DUMMYFUNCTION("""COMPUTED_VALUE"""),"Fujairah")</f>
        <v>Fujairah</v>
      </c>
      <c r="B15111" s="2" t="str">
        <f ca="1">IFERROR(__xludf.DUMMYFUNCTION("""COMPUTED_VALUE"""),"Al Suda")</f>
        <v>Al Suda</v>
      </c>
      <c r="C15111" s="2" t="str">
        <f ca="1">IFERROR(__xludf.DUMMYFUNCTION("""COMPUTED_VALUE"""),"Neighbourhood")</f>
        <v>Neighbourhood</v>
      </c>
      <c r="D15111" s="2" t="str">
        <f ca="1">IFERROR(__xludf.DUMMYFUNCTION("""COMPUTED_VALUE"""),"Fujairah&gt;Al Suda")</f>
        <v>Fujairah&gt;Al Suda</v>
      </c>
      <c r="E15111" s="2"/>
      <c r="F15111" s="2"/>
      <c r="G15111" s="2"/>
      <c r="H15111" s="2"/>
      <c r="I15111" s="2"/>
      <c r="J15111" s="2"/>
      <c r="K15111" s="2"/>
      <c r="L15111" s="2"/>
      <c r="M15111" s="2"/>
      <c r="N15111" s="2"/>
      <c r="O15111" s="2"/>
      <c r="P15111" s="2"/>
      <c r="Q15111" s="2"/>
      <c r="R15111" s="2"/>
      <c r="S15111" s="2"/>
      <c r="T15111" s="2"/>
      <c r="U15111" s="2"/>
      <c r="V15111" s="2"/>
      <c r="W15111" s="2"/>
      <c r="X15111" s="2"/>
      <c r="Y15111" s="2"/>
      <c r="Z15111" s="2"/>
    </row>
    <row r="15112" spans="1:26" ht="16.5" x14ac:dyDescent="0.35">
      <c r="A15112" s="2" t="str">
        <f ca="1">IFERROR(__xludf.DUMMYFUNCTION("""COMPUTED_VALUE"""),"Dubai")</f>
        <v>Dubai</v>
      </c>
      <c r="B15112" s="2" t="str">
        <f ca="1">IFERROR(__xludf.DUMMYFUNCTION("""COMPUTED_VALUE"""),"Emirates Red Crescent Building")</f>
        <v>Emirates Red Crescent Building</v>
      </c>
      <c r="C15112" s="2" t="str">
        <f ca="1">IFERROR(__xludf.DUMMYFUNCTION("""COMPUTED_VALUE"""),"Building")</f>
        <v>Building</v>
      </c>
      <c r="D15112" s="2" t="str">
        <f ca="1">IFERROR(__xludf.DUMMYFUNCTION("""COMPUTED_VALUE"""),"Dubai&gt;Al Garhoud&gt;Emirates Red Crescent Building")</f>
        <v>Dubai&gt;Al Garhoud&gt;Emirates Red Crescent Building</v>
      </c>
      <c r="E15112" s="2"/>
      <c r="F15112" s="2"/>
      <c r="G15112" s="2"/>
      <c r="H15112" s="2"/>
      <c r="I15112" s="2"/>
      <c r="J15112" s="2"/>
      <c r="K15112" s="2"/>
      <c r="L15112" s="2"/>
      <c r="M15112" s="2"/>
      <c r="N15112" s="2"/>
      <c r="O15112" s="2"/>
      <c r="P15112" s="2"/>
      <c r="Q15112" s="2"/>
      <c r="R15112" s="2"/>
      <c r="S15112" s="2"/>
      <c r="T15112" s="2"/>
      <c r="U15112" s="2"/>
      <c r="V15112" s="2"/>
      <c r="W15112" s="2"/>
      <c r="X15112" s="2"/>
      <c r="Y15112" s="2"/>
      <c r="Z15112" s="2"/>
    </row>
    <row r="15113" spans="1:26" ht="16.5" x14ac:dyDescent="0.35">
      <c r="A15113" s="2" t="str">
        <f ca="1">IFERROR(__xludf.DUMMYFUNCTION("""COMPUTED_VALUE"""),"Dubai")</f>
        <v>Dubai</v>
      </c>
      <c r="B15113" s="2" t="str">
        <f ca="1">IFERROR(__xludf.DUMMYFUNCTION("""COMPUTED_VALUE"""),"Cluster 17")</f>
        <v>Cluster 17</v>
      </c>
      <c r="C15113" s="2" t="str">
        <f ca="1">IFERROR(__xludf.DUMMYFUNCTION("""COMPUTED_VALUE"""),"Neighbourhood")</f>
        <v>Neighbourhood</v>
      </c>
      <c r="D15113" s="2" t="str">
        <f ca="1">IFERROR(__xludf.DUMMYFUNCTION("""COMPUTED_VALUE"""),"Dubai&gt;Jumeirah Islands&gt;Cluster 17")</f>
        <v>Dubai&gt;Jumeirah Islands&gt;Cluster 17</v>
      </c>
      <c r="E15113" s="2"/>
      <c r="F15113" s="2"/>
      <c r="G15113" s="2"/>
      <c r="H15113" s="2"/>
      <c r="I15113" s="2"/>
      <c r="J15113" s="2"/>
      <c r="K15113" s="2"/>
      <c r="L15113" s="2"/>
      <c r="M15113" s="2"/>
      <c r="N15113" s="2"/>
      <c r="O15113" s="2"/>
      <c r="P15113" s="2"/>
      <c r="Q15113" s="2"/>
      <c r="R15113" s="2"/>
      <c r="S15113" s="2"/>
      <c r="T15113" s="2"/>
      <c r="U15113" s="2"/>
      <c r="V15113" s="2"/>
      <c r="W15113" s="2"/>
      <c r="X15113" s="2"/>
      <c r="Y15113" s="2"/>
      <c r="Z15113" s="2"/>
    </row>
    <row r="15114" spans="1:26" ht="16.5" x14ac:dyDescent="0.35">
      <c r="A15114" s="2" t="str">
        <f ca="1">IFERROR(__xludf.DUMMYFUNCTION("""COMPUTED_VALUE"""),"Dubai")</f>
        <v>Dubai</v>
      </c>
      <c r="B15114" s="2" t="str">
        <f ca="1">IFERROR(__xludf.DUMMYFUNCTION("""COMPUTED_VALUE"""),"Cluster 49")</f>
        <v>Cluster 49</v>
      </c>
      <c r="C15114" s="2" t="str">
        <f ca="1">IFERROR(__xludf.DUMMYFUNCTION("""COMPUTED_VALUE"""),"Neighbourhood")</f>
        <v>Neighbourhood</v>
      </c>
      <c r="D15114" s="2" t="str">
        <f ca="1">IFERROR(__xludf.DUMMYFUNCTION("""COMPUTED_VALUE"""),"Dubai&gt;Jumeirah Islands&gt;Cluster 49")</f>
        <v>Dubai&gt;Jumeirah Islands&gt;Cluster 49</v>
      </c>
      <c r="E15114" s="2"/>
      <c r="F15114" s="2"/>
      <c r="G15114" s="2"/>
      <c r="H15114" s="2"/>
      <c r="I15114" s="2"/>
      <c r="J15114" s="2"/>
      <c r="K15114" s="2"/>
      <c r="L15114" s="2"/>
      <c r="M15114" s="2"/>
      <c r="N15114" s="2"/>
      <c r="O15114" s="2"/>
      <c r="P15114" s="2"/>
      <c r="Q15114" s="2"/>
      <c r="R15114" s="2"/>
      <c r="S15114" s="2"/>
      <c r="T15114" s="2"/>
      <c r="U15114" s="2"/>
      <c r="V15114" s="2"/>
      <c r="W15114" s="2"/>
      <c r="X15114" s="2"/>
      <c r="Y15114" s="2"/>
      <c r="Z15114" s="2"/>
    </row>
    <row r="15115" spans="1:26" ht="16.5" x14ac:dyDescent="0.35">
      <c r="A15115" s="2" t="str">
        <f ca="1">IFERROR(__xludf.DUMMYFUNCTION("""COMPUTED_VALUE"""),"Dubai")</f>
        <v>Dubai</v>
      </c>
      <c r="B15115" s="2" t="str">
        <f ca="1">IFERROR(__xludf.DUMMYFUNCTION("""COMPUTED_VALUE"""),"Garden Apartments East I")</f>
        <v>Garden Apartments East I</v>
      </c>
      <c r="C15115" s="2" t="str">
        <f ca="1">IFERROR(__xludf.DUMMYFUNCTION("""COMPUTED_VALUE"""),"Building")</f>
        <v>Building</v>
      </c>
      <c r="D15115" s="2" t="str">
        <f ca="1">IFERROR(__xludf.DUMMYFUNCTION("""COMPUTED_VALUE"""),"Dubai&gt;Green Community&gt;Garden East Apartments&gt;Garden Apartments East I")</f>
        <v>Dubai&gt;Green Community&gt;Garden East Apartments&gt;Garden Apartments East I</v>
      </c>
      <c r="E15115" s="2"/>
      <c r="F15115" s="2"/>
      <c r="G15115" s="2"/>
      <c r="H15115" s="2"/>
      <c r="I15115" s="2"/>
      <c r="J15115" s="2"/>
      <c r="K15115" s="2"/>
      <c r="L15115" s="2"/>
      <c r="M15115" s="2"/>
      <c r="N15115" s="2"/>
      <c r="O15115" s="2"/>
      <c r="P15115" s="2"/>
      <c r="Q15115" s="2"/>
      <c r="R15115" s="2"/>
      <c r="S15115" s="2"/>
      <c r="T15115" s="2"/>
      <c r="U15115" s="2"/>
      <c r="V15115" s="2"/>
      <c r="W15115" s="2"/>
      <c r="X15115" s="2"/>
      <c r="Y15115" s="2"/>
      <c r="Z15115" s="2"/>
    </row>
    <row r="15116" spans="1:26" ht="16.5" x14ac:dyDescent="0.35">
      <c r="A15116" s="2" t="str">
        <f ca="1">IFERROR(__xludf.DUMMYFUNCTION("""COMPUTED_VALUE"""),"Dubai")</f>
        <v>Dubai</v>
      </c>
      <c r="B15116" s="2" t="str">
        <f ca="1">IFERROR(__xludf.DUMMYFUNCTION("""COMPUTED_VALUE"""),"Southwest Apartments 7")</f>
        <v>Southwest Apartments 7</v>
      </c>
      <c r="C15116" s="2" t="str">
        <f ca="1">IFERROR(__xludf.DUMMYFUNCTION("""COMPUTED_VALUE"""),"Building")</f>
        <v>Building</v>
      </c>
      <c r="D15116" s="2" t="str">
        <f ca="1">IFERROR(__xludf.DUMMYFUNCTION("""COMPUTED_VALUE"""),"Dubai&gt;Green Community&gt;Green Community West&gt;Southwest Apartments&gt;Southwest Apartments 7")</f>
        <v>Dubai&gt;Green Community&gt;Green Community West&gt;Southwest Apartments&gt;Southwest Apartments 7</v>
      </c>
      <c r="E15116" s="2"/>
      <c r="F15116" s="2"/>
      <c r="G15116" s="2"/>
      <c r="H15116" s="2"/>
      <c r="I15116" s="2"/>
      <c r="J15116" s="2"/>
      <c r="K15116" s="2"/>
      <c r="L15116" s="2"/>
      <c r="M15116" s="2"/>
      <c r="N15116" s="2"/>
      <c r="O15116" s="2"/>
      <c r="P15116" s="2"/>
      <c r="Q15116" s="2"/>
      <c r="R15116" s="2"/>
      <c r="S15116" s="2"/>
      <c r="T15116" s="2"/>
      <c r="U15116" s="2"/>
      <c r="V15116" s="2"/>
      <c r="W15116" s="2"/>
      <c r="X15116" s="2"/>
      <c r="Y15116" s="2"/>
      <c r="Z15116" s="2"/>
    </row>
    <row r="15117" spans="1:26" ht="16.5" x14ac:dyDescent="0.35">
      <c r="A15117" s="2" t="str">
        <f ca="1">IFERROR(__xludf.DUMMYFUNCTION("""COMPUTED_VALUE"""),"Dubai")</f>
        <v>Dubai</v>
      </c>
      <c r="B15117" s="2" t="str">
        <f ca="1">IFERROR(__xludf.DUMMYFUNCTION("""COMPUTED_VALUE"""),"Elite Sports Residence 8")</f>
        <v>Elite Sports Residence 8</v>
      </c>
      <c r="C15117" s="2" t="str">
        <f ca="1">IFERROR(__xludf.DUMMYFUNCTION("""COMPUTED_VALUE"""),"Building")</f>
        <v>Building</v>
      </c>
      <c r="D15117" s="2" t="str">
        <f ca="1">IFERROR(__xludf.DUMMYFUNCTION("""COMPUTED_VALUE"""),"Dubai&gt;Dubai Sports City&gt;Elite Sports Residence&gt;Elite Sports Residence 8")</f>
        <v>Dubai&gt;Dubai Sports City&gt;Elite Sports Residence&gt;Elite Sports Residence 8</v>
      </c>
      <c r="E15117" s="2"/>
      <c r="F15117" s="2"/>
      <c r="G15117" s="2"/>
      <c r="H15117" s="2"/>
      <c r="I15117" s="2"/>
      <c r="J15117" s="2"/>
      <c r="K15117" s="2"/>
      <c r="L15117" s="2"/>
      <c r="M15117" s="2"/>
      <c r="N15117" s="2"/>
      <c r="O15117" s="2"/>
      <c r="P15117" s="2"/>
      <c r="Q15117" s="2"/>
      <c r="R15117" s="2"/>
      <c r="S15117" s="2"/>
      <c r="T15117" s="2"/>
      <c r="U15117" s="2"/>
      <c r="V15117" s="2"/>
      <c r="W15117" s="2"/>
      <c r="X15117" s="2"/>
      <c r="Y15117" s="2"/>
      <c r="Z15117" s="2"/>
    </row>
    <row r="15118" spans="1:26" ht="16.5" x14ac:dyDescent="0.35">
      <c r="A15118" s="2" t="str">
        <f ca="1">IFERROR(__xludf.DUMMYFUNCTION("""COMPUTED_VALUE"""),"Dubai")</f>
        <v>Dubai</v>
      </c>
      <c r="B15118" s="2" t="str">
        <f ca="1">IFERROR(__xludf.DUMMYFUNCTION("""COMPUTED_VALUE"""),"Arabian")</f>
        <v>Arabian</v>
      </c>
      <c r="C15118" s="2" t="str">
        <f ca="1">IFERROR(__xludf.DUMMYFUNCTION("""COMPUTED_VALUE"""),"Building")</f>
        <v>Building</v>
      </c>
      <c r="D15118" s="2" t="str">
        <f ca="1">IFERROR(__xludf.DUMMYFUNCTION("""COMPUTED_VALUE"""),"Dubai&gt;Dubai Sports City&gt;Canal Residence West&gt;Arabian")</f>
        <v>Dubai&gt;Dubai Sports City&gt;Canal Residence West&gt;Arabian</v>
      </c>
      <c r="E15118" s="2"/>
      <c r="F15118" s="2"/>
      <c r="G15118" s="2"/>
      <c r="H15118" s="2"/>
      <c r="I15118" s="2"/>
      <c r="J15118" s="2"/>
      <c r="K15118" s="2"/>
      <c r="L15118" s="2"/>
      <c r="M15118" s="2"/>
      <c r="N15118" s="2"/>
      <c r="O15118" s="2"/>
      <c r="P15118" s="2"/>
      <c r="Q15118" s="2"/>
      <c r="R15118" s="2"/>
      <c r="S15118" s="2"/>
      <c r="T15118" s="2"/>
      <c r="U15118" s="2"/>
      <c r="V15118" s="2"/>
      <c r="W15118" s="2"/>
      <c r="X15118" s="2"/>
      <c r="Y15118" s="2"/>
      <c r="Z15118" s="2"/>
    </row>
    <row r="15119" spans="1:26" ht="16.5" x14ac:dyDescent="0.35">
      <c r="A15119" s="2" t="str">
        <f ca="1">IFERROR(__xludf.DUMMYFUNCTION("""COMPUTED_VALUE"""),"Dubai")</f>
        <v>Dubai</v>
      </c>
      <c r="B15119" s="2" t="str">
        <f ca="1">IFERROR(__xludf.DUMMYFUNCTION("""COMPUTED_VALUE"""),"Calida")</f>
        <v>Calida</v>
      </c>
      <c r="C15119" s="2" t="str">
        <f ca="1">IFERROR(__xludf.DUMMYFUNCTION("""COMPUTED_VALUE"""),"Neighbourhood")</f>
        <v>Neighbourhood</v>
      </c>
      <c r="D15119" s="2" t="str">
        <f ca="1">IFERROR(__xludf.DUMMYFUNCTION("""COMPUTED_VALUE"""),"Dubai&gt;Dubai Sports City&gt;Victory Heights&gt;Calida")</f>
        <v>Dubai&gt;Dubai Sports City&gt;Victory Heights&gt;Calida</v>
      </c>
      <c r="E15119" s="2"/>
      <c r="F15119" s="2"/>
      <c r="G15119" s="2"/>
      <c r="H15119" s="2"/>
      <c r="I15119" s="2"/>
      <c r="J15119" s="2"/>
      <c r="K15119" s="2"/>
      <c r="L15119" s="2"/>
      <c r="M15119" s="2"/>
      <c r="N15119" s="2"/>
      <c r="O15119" s="2"/>
      <c r="P15119" s="2"/>
      <c r="Q15119" s="2"/>
      <c r="R15119" s="2"/>
      <c r="S15119" s="2"/>
      <c r="T15119" s="2"/>
      <c r="U15119" s="2"/>
      <c r="V15119" s="2"/>
      <c r="W15119" s="2"/>
      <c r="X15119" s="2"/>
      <c r="Y15119" s="2"/>
      <c r="Z15119" s="2"/>
    </row>
    <row r="15120" spans="1:26" ht="16.5" x14ac:dyDescent="0.35">
      <c r="A15120" s="2" t="str">
        <f ca="1">IFERROR(__xludf.DUMMYFUNCTION("""COMPUTED_VALUE"""),"Dubai")</f>
        <v>Dubai</v>
      </c>
      <c r="B15120" s="2" t="str">
        <f ca="1">IFERROR(__xludf.DUMMYFUNCTION("""COMPUTED_VALUE"""),"All Seasons Residence")</f>
        <v>All Seasons Residence</v>
      </c>
      <c r="C15120" s="2" t="str">
        <f ca="1">IFERROR(__xludf.DUMMYFUNCTION("""COMPUTED_VALUE"""),"Building")</f>
        <v>Building</v>
      </c>
      <c r="D15120" s="2" t="str">
        <f ca="1">IFERROR(__xludf.DUMMYFUNCTION("""COMPUTED_VALUE"""),"Dubai&gt;Dubai Sports City&gt;All Seasons Residence")</f>
        <v>Dubai&gt;Dubai Sports City&gt;All Seasons Residence</v>
      </c>
      <c r="E15120" s="2"/>
      <c r="F15120" s="2"/>
      <c r="G15120" s="2"/>
      <c r="H15120" s="2"/>
      <c r="I15120" s="2"/>
      <c r="J15120" s="2"/>
      <c r="K15120" s="2"/>
      <c r="L15120" s="2"/>
      <c r="M15120" s="2"/>
      <c r="N15120" s="2"/>
      <c r="O15120" s="2"/>
      <c r="P15120" s="2"/>
      <c r="Q15120" s="2"/>
      <c r="R15120" s="2"/>
      <c r="S15120" s="2"/>
      <c r="T15120" s="2"/>
      <c r="U15120" s="2"/>
      <c r="V15120" s="2"/>
      <c r="W15120" s="2"/>
      <c r="X15120" s="2"/>
      <c r="Y15120" s="2"/>
      <c r="Z15120" s="2"/>
    </row>
    <row r="15121" spans="1:26" ht="16.5" x14ac:dyDescent="0.35">
      <c r="A15121" s="2" t="str">
        <f ca="1">IFERROR(__xludf.DUMMYFUNCTION("""COMPUTED_VALUE"""),"Dubai")</f>
        <v>Dubai</v>
      </c>
      <c r="B15121" s="2" t="str">
        <f ca="1">IFERROR(__xludf.DUMMYFUNCTION("""COMPUTED_VALUE"""),"Ali Khalifa Building")</f>
        <v>Ali Khalifa Building</v>
      </c>
      <c r="C15121" s="2" t="str">
        <f ca="1">IFERROR(__xludf.DUMMYFUNCTION("""COMPUTED_VALUE"""),"Building")</f>
        <v>Building</v>
      </c>
      <c r="D15121" s="2" t="str">
        <f ca="1">IFERROR(__xludf.DUMMYFUNCTION("""COMPUTED_VALUE"""),"Dubai&gt;Al Nahda (Dubai)&gt;Al Nahda 1&gt;Ali Khalifa Building")</f>
        <v>Dubai&gt;Al Nahda (Dubai)&gt;Al Nahda 1&gt;Ali Khalifa Building</v>
      </c>
      <c r="E15121" s="2"/>
      <c r="F15121" s="2"/>
      <c r="G15121" s="2"/>
      <c r="H15121" s="2"/>
      <c r="I15121" s="2"/>
      <c r="J15121" s="2"/>
      <c r="K15121" s="2"/>
      <c r="L15121" s="2"/>
      <c r="M15121" s="2"/>
      <c r="N15121" s="2"/>
      <c r="O15121" s="2"/>
      <c r="P15121" s="2"/>
      <c r="Q15121" s="2"/>
      <c r="R15121" s="2"/>
      <c r="S15121" s="2"/>
      <c r="T15121" s="2"/>
      <c r="U15121" s="2"/>
      <c r="V15121" s="2"/>
      <c r="W15121" s="2"/>
      <c r="X15121" s="2"/>
      <c r="Y15121" s="2"/>
      <c r="Z15121" s="2"/>
    </row>
    <row r="15122" spans="1:26" ht="16.5" x14ac:dyDescent="0.35">
      <c r="A15122" s="2" t="str">
        <f ca="1">IFERROR(__xludf.DUMMYFUNCTION("""COMPUTED_VALUE"""),"Dubai")</f>
        <v>Dubai</v>
      </c>
      <c r="B15122" s="2" t="str">
        <f ca="1">IFERROR(__xludf.DUMMYFUNCTION("""COMPUTED_VALUE"""),"Burj Al Nahda")</f>
        <v>Burj Al Nahda</v>
      </c>
      <c r="C15122" s="2" t="str">
        <f ca="1">IFERROR(__xludf.DUMMYFUNCTION("""COMPUTED_VALUE"""),"Building")</f>
        <v>Building</v>
      </c>
      <c r="D15122" s="2" t="str">
        <f ca="1">IFERROR(__xludf.DUMMYFUNCTION("""COMPUTED_VALUE"""),"Dubai&gt;Al Nahda (Dubai)&gt;Al Nahda 1&gt;Burj Al Nahda")</f>
        <v>Dubai&gt;Al Nahda (Dubai)&gt;Al Nahda 1&gt;Burj Al Nahda</v>
      </c>
      <c r="E15122" s="2"/>
      <c r="F15122" s="2"/>
      <c r="G15122" s="2"/>
      <c r="H15122" s="2"/>
      <c r="I15122" s="2"/>
      <c r="J15122" s="2"/>
      <c r="K15122" s="2"/>
      <c r="L15122" s="2"/>
      <c r="M15122" s="2"/>
      <c r="N15122" s="2"/>
      <c r="O15122" s="2"/>
      <c r="P15122" s="2"/>
      <c r="Q15122" s="2"/>
      <c r="R15122" s="2"/>
      <c r="S15122" s="2"/>
      <c r="T15122" s="2"/>
      <c r="U15122" s="2"/>
      <c r="V15122" s="2"/>
      <c r="W15122" s="2"/>
      <c r="X15122" s="2"/>
      <c r="Y15122" s="2"/>
      <c r="Z15122" s="2"/>
    </row>
    <row r="15123" spans="1:26" ht="16.5" x14ac:dyDescent="0.35">
      <c r="A15123" s="2" t="str">
        <f ca="1">IFERROR(__xludf.DUMMYFUNCTION("""COMPUTED_VALUE"""),"Dubai")</f>
        <v>Dubai</v>
      </c>
      <c r="B15123" s="2" t="str">
        <f ca="1">IFERROR(__xludf.DUMMYFUNCTION("""COMPUTED_VALUE"""),"Park View Residence")</f>
        <v>Park View Residence</v>
      </c>
      <c r="C15123" s="2" t="str">
        <f ca="1">IFERROR(__xludf.DUMMYFUNCTION("""COMPUTED_VALUE"""),"Building")</f>
        <v>Building</v>
      </c>
      <c r="D15123" s="2" t="str">
        <f ca="1">IFERROR(__xludf.DUMMYFUNCTION("""COMPUTED_VALUE"""),"Dubai&gt;Al Nahda (Dubai)&gt;Al Nahda 2&gt;Park View Residence")</f>
        <v>Dubai&gt;Al Nahda (Dubai)&gt;Al Nahda 2&gt;Park View Residence</v>
      </c>
      <c r="E15123" s="2"/>
      <c r="F15123" s="2"/>
      <c r="G15123" s="2"/>
      <c r="H15123" s="2"/>
      <c r="I15123" s="2"/>
      <c r="J15123" s="2"/>
      <c r="K15123" s="2"/>
      <c r="L15123" s="2"/>
      <c r="M15123" s="2"/>
      <c r="N15123" s="2"/>
      <c r="O15123" s="2"/>
      <c r="P15123" s="2"/>
      <c r="Q15123" s="2"/>
      <c r="R15123" s="2"/>
      <c r="S15123" s="2"/>
      <c r="T15123" s="2"/>
      <c r="U15123" s="2"/>
      <c r="V15123" s="2"/>
      <c r="W15123" s="2"/>
      <c r="X15123" s="2"/>
      <c r="Y15123" s="2"/>
      <c r="Z15123" s="2"/>
    </row>
    <row r="15124" spans="1:26" ht="16.5" x14ac:dyDescent="0.35">
      <c r="A15124" s="2" t="str">
        <f ca="1">IFERROR(__xludf.DUMMYFUNCTION("""COMPUTED_VALUE"""),"Dubai")</f>
        <v>Dubai</v>
      </c>
      <c r="B15124" s="2" t="str">
        <f ca="1">IFERROR(__xludf.DUMMYFUNCTION("""COMPUTED_VALUE"""),"Silver Tower")</f>
        <v>Silver Tower</v>
      </c>
      <c r="C15124" s="2" t="str">
        <f ca="1">IFERROR(__xludf.DUMMYFUNCTION("""COMPUTED_VALUE"""),"Building")</f>
        <v>Building</v>
      </c>
      <c r="D15124" s="2" t="str">
        <f ca="1">IFERROR(__xludf.DUMMYFUNCTION("""COMPUTED_VALUE"""),"Dubai&gt;Al Nahda (Dubai)&gt;Al Nahda 2&gt;Silver Tower")</f>
        <v>Dubai&gt;Al Nahda (Dubai)&gt;Al Nahda 2&gt;Silver Tower</v>
      </c>
      <c r="E15124" s="2"/>
      <c r="F15124" s="2"/>
      <c r="G15124" s="2"/>
      <c r="H15124" s="2"/>
      <c r="I15124" s="2"/>
      <c r="J15124" s="2"/>
      <c r="K15124" s="2"/>
      <c r="L15124" s="2"/>
      <c r="M15124" s="2"/>
      <c r="N15124" s="2"/>
      <c r="O15124" s="2"/>
      <c r="P15124" s="2"/>
      <c r="Q15124" s="2"/>
      <c r="R15124" s="2"/>
      <c r="S15124" s="2"/>
      <c r="T15124" s="2"/>
      <c r="U15124" s="2"/>
      <c r="V15124" s="2"/>
      <c r="W15124" s="2"/>
      <c r="X15124" s="2"/>
      <c r="Y15124" s="2"/>
      <c r="Z15124" s="2"/>
    </row>
    <row r="15125" spans="1:26" ht="16.5" x14ac:dyDescent="0.35">
      <c r="A15125" s="2" t="str">
        <f ca="1">IFERROR(__xludf.DUMMYFUNCTION("""COMPUTED_VALUE"""),"Dubai")</f>
        <v>Dubai</v>
      </c>
      <c r="B15125" s="2" t="str">
        <f ca="1">IFERROR(__xludf.DUMMYFUNCTION("""COMPUTED_VALUE"""),"Al Nahda Palm Residence")</f>
        <v>Al Nahda Palm Residence</v>
      </c>
      <c r="C15125" s="2" t="str">
        <f ca="1">IFERROR(__xludf.DUMMYFUNCTION("""COMPUTED_VALUE"""),"Building")</f>
        <v>Building</v>
      </c>
      <c r="D15125" s="2" t="str">
        <f ca="1">IFERROR(__xludf.DUMMYFUNCTION("""COMPUTED_VALUE"""),"Dubai&gt;Al Nahda (Dubai)&gt;Al Nahda 2&gt;Al Nahda Palm Residence")</f>
        <v>Dubai&gt;Al Nahda (Dubai)&gt;Al Nahda 2&gt;Al Nahda Palm Residence</v>
      </c>
      <c r="E15125" s="2"/>
      <c r="F15125" s="2"/>
      <c r="G15125" s="2"/>
      <c r="H15125" s="2"/>
      <c r="I15125" s="2"/>
      <c r="J15125" s="2"/>
      <c r="K15125" s="2"/>
      <c r="L15125" s="2"/>
      <c r="M15125" s="2"/>
      <c r="N15125" s="2"/>
      <c r="O15125" s="2"/>
      <c r="P15125" s="2"/>
      <c r="Q15125" s="2"/>
      <c r="R15125" s="2"/>
      <c r="S15125" s="2"/>
      <c r="T15125" s="2"/>
      <c r="U15125" s="2"/>
      <c r="V15125" s="2"/>
      <c r="W15125" s="2"/>
      <c r="X15125" s="2"/>
      <c r="Y15125" s="2"/>
      <c r="Z15125" s="2"/>
    </row>
    <row r="15126" spans="1:26" ht="16.5" x14ac:dyDescent="0.35">
      <c r="A15126" s="2" t="str">
        <f ca="1">IFERROR(__xludf.DUMMYFUNCTION("""COMPUTED_VALUE"""),"Dubai")</f>
        <v>Dubai</v>
      </c>
      <c r="B15126" s="2" t="str">
        <f ca="1">IFERROR(__xludf.DUMMYFUNCTION("""COMPUTED_VALUE"""),"Al Wasl  P553 Building")</f>
        <v>Al Wasl  P553 Building</v>
      </c>
      <c r="C15126" s="2" t="str">
        <f ca="1">IFERROR(__xludf.DUMMYFUNCTION("""COMPUTED_VALUE"""),"Building")</f>
        <v>Building</v>
      </c>
      <c r="D15126" s="2" t="str">
        <f ca="1">IFERROR(__xludf.DUMMYFUNCTION("""COMPUTED_VALUE"""),"Dubai&gt;Al Nahda (Dubai)&gt;Al Nahda 2&gt;Al Wasl  P553 Building")</f>
        <v>Dubai&gt;Al Nahda (Dubai)&gt;Al Nahda 2&gt;Al Wasl  P553 Building</v>
      </c>
      <c r="E15126" s="2"/>
      <c r="F15126" s="2"/>
      <c r="G15126" s="2"/>
      <c r="H15126" s="2"/>
      <c r="I15126" s="2"/>
      <c r="J15126" s="2"/>
      <c r="K15126" s="2"/>
      <c r="L15126" s="2"/>
      <c r="M15126" s="2"/>
      <c r="N15126" s="2"/>
      <c r="O15126" s="2"/>
      <c r="P15126" s="2"/>
      <c r="Q15126" s="2"/>
      <c r="R15126" s="2"/>
      <c r="S15126" s="2"/>
      <c r="T15126" s="2"/>
      <c r="U15126" s="2"/>
      <c r="V15126" s="2"/>
      <c r="W15126" s="2"/>
      <c r="X15126" s="2"/>
      <c r="Y15126" s="2"/>
      <c r="Z15126" s="2"/>
    </row>
    <row r="15127" spans="1:26" ht="16.5" x14ac:dyDescent="0.35">
      <c r="A15127" s="2" t="str">
        <f ca="1">IFERROR(__xludf.DUMMYFUNCTION("""COMPUTED_VALUE"""),"Dubai")</f>
        <v>Dubai</v>
      </c>
      <c r="B15127" s="2" t="str">
        <f ca="1">IFERROR(__xludf.DUMMYFUNCTION("""COMPUTED_VALUE"""),"Royal Park Villas")</f>
        <v>Royal Park Villas</v>
      </c>
      <c r="C15127" s="2" t="str">
        <f ca="1">IFERROR(__xludf.DUMMYFUNCTION("""COMPUTED_VALUE"""),"Neighbourhood")</f>
        <v>Neighbourhood</v>
      </c>
      <c r="D15127" s="2" t="str">
        <f ca="1">IFERROR(__xludf.DUMMYFUNCTION("""COMPUTED_VALUE"""),"Dubai&gt;Jumeirah Park&gt;Royal Park Villas")</f>
        <v>Dubai&gt;Jumeirah Park&gt;Royal Park Villas</v>
      </c>
      <c r="E15127" s="2"/>
      <c r="F15127" s="2"/>
      <c r="G15127" s="2"/>
      <c r="H15127" s="2"/>
      <c r="I15127" s="2"/>
      <c r="J15127" s="2"/>
      <c r="K15127" s="2"/>
      <c r="L15127" s="2"/>
      <c r="M15127" s="2"/>
      <c r="N15127" s="2"/>
      <c r="O15127" s="2"/>
      <c r="P15127" s="2"/>
      <c r="Q15127" s="2"/>
      <c r="R15127" s="2"/>
      <c r="S15127" s="2"/>
      <c r="T15127" s="2"/>
      <c r="U15127" s="2"/>
      <c r="V15127" s="2"/>
      <c r="W15127" s="2"/>
      <c r="X15127" s="2"/>
      <c r="Y15127" s="2"/>
      <c r="Z15127" s="2"/>
    </row>
    <row r="15128" spans="1:26" ht="16.5" x14ac:dyDescent="0.35">
      <c r="A15128" s="2" t="str">
        <f ca="1">IFERROR(__xludf.DUMMYFUNCTION("""COMPUTED_VALUE"""),"Dubai")</f>
        <v>Dubai</v>
      </c>
      <c r="B15128" s="2" t="str">
        <f ca="1">IFERROR(__xludf.DUMMYFUNCTION("""COMPUTED_VALUE"""),"Lagoon Views 4")</f>
        <v>Lagoon Views 4</v>
      </c>
      <c r="C15128" s="2" t="str">
        <f ca="1">IFERROR(__xludf.DUMMYFUNCTION("""COMPUTED_VALUE"""),"Building")</f>
        <v>Building</v>
      </c>
      <c r="D15128" s="2" t="str">
        <f ca="1">IFERROR(__xludf.DUMMYFUNCTION("""COMPUTED_VALUE"""),"Dubai&gt;DAMAC Lagoons&gt;Lagoon Views&gt;Lagoon Views 4")</f>
        <v>Dubai&gt;DAMAC Lagoons&gt;Lagoon Views&gt;Lagoon Views 4</v>
      </c>
      <c r="E15128" s="2"/>
      <c r="F15128" s="2"/>
      <c r="G15128" s="2"/>
      <c r="H15128" s="2"/>
      <c r="I15128" s="2"/>
      <c r="J15128" s="2"/>
      <c r="K15128" s="2"/>
      <c r="L15128" s="2"/>
      <c r="M15128" s="2"/>
      <c r="N15128" s="2"/>
      <c r="O15128" s="2"/>
      <c r="P15128" s="2"/>
      <c r="Q15128" s="2"/>
      <c r="R15128" s="2"/>
      <c r="S15128" s="2"/>
      <c r="T15128" s="2"/>
      <c r="U15128" s="2"/>
      <c r="V15128" s="2"/>
      <c r="W15128" s="2"/>
      <c r="X15128" s="2"/>
      <c r="Y15128" s="2"/>
      <c r="Z15128" s="2"/>
    </row>
    <row r="15129" spans="1:26" ht="16.5" x14ac:dyDescent="0.35">
      <c r="A15129" s="2" t="str">
        <f ca="1">IFERROR(__xludf.DUMMYFUNCTION("""COMPUTED_VALUE"""),"Dubai")</f>
        <v>Dubai</v>
      </c>
      <c r="B15129" s="2" t="str">
        <f ca="1">IFERROR(__xludf.DUMMYFUNCTION("""COMPUTED_VALUE"""),"Miral 1")</f>
        <v>Miral 1</v>
      </c>
      <c r="C15129" s="2" t="str">
        <f ca="1">IFERROR(__xludf.DUMMYFUNCTION("""COMPUTED_VALUE"""),"Building")</f>
        <v>Building</v>
      </c>
      <c r="D15129" s="2" t="str">
        <f ca="1">IFERROR(__xludf.DUMMYFUNCTION("""COMPUTED_VALUE"""),"Dubai&gt;Liwan 2&gt;Miral&gt;Miral 1")</f>
        <v>Dubai&gt;Liwan 2&gt;Miral&gt;Miral 1</v>
      </c>
      <c r="E15129" s="2"/>
      <c r="F15129" s="2"/>
      <c r="G15129" s="2"/>
      <c r="H15129" s="2"/>
      <c r="I15129" s="2"/>
      <c r="J15129" s="2"/>
      <c r="K15129" s="2"/>
      <c r="L15129" s="2"/>
      <c r="M15129" s="2"/>
      <c r="N15129" s="2"/>
      <c r="O15129" s="2"/>
      <c r="P15129" s="2"/>
      <c r="Q15129" s="2"/>
      <c r="R15129" s="2"/>
      <c r="S15129" s="2"/>
      <c r="T15129" s="2"/>
      <c r="U15129" s="2"/>
      <c r="V15129" s="2"/>
      <c r="W15129" s="2"/>
      <c r="X15129" s="2"/>
      <c r="Y15129" s="2"/>
      <c r="Z15129" s="2"/>
    </row>
    <row r="15130" spans="1:26" ht="16.5" x14ac:dyDescent="0.35">
      <c r="A15130" s="2" t="str">
        <f ca="1">IFERROR(__xludf.DUMMYFUNCTION("""COMPUTED_VALUE"""),"Dubai")</f>
        <v>Dubai</v>
      </c>
      <c r="B15130" s="2" t="str">
        <f ca="1">IFERROR(__xludf.DUMMYFUNCTION("""COMPUTED_VALUE"""),"Desert Rose Building")</f>
        <v>Desert Rose Building</v>
      </c>
      <c r="C15130" s="2" t="str">
        <f ca="1">IFERROR(__xludf.DUMMYFUNCTION("""COMPUTED_VALUE"""),"Building")</f>
        <v>Building</v>
      </c>
      <c r="D15130" s="2" t="str">
        <f ca="1">IFERROR(__xludf.DUMMYFUNCTION("""COMPUTED_VALUE"""),"Dubai&gt;Liwan 2&gt;Desert Rose Building")</f>
        <v>Dubai&gt;Liwan 2&gt;Desert Rose Building</v>
      </c>
      <c r="E15130" s="2"/>
      <c r="F15130" s="2"/>
      <c r="G15130" s="2"/>
      <c r="H15130" s="2"/>
      <c r="I15130" s="2"/>
      <c r="J15130" s="2"/>
      <c r="K15130" s="2"/>
      <c r="L15130" s="2"/>
      <c r="M15130" s="2"/>
      <c r="N15130" s="2"/>
      <c r="O15130" s="2"/>
      <c r="P15130" s="2"/>
      <c r="Q15130" s="2"/>
      <c r="R15130" s="2"/>
      <c r="S15130" s="2"/>
      <c r="T15130" s="2"/>
      <c r="U15130" s="2"/>
      <c r="V15130" s="2"/>
      <c r="W15130" s="2"/>
      <c r="X15130" s="2"/>
      <c r="Y15130" s="2"/>
      <c r="Z15130" s="2"/>
    </row>
    <row r="15131" spans="1:26" ht="16.5" x14ac:dyDescent="0.35">
      <c r="A15131" s="2" t="str">
        <f ca="1">IFERROR(__xludf.DUMMYFUNCTION("""COMPUTED_VALUE"""),"Dubai")</f>
        <v>Dubai</v>
      </c>
      <c r="B15131" s="2" t="str">
        <f ca="1">IFERROR(__xludf.DUMMYFUNCTION("""COMPUTED_VALUE"""),"Lotus Residence 2")</f>
        <v>Lotus Residence 2</v>
      </c>
      <c r="C15131" s="2" t="str">
        <f ca="1">IFERROR(__xludf.DUMMYFUNCTION("""COMPUTED_VALUE"""),"Building")</f>
        <v>Building</v>
      </c>
      <c r="D15131" s="2" t="str">
        <f ca="1">IFERROR(__xludf.DUMMYFUNCTION("""COMPUTED_VALUE"""),"Dubai&gt;Dubai Investment Park (DIP)&gt;Dubai Investment Park 1&gt;Lotus Residence&gt;Lotus Residence 2")</f>
        <v>Dubai&gt;Dubai Investment Park (DIP)&gt;Dubai Investment Park 1&gt;Lotus Residence&gt;Lotus Residence 2</v>
      </c>
      <c r="E15131" s="2"/>
      <c r="F15131" s="2"/>
      <c r="G15131" s="2"/>
      <c r="H15131" s="2"/>
      <c r="I15131" s="2"/>
      <c r="J15131" s="2"/>
      <c r="K15131" s="2"/>
      <c r="L15131" s="2"/>
      <c r="M15131" s="2"/>
      <c r="N15131" s="2"/>
      <c r="O15131" s="2"/>
      <c r="P15131" s="2"/>
      <c r="Q15131" s="2"/>
      <c r="R15131" s="2"/>
      <c r="S15131" s="2"/>
      <c r="T15131" s="2"/>
      <c r="U15131" s="2"/>
      <c r="V15131" s="2"/>
      <c r="W15131" s="2"/>
      <c r="X15131" s="2"/>
      <c r="Y15131" s="2"/>
      <c r="Z15131" s="2"/>
    </row>
    <row r="15132" spans="1:26" ht="16.5" x14ac:dyDescent="0.35">
      <c r="A15132" s="2" t="str">
        <f ca="1">IFERROR(__xludf.DUMMYFUNCTION("""COMPUTED_VALUE"""),"Dubai")</f>
        <v>Dubai</v>
      </c>
      <c r="B15132" s="2" t="str">
        <f ca="1">IFERROR(__xludf.DUMMYFUNCTION("""COMPUTED_VALUE"""),"Block C")</f>
        <v>Block C</v>
      </c>
      <c r="C15132" s="2" t="str">
        <f ca="1">IFERROR(__xludf.DUMMYFUNCTION("""COMPUTED_VALUE"""),"Building")</f>
        <v>Building</v>
      </c>
      <c r="D15132" s="2" t="str">
        <f ca="1">IFERROR(__xludf.DUMMYFUNCTION("""COMPUTED_VALUE"""),"Dubai&gt;Dubai Investment Park (DIP)&gt;Dubai Investment Park 1&gt;Dubai Driving Centre Staff Accommodation&gt;Block C")</f>
        <v>Dubai&gt;Dubai Investment Park (DIP)&gt;Dubai Investment Park 1&gt;Dubai Driving Centre Staff Accommodation&gt;Block C</v>
      </c>
      <c r="E15132" s="2"/>
      <c r="F15132" s="2"/>
      <c r="G15132" s="2"/>
      <c r="H15132" s="2"/>
      <c r="I15132" s="2"/>
      <c r="J15132" s="2"/>
      <c r="K15132" s="2"/>
      <c r="L15132" s="2"/>
      <c r="M15132" s="2"/>
      <c r="N15132" s="2"/>
      <c r="O15132" s="2"/>
      <c r="P15132" s="2"/>
      <c r="Q15132" s="2"/>
      <c r="R15132" s="2"/>
      <c r="S15132" s="2"/>
      <c r="T15132" s="2"/>
      <c r="U15132" s="2"/>
      <c r="V15132" s="2"/>
      <c r="W15132" s="2"/>
      <c r="X15132" s="2"/>
      <c r="Y15132" s="2"/>
      <c r="Z15132" s="2"/>
    </row>
    <row r="15133" spans="1:26" ht="16.5" x14ac:dyDescent="0.35">
      <c r="A15133" s="2" t="str">
        <f ca="1">IFERROR(__xludf.DUMMYFUNCTION("""COMPUTED_VALUE"""),"Dubai")</f>
        <v>Dubai</v>
      </c>
      <c r="B15133" s="2" t="str">
        <f ca="1">IFERROR(__xludf.DUMMYFUNCTION("""COMPUTED_VALUE"""),"Dubai Furniture Accommodation")</f>
        <v>Dubai Furniture Accommodation</v>
      </c>
      <c r="C15133" s="2" t="str">
        <f ca="1">IFERROR(__xludf.DUMMYFUNCTION("""COMPUTED_VALUE"""),"Building")</f>
        <v>Building</v>
      </c>
      <c r="D15133" s="2" t="str">
        <f ca="1">IFERROR(__xludf.DUMMYFUNCTION("""COMPUTED_VALUE"""),"Dubai&gt;Dubai Investment Park (DIP)&gt;Dubai Investment Park 1&gt;Dubai Furniture Accommodation")</f>
        <v>Dubai&gt;Dubai Investment Park (DIP)&gt;Dubai Investment Park 1&gt;Dubai Furniture Accommodation</v>
      </c>
      <c r="E15133" s="2"/>
      <c r="F15133" s="2"/>
      <c r="G15133" s="2"/>
      <c r="H15133" s="2"/>
      <c r="I15133" s="2"/>
      <c r="J15133" s="2"/>
      <c r="K15133" s="2"/>
      <c r="L15133" s="2"/>
      <c r="M15133" s="2"/>
      <c r="N15133" s="2"/>
      <c r="O15133" s="2"/>
      <c r="P15133" s="2"/>
      <c r="Q15133" s="2"/>
      <c r="R15133" s="2"/>
      <c r="S15133" s="2"/>
      <c r="T15133" s="2"/>
      <c r="U15133" s="2"/>
      <c r="V15133" s="2"/>
      <c r="W15133" s="2"/>
      <c r="X15133" s="2"/>
      <c r="Y15133" s="2"/>
      <c r="Z15133" s="2"/>
    </row>
    <row r="15134" spans="1:26" ht="16.5" x14ac:dyDescent="0.35">
      <c r="A15134" s="2" t="str">
        <f ca="1">IFERROR(__xludf.DUMMYFUNCTION("""COMPUTED_VALUE"""),"Dubai")</f>
        <v>Dubai</v>
      </c>
      <c r="B15134" s="2" t="str">
        <f ca="1">IFERROR(__xludf.DUMMYFUNCTION("""COMPUTED_VALUE"""),"Ritaj Block B")</f>
        <v>Ritaj Block B</v>
      </c>
      <c r="C15134" s="2" t="str">
        <f ca="1">IFERROR(__xludf.DUMMYFUNCTION("""COMPUTED_VALUE"""),"Building")</f>
        <v>Building</v>
      </c>
      <c r="D15134" s="2" t="str">
        <f ca="1">IFERROR(__xludf.DUMMYFUNCTION("""COMPUTED_VALUE"""),"Dubai&gt;Dubai Investment Park (DIP)&gt;Dubai Investment Park 2&gt;Ritaj (Residential Complex)&gt;Ritaj Block B")</f>
        <v>Dubai&gt;Dubai Investment Park (DIP)&gt;Dubai Investment Park 2&gt;Ritaj (Residential Complex)&gt;Ritaj Block B</v>
      </c>
      <c r="E15134" s="2"/>
      <c r="F15134" s="2"/>
      <c r="G15134" s="2"/>
      <c r="H15134" s="2"/>
      <c r="I15134" s="2"/>
      <c r="J15134" s="2"/>
      <c r="K15134" s="2"/>
      <c r="L15134" s="2"/>
      <c r="M15134" s="2"/>
      <c r="N15134" s="2"/>
      <c r="O15134" s="2"/>
      <c r="P15134" s="2"/>
      <c r="Q15134" s="2"/>
      <c r="R15134" s="2"/>
      <c r="S15134" s="2"/>
      <c r="T15134" s="2"/>
      <c r="U15134" s="2"/>
      <c r="V15134" s="2"/>
      <c r="W15134" s="2"/>
      <c r="X15134" s="2"/>
      <c r="Y15134" s="2"/>
      <c r="Z15134" s="2"/>
    </row>
    <row r="15135" spans="1:26" ht="16.5" x14ac:dyDescent="0.35">
      <c r="A15135" s="2" t="str">
        <f ca="1">IFERROR(__xludf.DUMMYFUNCTION("""COMPUTED_VALUE"""),"Dubai")</f>
        <v>Dubai</v>
      </c>
      <c r="B15135" s="2" t="str">
        <f ca="1">IFERROR(__xludf.DUMMYFUNCTION("""COMPUTED_VALUE"""),"Gulf Housing Solutions 9")</f>
        <v>Gulf Housing Solutions 9</v>
      </c>
      <c r="C15135" s="2" t="str">
        <f ca="1">IFERROR(__xludf.DUMMYFUNCTION("""COMPUTED_VALUE"""),"Building")</f>
        <v>Building</v>
      </c>
      <c r="D15135" s="2" t="str">
        <f ca="1">IFERROR(__xludf.DUMMYFUNCTION("""COMPUTED_VALUE"""),"Dubai&gt;Dubai Investment Park (DIP)&gt;Dubai Investment Park 2&gt;Gulf Housing Solutions 9")</f>
        <v>Dubai&gt;Dubai Investment Park (DIP)&gt;Dubai Investment Park 2&gt;Gulf Housing Solutions 9</v>
      </c>
      <c r="E15135" s="2"/>
      <c r="F15135" s="2"/>
      <c r="G15135" s="2"/>
      <c r="H15135" s="2"/>
      <c r="I15135" s="2"/>
      <c r="J15135" s="2"/>
      <c r="K15135" s="2"/>
      <c r="L15135" s="2"/>
      <c r="M15135" s="2"/>
      <c r="N15135" s="2"/>
      <c r="O15135" s="2"/>
      <c r="P15135" s="2"/>
      <c r="Q15135" s="2"/>
      <c r="R15135" s="2"/>
      <c r="S15135" s="2"/>
      <c r="T15135" s="2"/>
      <c r="U15135" s="2"/>
      <c r="V15135" s="2"/>
      <c r="W15135" s="2"/>
      <c r="X15135" s="2"/>
      <c r="Y15135" s="2"/>
      <c r="Z15135" s="2"/>
    </row>
    <row r="15136" spans="1:26" ht="16.5" x14ac:dyDescent="0.35">
      <c r="A15136" s="2" t="str">
        <f ca="1">IFERROR(__xludf.DUMMYFUNCTION("""COMPUTED_VALUE"""),"Dubai")</f>
        <v>Dubai</v>
      </c>
      <c r="B15136" s="2" t="str">
        <f ca="1">IFERROR(__xludf.DUMMYFUNCTION("""COMPUTED_VALUE"""),"Ivy")</f>
        <v>Ivy</v>
      </c>
      <c r="C15136" s="2" t="str">
        <f ca="1">IFERROR(__xludf.DUMMYFUNCTION("""COMPUTED_VALUE"""),"Neighbourhood")</f>
        <v>Neighbourhood</v>
      </c>
      <c r="D15136" s="2" t="str">
        <f ca="1">IFERROR(__xludf.DUMMYFUNCTION("""COMPUTED_VALUE"""),"Dubai&gt;Dubai Investment Park (DIP)&gt;DAMAC Riverside&gt;Ivy")</f>
        <v>Dubai&gt;Dubai Investment Park (DIP)&gt;DAMAC Riverside&gt;Ivy</v>
      </c>
      <c r="E15136" s="2"/>
      <c r="F15136" s="2"/>
      <c r="G15136" s="2"/>
      <c r="H15136" s="2"/>
      <c r="I15136" s="2"/>
      <c r="J15136" s="2"/>
      <c r="K15136" s="2"/>
      <c r="L15136" s="2"/>
      <c r="M15136" s="2"/>
      <c r="N15136" s="2"/>
      <c r="O15136" s="2"/>
      <c r="P15136" s="2"/>
      <c r="Q15136" s="2"/>
      <c r="R15136" s="2"/>
      <c r="S15136" s="2"/>
      <c r="T15136" s="2"/>
      <c r="U15136" s="2"/>
      <c r="V15136" s="2"/>
      <c r="W15136" s="2"/>
      <c r="X15136" s="2"/>
      <c r="Y15136" s="2"/>
      <c r="Z15136" s="2"/>
    </row>
    <row r="15137" spans="1:26" ht="16.5" x14ac:dyDescent="0.35">
      <c r="A15137" s="2" t="str">
        <f ca="1">IFERROR(__xludf.DUMMYFUNCTION("""COMPUTED_VALUE"""),"Dubai")</f>
        <v>Dubai</v>
      </c>
      <c r="B15137" s="2" t="str">
        <f ca="1">IFERROR(__xludf.DUMMYFUNCTION("""COMPUTED_VALUE"""),"Equiterra 2")</f>
        <v>Equiterra 2</v>
      </c>
      <c r="C15137" s="2" t="str">
        <f ca="1">IFERROR(__xludf.DUMMYFUNCTION("""COMPUTED_VALUE"""),"Neighbourhood")</f>
        <v>Neighbourhood</v>
      </c>
      <c r="D15137" s="2" t="str">
        <f ca="1">IFERROR(__xludf.DUMMYFUNCTION("""COMPUTED_VALUE"""),"Dubai&gt;Dubai Investment Park (DIP)&gt;Grand Polo Club &amp; Resort&gt;Equiterra 2")</f>
        <v>Dubai&gt;Dubai Investment Park (DIP)&gt;Grand Polo Club &amp; Resort&gt;Equiterra 2</v>
      </c>
      <c r="E15137" s="2"/>
      <c r="F15137" s="2"/>
      <c r="G15137" s="2"/>
      <c r="H15137" s="2"/>
      <c r="I15137" s="2"/>
      <c r="J15137" s="2"/>
      <c r="K15137" s="2"/>
      <c r="L15137" s="2"/>
      <c r="M15137" s="2"/>
      <c r="N15137" s="2"/>
      <c r="O15137" s="2"/>
      <c r="P15137" s="2"/>
      <c r="Q15137" s="2"/>
      <c r="R15137" s="2"/>
      <c r="S15137" s="2"/>
      <c r="T15137" s="2"/>
      <c r="U15137" s="2"/>
      <c r="V15137" s="2"/>
      <c r="W15137" s="2"/>
      <c r="X15137" s="2"/>
      <c r="Y15137" s="2"/>
      <c r="Z15137" s="2"/>
    </row>
    <row r="15138" spans="1:26" ht="16.5" x14ac:dyDescent="0.35">
      <c r="A15138" s="2" t="str">
        <f ca="1">IFERROR(__xludf.DUMMYFUNCTION("""COMPUTED_VALUE"""),"Dubai")</f>
        <v>Dubai</v>
      </c>
      <c r="B15138" s="2" t="str">
        <f ca="1">IFERROR(__xludf.DUMMYFUNCTION("""COMPUTED_VALUE"""),"Barari Hills Residence")</f>
        <v>Barari Hills Residence</v>
      </c>
      <c r="C15138" s="2" t="str">
        <f ca="1">IFERROR(__xludf.DUMMYFUNCTION("""COMPUTED_VALUE"""),"Building")</f>
        <v>Building</v>
      </c>
      <c r="D15138" s="2" t="str">
        <f ca="1">IFERROR(__xludf.DUMMYFUNCTION("""COMPUTED_VALUE"""),"Dubai&gt;Majan&gt;Barari Hills Residence")</f>
        <v>Dubai&gt;Majan&gt;Barari Hills Residence</v>
      </c>
      <c r="E15138" s="2"/>
      <c r="F15138" s="2"/>
      <c r="G15138" s="2"/>
      <c r="H15138" s="2"/>
      <c r="I15138" s="2"/>
      <c r="J15138" s="2"/>
      <c r="K15138" s="2"/>
      <c r="L15138" s="2"/>
      <c r="M15138" s="2"/>
      <c r="N15138" s="2"/>
      <c r="O15138" s="2"/>
      <c r="P15138" s="2"/>
      <c r="Q15138" s="2"/>
      <c r="R15138" s="2"/>
      <c r="S15138" s="2"/>
      <c r="T15138" s="2"/>
      <c r="U15138" s="2"/>
      <c r="V15138" s="2"/>
      <c r="W15138" s="2"/>
      <c r="X15138" s="2"/>
      <c r="Y15138" s="2"/>
      <c r="Z15138" s="2"/>
    </row>
    <row r="15139" spans="1:26" ht="16.5" x14ac:dyDescent="0.35">
      <c r="A15139" s="2" t="str">
        <f ca="1">IFERROR(__xludf.DUMMYFUNCTION("""COMPUTED_VALUE"""),"Dubai")</f>
        <v>Dubai</v>
      </c>
      <c r="B15139" s="2" t="str">
        <f ca="1">IFERROR(__xludf.DUMMYFUNCTION("""COMPUTED_VALUE"""),"Amethyst by Siroya")</f>
        <v>Amethyst by Siroya</v>
      </c>
      <c r="C15139" s="2" t="str">
        <f ca="1">IFERROR(__xludf.DUMMYFUNCTION("""COMPUTED_VALUE"""),"Building")</f>
        <v>Building</v>
      </c>
      <c r="D15139" s="2" t="str">
        <f ca="1">IFERROR(__xludf.DUMMYFUNCTION("""COMPUTED_VALUE"""),"Dubai&gt;Majan&gt;Amethyst by Siroya")</f>
        <v>Dubai&gt;Majan&gt;Amethyst by Siroya</v>
      </c>
      <c r="E15139" s="2"/>
      <c r="F15139" s="2"/>
      <c r="G15139" s="2"/>
      <c r="H15139" s="2"/>
      <c r="I15139" s="2"/>
      <c r="J15139" s="2"/>
      <c r="K15139" s="2"/>
      <c r="L15139" s="2"/>
      <c r="M15139" s="2"/>
      <c r="N15139" s="2"/>
      <c r="O15139" s="2"/>
      <c r="P15139" s="2"/>
      <c r="Q15139" s="2"/>
      <c r="R15139" s="2"/>
      <c r="S15139" s="2"/>
      <c r="T15139" s="2"/>
      <c r="U15139" s="2"/>
      <c r="V15139" s="2"/>
      <c r="W15139" s="2"/>
      <c r="X15139" s="2"/>
      <c r="Y15139" s="2"/>
      <c r="Z15139" s="2"/>
    </row>
    <row r="15140" spans="1:26" ht="16.5" x14ac:dyDescent="0.35">
      <c r="A15140" s="2" t="str">
        <f ca="1">IFERROR(__xludf.DUMMYFUNCTION("""COMPUTED_VALUE"""),"Dubai")</f>
        <v>Dubai</v>
      </c>
      <c r="B15140" s="2" t="str">
        <f ca="1">IFERROR(__xludf.DUMMYFUNCTION("""COMPUTED_VALUE"""),"Palmiera 2")</f>
        <v>Palmiera 2</v>
      </c>
      <c r="C15140" s="2" t="str">
        <f ca="1">IFERROR(__xludf.DUMMYFUNCTION("""COMPUTED_VALUE"""),"Neighbourhood")</f>
        <v>Neighbourhood</v>
      </c>
      <c r="D15140" s="2" t="str">
        <f ca="1">IFERROR(__xludf.DUMMYFUNCTION("""COMPUTED_VALUE"""),"Dubai&gt;The Oasis by Emaar&gt;Palmiera 2")</f>
        <v>Dubai&gt;The Oasis by Emaar&gt;Palmiera 2</v>
      </c>
      <c r="E15140" s="2"/>
      <c r="F15140" s="2"/>
      <c r="G15140" s="2"/>
      <c r="H15140" s="2"/>
      <c r="I15140" s="2"/>
      <c r="J15140" s="2"/>
      <c r="K15140" s="2"/>
      <c r="L15140" s="2"/>
      <c r="M15140" s="2"/>
      <c r="N15140" s="2"/>
      <c r="O15140" s="2"/>
      <c r="P15140" s="2"/>
      <c r="Q15140" s="2"/>
      <c r="R15140" s="2"/>
      <c r="S15140" s="2"/>
      <c r="T15140" s="2"/>
      <c r="U15140" s="2"/>
      <c r="V15140" s="2"/>
      <c r="W15140" s="2"/>
      <c r="X15140" s="2"/>
      <c r="Y15140" s="2"/>
      <c r="Z15140" s="2"/>
    </row>
    <row r="15141" spans="1:26" ht="16.5" x14ac:dyDescent="0.35">
      <c r="A15141" s="2" t="str">
        <f ca="1">IFERROR(__xludf.DUMMYFUNCTION("""COMPUTED_VALUE"""),"Dubai")</f>
        <v>Dubai</v>
      </c>
      <c r="B15141" s="2" t="str">
        <f ca="1">IFERROR(__xludf.DUMMYFUNCTION("""COMPUTED_VALUE"""),"Skyvue Altier")</f>
        <v>Skyvue Altier</v>
      </c>
      <c r="C15141" s="2" t="str">
        <f ca="1">IFERROR(__xludf.DUMMYFUNCTION("""COMPUTED_VALUE"""),"Building")</f>
        <v>Building</v>
      </c>
      <c r="D15141" s="2" t="str">
        <f ca="1">IFERROR(__xludf.DUMMYFUNCTION("""COMPUTED_VALUE"""),"Dubai&gt;Sobha Hartland 2&gt;Skyvue&gt;Skyvue Altier")</f>
        <v>Dubai&gt;Sobha Hartland 2&gt;Skyvue&gt;Skyvue Altier</v>
      </c>
      <c r="E15141" s="2"/>
      <c r="F15141" s="2"/>
      <c r="G15141" s="2"/>
      <c r="H15141" s="2"/>
      <c r="I15141" s="2"/>
      <c r="J15141" s="2"/>
      <c r="K15141" s="2"/>
      <c r="L15141" s="2"/>
      <c r="M15141" s="2"/>
      <c r="N15141" s="2"/>
      <c r="O15141" s="2"/>
      <c r="P15141" s="2"/>
      <c r="Q15141" s="2"/>
      <c r="R15141" s="2"/>
      <c r="S15141" s="2"/>
      <c r="T15141" s="2"/>
      <c r="U15141" s="2"/>
      <c r="V15141" s="2"/>
      <c r="W15141" s="2"/>
      <c r="X15141" s="2"/>
      <c r="Y15141" s="2"/>
      <c r="Z15141" s="2"/>
    </row>
    <row r="15142" spans="1:26" ht="16.5" x14ac:dyDescent="0.35">
      <c r="A15142" s="2" t="str">
        <f ca="1">IFERROR(__xludf.DUMMYFUNCTION("""COMPUTED_VALUE"""),"Dubai")</f>
        <v>Dubai</v>
      </c>
      <c r="B15142" s="2" t="str">
        <f ca="1">IFERROR(__xludf.DUMMYFUNCTION("""COMPUTED_VALUE"""),"BS-04")</f>
        <v>BS-04</v>
      </c>
      <c r="C15142" s="2" t="str">
        <f ca="1">IFERROR(__xludf.DUMMYFUNCTION("""COMPUTED_VALUE"""),"Building")</f>
        <v>Building</v>
      </c>
      <c r="D15142" s="2" t="str">
        <f ca="1">IFERROR(__xludf.DUMMYFUNCTION("""COMPUTED_VALUE"""),"Dubai&gt;Dubai Studio City&gt;Boutique Studios&gt;BS-04")</f>
        <v>Dubai&gt;Dubai Studio City&gt;Boutique Studios&gt;BS-04</v>
      </c>
      <c r="E15142" s="2"/>
      <c r="F15142" s="2"/>
      <c r="G15142" s="2"/>
      <c r="H15142" s="2"/>
      <c r="I15142" s="2"/>
      <c r="J15142" s="2"/>
      <c r="K15142" s="2"/>
      <c r="L15142" s="2"/>
      <c r="M15142" s="2"/>
      <c r="N15142" s="2"/>
      <c r="O15142" s="2"/>
      <c r="P15142" s="2"/>
      <c r="Q15142" s="2"/>
      <c r="R15142" s="2"/>
      <c r="S15142" s="2"/>
      <c r="T15142" s="2"/>
      <c r="U15142" s="2"/>
      <c r="V15142" s="2"/>
      <c r="W15142" s="2"/>
      <c r="X15142" s="2"/>
      <c r="Y15142" s="2"/>
      <c r="Z15142" s="2"/>
    </row>
    <row r="15143" spans="1:26" ht="16.5" x14ac:dyDescent="0.35">
      <c r="A15143" s="2" t="str">
        <f ca="1">IFERROR(__xludf.DUMMYFUNCTION("""COMPUTED_VALUE"""),"Dubai")</f>
        <v>Dubai</v>
      </c>
      <c r="B15143" s="2" t="str">
        <f ca="1">IFERROR(__xludf.DUMMYFUNCTION("""COMPUTED_VALUE"""),"North London Collegiate School Dubai")</f>
        <v>North London Collegiate School Dubai</v>
      </c>
      <c r="C15143" s="2" t="str">
        <f ca="1">IFERROR(__xludf.DUMMYFUNCTION("""COMPUTED_VALUE"""),"School")</f>
        <v>School</v>
      </c>
      <c r="D15143" s="2" t="str">
        <f ca="1">IFERROR(__xludf.DUMMYFUNCTION("""COMPUTED_VALUE"""),"Dubai&gt;Sobha Hartland&gt;North London Collegiate School Dubai")</f>
        <v>Dubai&gt;Sobha Hartland&gt;North London Collegiate School Dubai</v>
      </c>
      <c r="E15143" s="2"/>
      <c r="F15143" s="2"/>
      <c r="G15143" s="2"/>
      <c r="H15143" s="2"/>
      <c r="I15143" s="2"/>
      <c r="J15143" s="2"/>
      <c r="K15143" s="2"/>
      <c r="L15143" s="2"/>
      <c r="M15143" s="2"/>
      <c r="N15143" s="2"/>
      <c r="O15143" s="2"/>
      <c r="P15143" s="2"/>
      <c r="Q15143" s="2"/>
      <c r="R15143" s="2"/>
      <c r="S15143" s="2"/>
      <c r="T15143" s="2"/>
      <c r="U15143" s="2"/>
      <c r="V15143" s="2"/>
      <c r="W15143" s="2"/>
      <c r="X15143" s="2"/>
      <c r="Y15143" s="2"/>
      <c r="Z15143" s="2"/>
    </row>
    <row r="15144" spans="1:26" ht="16.5" x14ac:dyDescent="0.35">
      <c r="A15144" s="2" t="str">
        <f ca="1">IFERROR(__xludf.DUMMYFUNCTION("""COMPUTED_VALUE"""),"Dubai")</f>
        <v>Dubai</v>
      </c>
      <c r="B15144" s="2" t="str">
        <f ca="1">IFERROR(__xludf.DUMMYFUNCTION("""COMPUTED_VALUE"""),"Sobha Creek Vistas Reserve")</f>
        <v>Sobha Creek Vistas Reserve</v>
      </c>
      <c r="C15144" s="2" t="str">
        <f ca="1">IFERROR(__xludf.DUMMYFUNCTION("""COMPUTED_VALUE"""),"Cluster")</f>
        <v>Cluster</v>
      </c>
      <c r="D15144" s="2" t="str">
        <f ca="1">IFERROR(__xludf.DUMMYFUNCTION("""COMPUTED_VALUE"""),"Dubai&gt;Sobha Hartland&gt;Sobha Creek Vistas Reserve")</f>
        <v>Dubai&gt;Sobha Hartland&gt;Sobha Creek Vistas Reserve</v>
      </c>
      <c r="E15144" s="2"/>
      <c r="F15144" s="2"/>
      <c r="G15144" s="2"/>
      <c r="H15144" s="2"/>
      <c r="I15144" s="2"/>
      <c r="J15144" s="2"/>
      <c r="K15144" s="2"/>
      <c r="L15144" s="2"/>
      <c r="M15144" s="2"/>
      <c r="N15144" s="2"/>
      <c r="O15144" s="2"/>
      <c r="P15144" s="2"/>
      <c r="Q15144" s="2"/>
      <c r="R15144" s="2"/>
      <c r="S15144" s="2"/>
      <c r="T15144" s="2"/>
      <c r="U15144" s="2"/>
      <c r="V15144" s="2"/>
      <c r="W15144" s="2"/>
      <c r="X15144" s="2"/>
      <c r="Y15144" s="2"/>
      <c r="Z15144" s="2"/>
    </row>
    <row r="15145" spans="1:26" ht="16.5" x14ac:dyDescent="0.35">
      <c r="A15145" s="2" t="str">
        <f ca="1">IFERROR(__xludf.DUMMYFUNCTION("""COMPUTED_VALUE"""),"Dubai")</f>
        <v>Dubai</v>
      </c>
      <c r="B15145" s="2" t="str">
        <f ca="1">IFERROR(__xludf.DUMMYFUNCTION("""COMPUTED_VALUE"""),"Jumeirah Heights")</f>
        <v>Jumeirah Heights</v>
      </c>
      <c r="C15145" s="2" t="str">
        <f ca="1">IFERROR(__xludf.DUMMYFUNCTION("""COMPUTED_VALUE"""),"Neighbourhood")</f>
        <v>Neighbourhood</v>
      </c>
      <c r="D15145" s="2" t="str">
        <f ca="1">IFERROR(__xludf.DUMMYFUNCTION("""COMPUTED_VALUE"""),"Dubai&gt;Jumeirah Heights")</f>
        <v>Dubai&gt;Jumeirah Heights</v>
      </c>
      <c r="E15145" s="2"/>
      <c r="F15145" s="2"/>
      <c r="G15145" s="2"/>
      <c r="H15145" s="2"/>
      <c r="I15145" s="2"/>
      <c r="J15145" s="2"/>
      <c r="K15145" s="2"/>
      <c r="L15145" s="2"/>
      <c r="M15145" s="2"/>
      <c r="N15145" s="2"/>
      <c r="O15145" s="2"/>
      <c r="P15145" s="2"/>
      <c r="Q15145" s="2"/>
      <c r="R15145" s="2"/>
      <c r="S15145" s="2"/>
      <c r="T15145" s="2"/>
      <c r="U15145" s="2"/>
      <c r="V15145" s="2"/>
      <c r="W15145" s="2"/>
      <c r="X15145" s="2"/>
      <c r="Y15145" s="2"/>
      <c r="Z15145" s="2"/>
    </row>
    <row r="15146" spans="1:26" ht="16.5" x14ac:dyDescent="0.35">
      <c r="A15146" s="2" t="str">
        <f ca="1">IFERROR(__xludf.DUMMYFUNCTION("""COMPUTED_VALUE"""),"Dubai")</f>
        <v>Dubai</v>
      </c>
      <c r="B15146" s="2" t="str">
        <f ca="1">IFERROR(__xludf.DUMMYFUNCTION("""COMPUTED_VALUE"""),"Shamsa Townhouses")</f>
        <v>Shamsa Townhouses</v>
      </c>
      <c r="C15146" s="2" t="str">
        <f ca="1">IFERROR(__xludf.DUMMYFUNCTION("""COMPUTED_VALUE"""),"Neighbourhood")</f>
        <v>Neighbourhood</v>
      </c>
      <c r="D15146" s="2" t="str">
        <f ca="1">IFERROR(__xludf.DUMMYFUNCTION("""COMPUTED_VALUE"""),"Dubai&gt;Expo City&gt;Expo Valley&gt;Shamsa Townhouses")</f>
        <v>Dubai&gt;Expo City&gt;Expo Valley&gt;Shamsa Townhouses</v>
      </c>
      <c r="E15146" s="2"/>
      <c r="F15146" s="2"/>
      <c r="G15146" s="2"/>
      <c r="H15146" s="2"/>
      <c r="I15146" s="2"/>
      <c r="J15146" s="2"/>
      <c r="K15146" s="2"/>
      <c r="L15146" s="2"/>
      <c r="M15146" s="2"/>
      <c r="N15146" s="2"/>
      <c r="O15146" s="2"/>
      <c r="P15146" s="2"/>
      <c r="Q15146" s="2"/>
      <c r="R15146" s="2"/>
      <c r="S15146" s="2"/>
      <c r="T15146" s="2"/>
      <c r="U15146" s="2"/>
      <c r="V15146" s="2"/>
      <c r="W15146" s="2"/>
      <c r="X15146" s="2"/>
      <c r="Y15146" s="2"/>
      <c r="Z15146" s="2"/>
    </row>
    <row r="15147" spans="1:26" ht="16.5" x14ac:dyDescent="0.35">
      <c r="A15147" s="2" t="str">
        <f ca="1">IFERROR(__xludf.DUMMYFUNCTION("""COMPUTED_VALUE"""),"Dubai")</f>
        <v>Dubai</v>
      </c>
      <c r="B15147" s="2" t="str">
        <f ca="1">IFERROR(__xludf.DUMMYFUNCTION("""COMPUTED_VALUE"""),"Germany Island")</f>
        <v>Germany Island</v>
      </c>
      <c r="C15147" s="2" t="str">
        <f ca="1">IFERROR(__xludf.DUMMYFUNCTION("""COMPUTED_VALUE"""),"Neighbourhood")</f>
        <v>Neighbourhood</v>
      </c>
      <c r="D15147" s="2" t="str">
        <f ca="1">IFERROR(__xludf.DUMMYFUNCTION("""COMPUTED_VALUE"""),"Dubai&gt;The World Islands&gt;The Heart of Europe&gt;Germany Island")</f>
        <v>Dubai&gt;The World Islands&gt;The Heart of Europe&gt;Germany Island</v>
      </c>
      <c r="E15147" s="2"/>
      <c r="F15147" s="2"/>
      <c r="G15147" s="2"/>
      <c r="H15147" s="2"/>
      <c r="I15147" s="2"/>
      <c r="J15147" s="2"/>
      <c r="K15147" s="2"/>
      <c r="L15147" s="2"/>
      <c r="M15147" s="2"/>
      <c r="N15147" s="2"/>
      <c r="O15147" s="2"/>
      <c r="P15147" s="2"/>
      <c r="Q15147" s="2"/>
      <c r="R15147" s="2"/>
      <c r="S15147" s="2"/>
      <c r="T15147" s="2"/>
      <c r="U15147" s="2"/>
      <c r="V15147" s="2"/>
      <c r="W15147" s="2"/>
      <c r="X15147" s="2"/>
      <c r="Y15147" s="2"/>
      <c r="Z15147" s="2"/>
    </row>
    <row r="15148" spans="1:26" ht="16.5" x14ac:dyDescent="0.35">
      <c r="A15148" s="2" t="str">
        <f ca="1">IFERROR(__xludf.DUMMYFUNCTION("""COMPUTED_VALUE"""),"Dubai")</f>
        <v>Dubai</v>
      </c>
      <c r="B15148" s="2" t="str">
        <f ca="1">IFERROR(__xludf.DUMMYFUNCTION("""COMPUTED_VALUE"""),"Hefair")</f>
        <v>Hefair</v>
      </c>
      <c r="C15148" s="2" t="str">
        <f ca="1">IFERROR(__xludf.DUMMYFUNCTION("""COMPUTED_VALUE"""),"Neighbourhood")</f>
        <v>Neighbourhood</v>
      </c>
      <c r="D15148" s="2" t="str">
        <f ca="1">IFERROR(__xludf.DUMMYFUNCTION("""COMPUTED_VALUE"""),"Dubai&gt;Hefair")</f>
        <v>Dubai&gt;Hefair</v>
      </c>
      <c r="E15148" s="2"/>
      <c r="F15148" s="2"/>
      <c r="G15148" s="2"/>
      <c r="H15148" s="2"/>
      <c r="I15148" s="2"/>
      <c r="J15148" s="2"/>
      <c r="K15148" s="2"/>
      <c r="L15148" s="2"/>
      <c r="M15148" s="2"/>
      <c r="N15148" s="2"/>
      <c r="O15148" s="2"/>
      <c r="P15148" s="2"/>
      <c r="Q15148" s="2"/>
      <c r="R15148" s="2"/>
      <c r="S15148" s="2"/>
      <c r="T15148" s="2"/>
      <c r="U15148" s="2"/>
      <c r="V15148" s="2"/>
      <c r="W15148" s="2"/>
      <c r="X15148" s="2"/>
      <c r="Y15148" s="2"/>
      <c r="Z15148" s="2"/>
    </row>
    <row r="15149" spans="1:26" ht="16.5" x14ac:dyDescent="0.35">
      <c r="A15149" s="2" t="str">
        <f ca="1">IFERROR(__xludf.DUMMYFUNCTION("""COMPUTED_VALUE"""),"Dubai")</f>
        <v>Dubai</v>
      </c>
      <c r="B15149" s="2" t="str">
        <f ca="1">IFERROR(__xludf.DUMMYFUNCTION("""COMPUTED_VALUE"""),"Vitalon")</f>
        <v>Vitalon</v>
      </c>
      <c r="C15149" s="2" t="str">
        <f ca="1">IFERROR(__xludf.DUMMYFUNCTION("""COMPUTED_VALUE"""),"Neighbourhood")</f>
        <v>Neighbourhood</v>
      </c>
      <c r="D15149" s="2" t="str">
        <f ca="1">IFERROR(__xludf.DUMMYFUNCTION("""COMPUTED_VALUE"""),"Dubai&gt;Athlon by Aldar&gt;Vitalon")</f>
        <v>Dubai&gt;Athlon by Aldar&gt;Vitalon</v>
      </c>
      <c r="E15149" s="2"/>
      <c r="F15149" s="2"/>
      <c r="G15149" s="2"/>
      <c r="H15149" s="2"/>
      <c r="I15149" s="2"/>
      <c r="J15149" s="2"/>
      <c r="K15149" s="2"/>
      <c r="L15149" s="2"/>
      <c r="M15149" s="2"/>
      <c r="N15149" s="2"/>
      <c r="O15149" s="2"/>
      <c r="P15149" s="2"/>
      <c r="Q15149" s="2"/>
      <c r="R15149" s="2"/>
      <c r="S15149" s="2"/>
      <c r="T15149" s="2"/>
      <c r="U15149" s="2"/>
      <c r="V15149" s="2"/>
      <c r="W15149" s="2"/>
      <c r="X15149" s="2"/>
      <c r="Y15149" s="2"/>
      <c r="Z15149" s="2"/>
    </row>
    <row r="15150" spans="1:26" ht="16.5" x14ac:dyDescent="0.35">
      <c r="A15150" s="2" t="str">
        <f ca="1">IFERROR(__xludf.DUMMYFUNCTION("""COMPUTED_VALUE"""),"Dubai")</f>
        <v>Dubai</v>
      </c>
      <c r="B15150" s="2" t="str">
        <f ca="1">IFERROR(__xludf.DUMMYFUNCTION("""COMPUTED_VALUE"""),"Cilia Building 8")</f>
        <v>Cilia Building 8</v>
      </c>
      <c r="C15150" s="2" t="str">
        <f ca="1">IFERROR(__xludf.DUMMYFUNCTION("""COMPUTED_VALUE"""),"Building")</f>
        <v>Building</v>
      </c>
      <c r="D15150" s="2" t="str">
        <f ca="1">IFERROR(__xludf.DUMMYFUNCTION("""COMPUTED_VALUE"""),"Dubai&gt;Ghaf Woods&gt;Cilia&gt;Cilia Building 8")</f>
        <v>Dubai&gt;Ghaf Woods&gt;Cilia&gt;Cilia Building 8</v>
      </c>
      <c r="E15150" s="2"/>
      <c r="F15150" s="2"/>
      <c r="G15150" s="2"/>
      <c r="H15150" s="2"/>
      <c r="I15150" s="2"/>
      <c r="J15150" s="2"/>
      <c r="K15150" s="2"/>
      <c r="L15150" s="2"/>
      <c r="M15150" s="2"/>
      <c r="N15150" s="2"/>
      <c r="O15150" s="2"/>
      <c r="P15150" s="2"/>
      <c r="Q15150" s="2"/>
      <c r="R15150" s="2"/>
      <c r="S15150" s="2"/>
      <c r="T15150" s="2"/>
      <c r="U15150" s="2"/>
      <c r="V15150" s="2"/>
      <c r="W15150" s="2"/>
      <c r="X15150" s="2"/>
      <c r="Y15150" s="2"/>
      <c r="Z15150" s="2"/>
    </row>
    <row r="15151" spans="1:26" ht="16.5" x14ac:dyDescent="0.35">
      <c r="A15151" s="2" t="str">
        <f ca="1">IFERROR(__xludf.DUMMYFUNCTION("""COMPUTED_VALUE"""),"Dubai")</f>
        <v>Dubai</v>
      </c>
      <c r="B15151" s="2" t="str">
        <f ca="1">IFERROR(__xludf.DUMMYFUNCTION("""COMPUTED_VALUE"""),"Bali 4")</f>
        <v>Bali 4</v>
      </c>
      <c r="C15151" s="2" t="str">
        <f ca="1">IFERROR(__xludf.DUMMYFUNCTION("""COMPUTED_VALUE"""),"Neighbourhood")</f>
        <v>Neighbourhood</v>
      </c>
      <c r="D15151" s="2" t="str">
        <f ca="1">IFERROR(__xludf.DUMMYFUNCTION("""COMPUTED_VALUE"""),"Dubai&gt;DAMAC Islands&gt;Bali 4")</f>
        <v>Dubai&gt;DAMAC Islands&gt;Bali 4</v>
      </c>
      <c r="E15151" s="2"/>
      <c r="F15151" s="2"/>
      <c r="G15151" s="2"/>
      <c r="H15151" s="2"/>
      <c r="I15151" s="2"/>
      <c r="J15151" s="2"/>
      <c r="K15151" s="2"/>
      <c r="L15151" s="2"/>
      <c r="M15151" s="2"/>
      <c r="N15151" s="2"/>
      <c r="O15151" s="2"/>
      <c r="P15151" s="2"/>
      <c r="Q15151" s="2"/>
      <c r="R15151" s="2"/>
      <c r="S15151" s="2"/>
      <c r="T15151" s="2"/>
      <c r="U15151" s="2"/>
      <c r="V15151" s="2"/>
      <c r="W15151" s="2"/>
      <c r="X15151" s="2"/>
      <c r="Y15151" s="2"/>
      <c r="Z15151" s="2"/>
    </row>
    <row r="15152" spans="1:26" ht="16.5" x14ac:dyDescent="0.35">
      <c r="A15152" s="2" t="str">
        <f ca="1">IFERROR(__xludf.DUMMYFUNCTION("""COMPUTED_VALUE"""),"Dubai")</f>
        <v>Dubai</v>
      </c>
      <c r="B15152" s="2" t="str">
        <f ca="1">IFERROR(__xludf.DUMMYFUNCTION("""COMPUTED_VALUE"""),"Murjan")</f>
        <v>Murjan</v>
      </c>
      <c r="C15152" s="2" t="str">
        <f ca="1">IFERROR(__xludf.DUMMYFUNCTION("""COMPUTED_VALUE"""),"Cluster")</f>
        <v>Cluster</v>
      </c>
      <c r="D15152" s="2" t="str">
        <f ca="1">IFERROR(__xludf.DUMMYFUNCTION("""COMPUTED_VALUE"""),"Dubai&gt;Jumeirah Beach Residence (JBR)&gt;Murjan")</f>
        <v>Dubai&gt;Jumeirah Beach Residence (JBR)&gt;Murjan</v>
      </c>
      <c r="E15152" s="2"/>
      <c r="F15152" s="2"/>
      <c r="G15152" s="2"/>
      <c r="H15152" s="2"/>
      <c r="I15152" s="2"/>
      <c r="J15152" s="2"/>
      <c r="K15152" s="2"/>
      <c r="L15152" s="2"/>
      <c r="M15152" s="2"/>
      <c r="N15152" s="2"/>
      <c r="O15152" s="2"/>
      <c r="P15152" s="2"/>
      <c r="Q15152" s="2"/>
      <c r="R15152" s="2"/>
      <c r="S15152" s="2"/>
      <c r="T15152" s="2"/>
      <c r="U15152" s="2"/>
      <c r="V15152" s="2"/>
      <c r="W15152" s="2"/>
      <c r="X15152" s="2"/>
      <c r="Y15152" s="2"/>
      <c r="Z15152" s="2"/>
    </row>
    <row r="15153" spans="1:26" ht="16.5" x14ac:dyDescent="0.35">
      <c r="A15153" s="2" t="str">
        <f ca="1">IFERROR(__xludf.DUMMYFUNCTION("""COMPUTED_VALUE"""),"Dubai")</f>
        <v>Dubai</v>
      </c>
      <c r="B15153" s="2" t="str">
        <f ca="1">IFERROR(__xludf.DUMMYFUNCTION("""COMPUTED_VALUE"""),"Bahar 4")</f>
        <v>Bahar 4</v>
      </c>
      <c r="C15153" s="2" t="str">
        <f ca="1">IFERROR(__xludf.DUMMYFUNCTION("""COMPUTED_VALUE"""),"Building")</f>
        <v>Building</v>
      </c>
      <c r="D15153" s="2" t="str">
        <f ca="1">IFERROR(__xludf.DUMMYFUNCTION("""COMPUTED_VALUE"""),"Dubai&gt;Jumeirah Beach Residence (JBR)&gt;Bahar&gt;Bahar 4")</f>
        <v>Dubai&gt;Jumeirah Beach Residence (JBR)&gt;Bahar&gt;Bahar 4</v>
      </c>
      <c r="E15153" s="2"/>
      <c r="F15153" s="2"/>
      <c r="G15153" s="2"/>
      <c r="H15153" s="2"/>
      <c r="I15153" s="2"/>
      <c r="J15153" s="2"/>
      <c r="K15153" s="2"/>
      <c r="L15153" s="2"/>
      <c r="M15153" s="2"/>
      <c r="N15153" s="2"/>
      <c r="O15153" s="2"/>
      <c r="P15153" s="2"/>
      <c r="Q15153" s="2"/>
      <c r="R15153" s="2"/>
      <c r="S15153" s="2"/>
      <c r="T15153" s="2"/>
      <c r="U15153" s="2"/>
      <c r="V15153" s="2"/>
      <c r="W15153" s="2"/>
      <c r="X15153" s="2"/>
      <c r="Y15153" s="2"/>
      <c r="Z15153" s="2"/>
    </row>
    <row r="15154" spans="1:26" ht="16.5" x14ac:dyDescent="0.35">
      <c r="A15154" s="2" t="str">
        <f ca="1">IFERROR(__xludf.DUMMYFUNCTION("""COMPUTED_VALUE"""),"Dubai")</f>
        <v>Dubai</v>
      </c>
      <c r="B15154" s="2" t="str">
        <f ca="1">IFERROR(__xludf.DUMMYFUNCTION("""COMPUTED_VALUE"""),"Rove Home Meydan Horizon")</f>
        <v>Rove Home Meydan Horizon</v>
      </c>
      <c r="C15154" s="2" t="str">
        <f ca="1">IFERROR(__xludf.DUMMYFUNCTION("""COMPUTED_VALUE"""),"Building")</f>
        <v>Building</v>
      </c>
      <c r="D15154" s="2" t="str">
        <f ca="1">IFERROR(__xludf.DUMMYFUNCTION("""COMPUTED_VALUE"""),"Dubai&gt;Meydan Horizon&gt;Rove Home Meydan Horizon")</f>
        <v>Dubai&gt;Meydan Horizon&gt;Rove Home Meydan Horizon</v>
      </c>
      <c r="E15154" s="2"/>
      <c r="F15154" s="2"/>
      <c r="G15154" s="2"/>
      <c r="H15154" s="2"/>
      <c r="I15154" s="2"/>
      <c r="J15154" s="2"/>
      <c r="K15154" s="2"/>
      <c r="L15154" s="2"/>
      <c r="M15154" s="2"/>
      <c r="N15154" s="2"/>
      <c r="O15154" s="2"/>
      <c r="P15154" s="2"/>
      <c r="Q15154" s="2"/>
      <c r="R15154" s="2"/>
      <c r="S15154" s="2"/>
      <c r="T15154" s="2"/>
      <c r="U15154" s="2"/>
      <c r="V15154" s="2"/>
      <c r="W15154" s="2"/>
      <c r="X15154" s="2"/>
      <c r="Y15154" s="2"/>
      <c r="Z15154" s="2"/>
    </row>
    <row r="15155" spans="1:26" ht="16.5" x14ac:dyDescent="0.35">
      <c r="A15155" s="2" t="str">
        <f ca="1">IFERROR(__xludf.DUMMYFUNCTION("""COMPUTED_VALUE"""),"Dubai")</f>
        <v>Dubai</v>
      </c>
      <c r="B15155" s="2" t="str">
        <f ca="1">IFERROR(__xludf.DUMMYFUNCTION("""COMPUTED_VALUE"""),"Honey Bee Nursery City Walk")</f>
        <v>Honey Bee Nursery City Walk</v>
      </c>
      <c r="C15155" s="2" t="str">
        <f ca="1">IFERROR(__xludf.DUMMYFUNCTION("""COMPUTED_VALUE"""),"Nursery")</f>
        <v>Nursery</v>
      </c>
      <c r="D15155" s="2" t="str">
        <f ca="1">IFERROR(__xludf.DUMMYFUNCTION("""COMPUTED_VALUE"""),"Dubai&gt;Al Wasl&gt;City Walk&gt;Honey Bee Nursery City Walk")</f>
        <v>Dubai&gt;Al Wasl&gt;City Walk&gt;Honey Bee Nursery City Walk</v>
      </c>
      <c r="E15155" s="2"/>
      <c r="F15155" s="2"/>
      <c r="G15155" s="2"/>
      <c r="H15155" s="2"/>
      <c r="I15155" s="2"/>
      <c r="J15155" s="2"/>
      <c r="K15155" s="2"/>
      <c r="L15155" s="2"/>
      <c r="M15155" s="2"/>
      <c r="N15155" s="2"/>
      <c r="O15155" s="2"/>
      <c r="P15155" s="2"/>
      <c r="Q15155" s="2"/>
      <c r="R15155" s="2"/>
      <c r="S15155" s="2"/>
      <c r="T15155" s="2"/>
      <c r="U15155" s="2"/>
      <c r="V15155" s="2"/>
      <c r="W15155" s="2"/>
      <c r="X15155" s="2"/>
      <c r="Y15155" s="2"/>
      <c r="Z15155" s="2"/>
    </row>
    <row r="15156" spans="1:26" ht="16.5" x14ac:dyDescent="0.35">
      <c r="A15156" s="2" t="str">
        <f ca="1">IFERROR(__xludf.DUMMYFUNCTION("""COMPUTED_VALUE"""),"Dubai")</f>
        <v>Dubai</v>
      </c>
      <c r="B15156" s="2" t="str">
        <f ca="1">IFERROR(__xludf.DUMMYFUNCTION("""COMPUTED_VALUE"""),"Viridian")</f>
        <v>Viridian</v>
      </c>
      <c r="C15156" s="2" t="str">
        <f ca="1">IFERROR(__xludf.DUMMYFUNCTION("""COMPUTED_VALUE"""),"Building")</f>
        <v>Building</v>
      </c>
      <c r="D15156" s="2" t="str">
        <f ca="1">IFERROR(__xludf.DUMMYFUNCTION("""COMPUTED_VALUE"""),"Dubai&gt;Al Wasl&gt;City Walk&gt;Central Park&gt;Viridian")</f>
        <v>Dubai&gt;Al Wasl&gt;City Walk&gt;Central Park&gt;Viridian</v>
      </c>
      <c r="E15156" s="2"/>
      <c r="F15156" s="2"/>
      <c r="G15156" s="2"/>
      <c r="H15156" s="2"/>
      <c r="I15156" s="2"/>
      <c r="J15156" s="2"/>
      <c r="K15156" s="2"/>
      <c r="L15156" s="2"/>
      <c r="M15156" s="2"/>
      <c r="N15156" s="2"/>
      <c r="O15156" s="2"/>
      <c r="P15156" s="2"/>
      <c r="Q15156" s="2"/>
      <c r="R15156" s="2"/>
      <c r="S15156" s="2"/>
      <c r="T15156" s="2"/>
      <c r="U15156" s="2"/>
      <c r="V15156" s="2"/>
      <c r="W15156" s="2"/>
      <c r="X15156" s="2"/>
      <c r="Y15156" s="2"/>
      <c r="Z15156" s="2"/>
    </row>
    <row r="15157" spans="1:26" ht="16.5" x14ac:dyDescent="0.35">
      <c r="A15157" s="2" t="str">
        <f ca="1">IFERROR(__xludf.DUMMYFUNCTION("""COMPUTED_VALUE"""),"Dubai")</f>
        <v>Dubai</v>
      </c>
      <c r="B15157" s="2" t="str">
        <f ca="1">IFERROR(__xludf.DUMMYFUNCTION("""COMPUTED_VALUE"""),"City Walk Crestlane 2 Building A")</f>
        <v>City Walk Crestlane 2 Building A</v>
      </c>
      <c r="C15157" s="2" t="str">
        <f ca="1">IFERROR(__xludf.DUMMYFUNCTION("""COMPUTED_VALUE"""),"Building")</f>
        <v>Building</v>
      </c>
      <c r="D15157" s="2" t="str">
        <f ca="1">IFERROR(__xludf.DUMMYFUNCTION("""COMPUTED_VALUE"""),"Dubai&gt;Al Wasl&gt;City Walk&gt;City Walk Crestlane 2&gt;City Walk Crestlane 2 Building A")</f>
        <v>Dubai&gt;Al Wasl&gt;City Walk&gt;City Walk Crestlane 2&gt;City Walk Crestlane 2 Building A</v>
      </c>
      <c r="E15157" s="2"/>
      <c r="F15157" s="2"/>
      <c r="G15157" s="2"/>
      <c r="H15157" s="2"/>
      <c r="I15157" s="2"/>
      <c r="J15157" s="2"/>
      <c r="K15157" s="2"/>
      <c r="L15157" s="2"/>
      <c r="M15157" s="2"/>
      <c r="N15157" s="2"/>
      <c r="O15157" s="2"/>
      <c r="P15157" s="2"/>
      <c r="Q15157" s="2"/>
      <c r="R15157" s="2"/>
      <c r="S15157" s="2"/>
      <c r="T15157" s="2"/>
      <c r="U15157" s="2"/>
      <c r="V15157" s="2"/>
      <c r="W15157" s="2"/>
      <c r="X15157" s="2"/>
      <c r="Y15157" s="2"/>
      <c r="Z15157" s="2"/>
    </row>
    <row r="15158" spans="1:26" ht="16.5" x14ac:dyDescent="0.35">
      <c r="A15158" s="2" t="str">
        <f ca="1">IFERROR(__xludf.DUMMYFUNCTION("""COMPUTED_VALUE"""),"Dubai")</f>
        <v>Dubai</v>
      </c>
      <c r="B15158" s="2" t="str">
        <f ca="1">IFERROR(__xludf.DUMMYFUNCTION("""COMPUTED_VALUE"""),"18 Villa Compound")</f>
        <v>18 Villa Compound</v>
      </c>
      <c r="C15158" s="2" t="str">
        <f ca="1">IFERROR(__xludf.DUMMYFUNCTION("""COMPUTED_VALUE"""),"Neighbourhood")</f>
        <v>Neighbourhood</v>
      </c>
      <c r="D15158" s="2" t="str">
        <f ca="1">IFERROR(__xludf.DUMMYFUNCTION("""COMPUTED_VALUE"""),"Dubai&gt;Al Wasl&gt;18 Villa Compound")</f>
        <v>Dubai&gt;Al Wasl&gt;18 Villa Compound</v>
      </c>
      <c r="E15158" s="2"/>
      <c r="F15158" s="2"/>
      <c r="G15158" s="2"/>
      <c r="H15158" s="2"/>
      <c r="I15158" s="2"/>
      <c r="J15158" s="2"/>
      <c r="K15158" s="2"/>
      <c r="L15158" s="2"/>
      <c r="M15158" s="2"/>
      <c r="N15158" s="2"/>
      <c r="O15158" s="2"/>
      <c r="P15158" s="2"/>
      <c r="Q15158" s="2"/>
      <c r="R15158" s="2"/>
      <c r="S15158" s="2"/>
      <c r="T15158" s="2"/>
      <c r="U15158" s="2"/>
      <c r="V15158" s="2"/>
      <c r="W15158" s="2"/>
      <c r="X15158" s="2"/>
      <c r="Y15158" s="2"/>
      <c r="Z15158" s="2"/>
    </row>
    <row r="15159" spans="1:26" ht="16.5" x14ac:dyDescent="0.35">
      <c r="A15159" s="2" t="str">
        <f ca="1">IFERROR(__xludf.DUMMYFUNCTION("""COMPUTED_VALUE"""),"Dubai")</f>
        <v>Dubai</v>
      </c>
      <c r="B15159" s="2" t="str">
        <f ca="1">IFERROR(__xludf.DUMMYFUNCTION("""COMPUTED_VALUE"""),"Vincitore Boulevard D")</f>
        <v>Vincitore Boulevard D</v>
      </c>
      <c r="C15159" s="2" t="str">
        <f ca="1">IFERROR(__xludf.DUMMYFUNCTION("""COMPUTED_VALUE"""),"Building")</f>
        <v>Building</v>
      </c>
      <c r="D15159" s="2" t="str">
        <f ca="1">IFERROR(__xludf.DUMMYFUNCTION("""COMPUTED_VALUE"""),"Dubai&gt;Arjan&gt;Vincitore Boulevard&gt;Vincitore Boulevard D")</f>
        <v>Dubai&gt;Arjan&gt;Vincitore Boulevard&gt;Vincitore Boulevard D</v>
      </c>
      <c r="E15159" s="2"/>
      <c r="F15159" s="2"/>
      <c r="G15159" s="2"/>
      <c r="H15159" s="2"/>
      <c r="I15159" s="2"/>
      <c r="J15159" s="2"/>
      <c r="K15159" s="2"/>
      <c r="L15159" s="2"/>
      <c r="M15159" s="2"/>
      <c r="N15159" s="2"/>
      <c r="O15159" s="2"/>
      <c r="P15159" s="2"/>
      <c r="Q15159" s="2"/>
      <c r="R15159" s="2"/>
      <c r="S15159" s="2"/>
      <c r="T15159" s="2"/>
      <c r="U15159" s="2"/>
      <c r="V15159" s="2"/>
      <c r="W15159" s="2"/>
      <c r="X15159" s="2"/>
      <c r="Y15159" s="2"/>
      <c r="Z15159" s="2"/>
    </row>
    <row r="15160" spans="1:26" ht="16.5" x14ac:dyDescent="0.35">
      <c r="A15160" s="2" t="str">
        <f ca="1">IFERROR(__xludf.DUMMYFUNCTION("""COMPUTED_VALUE"""),"Dubai")</f>
        <v>Dubai</v>
      </c>
      <c r="B15160" s="2" t="str">
        <f ca="1">IFERROR(__xludf.DUMMYFUNCTION("""COMPUTED_VALUE"""),"Salim 1")</f>
        <v>Salim 1</v>
      </c>
      <c r="C15160" s="2" t="str">
        <f ca="1">IFERROR(__xludf.DUMMYFUNCTION("""COMPUTED_VALUE"""),"Building")</f>
        <v>Building</v>
      </c>
      <c r="D15160" s="2" t="str">
        <f ca="1">IFERROR(__xludf.DUMMYFUNCTION("""COMPUTED_VALUE"""),"Dubai&gt;Arjan&gt;Salim 1")</f>
        <v>Dubai&gt;Arjan&gt;Salim 1</v>
      </c>
      <c r="E15160" s="2"/>
      <c r="F15160" s="2"/>
      <c r="G15160" s="2"/>
      <c r="H15160" s="2"/>
      <c r="I15160" s="2"/>
      <c r="J15160" s="2"/>
      <c r="K15160" s="2"/>
      <c r="L15160" s="2"/>
      <c r="M15160" s="2"/>
      <c r="N15160" s="2"/>
      <c r="O15160" s="2"/>
      <c r="P15160" s="2"/>
      <c r="Q15160" s="2"/>
      <c r="R15160" s="2"/>
      <c r="S15160" s="2"/>
      <c r="T15160" s="2"/>
      <c r="U15160" s="2"/>
      <c r="V15160" s="2"/>
      <c r="W15160" s="2"/>
      <c r="X15160" s="2"/>
      <c r="Y15160" s="2"/>
      <c r="Z15160" s="2"/>
    </row>
    <row r="15161" spans="1:26" ht="16.5" x14ac:dyDescent="0.35">
      <c r="A15161" s="2" t="str">
        <f ca="1">IFERROR(__xludf.DUMMYFUNCTION("""COMPUTED_VALUE"""),"Dubai")</f>
        <v>Dubai</v>
      </c>
      <c r="B15161" s="2" t="str">
        <f ca="1">IFERROR(__xludf.DUMMYFUNCTION("""COMPUTED_VALUE"""),"Burj View Residence")</f>
        <v>Burj View Residence</v>
      </c>
      <c r="C15161" s="2" t="str">
        <f ca="1">IFERROR(__xludf.DUMMYFUNCTION("""COMPUTED_VALUE"""),"Building")</f>
        <v>Building</v>
      </c>
      <c r="D15161" s="2" t="str">
        <f ca="1">IFERROR(__xludf.DUMMYFUNCTION("""COMPUTED_VALUE"""),"Dubai&gt;Arjan&gt;Burj View Residence")</f>
        <v>Dubai&gt;Arjan&gt;Burj View Residence</v>
      </c>
      <c r="E15161" s="2"/>
      <c r="F15161" s="2"/>
      <c r="G15161" s="2"/>
      <c r="H15161" s="2"/>
      <c r="I15161" s="2"/>
      <c r="J15161" s="2"/>
      <c r="K15161" s="2"/>
      <c r="L15161" s="2"/>
      <c r="M15161" s="2"/>
      <c r="N15161" s="2"/>
      <c r="O15161" s="2"/>
      <c r="P15161" s="2"/>
      <c r="Q15161" s="2"/>
      <c r="R15161" s="2"/>
      <c r="S15161" s="2"/>
      <c r="T15161" s="2"/>
      <c r="U15161" s="2"/>
      <c r="V15161" s="2"/>
      <c r="W15161" s="2"/>
      <c r="X15161" s="2"/>
      <c r="Y15161" s="2"/>
      <c r="Z15161" s="2"/>
    </row>
    <row r="15162" spans="1:26" ht="16.5" x14ac:dyDescent="0.35">
      <c r="A15162" s="2" t="str">
        <f ca="1">IFERROR(__xludf.DUMMYFUNCTION("""COMPUTED_VALUE"""),"Dubai")</f>
        <v>Dubai</v>
      </c>
      <c r="B15162" s="2" t="str">
        <f ca="1">IFERROR(__xludf.DUMMYFUNCTION("""COMPUTED_VALUE"""),"Dumax Building")</f>
        <v>Dumax Building</v>
      </c>
      <c r="C15162" s="2" t="str">
        <f ca="1">IFERROR(__xludf.DUMMYFUNCTION("""COMPUTED_VALUE"""),"Building")</f>
        <v>Building</v>
      </c>
      <c r="D15162" s="2" t="str">
        <f ca="1">IFERROR(__xludf.DUMMYFUNCTION("""COMPUTED_VALUE"""),"Dubai&gt;Arjan&gt;Dumax Building")</f>
        <v>Dubai&gt;Arjan&gt;Dumax Building</v>
      </c>
      <c r="E15162" s="2"/>
      <c r="F15162" s="2"/>
      <c r="G15162" s="2"/>
      <c r="H15162" s="2"/>
      <c r="I15162" s="2"/>
      <c r="J15162" s="2"/>
      <c r="K15162" s="2"/>
      <c r="L15162" s="2"/>
      <c r="M15162" s="2"/>
      <c r="N15162" s="2"/>
      <c r="O15162" s="2"/>
      <c r="P15162" s="2"/>
      <c r="Q15162" s="2"/>
      <c r="R15162" s="2"/>
      <c r="S15162" s="2"/>
      <c r="T15162" s="2"/>
      <c r="U15162" s="2"/>
      <c r="V15162" s="2"/>
      <c r="W15162" s="2"/>
      <c r="X15162" s="2"/>
      <c r="Y15162" s="2"/>
      <c r="Z15162" s="2"/>
    </row>
    <row r="15163" spans="1:26" ht="16.5" x14ac:dyDescent="0.35">
      <c r="A15163" s="2" t="str">
        <f ca="1">IFERROR(__xludf.DUMMYFUNCTION("""COMPUTED_VALUE"""),"Dubai")</f>
        <v>Dubai</v>
      </c>
      <c r="B15163" s="2" t="str">
        <f ca="1">IFERROR(__xludf.DUMMYFUNCTION("""COMPUTED_VALUE"""),"Malak Arjan")</f>
        <v>Malak Arjan</v>
      </c>
      <c r="C15163" s="2" t="str">
        <f ca="1">IFERROR(__xludf.DUMMYFUNCTION("""COMPUTED_VALUE"""),"Cluster")</f>
        <v>Cluster</v>
      </c>
      <c r="D15163" s="2" t="str">
        <f ca="1">IFERROR(__xludf.DUMMYFUNCTION("""COMPUTED_VALUE"""),"Dubai&gt;Arjan&gt;Malak Arjan")</f>
        <v>Dubai&gt;Arjan&gt;Malak Arjan</v>
      </c>
      <c r="E15163" s="2"/>
      <c r="F15163" s="2"/>
      <c r="G15163" s="2"/>
      <c r="H15163" s="2"/>
      <c r="I15163" s="2"/>
      <c r="J15163" s="2"/>
      <c r="K15163" s="2"/>
      <c r="L15163" s="2"/>
      <c r="M15163" s="2"/>
      <c r="N15163" s="2"/>
      <c r="O15163" s="2"/>
      <c r="P15163" s="2"/>
      <c r="Q15163" s="2"/>
      <c r="R15163" s="2"/>
      <c r="S15163" s="2"/>
      <c r="T15163" s="2"/>
      <c r="U15163" s="2"/>
      <c r="V15163" s="2"/>
      <c r="W15163" s="2"/>
      <c r="X15163" s="2"/>
      <c r="Y15163" s="2"/>
      <c r="Z15163" s="2"/>
    </row>
    <row r="15164" spans="1:26" ht="16.5" x14ac:dyDescent="0.35">
      <c r="A15164" s="2" t="str">
        <f ca="1">IFERROR(__xludf.DUMMYFUNCTION("""COMPUTED_VALUE"""),"Dubai")</f>
        <v>Dubai</v>
      </c>
      <c r="B15164" s="2" t="str">
        <f ca="1">IFERROR(__xludf.DUMMYFUNCTION("""COMPUTED_VALUE"""),"Arjan Seven A1")</f>
        <v>Arjan Seven A1</v>
      </c>
      <c r="C15164" s="2" t="str">
        <f ca="1">IFERROR(__xludf.DUMMYFUNCTION("""COMPUTED_VALUE"""),"Building")</f>
        <v>Building</v>
      </c>
      <c r="D15164" s="2" t="str">
        <f ca="1">IFERROR(__xludf.DUMMYFUNCTION("""COMPUTED_VALUE"""),"Dubai&gt;Arjan&gt;Arjan Seven&gt;Arjan Seven A1")</f>
        <v>Dubai&gt;Arjan&gt;Arjan Seven&gt;Arjan Seven A1</v>
      </c>
      <c r="E15164" s="2"/>
      <c r="F15164" s="2"/>
      <c r="G15164" s="2"/>
      <c r="H15164" s="2"/>
      <c r="I15164" s="2"/>
      <c r="J15164" s="2"/>
      <c r="K15164" s="2"/>
      <c r="L15164" s="2"/>
      <c r="M15164" s="2"/>
      <c r="N15164" s="2"/>
      <c r="O15164" s="2"/>
      <c r="P15164" s="2"/>
      <c r="Q15164" s="2"/>
      <c r="R15164" s="2"/>
      <c r="S15164" s="2"/>
      <c r="T15164" s="2"/>
      <c r="U15164" s="2"/>
      <c r="V15164" s="2"/>
      <c r="W15164" s="2"/>
      <c r="X15164" s="2"/>
      <c r="Y15164" s="2"/>
      <c r="Z15164" s="2"/>
    </row>
    <row r="15165" spans="1:26" ht="16.5" x14ac:dyDescent="0.35">
      <c r="A15165" s="2" t="str">
        <f ca="1">IFERROR(__xludf.DUMMYFUNCTION("""COMPUTED_VALUE"""),"Dubai")</f>
        <v>Dubai</v>
      </c>
      <c r="B15165" s="2" t="str">
        <f ca="1">IFERROR(__xludf.DUMMYFUNCTION("""COMPUTED_VALUE"""),"Binghatti Hillcrest")</f>
        <v>Binghatti Hillcrest</v>
      </c>
      <c r="C15165" s="2" t="str">
        <f ca="1">IFERROR(__xludf.DUMMYFUNCTION("""COMPUTED_VALUE"""),"Building")</f>
        <v>Building</v>
      </c>
      <c r="D15165" s="2" t="str">
        <f ca="1">IFERROR(__xludf.DUMMYFUNCTION("""COMPUTED_VALUE"""),"Dubai&gt;Arjan&gt;Binghatti Hillcrest")</f>
        <v>Dubai&gt;Arjan&gt;Binghatti Hillcrest</v>
      </c>
      <c r="E15165" s="2"/>
      <c r="F15165" s="2"/>
      <c r="G15165" s="2"/>
      <c r="H15165" s="2"/>
      <c r="I15165" s="2"/>
      <c r="J15165" s="2"/>
      <c r="K15165" s="2"/>
      <c r="L15165" s="2"/>
      <c r="M15165" s="2"/>
      <c r="N15165" s="2"/>
      <c r="O15165" s="2"/>
      <c r="P15165" s="2"/>
      <c r="Q15165" s="2"/>
      <c r="R15165" s="2"/>
      <c r="S15165" s="2"/>
      <c r="T15165" s="2"/>
      <c r="U15165" s="2"/>
      <c r="V15165" s="2"/>
      <c r="W15165" s="2"/>
      <c r="X15165" s="2"/>
      <c r="Y15165" s="2"/>
      <c r="Z15165" s="2"/>
    </row>
    <row r="15166" spans="1:26" ht="16.5" x14ac:dyDescent="0.35">
      <c r="A15166" s="2" t="str">
        <f ca="1">IFERROR(__xludf.DUMMYFUNCTION("""COMPUTED_VALUE"""),"Dubai")</f>
        <v>Dubai</v>
      </c>
      <c r="B15166" s="2" t="str">
        <f ca="1">IFERROR(__xludf.DUMMYFUNCTION("""COMPUTED_VALUE"""),"The Loft Office 1")</f>
        <v>The Loft Office 1</v>
      </c>
      <c r="C15166" s="2" t="str">
        <f ca="1">IFERROR(__xludf.DUMMYFUNCTION("""COMPUTED_VALUE"""),"Building")</f>
        <v>Building</v>
      </c>
      <c r="D15166" s="2" t="str">
        <f ca="1">IFERROR(__xludf.DUMMYFUNCTION("""COMPUTED_VALUE"""),"Dubai&gt;Dubai Media City&gt;The Loft Offices&gt;The Loft Office 1")</f>
        <v>Dubai&gt;Dubai Media City&gt;The Loft Offices&gt;The Loft Office 1</v>
      </c>
      <c r="E15166" s="2"/>
      <c r="F15166" s="2"/>
      <c r="G15166" s="2"/>
      <c r="H15166" s="2"/>
      <c r="I15166" s="2"/>
      <c r="J15166" s="2"/>
      <c r="K15166" s="2"/>
      <c r="L15166" s="2"/>
      <c r="M15166" s="2"/>
      <c r="N15166" s="2"/>
      <c r="O15166" s="2"/>
      <c r="P15166" s="2"/>
      <c r="Q15166" s="2"/>
      <c r="R15166" s="2"/>
      <c r="S15166" s="2"/>
      <c r="T15166" s="2"/>
      <c r="U15166" s="2"/>
      <c r="V15166" s="2"/>
      <c r="W15166" s="2"/>
      <c r="X15166" s="2"/>
      <c r="Y15166" s="2"/>
      <c r="Z15166" s="2"/>
    </row>
    <row r="15167" spans="1:26" ht="16.5" x14ac:dyDescent="0.35">
      <c r="A15167" s="2" t="str">
        <f ca="1">IFERROR(__xludf.DUMMYFUNCTION("""COMPUTED_VALUE"""),"Abu Dhabi")</f>
        <v>Abu Dhabi</v>
      </c>
      <c r="B15167" s="2" t="str">
        <f ca="1">IFERROR(__xludf.DUMMYFUNCTION("""COMPUTED_VALUE"""),"Al Dhafrah 2")</f>
        <v>Al Dhafrah 2</v>
      </c>
      <c r="C15167" s="2" t="str">
        <f ca="1">IFERROR(__xludf.DUMMYFUNCTION("""COMPUTED_VALUE"""),"Building")</f>
        <v>Building</v>
      </c>
      <c r="D15167" s="2" t="str">
        <f ca="1">IFERROR(__xludf.DUMMYFUNCTION("""COMPUTED_VALUE"""),"Abu Dhabi&gt;Al Dhafrah&gt;Al Dhafrah 2")</f>
        <v>Abu Dhabi&gt;Al Dhafrah&gt;Al Dhafrah 2</v>
      </c>
      <c r="E15167" s="2"/>
      <c r="F15167" s="2"/>
      <c r="G15167" s="2"/>
      <c r="H15167" s="2"/>
      <c r="I15167" s="2"/>
      <c r="J15167" s="2"/>
      <c r="K15167" s="2"/>
      <c r="L15167" s="2"/>
      <c r="M15167" s="2"/>
      <c r="N15167" s="2"/>
      <c r="O15167" s="2"/>
      <c r="P15167" s="2"/>
      <c r="Q15167" s="2"/>
      <c r="R15167" s="2"/>
      <c r="S15167" s="2"/>
      <c r="T15167" s="2"/>
      <c r="U15167" s="2"/>
      <c r="V15167" s="2"/>
      <c r="W15167" s="2"/>
      <c r="X15167" s="2"/>
      <c r="Y15167" s="2"/>
      <c r="Z15167" s="2"/>
    </row>
    <row r="15168" spans="1:26" ht="16.5" x14ac:dyDescent="0.35">
      <c r="A15168" s="2" t="str">
        <f ca="1">IFERROR(__xludf.DUMMYFUNCTION("""COMPUTED_VALUE"""),"Abu Dhabi")</f>
        <v>Abu Dhabi</v>
      </c>
      <c r="B15168" s="2" t="str">
        <f ca="1">IFERROR(__xludf.DUMMYFUNCTION("""COMPUTED_VALUE"""),"Redwood Montessori Nursery Al Bateen")</f>
        <v>Redwood Montessori Nursery Al Bateen</v>
      </c>
      <c r="C15168" s="2" t="str">
        <f ca="1">IFERROR(__xludf.DUMMYFUNCTION("""COMPUTED_VALUE"""),"Nursery")</f>
        <v>Nursery</v>
      </c>
      <c r="D15168" s="2" t="str">
        <f ca="1">IFERROR(__xludf.DUMMYFUNCTION("""COMPUTED_VALUE"""),"Abu Dhabi&gt;Al Bateen&gt;Redwood Montessori Nursery Al Bateen")</f>
        <v>Abu Dhabi&gt;Al Bateen&gt;Redwood Montessori Nursery Al Bateen</v>
      </c>
      <c r="E15168" s="2"/>
      <c r="F15168" s="2"/>
      <c r="G15168" s="2"/>
      <c r="H15168" s="2"/>
      <c r="I15168" s="2"/>
      <c r="J15168" s="2"/>
      <c r="K15168" s="2"/>
      <c r="L15168" s="2"/>
      <c r="M15168" s="2"/>
      <c r="N15168" s="2"/>
      <c r="O15168" s="2"/>
      <c r="P15168" s="2"/>
      <c r="Q15168" s="2"/>
      <c r="R15168" s="2"/>
      <c r="S15168" s="2"/>
      <c r="T15168" s="2"/>
      <c r="U15168" s="2"/>
      <c r="V15168" s="2"/>
      <c r="W15168" s="2"/>
      <c r="X15168" s="2"/>
      <c r="Y15168" s="2"/>
      <c r="Z15168" s="2"/>
    </row>
    <row r="15169" spans="1:26" ht="16.5" x14ac:dyDescent="0.35">
      <c r="A15169" s="2" t="str">
        <f ca="1">IFERROR(__xludf.DUMMYFUNCTION("""COMPUTED_VALUE"""),"Abu Dhabi")</f>
        <v>Abu Dhabi</v>
      </c>
      <c r="B15169" s="2" t="str">
        <f ca="1">IFERROR(__xludf.DUMMYFUNCTION("""COMPUTED_VALUE"""),"Autumn Tower")</f>
        <v>Autumn Tower</v>
      </c>
      <c r="C15169" s="2" t="str">
        <f ca="1">IFERROR(__xludf.DUMMYFUNCTION("""COMPUTED_VALUE"""),"Building")</f>
        <v>Building</v>
      </c>
      <c r="D15169" s="2" t="str">
        <f ca="1">IFERROR(__xludf.DUMMYFUNCTION("""COMPUTED_VALUE"""),"Abu Dhabi&gt;Airport Street&gt;Fotouh Al Khair&gt;Autumn Tower")</f>
        <v>Abu Dhabi&gt;Airport Street&gt;Fotouh Al Khair&gt;Autumn Tower</v>
      </c>
      <c r="E15169" s="2"/>
      <c r="F15169" s="2"/>
      <c r="G15169" s="2"/>
      <c r="H15169" s="2"/>
      <c r="I15169" s="2"/>
      <c r="J15169" s="2"/>
      <c r="K15169" s="2"/>
      <c r="L15169" s="2"/>
      <c r="M15169" s="2"/>
      <c r="N15169" s="2"/>
      <c r="O15169" s="2"/>
      <c r="P15169" s="2"/>
      <c r="Q15169" s="2"/>
      <c r="R15169" s="2"/>
      <c r="S15169" s="2"/>
      <c r="T15169" s="2"/>
      <c r="U15169" s="2"/>
      <c r="V15169" s="2"/>
      <c r="W15169" s="2"/>
      <c r="X15169" s="2"/>
      <c r="Y15169" s="2"/>
      <c r="Z15169" s="2"/>
    </row>
    <row r="15170" spans="1:26" ht="16.5" x14ac:dyDescent="0.35">
      <c r="A15170" s="2" t="str">
        <f ca="1">IFERROR(__xludf.DUMMYFUNCTION("""COMPUTED_VALUE"""),"Abu Dhabi")</f>
        <v>Abu Dhabi</v>
      </c>
      <c r="B15170" s="2" t="str">
        <f ca="1">IFERROR(__xludf.DUMMYFUNCTION("""COMPUTED_VALUE"""),"Waterfront Tower A")</f>
        <v>Waterfront Tower A</v>
      </c>
      <c r="C15170" s="2" t="str">
        <f ca="1">IFERROR(__xludf.DUMMYFUNCTION("""COMPUTED_VALUE"""),"Building")</f>
        <v>Building</v>
      </c>
      <c r="D15170" s="2" t="str">
        <f ca="1">IFERROR(__xludf.DUMMYFUNCTION("""COMPUTED_VALUE"""),"Abu Dhabi&gt;Tourist Club Area (TCA)&gt;Waterfront Residential Towers&gt;Waterfront Tower A")</f>
        <v>Abu Dhabi&gt;Tourist Club Area (TCA)&gt;Waterfront Residential Towers&gt;Waterfront Tower A</v>
      </c>
      <c r="E15170" s="2"/>
      <c r="F15170" s="2"/>
      <c r="G15170" s="2"/>
      <c r="H15170" s="2"/>
      <c r="I15170" s="2"/>
      <c r="J15170" s="2"/>
      <c r="K15170" s="2"/>
      <c r="L15170" s="2"/>
      <c r="M15170" s="2"/>
      <c r="N15170" s="2"/>
      <c r="O15170" s="2"/>
      <c r="P15170" s="2"/>
      <c r="Q15170" s="2"/>
      <c r="R15170" s="2"/>
      <c r="S15170" s="2"/>
      <c r="T15170" s="2"/>
      <c r="U15170" s="2"/>
      <c r="V15170" s="2"/>
      <c r="W15170" s="2"/>
      <c r="X15170" s="2"/>
      <c r="Y15170" s="2"/>
      <c r="Z15170" s="2"/>
    </row>
    <row r="15171" spans="1:26" ht="16.5" x14ac:dyDescent="0.35">
      <c r="A15171" s="2" t="str">
        <f ca="1">IFERROR(__xludf.DUMMYFUNCTION("""COMPUTED_VALUE"""),"Abu Dhabi")</f>
        <v>Abu Dhabi</v>
      </c>
      <c r="B15171" s="2" t="str">
        <f ca="1">IFERROR(__xludf.DUMMYFUNCTION("""COMPUTED_VALUE"""),"International Community School (ICS) Al Mushrif")</f>
        <v>International Community School (ICS) Al Mushrif</v>
      </c>
      <c r="C15171" s="2" t="str">
        <f ca="1">IFERROR(__xludf.DUMMYFUNCTION("""COMPUTED_VALUE"""),"School")</f>
        <v>School</v>
      </c>
      <c r="D15171" s="2" t="str">
        <f ca="1">IFERROR(__xludf.DUMMYFUNCTION("""COMPUTED_VALUE"""),"Abu Dhabi&gt;Al Mushrif&gt;International Community School (ICS) Al Mushrif")</f>
        <v>Abu Dhabi&gt;Al Mushrif&gt;International Community School (ICS) Al Mushrif</v>
      </c>
      <c r="E15171" s="2"/>
      <c r="F15171" s="2"/>
      <c r="G15171" s="2"/>
      <c r="H15171" s="2"/>
      <c r="I15171" s="2"/>
      <c r="J15171" s="2"/>
      <c r="K15171" s="2"/>
      <c r="L15171" s="2"/>
      <c r="M15171" s="2"/>
      <c r="N15171" s="2"/>
      <c r="O15171" s="2"/>
      <c r="P15171" s="2"/>
      <c r="Q15171" s="2"/>
      <c r="R15171" s="2"/>
      <c r="S15171" s="2"/>
      <c r="T15171" s="2"/>
      <c r="U15171" s="2"/>
      <c r="V15171" s="2"/>
      <c r="W15171" s="2"/>
      <c r="X15171" s="2"/>
      <c r="Y15171" s="2"/>
      <c r="Z15171" s="2"/>
    </row>
    <row r="15172" spans="1:26" ht="16.5" x14ac:dyDescent="0.35">
      <c r="A15172" s="2" t="str">
        <f ca="1">IFERROR(__xludf.DUMMYFUNCTION("""COMPUTED_VALUE"""),"Abu Dhabi")</f>
        <v>Abu Dhabi</v>
      </c>
      <c r="B15172" s="2" t="str">
        <f ca="1">IFERROR(__xludf.DUMMYFUNCTION("""COMPUTED_VALUE"""),"SHA Residences")</f>
        <v>SHA Residences</v>
      </c>
      <c r="C15172" s="2" t="str">
        <f ca="1">IFERROR(__xludf.DUMMYFUNCTION("""COMPUTED_VALUE"""),"Neighbourhood")</f>
        <v>Neighbourhood</v>
      </c>
      <c r="D15172" s="2" t="str">
        <f ca="1">IFERROR(__xludf.DUMMYFUNCTION("""COMPUTED_VALUE"""),"Abu Dhabi&gt;Al Jurf&gt;SHA Residences")</f>
        <v>Abu Dhabi&gt;Al Jurf&gt;SHA Residences</v>
      </c>
      <c r="E15172" s="2"/>
      <c r="F15172" s="2"/>
      <c r="G15172" s="2"/>
      <c r="H15172" s="2"/>
      <c r="I15172" s="2"/>
      <c r="J15172" s="2"/>
      <c r="K15172" s="2"/>
      <c r="L15172" s="2"/>
      <c r="M15172" s="2"/>
      <c r="N15172" s="2"/>
      <c r="O15172" s="2"/>
      <c r="P15172" s="2"/>
      <c r="Q15172" s="2"/>
      <c r="R15172" s="2"/>
      <c r="S15172" s="2"/>
      <c r="T15172" s="2"/>
      <c r="U15172" s="2"/>
      <c r="V15172" s="2"/>
      <c r="W15172" s="2"/>
      <c r="X15172" s="2"/>
      <c r="Y15172" s="2"/>
      <c r="Z15172" s="2"/>
    </row>
    <row r="15173" spans="1:26" ht="16.5" x14ac:dyDescent="0.35">
      <c r="A15173" s="2" t="str">
        <f ca="1">IFERROR(__xludf.DUMMYFUNCTION("""COMPUTED_VALUE"""),"Abu Dhabi")</f>
        <v>Abu Dhabi</v>
      </c>
      <c r="B15173" s="2" t="str">
        <f ca="1">IFERROR(__xludf.DUMMYFUNCTION("""COMPUTED_VALUE"""),"AK Tower")</f>
        <v>AK Tower</v>
      </c>
      <c r="C15173" s="2" t="str">
        <f ca="1">IFERROR(__xludf.DUMMYFUNCTION("""COMPUTED_VALUE"""),"Building")</f>
        <v>Building</v>
      </c>
      <c r="D15173" s="2" t="str">
        <f ca="1">IFERROR(__xludf.DUMMYFUNCTION("""COMPUTED_VALUE"""),"Abu Dhabi&gt;Al Rehhan&gt;AK Tower")</f>
        <v>Abu Dhabi&gt;Al Rehhan&gt;AK Tower</v>
      </c>
      <c r="E15173" s="2"/>
      <c r="F15173" s="2"/>
      <c r="G15173" s="2"/>
      <c r="H15173" s="2"/>
      <c r="I15173" s="2"/>
      <c r="J15173" s="2"/>
      <c r="K15173" s="2"/>
      <c r="L15173" s="2"/>
      <c r="M15173" s="2"/>
      <c r="N15173" s="2"/>
      <c r="O15173" s="2"/>
      <c r="P15173" s="2"/>
      <c r="Q15173" s="2"/>
      <c r="R15173" s="2"/>
      <c r="S15173" s="2"/>
      <c r="T15173" s="2"/>
      <c r="U15173" s="2"/>
      <c r="V15173" s="2"/>
      <c r="W15173" s="2"/>
      <c r="X15173" s="2"/>
      <c r="Y15173" s="2"/>
      <c r="Z15173" s="2"/>
    </row>
    <row r="15174" spans="1:26" ht="16.5" x14ac:dyDescent="0.35">
      <c r="A15174" s="2" t="str">
        <f ca="1">IFERROR(__xludf.DUMMYFUNCTION("""COMPUTED_VALUE"""),"Abu Dhabi")</f>
        <v>Abu Dhabi</v>
      </c>
      <c r="B15174" s="2" t="str">
        <f ca="1">IFERROR(__xludf.DUMMYFUNCTION("""COMPUTED_VALUE"""),"Leonardo Residences")</f>
        <v>Leonardo Residences</v>
      </c>
      <c r="C15174" s="2" t="str">
        <f ca="1">IFERROR(__xludf.DUMMYFUNCTION("""COMPUTED_VALUE"""),"Building")</f>
        <v>Building</v>
      </c>
      <c r="D15174" s="2" t="str">
        <f ca="1">IFERROR(__xludf.DUMMYFUNCTION("""COMPUTED_VALUE"""),"Abu Dhabi&gt;Masdar City&gt;Leonardo Residences")</f>
        <v>Abu Dhabi&gt;Masdar City&gt;Leonardo Residences</v>
      </c>
      <c r="E15174" s="2"/>
      <c r="F15174" s="2"/>
      <c r="G15174" s="2"/>
      <c r="H15174" s="2"/>
      <c r="I15174" s="2"/>
      <c r="J15174" s="2"/>
      <c r="K15174" s="2"/>
      <c r="L15174" s="2"/>
      <c r="M15174" s="2"/>
      <c r="N15174" s="2"/>
      <c r="O15174" s="2"/>
      <c r="P15174" s="2"/>
      <c r="Q15174" s="2"/>
      <c r="R15174" s="2"/>
      <c r="S15174" s="2"/>
      <c r="T15174" s="2"/>
      <c r="U15174" s="2"/>
      <c r="V15174" s="2"/>
      <c r="W15174" s="2"/>
      <c r="X15174" s="2"/>
      <c r="Y15174" s="2"/>
      <c r="Z15174" s="2"/>
    </row>
    <row r="15175" spans="1:26" ht="16.5" x14ac:dyDescent="0.35">
      <c r="A15175" s="2" t="str">
        <f ca="1">IFERROR(__xludf.DUMMYFUNCTION("""COMPUTED_VALUE"""),"Abu Dhabi")</f>
        <v>Abu Dhabi</v>
      </c>
      <c r="B15175" s="2" t="str">
        <f ca="1">IFERROR(__xludf.DUMMYFUNCTION("""COMPUTED_VALUE"""),"Fairmont Villas")</f>
        <v>Fairmont Villas</v>
      </c>
      <c r="C15175" s="2" t="str">
        <f ca="1">IFERROR(__xludf.DUMMYFUNCTION("""COMPUTED_VALUE"""),"Neighbourhood")</f>
        <v>Neighbourhood</v>
      </c>
      <c r="D15175" s="2" t="str">
        <f ca="1">IFERROR(__xludf.DUMMYFUNCTION("""COMPUTED_VALUE"""),"Abu Dhabi&gt;Between Two Bridges (Bain Al Jessrain)&gt;Fairmont Villas")</f>
        <v>Abu Dhabi&gt;Between Two Bridges (Bain Al Jessrain)&gt;Fairmont Villas</v>
      </c>
      <c r="E15175" s="2"/>
      <c r="F15175" s="2"/>
      <c r="G15175" s="2"/>
      <c r="H15175" s="2"/>
      <c r="I15175" s="2"/>
      <c r="J15175" s="2"/>
      <c r="K15175" s="2"/>
      <c r="L15175" s="2"/>
      <c r="M15175" s="2"/>
      <c r="N15175" s="2"/>
      <c r="O15175" s="2"/>
      <c r="P15175" s="2"/>
      <c r="Q15175" s="2"/>
      <c r="R15175" s="2"/>
      <c r="S15175" s="2"/>
      <c r="T15175" s="2"/>
      <c r="U15175" s="2"/>
      <c r="V15175" s="2"/>
      <c r="W15175" s="2"/>
      <c r="X15175" s="2"/>
      <c r="Y15175" s="2"/>
      <c r="Z15175" s="2"/>
    </row>
    <row r="15176" spans="1:26" ht="16.5" x14ac:dyDescent="0.35">
      <c r="A15176" s="2" t="str">
        <f ca="1">IFERROR(__xludf.DUMMYFUNCTION("""COMPUTED_VALUE"""),"Abu Dhabi")</f>
        <v>Abu Dhabi</v>
      </c>
      <c r="B15176" s="2" t="str">
        <f ca="1">IFERROR(__xludf.DUMMYFUNCTION("""COMPUTED_VALUE"""),"Al Sila Tower")</f>
        <v>Al Sila Tower</v>
      </c>
      <c r="C15176" s="2" t="str">
        <f ca="1">IFERROR(__xludf.DUMMYFUNCTION("""COMPUTED_VALUE"""),"Building")</f>
        <v>Building</v>
      </c>
      <c r="D15176" s="2" t="str">
        <f ca="1">IFERROR(__xludf.DUMMYFUNCTION("""COMPUTED_VALUE"""),"Abu Dhabi&gt;Al Maryah Island&gt;Al Sila Tower")</f>
        <v>Abu Dhabi&gt;Al Maryah Island&gt;Al Sila Tower</v>
      </c>
      <c r="E15176" s="2"/>
      <c r="F15176" s="2"/>
      <c r="G15176" s="2"/>
      <c r="H15176" s="2"/>
      <c r="I15176" s="2"/>
      <c r="J15176" s="2"/>
      <c r="K15176" s="2"/>
      <c r="L15176" s="2"/>
      <c r="M15176" s="2"/>
      <c r="N15176" s="2"/>
      <c r="O15176" s="2"/>
      <c r="P15176" s="2"/>
      <c r="Q15176" s="2"/>
      <c r="R15176" s="2"/>
      <c r="S15176" s="2"/>
      <c r="T15176" s="2"/>
      <c r="U15176" s="2"/>
      <c r="V15176" s="2"/>
      <c r="W15176" s="2"/>
      <c r="X15176" s="2"/>
      <c r="Y15176" s="2"/>
      <c r="Z15176" s="2"/>
    </row>
    <row r="15177" spans="1:26" ht="16.5" x14ac:dyDescent="0.35">
      <c r="A15177" s="2" t="str">
        <f ca="1">IFERROR(__xludf.DUMMYFUNCTION("""COMPUTED_VALUE"""),"Abu Dhabi")</f>
        <v>Abu Dhabi</v>
      </c>
      <c r="B15177" s="2" t="str">
        <f ca="1">IFERROR(__xludf.DUMMYFUNCTION("""COMPUTED_VALUE"""),"The Montessori Children's Garden Nursery")</f>
        <v>The Montessori Children's Garden Nursery</v>
      </c>
      <c r="C15177" s="2" t="str">
        <f ca="1">IFERROR(__xludf.DUMMYFUNCTION("""COMPUTED_VALUE"""),"Nursery")</f>
        <v>Nursery</v>
      </c>
      <c r="D15177" s="2" t="str">
        <f ca="1">IFERROR(__xludf.DUMMYFUNCTION("""COMPUTED_VALUE"""),"Abu Dhabi&gt;Al Matar&gt;The Montessori Children's Garden Nursery")</f>
        <v>Abu Dhabi&gt;Al Matar&gt;The Montessori Children's Garden Nursery</v>
      </c>
      <c r="E15177" s="2"/>
      <c r="F15177" s="2"/>
      <c r="G15177" s="2"/>
      <c r="H15177" s="2"/>
      <c r="I15177" s="2"/>
      <c r="J15177" s="2"/>
      <c r="K15177" s="2"/>
      <c r="L15177" s="2"/>
      <c r="M15177" s="2"/>
      <c r="N15177" s="2"/>
      <c r="O15177" s="2"/>
      <c r="P15177" s="2"/>
      <c r="Q15177" s="2"/>
      <c r="R15177" s="2"/>
      <c r="S15177" s="2"/>
      <c r="T15177" s="2"/>
      <c r="U15177" s="2"/>
      <c r="V15177" s="2"/>
      <c r="W15177" s="2"/>
      <c r="X15177" s="2"/>
      <c r="Y15177" s="2"/>
      <c r="Z15177" s="2"/>
    </row>
    <row r="15178" spans="1:26" ht="16.5" x14ac:dyDescent="0.35">
      <c r="A15178" s="2" t="str">
        <f ca="1">IFERROR(__xludf.DUMMYFUNCTION("""COMPUTED_VALUE"""),"Abu Dhabi")</f>
        <v>Abu Dhabi</v>
      </c>
      <c r="B15178" s="2" t="str">
        <f ca="1">IFERROR(__xludf.DUMMYFUNCTION("""COMPUTED_VALUE"""),"MSH14")</f>
        <v>MSH14</v>
      </c>
      <c r="C15178" s="2" t="str">
        <f ca="1">IFERROR(__xludf.DUMMYFUNCTION("""COMPUTED_VALUE"""),"Neighbourhood")</f>
        <v>Neighbourhood</v>
      </c>
      <c r="D15178" s="2" t="str">
        <f ca="1">IFERROR(__xludf.DUMMYFUNCTION("""COMPUTED_VALUE"""),"Abu Dhabi&gt;Shakhbout City&gt;MSH14")</f>
        <v>Abu Dhabi&gt;Shakhbout City&gt;MSH14</v>
      </c>
      <c r="E15178" s="2"/>
      <c r="F15178" s="2"/>
      <c r="G15178" s="2"/>
      <c r="H15178" s="2"/>
      <c r="I15178" s="2"/>
      <c r="J15178" s="2"/>
      <c r="K15178" s="2"/>
      <c r="L15178" s="2"/>
      <c r="M15178" s="2"/>
      <c r="N15178" s="2"/>
      <c r="O15178" s="2"/>
      <c r="P15178" s="2"/>
      <c r="Q15178" s="2"/>
      <c r="R15178" s="2"/>
      <c r="S15178" s="2"/>
      <c r="T15178" s="2"/>
      <c r="U15178" s="2"/>
      <c r="V15178" s="2"/>
      <c r="W15178" s="2"/>
      <c r="X15178" s="2"/>
      <c r="Y15178" s="2"/>
      <c r="Z15178" s="2"/>
    </row>
    <row r="15179" spans="1:26" ht="16.5" x14ac:dyDescent="0.35">
      <c r="A15179" s="2" t="str">
        <f ca="1">IFERROR(__xludf.DUMMYFUNCTION("""COMPUTED_VALUE"""),"Abu Dhabi")</f>
        <v>Abu Dhabi</v>
      </c>
      <c r="B15179" s="2" t="str">
        <f ca="1">IFERROR(__xludf.DUMMYFUNCTION("""COMPUTED_VALUE"""),"American International School, Abu Dhabi")</f>
        <v>American International School, Abu Dhabi</v>
      </c>
      <c r="C15179" s="2" t="str">
        <f ca="1">IFERROR(__xludf.DUMMYFUNCTION("""COMPUTED_VALUE"""),"School")</f>
        <v>School</v>
      </c>
      <c r="D15179" s="2" t="str">
        <f ca="1">IFERROR(__xludf.DUMMYFUNCTION("""COMPUTED_VALUE"""),"Abu Dhabi&gt;Al Sa'adah&gt;American International School, Abu Dhabi")</f>
        <v>Abu Dhabi&gt;Al Sa'adah&gt;American International School, Abu Dhabi</v>
      </c>
      <c r="E15179" s="2"/>
      <c r="F15179" s="2"/>
      <c r="G15179" s="2"/>
      <c r="H15179" s="2"/>
      <c r="I15179" s="2"/>
      <c r="J15179" s="2"/>
      <c r="K15179" s="2"/>
      <c r="L15179" s="2"/>
      <c r="M15179" s="2"/>
      <c r="N15179" s="2"/>
      <c r="O15179" s="2"/>
      <c r="P15179" s="2"/>
      <c r="Q15179" s="2"/>
      <c r="R15179" s="2"/>
      <c r="S15179" s="2"/>
      <c r="T15179" s="2"/>
      <c r="U15179" s="2"/>
      <c r="V15179" s="2"/>
      <c r="W15179" s="2"/>
      <c r="X15179" s="2"/>
      <c r="Y15179" s="2"/>
      <c r="Z15179" s="2"/>
    </row>
    <row r="15180" spans="1:26" ht="16.5" x14ac:dyDescent="0.35">
      <c r="A15180" s="2" t="str">
        <f ca="1">IFERROR(__xludf.DUMMYFUNCTION("""COMPUTED_VALUE"""),"Abu Dhabi")</f>
        <v>Abu Dhabi</v>
      </c>
      <c r="B15180" s="2" t="str">
        <f ca="1">IFERROR(__xludf.DUMMYFUNCTION("""COMPUTED_VALUE"""),"Al Khubeirah")</f>
        <v>Al Khubeirah</v>
      </c>
      <c r="C15180" s="2" t="str">
        <f ca="1">IFERROR(__xludf.DUMMYFUNCTION("""COMPUTED_VALUE"""),"Neighbourhood")</f>
        <v>Neighbourhood</v>
      </c>
      <c r="D15180" s="2" t="str">
        <f ca="1">IFERROR(__xludf.DUMMYFUNCTION("""COMPUTED_VALUE"""),"Abu Dhabi&gt;Al Khubeirah")</f>
        <v>Abu Dhabi&gt;Al Khubeirah</v>
      </c>
      <c r="E15180" s="2"/>
      <c r="F15180" s="2"/>
      <c r="G15180" s="2"/>
      <c r="H15180" s="2"/>
      <c r="I15180" s="2"/>
      <c r="J15180" s="2"/>
      <c r="K15180" s="2"/>
      <c r="L15180" s="2"/>
      <c r="M15180" s="2"/>
      <c r="N15180" s="2"/>
      <c r="O15180" s="2"/>
      <c r="P15180" s="2"/>
      <c r="Q15180" s="2"/>
      <c r="R15180" s="2"/>
      <c r="S15180" s="2"/>
      <c r="T15180" s="2"/>
      <c r="U15180" s="2"/>
      <c r="V15180" s="2"/>
      <c r="W15180" s="2"/>
      <c r="X15180" s="2"/>
      <c r="Y15180" s="2"/>
      <c r="Z15180" s="2"/>
    </row>
    <row r="15181" spans="1:26" ht="16.5" x14ac:dyDescent="0.35">
      <c r="A15181" s="2" t="str">
        <f ca="1">IFERROR(__xludf.DUMMYFUNCTION("""COMPUTED_VALUE"""),"Abu Dhabi")</f>
        <v>Abu Dhabi</v>
      </c>
      <c r="B15181" s="2" t="str">
        <f ca="1">IFERROR(__xludf.DUMMYFUNCTION("""COMPUTED_VALUE"""),"Buqbai Tower")</f>
        <v>Buqbai Tower</v>
      </c>
      <c r="C15181" s="2" t="str">
        <f ca="1">IFERROR(__xludf.DUMMYFUNCTION("""COMPUTED_VALUE"""),"Building")</f>
        <v>Building</v>
      </c>
      <c r="D15181" s="2" t="str">
        <f ca="1">IFERROR(__xludf.DUMMYFUNCTION("""COMPUTED_VALUE"""),"Abu Dhabi&gt;Al Hisn&gt;Buqbai Tower")</f>
        <v>Abu Dhabi&gt;Al Hisn&gt;Buqbai Tower</v>
      </c>
      <c r="E15181" s="2"/>
      <c r="F15181" s="2"/>
      <c r="G15181" s="2"/>
      <c r="H15181" s="2"/>
      <c r="I15181" s="2"/>
      <c r="J15181" s="2"/>
      <c r="K15181" s="2"/>
      <c r="L15181" s="2"/>
      <c r="M15181" s="2"/>
      <c r="N15181" s="2"/>
      <c r="O15181" s="2"/>
      <c r="P15181" s="2"/>
      <c r="Q15181" s="2"/>
      <c r="R15181" s="2"/>
      <c r="S15181" s="2"/>
      <c r="T15181" s="2"/>
      <c r="U15181" s="2"/>
      <c r="V15181" s="2"/>
      <c r="W15181" s="2"/>
      <c r="X15181" s="2"/>
      <c r="Y15181" s="2"/>
      <c r="Z15181" s="2"/>
    </row>
    <row r="15182" spans="1:26" ht="16.5" x14ac:dyDescent="0.35">
      <c r="A15182" s="2" t="str">
        <f ca="1">IFERROR(__xludf.DUMMYFUNCTION("""COMPUTED_VALUE"""),"Abu Dhabi")</f>
        <v>Abu Dhabi</v>
      </c>
      <c r="B15182" s="2" t="str">
        <f ca="1">IFERROR(__xludf.DUMMYFUNCTION("""COMPUTED_VALUE"""),"Al Manhal")</f>
        <v>Al Manhal</v>
      </c>
      <c r="C15182" s="2" t="str">
        <f ca="1">IFERROR(__xludf.DUMMYFUNCTION("""COMPUTED_VALUE"""),"Neighbourhood")</f>
        <v>Neighbourhood</v>
      </c>
      <c r="D15182" s="2" t="str">
        <f ca="1">IFERROR(__xludf.DUMMYFUNCTION("""COMPUTED_VALUE"""),"Abu Dhabi&gt;Al Manhal")</f>
        <v>Abu Dhabi&gt;Al Manhal</v>
      </c>
      <c r="E15182" s="2"/>
      <c r="F15182" s="2"/>
      <c r="G15182" s="2"/>
      <c r="H15182" s="2"/>
      <c r="I15182" s="2"/>
      <c r="J15182" s="2"/>
      <c r="K15182" s="2"/>
      <c r="L15182" s="2"/>
      <c r="M15182" s="2"/>
      <c r="N15182" s="2"/>
      <c r="O15182" s="2"/>
      <c r="P15182" s="2"/>
      <c r="Q15182" s="2"/>
      <c r="R15182" s="2"/>
      <c r="S15182" s="2"/>
      <c r="T15182" s="2"/>
      <c r="U15182" s="2"/>
      <c r="V15182" s="2"/>
      <c r="W15182" s="2"/>
      <c r="X15182" s="2"/>
      <c r="Y15182" s="2"/>
      <c r="Z15182" s="2"/>
    </row>
    <row r="15183" spans="1:26" ht="16.5" x14ac:dyDescent="0.35">
      <c r="A15183" s="2" t="str">
        <f ca="1">IFERROR(__xludf.DUMMYFUNCTION("""COMPUTED_VALUE"""),"Abu Dhabi")</f>
        <v>Abu Dhabi</v>
      </c>
      <c r="B15183" s="2" t="str">
        <f ca="1">IFERROR(__xludf.DUMMYFUNCTION("""COMPUTED_VALUE"""),"Fahid Beach Residences Tower B6")</f>
        <v>Fahid Beach Residences Tower B6</v>
      </c>
      <c r="C15183" s="2" t="str">
        <f ca="1">IFERROR(__xludf.DUMMYFUNCTION("""COMPUTED_VALUE"""),"Building")</f>
        <v>Building</v>
      </c>
      <c r="D15183" s="2" t="str">
        <f ca="1">IFERROR(__xludf.DUMMYFUNCTION("""COMPUTED_VALUE"""),"Abu Dhabi&gt;Fahid Island&gt;Fahid Beach Residences&gt;Fahid Beach Residences Tower B6")</f>
        <v>Abu Dhabi&gt;Fahid Island&gt;Fahid Beach Residences&gt;Fahid Beach Residences Tower B6</v>
      </c>
      <c r="E15183" s="2"/>
      <c r="F15183" s="2"/>
      <c r="G15183" s="2"/>
      <c r="H15183" s="2"/>
      <c r="I15183" s="2"/>
      <c r="J15183" s="2"/>
      <c r="K15183" s="2"/>
      <c r="L15183" s="2"/>
      <c r="M15183" s="2"/>
      <c r="N15183" s="2"/>
      <c r="O15183" s="2"/>
      <c r="P15183" s="2"/>
      <c r="Q15183" s="2"/>
      <c r="R15183" s="2"/>
      <c r="S15183" s="2"/>
      <c r="T15183" s="2"/>
      <c r="U15183" s="2"/>
      <c r="V15183" s="2"/>
      <c r="W15183" s="2"/>
      <c r="X15183" s="2"/>
      <c r="Y15183" s="2"/>
      <c r="Z15183" s="2"/>
    </row>
    <row r="15184" spans="1:26" ht="16.5" x14ac:dyDescent="0.35">
      <c r="A15184" s="2" t="str">
        <f ca="1">IFERROR(__xludf.DUMMYFUNCTION("""COMPUTED_VALUE"""),"Abu Dhabi")</f>
        <v>Abu Dhabi</v>
      </c>
      <c r="B15184" s="2" t="str">
        <f ca="1">IFERROR(__xludf.DUMMYFUNCTION("""COMPUTED_VALUE"""),"Najmat Abu Dhabi")</f>
        <v>Najmat Abu Dhabi</v>
      </c>
      <c r="C15184" s="2" t="str">
        <f ca="1">IFERROR(__xludf.DUMMYFUNCTION("""COMPUTED_VALUE"""),"Neighbourhood")</f>
        <v>Neighbourhood</v>
      </c>
      <c r="D15184" s="2" t="str">
        <f ca="1">IFERROR(__xludf.DUMMYFUNCTION("""COMPUTED_VALUE"""),"Abu Dhabi&gt;Al Reem Island&gt;Najmat Abu Dhabi")</f>
        <v>Abu Dhabi&gt;Al Reem Island&gt;Najmat Abu Dhabi</v>
      </c>
      <c r="E15184" s="2"/>
      <c r="F15184" s="2"/>
      <c r="G15184" s="2"/>
      <c r="H15184" s="2"/>
      <c r="I15184" s="2"/>
      <c r="J15184" s="2"/>
      <c r="K15184" s="2"/>
      <c r="L15184" s="2"/>
      <c r="M15184" s="2"/>
      <c r="N15184" s="2"/>
      <c r="O15184" s="2"/>
      <c r="P15184" s="2"/>
      <c r="Q15184" s="2"/>
      <c r="R15184" s="2"/>
      <c r="S15184" s="2"/>
      <c r="T15184" s="2"/>
      <c r="U15184" s="2"/>
      <c r="V15184" s="2"/>
      <c r="W15184" s="2"/>
      <c r="X15184" s="2"/>
      <c r="Y15184" s="2"/>
      <c r="Z15184" s="2"/>
    </row>
    <row r="15185" spans="1:26" ht="16.5" x14ac:dyDescent="0.35">
      <c r="A15185" s="2" t="str">
        <f ca="1">IFERROR(__xludf.DUMMYFUNCTION("""COMPUTED_VALUE"""),"Abu Dhabi")</f>
        <v>Abu Dhabi</v>
      </c>
      <c r="B15185" s="2" t="str">
        <f ca="1">IFERROR(__xludf.DUMMYFUNCTION("""COMPUTED_VALUE"""),"Hydra Heights")</f>
        <v>Hydra Heights</v>
      </c>
      <c r="C15185" s="2" t="str">
        <f ca="1">IFERROR(__xludf.DUMMYFUNCTION("""COMPUTED_VALUE"""),"Building")</f>
        <v>Building</v>
      </c>
      <c r="D15185" s="2" t="str">
        <f ca="1">IFERROR(__xludf.DUMMYFUNCTION("""COMPUTED_VALUE"""),"Abu Dhabi&gt;Al Reem Island&gt;Hydra Heights")</f>
        <v>Abu Dhabi&gt;Al Reem Island&gt;Hydra Heights</v>
      </c>
      <c r="E15185" s="2"/>
      <c r="F15185" s="2"/>
      <c r="G15185" s="2"/>
      <c r="H15185" s="2"/>
      <c r="I15185" s="2"/>
      <c r="J15185" s="2"/>
      <c r="K15185" s="2"/>
      <c r="L15185" s="2"/>
      <c r="M15185" s="2"/>
      <c r="N15185" s="2"/>
      <c r="O15185" s="2"/>
      <c r="P15185" s="2"/>
      <c r="Q15185" s="2"/>
      <c r="R15185" s="2"/>
      <c r="S15185" s="2"/>
      <c r="T15185" s="2"/>
      <c r="U15185" s="2"/>
      <c r="V15185" s="2"/>
      <c r="W15185" s="2"/>
      <c r="X15185" s="2"/>
      <c r="Y15185" s="2"/>
      <c r="Z15185" s="2"/>
    </row>
    <row r="15186" spans="1:26" ht="16.5" x14ac:dyDescent="0.35">
      <c r="A15186" s="2" t="str">
        <f ca="1">IFERROR(__xludf.DUMMYFUNCTION("""COMPUTED_VALUE"""),"Abu Dhabi")</f>
        <v>Abu Dhabi</v>
      </c>
      <c r="B15186" s="2" t="str">
        <f ca="1">IFERROR(__xludf.DUMMYFUNCTION("""COMPUTED_VALUE"""),"Al Beed Tower")</f>
        <v>Al Beed Tower</v>
      </c>
      <c r="C15186" s="2" t="str">
        <f ca="1">IFERROR(__xludf.DUMMYFUNCTION("""COMPUTED_VALUE"""),"Building")</f>
        <v>Building</v>
      </c>
      <c r="D15186" s="2" t="str">
        <f ca="1">IFERROR(__xludf.DUMMYFUNCTION("""COMPUTED_VALUE"""),"Abu Dhabi&gt;Al Reem Island&gt;Shams Abu Dhabi&gt;Al Beed Tower")</f>
        <v>Abu Dhabi&gt;Al Reem Island&gt;Shams Abu Dhabi&gt;Al Beed Tower</v>
      </c>
      <c r="E15186" s="2"/>
      <c r="F15186" s="2"/>
      <c r="G15186" s="2"/>
      <c r="H15186" s="2"/>
      <c r="I15186" s="2"/>
      <c r="J15186" s="2"/>
      <c r="K15186" s="2"/>
      <c r="L15186" s="2"/>
      <c r="M15186" s="2"/>
      <c r="N15186" s="2"/>
      <c r="O15186" s="2"/>
      <c r="P15186" s="2"/>
      <c r="Q15186" s="2"/>
      <c r="R15186" s="2"/>
      <c r="S15186" s="2"/>
      <c r="T15186" s="2"/>
      <c r="U15186" s="2"/>
      <c r="V15186" s="2"/>
      <c r="W15186" s="2"/>
      <c r="X15186" s="2"/>
      <c r="Y15186" s="2"/>
      <c r="Z15186" s="2"/>
    </row>
    <row r="15187" spans="1:26" ht="16.5" x14ac:dyDescent="0.35">
      <c r="A15187" s="2" t="str">
        <f ca="1">IFERROR(__xludf.DUMMYFUNCTION("""COMPUTED_VALUE"""),"Abu Dhabi")</f>
        <v>Abu Dhabi</v>
      </c>
      <c r="B15187" s="2" t="str">
        <f ca="1">IFERROR(__xludf.DUMMYFUNCTION("""COMPUTED_VALUE"""),"Amber Tower")</f>
        <v>Amber Tower</v>
      </c>
      <c r="C15187" s="2" t="str">
        <f ca="1">IFERROR(__xludf.DUMMYFUNCTION("""COMPUTED_VALUE"""),"Building")</f>
        <v>Building</v>
      </c>
      <c r="D15187" s="2" t="str">
        <f ca="1">IFERROR(__xludf.DUMMYFUNCTION("""COMPUTED_VALUE"""),"Abu Dhabi&gt;Al Reem Island&gt;Shams Abu Dhabi&gt;Amber Tower")</f>
        <v>Abu Dhabi&gt;Al Reem Island&gt;Shams Abu Dhabi&gt;Amber Tower</v>
      </c>
      <c r="E15187" s="2"/>
      <c r="F15187" s="2"/>
      <c r="G15187" s="2"/>
      <c r="H15187" s="2"/>
      <c r="I15187" s="2"/>
      <c r="J15187" s="2"/>
      <c r="K15187" s="2"/>
      <c r="L15187" s="2"/>
      <c r="M15187" s="2"/>
      <c r="N15187" s="2"/>
      <c r="O15187" s="2"/>
      <c r="P15187" s="2"/>
      <c r="Q15187" s="2"/>
      <c r="R15187" s="2"/>
      <c r="S15187" s="2"/>
      <c r="T15187" s="2"/>
      <c r="U15187" s="2"/>
      <c r="V15187" s="2"/>
      <c r="W15187" s="2"/>
      <c r="X15187" s="2"/>
      <c r="Y15187" s="2"/>
      <c r="Z15187" s="2"/>
    </row>
    <row r="15188" spans="1:26" ht="16.5" x14ac:dyDescent="0.35">
      <c r="A15188" s="2" t="str">
        <f ca="1">IFERROR(__xludf.DUMMYFUNCTION("""COMPUTED_VALUE"""),"Abu Dhabi")</f>
        <v>Abu Dhabi</v>
      </c>
      <c r="B15188" s="2" t="str">
        <f ca="1">IFERROR(__xludf.DUMMYFUNCTION("""COMPUTED_VALUE"""),"C4 Tower")</f>
        <v>C4 Tower</v>
      </c>
      <c r="C15188" s="2" t="str">
        <f ca="1">IFERROR(__xludf.DUMMYFUNCTION("""COMPUTED_VALUE"""),"Building")</f>
        <v>Building</v>
      </c>
      <c r="D15188" s="2" t="str">
        <f ca="1">IFERROR(__xludf.DUMMYFUNCTION("""COMPUTED_VALUE"""),"Abu Dhabi&gt;Al Reem Island&gt;City of Lights&gt;C4 Tower")</f>
        <v>Abu Dhabi&gt;Al Reem Island&gt;City of Lights&gt;C4 Tower</v>
      </c>
      <c r="E15188" s="2"/>
      <c r="F15188" s="2"/>
      <c r="G15188" s="2"/>
      <c r="H15188" s="2"/>
      <c r="I15188" s="2"/>
      <c r="J15188" s="2"/>
      <c r="K15188" s="2"/>
      <c r="L15188" s="2"/>
      <c r="M15188" s="2"/>
      <c r="N15188" s="2"/>
      <c r="O15188" s="2"/>
      <c r="P15188" s="2"/>
      <c r="Q15188" s="2"/>
      <c r="R15188" s="2"/>
      <c r="S15188" s="2"/>
      <c r="T15188" s="2"/>
      <c r="U15188" s="2"/>
      <c r="V15188" s="2"/>
      <c r="W15188" s="2"/>
      <c r="X15188" s="2"/>
      <c r="Y15188" s="2"/>
      <c r="Z15188" s="2"/>
    </row>
    <row r="15189" spans="1:26" ht="16.5" x14ac:dyDescent="0.35">
      <c r="A15189" s="2" t="str">
        <f ca="1">IFERROR(__xludf.DUMMYFUNCTION("""COMPUTED_VALUE"""),"Abu Dhabi")</f>
        <v>Abu Dhabi</v>
      </c>
      <c r="B15189" s="2" t="str">
        <f ca="1">IFERROR(__xludf.DUMMYFUNCTION("""COMPUTED_VALUE"""),"Solaris Towers")</f>
        <v>Solaris Towers</v>
      </c>
      <c r="C15189" s="2" t="str">
        <f ca="1">IFERROR(__xludf.DUMMYFUNCTION("""COMPUTED_VALUE"""),"Building")</f>
        <v>Building</v>
      </c>
      <c r="D15189" s="2" t="str">
        <f ca="1">IFERROR(__xludf.DUMMYFUNCTION("""COMPUTED_VALUE"""),"Abu Dhabi&gt;Al Reem Island&gt;Solaris Towers")</f>
        <v>Abu Dhabi&gt;Al Reem Island&gt;Solaris Towers</v>
      </c>
      <c r="E15189" s="2"/>
      <c r="F15189" s="2"/>
      <c r="G15189" s="2"/>
      <c r="H15189" s="2"/>
      <c r="I15189" s="2"/>
      <c r="J15189" s="2"/>
      <c r="K15189" s="2"/>
      <c r="L15189" s="2"/>
      <c r="M15189" s="2"/>
      <c r="N15189" s="2"/>
      <c r="O15189" s="2"/>
      <c r="P15189" s="2"/>
      <c r="Q15189" s="2"/>
      <c r="R15189" s="2"/>
      <c r="S15189" s="2"/>
      <c r="T15189" s="2"/>
      <c r="U15189" s="2"/>
      <c r="V15189" s="2"/>
      <c r="W15189" s="2"/>
      <c r="X15189" s="2"/>
      <c r="Y15189" s="2"/>
      <c r="Z15189" s="2"/>
    </row>
    <row r="15190" spans="1:26" ht="16.5" x14ac:dyDescent="0.35">
      <c r="A15190" s="2" t="str">
        <f ca="1">IFERROR(__xludf.DUMMYFUNCTION("""COMPUTED_VALUE"""),"Abu Dhabi")</f>
        <v>Abu Dhabi</v>
      </c>
      <c r="B15190" s="2" t="str">
        <f ca="1">IFERROR(__xludf.DUMMYFUNCTION("""COMPUTED_VALUE"""),"Bay Tower")</f>
        <v>Bay Tower</v>
      </c>
      <c r="C15190" s="2" t="str">
        <f ca="1">IFERROR(__xludf.DUMMYFUNCTION("""COMPUTED_VALUE"""),"Building")</f>
        <v>Building</v>
      </c>
      <c r="D15190" s="2" t="str">
        <f ca="1">IFERROR(__xludf.DUMMYFUNCTION("""COMPUTED_VALUE"""),"Abu Dhabi&gt;Corniche Road&gt;Bay Tower")</f>
        <v>Abu Dhabi&gt;Corniche Road&gt;Bay Tower</v>
      </c>
      <c r="E15190" s="2"/>
      <c r="F15190" s="2"/>
      <c r="G15190" s="2"/>
      <c r="H15190" s="2"/>
      <c r="I15190" s="2"/>
      <c r="J15190" s="2"/>
      <c r="K15190" s="2"/>
      <c r="L15190" s="2"/>
      <c r="M15190" s="2"/>
      <c r="N15190" s="2"/>
      <c r="O15190" s="2"/>
      <c r="P15190" s="2"/>
      <c r="Q15190" s="2"/>
      <c r="R15190" s="2"/>
      <c r="S15190" s="2"/>
      <c r="T15190" s="2"/>
      <c r="U15190" s="2"/>
      <c r="V15190" s="2"/>
      <c r="W15190" s="2"/>
      <c r="X15190" s="2"/>
      <c r="Y15190" s="2"/>
      <c r="Z15190" s="2"/>
    </row>
    <row r="15191" spans="1:26" ht="16.5" x14ac:dyDescent="0.35">
      <c r="A15191" s="2" t="str">
        <f ca="1">IFERROR(__xludf.DUMMYFUNCTION("""COMPUTED_VALUE"""),"Abu Dhabi")</f>
        <v>Abu Dhabi</v>
      </c>
      <c r="B15191" s="2" t="str">
        <f ca="1">IFERROR(__xludf.DUMMYFUNCTION("""COMPUTED_VALUE"""),"Al Khalidiyah")</f>
        <v>Al Khalidiyah</v>
      </c>
      <c r="C15191" s="2" t="str">
        <f ca="1">IFERROR(__xludf.DUMMYFUNCTION("""COMPUTED_VALUE"""),"Neighbourhood")</f>
        <v>Neighbourhood</v>
      </c>
      <c r="D15191" s="2" t="str">
        <f ca="1">IFERROR(__xludf.DUMMYFUNCTION("""COMPUTED_VALUE"""),"Abu Dhabi&gt;Al Khalidiyah")</f>
        <v>Abu Dhabi&gt;Al Khalidiyah</v>
      </c>
      <c r="E15191" s="2"/>
      <c r="F15191" s="2"/>
      <c r="G15191" s="2"/>
      <c r="H15191" s="2"/>
      <c r="I15191" s="2"/>
      <c r="J15191" s="2"/>
      <c r="K15191" s="2"/>
      <c r="L15191" s="2"/>
      <c r="M15191" s="2"/>
      <c r="N15191" s="2"/>
      <c r="O15191" s="2"/>
      <c r="P15191" s="2"/>
      <c r="Q15191" s="2"/>
      <c r="R15191" s="2"/>
      <c r="S15191" s="2"/>
      <c r="T15191" s="2"/>
      <c r="U15191" s="2"/>
      <c r="V15191" s="2"/>
      <c r="W15191" s="2"/>
      <c r="X15191" s="2"/>
      <c r="Y15191" s="2"/>
      <c r="Z15191" s="2"/>
    </row>
    <row r="15192" spans="1:26" ht="16.5" x14ac:dyDescent="0.35">
      <c r="A15192" s="2" t="str">
        <f ca="1">IFERROR(__xludf.DUMMYFUNCTION("""COMPUTED_VALUE"""),"Abu Dhabi")</f>
        <v>Abu Dhabi</v>
      </c>
      <c r="B15192" s="2" t="str">
        <f ca="1">IFERROR(__xludf.DUMMYFUNCTION("""COMPUTED_VALUE"""),"Raha Building")</f>
        <v>Raha Building</v>
      </c>
      <c r="C15192" s="2"/>
      <c r="D15192" s="2" t="str">
        <f ca="1">IFERROR(__xludf.DUMMYFUNCTION("""COMPUTED_VALUE"""),"Abu Dhabi&gt;Al Khalidiyah&gt;Raha Building")</f>
        <v>Abu Dhabi&gt;Al Khalidiyah&gt;Raha Building</v>
      </c>
      <c r="E15192" s="2"/>
      <c r="F15192" s="2"/>
      <c r="G15192" s="2"/>
      <c r="H15192" s="2"/>
      <c r="I15192" s="2"/>
      <c r="J15192" s="2"/>
      <c r="K15192" s="2"/>
      <c r="L15192" s="2"/>
      <c r="M15192" s="2"/>
      <c r="N15192" s="2"/>
      <c r="O15192" s="2"/>
      <c r="P15192" s="2"/>
      <c r="Q15192" s="2"/>
      <c r="R15192" s="2"/>
      <c r="S15192" s="2"/>
      <c r="T15192" s="2"/>
      <c r="U15192" s="2"/>
      <c r="V15192" s="2"/>
      <c r="W15192" s="2"/>
      <c r="X15192" s="2"/>
      <c r="Y15192" s="2"/>
      <c r="Z15192" s="2"/>
    </row>
    <row r="15193" spans="1:26" ht="16.5" x14ac:dyDescent="0.35">
      <c r="A15193" s="2" t="str">
        <f ca="1">IFERROR(__xludf.DUMMYFUNCTION("""COMPUTED_VALUE"""),"Abu Dhabi")</f>
        <v>Abu Dhabi</v>
      </c>
      <c r="B15193" s="2" t="str">
        <f ca="1">IFERROR(__xludf.DUMMYFUNCTION("""COMPUTED_VALUE"""),"Sunny Meadows Nursery")</f>
        <v>Sunny Meadows Nursery</v>
      </c>
      <c r="C15193" s="2" t="str">
        <f ca="1">IFERROR(__xludf.DUMMYFUNCTION("""COMPUTED_VALUE"""),"Nursery")</f>
        <v>Nursery</v>
      </c>
      <c r="D15193" s="2" t="str">
        <f ca="1">IFERROR(__xludf.DUMMYFUNCTION("""COMPUTED_VALUE"""),"Abu Dhabi&gt;Khalifa City&gt;Sunny Meadows Nursery")</f>
        <v>Abu Dhabi&gt;Khalifa City&gt;Sunny Meadows Nursery</v>
      </c>
      <c r="E15193" s="2"/>
      <c r="F15193" s="2"/>
      <c r="G15193" s="2"/>
      <c r="H15193" s="2"/>
      <c r="I15193" s="2"/>
      <c r="J15193" s="2"/>
      <c r="K15193" s="2"/>
      <c r="L15193" s="2"/>
      <c r="M15193" s="2"/>
      <c r="N15193" s="2"/>
      <c r="O15193" s="2"/>
      <c r="P15193" s="2"/>
      <c r="Q15193" s="2"/>
      <c r="R15193" s="2"/>
      <c r="S15193" s="2"/>
      <c r="T15193" s="2"/>
      <c r="U15193" s="2"/>
      <c r="V15193" s="2"/>
      <c r="W15193" s="2"/>
      <c r="X15193" s="2"/>
      <c r="Y15193" s="2"/>
      <c r="Z15193" s="2"/>
    </row>
    <row r="15194" spans="1:26" ht="16.5" x14ac:dyDescent="0.35">
      <c r="A15194" s="2" t="str">
        <f ca="1">IFERROR(__xludf.DUMMYFUNCTION("""COMPUTED_VALUE"""),"Abu Dhabi")</f>
        <v>Abu Dhabi</v>
      </c>
      <c r="B15194" s="2" t="str">
        <f ca="1">IFERROR(__xludf.DUMMYFUNCTION("""COMPUTED_VALUE"""),"SW6")</f>
        <v>SW6</v>
      </c>
      <c r="C15194" s="2" t="str">
        <f ca="1">IFERROR(__xludf.DUMMYFUNCTION("""COMPUTED_VALUE"""),"Neighbourhood")</f>
        <v>Neighbourhood</v>
      </c>
      <c r="D15194" s="2" t="str">
        <f ca="1">IFERROR(__xludf.DUMMYFUNCTION("""COMPUTED_VALUE"""),"Abu Dhabi&gt;Khalifa City&gt;SW6")</f>
        <v>Abu Dhabi&gt;Khalifa City&gt;SW6</v>
      </c>
      <c r="E15194" s="2"/>
      <c r="F15194" s="2"/>
      <c r="G15194" s="2"/>
      <c r="H15194" s="2"/>
      <c r="I15194" s="2"/>
      <c r="J15194" s="2"/>
      <c r="K15194" s="2"/>
      <c r="L15194" s="2"/>
      <c r="M15194" s="2"/>
      <c r="N15194" s="2"/>
      <c r="O15194" s="2"/>
      <c r="P15194" s="2"/>
      <c r="Q15194" s="2"/>
      <c r="R15194" s="2"/>
      <c r="S15194" s="2"/>
      <c r="T15194" s="2"/>
      <c r="U15194" s="2"/>
      <c r="V15194" s="2"/>
      <c r="W15194" s="2"/>
      <c r="X15194" s="2"/>
      <c r="Y15194" s="2"/>
      <c r="Z15194" s="2"/>
    </row>
    <row r="15195" spans="1:26" ht="16.5" x14ac:dyDescent="0.35">
      <c r="A15195" s="2" t="str">
        <f ca="1">IFERROR(__xludf.DUMMYFUNCTION("""COMPUTED_VALUE"""),"Abu Dhabi")</f>
        <v>Abu Dhabi</v>
      </c>
      <c r="B15195" s="2" t="str">
        <f ca="1">IFERROR(__xludf.DUMMYFUNCTION("""COMPUTED_VALUE"""),"Al Kamal Tower")</f>
        <v>Al Kamal Tower</v>
      </c>
      <c r="C15195" s="2"/>
      <c r="D15195" s="2" t="str">
        <f ca="1">IFERROR(__xludf.DUMMYFUNCTION("""COMPUTED_VALUE"""),"Abu Dhabi&gt;Al Markaziya&gt;Al Kamal Tower")</f>
        <v>Abu Dhabi&gt;Al Markaziya&gt;Al Kamal Tower</v>
      </c>
      <c r="E15195" s="2"/>
      <c r="F15195" s="2"/>
      <c r="G15195" s="2"/>
      <c r="H15195" s="2"/>
      <c r="I15195" s="2"/>
      <c r="J15195" s="2"/>
      <c r="K15195" s="2"/>
      <c r="L15195" s="2"/>
      <c r="M15195" s="2"/>
      <c r="N15195" s="2"/>
      <c r="O15195" s="2"/>
      <c r="P15195" s="2"/>
      <c r="Q15195" s="2"/>
      <c r="R15195" s="2"/>
      <c r="S15195" s="2"/>
      <c r="T15195" s="2"/>
      <c r="U15195" s="2"/>
      <c r="V15195" s="2"/>
      <c r="W15195" s="2"/>
      <c r="X15195" s="2"/>
      <c r="Y15195" s="2"/>
      <c r="Z15195" s="2"/>
    </row>
    <row r="15196" spans="1:26" ht="16.5" x14ac:dyDescent="0.35">
      <c r="A15196" s="2" t="str">
        <f ca="1">IFERROR(__xludf.DUMMYFUNCTION("""COMPUTED_VALUE"""),"Abu Dhabi")</f>
        <v>Abu Dhabi</v>
      </c>
      <c r="B15196" s="2" t="str">
        <f ca="1">IFERROR(__xludf.DUMMYFUNCTION("""COMPUTED_VALUE"""),"Qattouf Community")</f>
        <v>Qattouf Community</v>
      </c>
      <c r="C15196" s="2" t="str">
        <f ca="1">IFERROR(__xludf.DUMMYFUNCTION("""COMPUTED_VALUE"""),"Neighbourhood")</f>
        <v>Neighbourhood</v>
      </c>
      <c r="D15196" s="2" t="str">
        <f ca="1">IFERROR(__xludf.DUMMYFUNCTION("""COMPUTED_VALUE"""),"Abu Dhabi&gt;Al Raha Gardens&gt;Qattouf Community")</f>
        <v>Abu Dhabi&gt;Al Raha Gardens&gt;Qattouf Community</v>
      </c>
      <c r="E15196" s="2"/>
      <c r="F15196" s="2"/>
      <c r="G15196" s="2"/>
      <c r="H15196" s="2"/>
      <c r="I15196" s="2"/>
      <c r="J15196" s="2"/>
      <c r="K15196" s="2"/>
      <c r="L15196" s="2"/>
      <c r="M15196" s="2"/>
      <c r="N15196" s="2"/>
      <c r="O15196" s="2"/>
      <c r="P15196" s="2"/>
      <c r="Q15196" s="2"/>
      <c r="R15196" s="2"/>
      <c r="S15196" s="2"/>
      <c r="T15196" s="2"/>
      <c r="U15196" s="2"/>
      <c r="V15196" s="2"/>
      <c r="W15196" s="2"/>
      <c r="X15196" s="2"/>
      <c r="Y15196" s="2"/>
      <c r="Z15196" s="2"/>
    </row>
    <row r="15197" spans="1:26" ht="16.5" x14ac:dyDescent="0.35">
      <c r="A15197" s="2" t="str">
        <f ca="1">IFERROR(__xludf.DUMMYFUNCTION("""COMPUTED_VALUE"""),"Abu Dhabi")</f>
        <v>Abu Dhabi</v>
      </c>
      <c r="B15197" s="2" t="str">
        <f ca="1">IFERROR(__xludf.DUMMYFUNCTION("""COMPUTED_VALUE"""),"Grove Fountain Views")</f>
        <v>Grove Fountain Views</v>
      </c>
      <c r="C15197" s="2" t="str">
        <f ca="1">IFERROR(__xludf.DUMMYFUNCTION("""COMPUTED_VALUE"""),"Building")</f>
        <v>Building</v>
      </c>
      <c r="D15197" s="2" t="str">
        <f ca="1">IFERROR(__xludf.DUMMYFUNCTION("""COMPUTED_VALUE"""),"Abu Dhabi&gt;Saadiyat Island&gt;Saadiyat Cultural District&gt;Saadiyat Grove&gt;Grove Fountain Views")</f>
        <v>Abu Dhabi&gt;Saadiyat Island&gt;Saadiyat Cultural District&gt;Saadiyat Grove&gt;Grove Fountain Views</v>
      </c>
      <c r="E15197" s="2"/>
      <c r="F15197" s="2"/>
      <c r="G15197" s="2"/>
      <c r="H15197" s="2"/>
      <c r="I15197" s="2"/>
      <c r="J15197" s="2"/>
      <c r="K15197" s="2"/>
      <c r="L15197" s="2"/>
      <c r="M15197" s="2"/>
      <c r="N15197" s="2"/>
      <c r="O15197" s="2"/>
      <c r="P15197" s="2"/>
      <c r="Q15197" s="2"/>
      <c r="R15197" s="2"/>
      <c r="S15197" s="2"/>
      <c r="T15197" s="2"/>
      <c r="U15197" s="2"/>
      <c r="V15197" s="2"/>
      <c r="W15197" s="2"/>
      <c r="X15197" s="2"/>
      <c r="Y15197" s="2"/>
      <c r="Z15197" s="2"/>
    </row>
    <row r="15198" spans="1:26" ht="16.5" x14ac:dyDescent="0.35">
      <c r="A15198" s="2" t="str">
        <f ca="1">IFERROR(__xludf.DUMMYFUNCTION("""COMPUTED_VALUE"""),"Abu Dhabi")</f>
        <v>Abu Dhabi</v>
      </c>
      <c r="B15198" s="2" t="str">
        <f ca="1">IFERROR(__xludf.DUMMYFUNCTION("""COMPUTED_VALUE"""),"Soho Square Residences")</f>
        <v>Soho Square Residences</v>
      </c>
      <c r="C15198" s="2" t="str">
        <f ca="1">IFERROR(__xludf.DUMMYFUNCTION("""COMPUTED_VALUE"""),"Building")</f>
        <v>Building</v>
      </c>
      <c r="D15198" s="2" t="str">
        <f ca="1">IFERROR(__xludf.DUMMYFUNCTION("""COMPUTED_VALUE"""),"Abu Dhabi&gt;Saadiyat Island&gt;Soho Square&gt;Soho Square Residences")</f>
        <v>Abu Dhabi&gt;Saadiyat Island&gt;Soho Square&gt;Soho Square Residences</v>
      </c>
      <c r="E15198" s="2"/>
      <c r="F15198" s="2"/>
      <c r="G15198" s="2"/>
      <c r="H15198" s="2"/>
      <c r="I15198" s="2"/>
      <c r="J15198" s="2"/>
      <c r="K15198" s="2"/>
      <c r="L15198" s="2"/>
      <c r="M15198" s="2"/>
      <c r="N15198" s="2"/>
      <c r="O15198" s="2"/>
      <c r="P15198" s="2"/>
      <c r="Q15198" s="2"/>
      <c r="R15198" s="2"/>
      <c r="S15198" s="2"/>
      <c r="T15198" s="2"/>
      <c r="U15198" s="2"/>
      <c r="V15198" s="2"/>
      <c r="W15198" s="2"/>
      <c r="X15198" s="2"/>
      <c r="Y15198" s="2"/>
      <c r="Z15198" s="2"/>
    </row>
    <row r="15199" spans="1:26" ht="16.5" x14ac:dyDescent="0.35">
      <c r="A15199" s="2" t="str">
        <f ca="1">IFERROR(__xludf.DUMMYFUNCTION("""COMPUTED_VALUE"""),"Abu Dhabi")</f>
        <v>Abu Dhabi</v>
      </c>
      <c r="B15199" s="2" t="str">
        <f ca="1">IFERROR(__xludf.DUMMYFUNCTION("""COMPUTED_VALUE"""),"Murjan Al Saadiyat")</f>
        <v>Murjan Al Saadiyat</v>
      </c>
      <c r="C15199" s="2" t="str">
        <f ca="1">IFERROR(__xludf.DUMMYFUNCTION("""COMPUTED_VALUE"""),"Neighbourhood")</f>
        <v>Neighbourhood</v>
      </c>
      <c r="D15199" s="2" t="str">
        <f ca="1">IFERROR(__xludf.DUMMYFUNCTION("""COMPUTED_VALUE"""),"Abu Dhabi&gt;Saadiyat Island&gt;Murjan Al Saadiyat")</f>
        <v>Abu Dhabi&gt;Saadiyat Island&gt;Murjan Al Saadiyat</v>
      </c>
      <c r="E15199" s="2"/>
      <c r="F15199" s="2"/>
      <c r="G15199" s="2"/>
      <c r="H15199" s="2"/>
      <c r="I15199" s="2"/>
      <c r="J15199" s="2"/>
      <c r="K15199" s="2"/>
      <c r="L15199" s="2"/>
      <c r="M15199" s="2"/>
      <c r="N15199" s="2"/>
      <c r="O15199" s="2"/>
      <c r="P15199" s="2"/>
      <c r="Q15199" s="2"/>
      <c r="R15199" s="2"/>
      <c r="S15199" s="2"/>
      <c r="T15199" s="2"/>
      <c r="U15199" s="2"/>
      <c r="V15199" s="2"/>
      <c r="W15199" s="2"/>
      <c r="X15199" s="2"/>
      <c r="Y15199" s="2"/>
      <c r="Z15199" s="2"/>
    </row>
    <row r="15200" spans="1:26" ht="16.5" x14ac:dyDescent="0.35">
      <c r="A15200" s="2" t="str">
        <f ca="1">IFERROR(__xludf.DUMMYFUNCTION("""COMPUTED_VALUE"""),"Abu Dhabi")</f>
        <v>Abu Dhabi</v>
      </c>
      <c r="B15200" s="2" t="str">
        <f ca="1">IFERROR(__xludf.DUMMYFUNCTION("""COMPUTED_VALUE"""),"C725 Building")</f>
        <v>C725 Building</v>
      </c>
      <c r="C15200" s="2" t="str">
        <f ca="1">IFERROR(__xludf.DUMMYFUNCTION("""COMPUTED_VALUE"""),"Building")</f>
        <v>Building</v>
      </c>
      <c r="D15200" s="2" t="str">
        <f ca="1">IFERROR(__xludf.DUMMYFUNCTION("""COMPUTED_VALUE"""),"Abu Dhabi&gt;Al Raha Beach&gt;Al Seef&gt;C725 Building")</f>
        <v>Abu Dhabi&gt;Al Raha Beach&gt;Al Seef&gt;C725 Building</v>
      </c>
      <c r="E15200" s="2"/>
      <c r="F15200" s="2"/>
      <c r="G15200" s="2"/>
      <c r="H15200" s="2"/>
      <c r="I15200" s="2"/>
      <c r="J15200" s="2"/>
      <c r="K15200" s="2"/>
      <c r="L15200" s="2"/>
      <c r="M15200" s="2"/>
      <c r="N15200" s="2"/>
      <c r="O15200" s="2"/>
      <c r="P15200" s="2"/>
      <c r="Q15200" s="2"/>
      <c r="R15200" s="2"/>
      <c r="S15200" s="2"/>
      <c r="T15200" s="2"/>
      <c r="U15200" s="2"/>
      <c r="V15200" s="2"/>
      <c r="W15200" s="2"/>
      <c r="X15200" s="2"/>
      <c r="Y15200" s="2"/>
      <c r="Z15200" s="2"/>
    </row>
    <row r="15201" spans="1:26" ht="16.5" x14ac:dyDescent="0.35">
      <c r="A15201" s="2" t="str">
        <f ca="1">IFERROR(__xludf.DUMMYFUNCTION("""COMPUTED_VALUE"""),"Abu Dhabi")</f>
        <v>Abu Dhabi</v>
      </c>
      <c r="B15201" s="2" t="str">
        <f ca="1">IFERROR(__xludf.DUMMYFUNCTION("""COMPUTED_VALUE"""),"Al Rahba 2")</f>
        <v>Al Rahba 2</v>
      </c>
      <c r="C15201" s="2" t="str">
        <f ca="1">IFERROR(__xludf.DUMMYFUNCTION("""COMPUTED_VALUE"""),"Building")</f>
        <v>Building</v>
      </c>
      <c r="D15201" s="2" t="str">
        <f ca="1">IFERROR(__xludf.DUMMYFUNCTION("""COMPUTED_VALUE"""),"Abu Dhabi&gt;Al Raha Beach&gt;Al Muneera&gt;Al Rahba&gt;Al Rahba 2")</f>
        <v>Abu Dhabi&gt;Al Raha Beach&gt;Al Muneera&gt;Al Rahba&gt;Al Rahba 2</v>
      </c>
      <c r="E15201" s="2"/>
      <c r="F15201" s="2"/>
      <c r="G15201" s="2"/>
      <c r="H15201" s="2"/>
      <c r="I15201" s="2"/>
      <c r="J15201" s="2"/>
      <c r="K15201" s="2"/>
      <c r="L15201" s="2"/>
      <c r="M15201" s="2"/>
      <c r="N15201" s="2"/>
      <c r="O15201" s="2"/>
      <c r="P15201" s="2"/>
      <c r="Q15201" s="2"/>
      <c r="R15201" s="2"/>
      <c r="S15201" s="2"/>
      <c r="T15201" s="2"/>
      <c r="U15201" s="2"/>
      <c r="V15201" s="2"/>
      <c r="W15201" s="2"/>
      <c r="X15201" s="2"/>
      <c r="Y15201" s="2"/>
      <c r="Z15201" s="2"/>
    </row>
    <row r="15202" spans="1:26" ht="16.5" x14ac:dyDescent="0.35">
      <c r="A15202" s="2" t="str">
        <f ca="1">IFERROR(__xludf.DUMMYFUNCTION("""COMPUTED_VALUE"""),"Abu Dhabi")</f>
        <v>Abu Dhabi</v>
      </c>
      <c r="B15202" s="2" t="str">
        <f ca="1">IFERROR(__xludf.DUMMYFUNCTION("""COMPUTED_VALUE"""),"Luluat Al Raha")</f>
        <v>Luluat Al Raha</v>
      </c>
      <c r="C15202" s="2" t="str">
        <f ca="1">IFERROR(__xludf.DUMMYFUNCTION("""COMPUTED_VALUE"""),"Neighbourhood")</f>
        <v>Neighbourhood</v>
      </c>
      <c r="D15202" s="2" t="str">
        <f ca="1">IFERROR(__xludf.DUMMYFUNCTION("""COMPUTED_VALUE"""),"Abu Dhabi&gt;Al Raha Beach&gt;Luluat Al Raha")</f>
        <v>Abu Dhabi&gt;Al Raha Beach&gt;Luluat Al Raha</v>
      </c>
      <c r="E15202" s="2"/>
      <c r="F15202" s="2"/>
      <c r="G15202" s="2"/>
      <c r="H15202" s="2"/>
      <c r="I15202" s="2"/>
      <c r="J15202" s="2"/>
      <c r="K15202" s="2"/>
      <c r="L15202" s="2"/>
      <c r="M15202" s="2"/>
      <c r="N15202" s="2"/>
      <c r="O15202" s="2"/>
      <c r="P15202" s="2"/>
      <c r="Q15202" s="2"/>
      <c r="R15202" s="2"/>
      <c r="S15202" s="2"/>
      <c r="T15202" s="2"/>
      <c r="U15202" s="2"/>
      <c r="V15202" s="2"/>
      <c r="W15202" s="2"/>
      <c r="X15202" s="2"/>
      <c r="Y15202" s="2"/>
      <c r="Z15202" s="2"/>
    </row>
    <row r="15203" spans="1:26" ht="16.5" x14ac:dyDescent="0.35">
      <c r="A15203" s="2" t="str">
        <f ca="1">IFERROR(__xludf.DUMMYFUNCTION("""COMPUTED_VALUE"""),"Abu Dhabi")</f>
        <v>Abu Dhabi</v>
      </c>
      <c r="B15203" s="2" t="str">
        <f ca="1">IFERROR(__xludf.DUMMYFUNCTION("""COMPUTED_VALUE"""),"Al Janna Building")</f>
        <v>Al Janna Building</v>
      </c>
      <c r="C15203" s="2" t="str">
        <f ca="1">IFERROR(__xludf.DUMMYFUNCTION("""COMPUTED_VALUE"""),"Building")</f>
        <v>Building</v>
      </c>
      <c r="D15203" s="2" t="str">
        <f ca="1">IFERROR(__xludf.DUMMYFUNCTION("""COMPUTED_VALUE"""),"Abu Dhabi&gt;Al Raha Beach&gt;Al Janna Building")</f>
        <v>Abu Dhabi&gt;Al Raha Beach&gt;Al Janna Building</v>
      </c>
      <c r="E15203" s="2"/>
      <c r="F15203" s="2"/>
      <c r="G15203" s="2"/>
      <c r="H15203" s="2"/>
      <c r="I15203" s="2"/>
      <c r="J15203" s="2"/>
      <c r="K15203" s="2"/>
      <c r="L15203" s="2"/>
      <c r="M15203" s="2"/>
      <c r="N15203" s="2"/>
      <c r="O15203" s="2"/>
      <c r="P15203" s="2"/>
      <c r="Q15203" s="2"/>
      <c r="R15203" s="2"/>
      <c r="S15203" s="2"/>
      <c r="T15203" s="2"/>
      <c r="U15203" s="2"/>
      <c r="V15203" s="2"/>
      <c r="W15203" s="2"/>
      <c r="X15203" s="2"/>
      <c r="Y15203" s="2"/>
      <c r="Z15203" s="2"/>
    </row>
    <row r="15204" spans="1:26" ht="16.5" x14ac:dyDescent="0.35">
      <c r="A15204" s="2" t="str">
        <f ca="1">IFERROR(__xludf.DUMMYFUNCTION("""COMPUTED_VALUE"""),"Abu Dhabi")</f>
        <v>Abu Dhabi</v>
      </c>
      <c r="B15204" s="2" t="str">
        <f ca="1">IFERROR(__xludf.DUMMYFUNCTION("""COMPUTED_VALUE"""),"Corniche Plaza Building")</f>
        <v>Corniche Plaza Building</v>
      </c>
      <c r="C15204" s="2"/>
      <c r="D15204" s="2" t="str">
        <f ca="1">IFERROR(__xludf.DUMMYFUNCTION("""COMPUTED_VALUE"""),"Abu Dhabi&gt;Al Salam Street&gt;Corniche Plaza Building")</f>
        <v>Abu Dhabi&gt;Al Salam Street&gt;Corniche Plaza Building</v>
      </c>
      <c r="E15204" s="2"/>
      <c r="F15204" s="2"/>
      <c r="G15204" s="2"/>
      <c r="H15204" s="2"/>
      <c r="I15204" s="2"/>
      <c r="J15204" s="2"/>
      <c r="K15204" s="2"/>
      <c r="L15204" s="2"/>
      <c r="M15204" s="2"/>
      <c r="N15204" s="2"/>
      <c r="O15204" s="2"/>
      <c r="P15204" s="2"/>
      <c r="Q15204" s="2"/>
      <c r="R15204" s="2"/>
      <c r="S15204" s="2"/>
      <c r="T15204" s="2"/>
      <c r="U15204" s="2"/>
      <c r="V15204" s="2"/>
      <c r="W15204" s="2"/>
      <c r="X15204" s="2"/>
      <c r="Y15204" s="2"/>
      <c r="Z15204" s="2"/>
    </row>
    <row r="15205" spans="1:26" ht="16.5" x14ac:dyDescent="0.35">
      <c r="A15205" s="2" t="str">
        <f ca="1">IFERROR(__xludf.DUMMYFUNCTION("""COMPUTED_VALUE"""),"Abu Dhabi")</f>
        <v>Abu Dhabi</v>
      </c>
      <c r="B15205" s="2" t="str">
        <f ca="1">IFERROR(__xludf.DUMMYFUNCTION("""COMPUTED_VALUE"""),"Al Manara Private School")</f>
        <v>Al Manara Private School</v>
      </c>
      <c r="C15205" s="2" t="str">
        <f ca="1">IFERROR(__xludf.DUMMYFUNCTION("""COMPUTED_VALUE"""),"School")</f>
        <v>School</v>
      </c>
      <c r="D15205" s="2" t="str">
        <f ca="1">IFERROR(__xludf.DUMMYFUNCTION("""COMPUTED_VALUE"""),"Abu Dhabi&gt;Mohamed Bin Zayed City&gt;Al Manara Private School")</f>
        <v>Abu Dhabi&gt;Mohamed Bin Zayed City&gt;Al Manara Private School</v>
      </c>
      <c r="E15205" s="2"/>
      <c r="F15205" s="2"/>
      <c r="G15205" s="2"/>
      <c r="H15205" s="2"/>
      <c r="I15205" s="2"/>
      <c r="J15205" s="2"/>
      <c r="K15205" s="2"/>
      <c r="L15205" s="2"/>
      <c r="M15205" s="2"/>
      <c r="N15205" s="2"/>
      <c r="O15205" s="2"/>
      <c r="P15205" s="2"/>
      <c r="Q15205" s="2"/>
      <c r="R15205" s="2"/>
      <c r="S15205" s="2"/>
      <c r="T15205" s="2"/>
      <c r="U15205" s="2"/>
      <c r="V15205" s="2"/>
      <c r="W15205" s="2"/>
      <c r="X15205" s="2"/>
      <c r="Y15205" s="2"/>
      <c r="Z15205" s="2"/>
    </row>
    <row r="15206" spans="1:26" ht="16.5" x14ac:dyDescent="0.35">
      <c r="A15206" s="2" t="str">
        <f ca="1">IFERROR(__xludf.DUMMYFUNCTION("""COMPUTED_VALUE"""),"Abu Dhabi")</f>
        <v>Abu Dhabi</v>
      </c>
      <c r="B15206" s="2" t="str">
        <f ca="1">IFERROR(__xludf.DUMMYFUNCTION("""COMPUTED_VALUE"""),"Zone 33")</f>
        <v>Zone 33</v>
      </c>
      <c r="C15206" s="2" t="str">
        <f ca="1">IFERROR(__xludf.DUMMYFUNCTION("""COMPUTED_VALUE"""),"Neighbourhood")</f>
        <v>Neighbourhood</v>
      </c>
      <c r="D15206" s="2" t="str">
        <f ca="1">IFERROR(__xludf.DUMMYFUNCTION("""COMPUTED_VALUE"""),"Abu Dhabi&gt;Mohamed Bin Zayed City&gt;Zone 33")</f>
        <v>Abu Dhabi&gt;Mohamed Bin Zayed City&gt;Zone 33</v>
      </c>
      <c r="E15206" s="2"/>
      <c r="F15206" s="2"/>
      <c r="G15206" s="2"/>
      <c r="H15206" s="2"/>
      <c r="I15206" s="2"/>
      <c r="J15206" s="2"/>
      <c r="K15206" s="2"/>
      <c r="L15206" s="2"/>
      <c r="M15206" s="2"/>
      <c r="N15206" s="2"/>
      <c r="O15206" s="2"/>
      <c r="P15206" s="2"/>
      <c r="Q15206" s="2"/>
      <c r="R15206" s="2"/>
      <c r="S15206" s="2"/>
      <c r="T15206" s="2"/>
      <c r="U15206" s="2"/>
      <c r="V15206" s="2"/>
      <c r="W15206" s="2"/>
      <c r="X15206" s="2"/>
      <c r="Y15206" s="2"/>
      <c r="Z15206" s="2"/>
    </row>
    <row r="15207" spans="1:26" ht="16.5" x14ac:dyDescent="0.35">
      <c r="A15207" s="2" t="str">
        <f ca="1">IFERROR(__xludf.DUMMYFUNCTION("""COMPUTED_VALUE"""),"Abu Dhabi")</f>
        <v>Abu Dhabi</v>
      </c>
      <c r="B15207" s="2" t="str">
        <f ca="1">IFERROR(__xludf.DUMMYFUNCTION("""COMPUTED_VALUE"""),"Building 21")</f>
        <v>Building 21</v>
      </c>
      <c r="C15207" s="2" t="str">
        <f ca="1">IFERROR(__xludf.DUMMYFUNCTION("""COMPUTED_VALUE"""),"Building")</f>
        <v>Building</v>
      </c>
      <c r="D15207" s="2" t="str">
        <f ca="1">IFERROR(__xludf.DUMMYFUNCTION("""COMPUTED_VALUE"""),"Abu Dhabi&gt;Al Reef&gt;Al Reef Downtown&gt;Building 21")</f>
        <v>Abu Dhabi&gt;Al Reef&gt;Al Reef Downtown&gt;Building 21</v>
      </c>
      <c r="E15207" s="2"/>
      <c r="F15207" s="2"/>
      <c r="G15207" s="2"/>
      <c r="H15207" s="2"/>
      <c r="I15207" s="2"/>
      <c r="J15207" s="2"/>
      <c r="K15207" s="2"/>
      <c r="L15207" s="2"/>
      <c r="M15207" s="2"/>
      <c r="N15207" s="2"/>
      <c r="O15207" s="2"/>
      <c r="P15207" s="2"/>
      <c r="Q15207" s="2"/>
      <c r="R15207" s="2"/>
      <c r="S15207" s="2"/>
      <c r="T15207" s="2"/>
      <c r="U15207" s="2"/>
      <c r="V15207" s="2"/>
      <c r="W15207" s="2"/>
      <c r="X15207" s="2"/>
      <c r="Y15207" s="2"/>
      <c r="Z15207" s="2"/>
    </row>
    <row r="15208" spans="1:26" ht="16.5" x14ac:dyDescent="0.35">
      <c r="A15208" s="2" t="str">
        <f ca="1">IFERROR(__xludf.DUMMYFUNCTION("""COMPUTED_VALUE"""),"Abu Dhabi")</f>
        <v>Abu Dhabi</v>
      </c>
      <c r="B15208" s="2" t="str">
        <f ca="1">IFERROR(__xludf.DUMMYFUNCTION("""COMPUTED_VALUE"""),"Building 41")</f>
        <v>Building 41</v>
      </c>
      <c r="C15208" s="2" t="str">
        <f ca="1">IFERROR(__xludf.DUMMYFUNCTION("""COMPUTED_VALUE"""),"Building")</f>
        <v>Building</v>
      </c>
      <c r="D15208" s="2" t="str">
        <f ca="1">IFERROR(__xludf.DUMMYFUNCTION("""COMPUTED_VALUE"""),"Abu Dhabi&gt;Al Reef&gt;Al Reef Downtown&gt;Building 41")</f>
        <v>Abu Dhabi&gt;Al Reef&gt;Al Reef Downtown&gt;Building 41</v>
      </c>
      <c r="E15208" s="2"/>
      <c r="F15208" s="2"/>
      <c r="G15208" s="2"/>
      <c r="H15208" s="2"/>
      <c r="I15208" s="2"/>
      <c r="J15208" s="2"/>
      <c r="K15208" s="2"/>
      <c r="L15208" s="2"/>
      <c r="M15208" s="2"/>
      <c r="N15208" s="2"/>
      <c r="O15208" s="2"/>
      <c r="P15208" s="2"/>
      <c r="Q15208" s="2"/>
      <c r="R15208" s="2"/>
      <c r="S15208" s="2"/>
      <c r="T15208" s="2"/>
      <c r="U15208" s="2"/>
      <c r="V15208" s="2"/>
      <c r="W15208" s="2"/>
      <c r="X15208" s="2"/>
      <c r="Y15208" s="2"/>
      <c r="Z15208" s="2"/>
    </row>
    <row r="15209" spans="1:26" ht="16.5" x14ac:dyDescent="0.35">
      <c r="A15209" s="2" t="str">
        <f ca="1">IFERROR(__xludf.DUMMYFUNCTION("""COMPUTED_VALUE"""),"Abu Dhabi")</f>
        <v>Abu Dhabi</v>
      </c>
      <c r="B15209" s="2" t="str">
        <f ca="1">IFERROR(__xludf.DUMMYFUNCTION("""COMPUTED_VALUE"""),"Al Ras Al Akhdar")</f>
        <v>Al Ras Al Akhdar</v>
      </c>
      <c r="C15209" s="2" t="str">
        <f ca="1">IFERROR(__xludf.DUMMYFUNCTION("""COMPUTED_VALUE"""),"Neighbourhood")</f>
        <v>Neighbourhood</v>
      </c>
      <c r="D15209" s="2" t="str">
        <f ca="1">IFERROR(__xludf.DUMMYFUNCTION("""COMPUTED_VALUE"""),"Abu Dhabi&gt;Al Ras Al Akhdar")</f>
        <v>Abu Dhabi&gt;Al Ras Al Akhdar</v>
      </c>
      <c r="E15209" s="2"/>
      <c r="F15209" s="2"/>
      <c r="G15209" s="2"/>
      <c r="H15209" s="2"/>
      <c r="I15209" s="2"/>
      <c r="J15209" s="2"/>
      <c r="K15209" s="2"/>
      <c r="L15209" s="2"/>
      <c r="M15209" s="2"/>
      <c r="N15209" s="2"/>
      <c r="O15209" s="2"/>
      <c r="P15209" s="2"/>
      <c r="Q15209" s="2"/>
      <c r="R15209" s="2"/>
      <c r="S15209" s="2"/>
      <c r="T15209" s="2"/>
      <c r="U15209" s="2"/>
      <c r="V15209" s="2"/>
      <c r="W15209" s="2"/>
      <c r="X15209" s="2"/>
      <c r="Y15209" s="2"/>
      <c r="Z15209" s="2"/>
    </row>
    <row r="15210" spans="1:26" ht="16.5" x14ac:dyDescent="0.35">
      <c r="A15210" s="2" t="str">
        <f ca="1">IFERROR(__xludf.DUMMYFUNCTION("""COMPUTED_VALUE"""),"Abu Dhabi")</f>
        <v>Abu Dhabi</v>
      </c>
      <c r="B15210" s="2" t="str">
        <f ca="1">IFERROR(__xludf.DUMMYFUNCTION("""COMPUTED_VALUE"""),"Capital Gate Tower (Leaning Tower)")</f>
        <v>Capital Gate Tower (Leaning Tower)</v>
      </c>
      <c r="C15210" s="2" t="str">
        <f ca="1">IFERROR(__xludf.DUMMYFUNCTION("""COMPUTED_VALUE"""),"Building")</f>
        <v>Building</v>
      </c>
      <c r="D15210" s="2" t="str">
        <f ca="1">IFERROR(__xludf.DUMMYFUNCTION("""COMPUTED_VALUE"""),"Abu Dhabi&gt;Capital Centre&gt;Capital Gate Tower (Leaning Tower)")</f>
        <v>Abu Dhabi&gt;Capital Centre&gt;Capital Gate Tower (Leaning Tower)</v>
      </c>
      <c r="E15210" s="2"/>
      <c r="F15210" s="2"/>
      <c r="G15210" s="2"/>
      <c r="H15210" s="2"/>
      <c r="I15210" s="2"/>
      <c r="J15210" s="2"/>
      <c r="K15210" s="2"/>
      <c r="L15210" s="2"/>
      <c r="M15210" s="2"/>
      <c r="N15210" s="2"/>
      <c r="O15210" s="2"/>
      <c r="P15210" s="2"/>
      <c r="Q15210" s="2"/>
      <c r="R15210" s="2"/>
      <c r="S15210" s="2"/>
      <c r="T15210" s="2"/>
      <c r="U15210" s="2"/>
      <c r="V15210" s="2"/>
      <c r="W15210" s="2"/>
      <c r="X15210" s="2"/>
      <c r="Y15210" s="2"/>
      <c r="Z15210" s="2"/>
    </row>
    <row r="15211" spans="1:26" ht="16.5" x14ac:dyDescent="0.35">
      <c r="A15211" s="2" t="str">
        <f ca="1">IFERROR(__xludf.DUMMYFUNCTION("""COMPUTED_VALUE"""),"Abu Dhabi")</f>
        <v>Abu Dhabi</v>
      </c>
      <c r="B15211" s="2" t="str">
        <f ca="1">IFERROR(__xludf.DUMMYFUNCTION("""COMPUTED_VALUE"""),"Redwood Montessori Nursery Yas Island")</f>
        <v>Redwood Montessori Nursery Yas Island</v>
      </c>
      <c r="C15211" s="2" t="str">
        <f ca="1">IFERROR(__xludf.DUMMYFUNCTION("""COMPUTED_VALUE"""),"Nursery")</f>
        <v>Nursery</v>
      </c>
      <c r="D15211" s="2" t="str">
        <f ca="1">IFERROR(__xludf.DUMMYFUNCTION("""COMPUTED_VALUE"""),"Abu Dhabi&gt;Yas Island&gt;Yas Bay&gt;Redwood Montessori Nursery Yas Island")</f>
        <v>Abu Dhabi&gt;Yas Island&gt;Yas Bay&gt;Redwood Montessori Nursery Yas Island</v>
      </c>
      <c r="E15211" s="2"/>
      <c r="F15211" s="2"/>
      <c r="G15211" s="2"/>
      <c r="H15211" s="2"/>
      <c r="I15211" s="2"/>
      <c r="J15211" s="2"/>
      <c r="K15211" s="2"/>
      <c r="L15211" s="2"/>
      <c r="M15211" s="2"/>
      <c r="N15211" s="2"/>
      <c r="O15211" s="2"/>
      <c r="P15211" s="2"/>
      <c r="Q15211" s="2"/>
      <c r="R15211" s="2"/>
      <c r="S15211" s="2"/>
      <c r="T15211" s="2"/>
      <c r="U15211" s="2"/>
      <c r="V15211" s="2"/>
      <c r="W15211" s="2"/>
      <c r="X15211" s="2"/>
      <c r="Y15211" s="2"/>
      <c r="Z15211" s="2"/>
    </row>
    <row r="15212" spans="1:26" ht="16.5" x14ac:dyDescent="0.35">
      <c r="A15212" s="2" t="str">
        <f ca="1">IFERROR(__xludf.DUMMYFUNCTION("""COMPUTED_VALUE"""),"Abu Dhabi")</f>
        <v>Abu Dhabi</v>
      </c>
      <c r="B15212" s="2" t="str">
        <f ca="1">IFERROR(__xludf.DUMMYFUNCTION("""COMPUTED_VALUE"""),"Aspens")</f>
        <v>Aspens</v>
      </c>
      <c r="C15212" s="2" t="str">
        <f ca="1">IFERROR(__xludf.DUMMYFUNCTION("""COMPUTED_VALUE"""),"Neighbourhood")</f>
        <v>Neighbourhood</v>
      </c>
      <c r="D15212" s="2" t="str">
        <f ca="1">IFERROR(__xludf.DUMMYFUNCTION("""COMPUTED_VALUE"""),"Abu Dhabi&gt;Yas Island&gt;Yas Acres&gt;Aspens")</f>
        <v>Abu Dhabi&gt;Yas Island&gt;Yas Acres&gt;Aspens</v>
      </c>
      <c r="E15212" s="2"/>
      <c r="F15212" s="2"/>
      <c r="G15212" s="2"/>
      <c r="H15212" s="2"/>
      <c r="I15212" s="2"/>
      <c r="J15212" s="2"/>
      <c r="K15212" s="2"/>
      <c r="L15212" s="2"/>
      <c r="M15212" s="2"/>
      <c r="N15212" s="2"/>
      <c r="O15212" s="2"/>
      <c r="P15212" s="2"/>
      <c r="Q15212" s="2"/>
      <c r="R15212" s="2"/>
      <c r="S15212" s="2"/>
      <c r="T15212" s="2"/>
      <c r="U15212" s="2"/>
      <c r="V15212" s="2"/>
      <c r="W15212" s="2"/>
      <c r="X15212" s="2"/>
      <c r="Y15212" s="2"/>
      <c r="Z15212" s="2"/>
    </row>
    <row r="15213" spans="1:26" ht="16.5" x14ac:dyDescent="0.35">
      <c r="A15213" s="2" t="str">
        <f ca="1">IFERROR(__xludf.DUMMYFUNCTION("""COMPUTED_VALUE"""),"Abu Dhabi")</f>
        <v>Abu Dhabi</v>
      </c>
      <c r="B15213" s="2" t="str">
        <f ca="1">IFERROR(__xludf.DUMMYFUNCTION("""COMPUTED_VALUE"""),"Alkaser")</f>
        <v>Alkaser</v>
      </c>
      <c r="C15213" s="2" t="str">
        <f ca="1">IFERROR(__xludf.DUMMYFUNCTION("""COMPUTED_VALUE"""),"Neighbourhood")</f>
        <v>Neighbourhood</v>
      </c>
      <c r="D15213" s="2" t="str">
        <f ca="1">IFERROR(__xludf.DUMMYFUNCTION("""COMPUTED_VALUE"""),"Abu Dhabi&gt;Yas Island&gt;Alkaser")</f>
        <v>Abu Dhabi&gt;Yas Island&gt;Alkaser</v>
      </c>
      <c r="E15213" s="2"/>
      <c r="F15213" s="2"/>
      <c r="G15213" s="2"/>
      <c r="H15213" s="2"/>
      <c r="I15213" s="2"/>
      <c r="J15213" s="2"/>
      <c r="K15213" s="2"/>
      <c r="L15213" s="2"/>
      <c r="M15213" s="2"/>
      <c r="N15213" s="2"/>
      <c r="O15213" s="2"/>
      <c r="P15213" s="2"/>
      <c r="Q15213" s="2"/>
      <c r="R15213" s="2"/>
      <c r="S15213" s="2"/>
      <c r="T15213" s="2"/>
      <c r="U15213" s="2"/>
      <c r="V15213" s="2"/>
      <c r="W15213" s="2"/>
      <c r="X15213" s="2"/>
      <c r="Y15213" s="2"/>
      <c r="Z15213" s="2"/>
    </row>
    <row r="15214" spans="1:26" ht="16.5" x14ac:dyDescent="0.35">
      <c r="A15214" s="2" t="str">
        <f ca="1">IFERROR(__xludf.DUMMYFUNCTION("""COMPUTED_VALUE"""),"Abu Dhabi")</f>
        <v>Abu Dhabi</v>
      </c>
      <c r="B15214" s="2" t="str">
        <f ca="1">IFERROR(__xludf.DUMMYFUNCTION("""COMPUTED_VALUE"""),"Al Reeman 1")</f>
        <v>Al Reeman 1</v>
      </c>
      <c r="C15214" s="2" t="str">
        <f ca="1">IFERROR(__xludf.DUMMYFUNCTION("""COMPUTED_VALUE"""),"Neighbourhood")</f>
        <v>Neighbourhood</v>
      </c>
      <c r="D15214" s="2" t="str">
        <f ca="1">IFERROR(__xludf.DUMMYFUNCTION("""COMPUTED_VALUE"""),"Abu Dhabi&gt;Al Shamkha&gt;Al Reeman 1")</f>
        <v>Abu Dhabi&gt;Al Shamkha&gt;Al Reeman 1</v>
      </c>
      <c r="E15214" s="2"/>
      <c r="F15214" s="2"/>
      <c r="G15214" s="2"/>
      <c r="H15214" s="2"/>
      <c r="I15214" s="2"/>
      <c r="J15214" s="2"/>
      <c r="K15214" s="2"/>
      <c r="L15214" s="2"/>
      <c r="M15214" s="2"/>
      <c r="N15214" s="2"/>
      <c r="O15214" s="2"/>
      <c r="P15214" s="2"/>
      <c r="Q15214" s="2"/>
      <c r="R15214" s="2"/>
      <c r="S15214" s="2"/>
      <c r="T15214" s="2"/>
      <c r="U15214" s="2"/>
      <c r="V15214" s="2"/>
      <c r="W15214" s="2"/>
      <c r="X15214" s="2"/>
      <c r="Y15214" s="2"/>
      <c r="Z15214" s="2"/>
    </row>
    <row r="15215" spans="1:26" ht="16.5" x14ac:dyDescent="0.35">
      <c r="A15215" s="2" t="str">
        <f ca="1">IFERROR(__xludf.DUMMYFUNCTION("""COMPUTED_VALUE"""),"Ajman")</f>
        <v>Ajman</v>
      </c>
      <c r="B15215" s="2" t="str">
        <f ca="1">IFERROR(__xludf.DUMMYFUNCTION("""COMPUTED_VALUE"""),"Liwara 1")</f>
        <v>Liwara 1</v>
      </c>
      <c r="C15215" s="2"/>
      <c r="D15215" s="2" t="str">
        <f ca="1">IFERROR(__xludf.DUMMYFUNCTION("""COMPUTED_VALUE"""),"Ajman&gt;Liwara 1")</f>
        <v>Ajman&gt;Liwara 1</v>
      </c>
      <c r="E15215" s="2"/>
      <c r="F15215" s="2"/>
      <c r="G15215" s="2"/>
      <c r="H15215" s="2"/>
      <c r="I15215" s="2"/>
      <c r="J15215" s="2"/>
      <c r="K15215" s="2"/>
      <c r="L15215" s="2"/>
      <c r="M15215" s="2"/>
      <c r="N15215" s="2"/>
      <c r="O15215" s="2"/>
      <c r="P15215" s="2"/>
      <c r="Q15215" s="2"/>
      <c r="R15215" s="2"/>
      <c r="S15215" s="2"/>
      <c r="T15215" s="2"/>
      <c r="U15215" s="2"/>
      <c r="V15215" s="2"/>
      <c r="W15215" s="2"/>
      <c r="X15215" s="2"/>
      <c r="Y15215" s="2"/>
      <c r="Z15215" s="2"/>
    </row>
    <row r="15216" spans="1:26" ht="16.5" x14ac:dyDescent="0.35">
      <c r="A15216" s="2" t="str">
        <f ca="1">IFERROR(__xludf.DUMMYFUNCTION("""COMPUTED_VALUE"""),"Ajman")</f>
        <v>Ajman</v>
      </c>
      <c r="B15216" s="2" t="str">
        <f ca="1">IFERROR(__xludf.DUMMYFUNCTION("""COMPUTED_VALUE"""),"Lake View Tower 1")</f>
        <v>Lake View Tower 1</v>
      </c>
      <c r="C15216" s="2" t="str">
        <f ca="1">IFERROR(__xludf.DUMMYFUNCTION("""COMPUTED_VALUE"""),"Building")</f>
        <v>Building</v>
      </c>
      <c r="D15216" s="2" t="str">
        <f ca="1">IFERROR(__xludf.DUMMYFUNCTION("""COMPUTED_VALUE"""),"Ajman&gt;Emirates City&gt;Lake View Tower&gt;Lake View Tower 1")</f>
        <v>Ajman&gt;Emirates City&gt;Lake View Tower&gt;Lake View Tower 1</v>
      </c>
      <c r="E15216" s="2"/>
      <c r="F15216" s="2"/>
      <c r="G15216" s="2"/>
      <c r="H15216" s="2"/>
      <c r="I15216" s="2"/>
      <c r="J15216" s="2"/>
      <c r="K15216" s="2"/>
      <c r="L15216" s="2"/>
      <c r="M15216" s="2"/>
      <c r="N15216" s="2"/>
      <c r="O15216" s="2"/>
      <c r="P15216" s="2"/>
      <c r="Q15216" s="2"/>
      <c r="R15216" s="2"/>
      <c r="S15216" s="2"/>
      <c r="T15216" s="2"/>
      <c r="U15216" s="2"/>
      <c r="V15216" s="2"/>
      <c r="W15216" s="2"/>
      <c r="X15216" s="2"/>
      <c r="Y15216" s="2"/>
      <c r="Z15216" s="2"/>
    </row>
    <row r="15217" spans="1:26" ht="16.5" x14ac:dyDescent="0.35">
      <c r="A15217" s="2" t="str">
        <f ca="1">IFERROR(__xludf.DUMMYFUNCTION("""COMPUTED_VALUE"""),"Ajman")</f>
        <v>Ajman</v>
      </c>
      <c r="B15217" s="2" t="str">
        <f ca="1">IFERROR(__xludf.DUMMYFUNCTION("""COMPUTED_VALUE"""),"Gulf Tower Ajman")</f>
        <v>Gulf Tower Ajman</v>
      </c>
      <c r="C15217" s="2" t="str">
        <f ca="1">IFERROR(__xludf.DUMMYFUNCTION("""COMPUTED_VALUE"""),"Building")</f>
        <v>Building</v>
      </c>
      <c r="D15217" s="2" t="str">
        <f ca="1">IFERROR(__xludf.DUMMYFUNCTION("""COMPUTED_VALUE"""),"Ajman&gt;Emirates City&gt;Gulf Tower Ajman")</f>
        <v>Ajman&gt;Emirates City&gt;Gulf Tower Ajman</v>
      </c>
      <c r="E15217" s="2"/>
      <c r="F15217" s="2"/>
      <c r="G15217" s="2"/>
      <c r="H15217" s="2"/>
      <c r="I15217" s="2"/>
      <c r="J15217" s="2"/>
      <c r="K15217" s="2"/>
      <c r="L15217" s="2"/>
      <c r="M15217" s="2"/>
      <c r="N15217" s="2"/>
      <c r="O15217" s="2"/>
      <c r="P15217" s="2"/>
      <c r="Q15217" s="2"/>
      <c r="R15217" s="2"/>
      <c r="S15217" s="2"/>
      <c r="T15217" s="2"/>
      <c r="U15217" s="2"/>
      <c r="V15217" s="2"/>
      <c r="W15217" s="2"/>
      <c r="X15217" s="2"/>
      <c r="Y15217" s="2"/>
      <c r="Z15217" s="2"/>
    </row>
    <row r="15218" spans="1:26" ht="16.5" x14ac:dyDescent="0.35">
      <c r="A15218" s="2" t="str">
        <f ca="1">IFERROR(__xludf.DUMMYFUNCTION("""COMPUTED_VALUE"""),"Ajman")</f>
        <v>Ajman</v>
      </c>
      <c r="B15218" s="2" t="str">
        <f ca="1">IFERROR(__xludf.DUMMYFUNCTION("""COMPUTED_VALUE"""),"Deans International Private School")</f>
        <v>Deans International Private School</v>
      </c>
      <c r="C15218" s="2" t="str">
        <f ca="1">IFERROR(__xludf.DUMMYFUNCTION("""COMPUTED_VALUE"""),"School")</f>
        <v>School</v>
      </c>
      <c r="D15218" s="2" t="str">
        <f ca="1">IFERROR(__xludf.DUMMYFUNCTION("""COMPUTED_VALUE"""),"Ajman&gt;Al Jurf&gt;Al Jurf 2&gt;Deans International Private School")</f>
        <v>Ajman&gt;Al Jurf&gt;Al Jurf 2&gt;Deans International Private School</v>
      </c>
      <c r="E15218" s="2"/>
      <c r="F15218" s="2"/>
      <c r="G15218" s="2"/>
      <c r="H15218" s="2"/>
      <c r="I15218" s="2"/>
      <c r="J15218" s="2"/>
      <c r="K15218" s="2"/>
      <c r="L15218" s="2"/>
      <c r="M15218" s="2"/>
      <c r="N15218" s="2"/>
      <c r="O15218" s="2"/>
      <c r="P15218" s="2"/>
      <c r="Q15218" s="2"/>
      <c r="R15218" s="2"/>
      <c r="S15218" s="2"/>
      <c r="T15218" s="2"/>
      <c r="U15218" s="2"/>
      <c r="V15218" s="2"/>
      <c r="W15218" s="2"/>
      <c r="X15218" s="2"/>
      <c r="Y15218" s="2"/>
      <c r="Z15218" s="2"/>
    </row>
    <row r="15219" spans="1:26" ht="16.5" x14ac:dyDescent="0.35">
      <c r="A15219" s="2" t="str">
        <f ca="1">IFERROR(__xludf.DUMMYFUNCTION("""COMPUTED_VALUE"""),"Ajman")</f>
        <v>Ajman</v>
      </c>
      <c r="B15219" s="2" t="str">
        <f ca="1">IFERROR(__xludf.DUMMYFUNCTION("""COMPUTED_VALUE"""),"Ajman Uptown")</f>
        <v>Ajman Uptown</v>
      </c>
      <c r="C15219" s="2" t="str">
        <f ca="1">IFERROR(__xludf.DUMMYFUNCTION("""COMPUTED_VALUE"""),"Neighbourhood")</f>
        <v>Neighbourhood</v>
      </c>
      <c r="D15219" s="2" t="str">
        <f ca="1">IFERROR(__xludf.DUMMYFUNCTION("""COMPUTED_VALUE"""),"Ajman&gt;Ajman Uptown")</f>
        <v>Ajman&gt;Ajman Uptown</v>
      </c>
      <c r="E15219" s="2"/>
      <c r="F15219" s="2"/>
      <c r="G15219" s="2"/>
      <c r="H15219" s="2"/>
      <c r="I15219" s="2"/>
      <c r="J15219" s="2"/>
      <c r="K15219" s="2"/>
      <c r="L15219" s="2"/>
      <c r="M15219" s="2"/>
      <c r="N15219" s="2"/>
      <c r="O15219" s="2"/>
      <c r="P15219" s="2"/>
      <c r="Q15219" s="2"/>
      <c r="R15219" s="2"/>
      <c r="S15219" s="2"/>
      <c r="T15219" s="2"/>
      <c r="U15219" s="2"/>
      <c r="V15219" s="2"/>
      <c r="W15219" s="2"/>
      <c r="X15219" s="2"/>
      <c r="Y15219" s="2"/>
      <c r="Z15219" s="2"/>
    </row>
    <row r="15220" spans="1:26" ht="16.5" x14ac:dyDescent="0.35">
      <c r="A15220" s="2" t="str">
        <f ca="1">IFERROR(__xludf.DUMMYFUNCTION("""COMPUTED_VALUE"""),"Ajman")</f>
        <v>Ajman</v>
      </c>
      <c r="B15220" s="2" t="str">
        <f ca="1">IFERROR(__xludf.DUMMYFUNCTION("""COMPUTED_VALUE"""),"Barajeel Tower A")</f>
        <v>Barajeel Tower A</v>
      </c>
      <c r="C15220" s="2" t="str">
        <f ca="1">IFERROR(__xludf.DUMMYFUNCTION("""COMPUTED_VALUE"""),"Building")</f>
        <v>Building</v>
      </c>
      <c r="D15220" s="2" t="str">
        <f ca="1">IFERROR(__xludf.DUMMYFUNCTION("""COMPUTED_VALUE"""),"Ajman&gt;Al Rashidiya&gt;Al Rashidiya 1&gt;Barajeel Towers&gt;Barajeel Tower A")</f>
        <v>Ajman&gt;Al Rashidiya&gt;Al Rashidiya 1&gt;Barajeel Towers&gt;Barajeel Tower A</v>
      </c>
      <c r="E15220" s="2"/>
      <c r="F15220" s="2"/>
      <c r="G15220" s="2"/>
      <c r="H15220" s="2"/>
      <c r="I15220" s="2"/>
      <c r="J15220" s="2"/>
      <c r="K15220" s="2"/>
      <c r="L15220" s="2"/>
      <c r="M15220" s="2"/>
      <c r="N15220" s="2"/>
      <c r="O15220" s="2"/>
      <c r="P15220" s="2"/>
      <c r="Q15220" s="2"/>
      <c r="R15220" s="2"/>
      <c r="S15220" s="2"/>
      <c r="T15220" s="2"/>
      <c r="U15220" s="2"/>
      <c r="V15220" s="2"/>
      <c r="W15220" s="2"/>
      <c r="X15220" s="2"/>
      <c r="Y15220" s="2"/>
      <c r="Z15220" s="2"/>
    </row>
    <row r="15221" spans="1:26" ht="16.5" x14ac:dyDescent="0.35">
      <c r="A15221" s="2" t="str">
        <f ca="1">IFERROR(__xludf.DUMMYFUNCTION("""COMPUTED_VALUE"""),"Ajman")</f>
        <v>Ajman</v>
      </c>
      <c r="B15221" s="2" t="str">
        <f ca="1">IFERROR(__xludf.DUMMYFUNCTION("""COMPUTED_VALUE"""),"Crystal Plaza")</f>
        <v>Crystal Plaza</v>
      </c>
      <c r="C15221" s="2"/>
      <c r="D15221" s="2" t="str">
        <f ca="1">IFERROR(__xludf.DUMMYFUNCTION("""COMPUTED_VALUE"""),"Ajman&gt;Al Rashidiya&gt;Al Rashidiya 3&gt;Crystal Plaza")</f>
        <v>Ajman&gt;Al Rashidiya&gt;Al Rashidiya 3&gt;Crystal Plaza</v>
      </c>
      <c r="E15221" s="2"/>
      <c r="F15221" s="2"/>
      <c r="G15221" s="2"/>
      <c r="H15221" s="2"/>
      <c r="I15221" s="2"/>
      <c r="J15221" s="2"/>
      <c r="K15221" s="2"/>
      <c r="L15221" s="2"/>
      <c r="M15221" s="2"/>
      <c r="N15221" s="2"/>
      <c r="O15221" s="2"/>
      <c r="P15221" s="2"/>
      <c r="Q15221" s="2"/>
      <c r="R15221" s="2"/>
      <c r="S15221" s="2"/>
      <c r="T15221" s="2"/>
      <c r="U15221" s="2"/>
      <c r="V15221" s="2"/>
      <c r="W15221" s="2"/>
      <c r="X15221" s="2"/>
      <c r="Y15221" s="2"/>
      <c r="Z15221" s="2"/>
    </row>
    <row r="15222" spans="1:26" ht="16.5" x14ac:dyDescent="0.35">
      <c r="A15222" s="2" t="str">
        <f ca="1">IFERROR(__xludf.DUMMYFUNCTION("""COMPUTED_VALUE"""),"Ajman")</f>
        <v>Ajman</v>
      </c>
      <c r="B15222" s="2" t="str">
        <f ca="1">IFERROR(__xludf.DUMMYFUNCTION("""COMPUTED_VALUE"""),"Al Mowaihat 1")</f>
        <v>Al Mowaihat 1</v>
      </c>
      <c r="C15222" s="2" t="str">
        <f ca="1">IFERROR(__xludf.DUMMYFUNCTION("""COMPUTED_VALUE"""),"Neighbourhood")</f>
        <v>Neighbourhood</v>
      </c>
      <c r="D15222" s="2" t="str">
        <f ca="1">IFERROR(__xludf.DUMMYFUNCTION("""COMPUTED_VALUE"""),"Ajman&gt;Al Mowaihat&gt;Al Mowaihat 1")</f>
        <v>Ajman&gt;Al Mowaihat&gt;Al Mowaihat 1</v>
      </c>
      <c r="E15222" s="2"/>
      <c r="F15222" s="2"/>
      <c r="G15222" s="2"/>
      <c r="H15222" s="2"/>
      <c r="I15222" s="2"/>
      <c r="J15222" s="2"/>
      <c r="K15222" s="2"/>
      <c r="L15222" s="2"/>
      <c r="M15222" s="2"/>
      <c r="N15222" s="2"/>
      <c r="O15222" s="2"/>
      <c r="P15222" s="2"/>
      <c r="Q15222" s="2"/>
      <c r="R15222" s="2"/>
      <c r="S15222" s="2"/>
      <c r="T15222" s="2"/>
      <c r="U15222" s="2"/>
      <c r="V15222" s="2"/>
      <c r="W15222" s="2"/>
      <c r="X15222" s="2"/>
      <c r="Y15222" s="2"/>
      <c r="Z15222" s="2"/>
    </row>
    <row r="15223" spans="1:26" ht="16.5" x14ac:dyDescent="0.35">
      <c r="A15223" s="2" t="str">
        <f ca="1">IFERROR(__xludf.DUMMYFUNCTION("""COMPUTED_VALUE"""),"Ajman")</f>
        <v>Ajman</v>
      </c>
      <c r="B15223" s="2" t="str">
        <f ca="1">IFERROR(__xludf.DUMMYFUNCTION("""COMPUTED_VALUE"""),"Tricon Park Place")</f>
        <v>Tricon Park Place</v>
      </c>
      <c r="C15223" s="2"/>
      <c r="D15223" s="2" t="str">
        <f ca="1">IFERROR(__xludf.DUMMYFUNCTION("""COMPUTED_VALUE"""),"Ajman&gt;Emirates Lake Towers&gt;Tricon Park Place")</f>
        <v>Ajman&gt;Emirates Lake Towers&gt;Tricon Park Place</v>
      </c>
      <c r="E15223" s="2"/>
      <c r="F15223" s="2"/>
      <c r="G15223" s="2"/>
      <c r="H15223" s="2"/>
      <c r="I15223" s="2"/>
      <c r="J15223" s="2"/>
      <c r="K15223" s="2"/>
      <c r="L15223" s="2"/>
      <c r="M15223" s="2"/>
      <c r="N15223" s="2"/>
      <c r="O15223" s="2"/>
      <c r="P15223" s="2"/>
      <c r="Q15223" s="2"/>
      <c r="R15223" s="2"/>
      <c r="S15223" s="2"/>
      <c r="T15223" s="2"/>
      <c r="U15223" s="2"/>
      <c r="V15223" s="2"/>
      <c r="W15223" s="2"/>
      <c r="X15223" s="2"/>
      <c r="Y15223" s="2"/>
      <c r="Z15223" s="2"/>
    </row>
    <row r="15224" spans="1:26" ht="16.5" x14ac:dyDescent="0.35">
      <c r="A15224" s="2" t="str">
        <f ca="1">IFERROR(__xludf.DUMMYFUNCTION("""COMPUTED_VALUE"""),"Ajman")</f>
        <v>Ajman</v>
      </c>
      <c r="B15224" s="2" t="str">
        <f ca="1">IFERROR(__xludf.DUMMYFUNCTION("""COMPUTED_VALUE"""),"Tiger Downtown Ajman Tower C2")</f>
        <v>Tiger Downtown Ajman Tower C2</v>
      </c>
      <c r="C15224" s="2" t="str">
        <f ca="1">IFERROR(__xludf.DUMMYFUNCTION("""COMPUTED_VALUE"""),"Building")</f>
        <v>Building</v>
      </c>
      <c r="D15224" s="2" t="str">
        <f ca="1">IFERROR(__xludf.DUMMYFUNCTION("""COMPUTED_VALUE"""),"Ajman&gt;Al Alia&gt;Tiger Downtown Ajman&gt;Tiger Downtown Ajman Tower C2")</f>
        <v>Ajman&gt;Al Alia&gt;Tiger Downtown Ajman&gt;Tiger Downtown Ajman Tower C2</v>
      </c>
      <c r="E15224" s="2"/>
      <c r="F15224" s="2"/>
      <c r="G15224" s="2"/>
      <c r="H15224" s="2"/>
      <c r="I15224" s="2"/>
      <c r="J15224" s="2"/>
      <c r="K15224" s="2"/>
      <c r="L15224" s="2"/>
      <c r="M15224" s="2"/>
      <c r="N15224" s="2"/>
      <c r="O15224" s="2"/>
      <c r="P15224" s="2"/>
      <c r="Q15224" s="2"/>
      <c r="R15224" s="2"/>
      <c r="S15224" s="2"/>
      <c r="T15224" s="2"/>
      <c r="U15224" s="2"/>
      <c r="V15224" s="2"/>
      <c r="W15224" s="2"/>
      <c r="X15224" s="2"/>
      <c r="Y15224" s="2"/>
      <c r="Z15224" s="2"/>
    </row>
    <row r="15225" spans="1:26" ht="16.5" x14ac:dyDescent="0.35">
      <c r="A15225" s="2" t="str">
        <f ca="1">IFERROR(__xludf.DUMMYFUNCTION("""COMPUTED_VALUE"""),"Ajman")</f>
        <v>Ajman</v>
      </c>
      <c r="B15225" s="2" t="str">
        <f ca="1">IFERROR(__xludf.DUMMYFUNCTION("""COMPUTED_VALUE"""),"Sky Tower 3")</f>
        <v>Sky Tower 3</v>
      </c>
      <c r="C15225" s="2"/>
      <c r="D15225" s="2" t="str">
        <f ca="1">IFERROR(__xludf.DUMMYFUNCTION("""COMPUTED_VALUE"""),"Ajman&gt;Al Humaid City&gt;Sky Tower&gt;Sky Tower 3")</f>
        <v>Ajman&gt;Al Humaid City&gt;Sky Tower&gt;Sky Tower 3</v>
      </c>
      <c r="E15225" s="2"/>
      <c r="F15225" s="2"/>
      <c r="G15225" s="2"/>
      <c r="H15225" s="2"/>
      <c r="I15225" s="2"/>
      <c r="J15225" s="2"/>
      <c r="K15225" s="2"/>
      <c r="L15225" s="2"/>
      <c r="M15225" s="2"/>
      <c r="N15225" s="2"/>
      <c r="O15225" s="2"/>
      <c r="P15225" s="2"/>
      <c r="Q15225" s="2"/>
      <c r="R15225" s="2"/>
      <c r="S15225" s="2"/>
      <c r="T15225" s="2"/>
      <c r="U15225" s="2"/>
      <c r="V15225" s="2"/>
      <c r="W15225" s="2"/>
      <c r="X15225" s="2"/>
      <c r="Y15225" s="2"/>
      <c r="Z15225" s="2"/>
    </row>
    <row r="15226" spans="1:26" ht="16.5" x14ac:dyDescent="0.35">
      <c r="A15226" s="2" t="str">
        <f ca="1">IFERROR(__xludf.DUMMYFUNCTION("""COMPUTED_VALUE"""),"Ajman")</f>
        <v>Ajman</v>
      </c>
      <c r="B15226" s="2" t="str">
        <f ca="1">IFERROR(__xludf.DUMMYFUNCTION("""COMPUTED_VALUE"""),"Al Ittihad Village")</f>
        <v>Al Ittihad Village</v>
      </c>
      <c r="C15226" s="2" t="str">
        <f ca="1">IFERROR(__xludf.DUMMYFUNCTION("""COMPUTED_VALUE"""),"Building")</f>
        <v>Building</v>
      </c>
      <c r="D15226" s="2" t="str">
        <f ca="1">IFERROR(__xludf.DUMMYFUNCTION("""COMPUTED_VALUE"""),"Ajman&gt;Al Ittihad Village")</f>
        <v>Ajman&gt;Al Ittihad Village</v>
      </c>
      <c r="E15226" s="2"/>
      <c r="F15226" s="2"/>
      <c r="G15226" s="2"/>
      <c r="H15226" s="2"/>
      <c r="I15226" s="2"/>
      <c r="J15226" s="2"/>
      <c r="K15226" s="2"/>
      <c r="L15226" s="2"/>
      <c r="M15226" s="2"/>
      <c r="N15226" s="2"/>
      <c r="O15226" s="2"/>
      <c r="P15226" s="2"/>
      <c r="Q15226" s="2"/>
      <c r="R15226" s="2"/>
      <c r="S15226" s="2"/>
      <c r="T15226" s="2"/>
      <c r="U15226" s="2"/>
      <c r="V15226" s="2"/>
      <c r="W15226" s="2"/>
      <c r="X15226" s="2"/>
      <c r="Y15226" s="2"/>
      <c r="Z15226" s="2"/>
    </row>
    <row r="15227" spans="1:26" ht="16.5" x14ac:dyDescent="0.35">
      <c r="A15227" s="2" t="str">
        <f ca="1">IFERROR(__xludf.DUMMYFUNCTION("""COMPUTED_VALUE"""),"Ajman")</f>
        <v>Ajman</v>
      </c>
      <c r="B15227" s="2" t="str">
        <f ca="1">IFERROR(__xludf.DUMMYFUNCTION("""COMPUTED_VALUE"""),"Al Khaled Tower")</f>
        <v>Al Khaled Tower</v>
      </c>
      <c r="C15227" s="2" t="str">
        <f ca="1">IFERROR(__xludf.DUMMYFUNCTION("""COMPUTED_VALUE"""),"Building")</f>
        <v>Building</v>
      </c>
      <c r="D15227" s="2" t="str">
        <f ca="1">IFERROR(__xludf.DUMMYFUNCTION("""COMPUTED_VALUE"""),"Ajman&gt;Al Nuaimiya&gt;Al Nuaimiya 3&gt;Al Khaled Tower")</f>
        <v>Ajman&gt;Al Nuaimiya&gt;Al Nuaimiya 3&gt;Al Khaled Tower</v>
      </c>
      <c r="E15227" s="2"/>
      <c r="F15227" s="2"/>
      <c r="G15227" s="2"/>
      <c r="H15227" s="2"/>
      <c r="I15227" s="2"/>
      <c r="J15227" s="2"/>
      <c r="K15227" s="2"/>
      <c r="L15227" s="2"/>
      <c r="M15227" s="2"/>
      <c r="N15227" s="2"/>
      <c r="O15227" s="2"/>
      <c r="P15227" s="2"/>
      <c r="Q15227" s="2"/>
      <c r="R15227" s="2"/>
      <c r="S15227" s="2"/>
      <c r="T15227" s="2"/>
      <c r="U15227" s="2"/>
      <c r="V15227" s="2"/>
      <c r="W15227" s="2"/>
      <c r="X15227" s="2"/>
      <c r="Y15227" s="2"/>
      <c r="Z15227" s="2"/>
    </row>
    <row r="15228" spans="1:26" ht="16.5" x14ac:dyDescent="0.35">
      <c r="A15228" s="2" t="str">
        <f ca="1">IFERROR(__xludf.DUMMYFUNCTION("""COMPUTED_VALUE"""),"Ajman")</f>
        <v>Ajman</v>
      </c>
      <c r="B15228" s="2" t="str">
        <f ca="1">IFERROR(__xludf.DUMMYFUNCTION("""COMPUTED_VALUE"""),"Gulf Palace")</f>
        <v>Gulf Palace</v>
      </c>
      <c r="C15228" s="2"/>
      <c r="D15228" s="2" t="str">
        <f ca="1">IFERROR(__xludf.DUMMYFUNCTION("""COMPUTED_VALUE"""),"Ajman&gt;Park View City&gt;Gulf Palace")</f>
        <v>Ajman&gt;Park View City&gt;Gulf Palace</v>
      </c>
      <c r="E15228" s="2"/>
      <c r="F15228" s="2"/>
      <c r="G15228" s="2"/>
      <c r="H15228" s="2"/>
      <c r="I15228" s="2"/>
      <c r="J15228" s="2"/>
      <c r="K15228" s="2"/>
      <c r="L15228" s="2"/>
      <c r="M15228" s="2"/>
      <c r="N15228" s="2"/>
      <c r="O15228" s="2"/>
      <c r="P15228" s="2"/>
      <c r="Q15228" s="2"/>
      <c r="R15228" s="2"/>
      <c r="S15228" s="2"/>
      <c r="T15228" s="2"/>
      <c r="U15228" s="2"/>
      <c r="V15228" s="2"/>
      <c r="W15228" s="2"/>
      <c r="X15228" s="2"/>
      <c r="Y15228" s="2"/>
      <c r="Z15228" s="2"/>
    </row>
    <row r="15229" spans="1:26" ht="16.5" x14ac:dyDescent="0.35">
      <c r="A15229" s="2" t="str">
        <f ca="1">IFERROR(__xludf.DUMMYFUNCTION("""COMPUTED_VALUE"""),"Sharjah")</f>
        <v>Sharjah</v>
      </c>
      <c r="B15229" s="2" t="str">
        <f ca="1">IFERROR(__xludf.DUMMYFUNCTION("""COMPUTED_VALUE"""),"Al Nahda Sahara Plaza B")</f>
        <v>Al Nahda Sahara Plaza B</v>
      </c>
      <c r="C15229" s="2" t="str">
        <f ca="1">IFERROR(__xludf.DUMMYFUNCTION("""COMPUTED_VALUE"""),"Building")</f>
        <v>Building</v>
      </c>
      <c r="D15229" s="2" t="str">
        <f ca="1">IFERROR(__xludf.DUMMYFUNCTION("""COMPUTED_VALUE"""),"Sharjah&gt;Al Nahda (Sharjah)&gt;Al Nahda Sahara Plaza&gt;Al Nahda Sahara Plaza B")</f>
        <v>Sharjah&gt;Al Nahda (Sharjah)&gt;Al Nahda Sahara Plaza&gt;Al Nahda Sahara Plaza B</v>
      </c>
      <c r="E15229" s="2"/>
      <c r="F15229" s="2"/>
      <c r="G15229" s="2"/>
      <c r="H15229" s="2"/>
      <c r="I15229" s="2"/>
      <c r="J15229" s="2"/>
      <c r="K15229" s="2"/>
      <c r="L15229" s="2"/>
      <c r="M15229" s="2"/>
      <c r="N15229" s="2"/>
      <c r="O15229" s="2"/>
      <c r="P15229" s="2"/>
      <c r="Q15229" s="2"/>
      <c r="R15229" s="2"/>
      <c r="S15229" s="2"/>
      <c r="T15229" s="2"/>
      <c r="U15229" s="2"/>
      <c r="V15229" s="2"/>
      <c r="W15229" s="2"/>
      <c r="X15229" s="2"/>
      <c r="Y15229" s="2"/>
      <c r="Z15229" s="2"/>
    </row>
    <row r="15230" spans="1:26" ht="16.5" x14ac:dyDescent="0.35">
      <c r="A15230" s="2" t="str">
        <f ca="1">IFERROR(__xludf.DUMMYFUNCTION("""COMPUTED_VALUE"""),"Sharjah")</f>
        <v>Sharjah</v>
      </c>
      <c r="B15230" s="2" t="str">
        <f ca="1">IFERROR(__xludf.DUMMYFUNCTION("""COMPUTED_VALUE"""),"Gulf Pearl Tower")</f>
        <v>Gulf Pearl Tower</v>
      </c>
      <c r="C15230" s="2" t="str">
        <f ca="1">IFERROR(__xludf.DUMMYFUNCTION("""COMPUTED_VALUE"""),"Building")</f>
        <v>Building</v>
      </c>
      <c r="D15230" s="2" t="str">
        <f ca="1">IFERROR(__xludf.DUMMYFUNCTION("""COMPUTED_VALUE"""),"Sharjah&gt;Al Nahda (Sharjah)&gt;Gulf Pearl Tower")</f>
        <v>Sharjah&gt;Al Nahda (Sharjah)&gt;Gulf Pearl Tower</v>
      </c>
      <c r="E15230" s="2"/>
      <c r="F15230" s="2"/>
      <c r="G15230" s="2"/>
      <c r="H15230" s="2"/>
      <c r="I15230" s="2"/>
      <c r="J15230" s="2"/>
      <c r="K15230" s="2"/>
      <c r="L15230" s="2"/>
      <c r="M15230" s="2"/>
      <c r="N15230" s="2"/>
      <c r="O15230" s="2"/>
      <c r="P15230" s="2"/>
      <c r="Q15230" s="2"/>
      <c r="R15230" s="2"/>
      <c r="S15230" s="2"/>
      <c r="T15230" s="2"/>
      <c r="U15230" s="2"/>
      <c r="V15230" s="2"/>
      <c r="W15230" s="2"/>
      <c r="X15230" s="2"/>
      <c r="Y15230" s="2"/>
      <c r="Z15230" s="2"/>
    </row>
    <row r="15231" spans="1:26" ht="16.5" x14ac:dyDescent="0.35">
      <c r="A15231" s="2" t="str">
        <f ca="1">IFERROR(__xludf.DUMMYFUNCTION("""COMPUTED_VALUE"""),"Sharjah")</f>
        <v>Sharjah</v>
      </c>
      <c r="B15231" s="2" t="str">
        <f ca="1">IFERROR(__xludf.DUMMYFUNCTION("""COMPUTED_VALUE"""),"Al Zain Tower")</f>
        <v>Al Zain Tower</v>
      </c>
      <c r="C15231" s="2" t="str">
        <f ca="1">IFERROR(__xludf.DUMMYFUNCTION("""COMPUTED_VALUE"""),"Building")</f>
        <v>Building</v>
      </c>
      <c r="D15231" s="2" t="str">
        <f ca="1">IFERROR(__xludf.DUMMYFUNCTION("""COMPUTED_VALUE"""),"Sharjah&gt;Al Nahda (Sharjah)&gt;Al Zain Tower")</f>
        <v>Sharjah&gt;Al Nahda (Sharjah)&gt;Al Zain Tower</v>
      </c>
      <c r="E15231" s="2"/>
      <c r="F15231" s="2"/>
      <c r="G15231" s="2"/>
      <c r="H15231" s="2"/>
      <c r="I15231" s="2"/>
      <c r="J15231" s="2"/>
      <c r="K15231" s="2"/>
      <c r="L15231" s="2"/>
      <c r="M15231" s="2"/>
      <c r="N15231" s="2"/>
      <c r="O15231" s="2"/>
      <c r="P15231" s="2"/>
      <c r="Q15231" s="2"/>
      <c r="R15231" s="2"/>
      <c r="S15231" s="2"/>
      <c r="T15231" s="2"/>
      <c r="U15231" s="2"/>
      <c r="V15231" s="2"/>
      <c r="W15231" s="2"/>
      <c r="X15231" s="2"/>
      <c r="Y15231" s="2"/>
      <c r="Z15231" s="2"/>
    </row>
    <row r="15232" spans="1:26" ht="16.5" x14ac:dyDescent="0.35">
      <c r="A15232" s="2" t="str">
        <f ca="1">IFERROR(__xludf.DUMMYFUNCTION("""COMPUTED_VALUE"""),"Sharjah")</f>
        <v>Sharjah</v>
      </c>
      <c r="B15232" s="2" t="str">
        <f ca="1">IFERROR(__xludf.DUMMYFUNCTION("""COMPUTED_VALUE"""),"Tami Building")</f>
        <v>Tami Building</v>
      </c>
      <c r="C15232" s="2"/>
      <c r="D15232" s="2" t="str">
        <f ca="1">IFERROR(__xludf.DUMMYFUNCTION("""COMPUTED_VALUE"""),"Sharjah&gt;Al Nahda (Sharjah)&gt;Tami Building")</f>
        <v>Sharjah&gt;Al Nahda (Sharjah)&gt;Tami Building</v>
      </c>
      <c r="E15232" s="2"/>
      <c r="F15232" s="2"/>
      <c r="G15232" s="2"/>
      <c r="H15232" s="2"/>
      <c r="I15232" s="2"/>
      <c r="J15232" s="2"/>
      <c r="K15232" s="2"/>
      <c r="L15232" s="2"/>
      <c r="M15232" s="2"/>
      <c r="N15232" s="2"/>
      <c r="O15232" s="2"/>
      <c r="P15232" s="2"/>
      <c r="Q15232" s="2"/>
      <c r="R15232" s="2"/>
      <c r="S15232" s="2"/>
      <c r="T15232" s="2"/>
      <c r="U15232" s="2"/>
      <c r="V15232" s="2"/>
      <c r="W15232" s="2"/>
      <c r="X15232" s="2"/>
      <c r="Y15232" s="2"/>
      <c r="Z15232" s="2"/>
    </row>
    <row r="15233" spans="1:26" ht="16.5" x14ac:dyDescent="0.35">
      <c r="A15233" s="2" t="str">
        <f ca="1">IFERROR(__xludf.DUMMYFUNCTION("""COMPUTED_VALUE"""),"Sharjah")</f>
        <v>Sharjah</v>
      </c>
      <c r="B15233" s="2" t="str">
        <f ca="1">IFERROR(__xludf.DUMMYFUNCTION("""COMPUTED_VALUE"""),"Nazwa")</f>
        <v>Nazwa</v>
      </c>
      <c r="C15233" s="2" t="str">
        <f ca="1">IFERROR(__xludf.DUMMYFUNCTION("""COMPUTED_VALUE"""),"Neighbourhood")</f>
        <v>Neighbourhood</v>
      </c>
      <c r="D15233" s="2" t="str">
        <f ca="1">IFERROR(__xludf.DUMMYFUNCTION("""COMPUTED_VALUE"""),"Sharjah&gt;Al Madam&gt;Nazwa")</f>
        <v>Sharjah&gt;Al Madam&gt;Nazwa</v>
      </c>
      <c r="E15233" s="2"/>
      <c r="F15233" s="2"/>
      <c r="G15233" s="2"/>
      <c r="H15233" s="2"/>
      <c r="I15233" s="2"/>
      <c r="J15233" s="2"/>
      <c r="K15233" s="2"/>
      <c r="L15233" s="2"/>
      <c r="M15233" s="2"/>
      <c r="N15233" s="2"/>
      <c r="O15233" s="2"/>
      <c r="P15233" s="2"/>
      <c r="Q15233" s="2"/>
      <c r="R15233" s="2"/>
      <c r="S15233" s="2"/>
      <c r="T15233" s="2"/>
      <c r="U15233" s="2"/>
      <c r="V15233" s="2"/>
      <c r="W15233" s="2"/>
      <c r="X15233" s="2"/>
      <c r="Y15233" s="2"/>
      <c r="Z15233" s="2"/>
    </row>
    <row r="15234" spans="1:26" ht="16.5" x14ac:dyDescent="0.35">
      <c r="A15234" s="2" t="str">
        <f ca="1">IFERROR(__xludf.DUMMYFUNCTION("""COMPUTED_VALUE"""),"Sharjah")</f>
        <v>Sharjah</v>
      </c>
      <c r="B15234" s="2" t="str">
        <f ca="1">IFERROR(__xludf.DUMMYFUNCTION("""COMPUTED_VALUE"""),"The Riff 3")</f>
        <v>The Riff 3</v>
      </c>
      <c r="C15234" s="2" t="str">
        <f ca="1">IFERROR(__xludf.DUMMYFUNCTION("""COMPUTED_VALUE"""),"Building")</f>
        <v>Building</v>
      </c>
      <c r="D15234" s="2" t="str">
        <f ca="1">IFERROR(__xludf.DUMMYFUNCTION("""COMPUTED_VALUE"""),"Sharjah&gt;Aljada&gt;East Village&gt;The Riff&gt;The Riff 3")</f>
        <v>Sharjah&gt;Aljada&gt;East Village&gt;The Riff&gt;The Riff 3</v>
      </c>
      <c r="E15234" s="2"/>
      <c r="F15234" s="2"/>
      <c r="G15234" s="2"/>
      <c r="H15234" s="2"/>
      <c r="I15234" s="2"/>
      <c r="J15234" s="2"/>
      <c r="K15234" s="2"/>
      <c r="L15234" s="2"/>
      <c r="M15234" s="2"/>
      <c r="N15234" s="2"/>
      <c r="O15234" s="2"/>
      <c r="P15234" s="2"/>
      <c r="Q15234" s="2"/>
      <c r="R15234" s="2"/>
      <c r="S15234" s="2"/>
      <c r="T15234" s="2"/>
      <c r="U15234" s="2"/>
      <c r="V15234" s="2"/>
      <c r="W15234" s="2"/>
      <c r="X15234" s="2"/>
      <c r="Y15234" s="2"/>
      <c r="Z15234" s="2"/>
    </row>
    <row r="15235" spans="1:26" ht="16.5" x14ac:dyDescent="0.35">
      <c r="A15235" s="2" t="str">
        <f ca="1">IFERROR(__xludf.DUMMYFUNCTION("""COMPUTED_VALUE"""),"Sharjah")</f>
        <v>Sharjah</v>
      </c>
      <c r="B15235" s="2" t="str">
        <f ca="1">IFERROR(__xludf.DUMMYFUNCTION("""COMPUTED_VALUE"""),"Tiraz 5")</f>
        <v>Tiraz 5</v>
      </c>
      <c r="C15235" s="2" t="str">
        <f ca="1">IFERROR(__xludf.DUMMYFUNCTION("""COMPUTED_VALUE"""),"Building")</f>
        <v>Building</v>
      </c>
      <c r="D15235" s="2" t="str">
        <f ca="1">IFERROR(__xludf.DUMMYFUNCTION("""COMPUTED_VALUE"""),"Sharjah&gt;Aljada&gt;Naseej District&gt;Tiraz&gt;Tiraz 5")</f>
        <v>Sharjah&gt;Aljada&gt;Naseej District&gt;Tiraz&gt;Tiraz 5</v>
      </c>
      <c r="E15235" s="2"/>
      <c r="F15235" s="2"/>
      <c r="G15235" s="2"/>
      <c r="H15235" s="2"/>
      <c r="I15235" s="2"/>
      <c r="J15235" s="2"/>
      <c r="K15235" s="2"/>
      <c r="L15235" s="2"/>
      <c r="M15235" s="2"/>
      <c r="N15235" s="2"/>
      <c r="O15235" s="2"/>
      <c r="P15235" s="2"/>
      <c r="Q15235" s="2"/>
      <c r="R15235" s="2"/>
      <c r="S15235" s="2"/>
      <c r="T15235" s="2"/>
      <c r="U15235" s="2"/>
      <c r="V15235" s="2"/>
      <c r="W15235" s="2"/>
      <c r="X15235" s="2"/>
      <c r="Y15235" s="2"/>
      <c r="Z15235" s="2"/>
    </row>
    <row r="15236" spans="1:26" ht="16.5" x14ac:dyDescent="0.35">
      <c r="A15236" s="2" t="str">
        <f ca="1">IFERROR(__xludf.DUMMYFUNCTION("""COMPUTED_VALUE"""),"Sharjah")</f>
        <v>Sharjah</v>
      </c>
      <c r="B15236" s="2" t="str">
        <f ca="1">IFERROR(__xludf.DUMMYFUNCTION("""COMPUTED_VALUE"""),"il Teatro Residences")</f>
        <v>il Teatro Residences</v>
      </c>
      <c r="C15236" s="2" t="str">
        <f ca="1">IFERROR(__xludf.DUMMYFUNCTION("""COMPUTED_VALUE"""),"Cluster")</f>
        <v>Cluster</v>
      </c>
      <c r="D15236" s="2" t="str">
        <f ca="1">IFERROR(__xludf.DUMMYFUNCTION("""COMPUTED_VALUE"""),"Sharjah&gt;Aljada&gt;il Teatro Residences")</f>
        <v>Sharjah&gt;Aljada&gt;il Teatro Residences</v>
      </c>
      <c r="E15236" s="2"/>
      <c r="F15236" s="2"/>
      <c r="G15236" s="2"/>
      <c r="H15236" s="2"/>
      <c r="I15236" s="2"/>
      <c r="J15236" s="2"/>
      <c r="K15236" s="2"/>
      <c r="L15236" s="2"/>
      <c r="M15236" s="2"/>
      <c r="N15236" s="2"/>
      <c r="O15236" s="2"/>
      <c r="P15236" s="2"/>
      <c r="Q15236" s="2"/>
      <c r="R15236" s="2"/>
      <c r="S15236" s="2"/>
      <c r="T15236" s="2"/>
      <c r="U15236" s="2"/>
      <c r="V15236" s="2"/>
      <c r="W15236" s="2"/>
      <c r="X15236" s="2"/>
      <c r="Y15236" s="2"/>
      <c r="Z15236" s="2"/>
    </row>
    <row r="15237" spans="1:26" ht="16.5" x14ac:dyDescent="0.35">
      <c r="A15237" s="2" t="str">
        <f ca="1">IFERROR(__xludf.DUMMYFUNCTION("""COMPUTED_VALUE"""),"Sharjah")</f>
        <v>Sharjah</v>
      </c>
      <c r="B15237" s="2" t="str">
        <f ca="1">IFERROR(__xludf.DUMMYFUNCTION("""COMPUTED_VALUE"""),"Talal Building")</f>
        <v>Talal Building</v>
      </c>
      <c r="C15237" s="2" t="str">
        <f ca="1">IFERROR(__xludf.DUMMYFUNCTION("""COMPUTED_VALUE"""),"Building")</f>
        <v>Building</v>
      </c>
      <c r="D15237" s="2" t="str">
        <f ca="1">IFERROR(__xludf.DUMMYFUNCTION("""COMPUTED_VALUE"""),"Sharjah&gt;Al Mujarrah&gt;Talal Building")</f>
        <v>Sharjah&gt;Al Mujarrah&gt;Talal Building</v>
      </c>
      <c r="E15237" s="2"/>
      <c r="F15237" s="2"/>
      <c r="G15237" s="2"/>
      <c r="H15237" s="2"/>
      <c r="I15237" s="2"/>
      <c r="J15237" s="2"/>
      <c r="K15237" s="2"/>
      <c r="L15237" s="2"/>
      <c r="M15237" s="2"/>
      <c r="N15237" s="2"/>
      <c r="O15237" s="2"/>
      <c r="P15237" s="2"/>
      <c r="Q15237" s="2"/>
      <c r="R15237" s="2"/>
      <c r="S15237" s="2"/>
      <c r="T15237" s="2"/>
      <c r="U15237" s="2"/>
      <c r="V15237" s="2"/>
      <c r="W15237" s="2"/>
      <c r="X15237" s="2"/>
      <c r="Y15237" s="2"/>
      <c r="Z15237" s="2"/>
    </row>
    <row r="15238" spans="1:26" ht="16.5" x14ac:dyDescent="0.35">
      <c r="A15238" s="2" t="str">
        <f ca="1">IFERROR(__xludf.DUMMYFUNCTION("""COMPUTED_VALUE"""),"Sharjah")</f>
        <v>Sharjah</v>
      </c>
      <c r="B15238" s="2" t="str">
        <f ca="1">IFERROR(__xludf.DUMMYFUNCTION("""COMPUTED_VALUE"""),"Al Thoufiq Building")</f>
        <v>Al Thoufiq Building</v>
      </c>
      <c r="C15238" s="2"/>
      <c r="D15238" s="2" t="str">
        <f ca="1">IFERROR(__xludf.DUMMYFUNCTION("""COMPUTED_VALUE"""),"Sharjah&gt;Abu Shagara&gt;Al Thoufiq Building")</f>
        <v>Sharjah&gt;Abu Shagara&gt;Al Thoufiq Building</v>
      </c>
      <c r="E15238" s="2"/>
      <c r="F15238" s="2"/>
      <c r="G15238" s="2"/>
      <c r="H15238" s="2"/>
      <c r="I15238" s="2"/>
      <c r="J15238" s="2"/>
      <c r="K15238" s="2"/>
      <c r="L15238" s="2"/>
      <c r="M15238" s="2"/>
      <c r="N15238" s="2"/>
      <c r="O15238" s="2"/>
      <c r="P15238" s="2"/>
      <c r="Q15238" s="2"/>
      <c r="R15238" s="2"/>
      <c r="S15238" s="2"/>
      <c r="T15238" s="2"/>
      <c r="U15238" s="2"/>
      <c r="V15238" s="2"/>
      <c r="W15238" s="2"/>
      <c r="X15238" s="2"/>
      <c r="Y15238" s="2"/>
      <c r="Z15238" s="2"/>
    </row>
    <row r="15239" spans="1:26" ht="16.5" x14ac:dyDescent="0.35">
      <c r="A15239" s="2" t="str">
        <f ca="1">IFERROR(__xludf.DUMMYFUNCTION("""COMPUTED_VALUE"""),"Sharjah")</f>
        <v>Sharjah</v>
      </c>
      <c r="B15239" s="2" t="str">
        <f ca="1">IFERROR(__xludf.DUMMYFUNCTION("""COMPUTED_VALUE"""),"Burj Al Mamzar")</f>
        <v>Burj Al Mamzar</v>
      </c>
      <c r="C15239" s="2"/>
      <c r="D15239" s="2" t="str">
        <f ca="1">IFERROR(__xludf.DUMMYFUNCTION("""COMPUTED_VALUE"""),"Sharjah&gt;Al Mamzar&gt;Burj Al Mamzar")</f>
        <v>Sharjah&gt;Al Mamzar&gt;Burj Al Mamzar</v>
      </c>
      <c r="E15239" s="2"/>
      <c r="F15239" s="2"/>
      <c r="G15239" s="2"/>
      <c r="H15239" s="2"/>
      <c r="I15239" s="2"/>
      <c r="J15239" s="2"/>
      <c r="K15239" s="2"/>
      <c r="L15239" s="2"/>
      <c r="M15239" s="2"/>
      <c r="N15239" s="2"/>
      <c r="O15239" s="2"/>
      <c r="P15239" s="2"/>
      <c r="Q15239" s="2"/>
      <c r="R15239" s="2"/>
      <c r="S15239" s="2"/>
      <c r="T15239" s="2"/>
      <c r="U15239" s="2"/>
      <c r="V15239" s="2"/>
      <c r="W15239" s="2"/>
      <c r="X15239" s="2"/>
      <c r="Y15239" s="2"/>
      <c r="Z15239" s="2"/>
    </row>
    <row r="15240" spans="1:26" ht="16.5" x14ac:dyDescent="0.35">
      <c r="A15240" s="2" t="str">
        <f ca="1">IFERROR(__xludf.DUMMYFUNCTION("""COMPUTED_VALUE"""),"Sharjah")</f>
        <v>Sharjah</v>
      </c>
      <c r="B15240" s="2" t="str">
        <f ca="1">IFERROR(__xludf.DUMMYFUNCTION("""COMPUTED_VALUE"""),"New Sharjah Tower")</f>
        <v>New Sharjah Tower</v>
      </c>
      <c r="C15240" s="2" t="str">
        <f ca="1">IFERROR(__xludf.DUMMYFUNCTION("""COMPUTED_VALUE"""),"Building")</f>
        <v>Building</v>
      </c>
      <c r="D15240" s="2" t="str">
        <f ca="1">IFERROR(__xludf.DUMMYFUNCTION("""COMPUTED_VALUE"""),"Sharjah&gt;Al Jubail&gt;New Sharjah Tower")</f>
        <v>Sharjah&gt;Al Jubail&gt;New Sharjah Tower</v>
      </c>
      <c r="E15240" s="2"/>
      <c r="F15240" s="2"/>
      <c r="G15240" s="2"/>
      <c r="H15240" s="2"/>
      <c r="I15240" s="2"/>
      <c r="J15240" s="2"/>
      <c r="K15240" s="2"/>
      <c r="L15240" s="2"/>
      <c r="M15240" s="2"/>
      <c r="N15240" s="2"/>
      <c r="O15240" s="2"/>
      <c r="P15240" s="2"/>
      <c r="Q15240" s="2"/>
      <c r="R15240" s="2"/>
      <c r="S15240" s="2"/>
      <c r="T15240" s="2"/>
      <c r="U15240" s="2"/>
      <c r="V15240" s="2"/>
      <c r="W15240" s="2"/>
      <c r="X15240" s="2"/>
      <c r="Y15240" s="2"/>
      <c r="Z15240" s="2"/>
    </row>
    <row r="15241" spans="1:26" ht="16.5" x14ac:dyDescent="0.35">
      <c r="A15241" s="2" t="str">
        <f ca="1">IFERROR(__xludf.DUMMYFUNCTION("""COMPUTED_VALUE"""),"Sharjah")</f>
        <v>Sharjah</v>
      </c>
      <c r="B15241" s="2" t="str">
        <f ca="1">IFERROR(__xludf.DUMMYFUNCTION("""COMPUTED_VALUE"""),"Victoria English School, Sharjah")</f>
        <v>Victoria English School, Sharjah</v>
      </c>
      <c r="C15241" s="2" t="str">
        <f ca="1">IFERROR(__xludf.DUMMYFUNCTION("""COMPUTED_VALUE"""),"School")</f>
        <v>School</v>
      </c>
      <c r="D15241" s="2" t="str">
        <f ca="1">IFERROR(__xludf.DUMMYFUNCTION("""COMPUTED_VALUE"""),"Sharjah&gt;Al Azra&gt;Victoria English School, Sharjah")</f>
        <v>Sharjah&gt;Al Azra&gt;Victoria English School, Sharjah</v>
      </c>
      <c r="E15241" s="2"/>
      <c r="F15241" s="2"/>
      <c r="G15241" s="2"/>
      <c r="H15241" s="2"/>
      <c r="I15241" s="2"/>
      <c r="J15241" s="2"/>
      <c r="K15241" s="2"/>
      <c r="L15241" s="2"/>
      <c r="M15241" s="2"/>
      <c r="N15241" s="2"/>
      <c r="O15241" s="2"/>
      <c r="P15241" s="2"/>
      <c r="Q15241" s="2"/>
      <c r="R15241" s="2"/>
      <c r="S15241" s="2"/>
      <c r="T15241" s="2"/>
      <c r="U15241" s="2"/>
      <c r="V15241" s="2"/>
      <c r="W15241" s="2"/>
      <c r="X15241" s="2"/>
      <c r="Y15241" s="2"/>
      <c r="Z15241" s="2"/>
    </row>
    <row r="15242" spans="1:26" ht="16.5" x14ac:dyDescent="0.35">
      <c r="A15242" s="2" t="str">
        <f ca="1">IFERROR(__xludf.DUMMYFUNCTION("""COMPUTED_VALUE"""),"Sharjah")</f>
        <v>Sharjah</v>
      </c>
      <c r="B15242" s="2" t="str">
        <f ca="1">IFERROR(__xludf.DUMMYFUNCTION("""COMPUTED_VALUE"""),"Al Noaf 1")</f>
        <v>Al Noaf 1</v>
      </c>
      <c r="C15242" s="2"/>
      <c r="D15242" s="2" t="str">
        <f ca="1">IFERROR(__xludf.DUMMYFUNCTION("""COMPUTED_VALUE"""),"Sharjah&gt;Al Noaf&gt;Al Noaf 1")</f>
        <v>Sharjah&gt;Al Noaf&gt;Al Noaf 1</v>
      </c>
      <c r="E15242" s="2"/>
      <c r="F15242" s="2"/>
      <c r="G15242" s="2"/>
      <c r="H15242" s="2"/>
      <c r="I15242" s="2"/>
      <c r="J15242" s="2"/>
      <c r="K15242" s="2"/>
      <c r="L15242" s="2"/>
      <c r="M15242" s="2"/>
      <c r="N15242" s="2"/>
      <c r="O15242" s="2"/>
      <c r="P15242" s="2"/>
      <c r="Q15242" s="2"/>
      <c r="R15242" s="2"/>
      <c r="S15242" s="2"/>
      <c r="T15242" s="2"/>
      <c r="U15242" s="2"/>
      <c r="V15242" s="2"/>
      <c r="W15242" s="2"/>
      <c r="X15242" s="2"/>
      <c r="Y15242" s="2"/>
      <c r="Z15242" s="2"/>
    </row>
    <row r="15243" spans="1:26" ht="16.5" x14ac:dyDescent="0.35">
      <c r="A15243" s="2" t="str">
        <f ca="1">IFERROR(__xludf.DUMMYFUNCTION("""COMPUTED_VALUE"""),"Sharjah")</f>
        <v>Sharjah</v>
      </c>
      <c r="B15243" s="2" t="str">
        <f ca="1">IFERROR(__xludf.DUMMYFUNCTION("""COMPUTED_VALUE"""),"Building 2440")</f>
        <v>Building 2440</v>
      </c>
      <c r="C15243" s="2" t="str">
        <f ca="1">IFERROR(__xludf.DUMMYFUNCTION("""COMPUTED_VALUE"""),"Building")</f>
        <v>Building</v>
      </c>
      <c r="D15243" s="2" t="str">
        <f ca="1">IFERROR(__xludf.DUMMYFUNCTION("""COMPUTED_VALUE"""),"Sharjah&gt;Al Musalla&gt;Building 2440")</f>
        <v>Sharjah&gt;Al Musalla&gt;Building 2440</v>
      </c>
      <c r="E15243" s="2"/>
      <c r="F15243" s="2"/>
      <c r="G15243" s="2"/>
      <c r="H15243" s="2"/>
      <c r="I15243" s="2"/>
      <c r="J15243" s="2"/>
      <c r="K15243" s="2"/>
      <c r="L15243" s="2"/>
      <c r="M15243" s="2"/>
      <c r="N15243" s="2"/>
      <c r="O15243" s="2"/>
      <c r="P15243" s="2"/>
      <c r="Q15243" s="2"/>
      <c r="R15243" s="2"/>
      <c r="S15243" s="2"/>
      <c r="T15243" s="2"/>
      <c r="U15243" s="2"/>
      <c r="V15243" s="2"/>
      <c r="W15243" s="2"/>
      <c r="X15243" s="2"/>
      <c r="Y15243" s="2"/>
      <c r="Z15243" s="2"/>
    </row>
    <row r="15244" spans="1:26" ht="16.5" x14ac:dyDescent="0.35">
      <c r="A15244" s="2" t="str">
        <f ca="1">IFERROR(__xludf.DUMMYFUNCTION("""COMPUTED_VALUE"""),"Sharjah")</f>
        <v>Sharjah</v>
      </c>
      <c r="B15244" s="2" t="str">
        <f ca="1">IFERROR(__xludf.DUMMYFUNCTION("""COMPUTED_VALUE"""),"Mysaloon Villas")</f>
        <v>Mysaloon Villas</v>
      </c>
      <c r="C15244" s="2" t="str">
        <f ca="1">IFERROR(__xludf.DUMMYFUNCTION("""COMPUTED_VALUE"""),"Neighbourhood")</f>
        <v>Neighbourhood</v>
      </c>
      <c r="D15244" s="2" t="str">
        <f ca="1">IFERROR(__xludf.DUMMYFUNCTION("""COMPUTED_VALUE"""),"Sharjah&gt;Maysaloon&gt;Mysaloon Villas")</f>
        <v>Sharjah&gt;Maysaloon&gt;Mysaloon Villas</v>
      </c>
      <c r="E15244" s="2"/>
      <c r="F15244" s="2"/>
      <c r="G15244" s="2"/>
      <c r="H15244" s="2"/>
      <c r="I15244" s="2"/>
      <c r="J15244" s="2"/>
      <c r="K15244" s="2"/>
      <c r="L15244" s="2"/>
      <c r="M15244" s="2"/>
      <c r="N15244" s="2"/>
      <c r="O15244" s="2"/>
      <c r="P15244" s="2"/>
      <c r="Q15244" s="2"/>
      <c r="R15244" s="2"/>
      <c r="S15244" s="2"/>
      <c r="T15244" s="2"/>
      <c r="U15244" s="2"/>
      <c r="V15244" s="2"/>
      <c r="W15244" s="2"/>
      <c r="X15244" s="2"/>
      <c r="Y15244" s="2"/>
      <c r="Z15244" s="2"/>
    </row>
    <row r="15245" spans="1:26" ht="16.5" x14ac:dyDescent="0.35">
      <c r="A15245" s="2" t="str">
        <f ca="1">IFERROR(__xludf.DUMMYFUNCTION("""COMPUTED_VALUE"""),"Sharjah")</f>
        <v>Sharjah</v>
      </c>
      <c r="B15245" s="2" t="str">
        <f ca="1">IFERROR(__xludf.DUMMYFUNCTION("""COMPUTED_VALUE"""),"Muwafjah")</f>
        <v>Muwafjah</v>
      </c>
      <c r="C15245" s="2" t="str">
        <f ca="1">IFERROR(__xludf.DUMMYFUNCTION("""COMPUTED_VALUE"""),"Neighbourhood")</f>
        <v>Neighbourhood</v>
      </c>
      <c r="D15245" s="2" t="str">
        <f ca="1">IFERROR(__xludf.DUMMYFUNCTION("""COMPUTED_VALUE"""),"Sharjah&gt;Muwafjah")</f>
        <v>Sharjah&gt;Muwafjah</v>
      </c>
      <c r="E15245" s="2"/>
      <c r="F15245" s="2"/>
      <c r="G15245" s="2"/>
      <c r="H15245" s="2"/>
      <c r="I15245" s="2"/>
      <c r="J15245" s="2"/>
      <c r="K15245" s="2"/>
      <c r="L15245" s="2"/>
      <c r="M15245" s="2"/>
      <c r="N15245" s="2"/>
      <c r="O15245" s="2"/>
      <c r="P15245" s="2"/>
      <c r="Q15245" s="2"/>
      <c r="R15245" s="2"/>
      <c r="S15245" s="2"/>
      <c r="T15245" s="2"/>
      <c r="U15245" s="2"/>
      <c r="V15245" s="2"/>
      <c r="W15245" s="2"/>
      <c r="X15245" s="2"/>
      <c r="Y15245" s="2"/>
      <c r="Z15245" s="2"/>
    </row>
    <row r="15246" spans="1:26" ht="16.5" x14ac:dyDescent="0.35">
      <c r="A15246" s="2" t="str">
        <f ca="1">IFERROR(__xludf.DUMMYFUNCTION("""COMPUTED_VALUE"""),"Sharjah")</f>
        <v>Sharjah</v>
      </c>
      <c r="B15246" s="2" t="str">
        <f ca="1">IFERROR(__xludf.DUMMYFUNCTION("""COMPUTED_VALUE"""),"Barashi")</f>
        <v>Barashi</v>
      </c>
      <c r="C15246" s="2" t="str">
        <f ca="1">IFERROR(__xludf.DUMMYFUNCTION("""COMPUTED_VALUE"""),"Neighbourhood")</f>
        <v>Neighbourhood</v>
      </c>
      <c r="D15246" s="2" t="str">
        <f ca="1">IFERROR(__xludf.DUMMYFUNCTION("""COMPUTED_VALUE"""),"Sharjah&gt;Barashi")</f>
        <v>Sharjah&gt;Barashi</v>
      </c>
      <c r="E15246" s="2"/>
      <c r="F15246" s="2"/>
      <c r="G15246" s="2"/>
      <c r="H15246" s="2"/>
      <c r="I15246" s="2"/>
      <c r="J15246" s="2"/>
      <c r="K15246" s="2"/>
      <c r="L15246" s="2"/>
      <c r="M15246" s="2"/>
      <c r="N15246" s="2"/>
      <c r="O15246" s="2"/>
      <c r="P15246" s="2"/>
      <c r="Q15246" s="2"/>
      <c r="R15246" s="2"/>
      <c r="S15246" s="2"/>
      <c r="T15246" s="2"/>
      <c r="U15246" s="2"/>
      <c r="V15246" s="2"/>
      <c r="W15246" s="2"/>
      <c r="X15246" s="2"/>
      <c r="Y15246" s="2"/>
      <c r="Z15246" s="2"/>
    </row>
    <row r="15247" spans="1:26" ht="16.5" x14ac:dyDescent="0.35">
      <c r="A15247" s="2" t="str">
        <f ca="1">IFERROR(__xludf.DUMMYFUNCTION("""COMPUTED_VALUE"""),"Sharjah")</f>
        <v>Sharjah</v>
      </c>
      <c r="B15247" s="2" t="str">
        <f ca="1">IFERROR(__xludf.DUMMYFUNCTION("""COMPUTED_VALUE"""),"Little Angel British Nursery")</f>
        <v>Little Angel British Nursery</v>
      </c>
      <c r="C15247" s="2" t="str">
        <f ca="1">IFERROR(__xludf.DUMMYFUNCTION("""COMPUTED_VALUE"""),"Nursery")</f>
        <v>Nursery</v>
      </c>
      <c r="D15247" s="2" t="str">
        <f ca="1">IFERROR(__xludf.DUMMYFUNCTION("""COMPUTED_VALUE"""),"Sharjah&gt;Al Mansoura&gt;Little Angel British Nursery")</f>
        <v>Sharjah&gt;Al Mansoura&gt;Little Angel British Nursery</v>
      </c>
      <c r="E15247" s="2"/>
      <c r="F15247" s="2"/>
      <c r="G15247" s="2"/>
      <c r="H15247" s="2"/>
      <c r="I15247" s="2"/>
      <c r="J15247" s="2"/>
      <c r="K15247" s="2"/>
      <c r="L15247" s="2"/>
      <c r="M15247" s="2"/>
      <c r="N15247" s="2"/>
      <c r="O15247" s="2"/>
      <c r="P15247" s="2"/>
      <c r="Q15247" s="2"/>
      <c r="R15247" s="2"/>
      <c r="S15247" s="2"/>
      <c r="T15247" s="2"/>
      <c r="U15247" s="2"/>
      <c r="V15247" s="2"/>
      <c r="W15247" s="2"/>
      <c r="X15247" s="2"/>
      <c r="Y15247" s="2"/>
      <c r="Z15247" s="2"/>
    </row>
    <row r="15248" spans="1:26" ht="16.5" x14ac:dyDescent="0.35">
      <c r="A15248" s="2" t="str">
        <f ca="1">IFERROR(__xludf.DUMMYFUNCTION("""COMPUTED_VALUE"""),"Sharjah")</f>
        <v>Sharjah</v>
      </c>
      <c r="B15248" s="2" t="str">
        <f ca="1">IFERROR(__xludf.DUMMYFUNCTION("""COMPUTED_VALUE"""),"Charity Building")</f>
        <v>Charity Building</v>
      </c>
      <c r="C15248" s="2" t="str">
        <f ca="1">IFERROR(__xludf.DUMMYFUNCTION("""COMPUTED_VALUE"""),"Building")</f>
        <v>Building</v>
      </c>
      <c r="D15248" s="2" t="str">
        <f ca="1">IFERROR(__xludf.DUMMYFUNCTION("""COMPUTED_VALUE"""),"Sharjah&gt;Al Khan&gt;Charity Building")</f>
        <v>Sharjah&gt;Al Khan&gt;Charity Building</v>
      </c>
      <c r="E15248" s="2"/>
      <c r="F15248" s="2"/>
      <c r="G15248" s="2"/>
      <c r="H15248" s="2"/>
      <c r="I15248" s="2"/>
      <c r="J15248" s="2"/>
      <c r="K15248" s="2"/>
      <c r="L15248" s="2"/>
      <c r="M15248" s="2"/>
      <c r="N15248" s="2"/>
      <c r="O15248" s="2"/>
      <c r="P15248" s="2"/>
      <c r="Q15248" s="2"/>
      <c r="R15248" s="2"/>
      <c r="S15248" s="2"/>
      <c r="T15248" s="2"/>
      <c r="U15248" s="2"/>
      <c r="V15248" s="2"/>
      <c r="W15248" s="2"/>
      <c r="X15248" s="2"/>
      <c r="Y15248" s="2"/>
      <c r="Z15248" s="2"/>
    </row>
    <row r="15249" spans="1:26" ht="16.5" x14ac:dyDescent="0.35">
      <c r="A15249" s="2" t="str">
        <f ca="1">IFERROR(__xludf.DUMMYFUNCTION("""COMPUTED_VALUE"""),"Sharjah")</f>
        <v>Sharjah</v>
      </c>
      <c r="B15249" s="2" t="str">
        <f ca="1">IFERROR(__xludf.DUMMYFUNCTION("""COMPUTED_VALUE"""),"Al Hind Tower")</f>
        <v>Al Hind Tower</v>
      </c>
      <c r="C15249" s="2" t="str">
        <f ca="1">IFERROR(__xludf.DUMMYFUNCTION("""COMPUTED_VALUE"""),"Building")</f>
        <v>Building</v>
      </c>
      <c r="D15249" s="2" t="str">
        <f ca="1">IFERROR(__xludf.DUMMYFUNCTION("""COMPUTED_VALUE"""),"Sharjah&gt;Al Khan&gt;Al Hind Tower")</f>
        <v>Sharjah&gt;Al Khan&gt;Al Hind Tower</v>
      </c>
      <c r="E15249" s="2"/>
      <c r="F15249" s="2"/>
      <c r="G15249" s="2"/>
      <c r="H15249" s="2"/>
      <c r="I15249" s="2"/>
      <c r="J15249" s="2"/>
      <c r="K15249" s="2"/>
      <c r="L15249" s="2"/>
      <c r="M15249" s="2"/>
      <c r="N15249" s="2"/>
      <c r="O15249" s="2"/>
      <c r="P15249" s="2"/>
      <c r="Q15249" s="2"/>
      <c r="R15249" s="2"/>
      <c r="S15249" s="2"/>
      <c r="T15249" s="2"/>
      <c r="U15249" s="2"/>
      <c r="V15249" s="2"/>
      <c r="W15249" s="2"/>
      <c r="X15249" s="2"/>
      <c r="Y15249" s="2"/>
      <c r="Z15249" s="2"/>
    </row>
    <row r="15250" spans="1:26" ht="16.5" x14ac:dyDescent="0.35">
      <c r="A15250" s="2" t="str">
        <f ca="1">IFERROR(__xludf.DUMMYFUNCTION("""COMPUTED_VALUE"""),"Sharjah")</f>
        <v>Sharjah</v>
      </c>
      <c r="B15250" s="2" t="str">
        <f ca="1">IFERROR(__xludf.DUMMYFUNCTION("""COMPUTED_VALUE"""),"Anbar Residences")</f>
        <v>Anbar Residences</v>
      </c>
      <c r="C15250" s="2" t="str">
        <f ca="1">IFERROR(__xludf.DUMMYFUNCTION("""COMPUTED_VALUE"""),"Building")</f>
        <v>Building</v>
      </c>
      <c r="D15250" s="2" t="str">
        <f ca="1">IFERROR(__xludf.DUMMYFUNCTION("""COMPUTED_VALUE"""),"Sharjah&gt;Al Khan&gt;Maryam Island&gt;Anbar Residences")</f>
        <v>Sharjah&gt;Al Khan&gt;Maryam Island&gt;Anbar Residences</v>
      </c>
      <c r="E15250" s="2"/>
      <c r="F15250" s="2"/>
      <c r="G15250" s="2"/>
      <c r="H15250" s="2"/>
      <c r="I15250" s="2"/>
      <c r="J15250" s="2"/>
      <c r="K15250" s="2"/>
      <c r="L15250" s="2"/>
      <c r="M15250" s="2"/>
      <c r="N15250" s="2"/>
      <c r="O15250" s="2"/>
      <c r="P15250" s="2"/>
      <c r="Q15250" s="2"/>
      <c r="R15250" s="2"/>
      <c r="S15250" s="2"/>
      <c r="T15250" s="2"/>
      <c r="U15250" s="2"/>
      <c r="V15250" s="2"/>
      <c r="W15250" s="2"/>
      <c r="X15250" s="2"/>
      <c r="Y15250" s="2"/>
      <c r="Z15250" s="2"/>
    </row>
    <row r="15251" spans="1:26" ht="16.5" x14ac:dyDescent="0.35">
      <c r="A15251" s="2" t="str">
        <f ca="1">IFERROR(__xludf.DUMMYFUNCTION("""COMPUTED_VALUE"""),"Sharjah")</f>
        <v>Sharjah</v>
      </c>
      <c r="B15251" s="2" t="str">
        <f ca="1">IFERROR(__xludf.DUMMYFUNCTION("""COMPUTED_VALUE"""),"Mawja Tower")</f>
        <v>Mawja Tower</v>
      </c>
      <c r="C15251" s="2"/>
      <c r="D15251" s="2" t="str">
        <f ca="1">IFERROR(__xludf.DUMMYFUNCTION("""COMPUTED_VALUE"""),"Sharjah&gt;Al Khan&gt;Mawja Tower")</f>
        <v>Sharjah&gt;Al Khan&gt;Mawja Tower</v>
      </c>
      <c r="E15251" s="2"/>
      <c r="F15251" s="2"/>
      <c r="G15251" s="2"/>
      <c r="H15251" s="2"/>
      <c r="I15251" s="2"/>
      <c r="J15251" s="2"/>
      <c r="K15251" s="2"/>
      <c r="L15251" s="2"/>
      <c r="M15251" s="2"/>
      <c r="N15251" s="2"/>
      <c r="O15251" s="2"/>
      <c r="P15251" s="2"/>
      <c r="Q15251" s="2"/>
      <c r="R15251" s="2"/>
      <c r="S15251" s="2"/>
      <c r="T15251" s="2"/>
      <c r="U15251" s="2"/>
      <c r="V15251" s="2"/>
      <c r="W15251" s="2"/>
      <c r="X15251" s="2"/>
      <c r="Y15251" s="2"/>
      <c r="Z15251" s="2"/>
    </row>
    <row r="15252" spans="1:26" ht="16.5" x14ac:dyDescent="0.35">
      <c r="A15252" s="2" t="str">
        <f ca="1">IFERROR(__xludf.DUMMYFUNCTION("""COMPUTED_VALUE"""),"Sharjah")</f>
        <v>Sharjah</v>
      </c>
      <c r="B15252" s="2" t="str">
        <f ca="1">IFERROR(__xludf.DUMMYFUNCTION("""COMPUTED_VALUE"""),"Ibtikar 1")</f>
        <v>Ibtikar 1</v>
      </c>
      <c r="C15252" s="2" t="str">
        <f ca="1">IFERROR(__xludf.DUMMYFUNCTION("""COMPUTED_VALUE"""),"Building")</f>
        <v>Building</v>
      </c>
      <c r="D15252" s="2" t="str">
        <f ca="1">IFERROR(__xludf.DUMMYFUNCTION("""COMPUTED_VALUE"""),"Sharjah&gt;Al Majaz&gt;Al Majaz 2&gt;Ibtikar 1")</f>
        <v>Sharjah&gt;Al Majaz&gt;Al Majaz 2&gt;Ibtikar 1</v>
      </c>
      <c r="E15252" s="2"/>
      <c r="F15252" s="2"/>
      <c r="G15252" s="2"/>
      <c r="H15252" s="2"/>
      <c r="I15252" s="2"/>
      <c r="J15252" s="2"/>
      <c r="K15252" s="2"/>
      <c r="L15252" s="2"/>
      <c r="M15252" s="2"/>
      <c r="N15252" s="2"/>
      <c r="O15252" s="2"/>
      <c r="P15252" s="2"/>
      <c r="Q15252" s="2"/>
      <c r="R15252" s="2"/>
      <c r="S15252" s="2"/>
      <c r="T15252" s="2"/>
      <c r="U15252" s="2"/>
      <c r="V15252" s="2"/>
      <c r="W15252" s="2"/>
      <c r="X15252" s="2"/>
      <c r="Y15252" s="2"/>
      <c r="Z15252" s="2"/>
    </row>
    <row r="15253" spans="1:26" ht="16.5" x14ac:dyDescent="0.35">
      <c r="A15253" s="2" t="str">
        <f ca="1">IFERROR(__xludf.DUMMYFUNCTION("""COMPUTED_VALUE"""),"Sharjah")</f>
        <v>Sharjah</v>
      </c>
      <c r="B15253" s="2" t="str">
        <f ca="1">IFERROR(__xludf.DUMMYFUNCTION("""COMPUTED_VALUE"""),"Buhaira Oasis")</f>
        <v>Buhaira Oasis</v>
      </c>
      <c r="C15253" s="2"/>
      <c r="D15253" s="2" t="str">
        <f ca="1">IFERROR(__xludf.DUMMYFUNCTION("""COMPUTED_VALUE"""),"Sharjah&gt;Al Majaz&gt;Al Majaz 2&gt;Buhaira Oasis")</f>
        <v>Sharjah&gt;Al Majaz&gt;Al Majaz 2&gt;Buhaira Oasis</v>
      </c>
      <c r="E15253" s="2"/>
      <c r="F15253" s="2"/>
      <c r="G15253" s="2"/>
      <c r="H15253" s="2"/>
      <c r="I15253" s="2"/>
      <c r="J15253" s="2"/>
      <c r="K15253" s="2"/>
      <c r="L15253" s="2"/>
      <c r="M15253" s="2"/>
      <c r="N15253" s="2"/>
      <c r="O15253" s="2"/>
      <c r="P15253" s="2"/>
      <c r="Q15253" s="2"/>
      <c r="R15253" s="2"/>
      <c r="S15253" s="2"/>
      <c r="T15253" s="2"/>
      <c r="U15253" s="2"/>
      <c r="V15253" s="2"/>
      <c r="W15253" s="2"/>
      <c r="X15253" s="2"/>
      <c r="Y15253" s="2"/>
      <c r="Z15253" s="2"/>
    </row>
    <row r="15254" spans="1:26" ht="16.5" x14ac:dyDescent="0.35">
      <c r="A15254" s="2" t="str">
        <f ca="1">IFERROR(__xludf.DUMMYFUNCTION("""COMPUTED_VALUE"""),"Sharjah")</f>
        <v>Sharjah</v>
      </c>
      <c r="B15254" s="2" t="str">
        <f ca="1">IFERROR(__xludf.DUMMYFUNCTION("""COMPUTED_VALUE"""),"Al Jazeeri 1")</f>
        <v>Al Jazeeri 1</v>
      </c>
      <c r="C15254" s="2" t="str">
        <f ca="1">IFERROR(__xludf.DUMMYFUNCTION("""COMPUTED_VALUE"""),"Building")</f>
        <v>Building</v>
      </c>
      <c r="D15254" s="2" t="str">
        <f ca="1">IFERROR(__xludf.DUMMYFUNCTION("""COMPUTED_VALUE"""),"Sharjah&gt;Al Majaz&gt;Al Majaz 2&gt;Al Jazeeri&gt;Al Jazeeri 1")</f>
        <v>Sharjah&gt;Al Majaz&gt;Al Majaz 2&gt;Al Jazeeri&gt;Al Jazeeri 1</v>
      </c>
      <c r="E15254" s="2"/>
      <c r="F15254" s="2"/>
      <c r="G15254" s="2"/>
      <c r="H15254" s="2"/>
      <c r="I15254" s="2"/>
      <c r="J15254" s="2"/>
      <c r="K15254" s="2"/>
      <c r="L15254" s="2"/>
      <c r="M15254" s="2"/>
      <c r="N15254" s="2"/>
      <c r="O15254" s="2"/>
      <c r="P15254" s="2"/>
      <c r="Q15254" s="2"/>
      <c r="R15254" s="2"/>
      <c r="S15254" s="2"/>
      <c r="T15254" s="2"/>
      <c r="U15254" s="2"/>
      <c r="V15254" s="2"/>
      <c r="W15254" s="2"/>
      <c r="X15254" s="2"/>
      <c r="Y15254" s="2"/>
      <c r="Z15254" s="2"/>
    </row>
    <row r="15255" spans="1:26" ht="16.5" x14ac:dyDescent="0.35">
      <c r="A15255" s="2" t="str">
        <f ca="1">IFERROR(__xludf.DUMMYFUNCTION("""COMPUTED_VALUE"""),"Sharjah")</f>
        <v>Sharjah</v>
      </c>
      <c r="B15255" s="2" t="str">
        <f ca="1">IFERROR(__xludf.DUMMYFUNCTION("""COMPUTED_VALUE"""),"Al Afrah Building")</f>
        <v>Al Afrah Building</v>
      </c>
      <c r="C15255" s="2"/>
      <c r="D15255" s="2" t="str">
        <f ca="1">IFERROR(__xludf.DUMMYFUNCTION("""COMPUTED_VALUE"""),"Sharjah&gt;Al Majaz&gt;Al Majaz 3&gt;Al Afrah Building")</f>
        <v>Sharjah&gt;Al Majaz&gt;Al Majaz 3&gt;Al Afrah Building</v>
      </c>
      <c r="E15255" s="2"/>
      <c r="F15255" s="2"/>
      <c r="G15255" s="2"/>
      <c r="H15255" s="2"/>
      <c r="I15255" s="2"/>
      <c r="J15255" s="2"/>
      <c r="K15255" s="2"/>
      <c r="L15255" s="2"/>
      <c r="M15255" s="2"/>
      <c r="N15255" s="2"/>
      <c r="O15255" s="2"/>
      <c r="P15255" s="2"/>
      <c r="Q15255" s="2"/>
      <c r="R15255" s="2"/>
      <c r="S15255" s="2"/>
      <c r="T15255" s="2"/>
      <c r="U15255" s="2"/>
      <c r="V15255" s="2"/>
      <c r="W15255" s="2"/>
      <c r="X15255" s="2"/>
      <c r="Y15255" s="2"/>
      <c r="Z15255" s="2"/>
    </row>
    <row r="15256" spans="1:26" ht="16.5" x14ac:dyDescent="0.35">
      <c r="A15256" s="2" t="str">
        <f ca="1">IFERROR(__xludf.DUMMYFUNCTION("""COMPUTED_VALUE"""),"Sharjah")</f>
        <v>Sharjah</v>
      </c>
      <c r="B15256" s="2" t="str">
        <f ca="1">IFERROR(__xludf.DUMMYFUNCTION("""COMPUTED_VALUE"""),"Ghalayini Building")</f>
        <v>Ghalayini Building</v>
      </c>
      <c r="C15256" s="2"/>
      <c r="D15256" s="2" t="str">
        <f ca="1">IFERROR(__xludf.DUMMYFUNCTION("""COMPUTED_VALUE"""),"Sharjah&gt;Al Majaz&gt;Al Majaz 3&gt;Ghalayini Building")</f>
        <v>Sharjah&gt;Al Majaz&gt;Al Majaz 3&gt;Ghalayini Building</v>
      </c>
      <c r="E15256" s="2"/>
      <c r="F15256" s="2"/>
      <c r="G15256" s="2"/>
      <c r="H15256" s="2"/>
      <c r="I15256" s="2"/>
      <c r="J15256" s="2"/>
      <c r="K15256" s="2"/>
      <c r="L15256" s="2"/>
      <c r="M15256" s="2"/>
      <c r="N15256" s="2"/>
      <c r="O15256" s="2"/>
      <c r="P15256" s="2"/>
      <c r="Q15256" s="2"/>
      <c r="R15256" s="2"/>
      <c r="S15256" s="2"/>
      <c r="T15256" s="2"/>
      <c r="U15256" s="2"/>
      <c r="V15256" s="2"/>
      <c r="W15256" s="2"/>
      <c r="X15256" s="2"/>
      <c r="Y15256" s="2"/>
      <c r="Z15256" s="2"/>
    </row>
    <row r="15257" spans="1:26" ht="16.5" x14ac:dyDescent="0.35">
      <c r="A15257" s="2" t="str">
        <f ca="1">IFERROR(__xludf.DUMMYFUNCTION("""COMPUTED_VALUE"""),"Sharjah")</f>
        <v>Sharjah</v>
      </c>
      <c r="B15257" s="2" t="str">
        <f ca="1">IFERROR(__xludf.DUMMYFUNCTION("""COMPUTED_VALUE"""),"Al Fahad Towers")</f>
        <v>Al Fahad Towers</v>
      </c>
      <c r="C15257" s="2"/>
      <c r="D15257" s="2" t="str">
        <f ca="1">IFERROR(__xludf.DUMMYFUNCTION("""COMPUTED_VALUE"""),"Sharjah&gt;Al Majaz&gt;Al Majaz 1&gt;Al Fahad Towers")</f>
        <v>Sharjah&gt;Al Majaz&gt;Al Majaz 1&gt;Al Fahad Towers</v>
      </c>
      <c r="E15257" s="2"/>
      <c r="F15257" s="2"/>
      <c r="G15257" s="2"/>
      <c r="H15257" s="2"/>
      <c r="I15257" s="2"/>
      <c r="J15257" s="2"/>
      <c r="K15257" s="2"/>
      <c r="L15257" s="2"/>
      <c r="M15257" s="2"/>
      <c r="N15257" s="2"/>
      <c r="O15257" s="2"/>
      <c r="P15257" s="2"/>
      <c r="Q15257" s="2"/>
      <c r="R15257" s="2"/>
      <c r="S15257" s="2"/>
      <c r="T15257" s="2"/>
      <c r="U15257" s="2"/>
      <c r="V15257" s="2"/>
      <c r="W15257" s="2"/>
      <c r="X15257" s="2"/>
      <c r="Y15257" s="2"/>
      <c r="Z15257" s="2"/>
    </row>
    <row r="15258" spans="1:26" ht="16.5" x14ac:dyDescent="0.35">
      <c r="A15258" s="2" t="str">
        <f ca="1">IFERROR(__xludf.DUMMYFUNCTION("""COMPUTED_VALUE"""),"Sharjah")</f>
        <v>Sharjah</v>
      </c>
      <c r="B15258" s="2" t="str">
        <f ca="1">IFERROR(__xludf.DUMMYFUNCTION("""COMPUTED_VALUE"""),"Latifa Tower")</f>
        <v>Latifa Tower</v>
      </c>
      <c r="C15258" s="2" t="str">
        <f ca="1">IFERROR(__xludf.DUMMYFUNCTION("""COMPUTED_VALUE"""),"Building")</f>
        <v>Building</v>
      </c>
      <c r="D15258" s="2" t="str">
        <f ca="1">IFERROR(__xludf.DUMMYFUNCTION("""COMPUTED_VALUE"""),"Sharjah&gt;Al Majaz&gt;Al Majaz 1&gt;Latifa Tower")</f>
        <v>Sharjah&gt;Al Majaz&gt;Al Majaz 1&gt;Latifa Tower</v>
      </c>
      <c r="E15258" s="2"/>
      <c r="F15258" s="2"/>
      <c r="G15258" s="2"/>
      <c r="H15258" s="2"/>
      <c r="I15258" s="2"/>
      <c r="J15258" s="2"/>
      <c r="K15258" s="2"/>
      <c r="L15258" s="2"/>
      <c r="M15258" s="2"/>
      <c r="N15258" s="2"/>
      <c r="O15258" s="2"/>
      <c r="P15258" s="2"/>
      <c r="Q15258" s="2"/>
      <c r="R15258" s="2"/>
      <c r="S15258" s="2"/>
      <c r="T15258" s="2"/>
      <c r="U15258" s="2"/>
      <c r="V15258" s="2"/>
      <c r="W15258" s="2"/>
      <c r="X15258" s="2"/>
      <c r="Y15258" s="2"/>
      <c r="Z15258" s="2"/>
    </row>
    <row r="15259" spans="1:26" ht="16.5" x14ac:dyDescent="0.35">
      <c r="A15259" s="2" t="str">
        <f ca="1">IFERROR(__xludf.DUMMYFUNCTION("""COMPUTED_VALUE"""),"Sharjah")</f>
        <v>Sharjah</v>
      </c>
      <c r="B15259" s="2" t="str">
        <f ca="1">IFERROR(__xludf.DUMMYFUNCTION("""COMPUTED_VALUE"""),"City Plaza 8")</f>
        <v>City Plaza 8</v>
      </c>
      <c r="C15259" s="2" t="str">
        <f ca="1">IFERROR(__xludf.DUMMYFUNCTION("""COMPUTED_VALUE"""),"Building")</f>
        <v>Building</v>
      </c>
      <c r="D15259" s="2" t="str">
        <f ca="1">IFERROR(__xludf.DUMMYFUNCTION("""COMPUTED_VALUE"""),"Sharjah&gt;Al Taawun&gt;City Plaza 8")</f>
        <v>Sharjah&gt;Al Taawun&gt;City Plaza 8</v>
      </c>
      <c r="E15259" s="2"/>
      <c r="F15259" s="2"/>
      <c r="G15259" s="2"/>
      <c r="H15259" s="2"/>
      <c r="I15259" s="2"/>
      <c r="J15259" s="2"/>
      <c r="K15259" s="2"/>
      <c r="L15259" s="2"/>
      <c r="M15259" s="2"/>
      <c r="N15259" s="2"/>
      <c r="O15259" s="2"/>
      <c r="P15259" s="2"/>
      <c r="Q15259" s="2"/>
      <c r="R15259" s="2"/>
      <c r="S15259" s="2"/>
      <c r="T15259" s="2"/>
      <c r="U15259" s="2"/>
      <c r="V15259" s="2"/>
      <c r="W15259" s="2"/>
      <c r="X15259" s="2"/>
      <c r="Y15259" s="2"/>
      <c r="Z15259" s="2"/>
    </row>
    <row r="15260" spans="1:26" ht="16.5" x14ac:dyDescent="0.35">
      <c r="A15260" s="2" t="str">
        <f ca="1">IFERROR(__xludf.DUMMYFUNCTION("""COMPUTED_VALUE"""),"Sharjah")</f>
        <v>Sharjah</v>
      </c>
      <c r="B15260" s="2" t="str">
        <f ca="1">IFERROR(__xludf.DUMMYFUNCTION("""COMPUTED_VALUE"""),"Leena Tower")</f>
        <v>Leena Tower</v>
      </c>
      <c r="C15260" s="2" t="str">
        <f ca="1">IFERROR(__xludf.DUMMYFUNCTION("""COMPUTED_VALUE"""),"Building")</f>
        <v>Building</v>
      </c>
      <c r="D15260" s="2" t="str">
        <f ca="1">IFERROR(__xludf.DUMMYFUNCTION("""COMPUTED_VALUE"""),"Sharjah&gt;Al Taawun&gt;Leena Tower")</f>
        <v>Sharjah&gt;Al Taawun&gt;Leena Tower</v>
      </c>
      <c r="E15260" s="2"/>
      <c r="F15260" s="2"/>
      <c r="G15260" s="2"/>
      <c r="H15260" s="2"/>
      <c r="I15260" s="2"/>
      <c r="J15260" s="2"/>
      <c r="K15260" s="2"/>
      <c r="L15260" s="2"/>
      <c r="M15260" s="2"/>
      <c r="N15260" s="2"/>
      <c r="O15260" s="2"/>
      <c r="P15260" s="2"/>
      <c r="Q15260" s="2"/>
      <c r="R15260" s="2"/>
      <c r="S15260" s="2"/>
      <c r="T15260" s="2"/>
      <c r="U15260" s="2"/>
      <c r="V15260" s="2"/>
      <c r="W15260" s="2"/>
      <c r="X15260" s="2"/>
      <c r="Y15260" s="2"/>
      <c r="Z15260" s="2"/>
    </row>
    <row r="15261" spans="1:26" ht="16.5" x14ac:dyDescent="0.35">
      <c r="A15261" s="2" t="str">
        <f ca="1">IFERROR(__xludf.DUMMYFUNCTION("""COMPUTED_VALUE"""),"Sharjah")</f>
        <v>Sharjah</v>
      </c>
      <c r="B15261" s="2" t="str">
        <f ca="1">IFERROR(__xludf.DUMMYFUNCTION("""COMPUTED_VALUE"""),"Liwa Tower")</f>
        <v>Liwa Tower</v>
      </c>
      <c r="C15261" s="2" t="str">
        <f ca="1">IFERROR(__xludf.DUMMYFUNCTION("""COMPUTED_VALUE"""),"Building")</f>
        <v>Building</v>
      </c>
      <c r="D15261" s="2" t="str">
        <f ca="1">IFERROR(__xludf.DUMMYFUNCTION("""COMPUTED_VALUE"""),"Sharjah&gt;Al Qasimia&gt;Al Nad&gt;Liwa Tower")</f>
        <v>Sharjah&gt;Al Qasimia&gt;Al Nad&gt;Liwa Tower</v>
      </c>
      <c r="E15261" s="2"/>
      <c r="F15261" s="2"/>
      <c r="G15261" s="2"/>
      <c r="H15261" s="2"/>
      <c r="I15261" s="2"/>
      <c r="J15261" s="2"/>
      <c r="K15261" s="2"/>
      <c r="L15261" s="2"/>
      <c r="M15261" s="2"/>
      <c r="N15261" s="2"/>
      <c r="O15261" s="2"/>
      <c r="P15261" s="2"/>
      <c r="Q15261" s="2"/>
      <c r="R15261" s="2"/>
      <c r="S15261" s="2"/>
      <c r="T15261" s="2"/>
      <c r="U15261" s="2"/>
      <c r="V15261" s="2"/>
      <c r="W15261" s="2"/>
      <c r="X15261" s="2"/>
      <c r="Y15261" s="2"/>
      <c r="Z15261" s="2"/>
    </row>
    <row r="15262" spans="1:26" ht="16.5" x14ac:dyDescent="0.35">
      <c r="A15262" s="2" t="str">
        <f ca="1">IFERROR(__xludf.DUMMYFUNCTION("""COMPUTED_VALUE"""),"Sharjah")</f>
        <v>Sharjah</v>
      </c>
      <c r="B15262" s="2" t="str">
        <f ca="1">IFERROR(__xludf.DUMMYFUNCTION("""COMPUTED_VALUE"""),"Al Tayer Building Al Nud")</f>
        <v>Al Tayer Building Al Nud</v>
      </c>
      <c r="C15262" s="2"/>
      <c r="D15262" s="2" t="str">
        <f ca="1">IFERROR(__xludf.DUMMYFUNCTION("""COMPUTED_VALUE"""),"Sharjah&gt;Al Qasimia&gt;Al Nad&gt;Al Tayer Building Al Nud")</f>
        <v>Sharjah&gt;Al Qasimia&gt;Al Nad&gt;Al Tayer Building Al Nud</v>
      </c>
      <c r="E15262" s="2"/>
      <c r="F15262" s="2"/>
      <c r="G15262" s="2"/>
      <c r="H15262" s="2"/>
      <c r="I15262" s="2"/>
      <c r="J15262" s="2"/>
      <c r="K15262" s="2"/>
      <c r="L15262" s="2"/>
      <c r="M15262" s="2"/>
      <c r="N15262" s="2"/>
      <c r="O15262" s="2"/>
      <c r="P15262" s="2"/>
      <c r="Q15262" s="2"/>
      <c r="R15262" s="2"/>
      <c r="S15262" s="2"/>
      <c r="T15262" s="2"/>
      <c r="U15262" s="2"/>
      <c r="V15262" s="2"/>
      <c r="W15262" s="2"/>
      <c r="X15262" s="2"/>
      <c r="Y15262" s="2"/>
      <c r="Z15262" s="2"/>
    </row>
    <row r="15263" spans="1:26" ht="16.5" x14ac:dyDescent="0.35">
      <c r="A15263" s="2" t="str">
        <f ca="1">IFERROR(__xludf.DUMMYFUNCTION("""COMPUTED_VALUE"""),"Sharjah")</f>
        <v>Sharjah</v>
      </c>
      <c r="B15263" s="2" t="str">
        <f ca="1">IFERROR(__xludf.DUMMYFUNCTION("""COMPUTED_VALUE"""),"Pangulf Hotel Suites")</f>
        <v>Pangulf Hotel Suites</v>
      </c>
      <c r="C15263" s="2"/>
      <c r="D15263" s="2" t="str">
        <f ca="1">IFERROR(__xludf.DUMMYFUNCTION("""COMPUTED_VALUE"""),"Sharjah&gt;Al Qasimia&gt;Al Nad&gt;Pangulf Hotel Suites")</f>
        <v>Sharjah&gt;Al Qasimia&gt;Al Nad&gt;Pangulf Hotel Suites</v>
      </c>
      <c r="E15263" s="2"/>
      <c r="F15263" s="2"/>
      <c r="G15263" s="2"/>
      <c r="H15263" s="2"/>
      <c r="I15263" s="2"/>
      <c r="J15263" s="2"/>
      <c r="K15263" s="2"/>
      <c r="L15263" s="2"/>
      <c r="M15263" s="2"/>
      <c r="N15263" s="2"/>
      <c r="O15263" s="2"/>
      <c r="P15263" s="2"/>
      <c r="Q15263" s="2"/>
      <c r="R15263" s="2"/>
      <c r="S15263" s="2"/>
      <c r="T15263" s="2"/>
      <c r="U15263" s="2"/>
      <c r="V15263" s="2"/>
      <c r="W15263" s="2"/>
      <c r="X15263" s="2"/>
      <c r="Y15263" s="2"/>
      <c r="Z15263" s="2"/>
    </row>
    <row r="15264" spans="1:26" ht="16.5" x14ac:dyDescent="0.35">
      <c r="A15264" s="2" t="str">
        <f ca="1">IFERROR(__xludf.DUMMYFUNCTION("""COMPUTED_VALUE"""),"Sharjah")</f>
        <v>Sharjah</v>
      </c>
      <c r="B15264" s="2" t="str">
        <f ca="1">IFERROR(__xludf.DUMMYFUNCTION("""COMPUTED_VALUE"""),"Al Nabba")</f>
        <v>Al Nabba</v>
      </c>
      <c r="C15264" s="2" t="str">
        <f ca="1">IFERROR(__xludf.DUMMYFUNCTION("""COMPUTED_VALUE"""),"Neighbourhood")</f>
        <v>Neighbourhood</v>
      </c>
      <c r="D15264" s="2" t="str">
        <f ca="1">IFERROR(__xludf.DUMMYFUNCTION("""COMPUTED_VALUE"""),"Sharjah&gt;Al Nabba")</f>
        <v>Sharjah&gt;Al Nabba</v>
      </c>
      <c r="E15264" s="2"/>
      <c r="F15264" s="2"/>
      <c r="G15264" s="2"/>
      <c r="H15264" s="2"/>
      <c r="I15264" s="2"/>
      <c r="J15264" s="2"/>
      <c r="K15264" s="2"/>
      <c r="L15264" s="2"/>
      <c r="M15264" s="2"/>
      <c r="N15264" s="2"/>
      <c r="O15264" s="2"/>
      <c r="P15264" s="2"/>
      <c r="Q15264" s="2"/>
      <c r="R15264" s="2"/>
      <c r="S15264" s="2"/>
      <c r="T15264" s="2"/>
      <c r="U15264" s="2"/>
      <c r="V15264" s="2"/>
      <c r="W15264" s="2"/>
      <c r="X15264" s="2"/>
      <c r="Y15264" s="2"/>
      <c r="Z15264" s="2"/>
    </row>
    <row r="15265" spans="1:26" ht="16.5" x14ac:dyDescent="0.35">
      <c r="A15265" s="2" t="str">
        <f ca="1">IFERROR(__xludf.DUMMYFUNCTION("""COMPUTED_VALUE"""),"Sharjah")</f>
        <v>Sharjah</v>
      </c>
      <c r="B15265" s="2" t="str">
        <f ca="1">IFERROR(__xludf.DUMMYFUNCTION("""COMPUTED_VALUE"""),"Meera building")</f>
        <v>Meera building</v>
      </c>
      <c r="C15265" s="2"/>
      <c r="D15265" s="2" t="str">
        <f ca="1">IFERROR(__xludf.DUMMYFUNCTION("""COMPUTED_VALUE"""),"Sharjah&gt;Al Nabba&gt;Meera building")</f>
        <v>Sharjah&gt;Al Nabba&gt;Meera building</v>
      </c>
      <c r="E15265" s="2"/>
      <c r="F15265" s="2"/>
      <c r="G15265" s="2"/>
      <c r="H15265" s="2"/>
      <c r="I15265" s="2"/>
      <c r="J15265" s="2"/>
      <c r="K15265" s="2"/>
      <c r="L15265" s="2"/>
      <c r="M15265" s="2"/>
      <c r="N15265" s="2"/>
      <c r="O15265" s="2"/>
      <c r="P15265" s="2"/>
      <c r="Q15265" s="2"/>
      <c r="R15265" s="2"/>
      <c r="S15265" s="2"/>
      <c r="T15265" s="2"/>
      <c r="U15265" s="2"/>
      <c r="V15265" s="2"/>
      <c r="W15265" s="2"/>
      <c r="X15265" s="2"/>
      <c r="Y15265" s="2"/>
      <c r="Z15265" s="2"/>
    </row>
    <row r="15266" spans="1:26" ht="16.5" x14ac:dyDescent="0.35">
      <c r="A15266" s="2" t="str">
        <f ca="1">IFERROR(__xludf.DUMMYFUNCTION("""COMPUTED_VALUE"""),"Sharjah")</f>
        <v>Sharjah</v>
      </c>
      <c r="B15266" s="2" t="str">
        <f ca="1">IFERROR(__xludf.DUMMYFUNCTION("""COMPUTED_VALUE"""),"Mirage 2 Residence")</f>
        <v>Mirage 2 Residence</v>
      </c>
      <c r="C15266" s="2"/>
      <c r="D15266" s="2" t="str">
        <f ca="1">IFERROR(__xludf.DUMMYFUNCTION("""COMPUTED_VALUE"""),"Sharjah&gt;Industrial Area&gt;Industrial Area 3&gt;Mirage 2 Residence")</f>
        <v>Sharjah&gt;Industrial Area&gt;Industrial Area 3&gt;Mirage 2 Residence</v>
      </c>
      <c r="E15266" s="2"/>
      <c r="F15266" s="2"/>
      <c r="G15266" s="2"/>
      <c r="H15266" s="2"/>
      <c r="I15266" s="2"/>
      <c r="J15266" s="2"/>
      <c r="K15266" s="2"/>
      <c r="L15266" s="2"/>
      <c r="M15266" s="2"/>
      <c r="N15266" s="2"/>
      <c r="O15266" s="2"/>
      <c r="P15266" s="2"/>
      <c r="Q15266" s="2"/>
      <c r="R15266" s="2"/>
      <c r="S15266" s="2"/>
      <c r="T15266" s="2"/>
      <c r="U15266" s="2"/>
      <c r="V15266" s="2"/>
      <c r="W15266" s="2"/>
      <c r="X15266" s="2"/>
      <c r="Y15266" s="2"/>
      <c r="Z15266" s="2"/>
    </row>
    <row r="15267" spans="1:26" ht="16.5" x14ac:dyDescent="0.35">
      <c r="A15267" s="2" t="str">
        <f ca="1">IFERROR(__xludf.DUMMYFUNCTION("""COMPUTED_VALUE"""),"Sharjah")</f>
        <v>Sharjah</v>
      </c>
      <c r="B15267" s="2" t="str">
        <f ca="1">IFERROR(__xludf.DUMMYFUNCTION("""COMPUTED_VALUE"""),"RD 3")</f>
        <v>RD 3</v>
      </c>
      <c r="C15267" s="2" t="str">
        <f ca="1">IFERROR(__xludf.DUMMYFUNCTION("""COMPUTED_VALUE"""),"Building")</f>
        <v>Building</v>
      </c>
      <c r="D15267" s="2" t="str">
        <f ca="1">IFERROR(__xludf.DUMMYFUNCTION("""COMPUTED_VALUE"""),"Sharjah&gt;Muwaileh&gt;Al Mamsha&gt;Souks Residential&gt;RD 3")</f>
        <v>Sharjah&gt;Muwaileh&gt;Al Mamsha&gt;Souks Residential&gt;RD 3</v>
      </c>
      <c r="E15267" s="2"/>
      <c r="F15267" s="2"/>
      <c r="G15267" s="2"/>
      <c r="H15267" s="2"/>
      <c r="I15267" s="2"/>
      <c r="J15267" s="2"/>
      <c r="K15267" s="2"/>
      <c r="L15267" s="2"/>
      <c r="M15267" s="2"/>
      <c r="N15267" s="2"/>
      <c r="O15267" s="2"/>
      <c r="P15267" s="2"/>
      <c r="Q15267" s="2"/>
      <c r="R15267" s="2"/>
      <c r="S15267" s="2"/>
      <c r="T15267" s="2"/>
      <c r="U15267" s="2"/>
      <c r="V15267" s="2"/>
      <c r="W15267" s="2"/>
      <c r="X15267" s="2"/>
      <c r="Y15267" s="2"/>
      <c r="Z15267" s="2"/>
    </row>
    <row r="15268" spans="1:26" ht="16.5" x14ac:dyDescent="0.35">
      <c r="A15268" s="2" t="str">
        <f ca="1">IFERROR(__xludf.DUMMYFUNCTION("""COMPUTED_VALUE"""),"Sharjah")</f>
        <v>Sharjah</v>
      </c>
      <c r="B15268" s="2" t="str">
        <f ca="1">IFERROR(__xludf.DUMMYFUNCTION("""COMPUTED_VALUE"""),"Nama 2")</f>
        <v>Nama 2</v>
      </c>
      <c r="C15268" s="2" t="str">
        <f ca="1">IFERROR(__xludf.DUMMYFUNCTION("""COMPUTED_VALUE"""),"Building")</f>
        <v>Building</v>
      </c>
      <c r="D15268" s="2" t="str">
        <f ca="1">IFERROR(__xludf.DUMMYFUNCTION("""COMPUTED_VALUE"""),"Sharjah&gt;Muwaileh&gt;Al Mamsha&gt;Raseel&gt;Nama 2")</f>
        <v>Sharjah&gt;Muwaileh&gt;Al Mamsha&gt;Raseel&gt;Nama 2</v>
      </c>
      <c r="E15268" s="2"/>
      <c r="F15268" s="2"/>
      <c r="G15268" s="2"/>
      <c r="H15268" s="2"/>
      <c r="I15268" s="2"/>
      <c r="J15268" s="2"/>
      <c r="K15268" s="2"/>
      <c r="L15268" s="2"/>
      <c r="M15268" s="2"/>
      <c r="N15268" s="2"/>
      <c r="O15268" s="2"/>
      <c r="P15268" s="2"/>
      <c r="Q15268" s="2"/>
      <c r="R15268" s="2"/>
      <c r="S15268" s="2"/>
      <c r="T15268" s="2"/>
      <c r="U15268" s="2"/>
      <c r="V15268" s="2"/>
      <c r="W15268" s="2"/>
      <c r="X15268" s="2"/>
      <c r="Y15268" s="2"/>
      <c r="Z15268" s="2"/>
    </row>
    <row r="15269" spans="1:26" ht="16.5" x14ac:dyDescent="0.35">
      <c r="A15269" s="2" t="str">
        <f ca="1">IFERROR(__xludf.DUMMYFUNCTION("""COMPUTED_VALUE"""),"Sharjah")</f>
        <v>Sharjah</v>
      </c>
      <c r="B15269" s="2" t="str">
        <f ca="1">IFERROR(__xludf.DUMMYFUNCTION("""COMPUTED_VALUE"""),"Al Lilac")</f>
        <v>Al Lilac</v>
      </c>
      <c r="C15269" s="2" t="str">
        <f ca="1">IFERROR(__xludf.DUMMYFUNCTION("""COMPUTED_VALUE"""),"Neighbourhood")</f>
        <v>Neighbourhood</v>
      </c>
      <c r="D15269" s="2" t="str">
        <f ca="1">IFERROR(__xludf.DUMMYFUNCTION("""COMPUTED_VALUE"""),"Sharjah&gt;Muwaileh&gt;Al Zahia&gt;Al Lilac")</f>
        <v>Sharjah&gt;Muwaileh&gt;Al Zahia&gt;Al Lilac</v>
      </c>
      <c r="E15269" s="2"/>
      <c r="F15269" s="2"/>
      <c r="G15269" s="2"/>
      <c r="H15269" s="2"/>
      <c r="I15269" s="2"/>
      <c r="J15269" s="2"/>
      <c r="K15269" s="2"/>
      <c r="L15269" s="2"/>
      <c r="M15269" s="2"/>
      <c r="N15269" s="2"/>
      <c r="O15269" s="2"/>
      <c r="P15269" s="2"/>
      <c r="Q15269" s="2"/>
      <c r="R15269" s="2"/>
      <c r="S15269" s="2"/>
      <c r="T15269" s="2"/>
      <c r="U15269" s="2"/>
      <c r="V15269" s="2"/>
      <c r="W15269" s="2"/>
      <c r="X15269" s="2"/>
      <c r="Y15269" s="2"/>
      <c r="Z15269" s="2"/>
    </row>
    <row r="15270" spans="1:26" ht="16.5" x14ac:dyDescent="0.35">
      <c r="A15270" s="2" t="str">
        <f ca="1">IFERROR(__xludf.DUMMYFUNCTION("""COMPUTED_VALUE"""),"Sharjah")</f>
        <v>Sharjah</v>
      </c>
      <c r="B15270" s="2" t="str">
        <f ca="1">IFERROR(__xludf.DUMMYFUNCTION("""COMPUTED_VALUE"""),"Rayhana Building")</f>
        <v>Rayhana Building</v>
      </c>
      <c r="C15270" s="2" t="str">
        <f ca="1">IFERROR(__xludf.DUMMYFUNCTION("""COMPUTED_VALUE"""),"Building")</f>
        <v>Building</v>
      </c>
      <c r="D15270" s="2" t="str">
        <f ca="1">IFERROR(__xludf.DUMMYFUNCTION("""COMPUTED_VALUE"""),"Sharjah&gt;Muwaileh Commercial&gt;Rayhana Building")</f>
        <v>Sharjah&gt;Muwaileh Commercial&gt;Rayhana Building</v>
      </c>
      <c r="E15270" s="2"/>
      <c r="F15270" s="2"/>
      <c r="G15270" s="2"/>
      <c r="H15270" s="2"/>
      <c r="I15270" s="2"/>
      <c r="J15270" s="2"/>
      <c r="K15270" s="2"/>
      <c r="L15270" s="2"/>
      <c r="M15270" s="2"/>
      <c r="N15270" s="2"/>
      <c r="O15270" s="2"/>
      <c r="P15270" s="2"/>
      <c r="Q15270" s="2"/>
      <c r="R15270" s="2"/>
      <c r="S15270" s="2"/>
      <c r="T15270" s="2"/>
      <c r="U15270" s="2"/>
      <c r="V15270" s="2"/>
      <c r="W15270" s="2"/>
      <c r="X15270" s="2"/>
      <c r="Y15270" s="2"/>
      <c r="Z15270" s="2"/>
    </row>
    <row r="15271" spans="1:26" ht="16.5" x14ac:dyDescent="0.35">
      <c r="A15271" s="2" t="str">
        <f ca="1">IFERROR(__xludf.DUMMYFUNCTION("""COMPUTED_VALUE"""),"Sharjah")</f>
        <v>Sharjah</v>
      </c>
      <c r="B15271" s="2" t="str">
        <f ca="1">IFERROR(__xludf.DUMMYFUNCTION("""COMPUTED_VALUE"""),"Olfah")</f>
        <v>Olfah</v>
      </c>
      <c r="C15271" s="2" t="str">
        <f ca="1">IFERROR(__xludf.DUMMYFUNCTION("""COMPUTED_VALUE"""),"Cluster")</f>
        <v>Cluster</v>
      </c>
      <c r="D15271" s="2" t="str">
        <f ca="1">IFERROR(__xludf.DUMMYFUNCTION("""COMPUTED_VALUE"""),"Sharjah&gt;Muwaileh Commercial&gt;Olfah")</f>
        <v>Sharjah&gt;Muwaileh Commercial&gt;Olfah</v>
      </c>
      <c r="E15271" s="2"/>
      <c r="F15271" s="2"/>
      <c r="G15271" s="2"/>
      <c r="H15271" s="2"/>
      <c r="I15271" s="2"/>
      <c r="J15271" s="2"/>
      <c r="K15271" s="2"/>
      <c r="L15271" s="2"/>
      <c r="M15271" s="2"/>
      <c r="N15271" s="2"/>
      <c r="O15271" s="2"/>
      <c r="P15271" s="2"/>
      <c r="Q15271" s="2"/>
      <c r="R15271" s="2"/>
      <c r="S15271" s="2"/>
      <c r="T15271" s="2"/>
      <c r="U15271" s="2"/>
      <c r="V15271" s="2"/>
      <c r="W15271" s="2"/>
      <c r="X15271" s="2"/>
      <c r="Y15271" s="2"/>
      <c r="Z15271" s="2"/>
    </row>
    <row r="15272" spans="1:26" ht="16.5" x14ac:dyDescent="0.35">
      <c r="A15272" s="2" t="str">
        <f ca="1">IFERROR(__xludf.DUMMYFUNCTION("""COMPUTED_VALUE"""),"Sharjah")</f>
        <v>Sharjah</v>
      </c>
      <c r="B15272" s="2" t="str">
        <f ca="1">IFERROR(__xludf.DUMMYFUNCTION("""COMPUTED_VALUE"""),"Building 785")</f>
        <v>Building 785</v>
      </c>
      <c r="C15272" s="2" t="str">
        <f ca="1">IFERROR(__xludf.DUMMYFUNCTION("""COMPUTED_VALUE"""),"Building")</f>
        <v>Building</v>
      </c>
      <c r="D15272" s="2" t="str">
        <f ca="1">IFERROR(__xludf.DUMMYFUNCTION("""COMPUTED_VALUE"""),"Sharjah&gt;Muwaileh Commercial&gt;Building 785")</f>
        <v>Sharjah&gt;Muwaileh Commercial&gt;Building 785</v>
      </c>
      <c r="E15272" s="2"/>
      <c r="F15272" s="2"/>
      <c r="G15272" s="2"/>
      <c r="H15272" s="2"/>
      <c r="I15272" s="2"/>
      <c r="J15272" s="2"/>
      <c r="K15272" s="2"/>
      <c r="L15272" s="2"/>
      <c r="M15272" s="2"/>
      <c r="N15272" s="2"/>
      <c r="O15272" s="2"/>
      <c r="P15272" s="2"/>
      <c r="Q15272" s="2"/>
      <c r="R15272" s="2"/>
      <c r="S15272" s="2"/>
      <c r="T15272" s="2"/>
      <c r="U15272" s="2"/>
      <c r="V15272" s="2"/>
      <c r="W15272" s="2"/>
      <c r="X15272" s="2"/>
      <c r="Y15272" s="2"/>
      <c r="Z15272" s="2"/>
    </row>
    <row r="15273" spans="1:26" ht="16.5" x14ac:dyDescent="0.35">
      <c r="A15273" s="2" t="str">
        <f ca="1">IFERROR(__xludf.DUMMYFUNCTION("""COMPUTED_VALUE"""),"Al Ain")</f>
        <v>Al Ain</v>
      </c>
      <c r="B15273" s="2" t="str">
        <f ca="1">IFERROR(__xludf.DUMMYFUNCTION("""COMPUTED_VALUE"""),"Ain Al Faydah")</f>
        <v>Ain Al Faydah</v>
      </c>
      <c r="C15273" s="2" t="str">
        <f ca="1">IFERROR(__xludf.DUMMYFUNCTION("""COMPUTED_VALUE"""),"Neighbourhood")</f>
        <v>Neighbourhood</v>
      </c>
      <c r="D15273" s="2" t="str">
        <f ca="1">IFERROR(__xludf.DUMMYFUNCTION("""COMPUTED_VALUE"""),"Al Ain&gt;Ain Al Faydah")</f>
        <v>Al Ain&gt;Ain Al Faydah</v>
      </c>
      <c r="E15273" s="2"/>
      <c r="F15273" s="2"/>
      <c r="G15273" s="2"/>
      <c r="H15273" s="2"/>
      <c r="I15273" s="2"/>
      <c r="J15273" s="2"/>
      <c r="K15273" s="2"/>
      <c r="L15273" s="2"/>
      <c r="M15273" s="2"/>
      <c r="N15273" s="2"/>
      <c r="O15273" s="2"/>
      <c r="P15273" s="2"/>
      <c r="Q15273" s="2"/>
      <c r="R15273" s="2"/>
      <c r="S15273" s="2"/>
      <c r="T15273" s="2"/>
      <c r="U15273" s="2"/>
      <c r="V15273" s="2"/>
      <c r="W15273" s="2"/>
      <c r="X15273" s="2"/>
      <c r="Y15273" s="2"/>
      <c r="Z15273" s="2"/>
    </row>
    <row r="15274" spans="1:26" ht="16.5" x14ac:dyDescent="0.35">
      <c r="A15274" s="2" t="str">
        <f ca="1">IFERROR(__xludf.DUMMYFUNCTION("""COMPUTED_VALUE"""),"Al Ain")</f>
        <v>Al Ain</v>
      </c>
      <c r="B15274" s="2" t="str">
        <f ca="1">IFERROR(__xludf.DUMMYFUNCTION("""COMPUTED_VALUE"""),"Oasis International School, Al Ain")</f>
        <v>Oasis International School, Al Ain</v>
      </c>
      <c r="C15274" s="2" t="str">
        <f ca="1">IFERROR(__xludf.DUMMYFUNCTION("""COMPUTED_VALUE"""),"School")</f>
        <v>School</v>
      </c>
      <c r="D15274" s="2" t="str">
        <f ca="1">IFERROR(__xludf.DUMMYFUNCTION("""COMPUTED_VALUE"""),"Al Ain&gt;Al Jimi&gt;Oasis International School, Al Ain")</f>
        <v>Al Ain&gt;Al Jimi&gt;Oasis International School, Al Ain</v>
      </c>
      <c r="E15274" s="2"/>
      <c r="F15274" s="2"/>
      <c r="G15274" s="2"/>
      <c r="H15274" s="2"/>
      <c r="I15274" s="2"/>
      <c r="J15274" s="2"/>
      <c r="K15274" s="2"/>
      <c r="L15274" s="2"/>
      <c r="M15274" s="2"/>
      <c r="N15274" s="2"/>
      <c r="O15274" s="2"/>
      <c r="P15274" s="2"/>
      <c r="Q15274" s="2"/>
      <c r="R15274" s="2"/>
      <c r="S15274" s="2"/>
      <c r="T15274" s="2"/>
      <c r="U15274" s="2"/>
      <c r="V15274" s="2"/>
      <c r="W15274" s="2"/>
      <c r="X15274" s="2"/>
      <c r="Y15274" s="2"/>
      <c r="Z15274" s="2"/>
    </row>
    <row r="15275" spans="1:26" ht="16.5" x14ac:dyDescent="0.35">
      <c r="A15275" s="2" t="str">
        <f ca="1">IFERROR(__xludf.DUMMYFUNCTION("""COMPUTED_VALUE"""),"Al Ain")</f>
        <v>Al Ain</v>
      </c>
      <c r="B15275" s="2" t="str">
        <f ca="1">IFERROR(__xludf.DUMMYFUNCTION("""COMPUTED_VALUE"""),"Al Grayyeh")</f>
        <v>Al Grayyeh</v>
      </c>
      <c r="C15275" s="2" t="str">
        <f ca="1">IFERROR(__xludf.DUMMYFUNCTION("""COMPUTED_VALUE"""),"Neighbourhood")</f>
        <v>Neighbourhood</v>
      </c>
      <c r="D15275" s="2" t="str">
        <f ca="1">IFERROR(__xludf.DUMMYFUNCTION("""COMPUTED_VALUE"""),"Al Ain&gt;Zakhir&gt;Al Grayyeh")</f>
        <v>Al Ain&gt;Zakhir&gt;Al Grayyeh</v>
      </c>
      <c r="E15275" s="2"/>
      <c r="F15275" s="2"/>
      <c r="G15275" s="2"/>
      <c r="H15275" s="2"/>
      <c r="I15275" s="2"/>
      <c r="J15275" s="2"/>
      <c r="K15275" s="2"/>
      <c r="L15275" s="2"/>
      <c r="M15275" s="2"/>
      <c r="N15275" s="2"/>
      <c r="O15275" s="2"/>
      <c r="P15275" s="2"/>
      <c r="Q15275" s="2"/>
      <c r="R15275" s="2"/>
      <c r="S15275" s="2"/>
      <c r="T15275" s="2"/>
      <c r="U15275" s="2"/>
      <c r="V15275" s="2"/>
      <c r="W15275" s="2"/>
      <c r="X15275" s="2"/>
      <c r="Y15275" s="2"/>
      <c r="Z15275" s="2"/>
    </row>
    <row r="15276" spans="1:26" ht="16.5" x14ac:dyDescent="0.35">
      <c r="A15276" s="2" t="str">
        <f ca="1">IFERROR(__xludf.DUMMYFUNCTION("""COMPUTED_VALUE"""),"Al Ain")</f>
        <v>Al Ain</v>
      </c>
      <c r="B15276" s="2" t="str">
        <f ca="1">IFERROR(__xludf.DUMMYFUNCTION("""COMPUTED_VALUE"""),"Emirates National Schools, Al Ain")</f>
        <v>Emirates National Schools, Al Ain</v>
      </c>
      <c r="C15276" s="2" t="str">
        <f ca="1">IFERROR(__xludf.DUMMYFUNCTION("""COMPUTED_VALUE"""),"School")</f>
        <v>School</v>
      </c>
      <c r="D15276" s="2" t="str">
        <f ca="1">IFERROR(__xludf.DUMMYFUNCTION("""COMPUTED_VALUE"""),"Al Ain&gt;Al Tiwayya&gt;Emirates National Schools, Al Ain")</f>
        <v>Al Ain&gt;Al Tiwayya&gt;Emirates National Schools, Al Ain</v>
      </c>
      <c r="E15276" s="2"/>
      <c r="F15276" s="2"/>
      <c r="G15276" s="2"/>
      <c r="H15276" s="2"/>
      <c r="I15276" s="2"/>
      <c r="J15276" s="2"/>
      <c r="K15276" s="2"/>
      <c r="L15276" s="2"/>
      <c r="M15276" s="2"/>
      <c r="N15276" s="2"/>
      <c r="O15276" s="2"/>
      <c r="P15276" s="2"/>
      <c r="Q15276" s="2"/>
      <c r="R15276" s="2"/>
      <c r="S15276" s="2"/>
      <c r="T15276" s="2"/>
      <c r="U15276" s="2"/>
      <c r="V15276" s="2"/>
      <c r="W15276" s="2"/>
      <c r="X15276" s="2"/>
      <c r="Y15276" s="2"/>
      <c r="Z15276" s="2"/>
    </row>
    <row r="15277" spans="1:26" ht="16.5" x14ac:dyDescent="0.35">
      <c r="A15277" s="2" t="str">
        <f ca="1">IFERROR(__xludf.DUMMYFUNCTION("""COMPUTED_VALUE"""),"Al Ain")</f>
        <v>Al Ain</v>
      </c>
      <c r="B15277" s="2" t="str">
        <f ca="1">IFERROR(__xludf.DUMMYFUNCTION("""COMPUTED_VALUE"""),"Sunflower Nursery")</f>
        <v>Sunflower Nursery</v>
      </c>
      <c r="C15277" s="2" t="str">
        <f ca="1">IFERROR(__xludf.DUMMYFUNCTION("""COMPUTED_VALUE"""),"Nursery")</f>
        <v>Nursery</v>
      </c>
      <c r="D15277" s="2" t="str">
        <f ca="1">IFERROR(__xludf.DUMMYFUNCTION("""COMPUTED_VALUE"""),"Al Ain&gt;Falaj Hazzaa&gt;Al Owainah&gt;Sunflower Nursery")</f>
        <v>Al Ain&gt;Falaj Hazzaa&gt;Al Owainah&gt;Sunflower Nursery</v>
      </c>
      <c r="E15277" s="2"/>
      <c r="F15277" s="2"/>
      <c r="G15277" s="2"/>
      <c r="H15277" s="2"/>
      <c r="I15277" s="2"/>
      <c r="J15277" s="2"/>
      <c r="K15277" s="2"/>
      <c r="L15277" s="2"/>
      <c r="M15277" s="2"/>
      <c r="N15277" s="2"/>
      <c r="O15277" s="2"/>
      <c r="P15277" s="2"/>
      <c r="Q15277" s="2"/>
      <c r="R15277" s="2"/>
      <c r="S15277" s="2"/>
      <c r="T15277" s="2"/>
      <c r="U15277" s="2"/>
      <c r="V15277" s="2"/>
      <c r="W15277" s="2"/>
      <c r="X15277" s="2"/>
      <c r="Y15277" s="2"/>
      <c r="Z15277" s="2"/>
    </row>
    <row r="15278" spans="1:26" ht="16.5" x14ac:dyDescent="0.35">
      <c r="A15278" s="2" t="str">
        <f ca="1">IFERROR(__xludf.DUMMYFUNCTION("""COMPUTED_VALUE"""),"Al Ain")</f>
        <v>Al Ain</v>
      </c>
      <c r="B15278" s="2" t="str">
        <f ca="1">IFERROR(__xludf.DUMMYFUNCTION("""COMPUTED_VALUE"""),"Al Agabiyya")</f>
        <v>Al Agabiyya</v>
      </c>
      <c r="C15278" s="2" t="str">
        <f ca="1">IFERROR(__xludf.DUMMYFUNCTION("""COMPUTED_VALUE"""),"Neighbourhood")</f>
        <v>Neighbourhood</v>
      </c>
      <c r="D15278" s="2" t="str">
        <f ca="1">IFERROR(__xludf.DUMMYFUNCTION("""COMPUTED_VALUE"""),"Al Ain&gt;Al Agabiyya")</f>
        <v>Al Ain&gt;Al Agabiyya</v>
      </c>
      <c r="E15278" s="2"/>
      <c r="F15278" s="2"/>
      <c r="G15278" s="2"/>
      <c r="H15278" s="2"/>
      <c r="I15278" s="2"/>
      <c r="J15278" s="2"/>
      <c r="K15278" s="2"/>
      <c r="L15278" s="2"/>
      <c r="M15278" s="2"/>
      <c r="N15278" s="2"/>
      <c r="O15278" s="2"/>
      <c r="P15278" s="2"/>
      <c r="Q15278" s="2"/>
      <c r="R15278" s="2"/>
      <c r="S15278" s="2"/>
      <c r="T15278" s="2"/>
      <c r="U15278" s="2"/>
      <c r="V15278" s="2"/>
      <c r="W15278" s="2"/>
      <c r="X15278" s="2"/>
      <c r="Y15278" s="2"/>
      <c r="Z15278" s="2"/>
    </row>
    <row r="15279" spans="1:26" ht="16.5" x14ac:dyDescent="0.35">
      <c r="A15279" s="2" t="str">
        <f ca="1">IFERROR(__xludf.DUMMYFUNCTION("""COMPUTED_VALUE"""),"Ras Al Khaimah")</f>
        <v>Ras Al Khaimah</v>
      </c>
      <c r="B15279" s="2" t="str">
        <f ca="1">IFERROR(__xludf.DUMMYFUNCTION("""COMPUTED_VALUE"""),"Bermuda Villas")</f>
        <v>Bermuda Villas</v>
      </c>
      <c r="C15279" s="2" t="str">
        <f ca="1">IFERROR(__xludf.DUMMYFUNCTION("""COMPUTED_VALUE"""),"Neighbourhood")</f>
        <v>Neighbourhood</v>
      </c>
      <c r="D15279" s="2" t="str">
        <f ca="1">IFERROR(__xludf.DUMMYFUNCTION("""COMPUTED_VALUE"""),"Ras Al Khaimah&gt;Mina Al Arab&gt;Bermuda Villas")</f>
        <v>Ras Al Khaimah&gt;Mina Al Arab&gt;Bermuda Villas</v>
      </c>
      <c r="E15279" s="2"/>
      <c r="F15279" s="2"/>
      <c r="G15279" s="2"/>
      <c r="H15279" s="2"/>
      <c r="I15279" s="2"/>
      <c r="J15279" s="2"/>
      <c r="K15279" s="2"/>
      <c r="L15279" s="2"/>
      <c r="M15279" s="2"/>
      <c r="N15279" s="2"/>
      <c r="O15279" s="2"/>
      <c r="P15279" s="2"/>
      <c r="Q15279" s="2"/>
      <c r="R15279" s="2"/>
      <c r="S15279" s="2"/>
      <c r="T15279" s="2"/>
      <c r="U15279" s="2"/>
      <c r="V15279" s="2"/>
      <c r="W15279" s="2"/>
      <c r="X15279" s="2"/>
      <c r="Y15279" s="2"/>
      <c r="Z15279" s="2"/>
    </row>
    <row r="15280" spans="1:26" ht="16.5" x14ac:dyDescent="0.35">
      <c r="A15280" s="2" t="str">
        <f ca="1">IFERROR(__xludf.DUMMYFUNCTION("""COMPUTED_VALUE"""),"Ras Al Khaimah")</f>
        <v>Ras Al Khaimah</v>
      </c>
      <c r="B15280" s="2" t="str">
        <f ca="1">IFERROR(__xludf.DUMMYFUNCTION("""COMPUTED_VALUE"""),"Nura")</f>
        <v>Nura</v>
      </c>
      <c r="C15280" s="2" t="str">
        <f ca="1">IFERROR(__xludf.DUMMYFUNCTION("""COMPUTED_VALUE"""),"Building")</f>
        <v>Building</v>
      </c>
      <c r="D15280" s="2" t="str">
        <f ca="1">IFERROR(__xludf.DUMMYFUNCTION("""COMPUTED_VALUE"""),"Ras Al Khaimah&gt;Mina Al Arab&gt;Nura")</f>
        <v>Ras Al Khaimah&gt;Mina Al Arab&gt;Nura</v>
      </c>
      <c r="E15280" s="2"/>
      <c r="F15280" s="2"/>
      <c r="G15280" s="2"/>
      <c r="H15280" s="2"/>
      <c r="I15280" s="2"/>
      <c r="J15280" s="2"/>
      <c r="K15280" s="2"/>
      <c r="L15280" s="2"/>
      <c r="M15280" s="2"/>
      <c r="N15280" s="2"/>
      <c r="O15280" s="2"/>
      <c r="P15280" s="2"/>
      <c r="Q15280" s="2"/>
      <c r="R15280" s="2"/>
      <c r="S15280" s="2"/>
      <c r="T15280" s="2"/>
      <c r="U15280" s="2"/>
      <c r="V15280" s="2"/>
      <c r="W15280" s="2"/>
      <c r="X15280" s="2"/>
      <c r="Y15280" s="2"/>
      <c r="Z15280" s="2"/>
    </row>
    <row r="15281" spans="1:26" ht="16.5" x14ac:dyDescent="0.35">
      <c r="A15281" s="2" t="str">
        <f ca="1">IFERROR(__xludf.DUMMYFUNCTION("""COMPUTED_VALUE"""),"Ras Al Khaimah")</f>
        <v>Ras Al Khaimah</v>
      </c>
      <c r="B15281" s="2" t="str">
        <f ca="1">IFERROR(__xludf.DUMMYFUNCTION("""COMPUTED_VALUE"""),"The Beach Residence")</f>
        <v>The Beach Residence</v>
      </c>
      <c r="C15281" s="2" t="str">
        <f ca="1">IFERROR(__xludf.DUMMYFUNCTION("""COMPUTED_VALUE"""),"Building")</f>
        <v>Building</v>
      </c>
      <c r="D15281" s="2" t="str">
        <f ca="1">IFERROR(__xludf.DUMMYFUNCTION("""COMPUTED_VALUE"""),"Ras Al Khaimah&gt;Al Marjan Island&gt;The Beach Residence")</f>
        <v>Ras Al Khaimah&gt;Al Marjan Island&gt;The Beach Residence</v>
      </c>
      <c r="E15281" s="2"/>
      <c r="F15281" s="2"/>
      <c r="G15281" s="2"/>
      <c r="H15281" s="2"/>
      <c r="I15281" s="2"/>
      <c r="J15281" s="2"/>
      <c r="K15281" s="2"/>
      <c r="L15281" s="2"/>
      <c r="M15281" s="2"/>
      <c r="N15281" s="2"/>
      <c r="O15281" s="2"/>
      <c r="P15281" s="2"/>
      <c r="Q15281" s="2"/>
      <c r="R15281" s="2"/>
      <c r="S15281" s="2"/>
      <c r="T15281" s="2"/>
      <c r="U15281" s="2"/>
      <c r="V15281" s="2"/>
      <c r="W15281" s="2"/>
      <c r="X15281" s="2"/>
      <c r="Y15281" s="2"/>
      <c r="Z15281" s="2"/>
    </row>
    <row r="15282" spans="1:26" ht="16.5" x14ac:dyDescent="0.35">
      <c r="A15282" s="2" t="str">
        <f ca="1">IFERROR(__xludf.DUMMYFUNCTION("""COMPUTED_VALUE"""),"Ras Al Khaimah")</f>
        <v>Ras Al Khaimah</v>
      </c>
      <c r="B15282" s="2" t="str">
        <f ca="1">IFERROR(__xludf.DUMMYFUNCTION("""COMPUTED_VALUE"""),"Oystra")</f>
        <v>Oystra</v>
      </c>
      <c r="C15282" s="2" t="str">
        <f ca="1">IFERROR(__xludf.DUMMYFUNCTION("""COMPUTED_VALUE"""),"Building")</f>
        <v>Building</v>
      </c>
      <c r="D15282" s="2" t="str">
        <f ca="1">IFERROR(__xludf.DUMMYFUNCTION("""COMPUTED_VALUE"""),"Ras Al Khaimah&gt;Al Marjan Island&gt;Oystra")</f>
        <v>Ras Al Khaimah&gt;Al Marjan Island&gt;Oystra</v>
      </c>
      <c r="E15282" s="2"/>
      <c r="F15282" s="2"/>
      <c r="G15282" s="2"/>
      <c r="H15282" s="2"/>
      <c r="I15282" s="2"/>
      <c r="J15282" s="2"/>
      <c r="K15282" s="2"/>
      <c r="L15282" s="2"/>
      <c r="M15282" s="2"/>
      <c r="N15282" s="2"/>
      <c r="O15282" s="2"/>
      <c r="P15282" s="2"/>
      <c r="Q15282" s="2"/>
      <c r="R15282" s="2"/>
      <c r="S15282" s="2"/>
      <c r="T15282" s="2"/>
      <c r="U15282" s="2"/>
      <c r="V15282" s="2"/>
      <c r="W15282" s="2"/>
      <c r="X15282" s="2"/>
      <c r="Y15282" s="2"/>
      <c r="Z15282" s="2"/>
    </row>
    <row r="15283" spans="1:26" ht="16.5" x14ac:dyDescent="0.35">
      <c r="A15283" s="2" t="str">
        <f ca="1">IFERROR(__xludf.DUMMYFUNCTION("""COMPUTED_VALUE"""),"Ras Al Khaimah")</f>
        <v>Ras Al Khaimah</v>
      </c>
      <c r="B15283" s="2" t="str">
        <f ca="1">IFERROR(__xludf.DUMMYFUNCTION("""COMPUTED_VALUE"""),"Royal Breeze 4")</f>
        <v>Royal Breeze 4</v>
      </c>
      <c r="C15283" s="2" t="str">
        <f ca="1">IFERROR(__xludf.DUMMYFUNCTION("""COMPUTED_VALUE"""),"Building")</f>
        <v>Building</v>
      </c>
      <c r="D15283" s="2" t="str">
        <f ca="1">IFERROR(__xludf.DUMMYFUNCTION("""COMPUTED_VALUE"""),"Ras Al Khaimah&gt;Al Hamra Village&gt;Royal Breeze Apartment&gt;Royal Breeze 4")</f>
        <v>Ras Al Khaimah&gt;Al Hamra Village&gt;Royal Breeze Apartment&gt;Royal Breeze 4</v>
      </c>
      <c r="E15283" s="2"/>
      <c r="F15283" s="2"/>
      <c r="G15283" s="2"/>
      <c r="H15283" s="2"/>
      <c r="I15283" s="2"/>
      <c r="J15283" s="2"/>
      <c r="K15283" s="2"/>
      <c r="L15283" s="2"/>
      <c r="M15283" s="2"/>
      <c r="N15283" s="2"/>
      <c r="O15283" s="2"/>
      <c r="P15283" s="2"/>
      <c r="Q15283" s="2"/>
      <c r="R15283" s="2"/>
      <c r="S15283" s="2"/>
      <c r="T15283" s="2"/>
      <c r="U15283" s="2"/>
      <c r="V15283" s="2"/>
      <c r="W15283" s="2"/>
      <c r="X15283" s="2"/>
      <c r="Y15283" s="2"/>
      <c r="Z15283" s="2"/>
    </row>
    <row r="15284" spans="1:26" ht="16.5" x14ac:dyDescent="0.35">
      <c r="A15284" s="2" t="str">
        <f ca="1">IFERROR(__xludf.DUMMYFUNCTION("""COMPUTED_VALUE"""),"Ras Al Khaimah")</f>
        <v>Ras Al Khaimah</v>
      </c>
      <c r="B15284" s="2" t="str">
        <f ca="1">IFERROR(__xludf.DUMMYFUNCTION("""COMPUTED_VALUE"""),"Yasmin Village Building 2")</f>
        <v>Yasmin Village Building 2</v>
      </c>
      <c r="C15284" s="2" t="str">
        <f ca="1">IFERROR(__xludf.DUMMYFUNCTION("""COMPUTED_VALUE"""),"Building")</f>
        <v>Building</v>
      </c>
      <c r="D15284" s="2" t="str">
        <f ca="1">IFERROR(__xludf.DUMMYFUNCTION("""COMPUTED_VALUE"""),"Ras Al Khaimah&gt;Yasmin Village&gt;Yasmin Village Building 2")</f>
        <v>Ras Al Khaimah&gt;Yasmin Village&gt;Yasmin Village Building 2</v>
      </c>
      <c r="E15284" s="2"/>
      <c r="F15284" s="2"/>
      <c r="G15284" s="2"/>
      <c r="H15284" s="2"/>
      <c r="I15284" s="2"/>
      <c r="J15284" s="2"/>
      <c r="K15284" s="2"/>
      <c r="L15284" s="2"/>
      <c r="M15284" s="2"/>
      <c r="N15284" s="2"/>
      <c r="O15284" s="2"/>
      <c r="P15284" s="2"/>
      <c r="Q15284" s="2"/>
      <c r="R15284" s="2"/>
      <c r="S15284" s="2"/>
      <c r="T15284" s="2"/>
      <c r="U15284" s="2"/>
      <c r="V15284" s="2"/>
      <c r="W15284" s="2"/>
      <c r="X15284" s="2"/>
      <c r="Y15284" s="2"/>
      <c r="Z15284" s="2"/>
    </row>
    <row r="15285" spans="1:26" ht="16.5" x14ac:dyDescent="0.35">
      <c r="A15285" s="2" t="str">
        <f ca="1">IFERROR(__xludf.DUMMYFUNCTION("""COMPUTED_VALUE"""),"Ras Al Khaimah")</f>
        <v>Ras Al Khaimah</v>
      </c>
      <c r="B15285" s="2" t="str">
        <f ca="1">IFERROR(__xludf.DUMMYFUNCTION("""COMPUTED_VALUE"""),"Indian School, Ras Al Khaimah")</f>
        <v>Indian School, Ras Al Khaimah</v>
      </c>
      <c r="C15285" s="2" t="str">
        <f ca="1">IFERROR(__xludf.DUMMYFUNCTION("""COMPUTED_VALUE"""),"School")</f>
        <v>School</v>
      </c>
      <c r="D15285" s="2" t="str">
        <f ca="1">IFERROR(__xludf.DUMMYFUNCTION("""COMPUTED_VALUE"""),"Ras Al Khaimah&gt;Al Mamourah&gt;Indian School, Ras Al Khaimah")</f>
        <v>Ras Al Khaimah&gt;Al Mamourah&gt;Indian School, Ras Al Khaimah</v>
      </c>
      <c r="E15285" s="2"/>
      <c r="F15285" s="2"/>
      <c r="G15285" s="2"/>
      <c r="H15285" s="2"/>
      <c r="I15285" s="2"/>
      <c r="J15285" s="2"/>
      <c r="K15285" s="2"/>
      <c r="L15285" s="2"/>
      <c r="M15285" s="2"/>
      <c r="N15285" s="2"/>
      <c r="O15285" s="2"/>
      <c r="P15285" s="2"/>
      <c r="Q15285" s="2"/>
      <c r="R15285" s="2"/>
      <c r="S15285" s="2"/>
      <c r="T15285" s="2"/>
      <c r="U15285" s="2"/>
      <c r="V15285" s="2"/>
      <c r="W15285" s="2"/>
      <c r="X15285" s="2"/>
      <c r="Y15285" s="2"/>
      <c r="Z15285" s="2"/>
    </row>
    <row r="15286" spans="1:26" ht="16.5" x14ac:dyDescent="0.35">
      <c r="A15286" s="2" t="str">
        <f ca="1">IFERROR(__xludf.DUMMYFUNCTION("""COMPUTED_VALUE"""),"Ras Al Khaimah")</f>
        <v>Ras Al Khaimah</v>
      </c>
      <c r="B15286" s="2" t="str">
        <f ca="1">IFERROR(__xludf.DUMMYFUNCTION("""COMPUTED_VALUE"""),"Al Duhaisah")</f>
        <v>Al Duhaisah</v>
      </c>
      <c r="C15286" s="2" t="str">
        <f ca="1">IFERROR(__xludf.DUMMYFUNCTION("""COMPUTED_VALUE"""),"Neighbourhood")</f>
        <v>Neighbourhood</v>
      </c>
      <c r="D15286" s="2" t="str">
        <f ca="1">IFERROR(__xludf.DUMMYFUNCTION("""COMPUTED_VALUE"""),"Ras Al Khaimah&gt;Al Duhaisah")</f>
        <v>Ras Al Khaimah&gt;Al Duhaisah</v>
      </c>
      <c r="E15286" s="2"/>
      <c r="F15286" s="2"/>
      <c r="G15286" s="2"/>
      <c r="H15286" s="2"/>
      <c r="I15286" s="2"/>
      <c r="J15286" s="2"/>
      <c r="K15286" s="2"/>
      <c r="L15286" s="2"/>
      <c r="M15286" s="2"/>
      <c r="N15286" s="2"/>
      <c r="O15286" s="2"/>
      <c r="P15286" s="2"/>
      <c r="Q15286" s="2"/>
      <c r="R15286" s="2"/>
      <c r="S15286" s="2"/>
      <c r="T15286" s="2"/>
      <c r="U15286" s="2"/>
      <c r="V15286" s="2"/>
      <c r="W15286" s="2"/>
      <c r="X15286" s="2"/>
      <c r="Y15286" s="2"/>
      <c r="Z15286" s="2"/>
    </row>
    <row r="15287" spans="1:26" ht="16.5" x14ac:dyDescent="0.35">
      <c r="A15287" s="2" t="str">
        <f ca="1">IFERROR(__xludf.DUMMYFUNCTION("""COMPUTED_VALUE"""),"Ras Al Khaimah")</f>
        <v>Ras Al Khaimah</v>
      </c>
      <c r="B15287" s="2" t="str">
        <f ca="1">IFERROR(__xludf.DUMMYFUNCTION("""COMPUTED_VALUE"""),"Seih Al Qusaidat")</f>
        <v>Seih Al Qusaidat</v>
      </c>
      <c r="C15287" s="2"/>
      <c r="D15287" s="2" t="str">
        <f ca="1">IFERROR(__xludf.DUMMYFUNCTION("""COMPUTED_VALUE"""),"Ras Al Khaimah&gt;Seih Al Qusaidat")</f>
        <v>Ras Al Khaimah&gt;Seih Al Qusaidat</v>
      </c>
      <c r="E15287" s="2"/>
      <c r="F15287" s="2"/>
      <c r="G15287" s="2"/>
      <c r="H15287" s="2"/>
      <c r="I15287" s="2"/>
      <c r="J15287" s="2"/>
      <c r="K15287" s="2"/>
      <c r="L15287" s="2"/>
      <c r="M15287" s="2"/>
      <c r="N15287" s="2"/>
      <c r="O15287" s="2"/>
      <c r="P15287" s="2"/>
      <c r="Q15287" s="2"/>
      <c r="R15287" s="2"/>
      <c r="S15287" s="2"/>
      <c r="T15287" s="2"/>
      <c r="U15287" s="2"/>
      <c r="V15287" s="2"/>
      <c r="W15287" s="2"/>
      <c r="X15287" s="2"/>
      <c r="Y15287" s="2"/>
      <c r="Z15287" s="2"/>
    </row>
    <row r="15288" spans="1:26" ht="16.5" x14ac:dyDescent="0.35">
      <c r="A15288" s="2" t="str">
        <f ca="1">IFERROR(__xludf.DUMMYFUNCTION("""COMPUTED_VALUE"""),"Umm Al Quwain")</f>
        <v>Umm Al Quwain</v>
      </c>
      <c r="B15288" s="2" t="str">
        <f ca="1">IFERROR(__xludf.DUMMYFUNCTION("""COMPUTED_VALUE"""),"Umm Al Thuoob")</f>
        <v>Umm Al Thuoob</v>
      </c>
      <c r="C15288" s="2" t="str">
        <f ca="1">IFERROR(__xludf.DUMMYFUNCTION("""COMPUTED_VALUE"""),"Neighbourhood")</f>
        <v>Neighbourhood</v>
      </c>
      <c r="D15288" s="2" t="str">
        <f ca="1">IFERROR(__xludf.DUMMYFUNCTION("""COMPUTED_VALUE"""),"Umm Al Quwain&gt;Umm Al Thuoob")</f>
        <v>Umm Al Quwain&gt;Umm Al Thuoob</v>
      </c>
      <c r="E15288" s="2"/>
      <c r="F15288" s="2"/>
      <c r="G15288" s="2"/>
      <c r="H15288" s="2"/>
      <c r="I15288" s="2"/>
      <c r="J15288" s="2"/>
      <c r="K15288" s="2"/>
      <c r="L15288" s="2"/>
      <c r="M15288" s="2"/>
      <c r="N15288" s="2"/>
      <c r="O15288" s="2"/>
      <c r="P15288" s="2"/>
      <c r="Q15288" s="2"/>
      <c r="R15288" s="2"/>
      <c r="S15288" s="2"/>
      <c r="T15288" s="2"/>
      <c r="U15288" s="2"/>
      <c r="V15288" s="2"/>
      <c r="W15288" s="2"/>
      <c r="X15288" s="2"/>
      <c r="Y15288" s="2"/>
      <c r="Z15288" s="2"/>
    </row>
    <row r="15289" spans="1:26" ht="16.5" x14ac:dyDescent="0.35">
      <c r="A15289" s="2" t="str">
        <f ca="1">IFERROR(__xludf.DUMMYFUNCTION("""COMPUTED_VALUE"""),"Umm Al Quwain")</f>
        <v>Umm Al Quwain</v>
      </c>
      <c r="B15289" s="2" t="str">
        <f ca="1">IFERROR(__xludf.DUMMYFUNCTION("""COMPUTED_VALUE"""),"Falaj Al Mualla")</f>
        <v>Falaj Al Mualla</v>
      </c>
      <c r="C15289" s="2" t="str">
        <f ca="1">IFERROR(__xludf.DUMMYFUNCTION("""COMPUTED_VALUE"""),"Neighbourhood")</f>
        <v>Neighbourhood</v>
      </c>
      <c r="D15289" s="2" t="str">
        <f ca="1">IFERROR(__xludf.DUMMYFUNCTION("""COMPUTED_VALUE"""),"Umm Al Quwain&gt;Falaj Al Mualla")</f>
        <v>Umm Al Quwain&gt;Falaj Al Mualla</v>
      </c>
      <c r="E15289" s="2"/>
      <c r="F15289" s="2"/>
      <c r="G15289" s="2"/>
      <c r="H15289" s="2"/>
      <c r="I15289" s="2"/>
      <c r="J15289" s="2"/>
      <c r="K15289" s="2"/>
      <c r="L15289" s="2"/>
      <c r="M15289" s="2"/>
      <c r="N15289" s="2"/>
      <c r="O15289" s="2"/>
      <c r="P15289" s="2"/>
      <c r="Q15289" s="2"/>
      <c r="R15289" s="2"/>
      <c r="S15289" s="2"/>
      <c r="T15289" s="2"/>
      <c r="U15289" s="2"/>
      <c r="V15289" s="2"/>
      <c r="W15289" s="2"/>
      <c r="X15289" s="2"/>
      <c r="Y15289" s="2"/>
      <c r="Z15289" s="2"/>
    </row>
    <row r="15290" spans="1:26" ht="16.5" x14ac:dyDescent="0.35">
      <c r="A15290" s="2" t="str">
        <f ca="1">IFERROR(__xludf.DUMMYFUNCTION("""COMPUTED_VALUE"""),"Umm Al Quwain")</f>
        <v>Umm Al Quwain</v>
      </c>
      <c r="B15290" s="2" t="str">
        <f ca="1">IFERROR(__xludf.DUMMYFUNCTION("""COMPUTED_VALUE"""),"Delphine Beach Residences Tower B")</f>
        <v>Delphine Beach Residences Tower B</v>
      </c>
      <c r="C15290" s="2" t="str">
        <f ca="1">IFERROR(__xludf.DUMMYFUNCTION("""COMPUTED_VALUE"""),"Building")</f>
        <v>Building</v>
      </c>
      <c r="D15290" s="2" t="str">
        <f ca="1">IFERROR(__xludf.DUMMYFUNCTION("""COMPUTED_VALUE"""),"Umm Al Quwain&gt;Al Seanneeah&gt;Sobha Siniya Island&gt;Delphine Beach Residences&gt;Delphine Beach Residences Tower B")</f>
        <v>Umm Al Quwain&gt;Al Seanneeah&gt;Sobha Siniya Island&gt;Delphine Beach Residences&gt;Delphine Beach Residences Tower B</v>
      </c>
      <c r="E15290" s="2"/>
      <c r="F15290" s="2"/>
      <c r="G15290" s="2"/>
      <c r="H15290" s="2"/>
      <c r="I15290" s="2"/>
      <c r="J15290" s="2"/>
      <c r="K15290" s="2"/>
      <c r="L15290" s="2"/>
      <c r="M15290" s="2"/>
      <c r="N15290" s="2"/>
      <c r="O15290" s="2"/>
      <c r="P15290" s="2"/>
      <c r="Q15290" s="2"/>
      <c r="R15290" s="2"/>
      <c r="S15290" s="2"/>
      <c r="T15290" s="2"/>
      <c r="U15290" s="2"/>
      <c r="V15290" s="2"/>
      <c r="W15290" s="2"/>
      <c r="X15290" s="2"/>
      <c r="Y15290" s="2"/>
      <c r="Z15290" s="2"/>
    </row>
    <row r="15291" spans="1:26" ht="16.5" x14ac:dyDescent="0.35">
      <c r="A15291" s="2" t="str">
        <f ca="1">IFERROR(__xludf.DUMMYFUNCTION("""COMPUTED_VALUE"""),"Umm Al Quwain")</f>
        <v>Umm Al Quwain</v>
      </c>
      <c r="B15291" s="2" t="str">
        <f ca="1">IFERROR(__xludf.DUMMYFUNCTION("""COMPUTED_VALUE"""),"Yachtside Marina Residences")</f>
        <v>Yachtside Marina Residences</v>
      </c>
      <c r="C15291" s="2" t="str">
        <f ca="1">IFERROR(__xludf.DUMMYFUNCTION("""COMPUTED_VALUE"""),"Cluster")</f>
        <v>Cluster</v>
      </c>
      <c r="D15291" s="2" t="str">
        <f ca="1">IFERROR(__xludf.DUMMYFUNCTION("""COMPUTED_VALUE"""),"Umm Al Quwain&gt;Al Seanneeah&gt;Sobha Siniya Island&gt;Yachtside Marina Residences")</f>
        <v>Umm Al Quwain&gt;Al Seanneeah&gt;Sobha Siniya Island&gt;Yachtside Marina Residences</v>
      </c>
      <c r="E15291" s="2"/>
      <c r="F15291" s="2"/>
      <c r="G15291" s="2"/>
      <c r="H15291" s="2"/>
      <c r="I15291" s="2"/>
      <c r="J15291" s="2"/>
      <c r="K15291" s="2"/>
      <c r="L15291" s="2"/>
      <c r="M15291" s="2"/>
      <c r="N15291" s="2"/>
      <c r="O15291" s="2"/>
      <c r="P15291" s="2"/>
      <c r="Q15291" s="2"/>
      <c r="R15291" s="2"/>
      <c r="S15291" s="2"/>
      <c r="T15291" s="2"/>
      <c r="U15291" s="2"/>
      <c r="V15291" s="2"/>
      <c r="W15291" s="2"/>
      <c r="X15291" s="2"/>
      <c r="Y15291" s="2"/>
      <c r="Z15291" s="2"/>
    </row>
    <row r="15292" spans="1:26" ht="16.5" x14ac:dyDescent="0.35">
      <c r="A15292" s="2" t="str">
        <f ca="1">IFERROR(__xludf.DUMMYFUNCTION("""COMPUTED_VALUE"""),"Fujairah")</f>
        <v>Fujairah</v>
      </c>
      <c r="B15292" s="2" t="str">
        <f ca="1">IFERROR(__xludf.DUMMYFUNCTION("""COMPUTED_VALUE"""),"Mattar Residence Mirbah")</f>
        <v>Mattar Residence Mirbah</v>
      </c>
      <c r="C15292" s="2" t="str">
        <f ca="1">IFERROR(__xludf.DUMMYFUNCTION("""COMPUTED_VALUE"""),"Building")</f>
        <v>Building</v>
      </c>
      <c r="D15292" s="2" t="str">
        <f ca="1">IFERROR(__xludf.DUMMYFUNCTION("""COMPUTED_VALUE"""),"Fujairah&gt;Mirbah&gt;Mattar Residence Mirbah")</f>
        <v>Fujairah&gt;Mirbah&gt;Mattar Residence Mirbah</v>
      </c>
      <c r="E15292" s="2"/>
      <c r="F15292" s="2"/>
      <c r="G15292" s="2"/>
      <c r="H15292" s="2"/>
      <c r="I15292" s="2"/>
      <c r="J15292" s="2"/>
      <c r="K15292" s="2"/>
      <c r="L15292" s="2"/>
      <c r="M15292" s="2"/>
      <c r="N15292" s="2"/>
      <c r="O15292" s="2"/>
      <c r="P15292" s="2"/>
      <c r="Q15292" s="2"/>
      <c r="R15292" s="2"/>
      <c r="S15292" s="2"/>
      <c r="T15292" s="2"/>
      <c r="U15292" s="2"/>
      <c r="V15292" s="2"/>
      <c r="W15292" s="2"/>
      <c r="X15292" s="2"/>
      <c r="Y15292" s="2"/>
      <c r="Z15292" s="2"/>
    </row>
    <row r="15293" spans="1:26" ht="16.5" x14ac:dyDescent="0.35">
      <c r="A15293" s="2" t="str">
        <f ca="1">IFERROR(__xludf.DUMMYFUNCTION("""COMPUTED_VALUE"""),"Fujairah")</f>
        <v>Fujairah</v>
      </c>
      <c r="B15293" s="2" t="str">
        <f ca="1">IFERROR(__xludf.DUMMYFUNCTION("""COMPUTED_VALUE"""),"Mattar Residence 5")</f>
        <v>Mattar Residence 5</v>
      </c>
      <c r="C15293" s="2" t="str">
        <f ca="1">IFERROR(__xludf.DUMMYFUNCTION("""COMPUTED_VALUE"""),"Building")</f>
        <v>Building</v>
      </c>
      <c r="D15293" s="2" t="str">
        <f ca="1">IFERROR(__xludf.DUMMYFUNCTION("""COMPUTED_VALUE"""),"Fujairah&gt;Al Faseel Area&gt;Mattar Residence 5")</f>
        <v>Fujairah&gt;Al Faseel Area&gt;Mattar Residence 5</v>
      </c>
      <c r="E15293" s="2"/>
      <c r="F15293" s="2"/>
      <c r="G15293" s="2"/>
      <c r="H15293" s="2"/>
      <c r="I15293" s="2"/>
      <c r="J15293" s="2"/>
      <c r="K15293" s="2"/>
      <c r="L15293" s="2"/>
      <c r="M15293" s="2"/>
      <c r="N15293" s="2"/>
      <c r="O15293" s="2"/>
      <c r="P15293" s="2"/>
      <c r="Q15293" s="2"/>
      <c r="R15293" s="2"/>
      <c r="S15293" s="2"/>
      <c r="T15293" s="2"/>
      <c r="U15293" s="2"/>
      <c r="V15293" s="2"/>
      <c r="W15293" s="2"/>
      <c r="X15293" s="2"/>
      <c r="Y15293" s="2"/>
      <c r="Z15293" s="2"/>
    </row>
    <row r="15294" spans="1:26" ht="16.5" x14ac:dyDescent="0.35">
      <c r="A15294" s="2" t="str">
        <f ca="1">IFERROR(__xludf.DUMMYFUNCTION("""COMPUTED_VALUE"""),"Fujairah")</f>
        <v>Fujairah</v>
      </c>
      <c r="B15294" s="2" t="str">
        <f ca="1">IFERROR(__xludf.DUMMYFUNCTION("""COMPUTED_VALUE"""),"Ocean Living")</f>
        <v>Ocean Living</v>
      </c>
      <c r="C15294" s="2" t="str">
        <f ca="1">IFERROR(__xludf.DUMMYFUNCTION("""COMPUTED_VALUE"""),"Neighbourhood")</f>
        <v>Neighbourhood</v>
      </c>
      <c r="D15294" s="2" t="str">
        <f ca="1">IFERROR(__xludf.DUMMYFUNCTION("""COMPUTED_VALUE"""),"Fujairah&gt;Ocean Living")</f>
        <v>Fujairah&gt;Ocean Living</v>
      </c>
      <c r="E15294" s="2"/>
      <c r="F15294" s="2"/>
      <c r="G15294" s="2"/>
      <c r="H15294" s="2"/>
      <c r="I15294" s="2"/>
      <c r="J15294" s="2"/>
      <c r="K15294" s="2"/>
      <c r="L15294" s="2"/>
      <c r="M15294" s="2"/>
      <c r="N15294" s="2"/>
      <c r="O15294" s="2"/>
      <c r="P15294" s="2"/>
      <c r="Q15294" s="2"/>
      <c r="R15294" s="2"/>
      <c r="S15294" s="2"/>
      <c r="T15294" s="2"/>
      <c r="U15294" s="2"/>
      <c r="V15294" s="2"/>
      <c r="W15294" s="2"/>
      <c r="X15294" s="2"/>
      <c r="Y15294" s="2"/>
      <c r="Z15294" s="2"/>
    </row>
    <row r="15295" spans="1:26" ht="16.5" x14ac:dyDescent="0.35">
      <c r="A15295" s="2" t="str">
        <f ca="1">IFERROR(__xludf.DUMMYFUNCTION("""COMPUTED_VALUE"""),"Dubai")</f>
        <v>Dubai</v>
      </c>
      <c r="B15295" s="2" t="str">
        <f ca="1">IFERROR(__xludf.DUMMYFUNCTION("""COMPUTED_VALUE"""),"Sultan Ahmed Nasser Lootah Building")</f>
        <v>Sultan Ahmed Nasser Lootah Building</v>
      </c>
      <c r="C15295" s="2" t="str">
        <f ca="1">IFERROR(__xludf.DUMMYFUNCTION("""COMPUTED_VALUE"""),"Building")</f>
        <v>Building</v>
      </c>
      <c r="D15295" s="2" t="str">
        <f ca="1">IFERROR(__xludf.DUMMYFUNCTION("""COMPUTED_VALUE"""),"Dubai&gt;Al Qusais&gt;Al Qusais Residential Area&gt;Al Qusais 2&gt;Sultan Ahmed Nasser Lootah Building")</f>
        <v>Dubai&gt;Al Qusais&gt;Al Qusais Residential Area&gt;Al Qusais 2&gt;Sultan Ahmed Nasser Lootah Building</v>
      </c>
      <c r="E15295" s="2"/>
      <c r="F15295" s="2"/>
      <c r="G15295" s="2"/>
      <c r="H15295" s="2"/>
      <c r="I15295" s="2"/>
      <c r="J15295" s="2"/>
      <c r="K15295" s="2"/>
      <c r="L15295" s="2"/>
      <c r="M15295" s="2"/>
      <c r="N15295" s="2"/>
      <c r="O15295" s="2"/>
      <c r="P15295" s="2"/>
      <c r="Q15295" s="2"/>
      <c r="R15295" s="2"/>
      <c r="S15295" s="2"/>
      <c r="T15295" s="2"/>
      <c r="U15295" s="2"/>
      <c r="V15295" s="2"/>
      <c r="W15295" s="2"/>
      <c r="X15295" s="2"/>
      <c r="Y15295" s="2"/>
      <c r="Z15295" s="2"/>
    </row>
    <row r="15296" spans="1:26" ht="16.5" x14ac:dyDescent="0.35">
      <c r="A15296" s="2" t="str">
        <f ca="1">IFERROR(__xludf.DUMMYFUNCTION("""COMPUTED_VALUE"""),"Dubai")</f>
        <v>Dubai</v>
      </c>
      <c r="B15296" s="2" t="str">
        <f ca="1">IFERROR(__xludf.DUMMYFUNCTION("""COMPUTED_VALUE"""),"Al Mulla Building")</f>
        <v>Al Mulla Building</v>
      </c>
      <c r="C15296" s="2" t="str">
        <f ca="1">IFERROR(__xludf.DUMMYFUNCTION("""COMPUTED_VALUE"""),"Building")</f>
        <v>Building</v>
      </c>
      <c r="D15296" s="2" t="str">
        <f ca="1">IFERROR(__xludf.DUMMYFUNCTION("""COMPUTED_VALUE"""),"Dubai&gt;Al Qusais&gt;Al Qusais Residential Area&gt;Al Qusais 1&gt;Al Mulla Building")</f>
        <v>Dubai&gt;Al Qusais&gt;Al Qusais Residential Area&gt;Al Qusais 1&gt;Al Mulla Building</v>
      </c>
      <c r="E15296" s="2"/>
      <c r="F15296" s="2"/>
      <c r="G15296" s="2"/>
      <c r="H15296" s="2"/>
      <c r="I15296" s="2"/>
      <c r="J15296" s="2"/>
      <c r="K15296" s="2"/>
      <c r="L15296" s="2"/>
      <c r="M15296" s="2"/>
      <c r="N15296" s="2"/>
      <c r="O15296" s="2"/>
      <c r="P15296" s="2"/>
      <c r="Q15296" s="2"/>
      <c r="R15296" s="2"/>
      <c r="S15296" s="2"/>
      <c r="T15296" s="2"/>
      <c r="U15296" s="2"/>
      <c r="V15296" s="2"/>
      <c r="W15296" s="2"/>
      <c r="X15296" s="2"/>
      <c r="Y15296" s="2"/>
      <c r="Z15296" s="2"/>
    </row>
    <row r="15297" spans="1:26" ht="16.5" x14ac:dyDescent="0.35">
      <c r="A15297" s="2" t="str">
        <f ca="1">IFERROR(__xludf.DUMMYFUNCTION("""COMPUTED_VALUE"""),"Dubai")</f>
        <v>Dubai</v>
      </c>
      <c r="B15297" s="2" t="str">
        <f ca="1">IFERROR(__xludf.DUMMYFUNCTION("""COMPUTED_VALUE"""),"Hamad Saeed Malhoof Ajtabi Building")</f>
        <v>Hamad Saeed Malhoof Ajtabi Building</v>
      </c>
      <c r="C15297" s="2" t="str">
        <f ca="1">IFERROR(__xludf.DUMMYFUNCTION("""COMPUTED_VALUE"""),"Building")</f>
        <v>Building</v>
      </c>
      <c r="D15297" s="2" t="str">
        <f ca="1">IFERROR(__xludf.DUMMYFUNCTION("""COMPUTED_VALUE"""),"Dubai&gt;Al Qusais&gt;Al Qusais Residential Area&gt;Al Qusais 1&gt;Hamad Saeed Malhoof Ajtabi Building")</f>
        <v>Dubai&gt;Al Qusais&gt;Al Qusais Residential Area&gt;Al Qusais 1&gt;Hamad Saeed Malhoof Ajtabi Building</v>
      </c>
      <c r="E15297" s="2"/>
      <c r="F15297" s="2"/>
      <c r="G15297" s="2"/>
      <c r="H15297" s="2"/>
      <c r="I15297" s="2"/>
      <c r="J15297" s="2"/>
      <c r="K15297" s="2"/>
      <c r="L15297" s="2"/>
      <c r="M15297" s="2"/>
      <c r="N15297" s="2"/>
      <c r="O15297" s="2"/>
      <c r="P15297" s="2"/>
      <c r="Q15297" s="2"/>
      <c r="R15297" s="2"/>
      <c r="S15297" s="2"/>
      <c r="T15297" s="2"/>
      <c r="U15297" s="2"/>
      <c r="V15297" s="2"/>
      <c r="W15297" s="2"/>
      <c r="X15297" s="2"/>
      <c r="Y15297" s="2"/>
      <c r="Z15297" s="2"/>
    </row>
    <row r="15298" spans="1:26" ht="16.5" x14ac:dyDescent="0.35">
      <c r="A15298" s="2" t="str">
        <f ca="1">IFERROR(__xludf.DUMMYFUNCTION("""COMPUTED_VALUE"""),"Dubai")</f>
        <v>Dubai</v>
      </c>
      <c r="B15298" s="2" t="str">
        <f ca="1">IFERROR(__xludf.DUMMYFUNCTION("""COMPUTED_VALUE"""),"Nasser Rashid Majid Lootah Building")</f>
        <v>Nasser Rashid Majid Lootah Building</v>
      </c>
      <c r="C15298" s="2" t="str">
        <f ca="1">IFERROR(__xludf.DUMMYFUNCTION("""COMPUTED_VALUE"""),"Building")</f>
        <v>Building</v>
      </c>
      <c r="D15298" s="2" t="str">
        <f ca="1">IFERROR(__xludf.DUMMYFUNCTION("""COMPUTED_VALUE"""),"Dubai&gt;Al Qusais&gt;Al Qusais Industrial Area&gt;Al Qusais Industrial 1&gt;Nasser Rashid Majid Lootah Building")</f>
        <v>Dubai&gt;Al Qusais&gt;Al Qusais Industrial Area&gt;Al Qusais Industrial 1&gt;Nasser Rashid Majid Lootah Building</v>
      </c>
      <c r="E15298" s="2"/>
      <c r="F15298" s="2"/>
      <c r="G15298" s="2"/>
      <c r="H15298" s="2"/>
      <c r="I15298" s="2"/>
      <c r="J15298" s="2"/>
      <c r="K15298" s="2"/>
      <c r="L15298" s="2"/>
      <c r="M15298" s="2"/>
      <c r="N15298" s="2"/>
      <c r="O15298" s="2"/>
      <c r="P15298" s="2"/>
      <c r="Q15298" s="2"/>
      <c r="R15298" s="2"/>
      <c r="S15298" s="2"/>
      <c r="T15298" s="2"/>
      <c r="U15298" s="2"/>
      <c r="V15298" s="2"/>
      <c r="W15298" s="2"/>
      <c r="X15298" s="2"/>
      <c r="Y15298" s="2"/>
      <c r="Z15298" s="2"/>
    </row>
    <row r="15299" spans="1:26" ht="16.5" x14ac:dyDescent="0.35">
      <c r="A15299" s="2" t="str">
        <f ca="1">IFERROR(__xludf.DUMMYFUNCTION("""COMPUTED_VALUE"""),"Dubai")</f>
        <v>Dubai</v>
      </c>
      <c r="B15299" s="2" t="str">
        <f ca="1">IFERROR(__xludf.DUMMYFUNCTION("""COMPUTED_VALUE"""),"Mulberry 1 Building B2")</f>
        <v>Mulberry 1 Building B2</v>
      </c>
      <c r="C15299" s="2" t="str">
        <f ca="1">IFERROR(__xludf.DUMMYFUNCTION("""COMPUTED_VALUE"""),"Building")</f>
        <v>Building</v>
      </c>
      <c r="D15299" s="2" t="str">
        <f ca="1">IFERROR(__xludf.DUMMYFUNCTION("""COMPUTED_VALUE"""),"Dubai&gt;Dubai Hills Estate&gt;Park Heights&gt;Mulberry 1&gt;Mulberry 1 Building B2")</f>
        <v>Dubai&gt;Dubai Hills Estate&gt;Park Heights&gt;Mulberry 1&gt;Mulberry 1 Building B2</v>
      </c>
      <c r="E15299" s="2"/>
      <c r="F15299" s="2"/>
      <c r="G15299" s="2"/>
      <c r="H15299" s="2"/>
      <c r="I15299" s="2"/>
      <c r="J15299" s="2"/>
      <c r="K15299" s="2"/>
      <c r="L15299" s="2"/>
      <c r="M15299" s="2"/>
      <c r="N15299" s="2"/>
      <c r="O15299" s="2"/>
      <c r="P15299" s="2"/>
      <c r="Q15299" s="2"/>
      <c r="R15299" s="2"/>
      <c r="S15299" s="2"/>
      <c r="T15299" s="2"/>
      <c r="U15299" s="2"/>
      <c r="V15299" s="2"/>
      <c r="W15299" s="2"/>
      <c r="X15299" s="2"/>
      <c r="Y15299" s="2"/>
      <c r="Z15299" s="2"/>
    </row>
    <row r="15300" spans="1:26" ht="16.5" x14ac:dyDescent="0.35">
      <c r="A15300" s="2" t="str">
        <f ca="1">IFERROR(__xludf.DUMMYFUNCTION("""COMPUTED_VALUE"""),"Dubai")</f>
        <v>Dubai</v>
      </c>
      <c r="B15300" s="2" t="str">
        <f ca="1">IFERROR(__xludf.DUMMYFUNCTION("""COMPUTED_VALUE"""),"Golf Grove")</f>
        <v>Golf Grove</v>
      </c>
      <c r="C15300" s="2" t="str">
        <f ca="1">IFERROR(__xludf.DUMMYFUNCTION("""COMPUTED_VALUE"""),"Neighbourhood")</f>
        <v>Neighbourhood</v>
      </c>
      <c r="D15300" s="2" t="str">
        <f ca="1">IFERROR(__xludf.DUMMYFUNCTION("""COMPUTED_VALUE"""),"Dubai&gt;Dubai Hills Estate&gt;Golf Grove")</f>
        <v>Dubai&gt;Dubai Hills Estate&gt;Golf Grove</v>
      </c>
      <c r="E15300" s="2"/>
      <c r="F15300" s="2"/>
      <c r="G15300" s="2"/>
      <c r="H15300" s="2"/>
      <c r="I15300" s="2"/>
      <c r="J15300" s="2"/>
      <c r="K15300" s="2"/>
      <c r="L15300" s="2"/>
      <c r="M15300" s="2"/>
      <c r="N15300" s="2"/>
      <c r="O15300" s="2"/>
      <c r="P15300" s="2"/>
      <c r="Q15300" s="2"/>
      <c r="R15300" s="2"/>
      <c r="S15300" s="2"/>
      <c r="T15300" s="2"/>
      <c r="U15300" s="2"/>
      <c r="V15300" s="2"/>
      <c r="W15300" s="2"/>
      <c r="X15300" s="2"/>
      <c r="Y15300" s="2"/>
      <c r="Z15300" s="2"/>
    </row>
    <row r="15301" spans="1:26" ht="16.5" x14ac:dyDescent="0.35">
      <c r="A15301" s="2" t="str">
        <f ca="1">IFERROR(__xludf.DUMMYFUNCTION("""COMPUTED_VALUE"""),"Dubai")</f>
        <v>Dubai</v>
      </c>
      <c r="B15301" s="2" t="str">
        <f ca="1">IFERROR(__xludf.DUMMYFUNCTION("""COMPUTED_VALUE"""),"Park Field Building 1")</f>
        <v>Park Field Building 1</v>
      </c>
      <c r="C15301" s="2" t="str">
        <f ca="1">IFERROR(__xludf.DUMMYFUNCTION("""COMPUTED_VALUE"""),"Building")</f>
        <v>Building</v>
      </c>
      <c r="D15301" s="2" t="str">
        <f ca="1">IFERROR(__xludf.DUMMYFUNCTION("""COMPUTED_VALUE"""),"Dubai&gt;Dubai Hills Estate&gt;Park Field&gt;Park Field Building 1")</f>
        <v>Dubai&gt;Dubai Hills Estate&gt;Park Field&gt;Park Field Building 1</v>
      </c>
      <c r="E15301" s="2"/>
      <c r="F15301" s="2"/>
      <c r="G15301" s="2"/>
      <c r="H15301" s="2"/>
      <c r="I15301" s="2"/>
      <c r="J15301" s="2"/>
      <c r="K15301" s="2"/>
      <c r="L15301" s="2"/>
      <c r="M15301" s="2"/>
      <c r="N15301" s="2"/>
      <c r="O15301" s="2"/>
      <c r="P15301" s="2"/>
      <c r="Q15301" s="2"/>
      <c r="R15301" s="2"/>
      <c r="S15301" s="2"/>
      <c r="T15301" s="2"/>
      <c r="U15301" s="2"/>
      <c r="V15301" s="2"/>
      <c r="W15301" s="2"/>
      <c r="X15301" s="2"/>
      <c r="Y15301" s="2"/>
      <c r="Z15301" s="2"/>
    </row>
    <row r="15302" spans="1:26" ht="16.5" x14ac:dyDescent="0.35">
      <c r="A15302" s="2" t="str">
        <f ca="1">IFERROR(__xludf.DUMMYFUNCTION("""COMPUTED_VALUE"""),"Dubai")</f>
        <v>Dubai</v>
      </c>
      <c r="B15302" s="2" t="str">
        <f ca="1">IFERROR(__xludf.DUMMYFUNCTION("""COMPUTED_VALUE"""),"Sidra 3")</f>
        <v>Sidra 3</v>
      </c>
      <c r="C15302" s="2" t="str">
        <f ca="1">IFERROR(__xludf.DUMMYFUNCTION("""COMPUTED_VALUE"""),"Neighbourhood")</f>
        <v>Neighbourhood</v>
      </c>
      <c r="D15302" s="2" t="str">
        <f ca="1">IFERROR(__xludf.DUMMYFUNCTION("""COMPUTED_VALUE"""),"Dubai&gt;Dubai Hills Estate&gt;Sidra Villas&gt;Sidra 3")</f>
        <v>Dubai&gt;Dubai Hills Estate&gt;Sidra Villas&gt;Sidra 3</v>
      </c>
      <c r="E15302" s="2"/>
      <c r="F15302" s="2"/>
      <c r="G15302" s="2"/>
      <c r="H15302" s="2"/>
      <c r="I15302" s="2"/>
      <c r="J15302" s="2"/>
      <c r="K15302" s="2"/>
      <c r="L15302" s="2"/>
      <c r="M15302" s="2"/>
      <c r="N15302" s="2"/>
      <c r="O15302" s="2"/>
      <c r="P15302" s="2"/>
      <c r="Q15302" s="2"/>
      <c r="R15302" s="2"/>
      <c r="S15302" s="2"/>
      <c r="T15302" s="2"/>
      <c r="U15302" s="2"/>
      <c r="V15302" s="2"/>
      <c r="W15302" s="2"/>
      <c r="X15302" s="2"/>
      <c r="Y15302" s="2"/>
      <c r="Z15302" s="2"/>
    </row>
    <row r="15303" spans="1:26" ht="16.5" x14ac:dyDescent="0.35">
      <c r="A15303" s="2" t="str">
        <f ca="1">IFERROR(__xludf.DUMMYFUNCTION("""COMPUTED_VALUE"""),"Dubai")</f>
        <v>Dubai</v>
      </c>
      <c r="B15303" s="2" t="str">
        <f ca="1">IFERROR(__xludf.DUMMYFUNCTION("""COMPUTED_VALUE"""),"Park Gate 2")</f>
        <v>Park Gate 2</v>
      </c>
      <c r="C15303" s="2" t="str">
        <f ca="1">IFERROR(__xludf.DUMMYFUNCTION("""COMPUTED_VALUE"""),"Neighbourhood")</f>
        <v>Neighbourhood</v>
      </c>
      <c r="D15303" s="2" t="str">
        <f ca="1">IFERROR(__xludf.DUMMYFUNCTION("""COMPUTED_VALUE"""),"Dubai&gt;Dubai Hills Estate&gt;Park Gate 2")</f>
        <v>Dubai&gt;Dubai Hills Estate&gt;Park Gate 2</v>
      </c>
      <c r="E15303" s="2"/>
      <c r="F15303" s="2"/>
      <c r="G15303" s="2"/>
      <c r="H15303" s="2"/>
      <c r="I15303" s="2"/>
      <c r="J15303" s="2"/>
      <c r="K15303" s="2"/>
      <c r="L15303" s="2"/>
      <c r="M15303" s="2"/>
      <c r="N15303" s="2"/>
      <c r="O15303" s="2"/>
      <c r="P15303" s="2"/>
      <c r="Q15303" s="2"/>
      <c r="R15303" s="2"/>
      <c r="S15303" s="2"/>
      <c r="T15303" s="2"/>
      <c r="U15303" s="2"/>
      <c r="V15303" s="2"/>
      <c r="W15303" s="2"/>
      <c r="X15303" s="2"/>
      <c r="Y15303" s="2"/>
      <c r="Z15303" s="2"/>
    </row>
    <row r="15304" spans="1:26" ht="16.5" x14ac:dyDescent="0.35">
      <c r="A15304" s="2" t="str">
        <f ca="1">IFERROR(__xludf.DUMMYFUNCTION("""COMPUTED_VALUE"""),"Dubai")</f>
        <v>Dubai</v>
      </c>
      <c r="B15304" s="2" t="str">
        <f ca="1">IFERROR(__xludf.DUMMYFUNCTION("""COMPUTED_VALUE"""),"Fajar Building")</f>
        <v>Fajar Building</v>
      </c>
      <c r="C15304" s="2" t="str">
        <f ca="1">IFERROR(__xludf.DUMMYFUNCTION("""COMPUTED_VALUE"""),"Building")</f>
        <v>Building</v>
      </c>
      <c r="D15304" s="2" t="str">
        <f ca="1">IFERROR(__xludf.DUMMYFUNCTION("""COMPUTED_VALUE"""),"Dubai&gt;Deira&gt;Al Muraqqabat&gt;Fajar Building")</f>
        <v>Dubai&gt;Deira&gt;Al Muraqqabat&gt;Fajar Building</v>
      </c>
      <c r="E15304" s="2"/>
      <c r="F15304" s="2"/>
      <c r="G15304" s="2"/>
      <c r="H15304" s="2"/>
      <c r="I15304" s="2"/>
      <c r="J15304" s="2"/>
      <c r="K15304" s="2"/>
      <c r="L15304" s="2"/>
      <c r="M15304" s="2"/>
      <c r="N15304" s="2"/>
      <c r="O15304" s="2"/>
      <c r="P15304" s="2"/>
      <c r="Q15304" s="2"/>
      <c r="R15304" s="2"/>
      <c r="S15304" s="2"/>
      <c r="T15304" s="2"/>
      <c r="U15304" s="2"/>
      <c r="V15304" s="2"/>
      <c r="W15304" s="2"/>
      <c r="X15304" s="2"/>
      <c r="Y15304" s="2"/>
      <c r="Z15304" s="2"/>
    </row>
    <row r="15305" spans="1:26" ht="16.5" x14ac:dyDescent="0.35">
      <c r="A15305" s="2" t="str">
        <f ca="1">IFERROR(__xludf.DUMMYFUNCTION("""COMPUTED_VALUE"""),"Dubai")</f>
        <v>Dubai</v>
      </c>
      <c r="B15305" s="2" t="str">
        <f ca="1">IFERROR(__xludf.DUMMYFUNCTION("""COMPUTED_VALUE"""),"Rashid Al Rashid Building")</f>
        <v>Rashid Al Rashid Building</v>
      </c>
      <c r="C15305" s="2" t="str">
        <f ca="1">IFERROR(__xludf.DUMMYFUNCTION("""COMPUTED_VALUE"""),"Building")</f>
        <v>Building</v>
      </c>
      <c r="D15305" s="2" t="str">
        <f ca="1">IFERROR(__xludf.DUMMYFUNCTION("""COMPUTED_VALUE"""),"Dubai&gt;Deira&gt;Al Muraqqabat&gt;Rashid Al Rashid Building")</f>
        <v>Dubai&gt;Deira&gt;Al Muraqqabat&gt;Rashid Al Rashid Building</v>
      </c>
      <c r="E15305" s="2"/>
      <c r="F15305" s="2"/>
      <c r="G15305" s="2"/>
      <c r="H15305" s="2"/>
      <c r="I15305" s="2"/>
      <c r="J15305" s="2"/>
      <c r="K15305" s="2"/>
      <c r="L15305" s="2"/>
      <c r="M15305" s="2"/>
      <c r="N15305" s="2"/>
      <c r="O15305" s="2"/>
      <c r="P15305" s="2"/>
      <c r="Q15305" s="2"/>
      <c r="R15305" s="2"/>
      <c r="S15305" s="2"/>
      <c r="T15305" s="2"/>
      <c r="U15305" s="2"/>
      <c r="V15305" s="2"/>
      <c r="W15305" s="2"/>
      <c r="X15305" s="2"/>
      <c r="Y15305" s="2"/>
      <c r="Z15305" s="2"/>
    </row>
    <row r="15306" spans="1:26" ht="16.5" x14ac:dyDescent="0.35">
      <c r="A15306" s="2" t="str">
        <f ca="1">IFERROR(__xludf.DUMMYFUNCTION("""COMPUTED_VALUE"""),"Dubai")</f>
        <v>Dubai</v>
      </c>
      <c r="B15306" s="2" t="str">
        <f ca="1">IFERROR(__xludf.DUMMYFUNCTION("""COMPUTED_VALUE"""),"Grand Creek Residence")</f>
        <v>Grand Creek Residence</v>
      </c>
      <c r="C15306" s="2" t="str">
        <f ca="1">IFERROR(__xludf.DUMMYFUNCTION("""COMPUTED_VALUE"""),"Building")</f>
        <v>Building</v>
      </c>
      <c r="D15306" s="2" t="str">
        <f ca="1">IFERROR(__xludf.DUMMYFUNCTION("""COMPUTED_VALUE"""),"Dubai&gt;Deira&gt;Riggat Al Buteen&gt;Grand Creek Residence")</f>
        <v>Dubai&gt;Deira&gt;Riggat Al Buteen&gt;Grand Creek Residence</v>
      </c>
      <c r="E15306" s="2"/>
      <c r="F15306" s="2"/>
      <c r="G15306" s="2"/>
      <c r="H15306" s="2"/>
      <c r="I15306" s="2"/>
      <c r="J15306" s="2"/>
      <c r="K15306" s="2"/>
      <c r="L15306" s="2"/>
      <c r="M15306" s="2"/>
      <c r="N15306" s="2"/>
      <c r="O15306" s="2"/>
      <c r="P15306" s="2"/>
      <c r="Q15306" s="2"/>
      <c r="R15306" s="2"/>
      <c r="S15306" s="2"/>
      <c r="T15306" s="2"/>
      <c r="U15306" s="2"/>
      <c r="V15306" s="2"/>
      <c r="W15306" s="2"/>
      <c r="X15306" s="2"/>
      <c r="Y15306" s="2"/>
      <c r="Z15306" s="2"/>
    </row>
    <row r="15307" spans="1:26" ht="16.5" x14ac:dyDescent="0.35">
      <c r="A15307" s="2" t="str">
        <f ca="1">IFERROR(__xludf.DUMMYFUNCTION("""COMPUTED_VALUE"""),"Dubai")</f>
        <v>Dubai</v>
      </c>
      <c r="B15307" s="2" t="str">
        <f ca="1">IFERROR(__xludf.DUMMYFUNCTION("""COMPUTED_VALUE"""),"White Dove Nursery")</f>
        <v>White Dove Nursery</v>
      </c>
      <c r="C15307" s="2" t="str">
        <f ca="1">IFERROR(__xludf.DUMMYFUNCTION("""COMPUTED_VALUE"""),"Nursery")</f>
        <v>Nursery</v>
      </c>
      <c r="D15307" s="2" t="str">
        <f ca="1">IFERROR(__xludf.DUMMYFUNCTION("""COMPUTED_VALUE"""),"Dubai&gt;Deira&gt;Hor Al Anz&gt;Hor Al Anz East&gt;White Dove Nursery")</f>
        <v>Dubai&gt;Deira&gt;Hor Al Anz&gt;Hor Al Anz East&gt;White Dove Nursery</v>
      </c>
      <c r="E15307" s="2"/>
      <c r="F15307" s="2"/>
      <c r="G15307" s="2"/>
      <c r="H15307" s="2"/>
      <c r="I15307" s="2"/>
      <c r="J15307" s="2"/>
      <c r="K15307" s="2"/>
      <c r="L15307" s="2"/>
      <c r="M15307" s="2"/>
      <c r="N15307" s="2"/>
      <c r="O15307" s="2"/>
      <c r="P15307" s="2"/>
      <c r="Q15307" s="2"/>
      <c r="R15307" s="2"/>
      <c r="S15307" s="2"/>
      <c r="T15307" s="2"/>
      <c r="U15307" s="2"/>
      <c r="V15307" s="2"/>
      <c r="W15307" s="2"/>
      <c r="X15307" s="2"/>
      <c r="Y15307" s="2"/>
      <c r="Z15307" s="2"/>
    </row>
    <row r="15308" spans="1:26" ht="16.5" x14ac:dyDescent="0.35">
      <c r="A15308" s="2" t="str">
        <f ca="1">IFERROR(__xludf.DUMMYFUNCTION("""COMPUTED_VALUE"""),"Dubai")</f>
        <v>Dubai</v>
      </c>
      <c r="B15308" s="2" t="str">
        <f ca="1">IFERROR(__xludf.DUMMYFUNCTION("""COMPUTED_VALUE"""),"Abdul Wahed Bin Shabib Building")</f>
        <v>Abdul Wahed Bin Shabib Building</v>
      </c>
      <c r="C15308" s="2" t="str">
        <f ca="1">IFERROR(__xludf.DUMMYFUNCTION("""COMPUTED_VALUE"""),"Building")</f>
        <v>Building</v>
      </c>
      <c r="D15308" s="2" t="str">
        <f ca="1">IFERROR(__xludf.DUMMYFUNCTION("""COMPUTED_VALUE"""),"Dubai&gt;Deira&gt;Al Muteena&gt;Abdul Wahed Bin Shabib Building")</f>
        <v>Dubai&gt;Deira&gt;Al Muteena&gt;Abdul Wahed Bin Shabib Building</v>
      </c>
      <c r="E15308" s="2"/>
      <c r="F15308" s="2"/>
      <c r="G15308" s="2"/>
      <c r="H15308" s="2"/>
      <c r="I15308" s="2"/>
      <c r="J15308" s="2"/>
      <c r="K15308" s="2"/>
      <c r="L15308" s="2"/>
      <c r="M15308" s="2"/>
      <c r="N15308" s="2"/>
      <c r="O15308" s="2"/>
      <c r="P15308" s="2"/>
      <c r="Q15308" s="2"/>
      <c r="R15308" s="2"/>
      <c r="S15308" s="2"/>
      <c r="T15308" s="2"/>
      <c r="U15308" s="2"/>
      <c r="V15308" s="2"/>
      <c r="W15308" s="2"/>
      <c r="X15308" s="2"/>
      <c r="Y15308" s="2"/>
      <c r="Z15308" s="2"/>
    </row>
    <row r="15309" spans="1:26" ht="16.5" x14ac:dyDescent="0.35">
      <c r="A15309" s="2" t="str">
        <f ca="1">IFERROR(__xludf.DUMMYFUNCTION("""COMPUTED_VALUE"""),"Dubai")</f>
        <v>Dubai</v>
      </c>
      <c r="B15309" s="2" t="str">
        <f ca="1">IFERROR(__xludf.DUMMYFUNCTION("""COMPUTED_VALUE"""),"Sheikha Fawaghi Saqr Sultan Al Qasemi Building")</f>
        <v>Sheikha Fawaghi Saqr Sultan Al Qasemi Building</v>
      </c>
      <c r="C15309" s="2" t="str">
        <f ca="1">IFERROR(__xludf.DUMMYFUNCTION("""COMPUTED_VALUE"""),"Building")</f>
        <v>Building</v>
      </c>
      <c r="D15309" s="2" t="str">
        <f ca="1">IFERROR(__xludf.DUMMYFUNCTION("""COMPUTED_VALUE"""),"Dubai&gt;Deira&gt;Al Muteena&gt;Sheikha Fawaghi Saqr Sultan Al Qasemi Building")</f>
        <v>Dubai&gt;Deira&gt;Al Muteena&gt;Sheikha Fawaghi Saqr Sultan Al Qasemi Building</v>
      </c>
      <c r="E15309" s="2"/>
      <c r="F15309" s="2"/>
      <c r="G15309" s="2"/>
      <c r="H15309" s="2"/>
      <c r="I15309" s="2"/>
      <c r="J15309" s="2"/>
      <c r="K15309" s="2"/>
      <c r="L15309" s="2"/>
      <c r="M15309" s="2"/>
      <c r="N15309" s="2"/>
      <c r="O15309" s="2"/>
      <c r="P15309" s="2"/>
      <c r="Q15309" s="2"/>
      <c r="R15309" s="2"/>
      <c r="S15309" s="2"/>
      <c r="T15309" s="2"/>
      <c r="U15309" s="2"/>
      <c r="V15309" s="2"/>
      <c r="W15309" s="2"/>
      <c r="X15309" s="2"/>
      <c r="Y15309" s="2"/>
      <c r="Z15309" s="2"/>
    </row>
    <row r="15310" spans="1:26" ht="16.5" x14ac:dyDescent="0.35">
      <c r="A15310" s="2" t="str">
        <f ca="1">IFERROR(__xludf.DUMMYFUNCTION("""COMPUTED_VALUE"""),"Dubai")</f>
        <v>Dubai</v>
      </c>
      <c r="B15310" s="2" t="str">
        <f ca="1">IFERROR(__xludf.DUMMYFUNCTION("""COMPUTED_VALUE"""),"Best Western Plus Pearl Creek Hotel")</f>
        <v>Best Western Plus Pearl Creek Hotel</v>
      </c>
      <c r="C15310" s="2" t="str">
        <f ca="1">IFERROR(__xludf.DUMMYFUNCTION("""COMPUTED_VALUE"""),"Building")</f>
        <v>Building</v>
      </c>
      <c r="D15310" s="2" t="str">
        <f ca="1">IFERROR(__xludf.DUMMYFUNCTION("""COMPUTED_VALUE"""),"Dubai&gt;Deira&gt;Al Rigga&gt;Best Western Plus Pearl Creek Hotel")</f>
        <v>Dubai&gt;Deira&gt;Al Rigga&gt;Best Western Plus Pearl Creek Hotel</v>
      </c>
      <c r="E15310" s="2"/>
      <c r="F15310" s="2"/>
      <c r="G15310" s="2"/>
      <c r="H15310" s="2"/>
      <c r="I15310" s="2"/>
      <c r="J15310" s="2"/>
      <c r="K15310" s="2"/>
      <c r="L15310" s="2"/>
      <c r="M15310" s="2"/>
      <c r="N15310" s="2"/>
      <c r="O15310" s="2"/>
      <c r="P15310" s="2"/>
      <c r="Q15310" s="2"/>
      <c r="R15310" s="2"/>
      <c r="S15310" s="2"/>
      <c r="T15310" s="2"/>
      <c r="U15310" s="2"/>
      <c r="V15310" s="2"/>
      <c r="W15310" s="2"/>
      <c r="X15310" s="2"/>
      <c r="Y15310" s="2"/>
      <c r="Z15310" s="2"/>
    </row>
    <row r="15311" spans="1:26" ht="16.5" x14ac:dyDescent="0.35">
      <c r="A15311" s="2" t="str">
        <f ca="1">IFERROR(__xludf.DUMMYFUNCTION("""COMPUTED_VALUE"""),"Dubai")</f>
        <v>Dubai</v>
      </c>
      <c r="B15311" s="2" t="str">
        <f ca="1">IFERROR(__xludf.DUMMYFUNCTION("""COMPUTED_VALUE"""),"Hind Plaza 8")</f>
        <v>Hind Plaza 8</v>
      </c>
      <c r="C15311" s="2" t="str">
        <f ca="1">IFERROR(__xludf.DUMMYFUNCTION("""COMPUTED_VALUE"""),"Building")</f>
        <v>Building</v>
      </c>
      <c r="D15311" s="2" t="str">
        <f ca="1">IFERROR(__xludf.DUMMYFUNCTION("""COMPUTED_VALUE"""),"Dubai&gt;Deira&gt;Deira Enrichment Project&gt;Hind Plaza&gt;Hind Plaza 8")</f>
        <v>Dubai&gt;Deira&gt;Deira Enrichment Project&gt;Hind Plaza&gt;Hind Plaza 8</v>
      </c>
      <c r="E15311" s="2"/>
      <c r="F15311" s="2"/>
      <c r="G15311" s="2"/>
      <c r="H15311" s="2"/>
      <c r="I15311" s="2"/>
      <c r="J15311" s="2"/>
      <c r="K15311" s="2"/>
      <c r="L15311" s="2"/>
      <c r="M15311" s="2"/>
      <c r="N15311" s="2"/>
      <c r="O15311" s="2"/>
      <c r="P15311" s="2"/>
      <c r="Q15311" s="2"/>
      <c r="R15311" s="2"/>
      <c r="S15311" s="2"/>
      <c r="T15311" s="2"/>
      <c r="U15311" s="2"/>
      <c r="V15311" s="2"/>
      <c r="W15311" s="2"/>
      <c r="X15311" s="2"/>
      <c r="Y15311" s="2"/>
      <c r="Z15311" s="2"/>
    </row>
    <row r="15312" spans="1:26" ht="16.5" x14ac:dyDescent="0.35">
      <c r="A15312" s="2" t="str">
        <f ca="1">IFERROR(__xludf.DUMMYFUNCTION("""COMPUTED_VALUE"""),"Dubai")</f>
        <v>Dubai</v>
      </c>
      <c r="B15312" s="2" t="str">
        <f ca="1">IFERROR(__xludf.DUMMYFUNCTION("""COMPUTED_VALUE"""),"Al Tayiba")</f>
        <v>Al Tayiba</v>
      </c>
      <c r="C15312" s="2" t="str">
        <f ca="1">IFERROR(__xludf.DUMMYFUNCTION("""COMPUTED_VALUE"""),"Building")</f>
        <v>Building</v>
      </c>
      <c r="D15312" s="2" t="str">
        <f ca="1">IFERROR(__xludf.DUMMYFUNCTION("""COMPUTED_VALUE"""),"Dubai&gt;Deira&gt;Naif&gt;Al Tayiba")</f>
        <v>Dubai&gt;Deira&gt;Naif&gt;Al Tayiba</v>
      </c>
      <c r="E15312" s="2"/>
      <c r="F15312" s="2"/>
      <c r="G15312" s="2"/>
      <c r="H15312" s="2"/>
      <c r="I15312" s="2"/>
      <c r="J15312" s="2"/>
      <c r="K15312" s="2"/>
      <c r="L15312" s="2"/>
      <c r="M15312" s="2"/>
      <c r="N15312" s="2"/>
      <c r="O15312" s="2"/>
      <c r="P15312" s="2"/>
      <c r="Q15312" s="2"/>
      <c r="R15312" s="2"/>
      <c r="S15312" s="2"/>
      <c r="T15312" s="2"/>
      <c r="U15312" s="2"/>
      <c r="V15312" s="2"/>
      <c r="W15312" s="2"/>
      <c r="X15312" s="2"/>
      <c r="Y15312" s="2"/>
      <c r="Z15312" s="2"/>
    </row>
    <row r="15313" spans="1:26" ht="16.5" x14ac:dyDescent="0.35">
      <c r="A15313" s="2" t="str">
        <f ca="1">IFERROR(__xludf.DUMMYFUNCTION("""COMPUTED_VALUE"""),"Dubai")</f>
        <v>Dubai</v>
      </c>
      <c r="B15313" s="2" t="str">
        <f ca="1">IFERROR(__xludf.DUMMYFUNCTION("""COMPUTED_VALUE"""),"Sheikha Afra Bint Al Shaikh Mejren Building")</f>
        <v>Sheikha Afra Bint Al Shaikh Mejren Building</v>
      </c>
      <c r="C15313" s="2" t="str">
        <f ca="1">IFERROR(__xludf.DUMMYFUNCTION("""COMPUTED_VALUE"""),"Building")</f>
        <v>Building</v>
      </c>
      <c r="D15313" s="2" t="str">
        <f ca="1">IFERROR(__xludf.DUMMYFUNCTION("""COMPUTED_VALUE"""),"Dubai&gt;Deira&gt;Al Murar&gt;Sheikha Afra Bint Al Shaikh Mejren Building")</f>
        <v>Dubai&gt;Deira&gt;Al Murar&gt;Sheikha Afra Bint Al Shaikh Mejren Building</v>
      </c>
      <c r="E15313" s="2"/>
      <c r="F15313" s="2"/>
      <c r="G15313" s="2"/>
      <c r="H15313" s="2"/>
      <c r="I15313" s="2"/>
      <c r="J15313" s="2"/>
      <c r="K15313" s="2"/>
      <c r="L15313" s="2"/>
      <c r="M15313" s="2"/>
      <c r="N15313" s="2"/>
      <c r="O15313" s="2"/>
      <c r="P15313" s="2"/>
      <c r="Q15313" s="2"/>
      <c r="R15313" s="2"/>
      <c r="S15313" s="2"/>
      <c r="T15313" s="2"/>
      <c r="U15313" s="2"/>
      <c r="V15313" s="2"/>
      <c r="W15313" s="2"/>
      <c r="X15313" s="2"/>
      <c r="Y15313" s="2"/>
      <c r="Z15313" s="2"/>
    </row>
    <row r="15314" spans="1:26" ht="16.5" x14ac:dyDescent="0.35">
      <c r="A15314" s="2" t="str">
        <f ca="1">IFERROR(__xludf.DUMMYFUNCTION("""COMPUTED_VALUE"""),"Dubai")</f>
        <v>Dubai</v>
      </c>
      <c r="B15314" s="2" t="str">
        <f ca="1">IFERROR(__xludf.DUMMYFUNCTION("""COMPUTED_VALUE"""),"Abdulla Building 4")</f>
        <v>Abdulla Building 4</v>
      </c>
      <c r="C15314" s="2" t="str">
        <f ca="1">IFERROR(__xludf.DUMMYFUNCTION("""COMPUTED_VALUE"""),"Building")</f>
        <v>Building</v>
      </c>
      <c r="D15314" s="2" t="str">
        <f ca="1">IFERROR(__xludf.DUMMYFUNCTION("""COMPUTED_VALUE"""),"Dubai&gt;Deira&gt;Al Murar&gt;Abdulla Building 4")</f>
        <v>Dubai&gt;Deira&gt;Al Murar&gt;Abdulla Building 4</v>
      </c>
      <c r="E15314" s="2"/>
      <c r="F15314" s="2"/>
      <c r="G15314" s="2"/>
      <c r="H15314" s="2"/>
      <c r="I15314" s="2"/>
      <c r="J15314" s="2"/>
      <c r="K15314" s="2"/>
      <c r="L15314" s="2"/>
      <c r="M15314" s="2"/>
      <c r="N15314" s="2"/>
      <c r="O15314" s="2"/>
      <c r="P15314" s="2"/>
      <c r="Q15314" s="2"/>
      <c r="R15314" s="2"/>
      <c r="S15314" s="2"/>
      <c r="T15314" s="2"/>
      <c r="U15314" s="2"/>
      <c r="V15314" s="2"/>
      <c r="W15314" s="2"/>
      <c r="X15314" s="2"/>
      <c r="Y15314" s="2"/>
      <c r="Z15314" s="2"/>
    </row>
    <row r="15315" spans="1:26" ht="16.5" x14ac:dyDescent="0.35">
      <c r="A15315" s="2" t="str">
        <f ca="1">IFERROR(__xludf.DUMMYFUNCTION("""COMPUTED_VALUE"""),"Dubai")</f>
        <v>Dubai</v>
      </c>
      <c r="B15315" s="2" t="str">
        <f ca="1">IFERROR(__xludf.DUMMYFUNCTION("""COMPUTED_VALUE"""),"Al Maktoum Road")</f>
        <v>Al Maktoum Road</v>
      </c>
      <c r="C15315" s="2" t="str">
        <f ca="1">IFERROR(__xludf.DUMMYFUNCTION("""COMPUTED_VALUE"""),"Neighbourhood")</f>
        <v>Neighbourhood</v>
      </c>
      <c r="D15315" s="2" t="str">
        <f ca="1">IFERROR(__xludf.DUMMYFUNCTION("""COMPUTED_VALUE"""),"Dubai&gt;Deira&gt;Al Maktoum Road")</f>
        <v>Dubai&gt;Deira&gt;Al Maktoum Road</v>
      </c>
      <c r="E15315" s="2"/>
      <c r="F15315" s="2"/>
      <c r="G15315" s="2"/>
      <c r="H15315" s="2"/>
      <c r="I15315" s="2"/>
      <c r="J15315" s="2"/>
      <c r="K15315" s="2"/>
      <c r="L15315" s="2"/>
      <c r="M15315" s="2"/>
      <c r="N15315" s="2"/>
      <c r="O15315" s="2"/>
      <c r="P15315" s="2"/>
      <c r="Q15315" s="2"/>
      <c r="R15315" s="2"/>
      <c r="S15315" s="2"/>
      <c r="T15315" s="2"/>
      <c r="U15315" s="2"/>
      <c r="V15315" s="2"/>
      <c r="W15315" s="2"/>
      <c r="X15315" s="2"/>
      <c r="Y15315" s="2"/>
      <c r="Z15315" s="2"/>
    </row>
    <row r="15316" spans="1:26" ht="16.5" x14ac:dyDescent="0.35">
      <c r="A15316" s="2" t="str">
        <f ca="1">IFERROR(__xludf.DUMMYFUNCTION("""COMPUTED_VALUE"""),"Dubai")</f>
        <v>Dubai</v>
      </c>
      <c r="B15316" s="2" t="str">
        <f ca="1">IFERROR(__xludf.DUMMYFUNCTION("""COMPUTED_VALUE"""),"Al Jawhara Hotel Apartment")</f>
        <v>Al Jawhara Hotel Apartment</v>
      </c>
      <c r="C15316" s="2" t="str">
        <f ca="1">IFERROR(__xludf.DUMMYFUNCTION("""COMPUTED_VALUE"""),"Building")</f>
        <v>Building</v>
      </c>
      <c r="D15316" s="2" t="str">
        <f ca="1">IFERROR(__xludf.DUMMYFUNCTION("""COMPUTED_VALUE"""),"Dubai&gt;Deira&gt;Port Saeed&gt;Al Jawhara Hotel Apartment")</f>
        <v>Dubai&gt;Deira&gt;Port Saeed&gt;Al Jawhara Hotel Apartment</v>
      </c>
      <c r="E15316" s="2"/>
      <c r="F15316" s="2"/>
      <c r="G15316" s="2"/>
      <c r="H15316" s="2"/>
      <c r="I15316" s="2"/>
      <c r="J15316" s="2"/>
      <c r="K15316" s="2"/>
      <c r="L15316" s="2"/>
      <c r="M15316" s="2"/>
      <c r="N15316" s="2"/>
      <c r="O15316" s="2"/>
      <c r="P15316" s="2"/>
      <c r="Q15316" s="2"/>
      <c r="R15316" s="2"/>
      <c r="S15316" s="2"/>
      <c r="T15316" s="2"/>
      <c r="U15316" s="2"/>
      <c r="V15316" s="2"/>
      <c r="W15316" s="2"/>
      <c r="X15316" s="2"/>
      <c r="Y15316" s="2"/>
      <c r="Z15316" s="2"/>
    </row>
    <row r="15317" spans="1:26" ht="16.5" x14ac:dyDescent="0.35">
      <c r="A15317" s="2" t="str">
        <f ca="1">IFERROR(__xludf.DUMMYFUNCTION("""COMPUTED_VALUE"""),"Dubai")</f>
        <v>Dubai</v>
      </c>
      <c r="B15317" s="2" t="str">
        <f ca="1">IFERROR(__xludf.DUMMYFUNCTION("""COMPUTED_VALUE"""),"Canadian Kids Nursery Dubai")</f>
        <v>Canadian Kids Nursery Dubai</v>
      </c>
      <c r="C15317" s="2" t="str">
        <f ca="1">IFERROR(__xludf.DUMMYFUNCTION("""COMPUTED_VALUE"""),"Nursery")</f>
        <v>Nursery</v>
      </c>
      <c r="D15317" s="2" t="str">
        <f ca="1">IFERROR(__xludf.DUMMYFUNCTION("""COMPUTED_VALUE"""),"Dubai&gt;Business Bay&gt;Canadian Kids Nursery Dubai")</f>
        <v>Dubai&gt;Business Bay&gt;Canadian Kids Nursery Dubai</v>
      </c>
      <c r="E15317" s="2"/>
      <c r="F15317" s="2"/>
      <c r="G15317" s="2"/>
      <c r="H15317" s="2"/>
      <c r="I15317" s="2"/>
      <c r="J15317" s="2"/>
      <c r="K15317" s="2"/>
      <c r="L15317" s="2"/>
      <c r="M15317" s="2"/>
      <c r="N15317" s="2"/>
      <c r="O15317" s="2"/>
      <c r="P15317" s="2"/>
      <c r="Q15317" s="2"/>
      <c r="R15317" s="2"/>
      <c r="S15317" s="2"/>
      <c r="T15317" s="2"/>
      <c r="U15317" s="2"/>
      <c r="V15317" s="2"/>
      <c r="W15317" s="2"/>
      <c r="X15317" s="2"/>
      <c r="Y15317" s="2"/>
      <c r="Z15317" s="2"/>
    </row>
    <row r="15318" spans="1:26" ht="16.5" x14ac:dyDescent="0.35">
      <c r="A15318" s="2" t="str">
        <f ca="1">IFERROR(__xludf.DUMMYFUNCTION("""COMPUTED_VALUE"""),"Dubai")</f>
        <v>Dubai</v>
      </c>
      <c r="B15318" s="2" t="str">
        <f ca="1">IFERROR(__xludf.DUMMYFUNCTION("""COMPUTED_VALUE"""),"DAMAC Maison Canal Views")</f>
        <v>DAMAC Maison Canal Views</v>
      </c>
      <c r="C15318" s="2" t="str">
        <f ca="1">IFERROR(__xludf.DUMMYFUNCTION("""COMPUTED_VALUE"""),"Building")</f>
        <v>Building</v>
      </c>
      <c r="D15318" s="2" t="str">
        <f ca="1">IFERROR(__xludf.DUMMYFUNCTION("""COMPUTED_VALUE"""),"Dubai&gt;Business Bay&gt;DAMAC Maison Canal Views")</f>
        <v>Dubai&gt;Business Bay&gt;DAMAC Maison Canal Views</v>
      </c>
      <c r="E15318" s="2"/>
      <c r="F15318" s="2"/>
      <c r="G15318" s="2"/>
      <c r="H15318" s="2"/>
      <c r="I15318" s="2"/>
      <c r="J15318" s="2"/>
      <c r="K15318" s="2"/>
      <c r="L15318" s="2"/>
      <c r="M15318" s="2"/>
      <c r="N15318" s="2"/>
      <c r="O15318" s="2"/>
      <c r="P15318" s="2"/>
      <c r="Q15318" s="2"/>
      <c r="R15318" s="2"/>
      <c r="S15318" s="2"/>
      <c r="T15318" s="2"/>
      <c r="U15318" s="2"/>
      <c r="V15318" s="2"/>
      <c r="W15318" s="2"/>
      <c r="X15318" s="2"/>
      <c r="Y15318" s="2"/>
      <c r="Z15318" s="2"/>
    </row>
    <row r="15319" spans="1:26" ht="16.5" x14ac:dyDescent="0.35">
      <c r="A15319" s="2" t="str">
        <f ca="1">IFERROR(__xludf.DUMMYFUNCTION("""COMPUTED_VALUE"""),"Dubai")</f>
        <v>Dubai</v>
      </c>
      <c r="B15319" s="2" t="str">
        <f ca="1">IFERROR(__xludf.DUMMYFUNCTION("""COMPUTED_VALUE"""),"Bay Square 7")</f>
        <v>Bay Square 7</v>
      </c>
      <c r="C15319" s="2" t="str">
        <f ca="1">IFERROR(__xludf.DUMMYFUNCTION("""COMPUTED_VALUE"""),"Building")</f>
        <v>Building</v>
      </c>
      <c r="D15319" s="2" t="str">
        <f ca="1">IFERROR(__xludf.DUMMYFUNCTION("""COMPUTED_VALUE"""),"Dubai&gt;Business Bay&gt;Bay Square&gt;Bay Square 7")</f>
        <v>Dubai&gt;Business Bay&gt;Bay Square&gt;Bay Square 7</v>
      </c>
      <c r="E15319" s="2"/>
      <c r="F15319" s="2"/>
      <c r="G15319" s="2"/>
      <c r="H15319" s="2"/>
      <c r="I15319" s="2"/>
      <c r="J15319" s="2"/>
      <c r="K15319" s="2"/>
      <c r="L15319" s="2"/>
      <c r="M15319" s="2"/>
      <c r="N15319" s="2"/>
      <c r="O15319" s="2"/>
      <c r="P15319" s="2"/>
      <c r="Q15319" s="2"/>
      <c r="R15319" s="2"/>
      <c r="S15319" s="2"/>
      <c r="T15319" s="2"/>
      <c r="U15319" s="2"/>
      <c r="V15319" s="2"/>
      <c r="W15319" s="2"/>
      <c r="X15319" s="2"/>
      <c r="Y15319" s="2"/>
      <c r="Z15319" s="2"/>
    </row>
    <row r="15320" spans="1:26" ht="16.5" x14ac:dyDescent="0.35">
      <c r="A15320" s="2" t="str">
        <f ca="1">IFERROR(__xludf.DUMMYFUNCTION("""COMPUTED_VALUE"""),"Dubai")</f>
        <v>Dubai</v>
      </c>
      <c r="B15320" s="2" t="str">
        <f ca="1">IFERROR(__xludf.DUMMYFUNCTION("""COMPUTED_VALUE"""),"Safeer Tower 1")</f>
        <v>Safeer Tower 1</v>
      </c>
      <c r="C15320" s="2" t="str">
        <f ca="1">IFERROR(__xludf.DUMMYFUNCTION("""COMPUTED_VALUE"""),"Building")</f>
        <v>Building</v>
      </c>
      <c r="D15320" s="2" t="str">
        <f ca="1">IFERROR(__xludf.DUMMYFUNCTION("""COMPUTED_VALUE"""),"Dubai&gt;Business Bay&gt;Safeer Tower 1")</f>
        <v>Dubai&gt;Business Bay&gt;Safeer Tower 1</v>
      </c>
      <c r="E15320" s="2"/>
      <c r="F15320" s="2"/>
      <c r="G15320" s="2"/>
      <c r="H15320" s="2"/>
      <c r="I15320" s="2"/>
      <c r="J15320" s="2"/>
      <c r="K15320" s="2"/>
      <c r="L15320" s="2"/>
      <c r="M15320" s="2"/>
      <c r="N15320" s="2"/>
      <c r="O15320" s="2"/>
      <c r="P15320" s="2"/>
      <c r="Q15320" s="2"/>
      <c r="R15320" s="2"/>
      <c r="S15320" s="2"/>
      <c r="T15320" s="2"/>
      <c r="U15320" s="2"/>
      <c r="V15320" s="2"/>
      <c r="W15320" s="2"/>
      <c r="X15320" s="2"/>
      <c r="Y15320" s="2"/>
      <c r="Z15320" s="2"/>
    </row>
    <row r="15321" spans="1:26" ht="16.5" x14ac:dyDescent="0.35">
      <c r="A15321" s="2" t="str">
        <f ca="1">IFERROR(__xludf.DUMMYFUNCTION("""COMPUTED_VALUE"""),"Dubai")</f>
        <v>Dubai</v>
      </c>
      <c r="B15321" s="2" t="str">
        <f ca="1">IFERROR(__xludf.DUMMYFUNCTION("""COMPUTED_VALUE"""),"Revier Hotel")</f>
        <v>Revier Hotel</v>
      </c>
      <c r="C15321" s="2" t="str">
        <f ca="1">IFERROR(__xludf.DUMMYFUNCTION("""COMPUTED_VALUE"""),"Building")</f>
        <v>Building</v>
      </c>
      <c r="D15321" s="2" t="str">
        <f ca="1">IFERROR(__xludf.DUMMYFUNCTION("""COMPUTED_VALUE"""),"Dubai&gt;Business Bay&gt;Revier Hotel")</f>
        <v>Dubai&gt;Business Bay&gt;Revier Hotel</v>
      </c>
      <c r="E15321" s="2"/>
      <c r="F15321" s="2"/>
      <c r="G15321" s="2"/>
      <c r="H15321" s="2"/>
      <c r="I15321" s="2"/>
      <c r="J15321" s="2"/>
      <c r="K15321" s="2"/>
      <c r="L15321" s="2"/>
      <c r="M15321" s="2"/>
      <c r="N15321" s="2"/>
      <c r="O15321" s="2"/>
      <c r="P15321" s="2"/>
      <c r="Q15321" s="2"/>
      <c r="R15321" s="2"/>
      <c r="S15321" s="2"/>
      <c r="T15321" s="2"/>
      <c r="U15321" s="2"/>
      <c r="V15321" s="2"/>
      <c r="W15321" s="2"/>
      <c r="X15321" s="2"/>
      <c r="Y15321" s="2"/>
      <c r="Z15321" s="2"/>
    </row>
    <row r="15322" spans="1:26" ht="16.5" x14ac:dyDescent="0.35">
      <c r="A15322" s="2" t="str">
        <f ca="1">IFERROR(__xludf.DUMMYFUNCTION("""COMPUTED_VALUE"""),"Dubai")</f>
        <v>Dubai</v>
      </c>
      <c r="B15322" s="2" t="str">
        <f ca="1">IFERROR(__xludf.DUMMYFUNCTION("""COMPUTED_VALUE"""),"U-Bora Tower")</f>
        <v>U-Bora Tower</v>
      </c>
      <c r="C15322" s="2" t="str">
        <f ca="1">IFERROR(__xludf.DUMMYFUNCTION("""COMPUTED_VALUE"""),"Cluster")</f>
        <v>Cluster</v>
      </c>
      <c r="D15322" s="2" t="str">
        <f ca="1">IFERROR(__xludf.DUMMYFUNCTION("""COMPUTED_VALUE"""),"Dubai&gt;Business Bay&gt;U-Bora Tower")</f>
        <v>Dubai&gt;Business Bay&gt;U-Bora Tower</v>
      </c>
      <c r="E15322" s="2"/>
      <c r="F15322" s="2"/>
      <c r="G15322" s="2"/>
      <c r="H15322" s="2"/>
      <c r="I15322" s="2"/>
      <c r="J15322" s="2"/>
      <c r="K15322" s="2"/>
      <c r="L15322" s="2"/>
      <c r="M15322" s="2"/>
      <c r="N15322" s="2"/>
      <c r="O15322" s="2"/>
      <c r="P15322" s="2"/>
      <c r="Q15322" s="2"/>
      <c r="R15322" s="2"/>
      <c r="S15322" s="2"/>
      <c r="T15322" s="2"/>
      <c r="U15322" s="2"/>
      <c r="V15322" s="2"/>
      <c r="W15322" s="2"/>
      <c r="X15322" s="2"/>
      <c r="Y15322" s="2"/>
      <c r="Z15322" s="2"/>
    </row>
    <row r="15323" spans="1:26" ht="16.5" x14ac:dyDescent="0.35">
      <c r="A15323" s="2" t="str">
        <f ca="1">IFERROR(__xludf.DUMMYFUNCTION("""COMPUTED_VALUE"""),"Dubai")</f>
        <v>Dubai</v>
      </c>
      <c r="B15323" s="2" t="str">
        <f ca="1">IFERROR(__xludf.DUMMYFUNCTION("""COMPUTED_VALUE"""),"Art XVIII Tower")</f>
        <v>Art XVIII Tower</v>
      </c>
      <c r="C15323" s="2" t="str">
        <f ca="1">IFERROR(__xludf.DUMMYFUNCTION("""COMPUTED_VALUE"""),"Building")</f>
        <v>Building</v>
      </c>
      <c r="D15323" s="2" t="str">
        <f ca="1">IFERROR(__xludf.DUMMYFUNCTION("""COMPUTED_VALUE"""),"Dubai&gt;Business Bay&gt;Art XVIII Tower")</f>
        <v>Dubai&gt;Business Bay&gt;Art XVIII Tower</v>
      </c>
      <c r="E15323" s="2"/>
      <c r="F15323" s="2"/>
      <c r="G15323" s="2"/>
      <c r="H15323" s="2"/>
      <c r="I15323" s="2"/>
      <c r="J15323" s="2"/>
      <c r="K15323" s="2"/>
      <c r="L15323" s="2"/>
      <c r="M15323" s="2"/>
      <c r="N15323" s="2"/>
      <c r="O15323" s="2"/>
      <c r="P15323" s="2"/>
      <c r="Q15323" s="2"/>
      <c r="R15323" s="2"/>
      <c r="S15323" s="2"/>
      <c r="T15323" s="2"/>
      <c r="U15323" s="2"/>
      <c r="V15323" s="2"/>
      <c r="W15323" s="2"/>
      <c r="X15323" s="2"/>
      <c r="Y15323" s="2"/>
      <c r="Z15323" s="2"/>
    </row>
    <row r="15324" spans="1:26" ht="16.5" x14ac:dyDescent="0.35">
      <c r="A15324" s="2" t="str">
        <f ca="1">IFERROR(__xludf.DUMMYFUNCTION("""COMPUTED_VALUE"""),"Dubai")</f>
        <v>Dubai</v>
      </c>
      <c r="B15324" s="2" t="str">
        <f ca="1">IFERROR(__xludf.DUMMYFUNCTION("""COMPUTED_VALUE"""),"The Edge")</f>
        <v>The Edge</v>
      </c>
      <c r="C15324" s="2" t="str">
        <f ca="1">IFERROR(__xludf.DUMMYFUNCTION("""COMPUTED_VALUE"""),"Cluster")</f>
        <v>Cluster</v>
      </c>
      <c r="D15324" s="2" t="str">
        <f ca="1">IFERROR(__xludf.DUMMYFUNCTION("""COMPUTED_VALUE"""),"Dubai&gt;Business Bay&gt;The Edge")</f>
        <v>Dubai&gt;Business Bay&gt;The Edge</v>
      </c>
      <c r="E15324" s="2"/>
      <c r="F15324" s="2"/>
      <c r="G15324" s="2"/>
      <c r="H15324" s="2"/>
      <c r="I15324" s="2"/>
      <c r="J15324" s="2"/>
      <c r="K15324" s="2"/>
      <c r="L15324" s="2"/>
      <c r="M15324" s="2"/>
      <c r="N15324" s="2"/>
      <c r="O15324" s="2"/>
      <c r="P15324" s="2"/>
      <c r="Q15324" s="2"/>
      <c r="R15324" s="2"/>
      <c r="S15324" s="2"/>
      <c r="T15324" s="2"/>
      <c r="U15324" s="2"/>
      <c r="V15324" s="2"/>
      <c r="W15324" s="2"/>
      <c r="X15324" s="2"/>
      <c r="Y15324" s="2"/>
      <c r="Z15324" s="2"/>
    </row>
    <row r="15325" spans="1:26" ht="16.5" x14ac:dyDescent="0.35">
      <c r="A15325" s="2" t="str">
        <f ca="1">IFERROR(__xludf.DUMMYFUNCTION("""COMPUTED_VALUE"""),"Dubai")</f>
        <v>Dubai</v>
      </c>
      <c r="B15325" s="2" t="str">
        <f ca="1">IFERROR(__xludf.DUMMYFUNCTION("""COMPUTED_VALUE"""),"Regent Residences Dubai Sankari Place")</f>
        <v>Regent Residences Dubai Sankari Place</v>
      </c>
      <c r="C15325" s="2" t="str">
        <f ca="1">IFERROR(__xludf.DUMMYFUNCTION("""COMPUTED_VALUE"""),"Cluster")</f>
        <v>Cluster</v>
      </c>
      <c r="D15325" s="2" t="str">
        <f ca="1">IFERROR(__xludf.DUMMYFUNCTION("""COMPUTED_VALUE"""),"Dubai&gt;Business Bay&gt;Regent Residences Dubai Sankari Place")</f>
        <v>Dubai&gt;Business Bay&gt;Regent Residences Dubai Sankari Place</v>
      </c>
      <c r="E15325" s="2"/>
      <c r="F15325" s="2"/>
      <c r="G15325" s="2"/>
      <c r="H15325" s="2"/>
      <c r="I15325" s="2"/>
      <c r="J15325" s="2"/>
      <c r="K15325" s="2"/>
      <c r="L15325" s="2"/>
      <c r="M15325" s="2"/>
      <c r="N15325" s="2"/>
      <c r="O15325" s="2"/>
      <c r="P15325" s="2"/>
      <c r="Q15325" s="2"/>
      <c r="R15325" s="2"/>
      <c r="S15325" s="2"/>
      <c r="T15325" s="2"/>
      <c r="U15325" s="2"/>
      <c r="V15325" s="2"/>
      <c r="W15325" s="2"/>
      <c r="X15325" s="2"/>
      <c r="Y15325" s="2"/>
      <c r="Z15325" s="2"/>
    </row>
    <row r="15326" spans="1:26" ht="16.5" x14ac:dyDescent="0.35">
      <c r="A15326" s="2" t="str">
        <f ca="1">IFERROR(__xludf.DUMMYFUNCTION("""COMPUTED_VALUE"""),"Dubai")</f>
        <v>Dubai</v>
      </c>
      <c r="B15326" s="2" t="str">
        <f ca="1">IFERROR(__xludf.DUMMYFUNCTION("""COMPUTED_VALUE"""),"Lumena by Omniyat")</f>
        <v>Lumena by Omniyat</v>
      </c>
      <c r="C15326" s="2" t="str">
        <f ca="1">IFERROR(__xludf.DUMMYFUNCTION("""COMPUTED_VALUE"""),"Building")</f>
        <v>Building</v>
      </c>
      <c r="D15326" s="2" t="str">
        <f ca="1">IFERROR(__xludf.DUMMYFUNCTION("""COMPUTED_VALUE"""),"Dubai&gt;Business Bay&gt;Lumena by Omniyat")</f>
        <v>Dubai&gt;Business Bay&gt;Lumena by Omniyat</v>
      </c>
      <c r="E15326" s="2"/>
      <c r="F15326" s="2"/>
      <c r="G15326" s="2"/>
      <c r="H15326" s="2"/>
      <c r="I15326" s="2"/>
      <c r="J15326" s="2"/>
      <c r="K15326" s="2"/>
      <c r="L15326" s="2"/>
      <c r="M15326" s="2"/>
      <c r="N15326" s="2"/>
      <c r="O15326" s="2"/>
      <c r="P15326" s="2"/>
      <c r="Q15326" s="2"/>
      <c r="R15326" s="2"/>
      <c r="S15326" s="2"/>
      <c r="T15326" s="2"/>
      <c r="U15326" s="2"/>
      <c r="V15326" s="2"/>
      <c r="W15326" s="2"/>
      <c r="X15326" s="2"/>
      <c r="Y15326" s="2"/>
      <c r="Z15326" s="2"/>
    </row>
    <row r="15327" spans="1:26" ht="16.5" x14ac:dyDescent="0.35">
      <c r="A15327" s="2" t="str">
        <f ca="1">IFERROR(__xludf.DUMMYFUNCTION("""COMPUTED_VALUE"""),"Dubai")</f>
        <v>Dubai</v>
      </c>
      <c r="B15327" s="2" t="str">
        <f ca="1">IFERROR(__xludf.DUMMYFUNCTION("""COMPUTED_VALUE"""),"District 5A")</f>
        <v>District 5A</v>
      </c>
      <c r="C15327" s="2" t="str">
        <f ca="1">IFERROR(__xludf.DUMMYFUNCTION("""COMPUTED_VALUE"""),"Neighbourhood")</f>
        <v>Neighbourhood</v>
      </c>
      <c r="D15327" s="2" t="str">
        <f ca="1">IFERROR(__xludf.DUMMYFUNCTION("""COMPUTED_VALUE"""),"Dubai&gt;Jumeirah Village Triangle (JVT)&gt;JVT District 5&gt;District 5A")</f>
        <v>Dubai&gt;Jumeirah Village Triangle (JVT)&gt;JVT District 5&gt;District 5A</v>
      </c>
      <c r="E15327" s="2"/>
      <c r="F15327" s="2"/>
      <c r="G15327" s="2"/>
      <c r="H15327" s="2"/>
      <c r="I15327" s="2"/>
      <c r="J15327" s="2"/>
      <c r="K15327" s="2"/>
      <c r="L15327" s="2"/>
      <c r="M15327" s="2"/>
      <c r="N15327" s="2"/>
      <c r="O15327" s="2"/>
      <c r="P15327" s="2"/>
      <c r="Q15327" s="2"/>
      <c r="R15327" s="2"/>
      <c r="S15327" s="2"/>
      <c r="T15327" s="2"/>
      <c r="U15327" s="2"/>
      <c r="V15327" s="2"/>
      <c r="W15327" s="2"/>
      <c r="X15327" s="2"/>
      <c r="Y15327" s="2"/>
      <c r="Z15327" s="2"/>
    </row>
    <row r="15328" spans="1:26" ht="16.5" x14ac:dyDescent="0.35">
      <c r="A15328" s="2" t="str">
        <f ca="1">IFERROR(__xludf.DUMMYFUNCTION("""COMPUTED_VALUE"""),"Dubai")</f>
        <v>Dubai</v>
      </c>
      <c r="B15328" s="2" t="str">
        <f ca="1">IFERROR(__xludf.DUMMYFUNCTION("""COMPUTED_VALUE"""),"District 9J")</f>
        <v>District 9J</v>
      </c>
      <c r="C15328" s="2" t="str">
        <f ca="1">IFERROR(__xludf.DUMMYFUNCTION("""COMPUTED_VALUE"""),"Neighbourhood")</f>
        <v>Neighbourhood</v>
      </c>
      <c r="D15328" s="2" t="str">
        <f ca="1">IFERROR(__xludf.DUMMYFUNCTION("""COMPUTED_VALUE"""),"Dubai&gt;Jumeirah Village Triangle (JVT)&gt;JVT District 9&gt;District 9J")</f>
        <v>Dubai&gt;Jumeirah Village Triangle (JVT)&gt;JVT District 9&gt;District 9J</v>
      </c>
      <c r="E15328" s="2"/>
      <c r="F15328" s="2"/>
      <c r="G15328" s="2"/>
      <c r="H15328" s="2"/>
      <c r="I15328" s="2"/>
      <c r="J15328" s="2"/>
      <c r="K15328" s="2"/>
      <c r="L15328" s="2"/>
      <c r="M15328" s="2"/>
      <c r="N15328" s="2"/>
      <c r="O15328" s="2"/>
      <c r="P15328" s="2"/>
      <c r="Q15328" s="2"/>
      <c r="R15328" s="2"/>
      <c r="S15328" s="2"/>
      <c r="T15328" s="2"/>
      <c r="U15328" s="2"/>
      <c r="V15328" s="2"/>
      <c r="W15328" s="2"/>
      <c r="X15328" s="2"/>
      <c r="Y15328" s="2"/>
      <c r="Z15328" s="2"/>
    </row>
    <row r="15329" spans="1:26" ht="16.5" x14ac:dyDescent="0.35">
      <c r="A15329" s="2" t="str">
        <f ca="1">IFERROR(__xludf.DUMMYFUNCTION("""COMPUTED_VALUE"""),"Dubai")</f>
        <v>Dubai</v>
      </c>
      <c r="B15329" s="2" t="str">
        <f ca="1">IFERROR(__xludf.DUMMYFUNCTION("""COMPUTED_VALUE"""),"Lum1nar Tower 1")</f>
        <v>Lum1nar Tower 1</v>
      </c>
      <c r="C15329" s="2" t="str">
        <f ca="1">IFERROR(__xludf.DUMMYFUNCTION("""COMPUTED_VALUE"""),"Building")</f>
        <v>Building</v>
      </c>
      <c r="D15329" s="2" t="str">
        <f ca="1">IFERROR(__xludf.DUMMYFUNCTION("""COMPUTED_VALUE"""),"Dubai&gt;Jumeirah Village Triangle (JVT)&gt;JVT District 2&gt;Lum1nar Towers&gt;Lum1nar Tower 1")</f>
        <v>Dubai&gt;Jumeirah Village Triangle (JVT)&gt;JVT District 2&gt;Lum1nar Towers&gt;Lum1nar Tower 1</v>
      </c>
      <c r="E15329" s="2"/>
      <c r="F15329" s="2"/>
      <c r="G15329" s="2"/>
      <c r="H15329" s="2"/>
      <c r="I15329" s="2"/>
      <c r="J15329" s="2"/>
      <c r="K15329" s="2"/>
      <c r="L15329" s="2"/>
      <c r="M15329" s="2"/>
      <c r="N15329" s="2"/>
      <c r="O15329" s="2"/>
      <c r="P15329" s="2"/>
      <c r="Q15329" s="2"/>
      <c r="R15329" s="2"/>
      <c r="S15329" s="2"/>
      <c r="T15329" s="2"/>
      <c r="U15329" s="2"/>
      <c r="V15329" s="2"/>
      <c r="W15329" s="2"/>
      <c r="X15329" s="2"/>
      <c r="Y15329" s="2"/>
      <c r="Z15329" s="2"/>
    </row>
    <row r="15330" spans="1:26" ht="16.5" x14ac:dyDescent="0.35">
      <c r="A15330" s="2" t="str">
        <f ca="1">IFERROR(__xludf.DUMMYFUNCTION("""COMPUTED_VALUE"""),"Dubai")</f>
        <v>Dubai</v>
      </c>
      <c r="B15330" s="2" t="str">
        <f ca="1">IFERROR(__xludf.DUMMYFUNCTION("""COMPUTED_VALUE"""),"555 Park Views")</f>
        <v>555 Park Views</v>
      </c>
      <c r="C15330" s="2" t="str">
        <f ca="1">IFERROR(__xludf.DUMMYFUNCTION("""COMPUTED_VALUE"""),"Building")</f>
        <v>Building</v>
      </c>
      <c r="D15330" s="2" t="str">
        <f ca="1">IFERROR(__xludf.DUMMYFUNCTION("""COMPUTED_VALUE"""),"Dubai&gt;Jumeirah Village Triangle (JVT)&gt;JVT District 1&gt;555 Park Views")</f>
        <v>Dubai&gt;Jumeirah Village Triangle (JVT)&gt;JVT District 1&gt;555 Park Views</v>
      </c>
      <c r="E15330" s="2"/>
      <c r="F15330" s="2"/>
      <c r="G15330" s="2"/>
      <c r="H15330" s="2"/>
      <c r="I15330" s="2"/>
      <c r="J15330" s="2"/>
      <c r="K15330" s="2"/>
      <c r="L15330" s="2"/>
      <c r="M15330" s="2"/>
      <c r="N15330" s="2"/>
      <c r="O15330" s="2"/>
      <c r="P15330" s="2"/>
      <c r="Q15330" s="2"/>
      <c r="R15330" s="2"/>
      <c r="S15330" s="2"/>
      <c r="T15330" s="2"/>
      <c r="U15330" s="2"/>
      <c r="V15330" s="2"/>
      <c r="W15330" s="2"/>
      <c r="X15330" s="2"/>
      <c r="Y15330" s="2"/>
      <c r="Z15330" s="2"/>
    </row>
    <row r="15331" spans="1:26" ht="16.5" x14ac:dyDescent="0.35">
      <c r="A15331" s="2" t="str">
        <f ca="1">IFERROR(__xludf.DUMMYFUNCTION("""COMPUTED_VALUE"""),"Dubai")</f>
        <v>Dubai</v>
      </c>
      <c r="B15331" s="2" t="str">
        <f ca="1">IFERROR(__xludf.DUMMYFUNCTION("""COMPUTED_VALUE"""),"Golden Wood Views 1")</f>
        <v>Golden Wood Views 1</v>
      </c>
      <c r="C15331" s="2" t="str">
        <f ca="1">IFERROR(__xludf.DUMMYFUNCTION("""COMPUTED_VALUE"""),"Building")</f>
        <v>Building</v>
      </c>
      <c r="D15331" s="2" t="str">
        <f ca="1">IFERROR(__xludf.DUMMYFUNCTION("""COMPUTED_VALUE"""),"Dubai&gt;Jumeirah Village Triangle (JVT)&gt;JVT District 4&gt;Golden Wood Views 1")</f>
        <v>Dubai&gt;Jumeirah Village Triangle (JVT)&gt;JVT District 4&gt;Golden Wood Views 1</v>
      </c>
      <c r="E15331" s="2"/>
      <c r="F15331" s="2"/>
      <c r="G15331" s="2"/>
      <c r="H15331" s="2"/>
      <c r="I15331" s="2"/>
      <c r="J15331" s="2"/>
      <c r="K15331" s="2"/>
      <c r="L15331" s="2"/>
      <c r="M15331" s="2"/>
      <c r="N15331" s="2"/>
      <c r="O15331" s="2"/>
      <c r="P15331" s="2"/>
      <c r="Q15331" s="2"/>
      <c r="R15331" s="2"/>
      <c r="S15331" s="2"/>
      <c r="T15331" s="2"/>
      <c r="U15331" s="2"/>
      <c r="V15331" s="2"/>
      <c r="W15331" s="2"/>
      <c r="X15331" s="2"/>
      <c r="Y15331" s="2"/>
      <c r="Z15331" s="2"/>
    </row>
    <row r="15332" spans="1:26" ht="16.5" x14ac:dyDescent="0.35">
      <c r="A15332" s="2" t="str">
        <f ca="1">IFERROR(__xludf.DUMMYFUNCTION("""COMPUTED_VALUE"""),"Dubai")</f>
        <v>Dubai</v>
      </c>
      <c r="B15332" s="2" t="str">
        <f ca="1">IFERROR(__xludf.DUMMYFUNCTION("""COMPUTED_VALUE"""),"Bali Residences")</f>
        <v>Bali Residences</v>
      </c>
      <c r="C15332" s="2" t="str">
        <f ca="1">IFERROR(__xludf.DUMMYFUNCTION("""COMPUTED_VALUE"""),"Building")</f>
        <v>Building</v>
      </c>
      <c r="D15332" s="2" t="str">
        <f ca="1">IFERROR(__xludf.DUMMYFUNCTION("""COMPUTED_VALUE"""),"Dubai&gt;Jumeirah Village Triangle (JVT)&gt;JVT District 3&gt;Bali Residences")</f>
        <v>Dubai&gt;Jumeirah Village Triangle (JVT)&gt;JVT District 3&gt;Bali Residences</v>
      </c>
      <c r="E15332" s="2"/>
      <c r="F15332" s="2"/>
      <c r="G15332" s="2"/>
      <c r="H15332" s="2"/>
      <c r="I15332" s="2"/>
      <c r="J15332" s="2"/>
      <c r="K15332" s="2"/>
      <c r="L15332" s="2"/>
      <c r="M15332" s="2"/>
      <c r="N15332" s="2"/>
      <c r="O15332" s="2"/>
      <c r="P15332" s="2"/>
      <c r="Q15332" s="2"/>
      <c r="R15332" s="2"/>
      <c r="S15332" s="2"/>
      <c r="T15332" s="2"/>
      <c r="U15332" s="2"/>
      <c r="V15332" s="2"/>
      <c r="W15332" s="2"/>
      <c r="X15332" s="2"/>
      <c r="Y15332" s="2"/>
      <c r="Z15332" s="2"/>
    </row>
    <row r="15333" spans="1:26" ht="16.5" x14ac:dyDescent="0.35">
      <c r="A15333" s="2" t="str">
        <f ca="1">IFERROR(__xludf.DUMMYFUNCTION("""COMPUTED_VALUE"""),"Dubai")</f>
        <v>Dubai</v>
      </c>
      <c r="B15333" s="2" t="str">
        <f ca="1">IFERROR(__xludf.DUMMYFUNCTION("""COMPUTED_VALUE"""),"Al Ramth 67")</f>
        <v>Al Ramth 67</v>
      </c>
      <c r="C15333" s="2" t="str">
        <f ca="1">IFERROR(__xludf.DUMMYFUNCTION("""COMPUTED_VALUE"""),"Building")</f>
        <v>Building</v>
      </c>
      <c r="D15333" s="2" t="str">
        <f ca="1">IFERROR(__xludf.DUMMYFUNCTION("""COMPUTED_VALUE"""),"Dubai&gt;Remraam&gt;Al Ramth&gt;Al Ramth 67")</f>
        <v>Dubai&gt;Remraam&gt;Al Ramth&gt;Al Ramth 67</v>
      </c>
      <c r="E15333" s="2"/>
      <c r="F15333" s="2"/>
      <c r="G15333" s="2"/>
      <c r="H15333" s="2"/>
      <c r="I15333" s="2"/>
      <c r="J15333" s="2"/>
      <c r="K15333" s="2"/>
      <c r="L15333" s="2"/>
      <c r="M15333" s="2"/>
      <c r="N15333" s="2"/>
      <c r="O15333" s="2"/>
      <c r="P15333" s="2"/>
      <c r="Q15333" s="2"/>
      <c r="R15333" s="2"/>
      <c r="S15333" s="2"/>
      <c r="T15333" s="2"/>
      <c r="U15333" s="2"/>
      <c r="V15333" s="2"/>
      <c r="W15333" s="2"/>
      <c r="X15333" s="2"/>
      <c r="Y15333" s="2"/>
      <c r="Z15333" s="2"/>
    </row>
    <row r="15334" spans="1:26" ht="16.5" x14ac:dyDescent="0.35">
      <c r="A15334" s="2" t="str">
        <f ca="1">IFERROR(__xludf.DUMMYFUNCTION("""COMPUTED_VALUE"""),"Dubai")</f>
        <v>Dubai</v>
      </c>
      <c r="B15334" s="2" t="str">
        <f ca="1">IFERROR(__xludf.DUMMYFUNCTION("""COMPUTED_VALUE"""),"Al Thamam 59")</f>
        <v>Al Thamam 59</v>
      </c>
      <c r="C15334" s="2" t="str">
        <f ca="1">IFERROR(__xludf.DUMMYFUNCTION("""COMPUTED_VALUE"""),"Building")</f>
        <v>Building</v>
      </c>
      <c r="D15334" s="2" t="str">
        <f ca="1">IFERROR(__xludf.DUMMYFUNCTION("""COMPUTED_VALUE"""),"Dubai&gt;Remraam&gt;Al Thamam&gt;Al Thamam 59")</f>
        <v>Dubai&gt;Remraam&gt;Al Thamam&gt;Al Thamam 59</v>
      </c>
      <c r="E15334" s="2"/>
      <c r="F15334" s="2"/>
      <c r="G15334" s="2"/>
      <c r="H15334" s="2"/>
      <c r="I15334" s="2"/>
      <c r="J15334" s="2"/>
      <c r="K15334" s="2"/>
      <c r="L15334" s="2"/>
      <c r="M15334" s="2"/>
      <c r="N15334" s="2"/>
      <c r="O15334" s="2"/>
      <c r="P15334" s="2"/>
      <c r="Q15334" s="2"/>
      <c r="R15334" s="2"/>
      <c r="S15334" s="2"/>
      <c r="T15334" s="2"/>
      <c r="U15334" s="2"/>
      <c r="V15334" s="2"/>
      <c r="W15334" s="2"/>
      <c r="X15334" s="2"/>
      <c r="Y15334" s="2"/>
      <c r="Z15334" s="2"/>
    </row>
    <row r="15335" spans="1:26" ht="16.5" x14ac:dyDescent="0.35">
      <c r="A15335" s="2" t="str">
        <f ca="1">IFERROR(__xludf.DUMMYFUNCTION("""COMPUTED_VALUE"""),"Dubai")</f>
        <v>Dubai</v>
      </c>
      <c r="B15335" s="2" t="str">
        <f ca="1">IFERROR(__xludf.DUMMYFUNCTION("""COMPUTED_VALUE"""),"Al Thamam 25")</f>
        <v>Al Thamam 25</v>
      </c>
      <c r="C15335" s="2" t="str">
        <f ca="1">IFERROR(__xludf.DUMMYFUNCTION("""COMPUTED_VALUE"""),"Building")</f>
        <v>Building</v>
      </c>
      <c r="D15335" s="2" t="str">
        <f ca="1">IFERROR(__xludf.DUMMYFUNCTION("""COMPUTED_VALUE"""),"Dubai&gt;Remraam&gt;Al Thamam&gt;Al Thamam 25")</f>
        <v>Dubai&gt;Remraam&gt;Al Thamam&gt;Al Thamam 25</v>
      </c>
      <c r="E15335" s="2"/>
      <c r="F15335" s="2"/>
      <c r="G15335" s="2"/>
      <c r="H15335" s="2"/>
      <c r="I15335" s="2"/>
      <c r="J15335" s="2"/>
      <c r="K15335" s="2"/>
      <c r="L15335" s="2"/>
      <c r="M15335" s="2"/>
      <c r="N15335" s="2"/>
      <c r="O15335" s="2"/>
      <c r="P15335" s="2"/>
      <c r="Q15335" s="2"/>
      <c r="R15335" s="2"/>
      <c r="S15335" s="2"/>
      <c r="T15335" s="2"/>
      <c r="U15335" s="2"/>
      <c r="V15335" s="2"/>
      <c r="W15335" s="2"/>
      <c r="X15335" s="2"/>
      <c r="Y15335" s="2"/>
      <c r="Z15335" s="2"/>
    </row>
    <row r="15336" spans="1:26" ht="16.5" x14ac:dyDescent="0.35">
      <c r="A15336" s="2" t="str">
        <f ca="1">IFERROR(__xludf.DUMMYFUNCTION("""COMPUTED_VALUE"""),"Dubai")</f>
        <v>Dubai</v>
      </c>
      <c r="B15336" s="2" t="str">
        <f ca="1">IFERROR(__xludf.DUMMYFUNCTION("""COMPUTED_VALUE"""),"JVC District 12")</f>
        <v>JVC District 12</v>
      </c>
      <c r="C15336" s="2" t="str">
        <f ca="1">IFERROR(__xludf.DUMMYFUNCTION("""COMPUTED_VALUE"""),"Neighbourhood")</f>
        <v>Neighbourhood</v>
      </c>
      <c r="D15336" s="2" t="str">
        <f ca="1">IFERROR(__xludf.DUMMYFUNCTION("""COMPUTED_VALUE"""),"Dubai&gt;Jumeirah Village Circle (JVC)&gt;JVC District 12")</f>
        <v>Dubai&gt;Jumeirah Village Circle (JVC)&gt;JVC District 12</v>
      </c>
      <c r="E15336" s="2"/>
      <c r="F15336" s="2"/>
      <c r="G15336" s="2"/>
      <c r="H15336" s="2"/>
      <c r="I15336" s="2"/>
      <c r="J15336" s="2"/>
      <c r="K15336" s="2"/>
      <c r="L15336" s="2"/>
      <c r="M15336" s="2"/>
      <c r="N15336" s="2"/>
      <c r="O15336" s="2"/>
      <c r="P15336" s="2"/>
      <c r="Q15336" s="2"/>
      <c r="R15336" s="2"/>
      <c r="S15336" s="2"/>
      <c r="T15336" s="2"/>
      <c r="U15336" s="2"/>
      <c r="V15336" s="2"/>
      <c r="W15336" s="2"/>
      <c r="X15336" s="2"/>
      <c r="Y15336" s="2"/>
      <c r="Z15336" s="2"/>
    </row>
    <row r="15337" spans="1:26" ht="16.5" x14ac:dyDescent="0.35">
      <c r="A15337" s="2" t="str">
        <f ca="1">IFERROR(__xludf.DUMMYFUNCTION("""COMPUTED_VALUE"""),"Dubai")</f>
        <v>Dubai</v>
      </c>
      <c r="B15337" s="2" t="str">
        <f ca="1">IFERROR(__xludf.DUMMYFUNCTION("""COMPUTED_VALUE"""),"7 West Residence")</f>
        <v>7 West Residence</v>
      </c>
      <c r="C15337" s="2" t="str">
        <f ca="1">IFERROR(__xludf.DUMMYFUNCTION("""COMPUTED_VALUE"""),"Neighbourhood")</f>
        <v>Neighbourhood</v>
      </c>
      <c r="D15337" s="2" t="str">
        <f ca="1">IFERROR(__xludf.DUMMYFUNCTION("""COMPUTED_VALUE"""),"Dubai&gt;Jumeirah Village Circle (JVC)&gt;JVC District 12&gt;7 West Residence")</f>
        <v>Dubai&gt;Jumeirah Village Circle (JVC)&gt;JVC District 12&gt;7 West Residence</v>
      </c>
      <c r="E15337" s="2"/>
      <c r="F15337" s="2"/>
      <c r="G15337" s="2"/>
      <c r="H15337" s="2"/>
      <c r="I15337" s="2"/>
      <c r="J15337" s="2"/>
      <c r="K15337" s="2"/>
      <c r="L15337" s="2"/>
      <c r="M15337" s="2"/>
      <c r="N15337" s="2"/>
      <c r="O15337" s="2"/>
      <c r="P15337" s="2"/>
      <c r="Q15337" s="2"/>
      <c r="R15337" s="2"/>
      <c r="S15337" s="2"/>
      <c r="T15337" s="2"/>
      <c r="U15337" s="2"/>
      <c r="V15337" s="2"/>
      <c r="W15337" s="2"/>
      <c r="X15337" s="2"/>
      <c r="Y15337" s="2"/>
      <c r="Z15337" s="2"/>
    </row>
    <row r="15338" spans="1:26" ht="16.5" x14ac:dyDescent="0.35">
      <c r="A15338" s="2" t="str">
        <f ca="1">IFERROR(__xludf.DUMMYFUNCTION("""COMPUTED_VALUE"""),"Dubai")</f>
        <v>Dubai</v>
      </c>
      <c r="B15338" s="2" t="str">
        <f ca="1">IFERROR(__xludf.DUMMYFUNCTION("""COMPUTED_VALUE"""),"The Orchard Place Tower E")</f>
        <v>The Orchard Place Tower E</v>
      </c>
      <c r="C15338" s="2" t="str">
        <f ca="1">IFERROR(__xludf.DUMMYFUNCTION("""COMPUTED_VALUE"""),"Building")</f>
        <v>Building</v>
      </c>
      <c r="D15338" s="2" t="str">
        <f ca="1">IFERROR(__xludf.DUMMYFUNCTION("""COMPUTED_VALUE"""),"Dubai&gt;Jumeirah Village Circle (JVC)&gt;JVC District 12&gt;The Orchard Place&gt;The Orchard Place Tower E")</f>
        <v>Dubai&gt;Jumeirah Village Circle (JVC)&gt;JVC District 12&gt;The Orchard Place&gt;The Orchard Place Tower E</v>
      </c>
      <c r="E15338" s="2"/>
      <c r="F15338" s="2"/>
      <c r="G15338" s="2"/>
      <c r="H15338" s="2"/>
      <c r="I15338" s="2"/>
      <c r="J15338" s="2"/>
      <c r="K15338" s="2"/>
      <c r="L15338" s="2"/>
      <c r="M15338" s="2"/>
      <c r="N15338" s="2"/>
      <c r="O15338" s="2"/>
      <c r="P15338" s="2"/>
      <c r="Q15338" s="2"/>
      <c r="R15338" s="2"/>
      <c r="S15338" s="2"/>
      <c r="T15338" s="2"/>
      <c r="U15338" s="2"/>
      <c r="V15338" s="2"/>
      <c r="W15338" s="2"/>
      <c r="X15338" s="2"/>
      <c r="Y15338" s="2"/>
      <c r="Z15338" s="2"/>
    </row>
    <row r="15339" spans="1:26" ht="16.5" x14ac:dyDescent="0.35">
      <c r="A15339" s="2" t="str">
        <f ca="1">IFERROR(__xludf.DUMMYFUNCTION("""COMPUTED_VALUE"""),"Dubai")</f>
        <v>Dubai</v>
      </c>
      <c r="B15339" s="2" t="str">
        <f ca="1">IFERROR(__xludf.DUMMYFUNCTION("""COMPUTED_VALUE"""),"Pure Luxury Living")</f>
        <v>Pure Luxury Living</v>
      </c>
      <c r="C15339" s="2" t="str">
        <f ca="1">IFERROR(__xludf.DUMMYFUNCTION("""COMPUTED_VALUE"""),"Neighbourhood")</f>
        <v>Neighbourhood</v>
      </c>
      <c r="D15339" s="2" t="str">
        <f ca="1">IFERROR(__xludf.DUMMYFUNCTION("""COMPUTED_VALUE"""),"Dubai&gt;Jumeirah Village Circle (JVC)&gt;JVC District 12&gt;Pure Luxury Living")</f>
        <v>Dubai&gt;Jumeirah Village Circle (JVC)&gt;JVC District 12&gt;Pure Luxury Living</v>
      </c>
      <c r="E15339" s="2"/>
      <c r="F15339" s="2"/>
      <c r="G15339" s="2"/>
      <c r="H15339" s="2"/>
      <c r="I15339" s="2"/>
      <c r="J15339" s="2"/>
      <c r="K15339" s="2"/>
      <c r="L15339" s="2"/>
      <c r="M15339" s="2"/>
      <c r="N15339" s="2"/>
      <c r="O15339" s="2"/>
      <c r="P15339" s="2"/>
      <c r="Q15339" s="2"/>
      <c r="R15339" s="2"/>
      <c r="S15339" s="2"/>
      <c r="T15339" s="2"/>
      <c r="U15339" s="2"/>
      <c r="V15339" s="2"/>
      <c r="W15339" s="2"/>
      <c r="X15339" s="2"/>
      <c r="Y15339" s="2"/>
      <c r="Z15339" s="2"/>
    </row>
    <row r="15340" spans="1:26" ht="16.5" x14ac:dyDescent="0.35">
      <c r="A15340" s="2" t="str">
        <f ca="1">IFERROR(__xludf.DUMMYFUNCTION("""COMPUTED_VALUE"""),"Dubai")</f>
        <v>Dubai</v>
      </c>
      <c r="B15340" s="2" t="str">
        <f ca="1">IFERROR(__xludf.DUMMYFUNCTION("""COMPUTED_VALUE"""),"Oxford Residence")</f>
        <v>Oxford Residence</v>
      </c>
      <c r="C15340" s="2" t="str">
        <f ca="1">IFERROR(__xludf.DUMMYFUNCTION("""COMPUTED_VALUE"""),"Building")</f>
        <v>Building</v>
      </c>
      <c r="D15340" s="2" t="str">
        <f ca="1">IFERROR(__xludf.DUMMYFUNCTION("""COMPUTED_VALUE"""),"Dubai&gt;Jumeirah Village Circle (JVC)&gt;JVC District 13&gt;Oxford Residence")</f>
        <v>Dubai&gt;Jumeirah Village Circle (JVC)&gt;JVC District 13&gt;Oxford Residence</v>
      </c>
      <c r="E15340" s="2"/>
      <c r="F15340" s="2"/>
      <c r="G15340" s="2"/>
      <c r="H15340" s="2"/>
      <c r="I15340" s="2"/>
      <c r="J15340" s="2"/>
      <c r="K15340" s="2"/>
      <c r="L15340" s="2"/>
      <c r="M15340" s="2"/>
      <c r="N15340" s="2"/>
      <c r="O15340" s="2"/>
      <c r="P15340" s="2"/>
      <c r="Q15340" s="2"/>
      <c r="R15340" s="2"/>
      <c r="S15340" s="2"/>
      <c r="T15340" s="2"/>
      <c r="U15340" s="2"/>
      <c r="V15340" s="2"/>
      <c r="W15340" s="2"/>
      <c r="X15340" s="2"/>
      <c r="Y15340" s="2"/>
      <c r="Z15340" s="2"/>
    </row>
    <row r="15341" spans="1:26" ht="16.5" x14ac:dyDescent="0.35">
      <c r="A15341" s="2" t="str">
        <f ca="1">IFERROR(__xludf.DUMMYFUNCTION("""COMPUTED_VALUE"""),"Dubai")</f>
        <v>Dubai</v>
      </c>
      <c r="B15341" s="2" t="str">
        <f ca="1">IFERROR(__xludf.DUMMYFUNCTION("""COMPUTED_VALUE"""),"Samana Waves 2")</f>
        <v>Samana Waves 2</v>
      </c>
      <c r="C15341" s="2" t="str">
        <f ca="1">IFERROR(__xludf.DUMMYFUNCTION("""COMPUTED_VALUE"""),"Building")</f>
        <v>Building</v>
      </c>
      <c r="D15341" s="2" t="str">
        <f ca="1">IFERROR(__xludf.DUMMYFUNCTION("""COMPUTED_VALUE"""),"Dubai&gt;Jumeirah Village Circle (JVC)&gt;JVC District 13&gt;Samana Waves 2")</f>
        <v>Dubai&gt;Jumeirah Village Circle (JVC)&gt;JVC District 13&gt;Samana Waves 2</v>
      </c>
      <c r="E15341" s="2"/>
      <c r="F15341" s="2"/>
      <c r="G15341" s="2"/>
      <c r="H15341" s="2"/>
      <c r="I15341" s="2"/>
      <c r="J15341" s="2"/>
      <c r="K15341" s="2"/>
      <c r="L15341" s="2"/>
      <c r="M15341" s="2"/>
      <c r="N15341" s="2"/>
      <c r="O15341" s="2"/>
      <c r="P15341" s="2"/>
      <c r="Q15341" s="2"/>
      <c r="R15341" s="2"/>
      <c r="S15341" s="2"/>
      <c r="T15341" s="2"/>
      <c r="U15341" s="2"/>
      <c r="V15341" s="2"/>
      <c r="W15341" s="2"/>
      <c r="X15341" s="2"/>
      <c r="Y15341" s="2"/>
      <c r="Z15341" s="2"/>
    </row>
    <row r="15342" spans="1:26" ht="16.5" x14ac:dyDescent="0.35">
      <c r="A15342" s="2" t="str">
        <f ca="1">IFERROR(__xludf.DUMMYFUNCTION("""COMPUTED_VALUE"""),"Dubai")</f>
        <v>Dubai</v>
      </c>
      <c r="B15342" s="2" t="str">
        <f ca="1">IFERROR(__xludf.DUMMYFUNCTION("""COMPUTED_VALUE"""),"JVC District 18")</f>
        <v>JVC District 18</v>
      </c>
      <c r="C15342" s="2" t="str">
        <f ca="1">IFERROR(__xludf.DUMMYFUNCTION("""COMPUTED_VALUE"""),"Neighbourhood")</f>
        <v>Neighbourhood</v>
      </c>
      <c r="D15342" s="2" t="str">
        <f ca="1">IFERROR(__xludf.DUMMYFUNCTION("""COMPUTED_VALUE"""),"Dubai&gt;Jumeirah Village Circle (JVC)&gt;JVC District 18")</f>
        <v>Dubai&gt;Jumeirah Village Circle (JVC)&gt;JVC District 18</v>
      </c>
      <c r="E15342" s="2"/>
      <c r="F15342" s="2"/>
      <c r="G15342" s="2"/>
      <c r="H15342" s="2"/>
      <c r="I15342" s="2"/>
      <c r="J15342" s="2"/>
      <c r="K15342" s="2"/>
      <c r="L15342" s="2"/>
      <c r="M15342" s="2"/>
      <c r="N15342" s="2"/>
      <c r="O15342" s="2"/>
      <c r="P15342" s="2"/>
      <c r="Q15342" s="2"/>
      <c r="R15342" s="2"/>
      <c r="S15342" s="2"/>
      <c r="T15342" s="2"/>
      <c r="U15342" s="2"/>
      <c r="V15342" s="2"/>
      <c r="W15342" s="2"/>
      <c r="X15342" s="2"/>
      <c r="Y15342" s="2"/>
      <c r="Z15342" s="2"/>
    </row>
    <row r="15343" spans="1:26" ht="16.5" x14ac:dyDescent="0.35">
      <c r="A15343" s="2" t="str">
        <f ca="1">IFERROR(__xludf.DUMMYFUNCTION("""COMPUTED_VALUE"""),"Dubai")</f>
        <v>Dubai</v>
      </c>
      <c r="B15343" s="2" t="str">
        <f ca="1">IFERROR(__xludf.DUMMYFUNCTION("""COMPUTED_VALUE"""),"Spica Residential")</f>
        <v>Spica Residential</v>
      </c>
      <c r="C15343" s="2" t="str">
        <f ca="1">IFERROR(__xludf.DUMMYFUNCTION("""COMPUTED_VALUE"""),"Building")</f>
        <v>Building</v>
      </c>
      <c r="D15343" s="2" t="str">
        <f ca="1">IFERROR(__xludf.DUMMYFUNCTION("""COMPUTED_VALUE"""),"Dubai&gt;Jumeirah Village Circle (JVC)&gt;JVC District 10&gt;Spica Residential")</f>
        <v>Dubai&gt;Jumeirah Village Circle (JVC)&gt;JVC District 10&gt;Spica Residential</v>
      </c>
      <c r="E15343" s="2"/>
      <c r="F15343" s="2"/>
      <c r="G15343" s="2"/>
      <c r="H15343" s="2"/>
      <c r="I15343" s="2"/>
      <c r="J15343" s="2"/>
      <c r="K15343" s="2"/>
      <c r="L15343" s="2"/>
      <c r="M15343" s="2"/>
      <c r="N15343" s="2"/>
      <c r="O15343" s="2"/>
      <c r="P15343" s="2"/>
      <c r="Q15343" s="2"/>
      <c r="R15343" s="2"/>
      <c r="S15343" s="2"/>
      <c r="T15343" s="2"/>
      <c r="U15343" s="2"/>
      <c r="V15343" s="2"/>
      <c r="W15343" s="2"/>
      <c r="X15343" s="2"/>
      <c r="Y15343" s="2"/>
      <c r="Z15343" s="2"/>
    </row>
    <row r="15344" spans="1:26" ht="16.5" x14ac:dyDescent="0.35">
      <c r="A15344" s="2" t="str">
        <f ca="1">IFERROR(__xludf.DUMMYFUNCTION("""COMPUTED_VALUE"""),"Dubai")</f>
        <v>Dubai</v>
      </c>
      <c r="B15344" s="2" t="str">
        <f ca="1">IFERROR(__xludf.DUMMYFUNCTION("""COMPUTED_VALUE"""),"La Riviera Estate B")</f>
        <v>La Riviera Estate B</v>
      </c>
      <c r="C15344" s="2" t="str">
        <f ca="1">IFERROR(__xludf.DUMMYFUNCTION("""COMPUTED_VALUE"""),"Building")</f>
        <v>Building</v>
      </c>
      <c r="D15344" s="2" t="str">
        <f ca="1">IFERROR(__xludf.DUMMYFUNCTION("""COMPUTED_VALUE"""),"Dubai&gt;Jumeirah Village Circle (JVC)&gt;JVC District 10&gt;La Riviera Estates&gt;La Riviera Estate B")</f>
        <v>Dubai&gt;Jumeirah Village Circle (JVC)&gt;JVC District 10&gt;La Riviera Estates&gt;La Riviera Estate B</v>
      </c>
      <c r="E15344" s="2"/>
      <c r="F15344" s="2"/>
      <c r="G15344" s="2"/>
      <c r="H15344" s="2"/>
      <c r="I15344" s="2"/>
      <c r="J15344" s="2"/>
      <c r="K15344" s="2"/>
      <c r="L15344" s="2"/>
      <c r="M15344" s="2"/>
      <c r="N15344" s="2"/>
      <c r="O15344" s="2"/>
      <c r="P15344" s="2"/>
      <c r="Q15344" s="2"/>
      <c r="R15344" s="2"/>
      <c r="S15344" s="2"/>
      <c r="T15344" s="2"/>
      <c r="U15344" s="2"/>
      <c r="V15344" s="2"/>
      <c r="W15344" s="2"/>
      <c r="X15344" s="2"/>
      <c r="Y15344" s="2"/>
      <c r="Z15344" s="2"/>
    </row>
    <row r="15345" spans="1:26" ht="16.5" x14ac:dyDescent="0.35">
      <c r="A15345" s="2" t="str">
        <f ca="1">IFERROR(__xludf.DUMMYFUNCTION("""COMPUTED_VALUE"""),"Dubai")</f>
        <v>Dubai</v>
      </c>
      <c r="B15345" s="2" t="str">
        <f ca="1">IFERROR(__xludf.DUMMYFUNCTION("""COMPUTED_VALUE"""),"Binghatti Corner")</f>
        <v>Binghatti Corner</v>
      </c>
      <c r="C15345" s="2" t="str">
        <f ca="1">IFERROR(__xludf.DUMMYFUNCTION("""COMPUTED_VALUE"""),"Building")</f>
        <v>Building</v>
      </c>
      <c r="D15345" s="2" t="str">
        <f ca="1">IFERROR(__xludf.DUMMYFUNCTION("""COMPUTED_VALUE"""),"Dubai&gt;Jumeirah Village Circle (JVC)&gt;JVC District 10&gt;Binghatti Corner")</f>
        <v>Dubai&gt;Jumeirah Village Circle (JVC)&gt;JVC District 10&gt;Binghatti Corner</v>
      </c>
      <c r="E15345" s="2"/>
      <c r="F15345" s="2"/>
      <c r="G15345" s="2"/>
      <c r="H15345" s="2"/>
      <c r="I15345" s="2"/>
      <c r="J15345" s="2"/>
      <c r="K15345" s="2"/>
      <c r="L15345" s="2"/>
      <c r="M15345" s="2"/>
      <c r="N15345" s="2"/>
      <c r="O15345" s="2"/>
      <c r="P15345" s="2"/>
      <c r="Q15345" s="2"/>
      <c r="R15345" s="2"/>
      <c r="S15345" s="2"/>
      <c r="T15345" s="2"/>
      <c r="U15345" s="2"/>
      <c r="V15345" s="2"/>
      <c r="W15345" s="2"/>
      <c r="X15345" s="2"/>
      <c r="Y15345" s="2"/>
      <c r="Z15345" s="2"/>
    </row>
    <row r="15346" spans="1:26" ht="16.5" x14ac:dyDescent="0.35">
      <c r="A15346" s="2" t="str">
        <f ca="1">IFERROR(__xludf.DUMMYFUNCTION("""COMPUTED_VALUE"""),"Dubai")</f>
        <v>Dubai</v>
      </c>
      <c r="B15346" s="2" t="str">
        <f ca="1">IFERROR(__xludf.DUMMYFUNCTION("""COMPUTED_VALUE"""),"Al Naim Residence")</f>
        <v>Al Naim Residence</v>
      </c>
      <c r="C15346" s="2" t="str">
        <f ca="1">IFERROR(__xludf.DUMMYFUNCTION("""COMPUTED_VALUE"""),"Building")</f>
        <v>Building</v>
      </c>
      <c r="D15346" s="2" t="str">
        <f ca="1">IFERROR(__xludf.DUMMYFUNCTION("""COMPUTED_VALUE"""),"Dubai&gt;Jumeirah Village Circle (JVC)&gt;JVC District 10&gt;Al Naim Residence")</f>
        <v>Dubai&gt;Jumeirah Village Circle (JVC)&gt;JVC District 10&gt;Al Naim Residence</v>
      </c>
      <c r="E15346" s="2"/>
      <c r="F15346" s="2"/>
      <c r="G15346" s="2"/>
      <c r="H15346" s="2"/>
      <c r="I15346" s="2"/>
      <c r="J15346" s="2"/>
      <c r="K15346" s="2"/>
      <c r="L15346" s="2"/>
      <c r="M15346" s="2"/>
      <c r="N15346" s="2"/>
      <c r="O15346" s="2"/>
      <c r="P15346" s="2"/>
      <c r="Q15346" s="2"/>
      <c r="R15346" s="2"/>
      <c r="S15346" s="2"/>
      <c r="T15346" s="2"/>
      <c r="U15346" s="2"/>
      <c r="V15346" s="2"/>
      <c r="W15346" s="2"/>
      <c r="X15346" s="2"/>
      <c r="Y15346" s="2"/>
      <c r="Z15346" s="2"/>
    </row>
    <row r="15347" spans="1:26" ht="16.5" x14ac:dyDescent="0.35">
      <c r="A15347" s="2" t="str">
        <f ca="1">IFERROR(__xludf.DUMMYFUNCTION("""COMPUTED_VALUE"""),"Dubai")</f>
        <v>Dubai</v>
      </c>
      <c r="B15347" s="2" t="str">
        <f ca="1">IFERROR(__xludf.DUMMYFUNCTION("""COMPUTED_VALUE"""),"Jehaan 8")</f>
        <v>Jehaan 8</v>
      </c>
      <c r="C15347" s="2" t="str">
        <f ca="1">IFERROR(__xludf.DUMMYFUNCTION("""COMPUTED_VALUE"""),"Building")</f>
        <v>Building</v>
      </c>
      <c r="D15347" s="2" t="str">
        <f ca="1">IFERROR(__xludf.DUMMYFUNCTION("""COMPUTED_VALUE"""),"Dubai&gt;Jumeirah Village Circle (JVC)&gt;JVC District 16&gt;Jehaan&gt;Jehaan 8")</f>
        <v>Dubai&gt;Jumeirah Village Circle (JVC)&gt;JVC District 16&gt;Jehaan&gt;Jehaan 8</v>
      </c>
      <c r="E15347" s="2"/>
      <c r="F15347" s="2"/>
      <c r="G15347" s="2"/>
      <c r="H15347" s="2"/>
      <c r="I15347" s="2"/>
      <c r="J15347" s="2"/>
      <c r="K15347" s="2"/>
      <c r="L15347" s="2"/>
      <c r="M15347" s="2"/>
      <c r="N15347" s="2"/>
      <c r="O15347" s="2"/>
      <c r="P15347" s="2"/>
      <c r="Q15347" s="2"/>
      <c r="R15347" s="2"/>
      <c r="S15347" s="2"/>
      <c r="T15347" s="2"/>
      <c r="U15347" s="2"/>
      <c r="V15347" s="2"/>
      <c r="W15347" s="2"/>
      <c r="X15347" s="2"/>
      <c r="Y15347" s="2"/>
      <c r="Z15347" s="2"/>
    </row>
    <row r="15348" spans="1:26" ht="16.5" x14ac:dyDescent="0.35">
      <c r="A15348" s="2" t="str">
        <f ca="1">IFERROR(__xludf.DUMMYFUNCTION("""COMPUTED_VALUE"""),"Dubai")</f>
        <v>Dubai</v>
      </c>
      <c r="B15348" s="2" t="str">
        <f ca="1">IFERROR(__xludf.DUMMYFUNCTION("""COMPUTED_VALUE"""),"Belgravia 3")</f>
        <v>Belgravia 3</v>
      </c>
      <c r="C15348" s="2" t="str">
        <f ca="1">IFERROR(__xludf.DUMMYFUNCTION("""COMPUTED_VALUE"""),"Cluster")</f>
        <v>Cluster</v>
      </c>
      <c r="D15348" s="2" t="str">
        <f ca="1">IFERROR(__xludf.DUMMYFUNCTION("""COMPUTED_VALUE"""),"Dubai&gt;Jumeirah Village Circle (JVC)&gt;JVC District 15&gt;Belgravia 3")</f>
        <v>Dubai&gt;Jumeirah Village Circle (JVC)&gt;JVC District 15&gt;Belgravia 3</v>
      </c>
      <c r="E15348" s="2"/>
      <c r="F15348" s="2"/>
      <c r="G15348" s="2"/>
      <c r="H15348" s="2"/>
      <c r="I15348" s="2"/>
      <c r="J15348" s="2"/>
      <c r="K15348" s="2"/>
      <c r="L15348" s="2"/>
      <c r="M15348" s="2"/>
      <c r="N15348" s="2"/>
      <c r="O15348" s="2"/>
      <c r="P15348" s="2"/>
      <c r="Q15348" s="2"/>
      <c r="R15348" s="2"/>
      <c r="S15348" s="2"/>
      <c r="T15348" s="2"/>
      <c r="U15348" s="2"/>
      <c r="V15348" s="2"/>
      <c r="W15348" s="2"/>
      <c r="X15348" s="2"/>
      <c r="Y15348" s="2"/>
      <c r="Z15348" s="2"/>
    </row>
    <row r="15349" spans="1:26" ht="16.5" x14ac:dyDescent="0.35">
      <c r="A15349" s="2" t="str">
        <f ca="1">IFERROR(__xludf.DUMMYFUNCTION("""COMPUTED_VALUE"""),"Dubai")</f>
        <v>Dubai</v>
      </c>
      <c r="B15349" s="2" t="str">
        <f ca="1">IFERROR(__xludf.DUMMYFUNCTION("""COMPUTED_VALUE"""),"Binghatti Rose")</f>
        <v>Binghatti Rose</v>
      </c>
      <c r="C15349" s="2" t="str">
        <f ca="1">IFERROR(__xludf.DUMMYFUNCTION("""COMPUTED_VALUE"""),"Building")</f>
        <v>Building</v>
      </c>
      <c r="D15349" s="2" t="str">
        <f ca="1">IFERROR(__xludf.DUMMYFUNCTION("""COMPUTED_VALUE"""),"Dubai&gt;Jumeirah Village Circle (JVC)&gt;JVC District 15&gt;Binghatti Rose")</f>
        <v>Dubai&gt;Jumeirah Village Circle (JVC)&gt;JVC District 15&gt;Binghatti Rose</v>
      </c>
      <c r="E15349" s="2"/>
      <c r="F15349" s="2"/>
      <c r="G15349" s="2"/>
      <c r="H15349" s="2"/>
      <c r="I15349" s="2"/>
      <c r="J15349" s="2"/>
      <c r="K15349" s="2"/>
      <c r="L15349" s="2"/>
      <c r="M15349" s="2"/>
      <c r="N15349" s="2"/>
      <c r="O15349" s="2"/>
      <c r="P15349" s="2"/>
      <c r="Q15349" s="2"/>
      <c r="R15349" s="2"/>
      <c r="S15349" s="2"/>
      <c r="T15349" s="2"/>
      <c r="U15349" s="2"/>
      <c r="V15349" s="2"/>
      <c r="W15349" s="2"/>
      <c r="X15349" s="2"/>
      <c r="Y15349" s="2"/>
      <c r="Z15349" s="2"/>
    </row>
    <row r="15350" spans="1:26" ht="16.5" x14ac:dyDescent="0.35">
      <c r="A15350" s="2" t="str">
        <f ca="1">IFERROR(__xludf.DUMMYFUNCTION("""COMPUTED_VALUE"""),"Dubai")</f>
        <v>Dubai</v>
      </c>
      <c r="B15350" s="2" t="str">
        <f ca="1">IFERROR(__xludf.DUMMYFUNCTION("""COMPUTED_VALUE"""),"ACES Chateau")</f>
        <v>ACES Chateau</v>
      </c>
      <c r="C15350" s="2" t="str">
        <f ca="1">IFERROR(__xludf.DUMMYFUNCTION("""COMPUTED_VALUE"""),"Building")</f>
        <v>Building</v>
      </c>
      <c r="D15350" s="2" t="str">
        <f ca="1">IFERROR(__xludf.DUMMYFUNCTION("""COMPUTED_VALUE"""),"Dubai&gt;Jumeirah Village Circle (JVC)&gt;JVC District 11&gt;ACES Chateau")</f>
        <v>Dubai&gt;Jumeirah Village Circle (JVC)&gt;JVC District 11&gt;ACES Chateau</v>
      </c>
      <c r="E15350" s="2"/>
      <c r="F15350" s="2"/>
      <c r="G15350" s="2"/>
      <c r="H15350" s="2"/>
      <c r="I15350" s="2"/>
      <c r="J15350" s="2"/>
      <c r="K15350" s="2"/>
      <c r="L15350" s="2"/>
      <c r="M15350" s="2"/>
      <c r="N15350" s="2"/>
      <c r="O15350" s="2"/>
      <c r="P15350" s="2"/>
      <c r="Q15350" s="2"/>
      <c r="R15350" s="2"/>
      <c r="S15350" s="2"/>
      <c r="T15350" s="2"/>
      <c r="U15350" s="2"/>
      <c r="V15350" s="2"/>
      <c r="W15350" s="2"/>
      <c r="X15350" s="2"/>
      <c r="Y15350" s="2"/>
      <c r="Z15350" s="2"/>
    </row>
    <row r="15351" spans="1:26" ht="16.5" x14ac:dyDescent="0.35">
      <c r="A15351" s="2" t="str">
        <f ca="1">IFERROR(__xludf.DUMMYFUNCTION("""COMPUTED_VALUE"""),"Dubai")</f>
        <v>Dubai</v>
      </c>
      <c r="B15351" s="2" t="str">
        <f ca="1">IFERROR(__xludf.DUMMYFUNCTION("""COMPUTED_VALUE"""),"Westar Constellation Villas")</f>
        <v>Westar Constellation Villas</v>
      </c>
      <c r="C15351" s="2" t="str">
        <f ca="1">IFERROR(__xludf.DUMMYFUNCTION("""COMPUTED_VALUE"""),"Neighbourhood")</f>
        <v>Neighbourhood</v>
      </c>
      <c r="D15351" s="2" t="str">
        <f ca="1">IFERROR(__xludf.DUMMYFUNCTION("""COMPUTED_VALUE"""),"Dubai&gt;Jumeirah Village Circle (JVC)&gt;JVC District 11&gt;Westar Constellation Villas")</f>
        <v>Dubai&gt;Jumeirah Village Circle (JVC)&gt;JVC District 11&gt;Westar Constellation Villas</v>
      </c>
      <c r="E15351" s="2"/>
      <c r="F15351" s="2"/>
      <c r="G15351" s="2"/>
      <c r="H15351" s="2"/>
      <c r="I15351" s="2"/>
      <c r="J15351" s="2"/>
      <c r="K15351" s="2"/>
      <c r="L15351" s="2"/>
      <c r="M15351" s="2"/>
      <c r="N15351" s="2"/>
      <c r="O15351" s="2"/>
      <c r="P15351" s="2"/>
      <c r="Q15351" s="2"/>
      <c r="R15351" s="2"/>
      <c r="S15351" s="2"/>
      <c r="T15351" s="2"/>
      <c r="U15351" s="2"/>
      <c r="V15351" s="2"/>
      <c r="W15351" s="2"/>
      <c r="X15351" s="2"/>
      <c r="Y15351" s="2"/>
      <c r="Z15351" s="2"/>
    </row>
    <row r="15352" spans="1:26" ht="16.5" x14ac:dyDescent="0.35">
      <c r="A15352" s="2" t="str">
        <f ca="1">IFERROR(__xludf.DUMMYFUNCTION("""COMPUTED_VALUE"""),"Dubai")</f>
        <v>Dubai</v>
      </c>
      <c r="B15352" s="2" t="str">
        <f ca="1">IFERROR(__xludf.DUMMYFUNCTION("""COMPUTED_VALUE"""),"Oxford Terraces 2")</f>
        <v>Oxford Terraces 2</v>
      </c>
      <c r="C15352" s="2" t="str">
        <f ca="1">IFERROR(__xludf.DUMMYFUNCTION("""COMPUTED_VALUE"""),"Building")</f>
        <v>Building</v>
      </c>
      <c r="D15352" s="2" t="str">
        <f ca="1">IFERROR(__xludf.DUMMYFUNCTION("""COMPUTED_VALUE"""),"Dubai&gt;Jumeirah Village Circle (JVC)&gt;JVC District 11&gt;Oxford Terraces 2")</f>
        <v>Dubai&gt;Jumeirah Village Circle (JVC)&gt;JVC District 11&gt;Oxford Terraces 2</v>
      </c>
      <c r="E15352" s="2"/>
      <c r="F15352" s="2"/>
      <c r="G15352" s="2"/>
      <c r="H15352" s="2"/>
      <c r="I15352" s="2"/>
      <c r="J15352" s="2"/>
      <c r="K15352" s="2"/>
      <c r="L15352" s="2"/>
      <c r="M15352" s="2"/>
      <c r="N15352" s="2"/>
      <c r="O15352" s="2"/>
      <c r="P15352" s="2"/>
      <c r="Q15352" s="2"/>
      <c r="R15352" s="2"/>
      <c r="S15352" s="2"/>
      <c r="T15352" s="2"/>
      <c r="U15352" s="2"/>
      <c r="V15352" s="2"/>
      <c r="W15352" s="2"/>
      <c r="X15352" s="2"/>
      <c r="Y15352" s="2"/>
      <c r="Z15352" s="2"/>
    </row>
    <row r="15353" spans="1:26" ht="16.5" x14ac:dyDescent="0.35">
      <c r="A15353" s="2" t="str">
        <f ca="1">IFERROR(__xludf.DUMMYFUNCTION("""COMPUTED_VALUE"""),"Dubai")</f>
        <v>Dubai</v>
      </c>
      <c r="B15353" s="2" t="str">
        <f ca="1">IFERROR(__xludf.DUMMYFUNCTION("""COMPUTED_VALUE"""),"Vivanti Residences Tower A")</f>
        <v>Vivanti Residences Tower A</v>
      </c>
      <c r="C15353" s="2" t="str">
        <f ca="1">IFERROR(__xludf.DUMMYFUNCTION("""COMPUTED_VALUE"""),"Building")</f>
        <v>Building</v>
      </c>
      <c r="D15353" s="2" t="str">
        <f ca="1">IFERROR(__xludf.DUMMYFUNCTION("""COMPUTED_VALUE"""),"Dubai&gt;Jumeirah Village Circle (JVC)&gt;JVC District 11&gt;Vivanti Residences&gt;Vivanti Residences Tower A")</f>
        <v>Dubai&gt;Jumeirah Village Circle (JVC)&gt;JVC District 11&gt;Vivanti Residences&gt;Vivanti Residences Tower A</v>
      </c>
      <c r="E15353" s="2"/>
      <c r="F15353" s="2"/>
      <c r="G15353" s="2"/>
      <c r="H15353" s="2"/>
      <c r="I15353" s="2"/>
      <c r="J15353" s="2"/>
      <c r="K15353" s="2"/>
      <c r="L15353" s="2"/>
      <c r="M15353" s="2"/>
      <c r="N15353" s="2"/>
      <c r="O15353" s="2"/>
      <c r="P15353" s="2"/>
      <c r="Q15353" s="2"/>
      <c r="R15353" s="2"/>
      <c r="S15353" s="2"/>
      <c r="T15353" s="2"/>
      <c r="U15353" s="2"/>
      <c r="V15353" s="2"/>
      <c r="W15353" s="2"/>
      <c r="X15353" s="2"/>
      <c r="Y15353" s="2"/>
      <c r="Z15353" s="2"/>
    </row>
    <row r="15354" spans="1:26" ht="16.5" x14ac:dyDescent="0.35">
      <c r="A15354" s="2" t="str">
        <f ca="1">IFERROR(__xludf.DUMMYFUNCTION("""COMPUTED_VALUE"""),"Dubai")</f>
        <v>Dubai</v>
      </c>
      <c r="B15354" s="2" t="str">
        <f ca="1">IFERROR(__xludf.DUMMYFUNCTION("""COMPUTED_VALUE"""),"Belgravia 2")</f>
        <v>Belgravia 2</v>
      </c>
      <c r="C15354" s="2" t="str">
        <f ca="1">IFERROR(__xludf.DUMMYFUNCTION("""COMPUTED_VALUE"""),"Building")</f>
        <v>Building</v>
      </c>
      <c r="D15354" s="2" t="str">
        <f ca="1">IFERROR(__xludf.DUMMYFUNCTION("""COMPUTED_VALUE"""),"Dubai&gt;Jumeirah Village Circle (JVC)&gt;JVC District 14&gt;Belgravia 2")</f>
        <v>Dubai&gt;Jumeirah Village Circle (JVC)&gt;JVC District 14&gt;Belgravia 2</v>
      </c>
      <c r="E15354" s="2"/>
      <c r="F15354" s="2"/>
      <c r="G15354" s="2"/>
      <c r="H15354" s="2"/>
      <c r="I15354" s="2"/>
      <c r="J15354" s="2"/>
      <c r="K15354" s="2"/>
      <c r="L15354" s="2"/>
      <c r="M15354" s="2"/>
      <c r="N15354" s="2"/>
      <c r="O15354" s="2"/>
      <c r="P15354" s="2"/>
      <c r="Q15354" s="2"/>
      <c r="R15354" s="2"/>
      <c r="S15354" s="2"/>
      <c r="T15354" s="2"/>
      <c r="U15354" s="2"/>
      <c r="V15354" s="2"/>
      <c r="W15354" s="2"/>
      <c r="X15354" s="2"/>
      <c r="Y15354" s="2"/>
      <c r="Z15354" s="2"/>
    </row>
    <row r="15355" spans="1:26" ht="16.5" x14ac:dyDescent="0.35">
      <c r="A15355" s="2" t="str">
        <f ca="1">IFERROR(__xludf.DUMMYFUNCTION("""COMPUTED_VALUE"""),"Dubai")</f>
        <v>Dubai</v>
      </c>
      <c r="B15355" s="2" t="str">
        <f ca="1">IFERROR(__xludf.DUMMYFUNCTION("""COMPUTED_VALUE"""),"Al Maali Villas")</f>
        <v>Al Maali Villas</v>
      </c>
      <c r="C15355" s="2" t="str">
        <f ca="1">IFERROR(__xludf.DUMMYFUNCTION("""COMPUTED_VALUE"""),"Neighbourhood")</f>
        <v>Neighbourhood</v>
      </c>
      <c r="D15355" s="2" t="str">
        <f ca="1">IFERROR(__xludf.DUMMYFUNCTION("""COMPUTED_VALUE"""),"Dubai&gt;Jumeirah Village Circle (JVC)&gt;JVC District 14&gt;Al Maali Villas")</f>
        <v>Dubai&gt;Jumeirah Village Circle (JVC)&gt;JVC District 14&gt;Al Maali Villas</v>
      </c>
      <c r="E15355" s="2"/>
      <c r="F15355" s="2"/>
      <c r="G15355" s="2"/>
      <c r="H15355" s="2"/>
      <c r="I15355" s="2"/>
      <c r="J15355" s="2"/>
      <c r="K15355" s="2"/>
      <c r="L15355" s="2"/>
      <c r="M15355" s="2"/>
      <c r="N15355" s="2"/>
      <c r="O15355" s="2"/>
      <c r="P15355" s="2"/>
      <c r="Q15355" s="2"/>
      <c r="R15355" s="2"/>
      <c r="S15355" s="2"/>
      <c r="T15355" s="2"/>
      <c r="U15355" s="2"/>
      <c r="V15355" s="2"/>
      <c r="W15355" s="2"/>
      <c r="X15355" s="2"/>
      <c r="Y15355" s="2"/>
      <c r="Z15355" s="2"/>
    </row>
    <row r="15356" spans="1:26" ht="16.5" x14ac:dyDescent="0.35">
      <c r="A15356" s="2" t="str">
        <f ca="1">IFERROR(__xludf.DUMMYFUNCTION("""COMPUTED_VALUE"""),"Dubai")</f>
        <v>Dubai</v>
      </c>
      <c r="B15356" s="2" t="str">
        <f ca="1">IFERROR(__xludf.DUMMYFUNCTION("""COMPUTED_VALUE"""),"Balmoral Heights")</f>
        <v>Balmoral Heights</v>
      </c>
      <c r="C15356" s="2" t="str">
        <f ca="1">IFERROR(__xludf.DUMMYFUNCTION("""COMPUTED_VALUE"""),"Neighbourhood")</f>
        <v>Neighbourhood</v>
      </c>
      <c r="D15356" s="2" t="str">
        <f ca="1">IFERROR(__xludf.DUMMYFUNCTION("""COMPUTED_VALUE"""),"Dubai&gt;Jumeirah Village Circle (JVC)&gt;JVC District 14&gt;Balmoral Heights")</f>
        <v>Dubai&gt;Jumeirah Village Circle (JVC)&gt;JVC District 14&gt;Balmoral Heights</v>
      </c>
      <c r="E15356" s="2"/>
      <c r="F15356" s="2"/>
      <c r="G15356" s="2"/>
      <c r="H15356" s="2"/>
      <c r="I15356" s="2"/>
      <c r="J15356" s="2"/>
      <c r="K15356" s="2"/>
      <c r="L15356" s="2"/>
      <c r="M15356" s="2"/>
      <c r="N15356" s="2"/>
      <c r="O15356" s="2"/>
      <c r="P15356" s="2"/>
      <c r="Q15356" s="2"/>
      <c r="R15356" s="2"/>
      <c r="S15356" s="2"/>
      <c r="T15356" s="2"/>
      <c r="U15356" s="2"/>
      <c r="V15356" s="2"/>
      <c r="W15356" s="2"/>
      <c r="X15356" s="2"/>
      <c r="Y15356" s="2"/>
      <c r="Z15356" s="2"/>
    </row>
    <row r="15357" spans="1:26" ht="16.5" x14ac:dyDescent="0.35">
      <c r="A15357" s="2" t="str">
        <f ca="1">IFERROR(__xludf.DUMMYFUNCTION("""COMPUTED_VALUE"""),"Dubai")</f>
        <v>Dubai</v>
      </c>
      <c r="B15357" s="2" t="str">
        <f ca="1">IFERROR(__xludf.DUMMYFUNCTION("""COMPUTED_VALUE"""),"Manchester Grand Hotel")</f>
        <v>Manchester Grand Hotel</v>
      </c>
      <c r="C15357" s="2" t="str">
        <f ca="1">IFERROR(__xludf.DUMMYFUNCTION("""COMPUTED_VALUE"""),"Building")</f>
        <v>Building</v>
      </c>
      <c r="D15357" s="2" t="str">
        <f ca="1">IFERROR(__xludf.DUMMYFUNCTION("""COMPUTED_VALUE"""),"Dubai&gt;Dubai Land Residence Complex&gt;Manchester Grand Hotel")</f>
        <v>Dubai&gt;Dubai Land Residence Complex&gt;Manchester Grand Hotel</v>
      </c>
      <c r="E15357" s="2"/>
      <c r="F15357" s="2"/>
      <c r="G15357" s="2"/>
      <c r="H15357" s="2"/>
      <c r="I15357" s="2"/>
      <c r="J15357" s="2"/>
      <c r="K15357" s="2"/>
      <c r="L15357" s="2"/>
      <c r="M15357" s="2"/>
      <c r="N15357" s="2"/>
      <c r="O15357" s="2"/>
      <c r="P15357" s="2"/>
      <c r="Q15357" s="2"/>
      <c r="R15357" s="2"/>
      <c r="S15357" s="2"/>
      <c r="T15357" s="2"/>
      <c r="U15357" s="2"/>
      <c r="V15357" s="2"/>
      <c r="W15357" s="2"/>
      <c r="X15357" s="2"/>
      <c r="Y15357" s="2"/>
      <c r="Z15357" s="2"/>
    </row>
    <row r="15358" spans="1:26" ht="16.5" x14ac:dyDescent="0.35">
      <c r="A15358" s="2" t="str">
        <f ca="1">IFERROR(__xludf.DUMMYFUNCTION("""COMPUTED_VALUE"""),"Dubai")</f>
        <v>Dubai</v>
      </c>
      <c r="B15358" s="2" t="str">
        <f ca="1">IFERROR(__xludf.DUMMYFUNCTION("""COMPUTED_VALUE"""),"MAHG Residence")</f>
        <v>MAHG Residence</v>
      </c>
      <c r="C15358" s="2" t="str">
        <f ca="1">IFERROR(__xludf.DUMMYFUNCTION("""COMPUTED_VALUE"""),"Building")</f>
        <v>Building</v>
      </c>
      <c r="D15358" s="2" t="str">
        <f ca="1">IFERROR(__xludf.DUMMYFUNCTION("""COMPUTED_VALUE"""),"Dubai&gt;Dubai Land Residence Complex&gt;MAHG Residence")</f>
        <v>Dubai&gt;Dubai Land Residence Complex&gt;MAHG Residence</v>
      </c>
      <c r="E15358" s="2"/>
      <c r="F15358" s="2"/>
      <c r="G15358" s="2"/>
      <c r="H15358" s="2"/>
      <c r="I15358" s="2"/>
      <c r="J15358" s="2"/>
      <c r="K15358" s="2"/>
      <c r="L15358" s="2"/>
      <c r="M15358" s="2"/>
      <c r="N15358" s="2"/>
      <c r="O15358" s="2"/>
      <c r="P15358" s="2"/>
      <c r="Q15358" s="2"/>
      <c r="R15358" s="2"/>
      <c r="S15358" s="2"/>
      <c r="T15358" s="2"/>
      <c r="U15358" s="2"/>
      <c r="V15358" s="2"/>
      <c r="W15358" s="2"/>
      <c r="X15358" s="2"/>
      <c r="Y15358" s="2"/>
      <c r="Z15358" s="2"/>
    </row>
    <row r="15359" spans="1:26" ht="16.5" x14ac:dyDescent="0.35">
      <c r="A15359" s="2" t="str">
        <f ca="1">IFERROR(__xludf.DUMMYFUNCTION("""COMPUTED_VALUE"""),"Dubai")</f>
        <v>Dubai</v>
      </c>
      <c r="B15359" s="2" t="str">
        <f ca="1">IFERROR(__xludf.DUMMYFUNCTION("""COMPUTED_VALUE"""),"Skycourts Tower C")</f>
        <v>Skycourts Tower C</v>
      </c>
      <c r="C15359" s="2" t="str">
        <f ca="1">IFERROR(__xludf.DUMMYFUNCTION("""COMPUTED_VALUE"""),"Building")</f>
        <v>Building</v>
      </c>
      <c r="D15359" s="2" t="str">
        <f ca="1">IFERROR(__xludf.DUMMYFUNCTION("""COMPUTED_VALUE"""),"Dubai&gt;Dubai Land Residence Complex&gt;Skycourts Towers&gt;Skycourts Tower C")</f>
        <v>Dubai&gt;Dubai Land Residence Complex&gt;Skycourts Towers&gt;Skycourts Tower C</v>
      </c>
      <c r="E15359" s="2"/>
      <c r="F15359" s="2"/>
      <c r="G15359" s="2"/>
      <c r="H15359" s="2"/>
      <c r="I15359" s="2"/>
      <c r="J15359" s="2"/>
      <c r="K15359" s="2"/>
      <c r="L15359" s="2"/>
      <c r="M15359" s="2"/>
      <c r="N15359" s="2"/>
      <c r="O15359" s="2"/>
      <c r="P15359" s="2"/>
      <c r="Q15359" s="2"/>
      <c r="R15359" s="2"/>
      <c r="S15359" s="2"/>
      <c r="T15359" s="2"/>
      <c r="U15359" s="2"/>
      <c r="V15359" s="2"/>
      <c r="W15359" s="2"/>
      <c r="X15359" s="2"/>
      <c r="Y15359" s="2"/>
      <c r="Z15359" s="2"/>
    </row>
    <row r="15360" spans="1:26" ht="16.5" x14ac:dyDescent="0.35">
      <c r="A15360" s="2" t="str">
        <f ca="1">IFERROR(__xludf.DUMMYFUNCTION("""COMPUTED_VALUE"""),"Dubai")</f>
        <v>Dubai</v>
      </c>
      <c r="B15360" s="2" t="str">
        <f ca="1">IFERROR(__xludf.DUMMYFUNCTION("""COMPUTED_VALUE"""),"Tarrad Dubailand Residences")</f>
        <v>Tarrad Dubailand Residences</v>
      </c>
      <c r="C15360" s="2" t="str">
        <f ca="1">IFERROR(__xludf.DUMMYFUNCTION("""COMPUTED_VALUE"""),"Building")</f>
        <v>Building</v>
      </c>
      <c r="D15360" s="2" t="str">
        <f ca="1">IFERROR(__xludf.DUMMYFUNCTION("""COMPUTED_VALUE"""),"Dubai&gt;Dubai Land Residence Complex&gt;Tarrad Dubailand Residences")</f>
        <v>Dubai&gt;Dubai Land Residence Complex&gt;Tarrad Dubailand Residences</v>
      </c>
      <c r="E15360" s="2"/>
      <c r="F15360" s="2"/>
      <c r="G15360" s="2"/>
      <c r="H15360" s="2"/>
      <c r="I15360" s="2"/>
      <c r="J15360" s="2"/>
      <c r="K15360" s="2"/>
      <c r="L15360" s="2"/>
      <c r="M15360" s="2"/>
      <c r="N15360" s="2"/>
      <c r="O15360" s="2"/>
      <c r="P15360" s="2"/>
      <c r="Q15360" s="2"/>
      <c r="R15360" s="2"/>
      <c r="S15360" s="2"/>
      <c r="T15360" s="2"/>
      <c r="U15360" s="2"/>
      <c r="V15360" s="2"/>
      <c r="W15360" s="2"/>
      <c r="X15360" s="2"/>
      <c r="Y15360" s="2"/>
      <c r="Z15360" s="2"/>
    </row>
    <row r="15361" spans="1:26" ht="16.5" x14ac:dyDescent="0.35">
      <c r="A15361" s="2" t="str">
        <f ca="1">IFERROR(__xludf.DUMMYFUNCTION("""COMPUTED_VALUE"""),"Dubai")</f>
        <v>Dubai</v>
      </c>
      <c r="B15361" s="2" t="str">
        <f ca="1">IFERROR(__xludf.DUMMYFUNCTION("""COMPUTED_VALUE"""),"Chinese School Dubai")</f>
        <v>Chinese School Dubai</v>
      </c>
      <c r="C15361" s="2" t="str">
        <f ca="1">IFERROR(__xludf.DUMMYFUNCTION("""COMPUTED_VALUE"""),"School")</f>
        <v>School</v>
      </c>
      <c r="D15361" s="2" t="str">
        <f ca="1">IFERROR(__xludf.DUMMYFUNCTION("""COMPUTED_VALUE"""),"Dubai&gt;Mirdif&gt;Chinese School Dubai")</f>
        <v>Dubai&gt;Mirdif&gt;Chinese School Dubai</v>
      </c>
      <c r="E15361" s="2"/>
      <c r="F15361" s="2"/>
      <c r="G15361" s="2"/>
      <c r="H15361" s="2"/>
      <c r="I15361" s="2"/>
      <c r="J15361" s="2"/>
      <c r="K15361" s="2"/>
      <c r="L15361" s="2"/>
      <c r="M15361" s="2"/>
      <c r="N15361" s="2"/>
      <c r="O15361" s="2"/>
      <c r="P15361" s="2"/>
      <c r="Q15361" s="2"/>
      <c r="R15361" s="2"/>
      <c r="S15361" s="2"/>
      <c r="T15361" s="2"/>
      <c r="U15361" s="2"/>
      <c r="V15361" s="2"/>
      <c r="W15361" s="2"/>
      <c r="X15361" s="2"/>
      <c r="Y15361" s="2"/>
      <c r="Z15361" s="2"/>
    </row>
    <row r="15362" spans="1:26" ht="16.5" x14ac:dyDescent="0.35">
      <c r="A15362" s="2" t="str">
        <f ca="1">IFERROR(__xludf.DUMMYFUNCTION("""COMPUTED_VALUE"""),"Dubai")</f>
        <v>Dubai</v>
      </c>
      <c r="B15362" s="2" t="str">
        <f ca="1">IFERROR(__xludf.DUMMYFUNCTION("""COMPUTED_VALUE"""),"Nasayem Avenue Block C")</f>
        <v>Nasayem Avenue Block C</v>
      </c>
      <c r="C15362" s="2" t="str">
        <f ca="1">IFERROR(__xludf.DUMMYFUNCTION("""COMPUTED_VALUE"""),"Building")</f>
        <v>Building</v>
      </c>
      <c r="D15362" s="2" t="str">
        <f ca="1">IFERROR(__xludf.DUMMYFUNCTION("""COMPUTED_VALUE"""),"Dubai&gt;Mirdif&gt;Mirdif Hills&gt;Nasayem Avenue&gt;Nasayem Avenue Block C")</f>
        <v>Dubai&gt;Mirdif&gt;Mirdif Hills&gt;Nasayem Avenue&gt;Nasayem Avenue Block C</v>
      </c>
      <c r="E15362" s="2"/>
      <c r="F15362" s="2"/>
      <c r="G15362" s="2"/>
      <c r="H15362" s="2"/>
      <c r="I15362" s="2"/>
      <c r="J15362" s="2"/>
      <c r="K15362" s="2"/>
      <c r="L15362" s="2"/>
      <c r="M15362" s="2"/>
      <c r="N15362" s="2"/>
      <c r="O15362" s="2"/>
      <c r="P15362" s="2"/>
      <c r="Q15362" s="2"/>
      <c r="R15362" s="2"/>
      <c r="S15362" s="2"/>
      <c r="T15362" s="2"/>
      <c r="U15362" s="2"/>
      <c r="V15362" s="2"/>
      <c r="W15362" s="2"/>
      <c r="X15362" s="2"/>
      <c r="Y15362" s="2"/>
      <c r="Z15362" s="2"/>
    </row>
    <row r="15363" spans="1:26" ht="16.5" x14ac:dyDescent="0.35">
      <c r="A15363" s="2" t="str">
        <f ca="1">IFERROR(__xludf.DUMMYFUNCTION("""COMPUTED_VALUE"""),"Dubai")</f>
        <v>Dubai</v>
      </c>
      <c r="B15363" s="2" t="str">
        <f ca="1">IFERROR(__xludf.DUMMYFUNCTION("""COMPUTED_VALUE"""),"Raffles Nursery Lakes")</f>
        <v>Raffles Nursery Lakes</v>
      </c>
      <c r="C15363" s="2" t="str">
        <f ca="1">IFERROR(__xludf.DUMMYFUNCTION("""COMPUTED_VALUE"""),"Nursery")</f>
        <v>Nursery</v>
      </c>
      <c r="D15363" s="2" t="str">
        <f ca="1">IFERROR(__xludf.DUMMYFUNCTION("""COMPUTED_VALUE"""),"Dubai&gt;The Lakes&gt;Raffles Nursery Lakes")</f>
        <v>Dubai&gt;The Lakes&gt;Raffles Nursery Lakes</v>
      </c>
      <c r="E15363" s="2"/>
      <c r="F15363" s="2"/>
      <c r="G15363" s="2"/>
      <c r="H15363" s="2"/>
      <c r="I15363" s="2"/>
      <c r="J15363" s="2"/>
      <c r="K15363" s="2"/>
      <c r="L15363" s="2"/>
      <c r="M15363" s="2"/>
      <c r="N15363" s="2"/>
      <c r="O15363" s="2"/>
      <c r="P15363" s="2"/>
      <c r="Q15363" s="2"/>
      <c r="R15363" s="2"/>
      <c r="S15363" s="2"/>
      <c r="T15363" s="2"/>
      <c r="U15363" s="2"/>
      <c r="V15363" s="2"/>
      <c r="W15363" s="2"/>
      <c r="X15363" s="2"/>
      <c r="Y15363" s="2"/>
      <c r="Z15363" s="2"/>
    </row>
    <row r="15364" spans="1:26" ht="16.5" x14ac:dyDescent="0.35">
      <c r="A15364" s="2" t="str">
        <f ca="1">IFERROR(__xludf.DUMMYFUNCTION("""COMPUTED_VALUE"""),"Dubai")</f>
        <v>Dubai</v>
      </c>
      <c r="B15364" s="2" t="str">
        <f ca="1">IFERROR(__xludf.DUMMYFUNCTION("""COMPUTED_VALUE"""),"National Charity School")</f>
        <v>National Charity School</v>
      </c>
      <c r="C15364" s="2" t="str">
        <f ca="1">IFERROR(__xludf.DUMMYFUNCTION("""COMPUTED_VALUE"""),"School")</f>
        <v>School</v>
      </c>
      <c r="D15364" s="2" t="str">
        <f ca="1">IFERROR(__xludf.DUMMYFUNCTION("""COMPUTED_VALUE"""),"Dubai&gt;Al Garhoud&gt;National Charity School")</f>
        <v>Dubai&gt;Al Garhoud&gt;National Charity School</v>
      </c>
      <c r="E15364" s="2"/>
      <c r="F15364" s="2"/>
      <c r="G15364" s="2"/>
      <c r="H15364" s="2"/>
      <c r="I15364" s="2"/>
      <c r="J15364" s="2"/>
      <c r="K15364" s="2"/>
      <c r="L15364" s="2"/>
      <c r="M15364" s="2"/>
      <c r="N15364" s="2"/>
      <c r="O15364" s="2"/>
      <c r="P15364" s="2"/>
      <c r="Q15364" s="2"/>
      <c r="R15364" s="2"/>
      <c r="S15364" s="2"/>
      <c r="T15364" s="2"/>
      <c r="U15364" s="2"/>
      <c r="V15364" s="2"/>
      <c r="W15364" s="2"/>
      <c r="X15364" s="2"/>
      <c r="Y15364" s="2"/>
      <c r="Z15364" s="2"/>
    </row>
    <row r="15365" spans="1:26" ht="16.5" x14ac:dyDescent="0.35">
      <c r="A15365" s="2" t="str">
        <f ca="1">IFERROR(__xludf.DUMMYFUNCTION("""COMPUTED_VALUE"""),"Dubai")</f>
        <v>Dubai</v>
      </c>
      <c r="B15365" s="2" t="str">
        <f ca="1">IFERROR(__xludf.DUMMYFUNCTION("""COMPUTED_VALUE"""),"Element")</f>
        <v>Element</v>
      </c>
      <c r="C15365" s="2" t="str">
        <f ca="1">IFERROR(__xludf.DUMMYFUNCTION("""COMPUTED_VALUE"""),"Building")</f>
        <v>Building</v>
      </c>
      <c r="D15365" s="2" t="str">
        <f ca="1">IFERROR(__xludf.DUMMYFUNCTION("""COMPUTED_VALUE"""),"Dubai&gt;Al Garhoud&gt;Element")</f>
        <v>Dubai&gt;Al Garhoud&gt;Element</v>
      </c>
      <c r="E15365" s="2"/>
      <c r="F15365" s="2"/>
      <c r="G15365" s="2"/>
      <c r="H15365" s="2"/>
      <c r="I15365" s="2"/>
      <c r="J15365" s="2"/>
      <c r="K15365" s="2"/>
      <c r="L15365" s="2"/>
      <c r="M15365" s="2"/>
      <c r="N15365" s="2"/>
      <c r="O15365" s="2"/>
      <c r="P15365" s="2"/>
      <c r="Q15365" s="2"/>
      <c r="R15365" s="2"/>
      <c r="S15365" s="2"/>
      <c r="T15365" s="2"/>
      <c r="U15365" s="2"/>
      <c r="V15365" s="2"/>
      <c r="W15365" s="2"/>
      <c r="X15365" s="2"/>
      <c r="Y15365" s="2"/>
      <c r="Z15365" s="2"/>
    </row>
    <row r="15366" spans="1:26" ht="16.5" x14ac:dyDescent="0.35">
      <c r="A15366" s="2" t="str">
        <f ca="1">IFERROR(__xludf.DUMMYFUNCTION("""COMPUTED_VALUE"""),"Dubai")</f>
        <v>Dubai</v>
      </c>
      <c r="B15366" s="2" t="str">
        <f ca="1">IFERROR(__xludf.DUMMYFUNCTION("""COMPUTED_VALUE"""),"Bu Shaqer Building")</f>
        <v>Bu Shaqer Building</v>
      </c>
      <c r="C15366" s="2" t="str">
        <f ca="1">IFERROR(__xludf.DUMMYFUNCTION("""COMPUTED_VALUE"""),"Building")</f>
        <v>Building</v>
      </c>
      <c r="D15366" s="2" t="str">
        <f ca="1">IFERROR(__xludf.DUMMYFUNCTION("""COMPUTED_VALUE"""),"Dubai&gt;Al Garhoud&gt;Bu Shaqer Building")</f>
        <v>Dubai&gt;Al Garhoud&gt;Bu Shaqer Building</v>
      </c>
      <c r="E15366" s="2"/>
      <c r="F15366" s="2"/>
      <c r="G15366" s="2"/>
      <c r="H15366" s="2"/>
      <c r="I15366" s="2"/>
      <c r="J15366" s="2"/>
      <c r="K15366" s="2"/>
      <c r="L15366" s="2"/>
      <c r="M15366" s="2"/>
      <c r="N15366" s="2"/>
      <c r="O15366" s="2"/>
      <c r="P15366" s="2"/>
      <c r="Q15366" s="2"/>
      <c r="R15366" s="2"/>
      <c r="S15366" s="2"/>
      <c r="T15366" s="2"/>
      <c r="U15366" s="2"/>
      <c r="V15366" s="2"/>
      <c r="W15366" s="2"/>
      <c r="X15366" s="2"/>
      <c r="Y15366" s="2"/>
      <c r="Z15366" s="2"/>
    </row>
    <row r="15367" spans="1:26" ht="16.5" x14ac:dyDescent="0.35">
      <c r="A15367" s="2" t="str">
        <f ca="1">IFERROR(__xludf.DUMMYFUNCTION("""COMPUTED_VALUE"""),"Dubai")</f>
        <v>Dubai</v>
      </c>
      <c r="B15367" s="2" t="str">
        <f ca="1">IFERROR(__xludf.DUMMYFUNCTION("""COMPUTED_VALUE"""),"Cluster 16")</f>
        <v>Cluster 16</v>
      </c>
      <c r="C15367" s="2" t="str">
        <f ca="1">IFERROR(__xludf.DUMMYFUNCTION("""COMPUTED_VALUE"""),"Neighbourhood")</f>
        <v>Neighbourhood</v>
      </c>
      <c r="D15367" s="2" t="str">
        <f ca="1">IFERROR(__xludf.DUMMYFUNCTION("""COMPUTED_VALUE"""),"Dubai&gt;Jumeirah Islands&gt;Cluster 16")</f>
        <v>Dubai&gt;Jumeirah Islands&gt;Cluster 16</v>
      </c>
      <c r="E15367" s="2"/>
      <c r="F15367" s="2"/>
      <c r="G15367" s="2"/>
      <c r="H15367" s="2"/>
      <c r="I15367" s="2"/>
      <c r="J15367" s="2"/>
      <c r="K15367" s="2"/>
      <c r="L15367" s="2"/>
      <c r="M15367" s="2"/>
      <c r="N15367" s="2"/>
      <c r="O15367" s="2"/>
      <c r="P15367" s="2"/>
      <c r="Q15367" s="2"/>
      <c r="R15367" s="2"/>
      <c r="S15367" s="2"/>
      <c r="T15367" s="2"/>
      <c r="U15367" s="2"/>
      <c r="V15367" s="2"/>
      <c r="W15367" s="2"/>
      <c r="X15367" s="2"/>
      <c r="Y15367" s="2"/>
      <c r="Z15367" s="2"/>
    </row>
    <row r="15368" spans="1:26" ht="16.5" x14ac:dyDescent="0.35">
      <c r="A15368" s="2" t="str">
        <f ca="1">IFERROR(__xludf.DUMMYFUNCTION("""COMPUTED_VALUE"""),"Dubai")</f>
        <v>Dubai</v>
      </c>
      <c r="B15368" s="2" t="str">
        <f ca="1">IFERROR(__xludf.DUMMYFUNCTION("""COMPUTED_VALUE"""),"Cluster 48")</f>
        <v>Cluster 48</v>
      </c>
      <c r="C15368" s="2" t="str">
        <f ca="1">IFERROR(__xludf.DUMMYFUNCTION("""COMPUTED_VALUE"""),"Neighbourhood")</f>
        <v>Neighbourhood</v>
      </c>
      <c r="D15368" s="2" t="str">
        <f ca="1">IFERROR(__xludf.DUMMYFUNCTION("""COMPUTED_VALUE"""),"Dubai&gt;Jumeirah Islands&gt;Cluster 48")</f>
        <v>Dubai&gt;Jumeirah Islands&gt;Cluster 48</v>
      </c>
      <c r="E15368" s="2"/>
      <c r="F15368" s="2"/>
      <c r="G15368" s="2"/>
      <c r="H15368" s="2"/>
      <c r="I15368" s="2"/>
      <c r="J15368" s="2"/>
      <c r="K15368" s="2"/>
      <c r="L15368" s="2"/>
      <c r="M15368" s="2"/>
      <c r="N15368" s="2"/>
      <c r="O15368" s="2"/>
      <c r="P15368" s="2"/>
      <c r="Q15368" s="2"/>
      <c r="R15368" s="2"/>
      <c r="S15368" s="2"/>
      <c r="T15368" s="2"/>
      <c r="U15368" s="2"/>
      <c r="V15368" s="2"/>
      <c r="W15368" s="2"/>
      <c r="X15368" s="2"/>
      <c r="Y15368" s="2"/>
      <c r="Z15368" s="2"/>
    </row>
    <row r="15369" spans="1:26" ht="16.5" x14ac:dyDescent="0.35">
      <c r="A15369" s="2" t="str">
        <f ca="1">IFERROR(__xludf.DUMMYFUNCTION("""COMPUTED_VALUE"""),"Dubai")</f>
        <v>Dubai</v>
      </c>
      <c r="B15369" s="2" t="str">
        <f ca="1">IFERROR(__xludf.DUMMYFUNCTION("""COMPUTED_VALUE"""),"Garden Apartments East H")</f>
        <v>Garden Apartments East H</v>
      </c>
      <c r="C15369" s="2" t="str">
        <f ca="1">IFERROR(__xludf.DUMMYFUNCTION("""COMPUTED_VALUE"""),"Building")</f>
        <v>Building</v>
      </c>
      <c r="D15369" s="2" t="str">
        <f ca="1">IFERROR(__xludf.DUMMYFUNCTION("""COMPUTED_VALUE"""),"Dubai&gt;Green Community&gt;Garden East Apartments&gt;Garden Apartments East H")</f>
        <v>Dubai&gt;Green Community&gt;Garden East Apartments&gt;Garden Apartments East H</v>
      </c>
      <c r="E15369" s="2"/>
      <c r="F15369" s="2"/>
      <c r="G15369" s="2"/>
      <c r="H15369" s="2"/>
      <c r="I15369" s="2"/>
      <c r="J15369" s="2"/>
      <c r="K15369" s="2"/>
      <c r="L15369" s="2"/>
      <c r="M15369" s="2"/>
      <c r="N15369" s="2"/>
      <c r="O15369" s="2"/>
      <c r="P15369" s="2"/>
      <c r="Q15369" s="2"/>
      <c r="R15369" s="2"/>
      <c r="S15369" s="2"/>
      <c r="T15369" s="2"/>
      <c r="U15369" s="2"/>
      <c r="V15369" s="2"/>
      <c r="W15369" s="2"/>
      <c r="X15369" s="2"/>
      <c r="Y15369" s="2"/>
      <c r="Z15369" s="2"/>
    </row>
    <row r="15370" spans="1:26" ht="16.5" x14ac:dyDescent="0.35">
      <c r="A15370" s="2" t="str">
        <f ca="1">IFERROR(__xludf.DUMMYFUNCTION("""COMPUTED_VALUE"""),"Dubai")</f>
        <v>Dubai</v>
      </c>
      <c r="B15370" s="2" t="str">
        <f ca="1">IFERROR(__xludf.DUMMYFUNCTION("""COMPUTED_VALUE"""),"Southwest Apartments 6")</f>
        <v>Southwest Apartments 6</v>
      </c>
      <c r="C15370" s="2" t="str">
        <f ca="1">IFERROR(__xludf.DUMMYFUNCTION("""COMPUTED_VALUE"""),"Building")</f>
        <v>Building</v>
      </c>
      <c r="D15370" s="2" t="str">
        <f ca="1">IFERROR(__xludf.DUMMYFUNCTION("""COMPUTED_VALUE"""),"Dubai&gt;Green Community&gt;Green Community West&gt;Southwest Apartments&gt;Southwest Apartments 6")</f>
        <v>Dubai&gt;Green Community&gt;Green Community West&gt;Southwest Apartments&gt;Southwest Apartments 6</v>
      </c>
      <c r="E15370" s="2"/>
      <c r="F15370" s="2"/>
      <c r="G15370" s="2"/>
      <c r="H15370" s="2"/>
      <c r="I15370" s="2"/>
      <c r="J15370" s="2"/>
      <c r="K15370" s="2"/>
      <c r="L15370" s="2"/>
      <c r="M15370" s="2"/>
      <c r="N15370" s="2"/>
      <c r="O15370" s="2"/>
      <c r="P15370" s="2"/>
      <c r="Q15370" s="2"/>
      <c r="R15370" s="2"/>
      <c r="S15370" s="2"/>
      <c r="T15370" s="2"/>
      <c r="U15370" s="2"/>
      <c r="V15370" s="2"/>
      <c r="W15370" s="2"/>
      <c r="X15370" s="2"/>
      <c r="Y15370" s="2"/>
      <c r="Z15370" s="2"/>
    </row>
    <row r="15371" spans="1:26" ht="16.5" x14ac:dyDescent="0.35">
      <c r="A15371" s="2" t="str">
        <f ca="1">IFERROR(__xludf.DUMMYFUNCTION("""COMPUTED_VALUE"""),"Dubai")</f>
        <v>Dubai</v>
      </c>
      <c r="B15371" s="2" t="str">
        <f ca="1">IFERROR(__xludf.DUMMYFUNCTION("""COMPUTED_VALUE"""),"Elite Sports Residence 9")</f>
        <v>Elite Sports Residence 9</v>
      </c>
      <c r="C15371" s="2" t="str">
        <f ca="1">IFERROR(__xludf.DUMMYFUNCTION("""COMPUTED_VALUE"""),"Building")</f>
        <v>Building</v>
      </c>
      <c r="D15371" s="2" t="str">
        <f ca="1">IFERROR(__xludf.DUMMYFUNCTION("""COMPUTED_VALUE"""),"Dubai&gt;Dubai Sports City&gt;Elite Sports Residence&gt;Elite Sports Residence 9")</f>
        <v>Dubai&gt;Dubai Sports City&gt;Elite Sports Residence&gt;Elite Sports Residence 9</v>
      </c>
      <c r="E15371" s="2"/>
      <c r="F15371" s="2"/>
      <c r="G15371" s="2"/>
      <c r="H15371" s="2"/>
      <c r="I15371" s="2"/>
      <c r="J15371" s="2"/>
      <c r="K15371" s="2"/>
      <c r="L15371" s="2"/>
      <c r="M15371" s="2"/>
      <c r="N15371" s="2"/>
      <c r="O15371" s="2"/>
      <c r="P15371" s="2"/>
      <c r="Q15371" s="2"/>
      <c r="R15371" s="2"/>
      <c r="S15371" s="2"/>
      <c r="T15371" s="2"/>
      <c r="U15371" s="2"/>
      <c r="V15371" s="2"/>
      <c r="W15371" s="2"/>
      <c r="X15371" s="2"/>
      <c r="Y15371" s="2"/>
      <c r="Z15371" s="2"/>
    </row>
    <row r="15372" spans="1:26" ht="16.5" x14ac:dyDescent="0.35">
      <c r="A15372" s="2" t="str">
        <f ca="1">IFERROR(__xludf.DUMMYFUNCTION("""COMPUTED_VALUE"""),"Dubai")</f>
        <v>Dubai</v>
      </c>
      <c r="B15372" s="2" t="str">
        <f ca="1">IFERROR(__xludf.DUMMYFUNCTION("""COMPUTED_VALUE"""),"Spanish Tower")</f>
        <v>Spanish Tower</v>
      </c>
      <c r="C15372" s="2" t="str">
        <f ca="1">IFERROR(__xludf.DUMMYFUNCTION("""COMPUTED_VALUE"""),"Building")</f>
        <v>Building</v>
      </c>
      <c r="D15372" s="2" t="str">
        <f ca="1">IFERROR(__xludf.DUMMYFUNCTION("""COMPUTED_VALUE"""),"Dubai&gt;Dubai Sports City&gt;Canal Residence West&gt;Spanish Tower")</f>
        <v>Dubai&gt;Dubai Sports City&gt;Canal Residence West&gt;Spanish Tower</v>
      </c>
      <c r="E15372" s="2"/>
      <c r="F15372" s="2"/>
      <c r="G15372" s="2"/>
      <c r="H15372" s="2"/>
      <c r="I15372" s="2"/>
      <c r="J15372" s="2"/>
      <c r="K15372" s="2"/>
      <c r="L15372" s="2"/>
      <c r="M15372" s="2"/>
      <c r="N15372" s="2"/>
      <c r="O15372" s="2"/>
      <c r="P15372" s="2"/>
      <c r="Q15372" s="2"/>
      <c r="R15372" s="2"/>
      <c r="S15372" s="2"/>
      <c r="T15372" s="2"/>
      <c r="U15372" s="2"/>
      <c r="V15372" s="2"/>
      <c r="W15372" s="2"/>
      <c r="X15372" s="2"/>
      <c r="Y15372" s="2"/>
      <c r="Z15372" s="2"/>
    </row>
    <row r="15373" spans="1:26" ht="16.5" x14ac:dyDescent="0.35">
      <c r="A15373" s="2" t="str">
        <f ca="1">IFERROR(__xludf.DUMMYFUNCTION("""COMPUTED_VALUE"""),"Dubai")</f>
        <v>Dubai</v>
      </c>
      <c r="B15373" s="2" t="str">
        <f ca="1">IFERROR(__xludf.DUMMYFUNCTION("""COMPUTED_VALUE"""),"Morella")</f>
        <v>Morella</v>
      </c>
      <c r="C15373" s="2" t="str">
        <f ca="1">IFERROR(__xludf.DUMMYFUNCTION("""COMPUTED_VALUE"""),"Neighbourhood")</f>
        <v>Neighbourhood</v>
      </c>
      <c r="D15373" s="2" t="str">
        <f ca="1">IFERROR(__xludf.DUMMYFUNCTION("""COMPUTED_VALUE"""),"Dubai&gt;Dubai Sports City&gt;Victory Heights&gt;Morella")</f>
        <v>Dubai&gt;Dubai Sports City&gt;Victory Heights&gt;Morella</v>
      </c>
      <c r="E15373" s="2"/>
      <c r="F15373" s="2"/>
      <c r="G15373" s="2"/>
      <c r="H15373" s="2"/>
      <c r="I15373" s="2"/>
      <c r="J15373" s="2"/>
      <c r="K15373" s="2"/>
      <c r="L15373" s="2"/>
      <c r="M15373" s="2"/>
      <c r="N15373" s="2"/>
      <c r="O15373" s="2"/>
      <c r="P15373" s="2"/>
      <c r="Q15373" s="2"/>
      <c r="R15373" s="2"/>
      <c r="S15373" s="2"/>
      <c r="T15373" s="2"/>
      <c r="U15373" s="2"/>
      <c r="V15373" s="2"/>
      <c r="W15373" s="2"/>
      <c r="X15373" s="2"/>
      <c r="Y15373" s="2"/>
      <c r="Z15373" s="2"/>
    </row>
    <row r="15374" spans="1:26" ht="16.5" x14ac:dyDescent="0.35">
      <c r="A15374" s="2" t="str">
        <f ca="1">IFERROR(__xludf.DUMMYFUNCTION("""COMPUTED_VALUE"""),"Dubai")</f>
        <v>Dubai</v>
      </c>
      <c r="B15374" s="2" t="str">
        <f ca="1">IFERROR(__xludf.DUMMYFUNCTION("""COMPUTED_VALUE"""),"MAG 777")</f>
        <v>MAG 777</v>
      </c>
      <c r="C15374" s="2" t="str">
        <f ca="1">IFERROR(__xludf.DUMMYFUNCTION("""COMPUTED_VALUE"""),"Building")</f>
        <v>Building</v>
      </c>
      <c r="D15374" s="2" t="str">
        <f ca="1">IFERROR(__xludf.DUMMYFUNCTION("""COMPUTED_VALUE"""),"Dubai&gt;Dubai Sports City&gt;MAG 777")</f>
        <v>Dubai&gt;Dubai Sports City&gt;MAG 777</v>
      </c>
      <c r="E15374" s="2"/>
      <c r="F15374" s="2"/>
      <c r="G15374" s="2"/>
      <c r="H15374" s="2"/>
      <c r="I15374" s="2"/>
      <c r="J15374" s="2"/>
      <c r="K15374" s="2"/>
      <c r="L15374" s="2"/>
      <c r="M15374" s="2"/>
      <c r="N15374" s="2"/>
      <c r="O15374" s="2"/>
      <c r="P15374" s="2"/>
      <c r="Q15374" s="2"/>
      <c r="R15374" s="2"/>
      <c r="S15374" s="2"/>
      <c r="T15374" s="2"/>
      <c r="U15374" s="2"/>
      <c r="V15374" s="2"/>
      <c r="W15374" s="2"/>
      <c r="X15374" s="2"/>
      <c r="Y15374" s="2"/>
      <c r="Z15374" s="2"/>
    </row>
    <row r="15375" spans="1:26" ht="16.5" x14ac:dyDescent="0.35">
      <c r="A15375" s="2" t="str">
        <f ca="1">IFERROR(__xludf.DUMMYFUNCTION("""COMPUTED_VALUE"""),"Dubai")</f>
        <v>Dubai</v>
      </c>
      <c r="B15375" s="2" t="str">
        <f ca="1">IFERROR(__xludf.DUMMYFUNCTION("""COMPUTED_VALUE"""),"Hessa Tower")</f>
        <v>Hessa Tower</v>
      </c>
      <c r="C15375" s="2" t="str">
        <f ca="1">IFERROR(__xludf.DUMMYFUNCTION("""COMPUTED_VALUE"""),"Building")</f>
        <v>Building</v>
      </c>
      <c r="D15375" s="2" t="str">
        <f ca="1">IFERROR(__xludf.DUMMYFUNCTION("""COMPUTED_VALUE"""),"Dubai&gt;Al Nahda (Dubai)&gt;Al Nahda 1&gt;Hessa Tower")</f>
        <v>Dubai&gt;Al Nahda (Dubai)&gt;Al Nahda 1&gt;Hessa Tower</v>
      </c>
      <c r="E15375" s="2"/>
      <c r="F15375" s="2"/>
      <c r="G15375" s="2"/>
      <c r="H15375" s="2"/>
      <c r="I15375" s="2"/>
      <c r="J15375" s="2"/>
      <c r="K15375" s="2"/>
      <c r="L15375" s="2"/>
      <c r="M15375" s="2"/>
      <c r="N15375" s="2"/>
      <c r="O15375" s="2"/>
      <c r="P15375" s="2"/>
      <c r="Q15375" s="2"/>
      <c r="R15375" s="2"/>
      <c r="S15375" s="2"/>
      <c r="T15375" s="2"/>
      <c r="U15375" s="2"/>
      <c r="V15375" s="2"/>
      <c r="W15375" s="2"/>
      <c r="X15375" s="2"/>
      <c r="Y15375" s="2"/>
      <c r="Z15375" s="2"/>
    </row>
    <row r="15376" spans="1:26" ht="16.5" x14ac:dyDescent="0.35">
      <c r="A15376" s="2" t="str">
        <f ca="1">IFERROR(__xludf.DUMMYFUNCTION("""COMPUTED_VALUE"""),"Dubai")</f>
        <v>Dubai</v>
      </c>
      <c r="B15376" s="2" t="str">
        <f ca="1">IFERROR(__xludf.DUMMYFUNCTION("""COMPUTED_VALUE"""),"BSM Building")</f>
        <v>BSM Building</v>
      </c>
      <c r="C15376" s="2" t="str">
        <f ca="1">IFERROR(__xludf.DUMMYFUNCTION("""COMPUTED_VALUE"""),"Building")</f>
        <v>Building</v>
      </c>
      <c r="D15376" s="2" t="str">
        <f ca="1">IFERROR(__xludf.DUMMYFUNCTION("""COMPUTED_VALUE"""),"Dubai&gt;Al Nahda (Dubai)&gt;Al Nahda 1&gt;BSM Building")</f>
        <v>Dubai&gt;Al Nahda (Dubai)&gt;Al Nahda 1&gt;BSM Building</v>
      </c>
      <c r="E15376" s="2"/>
      <c r="F15376" s="2"/>
      <c r="G15376" s="2"/>
      <c r="H15376" s="2"/>
      <c r="I15376" s="2"/>
      <c r="J15376" s="2"/>
      <c r="K15376" s="2"/>
      <c r="L15376" s="2"/>
      <c r="M15376" s="2"/>
      <c r="N15376" s="2"/>
      <c r="O15376" s="2"/>
      <c r="P15376" s="2"/>
      <c r="Q15376" s="2"/>
      <c r="R15376" s="2"/>
      <c r="S15376" s="2"/>
      <c r="T15376" s="2"/>
      <c r="U15376" s="2"/>
      <c r="V15376" s="2"/>
      <c r="W15376" s="2"/>
      <c r="X15376" s="2"/>
      <c r="Y15376" s="2"/>
      <c r="Z15376" s="2"/>
    </row>
    <row r="15377" spans="1:26" ht="16.5" x14ac:dyDescent="0.35">
      <c r="A15377" s="2" t="str">
        <f ca="1">IFERROR(__xludf.DUMMYFUNCTION("""COMPUTED_VALUE"""),"Dubai")</f>
        <v>Dubai</v>
      </c>
      <c r="B15377" s="2" t="str">
        <f ca="1">IFERROR(__xludf.DUMMYFUNCTION("""COMPUTED_VALUE"""),"Rashid Residence")</f>
        <v>Rashid Residence</v>
      </c>
      <c r="C15377" s="2" t="str">
        <f ca="1">IFERROR(__xludf.DUMMYFUNCTION("""COMPUTED_VALUE"""),"Building")</f>
        <v>Building</v>
      </c>
      <c r="D15377" s="2" t="str">
        <f ca="1">IFERROR(__xludf.DUMMYFUNCTION("""COMPUTED_VALUE"""),"Dubai&gt;Al Nahda (Dubai)&gt;Al Nahda 2&gt;Rashid Residence")</f>
        <v>Dubai&gt;Al Nahda (Dubai)&gt;Al Nahda 2&gt;Rashid Residence</v>
      </c>
      <c r="E15377" s="2"/>
      <c r="F15377" s="2"/>
      <c r="G15377" s="2"/>
      <c r="H15377" s="2"/>
      <c r="I15377" s="2"/>
      <c r="J15377" s="2"/>
      <c r="K15377" s="2"/>
      <c r="L15377" s="2"/>
      <c r="M15377" s="2"/>
      <c r="N15377" s="2"/>
      <c r="O15377" s="2"/>
      <c r="P15377" s="2"/>
      <c r="Q15377" s="2"/>
      <c r="R15377" s="2"/>
      <c r="S15377" s="2"/>
      <c r="T15377" s="2"/>
      <c r="U15377" s="2"/>
      <c r="V15377" s="2"/>
      <c r="W15377" s="2"/>
      <c r="X15377" s="2"/>
      <c r="Y15377" s="2"/>
      <c r="Z15377" s="2"/>
    </row>
    <row r="15378" spans="1:26" ht="16.5" x14ac:dyDescent="0.35">
      <c r="A15378" s="2" t="str">
        <f ca="1">IFERROR(__xludf.DUMMYFUNCTION("""COMPUTED_VALUE"""),"Dubai")</f>
        <v>Dubai</v>
      </c>
      <c r="B15378" s="2" t="str">
        <f ca="1">IFERROR(__xludf.DUMMYFUNCTION("""COMPUTED_VALUE"""),"Qube Residence")</f>
        <v>Qube Residence</v>
      </c>
      <c r="C15378" s="2" t="str">
        <f ca="1">IFERROR(__xludf.DUMMYFUNCTION("""COMPUTED_VALUE"""),"Building")</f>
        <v>Building</v>
      </c>
      <c r="D15378" s="2" t="str">
        <f ca="1">IFERROR(__xludf.DUMMYFUNCTION("""COMPUTED_VALUE"""),"Dubai&gt;Al Nahda (Dubai)&gt;Al Nahda 2&gt;Qube Residence")</f>
        <v>Dubai&gt;Al Nahda (Dubai)&gt;Al Nahda 2&gt;Qube Residence</v>
      </c>
      <c r="E15378" s="2"/>
      <c r="F15378" s="2"/>
      <c r="G15378" s="2"/>
      <c r="H15378" s="2"/>
      <c r="I15378" s="2"/>
      <c r="J15378" s="2"/>
      <c r="K15378" s="2"/>
      <c r="L15378" s="2"/>
      <c r="M15378" s="2"/>
      <c r="N15378" s="2"/>
      <c r="O15378" s="2"/>
      <c r="P15378" s="2"/>
      <c r="Q15378" s="2"/>
      <c r="R15378" s="2"/>
      <c r="S15378" s="2"/>
      <c r="T15378" s="2"/>
      <c r="U15378" s="2"/>
      <c r="V15378" s="2"/>
      <c r="W15378" s="2"/>
      <c r="X15378" s="2"/>
      <c r="Y15378" s="2"/>
      <c r="Z15378" s="2"/>
    </row>
    <row r="15379" spans="1:26" ht="16.5" x14ac:dyDescent="0.35">
      <c r="A15379" s="2" t="str">
        <f ca="1">IFERROR(__xludf.DUMMYFUNCTION("""COMPUTED_VALUE"""),"Dubai")</f>
        <v>Dubai</v>
      </c>
      <c r="B15379" s="2" t="str">
        <f ca="1">IFERROR(__xludf.DUMMYFUNCTION("""COMPUTED_VALUE"""),"Al Noor Building 4")</f>
        <v>Al Noor Building 4</v>
      </c>
      <c r="C15379" s="2" t="str">
        <f ca="1">IFERROR(__xludf.DUMMYFUNCTION("""COMPUTED_VALUE"""),"Building")</f>
        <v>Building</v>
      </c>
      <c r="D15379" s="2" t="str">
        <f ca="1">IFERROR(__xludf.DUMMYFUNCTION("""COMPUTED_VALUE"""),"Dubai&gt;Al Nahda (Dubai)&gt;Al Nahda 2&gt;Al Noor Building 4")</f>
        <v>Dubai&gt;Al Nahda (Dubai)&gt;Al Nahda 2&gt;Al Noor Building 4</v>
      </c>
      <c r="E15379" s="2"/>
      <c r="F15379" s="2"/>
      <c r="G15379" s="2"/>
      <c r="H15379" s="2"/>
      <c r="I15379" s="2"/>
      <c r="J15379" s="2"/>
      <c r="K15379" s="2"/>
      <c r="L15379" s="2"/>
      <c r="M15379" s="2"/>
      <c r="N15379" s="2"/>
      <c r="O15379" s="2"/>
      <c r="P15379" s="2"/>
      <c r="Q15379" s="2"/>
      <c r="R15379" s="2"/>
      <c r="S15379" s="2"/>
      <c r="T15379" s="2"/>
      <c r="U15379" s="2"/>
      <c r="V15379" s="2"/>
      <c r="W15379" s="2"/>
      <c r="X15379" s="2"/>
      <c r="Y15379" s="2"/>
      <c r="Z15379" s="2"/>
    </row>
    <row r="15380" spans="1:26" ht="16.5" x14ac:dyDescent="0.35">
      <c r="A15380" s="2" t="str">
        <f ca="1">IFERROR(__xludf.DUMMYFUNCTION("""COMPUTED_VALUE"""),"Dubai")</f>
        <v>Dubai</v>
      </c>
      <c r="B15380" s="2" t="str">
        <f ca="1">IFERROR(__xludf.DUMMYFUNCTION("""COMPUTED_VALUE"""),"Mohammad Noor Talib Mohammad Building")</f>
        <v>Mohammad Noor Talib Mohammad Building</v>
      </c>
      <c r="C15380" s="2" t="str">
        <f ca="1">IFERROR(__xludf.DUMMYFUNCTION("""COMPUTED_VALUE"""),"Building")</f>
        <v>Building</v>
      </c>
      <c r="D15380" s="2" t="str">
        <f ca="1">IFERROR(__xludf.DUMMYFUNCTION("""COMPUTED_VALUE"""),"Dubai&gt;Al Nahda (Dubai)&gt;Al Nahda 2&gt;Mohammad Noor Talib Mohammad Building")</f>
        <v>Dubai&gt;Al Nahda (Dubai)&gt;Al Nahda 2&gt;Mohammad Noor Talib Mohammad Building</v>
      </c>
      <c r="E15380" s="2"/>
      <c r="F15380" s="2"/>
      <c r="G15380" s="2"/>
      <c r="H15380" s="2"/>
      <c r="I15380" s="2"/>
      <c r="J15380" s="2"/>
      <c r="K15380" s="2"/>
      <c r="L15380" s="2"/>
      <c r="M15380" s="2"/>
      <c r="N15380" s="2"/>
      <c r="O15380" s="2"/>
      <c r="P15380" s="2"/>
      <c r="Q15380" s="2"/>
      <c r="R15380" s="2"/>
      <c r="S15380" s="2"/>
      <c r="T15380" s="2"/>
      <c r="U15380" s="2"/>
      <c r="V15380" s="2"/>
      <c r="W15380" s="2"/>
      <c r="X15380" s="2"/>
      <c r="Y15380" s="2"/>
      <c r="Z15380" s="2"/>
    </row>
    <row r="15381" spans="1:26" ht="16.5" x14ac:dyDescent="0.35">
      <c r="A15381" s="2" t="str">
        <f ca="1">IFERROR(__xludf.DUMMYFUNCTION("""COMPUTED_VALUE"""),"Dubai")</f>
        <v>Dubai</v>
      </c>
      <c r="B15381" s="2" t="str">
        <f ca="1">IFERROR(__xludf.DUMMYFUNCTION("""COMPUTED_VALUE"""),"Heritage Large")</f>
        <v>Heritage Large</v>
      </c>
      <c r="C15381" s="2"/>
      <c r="D15381" s="2" t="str">
        <f ca="1">IFERROR(__xludf.DUMMYFUNCTION("""COMPUTED_VALUE"""),"Dubai&gt;Jumeirah Park&gt;Heritage&gt;Heritage Large")</f>
        <v>Dubai&gt;Jumeirah Park&gt;Heritage&gt;Heritage Large</v>
      </c>
      <c r="E15381" s="2"/>
      <c r="F15381" s="2"/>
      <c r="G15381" s="2"/>
      <c r="H15381" s="2"/>
      <c r="I15381" s="2"/>
      <c r="J15381" s="2"/>
      <c r="K15381" s="2"/>
      <c r="L15381" s="2"/>
      <c r="M15381" s="2"/>
      <c r="N15381" s="2"/>
      <c r="O15381" s="2"/>
      <c r="P15381" s="2"/>
      <c r="Q15381" s="2"/>
      <c r="R15381" s="2"/>
      <c r="S15381" s="2"/>
      <c r="T15381" s="2"/>
      <c r="U15381" s="2"/>
      <c r="V15381" s="2"/>
      <c r="W15381" s="2"/>
      <c r="X15381" s="2"/>
      <c r="Y15381" s="2"/>
      <c r="Z15381" s="2"/>
    </row>
    <row r="15382" spans="1:26" ht="16.5" x14ac:dyDescent="0.35">
      <c r="A15382" s="2" t="str">
        <f ca="1">IFERROR(__xludf.DUMMYFUNCTION("""COMPUTED_VALUE"""),"Dubai")</f>
        <v>Dubai</v>
      </c>
      <c r="B15382" s="2" t="str">
        <f ca="1">IFERROR(__xludf.DUMMYFUNCTION("""COMPUTED_VALUE"""),"Lagoon Views 3 Tower C")</f>
        <v>Lagoon Views 3 Tower C</v>
      </c>
      <c r="C15382" s="2" t="str">
        <f ca="1">IFERROR(__xludf.DUMMYFUNCTION("""COMPUTED_VALUE"""),"Building")</f>
        <v>Building</v>
      </c>
      <c r="D15382" s="2" t="str">
        <f ca="1">IFERROR(__xludf.DUMMYFUNCTION("""COMPUTED_VALUE"""),"Dubai&gt;DAMAC Lagoons&gt;Lagoon Views&gt;Lagoon Views 3&gt;Lagoon Views 3 Tower C")</f>
        <v>Dubai&gt;DAMAC Lagoons&gt;Lagoon Views&gt;Lagoon Views 3&gt;Lagoon Views 3 Tower C</v>
      </c>
      <c r="E15382" s="2"/>
      <c r="F15382" s="2"/>
      <c r="G15382" s="2"/>
      <c r="H15382" s="2"/>
      <c r="I15382" s="2"/>
      <c r="J15382" s="2"/>
      <c r="K15382" s="2"/>
      <c r="L15382" s="2"/>
      <c r="M15382" s="2"/>
      <c r="N15382" s="2"/>
      <c r="O15382" s="2"/>
      <c r="P15382" s="2"/>
      <c r="Q15382" s="2"/>
      <c r="R15382" s="2"/>
      <c r="S15382" s="2"/>
      <c r="T15382" s="2"/>
      <c r="U15382" s="2"/>
      <c r="V15382" s="2"/>
      <c r="W15382" s="2"/>
      <c r="X15382" s="2"/>
      <c r="Y15382" s="2"/>
      <c r="Z15382" s="2"/>
    </row>
    <row r="15383" spans="1:26" ht="16.5" x14ac:dyDescent="0.35">
      <c r="A15383" s="2" t="str">
        <f ca="1">IFERROR(__xludf.DUMMYFUNCTION("""COMPUTED_VALUE"""),"Dubai")</f>
        <v>Dubai</v>
      </c>
      <c r="B15383" s="2" t="str">
        <f ca="1">IFERROR(__xludf.DUMMYFUNCTION("""COMPUTED_VALUE"""),"Miral")</f>
        <v>Miral</v>
      </c>
      <c r="C15383" s="2" t="str">
        <f ca="1">IFERROR(__xludf.DUMMYFUNCTION("""COMPUTED_VALUE"""),"Cluster")</f>
        <v>Cluster</v>
      </c>
      <c r="D15383" s="2" t="str">
        <f ca="1">IFERROR(__xludf.DUMMYFUNCTION("""COMPUTED_VALUE"""),"Dubai&gt;Liwan 2&gt;Miral")</f>
        <v>Dubai&gt;Liwan 2&gt;Miral</v>
      </c>
      <c r="E15383" s="2"/>
      <c r="F15383" s="2"/>
      <c r="G15383" s="2"/>
      <c r="H15383" s="2"/>
      <c r="I15383" s="2"/>
      <c r="J15383" s="2"/>
      <c r="K15383" s="2"/>
      <c r="L15383" s="2"/>
      <c r="M15383" s="2"/>
      <c r="N15383" s="2"/>
      <c r="O15383" s="2"/>
      <c r="P15383" s="2"/>
      <c r="Q15383" s="2"/>
      <c r="R15383" s="2"/>
      <c r="S15383" s="2"/>
      <c r="T15383" s="2"/>
      <c r="U15383" s="2"/>
      <c r="V15383" s="2"/>
      <c r="W15383" s="2"/>
      <c r="X15383" s="2"/>
      <c r="Y15383" s="2"/>
      <c r="Z15383" s="2"/>
    </row>
    <row r="15384" spans="1:26" ht="16.5" x14ac:dyDescent="0.35">
      <c r="A15384" s="2" t="str">
        <f ca="1">IFERROR(__xludf.DUMMYFUNCTION("""COMPUTED_VALUE"""),"Dubai")</f>
        <v>Dubai</v>
      </c>
      <c r="B15384" s="2" t="str">
        <f ca="1">IFERROR(__xludf.DUMMYFUNCTION("""COMPUTED_VALUE"""),"Queens Park")</f>
        <v>Queens Park</v>
      </c>
      <c r="C15384" s="2" t="str">
        <f ca="1">IFERROR(__xludf.DUMMYFUNCTION("""COMPUTED_VALUE"""),"Building")</f>
        <v>Building</v>
      </c>
      <c r="D15384" s="2" t="str">
        <f ca="1">IFERROR(__xludf.DUMMYFUNCTION("""COMPUTED_VALUE"""),"Dubai&gt;Liwan 2&gt;Queens Park")</f>
        <v>Dubai&gt;Liwan 2&gt;Queens Park</v>
      </c>
      <c r="E15384" s="2"/>
      <c r="F15384" s="2"/>
      <c r="G15384" s="2"/>
      <c r="H15384" s="2"/>
      <c r="I15384" s="2"/>
      <c r="J15384" s="2"/>
      <c r="K15384" s="2"/>
      <c r="L15384" s="2"/>
      <c r="M15384" s="2"/>
      <c r="N15384" s="2"/>
      <c r="O15384" s="2"/>
      <c r="P15384" s="2"/>
      <c r="Q15384" s="2"/>
      <c r="R15384" s="2"/>
      <c r="S15384" s="2"/>
      <c r="T15384" s="2"/>
      <c r="U15384" s="2"/>
      <c r="V15384" s="2"/>
      <c r="W15384" s="2"/>
      <c r="X15384" s="2"/>
      <c r="Y15384" s="2"/>
      <c r="Z15384" s="2"/>
    </row>
    <row r="15385" spans="1:26" ht="16.5" x14ac:dyDescent="0.35">
      <c r="A15385" s="2" t="str">
        <f ca="1">IFERROR(__xludf.DUMMYFUNCTION("""COMPUTED_VALUE"""),"Dubai")</f>
        <v>Dubai</v>
      </c>
      <c r="B15385" s="2" t="str">
        <f ca="1">IFERROR(__xludf.DUMMYFUNCTION("""COMPUTED_VALUE"""),"Lotus Residence 1")</f>
        <v>Lotus Residence 1</v>
      </c>
      <c r="C15385" s="2" t="str">
        <f ca="1">IFERROR(__xludf.DUMMYFUNCTION("""COMPUTED_VALUE"""),"Building")</f>
        <v>Building</v>
      </c>
      <c r="D15385" s="2" t="str">
        <f ca="1">IFERROR(__xludf.DUMMYFUNCTION("""COMPUTED_VALUE"""),"Dubai&gt;Dubai Investment Park (DIP)&gt;Dubai Investment Park 1&gt;Lotus Residence&gt;Lotus Residence 1")</f>
        <v>Dubai&gt;Dubai Investment Park (DIP)&gt;Dubai Investment Park 1&gt;Lotus Residence&gt;Lotus Residence 1</v>
      </c>
      <c r="E15385" s="2"/>
      <c r="F15385" s="2"/>
      <c r="G15385" s="2"/>
      <c r="H15385" s="2"/>
      <c r="I15385" s="2"/>
      <c r="J15385" s="2"/>
      <c r="K15385" s="2"/>
      <c r="L15385" s="2"/>
      <c r="M15385" s="2"/>
      <c r="N15385" s="2"/>
      <c r="O15385" s="2"/>
      <c r="P15385" s="2"/>
      <c r="Q15385" s="2"/>
      <c r="R15385" s="2"/>
      <c r="S15385" s="2"/>
      <c r="T15385" s="2"/>
      <c r="U15385" s="2"/>
      <c r="V15385" s="2"/>
      <c r="W15385" s="2"/>
      <c r="X15385" s="2"/>
      <c r="Y15385" s="2"/>
      <c r="Z15385" s="2"/>
    </row>
    <row r="15386" spans="1:26" ht="16.5" x14ac:dyDescent="0.35">
      <c r="A15386" s="2" t="str">
        <f ca="1">IFERROR(__xludf.DUMMYFUNCTION("""COMPUTED_VALUE"""),"Dubai")</f>
        <v>Dubai</v>
      </c>
      <c r="B15386" s="2" t="str">
        <f ca="1">IFERROR(__xludf.DUMMYFUNCTION("""COMPUTED_VALUE"""),"Block B")</f>
        <v>Block B</v>
      </c>
      <c r="C15386" s="2" t="str">
        <f ca="1">IFERROR(__xludf.DUMMYFUNCTION("""COMPUTED_VALUE"""),"Building")</f>
        <v>Building</v>
      </c>
      <c r="D15386" s="2" t="str">
        <f ca="1">IFERROR(__xludf.DUMMYFUNCTION("""COMPUTED_VALUE"""),"Dubai&gt;Dubai Investment Park (DIP)&gt;Dubai Investment Park 1&gt;Dubai Driving Centre Staff Accommodation&gt;Block B")</f>
        <v>Dubai&gt;Dubai Investment Park (DIP)&gt;Dubai Investment Park 1&gt;Dubai Driving Centre Staff Accommodation&gt;Block B</v>
      </c>
      <c r="E15386" s="2"/>
      <c r="F15386" s="2"/>
      <c r="G15386" s="2"/>
      <c r="H15386" s="2"/>
      <c r="I15386" s="2"/>
      <c r="J15386" s="2"/>
      <c r="K15386" s="2"/>
      <c r="L15386" s="2"/>
      <c r="M15386" s="2"/>
      <c r="N15386" s="2"/>
      <c r="O15386" s="2"/>
      <c r="P15386" s="2"/>
      <c r="Q15386" s="2"/>
      <c r="R15386" s="2"/>
      <c r="S15386" s="2"/>
      <c r="T15386" s="2"/>
      <c r="U15386" s="2"/>
      <c r="V15386" s="2"/>
      <c r="W15386" s="2"/>
      <c r="X15386" s="2"/>
      <c r="Y15386" s="2"/>
      <c r="Z15386" s="2"/>
    </row>
    <row r="15387" spans="1:26" ht="16.5" x14ac:dyDescent="0.35">
      <c r="A15387" s="2" t="str">
        <f ca="1">IFERROR(__xludf.DUMMYFUNCTION("""COMPUTED_VALUE"""),"Dubai")</f>
        <v>Dubai</v>
      </c>
      <c r="B15387" s="2" t="str">
        <f ca="1">IFERROR(__xludf.DUMMYFUNCTION("""COMPUTED_VALUE"""),"Rotana Amwaj Accommodation")</f>
        <v>Rotana Amwaj Accommodation</v>
      </c>
      <c r="C15387" s="2" t="str">
        <f ca="1">IFERROR(__xludf.DUMMYFUNCTION("""COMPUTED_VALUE"""),"Building")</f>
        <v>Building</v>
      </c>
      <c r="D15387" s="2" t="str">
        <f ca="1">IFERROR(__xludf.DUMMYFUNCTION("""COMPUTED_VALUE"""),"Dubai&gt;Dubai Investment Park (DIP)&gt;Dubai Investment Park 1&gt;Rotana Amwaj Accommodation")</f>
        <v>Dubai&gt;Dubai Investment Park (DIP)&gt;Dubai Investment Park 1&gt;Rotana Amwaj Accommodation</v>
      </c>
      <c r="E15387" s="2"/>
      <c r="F15387" s="2"/>
      <c r="G15387" s="2"/>
      <c r="H15387" s="2"/>
      <c r="I15387" s="2"/>
      <c r="J15387" s="2"/>
      <c r="K15387" s="2"/>
      <c r="L15387" s="2"/>
      <c r="M15387" s="2"/>
      <c r="N15387" s="2"/>
      <c r="O15387" s="2"/>
      <c r="P15387" s="2"/>
      <c r="Q15387" s="2"/>
      <c r="R15387" s="2"/>
      <c r="S15387" s="2"/>
      <c r="T15387" s="2"/>
      <c r="U15387" s="2"/>
      <c r="V15387" s="2"/>
      <c r="W15387" s="2"/>
      <c r="X15387" s="2"/>
      <c r="Y15387" s="2"/>
      <c r="Z15387" s="2"/>
    </row>
    <row r="15388" spans="1:26" ht="16.5" x14ac:dyDescent="0.35">
      <c r="A15388" s="2" t="str">
        <f ca="1">IFERROR(__xludf.DUMMYFUNCTION("""COMPUTED_VALUE"""),"Dubai")</f>
        <v>Dubai</v>
      </c>
      <c r="B15388" s="2" t="str">
        <f ca="1">IFERROR(__xludf.DUMMYFUNCTION("""COMPUTED_VALUE"""),"Ritaj Block A")</f>
        <v>Ritaj Block A</v>
      </c>
      <c r="C15388" s="2" t="str">
        <f ca="1">IFERROR(__xludf.DUMMYFUNCTION("""COMPUTED_VALUE"""),"Building")</f>
        <v>Building</v>
      </c>
      <c r="D15388" s="2" t="str">
        <f ca="1">IFERROR(__xludf.DUMMYFUNCTION("""COMPUTED_VALUE"""),"Dubai&gt;Dubai Investment Park (DIP)&gt;Dubai Investment Park 2&gt;Ritaj (Residential Complex)&gt;Ritaj Block A")</f>
        <v>Dubai&gt;Dubai Investment Park (DIP)&gt;Dubai Investment Park 2&gt;Ritaj (Residential Complex)&gt;Ritaj Block A</v>
      </c>
      <c r="E15388" s="2"/>
      <c r="F15388" s="2"/>
      <c r="G15388" s="2"/>
      <c r="H15388" s="2"/>
      <c r="I15388" s="2"/>
      <c r="J15388" s="2"/>
      <c r="K15388" s="2"/>
      <c r="L15388" s="2"/>
      <c r="M15388" s="2"/>
      <c r="N15388" s="2"/>
      <c r="O15388" s="2"/>
      <c r="P15388" s="2"/>
      <c r="Q15388" s="2"/>
      <c r="R15388" s="2"/>
      <c r="S15388" s="2"/>
      <c r="T15388" s="2"/>
      <c r="U15388" s="2"/>
      <c r="V15388" s="2"/>
      <c r="W15388" s="2"/>
      <c r="X15388" s="2"/>
      <c r="Y15388" s="2"/>
      <c r="Z15388" s="2"/>
    </row>
    <row r="15389" spans="1:26" ht="16.5" x14ac:dyDescent="0.35">
      <c r="A15389" s="2" t="str">
        <f ca="1">IFERROR(__xludf.DUMMYFUNCTION("""COMPUTED_VALUE"""),"Dubai")</f>
        <v>Dubai</v>
      </c>
      <c r="B15389" s="2" t="str">
        <f ca="1">IFERROR(__xludf.DUMMYFUNCTION("""COMPUTED_VALUE"""),"Cloisall")</f>
        <v>Cloisall</v>
      </c>
      <c r="C15389" s="2" t="str">
        <f ca="1">IFERROR(__xludf.DUMMYFUNCTION("""COMPUTED_VALUE"""),"Building")</f>
        <v>Building</v>
      </c>
      <c r="D15389" s="2" t="str">
        <f ca="1">IFERROR(__xludf.DUMMYFUNCTION("""COMPUTED_VALUE"""),"Dubai&gt;Dubai Investment Park (DIP)&gt;Dubai Investment Park 2&gt;Cloisall")</f>
        <v>Dubai&gt;Dubai Investment Park (DIP)&gt;Dubai Investment Park 2&gt;Cloisall</v>
      </c>
      <c r="E15389" s="2"/>
      <c r="F15389" s="2"/>
      <c r="G15389" s="2"/>
      <c r="H15389" s="2"/>
      <c r="I15389" s="2"/>
      <c r="J15389" s="2"/>
      <c r="K15389" s="2"/>
      <c r="L15389" s="2"/>
      <c r="M15389" s="2"/>
      <c r="N15389" s="2"/>
      <c r="O15389" s="2"/>
      <c r="P15389" s="2"/>
      <c r="Q15389" s="2"/>
      <c r="R15389" s="2"/>
      <c r="S15389" s="2"/>
      <c r="T15389" s="2"/>
      <c r="U15389" s="2"/>
      <c r="V15389" s="2"/>
      <c r="W15389" s="2"/>
      <c r="X15389" s="2"/>
      <c r="Y15389" s="2"/>
      <c r="Z15389" s="2"/>
    </row>
    <row r="15390" spans="1:26" ht="16.5" x14ac:dyDescent="0.35">
      <c r="A15390" s="2" t="str">
        <f ca="1">IFERROR(__xludf.DUMMYFUNCTION("""COMPUTED_VALUE"""),"Dubai")</f>
        <v>Dubai</v>
      </c>
      <c r="B15390" s="2" t="str">
        <f ca="1">IFERROR(__xludf.DUMMYFUNCTION("""COMPUTED_VALUE"""),"DAMAC Riverside")</f>
        <v>DAMAC Riverside</v>
      </c>
      <c r="C15390" s="2" t="str">
        <f ca="1">IFERROR(__xludf.DUMMYFUNCTION("""COMPUTED_VALUE"""),"Neighbourhood")</f>
        <v>Neighbourhood</v>
      </c>
      <c r="D15390" s="2" t="str">
        <f ca="1">IFERROR(__xludf.DUMMYFUNCTION("""COMPUTED_VALUE"""),"Dubai&gt;Dubai Investment Park (DIP)&gt;DAMAC Riverside")</f>
        <v>Dubai&gt;Dubai Investment Park (DIP)&gt;DAMAC Riverside</v>
      </c>
      <c r="E15390" s="2"/>
      <c r="F15390" s="2"/>
      <c r="G15390" s="2"/>
      <c r="H15390" s="2"/>
      <c r="I15390" s="2"/>
      <c r="J15390" s="2"/>
      <c r="K15390" s="2"/>
      <c r="L15390" s="2"/>
      <c r="M15390" s="2"/>
      <c r="N15390" s="2"/>
      <c r="O15390" s="2"/>
      <c r="P15390" s="2"/>
      <c r="Q15390" s="2"/>
      <c r="R15390" s="2"/>
      <c r="S15390" s="2"/>
      <c r="T15390" s="2"/>
      <c r="U15390" s="2"/>
      <c r="V15390" s="2"/>
      <c r="W15390" s="2"/>
      <c r="X15390" s="2"/>
      <c r="Y15390" s="2"/>
      <c r="Z15390" s="2"/>
    </row>
    <row r="15391" spans="1:26" ht="16.5" x14ac:dyDescent="0.35">
      <c r="A15391" s="2" t="str">
        <f ca="1">IFERROR(__xludf.DUMMYFUNCTION("""COMPUTED_VALUE"""),"Dubai")</f>
        <v>Dubai</v>
      </c>
      <c r="B15391" s="2" t="str">
        <f ca="1">IFERROR(__xludf.DUMMYFUNCTION("""COMPUTED_VALUE"""),"Equiterra")</f>
        <v>Equiterra</v>
      </c>
      <c r="C15391" s="2" t="str">
        <f ca="1">IFERROR(__xludf.DUMMYFUNCTION("""COMPUTED_VALUE"""),"Neighbourhood")</f>
        <v>Neighbourhood</v>
      </c>
      <c r="D15391" s="2" t="str">
        <f ca="1">IFERROR(__xludf.DUMMYFUNCTION("""COMPUTED_VALUE"""),"Dubai&gt;Dubai Investment Park (DIP)&gt;Grand Polo Club &amp; Resort&gt;Equiterra")</f>
        <v>Dubai&gt;Dubai Investment Park (DIP)&gt;Grand Polo Club &amp; Resort&gt;Equiterra</v>
      </c>
      <c r="E15391" s="2"/>
      <c r="F15391" s="2"/>
      <c r="G15391" s="2"/>
      <c r="H15391" s="2"/>
      <c r="I15391" s="2"/>
      <c r="J15391" s="2"/>
      <c r="K15391" s="2"/>
      <c r="L15391" s="2"/>
      <c r="M15391" s="2"/>
      <c r="N15391" s="2"/>
      <c r="O15391" s="2"/>
      <c r="P15391" s="2"/>
      <c r="Q15391" s="2"/>
      <c r="R15391" s="2"/>
      <c r="S15391" s="2"/>
      <c r="T15391" s="2"/>
      <c r="U15391" s="2"/>
      <c r="V15391" s="2"/>
      <c r="W15391" s="2"/>
      <c r="X15391" s="2"/>
      <c r="Y15391" s="2"/>
      <c r="Z15391" s="2"/>
    </row>
    <row r="15392" spans="1:26" ht="16.5" x14ac:dyDescent="0.35">
      <c r="A15392" s="2" t="str">
        <f ca="1">IFERROR(__xludf.DUMMYFUNCTION("""COMPUTED_VALUE"""),"Dubai")</f>
        <v>Dubai</v>
      </c>
      <c r="B15392" s="2" t="str">
        <f ca="1">IFERROR(__xludf.DUMMYFUNCTION("""COMPUTED_VALUE"""),"Sherena Residence")</f>
        <v>Sherena Residence</v>
      </c>
      <c r="C15392" s="2" t="str">
        <f ca="1">IFERROR(__xludf.DUMMYFUNCTION("""COMPUTED_VALUE"""),"Building")</f>
        <v>Building</v>
      </c>
      <c r="D15392" s="2" t="str">
        <f ca="1">IFERROR(__xludf.DUMMYFUNCTION("""COMPUTED_VALUE"""),"Dubai&gt;Majan&gt;Sherena Residence")</f>
        <v>Dubai&gt;Majan&gt;Sherena Residence</v>
      </c>
      <c r="E15392" s="2"/>
      <c r="F15392" s="2"/>
      <c r="G15392" s="2"/>
      <c r="H15392" s="2"/>
      <c r="I15392" s="2"/>
      <c r="J15392" s="2"/>
      <c r="K15392" s="2"/>
      <c r="L15392" s="2"/>
      <c r="M15392" s="2"/>
      <c r="N15392" s="2"/>
      <c r="O15392" s="2"/>
      <c r="P15392" s="2"/>
      <c r="Q15392" s="2"/>
      <c r="R15392" s="2"/>
      <c r="S15392" s="2"/>
      <c r="T15392" s="2"/>
      <c r="U15392" s="2"/>
      <c r="V15392" s="2"/>
      <c r="W15392" s="2"/>
      <c r="X15392" s="2"/>
      <c r="Y15392" s="2"/>
      <c r="Z15392" s="2"/>
    </row>
    <row r="15393" spans="1:26" ht="16.5" x14ac:dyDescent="0.35">
      <c r="A15393" s="2" t="str">
        <f ca="1">IFERROR(__xludf.DUMMYFUNCTION("""COMPUTED_VALUE"""),"Dubai")</f>
        <v>Dubai</v>
      </c>
      <c r="B15393" s="2" t="str">
        <f ca="1">IFERROR(__xludf.DUMMYFUNCTION("""COMPUTED_VALUE"""),"Lazord by LAPIS")</f>
        <v>Lazord by LAPIS</v>
      </c>
      <c r="C15393" s="2" t="str">
        <f ca="1">IFERROR(__xludf.DUMMYFUNCTION("""COMPUTED_VALUE"""),"Building")</f>
        <v>Building</v>
      </c>
      <c r="D15393" s="2" t="str">
        <f ca="1">IFERROR(__xludf.DUMMYFUNCTION("""COMPUTED_VALUE"""),"Dubai&gt;Majan&gt;Lazord by LAPIS")</f>
        <v>Dubai&gt;Majan&gt;Lazord by LAPIS</v>
      </c>
      <c r="E15393" s="2"/>
      <c r="F15393" s="2"/>
      <c r="G15393" s="2"/>
      <c r="H15393" s="2"/>
      <c r="I15393" s="2"/>
      <c r="J15393" s="2"/>
      <c r="K15393" s="2"/>
      <c r="L15393" s="2"/>
      <c r="M15393" s="2"/>
      <c r="N15393" s="2"/>
      <c r="O15393" s="2"/>
      <c r="P15393" s="2"/>
      <c r="Q15393" s="2"/>
      <c r="R15393" s="2"/>
      <c r="S15393" s="2"/>
      <c r="T15393" s="2"/>
      <c r="U15393" s="2"/>
      <c r="V15393" s="2"/>
      <c r="W15393" s="2"/>
      <c r="X15393" s="2"/>
      <c r="Y15393" s="2"/>
      <c r="Z15393" s="2"/>
    </row>
    <row r="15394" spans="1:26" ht="16.5" x14ac:dyDescent="0.35">
      <c r="A15394" s="2" t="str">
        <f ca="1">IFERROR(__xludf.DUMMYFUNCTION("""COMPUTED_VALUE"""),"Dubai")</f>
        <v>Dubai</v>
      </c>
      <c r="B15394" s="2" t="str">
        <f ca="1">IFERROR(__xludf.DUMMYFUNCTION("""COMPUTED_VALUE"""),"Mirage The Oasis")</f>
        <v>Mirage The Oasis</v>
      </c>
      <c r="C15394" s="2" t="str">
        <f ca="1">IFERROR(__xludf.DUMMYFUNCTION("""COMPUTED_VALUE"""),"Neighbourhood")</f>
        <v>Neighbourhood</v>
      </c>
      <c r="D15394" s="2" t="str">
        <f ca="1">IFERROR(__xludf.DUMMYFUNCTION("""COMPUTED_VALUE"""),"Dubai&gt;The Oasis by Emaar&gt;Mirage The Oasis")</f>
        <v>Dubai&gt;The Oasis by Emaar&gt;Mirage The Oasis</v>
      </c>
      <c r="E15394" s="2"/>
      <c r="F15394" s="2"/>
      <c r="G15394" s="2"/>
      <c r="H15394" s="2"/>
      <c r="I15394" s="2"/>
      <c r="J15394" s="2"/>
      <c r="K15394" s="2"/>
      <c r="L15394" s="2"/>
      <c r="M15394" s="2"/>
      <c r="N15394" s="2"/>
      <c r="O15394" s="2"/>
      <c r="P15394" s="2"/>
      <c r="Q15394" s="2"/>
      <c r="R15394" s="2"/>
      <c r="S15394" s="2"/>
      <c r="T15394" s="2"/>
      <c r="U15394" s="2"/>
      <c r="V15394" s="2"/>
      <c r="W15394" s="2"/>
      <c r="X15394" s="2"/>
      <c r="Y15394" s="2"/>
      <c r="Z15394" s="2"/>
    </row>
    <row r="15395" spans="1:26" ht="16.5" x14ac:dyDescent="0.35">
      <c r="A15395" s="2" t="str">
        <f ca="1">IFERROR(__xludf.DUMMYFUNCTION("""COMPUTED_VALUE"""),"Dubai")</f>
        <v>Dubai</v>
      </c>
      <c r="B15395" s="2" t="str">
        <f ca="1">IFERROR(__xludf.DUMMYFUNCTION("""COMPUTED_VALUE"""),"Skyvue Stellar")</f>
        <v>Skyvue Stellar</v>
      </c>
      <c r="C15395" s="2" t="str">
        <f ca="1">IFERROR(__xludf.DUMMYFUNCTION("""COMPUTED_VALUE"""),"Building")</f>
        <v>Building</v>
      </c>
      <c r="D15395" s="2" t="str">
        <f ca="1">IFERROR(__xludf.DUMMYFUNCTION("""COMPUTED_VALUE"""),"Dubai&gt;Sobha Hartland 2&gt;Skyvue&gt;Skyvue Stellar")</f>
        <v>Dubai&gt;Sobha Hartland 2&gt;Skyvue&gt;Skyvue Stellar</v>
      </c>
      <c r="E15395" s="2"/>
      <c r="F15395" s="2"/>
      <c r="G15395" s="2"/>
      <c r="H15395" s="2"/>
      <c r="I15395" s="2"/>
      <c r="J15395" s="2"/>
      <c r="K15395" s="2"/>
      <c r="L15395" s="2"/>
      <c r="M15395" s="2"/>
      <c r="N15395" s="2"/>
      <c r="O15395" s="2"/>
      <c r="P15395" s="2"/>
      <c r="Q15395" s="2"/>
      <c r="R15395" s="2"/>
      <c r="S15395" s="2"/>
      <c r="T15395" s="2"/>
      <c r="U15395" s="2"/>
      <c r="V15395" s="2"/>
      <c r="W15395" s="2"/>
      <c r="X15395" s="2"/>
      <c r="Y15395" s="2"/>
      <c r="Z15395" s="2"/>
    </row>
    <row r="15396" spans="1:26" ht="16.5" x14ac:dyDescent="0.35">
      <c r="A15396" s="2" t="str">
        <f ca="1">IFERROR(__xludf.DUMMYFUNCTION("""COMPUTED_VALUE"""),"Dubai")</f>
        <v>Dubai</v>
      </c>
      <c r="B15396" s="2" t="str">
        <f ca="1">IFERROR(__xludf.DUMMYFUNCTION("""COMPUTED_VALUE"""),"BS-03")</f>
        <v>BS-03</v>
      </c>
      <c r="C15396" s="2" t="str">
        <f ca="1">IFERROR(__xludf.DUMMYFUNCTION("""COMPUTED_VALUE"""),"Building")</f>
        <v>Building</v>
      </c>
      <c r="D15396" s="2" t="str">
        <f ca="1">IFERROR(__xludf.DUMMYFUNCTION("""COMPUTED_VALUE"""),"Dubai&gt;Dubai Studio City&gt;Boutique Studios&gt;BS-03")</f>
        <v>Dubai&gt;Dubai Studio City&gt;Boutique Studios&gt;BS-03</v>
      </c>
      <c r="E15396" s="2"/>
      <c r="F15396" s="2"/>
      <c r="G15396" s="2"/>
      <c r="H15396" s="2"/>
      <c r="I15396" s="2"/>
      <c r="J15396" s="2"/>
      <c r="K15396" s="2"/>
      <c r="L15396" s="2"/>
      <c r="M15396" s="2"/>
      <c r="N15396" s="2"/>
      <c r="O15396" s="2"/>
      <c r="P15396" s="2"/>
      <c r="Q15396" s="2"/>
      <c r="R15396" s="2"/>
      <c r="S15396" s="2"/>
      <c r="T15396" s="2"/>
      <c r="U15396" s="2"/>
      <c r="V15396" s="2"/>
      <c r="W15396" s="2"/>
      <c r="X15396" s="2"/>
      <c r="Y15396" s="2"/>
      <c r="Z15396" s="2"/>
    </row>
    <row r="15397" spans="1:26" ht="16.5" x14ac:dyDescent="0.35">
      <c r="A15397" s="2" t="str">
        <f ca="1">IFERROR(__xludf.DUMMYFUNCTION("""COMPUTED_VALUE"""),"Dubai")</f>
        <v>Dubai</v>
      </c>
      <c r="B15397" s="2" t="str">
        <f ca="1">IFERROR(__xludf.DUMMYFUNCTION("""COMPUTED_VALUE"""),"Sobha Hartland")</f>
        <v>Sobha Hartland</v>
      </c>
      <c r="C15397" s="2" t="str">
        <f ca="1">IFERROR(__xludf.DUMMYFUNCTION("""COMPUTED_VALUE"""),"Neighbourhood")</f>
        <v>Neighbourhood</v>
      </c>
      <c r="D15397" s="2" t="str">
        <f ca="1">IFERROR(__xludf.DUMMYFUNCTION("""COMPUTED_VALUE"""),"Dubai&gt;Sobha Hartland")</f>
        <v>Dubai&gt;Sobha Hartland</v>
      </c>
      <c r="E15397" s="2"/>
      <c r="F15397" s="2"/>
      <c r="G15397" s="2"/>
      <c r="H15397" s="2"/>
      <c r="I15397" s="2"/>
      <c r="J15397" s="2"/>
      <c r="K15397" s="2"/>
      <c r="L15397" s="2"/>
      <c r="M15397" s="2"/>
      <c r="N15397" s="2"/>
      <c r="O15397" s="2"/>
      <c r="P15397" s="2"/>
      <c r="Q15397" s="2"/>
      <c r="R15397" s="2"/>
      <c r="S15397" s="2"/>
      <c r="T15397" s="2"/>
      <c r="U15397" s="2"/>
      <c r="V15397" s="2"/>
      <c r="W15397" s="2"/>
      <c r="X15397" s="2"/>
      <c r="Y15397" s="2"/>
      <c r="Z15397" s="2"/>
    </row>
    <row r="15398" spans="1:26" ht="16.5" x14ac:dyDescent="0.35">
      <c r="A15398" s="2" t="str">
        <f ca="1">IFERROR(__xludf.DUMMYFUNCTION("""COMPUTED_VALUE"""),"Dubai")</f>
        <v>Dubai</v>
      </c>
      <c r="B15398" s="2" t="str">
        <f ca="1">IFERROR(__xludf.DUMMYFUNCTION("""COMPUTED_VALUE"""),"Waves Grande")</f>
        <v>Waves Grande</v>
      </c>
      <c r="C15398" s="2" t="str">
        <f ca="1">IFERROR(__xludf.DUMMYFUNCTION("""COMPUTED_VALUE"""),"Building")</f>
        <v>Building</v>
      </c>
      <c r="D15398" s="2" t="str">
        <f ca="1">IFERROR(__xludf.DUMMYFUNCTION("""COMPUTED_VALUE"""),"Dubai&gt;Sobha Hartland&gt;Waves Grande")</f>
        <v>Dubai&gt;Sobha Hartland&gt;Waves Grande</v>
      </c>
      <c r="E15398" s="2"/>
      <c r="F15398" s="2"/>
      <c r="G15398" s="2"/>
      <c r="H15398" s="2"/>
      <c r="I15398" s="2"/>
      <c r="J15398" s="2"/>
      <c r="K15398" s="2"/>
      <c r="L15398" s="2"/>
      <c r="M15398" s="2"/>
      <c r="N15398" s="2"/>
      <c r="O15398" s="2"/>
      <c r="P15398" s="2"/>
      <c r="Q15398" s="2"/>
      <c r="R15398" s="2"/>
      <c r="S15398" s="2"/>
      <c r="T15398" s="2"/>
      <c r="U15398" s="2"/>
      <c r="V15398" s="2"/>
      <c r="W15398" s="2"/>
      <c r="X15398" s="2"/>
      <c r="Y15398" s="2"/>
      <c r="Z15398" s="2"/>
    </row>
    <row r="15399" spans="1:26" ht="16.5" x14ac:dyDescent="0.35">
      <c r="A15399" s="2" t="str">
        <f ca="1">IFERROR(__xludf.DUMMYFUNCTION("""COMPUTED_VALUE"""),"Dubai")</f>
        <v>Dubai</v>
      </c>
      <c r="B15399" s="2" t="str">
        <f ca="1">IFERROR(__xludf.DUMMYFUNCTION("""COMPUTED_VALUE"""),"Al Selal")</f>
        <v>Al Selal</v>
      </c>
      <c r="C15399" s="2" t="str">
        <f ca="1">IFERROR(__xludf.DUMMYFUNCTION("""COMPUTED_VALUE"""),"Neighbourhood")</f>
        <v>Neighbourhood</v>
      </c>
      <c r="D15399" s="2" t="str">
        <f ca="1">IFERROR(__xludf.DUMMYFUNCTION("""COMPUTED_VALUE"""),"Dubai&gt;Al Selal")</f>
        <v>Dubai&gt;Al Selal</v>
      </c>
      <c r="E15399" s="2"/>
      <c r="F15399" s="2"/>
      <c r="G15399" s="2"/>
      <c r="H15399" s="2"/>
      <c r="I15399" s="2"/>
      <c r="J15399" s="2"/>
      <c r="K15399" s="2"/>
      <c r="L15399" s="2"/>
      <c r="M15399" s="2"/>
      <c r="N15399" s="2"/>
      <c r="O15399" s="2"/>
      <c r="P15399" s="2"/>
      <c r="Q15399" s="2"/>
      <c r="R15399" s="2"/>
      <c r="S15399" s="2"/>
      <c r="T15399" s="2"/>
      <c r="U15399" s="2"/>
      <c r="V15399" s="2"/>
      <c r="W15399" s="2"/>
      <c r="X15399" s="2"/>
      <c r="Y15399" s="2"/>
      <c r="Z15399" s="2"/>
    </row>
    <row r="15400" spans="1:26" ht="16.5" x14ac:dyDescent="0.35">
      <c r="A15400" s="2" t="str">
        <f ca="1">IFERROR(__xludf.DUMMYFUNCTION("""COMPUTED_VALUE"""),"Dubai")</f>
        <v>Dubai</v>
      </c>
      <c r="B15400" s="2" t="str">
        <f ca="1">IFERROR(__xludf.DUMMYFUNCTION("""COMPUTED_VALUE"""),"Expo Valley")</f>
        <v>Expo Valley</v>
      </c>
      <c r="C15400" s="2" t="str">
        <f ca="1">IFERROR(__xludf.DUMMYFUNCTION("""COMPUTED_VALUE"""),"Neighbourhood")</f>
        <v>Neighbourhood</v>
      </c>
      <c r="D15400" s="2" t="str">
        <f ca="1">IFERROR(__xludf.DUMMYFUNCTION("""COMPUTED_VALUE"""),"Dubai&gt;Expo City&gt;Expo Valley")</f>
        <v>Dubai&gt;Expo City&gt;Expo Valley</v>
      </c>
      <c r="E15400" s="2"/>
      <c r="F15400" s="2"/>
      <c r="G15400" s="2"/>
      <c r="H15400" s="2"/>
      <c r="I15400" s="2"/>
      <c r="J15400" s="2"/>
      <c r="K15400" s="2"/>
      <c r="L15400" s="2"/>
      <c r="M15400" s="2"/>
      <c r="N15400" s="2"/>
      <c r="O15400" s="2"/>
      <c r="P15400" s="2"/>
      <c r="Q15400" s="2"/>
      <c r="R15400" s="2"/>
      <c r="S15400" s="2"/>
      <c r="T15400" s="2"/>
      <c r="U15400" s="2"/>
      <c r="V15400" s="2"/>
      <c r="W15400" s="2"/>
      <c r="X15400" s="2"/>
      <c r="Y15400" s="2"/>
      <c r="Z15400" s="2"/>
    </row>
    <row r="15401" spans="1:26" ht="16.5" x14ac:dyDescent="0.35">
      <c r="A15401" s="2" t="str">
        <f ca="1">IFERROR(__xludf.DUMMYFUNCTION("""COMPUTED_VALUE"""),"Dubai")</f>
        <v>Dubai</v>
      </c>
      <c r="B15401" s="2" t="str">
        <f ca="1">IFERROR(__xludf.DUMMYFUNCTION("""COMPUTED_VALUE"""),"Portofino Hotel")</f>
        <v>Portofino Hotel</v>
      </c>
      <c r="C15401" s="2" t="str">
        <f ca="1">IFERROR(__xludf.DUMMYFUNCTION("""COMPUTED_VALUE"""),"Building")</f>
        <v>Building</v>
      </c>
      <c r="D15401" s="2" t="str">
        <f ca="1">IFERROR(__xludf.DUMMYFUNCTION("""COMPUTED_VALUE"""),"Dubai&gt;The World Islands&gt;The Heart of Europe&gt;Portofino Hotel")</f>
        <v>Dubai&gt;The World Islands&gt;The Heart of Europe&gt;Portofino Hotel</v>
      </c>
      <c r="E15401" s="2"/>
      <c r="F15401" s="2"/>
      <c r="G15401" s="2"/>
      <c r="H15401" s="2"/>
      <c r="I15401" s="2"/>
      <c r="J15401" s="2"/>
      <c r="K15401" s="2"/>
      <c r="L15401" s="2"/>
      <c r="M15401" s="2"/>
      <c r="N15401" s="2"/>
      <c r="O15401" s="2"/>
      <c r="P15401" s="2"/>
      <c r="Q15401" s="2"/>
      <c r="R15401" s="2"/>
      <c r="S15401" s="2"/>
      <c r="T15401" s="2"/>
      <c r="U15401" s="2"/>
      <c r="V15401" s="2"/>
      <c r="W15401" s="2"/>
      <c r="X15401" s="2"/>
      <c r="Y15401" s="2"/>
      <c r="Z15401" s="2"/>
    </row>
    <row r="15402" spans="1:26" ht="16.5" x14ac:dyDescent="0.35">
      <c r="A15402" s="2" t="str">
        <f ca="1">IFERROR(__xludf.DUMMYFUNCTION("""COMPUTED_VALUE"""),"Dubai")</f>
        <v>Dubai</v>
      </c>
      <c r="B15402" s="2" t="str">
        <f ca="1">IFERROR(__xludf.DUMMYFUNCTION("""COMPUTED_VALUE"""),"Saih Al Salam")</f>
        <v>Saih Al Salam</v>
      </c>
      <c r="C15402" s="2" t="str">
        <f ca="1">IFERROR(__xludf.DUMMYFUNCTION("""COMPUTED_VALUE"""),"Neighbourhood")</f>
        <v>Neighbourhood</v>
      </c>
      <c r="D15402" s="2" t="str">
        <f ca="1">IFERROR(__xludf.DUMMYFUNCTION("""COMPUTED_VALUE"""),"Dubai&gt;Saih Al Salam")</f>
        <v>Dubai&gt;Saih Al Salam</v>
      </c>
      <c r="E15402" s="2"/>
      <c r="F15402" s="2"/>
      <c r="G15402" s="2"/>
      <c r="H15402" s="2"/>
      <c r="I15402" s="2"/>
      <c r="J15402" s="2"/>
      <c r="K15402" s="2"/>
      <c r="L15402" s="2"/>
      <c r="M15402" s="2"/>
      <c r="N15402" s="2"/>
      <c r="O15402" s="2"/>
      <c r="P15402" s="2"/>
      <c r="Q15402" s="2"/>
      <c r="R15402" s="2"/>
      <c r="S15402" s="2"/>
      <c r="T15402" s="2"/>
      <c r="U15402" s="2"/>
      <c r="V15402" s="2"/>
      <c r="W15402" s="2"/>
      <c r="X15402" s="2"/>
      <c r="Y15402" s="2"/>
      <c r="Z15402" s="2"/>
    </row>
    <row r="15403" spans="1:26" ht="16.5" x14ac:dyDescent="0.35">
      <c r="A15403" s="2" t="str">
        <f ca="1">IFERROR(__xludf.DUMMYFUNCTION("""COMPUTED_VALUE"""),"Dubai")</f>
        <v>Dubai</v>
      </c>
      <c r="B15403" s="2" t="str">
        <f ca="1">IFERROR(__xludf.DUMMYFUNCTION("""COMPUTED_VALUE"""),"Chion")</f>
        <v>Chion</v>
      </c>
      <c r="C15403" s="2" t="str">
        <f ca="1">IFERROR(__xludf.DUMMYFUNCTION("""COMPUTED_VALUE"""),"Neighbourhood")</f>
        <v>Neighbourhood</v>
      </c>
      <c r="D15403" s="2" t="str">
        <f ca="1">IFERROR(__xludf.DUMMYFUNCTION("""COMPUTED_VALUE"""),"Dubai&gt;Athlon by Aldar&gt;Chion")</f>
        <v>Dubai&gt;Athlon by Aldar&gt;Chion</v>
      </c>
      <c r="E15403" s="2"/>
      <c r="F15403" s="2"/>
      <c r="G15403" s="2"/>
      <c r="H15403" s="2"/>
      <c r="I15403" s="2"/>
      <c r="J15403" s="2"/>
      <c r="K15403" s="2"/>
      <c r="L15403" s="2"/>
      <c r="M15403" s="2"/>
      <c r="N15403" s="2"/>
      <c r="O15403" s="2"/>
      <c r="P15403" s="2"/>
      <c r="Q15403" s="2"/>
      <c r="R15403" s="2"/>
      <c r="S15403" s="2"/>
      <c r="T15403" s="2"/>
      <c r="U15403" s="2"/>
      <c r="V15403" s="2"/>
      <c r="W15403" s="2"/>
      <c r="X15403" s="2"/>
      <c r="Y15403" s="2"/>
      <c r="Z15403" s="2"/>
    </row>
    <row r="15404" spans="1:26" ht="16.5" x14ac:dyDescent="0.35">
      <c r="A15404" s="2" t="str">
        <f ca="1">IFERROR(__xludf.DUMMYFUNCTION("""COMPUTED_VALUE"""),"Dubai")</f>
        <v>Dubai</v>
      </c>
      <c r="B15404" s="2" t="str">
        <f ca="1">IFERROR(__xludf.DUMMYFUNCTION("""COMPUTED_VALUE"""),"Cilia Building 7")</f>
        <v>Cilia Building 7</v>
      </c>
      <c r="C15404" s="2" t="str">
        <f ca="1">IFERROR(__xludf.DUMMYFUNCTION("""COMPUTED_VALUE"""),"Building")</f>
        <v>Building</v>
      </c>
      <c r="D15404" s="2" t="str">
        <f ca="1">IFERROR(__xludf.DUMMYFUNCTION("""COMPUTED_VALUE"""),"Dubai&gt;Ghaf Woods&gt;Cilia&gt;Cilia Building 7")</f>
        <v>Dubai&gt;Ghaf Woods&gt;Cilia&gt;Cilia Building 7</v>
      </c>
      <c r="E15404" s="2"/>
      <c r="F15404" s="2"/>
      <c r="G15404" s="2"/>
      <c r="H15404" s="2"/>
      <c r="I15404" s="2"/>
      <c r="J15404" s="2"/>
      <c r="K15404" s="2"/>
      <c r="L15404" s="2"/>
      <c r="M15404" s="2"/>
      <c r="N15404" s="2"/>
      <c r="O15404" s="2"/>
      <c r="P15404" s="2"/>
      <c r="Q15404" s="2"/>
      <c r="R15404" s="2"/>
      <c r="S15404" s="2"/>
      <c r="T15404" s="2"/>
      <c r="U15404" s="2"/>
      <c r="V15404" s="2"/>
      <c r="W15404" s="2"/>
      <c r="X15404" s="2"/>
      <c r="Y15404" s="2"/>
      <c r="Z15404" s="2"/>
    </row>
    <row r="15405" spans="1:26" ht="16.5" x14ac:dyDescent="0.35">
      <c r="A15405" s="2" t="str">
        <f ca="1">IFERROR(__xludf.DUMMYFUNCTION("""COMPUTED_VALUE"""),"Dubai")</f>
        <v>Dubai</v>
      </c>
      <c r="B15405" s="2" t="str">
        <f ca="1">IFERROR(__xludf.DUMMYFUNCTION("""COMPUTED_VALUE"""),"Bali 3")</f>
        <v>Bali 3</v>
      </c>
      <c r="C15405" s="2" t="str">
        <f ca="1">IFERROR(__xludf.DUMMYFUNCTION("""COMPUTED_VALUE"""),"Neighbourhood")</f>
        <v>Neighbourhood</v>
      </c>
      <c r="D15405" s="2" t="str">
        <f ca="1">IFERROR(__xludf.DUMMYFUNCTION("""COMPUTED_VALUE"""),"Dubai&gt;DAMAC Islands&gt;Bali 3")</f>
        <v>Dubai&gt;DAMAC Islands&gt;Bali 3</v>
      </c>
      <c r="E15405" s="2"/>
      <c r="F15405" s="2"/>
      <c r="G15405" s="2"/>
      <c r="H15405" s="2"/>
      <c r="I15405" s="2"/>
      <c r="J15405" s="2"/>
      <c r="K15405" s="2"/>
      <c r="L15405" s="2"/>
      <c r="M15405" s="2"/>
      <c r="N15405" s="2"/>
      <c r="O15405" s="2"/>
      <c r="P15405" s="2"/>
      <c r="Q15405" s="2"/>
      <c r="R15405" s="2"/>
      <c r="S15405" s="2"/>
      <c r="T15405" s="2"/>
      <c r="U15405" s="2"/>
      <c r="V15405" s="2"/>
      <c r="W15405" s="2"/>
      <c r="X15405" s="2"/>
      <c r="Y15405" s="2"/>
      <c r="Z15405" s="2"/>
    </row>
    <row r="15406" spans="1:26" ht="16.5" x14ac:dyDescent="0.35">
      <c r="A15406" s="2" t="str">
        <f ca="1">IFERROR(__xludf.DUMMYFUNCTION("""COMPUTED_VALUE"""),"Dubai")</f>
        <v>Dubai</v>
      </c>
      <c r="B15406" s="2" t="str">
        <f ca="1">IFERROR(__xludf.DUMMYFUNCTION("""COMPUTED_VALUE"""),"Jumeirah Gate Tower 2")</f>
        <v>Jumeirah Gate Tower 2</v>
      </c>
      <c r="C15406" s="2" t="str">
        <f ca="1">IFERROR(__xludf.DUMMYFUNCTION("""COMPUTED_VALUE"""),"Building")</f>
        <v>Building</v>
      </c>
      <c r="D15406" s="2" t="str">
        <f ca="1">IFERROR(__xludf.DUMMYFUNCTION("""COMPUTED_VALUE"""),"Dubai&gt;Jumeirah Beach Residence (JBR)&gt;The Address Residences Jumeirah Resort and Spa&gt;Jumeirah Gate Tower 2")</f>
        <v>Dubai&gt;Jumeirah Beach Residence (JBR)&gt;The Address Residences Jumeirah Resort and Spa&gt;Jumeirah Gate Tower 2</v>
      </c>
      <c r="E15406" s="2"/>
      <c r="F15406" s="2"/>
      <c r="G15406" s="2"/>
      <c r="H15406" s="2"/>
      <c r="I15406" s="2"/>
      <c r="J15406" s="2"/>
      <c r="K15406" s="2"/>
      <c r="L15406" s="2"/>
      <c r="M15406" s="2"/>
      <c r="N15406" s="2"/>
      <c r="O15406" s="2"/>
      <c r="P15406" s="2"/>
      <c r="Q15406" s="2"/>
      <c r="R15406" s="2"/>
      <c r="S15406" s="2"/>
      <c r="T15406" s="2"/>
      <c r="U15406" s="2"/>
      <c r="V15406" s="2"/>
      <c r="W15406" s="2"/>
      <c r="X15406" s="2"/>
      <c r="Y15406" s="2"/>
      <c r="Z15406" s="2"/>
    </row>
    <row r="15407" spans="1:26" ht="16.5" x14ac:dyDescent="0.35">
      <c r="A15407" s="2" t="str">
        <f ca="1">IFERROR(__xludf.DUMMYFUNCTION("""COMPUTED_VALUE"""),"Dubai")</f>
        <v>Dubai</v>
      </c>
      <c r="B15407" s="2" t="str">
        <f ca="1">IFERROR(__xludf.DUMMYFUNCTION("""COMPUTED_VALUE"""),"Bahar 1")</f>
        <v>Bahar 1</v>
      </c>
      <c r="C15407" s="2" t="str">
        <f ca="1">IFERROR(__xludf.DUMMYFUNCTION("""COMPUTED_VALUE"""),"Building")</f>
        <v>Building</v>
      </c>
      <c r="D15407" s="2" t="str">
        <f ca="1">IFERROR(__xludf.DUMMYFUNCTION("""COMPUTED_VALUE"""),"Dubai&gt;Jumeirah Beach Residence (JBR)&gt;Bahar&gt;Bahar 1")</f>
        <v>Dubai&gt;Jumeirah Beach Residence (JBR)&gt;Bahar&gt;Bahar 1</v>
      </c>
      <c r="E15407" s="2"/>
      <c r="F15407" s="2"/>
      <c r="G15407" s="2"/>
      <c r="H15407" s="2"/>
      <c r="I15407" s="2"/>
      <c r="J15407" s="2"/>
      <c r="K15407" s="2"/>
      <c r="L15407" s="2"/>
      <c r="M15407" s="2"/>
      <c r="N15407" s="2"/>
      <c r="O15407" s="2"/>
      <c r="P15407" s="2"/>
      <c r="Q15407" s="2"/>
      <c r="R15407" s="2"/>
      <c r="S15407" s="2"/>
      <c r="T15407" s="2"/>
      <c r="U15407" s="2"/>
      <c r="V15407" s="2"/>
      <c r="W15407" s="2"/>
      <c r="X15407" s="2"/>
      <c r="Y15407" s="2"/>
      <c r="Z15407" s="2"/>
    </row>
    <row r="15408" spans="1:26" ht="16.5" x14ac:dyDescent="0.35">
      <c r="A15408" s="2" t="str">
        <f ca="1">IFERROR(__xludf.DUMMYFUNCTION("""COMPUTED_VALUE"""),"Dubai")</f>
        <v>Dubai</v>
      </c>
      <c r="B15408" s="2" t="str">
        <f ca="1">IFERROR(__xludf.DUMMYFUNCTION("""COMPUTED_VALUE"""),"Al Vista Tower B")</f>
        <v>Al Vista Tower B</v>
      </c>
      <c r="C15408" s="2" t="str">
        <f ca="1">IFERROR(__xludf.DUMMYFUNCTION("""COMPUTED_VALUE"""),"Building")</f>
        <v>Building</v>
      </c>
      <c r="D15408" s="2" t="str">
        <f ca="1">IFERROR(__xludf.DUMMYFUNCTION("""COMPUTED_VALUE"""),"Dubai&gt;Meydan Horizon&gt;Al Vista&gt;Al Vista Tower B")</f>
        <v>Dubai&gt;Meydan Horizon&gt;Al Vista&gt;Al Vista Tower B</v>
      </c>
      <c r="E15408" s="2"/>
      <c r="F15408" s="2"/>
      <c r="G15408" s="2"/>
      <c r="H15408" s="2"/>
      <c r="I15408" s="2"/>
      <c r="J15408" s="2"/>
      <c r="K15408" s="2"/>
      <c r="L15408" s="2"/>
      <c r="M15408" s="2"/>
      <c r="N15408" s="2"/>
      <c r="O15408" s="2"/>
      <c r="P15408" s="2"/>
      <c r="Q15408" s="2"/>
      <c r="R15408" s="2"/>
      <c r="S15408" s="2"/>
      <c r="T15408" s="2"/>
      <c r="U15408" s="2"/>
      <c r="V15408" s="2"/>
      <c r="W15408" s="2"/>
      <c r="X15408" s="2"/>
      <c r="Y15408" s="2"/>
      <c r="Z15408" s="2"/>
    </row>
    <row r="15409" spans="1:26" ht="16.5" x14ac:dyDescent="0.35">
      <c r="A15409" s="2" t="str">
        <f ca="1">IFERROR(__xludf.DUMMYFUNCTION("""COMPUTED_VALUE"""),"Dubai")</f>
        <v>Dubai</v>
      </c>
      <c r="B15409" s="2" t="str">
        <f ca="1">IFERROR(__xludf.DUMMYFUNCTION("""COMPUTED_VALUE"""),"City Walk")</f>
        <v>City Walk</v>
      </c>
      <c r="C15409" s="2" t="str">
        <f ca="1">IFERROR(__xludf.DUMMYFUNCTION("""COMPUTED_VALUE"""),"Neighbourhood")</f>
        <v>Neighbourhood</v>
      </c>
      <c r="D15409" s="2" t="str">
        <f ca="1">IFERROR(__xludf.DUMMYFUNCTION("""COMPUTED_VALUE"""),"Dubai&gt;Al Wasl&gt;City Walk")</f>
        <v>Dubai&gt;Al Wasl&gt;City Walk</v>
      </c>
      <c r="E15409" s="2"/>
      <c r="F15409" s="2"/>
      <c r="G15409" s="2"/>
      <c r="H15409" s="2"/>
      <c r="I15409" s="2"/>
      <c r="J15409" s="2"/>
      <c r="K15409" s="2"/>
      <c r="L15409" s="2"/>
      <c r="M15409" s="2"/>
      <c r="N15409" s="2"/>
      <c r="O15409" s="2"/>
      <c r="P15409" s="2"/>
      <c r="Q15409" s="2"/>
      <c r="R15409" s="2"/>
      <c r="S15409" s="2"/>
      <c r="T15409" s="2"/>
      <c r="U15409" s="2"/>
      <c r="V15409" s="2"/>
      <c r="W15409" s="2"/>
      <c r="X15409" s="2"/>
      <c r="Y15409" s="2"/>
      <c r="Z15409" s="2"/>
    </row>
    <row r="15410" spans="1:26" ht="16.5" x14ac:dyDescent="0.35">
      <c r="A15410" s="2" t="str">
        <f ca="1">IFERROR(__xludf.DUMMYFUNCTION("""COMPUTED_VALUE"""),"Dubai")</f>
        <v>Dubai</v>
      </c>
      <c r="B15410" s="2" t="str">
        <f ca="1">IFERROR(__xludf.DUMMYFUNCTION("""COMPUTED_VALUE"""),"Erin")</f>
        <v>Erin</v>
      </c>
      <c r="C15410" s="2" t="str">
        <f ca="1">IFERROR(__xludf.DUMMYFUNCTION("""COMPUTED_VALUE"""),"Building")</f>
        <v>Building</v>
      </c>
      <c r="D15410" s="2" t="str">
        <f ca="1">IFERROR(__xludf.DUMMYFUNCTION("""COMPUTED_VALUE"""),"Dubai&gt;Al Wasl&gt;City Walk&gt;Central Park&gt;Erin")</f>
        <v>Dubai&gt;Al Wasl&gt;City Walk&gt;Central Park&gt;Erin</v>
      </c>
      <c r="E15410" s="2"/>
      <c r="F15410" s="2"/>
      <c r="G15410" s="2"/>
      <c r="H15410" s="2"/>
      <c r="I15410" s="2"/>
      <c r="J15410" s="2"/>
      <c r="K15410" s="2"/>
      <c r="L15410" s="2"/>
      <c r="M15410" s="2"/>
      <c r="N15410" s="2"/>
      <c r="O15410" s="2"/>
      <c r="P15410" s="2"/>
      <c r="Q15410" s="2"/>
      <c r="R15410" s="2"/>
      <c r="S15410" s="2"/>
      <c r="T15410" s="2"/>
      <c r="U15410" s="2"/>
      <c r="V15410" s="2"/>
      <c r="W15410" s="2"/>
      <c r="X15410" s="2"/>
      <c r="Y15410" s="2"/>
      <c r="Z15410" s="2"/>
    </row>
    <row r="15411" spans="1:26" ht="16.5" x14ac:dyDescent="0.35">
      <c r="A15411" s="2" t="str">
        <f ca="1">IFERROR(__xludf.DUMMYFUNCTION("""COMPUTED_VALUE"""),"Dubai")</f>
        <v>Dubai</v>
      </c>
      <c r="B15411" s="2" t="str">
        <f ca="1">IFERROR(__xludf.DUMMYFUNCTION("""COMPUTED_VALUE"""),"City Walk Crestlane 2")</f>
        <v>City Walk Crestlane 2</v>
      </c>
      <c r="C15411" s="2" t="str">
        <f ca="1">IFERROR(__xludf.DUMMYFUNCTION("""COMPUTED_VALUE"""),"Cluster")</f>
        <v>Cluster</v>
      </c>
      <c r="D15411" s="2" t="str">
        <f ca="1">IFERROR(__xludf.DUMMYFUNCTION("""COMPUTED_VALUE"""),"Dubai&gt;Al Wasl&gt;City Walk&gt;City Walk Crestlane 2")</f>
        <v>Dubai&gt;Al Wasl&gt;City Walk&gt;City Walk Crestlane 2</v>
      </c>
      <c r="E15411" s="2"/>
      <c r="F15411" s="2"/>
      <c r="G15411" s="2"/>
      <c r="H15411" s="2"/>
      <c r="I15411" s="2"/>
      <c r="J15411" s="2"/>
      <c r="K15411" s="2"/>
      <c r="L15411" s="2"/>
      <c r="M15411" s="2"/>
      <c r="N15411" s="2"/>
      <c r="O15411" s="2"/>
      <c r="P15411" s="2"/>
      <c r="Q15411" s="2"/>
      <c r="R15411" s="2"/>
      <c r="S15411" s="2"/>
      <c r="T15411" s="2"/>
      <c r="U15411" s="2"/>
      <c r="V15411" s="2"/>
      <c r="W15411" s="2"/>
      <c r="X15411" s="2"/>
      <c r="Y15411" s="2"/>
      <c r="Z15411" s="2"/>
    </row>
    <row r="15412" spans="1:26" ht="16.5" x14ac:dyDescent="0.35">
      <c r="A15412" s="2" t="str">
        <f ca="1">IFERROR(__xludf.DUMMYFUNCTION("""COMPUTED_VALUE"""),"Dubai")</f>
        <v>Dubai</v>
      </c>
      <c r="B15412" s="2" t="str">
        <f ca="1">IFERROR(__xludf.DUMMYFUNCTION("""COMPUTED_VALUE"""),"Canal House")</f>
        <v>Canal House</v>
      </c>
      <c r="C15412" s="2" t="str">
        <f ca="1">IFERROR(__xludf.DUMMYFUNCTION("""COMPUTED_VALUE"""),"Building")</f>
        <v>Building</v>
      </c>
      <c r="D15412" s="2" t="str">
        <f ca="1">IFERROR(__xludf.DUMMYFUNCTION("""COMPUTED_VALUE"""),"Dubai&gt;Al Wasl&gt;Canal House")</f>
        <v>Dubai&gt;Al Wasl&gt;Canal House</v>
      </c>
      <c r="E15412" s="2"/>
      <c r="F15412" s="2"/>
      <c r="G15412" s="2"/>
      <c r="H15412" s="2"/>
      <c r="I15412" s="2"/>
      <c r="J15412" s="2"/>
      <c r="K15412" s="2"/>
      <c r="L15412" s="2"/>
      <c r="M15412" s="2"/>
      <c r="N15412" s="2"/>
      <c r="O15412" s="2"/>
      <c r="P15412" s="2"/>
      <c r="Q15412" s="2"/>
      <c r="R15412" s="2"/>
      <c r="S15412" s="2"/>
      <c r="T15412" s="2"/>
      <c r="U15412" s="2"/>
      <c r="V15412" s="2"/>
      <c r="W15412" s="2"/>
      <c r="X15412" s="2"/>
      <c r="Y15412" s="2"/>
      <c r="Z15412" s="2"/>
    </row>
    <row r="15413" spans="1:26" ht="16.5" x14ac:dyDescent="0.35">
      <c r="A15413" s="2" t="str">
        <f ca="1">IFERROR(__xludf.DUMMYFUNCTION("""COMPUTED_VALUE"""),"Dubai")</f>
        <v>Dubai</v>
      </c>
      <c r="B15413" s="2" t="str">
        <f ca="1">IFERROR(__xludf.DUMMYFUNCTION("""COMPUTED_VALUE"""),"Vincitore Boulevard C")</f>
        <v>Vincitore Boulevard C</v>
      </c>
      <c r="C15413" s="2" t="str">
        <f ca="1">IFERROR(__xludf.DUMMYFUNCTION("""COMPUTED_VALUE"""),"Building")</f>
        <v>Building</v>
      </c>
      <c r="D15413" s="2" t="str">
        <f ca="1">IFERROR(__xludf.DUMMYFUNCTION("""COMPUTED_VALUE"""),"Dubai&gt;Arjan&gt;Vincitore Boulevard&gt;Vincitore Boulevard C")</f>
        <v>Dubai&gt;Arjan&gt;Vincitore Boulevard&gt;Vincitore Boulevard C</v>
      </c>
      <c r="E15413" s="2"/>
      <c r="F15413" s="2"/>
      <c r="G15413" s="2"/>
      <c r="H15413" s="2"/>
      <c r="I15413" s="2"/>
      <c r="J15413" s="2"/>
      <c r="K15413" s="2"/>
      <c r="L15413" s="2"/>
      <c r="M15413" s="2"/>
      <c r="N15413" s="2"/>
      <c r="O15413" s="2"/>
      <c r="P15413" s="2"/>
      <c r="Q15413" s="2"/>
      <c r="R15413" s="2"/>
      <c r="S15413" s="2"/>
      <c r="T15413" s="2"/>
      <c r="U15413" s="2"/>
      <c r="V15413" s="2"/>
      <c r="W15413" s="2"/>
      <c r="X15413" s="2"/>
      <c r="Y15413" s="2"/>
      <c r="Z15413" s="2"/>
    </row>
    <row r="15414" spans="1:26" ht="16.5" x14ac:dyDescent="0.35">
      <c r="A15414" s="2" t="str">
        <f ca="1">IFERROR(__xludf.DUMMYFUNCTION("""COMPUTED_VALUE"""),"Dubai")</f>
        <v>Dubai</v>
      </c>
      <c r="B15414" s="2" t="str">
        <f ca="1">IFERROR(__xludf.DUMMYFUNCTION("""COMPUTED_VALUE"""),"Al Ghaf 1 Residence")</f>
        <v>Al Ghaf 1 Residence</v>
      </c>
      <c r="C15414" s="2" t="str">
        <f ca="1">IFERROR(__xludf.DUMMYFUNCTION("""COMPUTED_VALUE"""),"Building")</f>
        <v>Building</v>
      </c>
      <c r="D15414" s="2" t="str">
        <f ca="1">IFERROR(__xludf.DUMMYFUNCTION("""COMPUTED_VALUE"""),"Dubai&gt;Arjan&gt;Al Ghaf 1 Residence")</f>
        <v>Dubai&gt;Arjan&gt;Al Ghaf 1 Residence</v>
      </c>
      <c r="E15414" s="2"/>
      <c r="F15414" s="2"/>
      <c r="G15414" s="2"/>
      <c r="H15414" s="2"/>
      <c r="I15414" s="2"/>
      <c r="J15414" s="2"/>
      <c r="K15414" s="2"/>
      <c r="L15414" s="2"/>
      <c r="M15414" s="2"/>
      <c r="N15414" s="2"/>
      <c r="O15414" s="2"/>
      <c r="P15414" s="2"/>
      <c r="Q15414" s="2"/>
      <c r="R15414" s="2"/>
      <c r="S15414" s="2"/>
      <c r="T15414" s="2"/>
      <c r="U15414" s="2"/>
      <c r="V15414" s="2"/>
      <c r="W15414" s="2"/>
      <c r="X15414" s="2"/>
      <c r="Y15414" s="2"/>
      <c r="Z15414" s="2"/>
    </row>
    <row r="15415" spans="1:26" ht="16.5" x14ac:dyDescent="0.35">
      <c r="A15415" s="2" t="str">
        <f ca="1">IFERROR(__xludf.DUMMYFUNCTION("""COMPUTED_VALUE"""),"Dubai")</f>
        <v>Dubai</v>
      </c>
      <c r="B15415" s="2" t="str">
        <f ca="1">IFERROR(__xludf.DUMMYFUNCTION("""COMPUTED_VALUE"""),"Jewelz by Danube")</f>
        <v>Jewelz by Danube</v>
      </c>
      <c r="C15415" s="2" t="str">
        <f ca="1">IFERROR(__xludf.DUMMYFUNCTION("""COMPUTED_VALUE"""),"Building")</f>
        <v>Building</v>
      </c>
      <c r="D15415" s="2" t="str">
        <f ca="1">IFERROR(__xludf.DUMMYFUNCTION("""COMPUTED_VALUE"""),"Dubai&gt;Arjan&gt;Jewelz by Danube")</f>
        <v>Dubai&gt;Arjan&gt;Jewelz by Danube</v>
      </c>
      <c r="E15415" s="2"/>
      <c r="F15415" s="2"/>
      <c r="G15415" s="2"/>
      <c r="H15415" s="2"/>
      <c r="I15415" s="2"/>
      <c r="J15415" s="2"/>
      <c r="K15415" s="2"/>
      <c r="L15415" s="2"/>
      <c r="M15415" s="2"/>
      <c r="N15415" s="2"/>
      <c r="O15415" s="2"/>
      <c r="P15415" s="2"/>
      <c r="Q15415" s="2"/>
      <c r="R15415" s="2"/>
      <c r="S15415" s="2"/>
      <c r="T15415" s="2"/>
      <c r="U15415" s="2"/>
      <c r="V15415" s="2"/>
      <c r="W15415" s="2"/>
      <c r="X15415" s="2"/>
      <c r="Y15415" s="2"/>
      <c r="Z15415" s="2"/>
    </row>
    <row r="15416" spans="1:26" ht="16.5" x14ac:dyDescent="0.35">
      <c r="A15416" s="2" t="str">
        <f ca="1">IFERROR(__xludf.DUMMYFUNCTION("""COMPUTED_VALUE"""),"Dubai")</f>
        <v>Dubai</v>
      </c>
      <c r="B15416" s="2" t="str">
        <f ca="1">IFERROR(__xludf.DUMMYFUNCTION("""COMPUTED_VALUE"""),"Torino by ORO24 Building 6")</f>
        <v>Torino by ORO24 Building 6</v>
      </c>
      <c r="C15416" s="2" t="str">
        <f ca="1">IFERROR(__xludf.DUMMYFUNCTION("""COMPUTED_VALUE"""),"Building")</f>
        <v>Building</v>
      </c>
      <c r="D15416" s="2" t="str">
        <f ca="1">IFERROR(__xludf.DUMMYFUNCTION("""COMPUTED_VALUE"""),"Dubai&gt;Arjan&gt;Torino by ORO24&gt;Torino by ORO24 Building 6")</f>
        <v>Dubai&gt;Arjan&gt;Torino by ORO24&gt;Torino by ORO24 Building 6</v>
      </c>
      <c r="E15416" s="2"/>
      <c r="F15416" s="2"/>
      <c r="G15416" s="2"/>
      <c r="H15416" s="2"/>
      <c r="I15416" s="2"/>
      <c r="J15416" s="2"/>
      <c r="K15416" s="2"/>
      <c r="L15416" s="2"/>
      <c r="M15416" s="2"/>
      <c r="N15416" s="2"/>
      <c r="O15416" s="2"/>
      <c r="P15416" s="2"/>
      <c r="Q15416" s="2"/>
      <c r="R15416" s="2"/>
      <c r="S15416" s="2"/>
      <c r="T15416" s="2"/>
      <c r="U15416" s="2"/>
      <c r="V15416" s="2"/>
      <c r="W15416" s="2"/>
      <c r="X15416" s="2"/>
      <c r="Y15416" s="2"/>
      <c r="Z15416" s="2"/>
    </row>
    <row r="15417" spans="1:26" ht="16.5" x14ac:dyDescent="0.35">
      <c r="A15417" s="2" t="str">
        <f ca="1">IFERROR(__xludf.DUMMYFUNCTION("""COMPUTED_VALUE"""),"Dubai")</f>
        <v>Dubai</v>
      </c>
      <c r="B15417" s="2" t="str">
        <f ca="1">IFERROR(__xludf.DUMMYFUNCTION("""COMPUTED_VALUE"""),"Al Faris Building")</f>
        <v>Al Faris Building</v>
      </c>
      <c r="C15417" s="2" t="str">
        <f ca="1">IFERROR(__xludf.DUMMYFUNCTION("""COMPUTED_VALUE"""),"Building")</f>
        <v>Building</v>
      </c>
      <c r="D15417" s="2" t="str">
        <f ca="1">IFERROR(__xludf.DUMMYFUNCTION("""COMPUTED_VALUE"""),"Dubai&gt;Arjan&gt;Al Faris Building")</f>
        <v>Dubai&gt;Arjan&gt;Al Faris Building</v>
      </c>
      <c r="E15417" s="2"/>
      <c r="F15417" s="2"/>
      <c r="G15417" s="2"/>
      <c r="H15417" s="2"/>
      <c r="I15417" s="2"/>
      <c r="J15417" s="2"/>
      <c r="K15417" s="2"/>
      <c r="L15417" s="2"/>
      <c r="M15417" s="2"/>
      <c r="N15417" s="2"/>
      <c r="O15417" s="2"/>
      <c r="P15417" s="2"/>
      <c r="Q15417" s="2"/>
      <c r="R15417" s="2"/>
      <c r="S15417" s="2"/>
      <c r="T15417" s="2"/>
      <c r="U15417" s="2"/>
      <c r="V15417" s="2"/>
      <c r="W15417" s="2"/>
      <c r="X15417" s="2"/>
      <c r="Y15417" s="2"/>
      <c r="Z15417" s="2"/>
    </row>
    <row r="15418" spans="1:26" ht="16.5" x14ac:dyDescent="0.35">
      <c r="A15418" s="2" t="str">
        <f ca="1">IFERROR(__xludf.DUMMYFUNCTION("""COMPUTED_VALUE"""),"Dubai")</f>
        <v>Dubai</v>
      </c>
      <c r="B15418" s="2" t="str">
        <f ca="1">IFERROR(__xludf.DUMMYFUNCTION("""COMPUTED_VALUE"""),"Arjan Seven B3")</f>
        <v>Arjan Seven B3</v>
      </c>
      <c r="C15418" s="2" t="str">
        <f ca="1">IFERROR(__xludf.DUMMYFUNCTION("""COMPUTED_VALUE"""),"Building")</f>
        <v>Building</v>
      </c>
      <c r="D15418" s="2" t="str">
        <f ca="1">IFERROR(__xludf.DUMMYFUNCTION("""COMPUTED_VALUE"""),"Dubai&gt;Arjan&gt;Arjan Seven&gt;Arjan Seven B3")</f>
        <v>Dubai&gt;Arjan&gt;Arjan Seven&gt;Arjan Seven B3</v>
      </c>
      <c r="E15418" s="2"/>
      <c r="F15418" s="2"/>
      <c r="G15418" s="2"/>
      <c r="H15418" s="2"/>
      <c r="I15418" s="2"/>
      <c r="J15418" s="2"/>
      <c r="K15418" s="2"/>
      <c r="L15418" s="2"/>
      <c r="M15418" s="2"/>
      <c r="N15418" s="2"/>
      <c r="O15418" s="2"/>
      <c r="P15418" s="2"/>
      <c r="Q15418" s="2"/>
      <c r="R15418" s="2"/>
      <c r="S15418" s="2"/>
      <c r="T15418" s="2"/>
      <c r="U15418" s="2"/>
      <c r="V15418" s="2"/>
      <c r="W15418" s="2"/>
      <c r="X15418" s="2"/>
      <c r="Y15418" s="2"/>
      <c r="Z15418" s="2"/>
    </row>
    <row r="15419" spans="1:26" ht="16.5" x14ac:dyDescent="0.35">
      <c r="A15419" s="2" t="str">
        <f ca="1">IFERROR(__xludf.DUMMYFUNCTION("""COMPUTED_VALUE"""),"Dubai")</f>
        <v>Dubai</v>
      </c>
      <c r="B15419" s="2" t="str">
        <f ca="1">IFERROR(__xludf.DUMMYFUNCTION("""COMPUTED_VALUE"""),"Al Bahari 15 Building")</f>
        <v>Al Bahari 15 Building</v>
      </c>
      <c r="C15419" s="2" t="str">
        <f ca="1">IFERROR(__xludf.DUMMYFUNCTION("""COMPUTED_VALUE"""),"Building")</f>
        <v>Building</v>
      </c>
      <c r="D15419" s="2" t="str">
        <f ca="1">IFERROR(__xludf.DUMMYFUNCTION("""COMPUTED_VALUE"""),"Dubai&gt;Arjan&gt;Al Bahari 15 Building")</f>
        <v>Dubai&gt;Arjan&gt;Al Bahari 15 Building</v>
      </c>
      <c r="E15419" s="2"/>
      <c r="F15419" s="2"/>
      <c r="G15419" s="2"/>
      <c r="H15419" s="2"/>
      <c r="I15419" s="2"/>
      <c r="J15419" s="2"/>
      <c r="K15419" s="2"/>
      <c r="L15419" s="2"/>
      <c r="M15419" s="2"/>
      <c r="N15419" s="2"/>
      <c r="O15419" s="2"/>
      <c r="P15419" s="2"/>
      <c r="Q15419" s="2"/>
      <c r="R15419" s="2"/>
      <c r="S15419" s="2"/>
      <c r="T15419" s="2"/>
      <c r="U15419" s="2"/>
      <c r="V15419" s="2"/>
      <c r="W15419" s="2"/>
      <c r="X15419" s="2"/>
      <c r="Y15419" s="2"/>
      <c r="Z15419" s="2"/>
    </row>
    <row r="15420" spans="1:26" ht="16.5" x14ac:dyDescent="0.35">
      <c r="A15420" s="2" t="str">
        <f ca="1">IFERROR(__xludf.DUMMYFUNCTION("""COMPUTED_VALUE"""),"Dubai")</f>
        <v>Dubai</v>
      </c>
      <c r="B15420" s="2" t="str">
        <f ca="1">IFERROR(__xludf.DUMMYFUNCTION("""COMPUTED_VALUE"""),"The Loft Office 2")</f>
        <v>The Loft Office 2</v>
      </c>
      <c r="C15420" s="2" t="str">
        <f ca="1">IFERROR(__xludf.DUMMYFUNCTION("""COMPUTED_VALUE"""),"Building")</f>
        <v>Building</v>
      </c>
      <c r="D15420" s="2" t="str">
        <f ca="1">IFERROR(__xludf.DUMMYFUNCTION("""COMPUTED_VALUE"""),"Dubai&gt;Dubai Media City&gt;The Loft Offices&gt;The Loft Office 2")</f>
        <v>Dubai&gt;Dubai Media City&gt;The Loft Offices&gt;The Loft Office 2</v>
      </c>
      <c r="E15420" s="2"/>
      <c r="F15420" s="2"/>
      <c r="G15420" s="2"/>
      <c r="H15420" s="2"/>
      <c r="I15420" s="2"/>
      <c r="J15420" s="2"/>
      <c r="K15420" s="2"/>
      <c r="L15420" s="2"/>
      <c r="M15420" s="2"/>
      <c r="N15420" s="2"/>
      <c r="O15420" s="2"/>
      <c r="P15420" s="2"/>
      <c r="Q15420" s="2"/>
      <c r="R15420" s="2"/>
      <c r="S15420" s="2"/>
      <c r="T15420" s="2"/>
      <c r="U15420" s="2"/>
      <c r="V15420" s="2"/>
      <c r="W15420" s="2"/>
      <c r="X15420" s="2"/>
      <c r="Y15420" s="2"/>
      <c r="Z15420" s="2"/>
    </row>
    <row r="15421" spans="1:26" ht="16.5" x14ac:dyDescent="0.35">
      <c r="A15421" s="2" t="str">
        <f ca="1">IFERROR(__xludf.DUMMYFUNCTION("""COMPUTED_VALUE"""),"Abu Dhabi")</f>
        <v>Abu Dhabi</v>
      </c>
      <c r="B15421" s="2" t="str">
        <f ca="1">IFERROR(__xludf.DUMMYFUNCTION("""COMPUTED_VALUE"""),"Power House Villas")</f>
        <v>Power House Villas</v>
      </c>
      <c r="C15421" s="2"/>
      <c r="D15421" s="2" t="str">
        <f ca="1">IFERROR(__xludf.DUMMYFUNCTION("""COMPUTED_VALUE"""),"Abu Dhabi&gt;Al Dhafrah&gt;Power House Villas")</f>
        <v>Abu Dhabi&gt;Al Dhafrah&gt;Power House Villas</v>
      </c>
      <c r="E15421" s="2"/>
      <c r="F15421" s="2"/>
      <c r="G15421" s="2"/>
      <c r="H15421" s="2"/>
      <c r="I15421" s="2"/>
      <c r="J15421" s="2"/>
      <c r="K15421" s="2"/>
      <c r="L15421" s="2"/>
      <c r="M15421" s="2"/>
      <c r="N15421" s="2"/>
      <c r="O15421" s="2"/>
      <c r="P15421" s="2"/>
      <c r="Q15421" s="2"/>
      <c r="R15421" s="2"/>
      <c r="S15421" s="2"/>
      <c r="T15421" s="2"/>
      <c r="U15421" s="2"/>
      <c r="V15421" s="2"/>
      <c r="W15421" s="2"/>
      <c r="X15421" s="2"/>
      <c r="Y15421" s="2"/>
      <c r="Z15421" s="2"/>
    </row>
    <row r="15422" spans="1:26" ht="16.5" x14ac:dyDescent="0.35">
      <c r="A15422" s="2" t="str">
        <f ca="1">IFERROR(__xludf.DUMMYFUNCTION("""COMPUTED_VALUE"""),"Abu Dhabi")</f>
        <v>Abu Dhabi</v>
      </c>
      <c r="B15422" s="2" t="str">
        <f ca="1">IFERROR(__xludf.DUMMYFUNCTION("""COMPUTED_VALUE"""),"British Orchard Nursery Al Bateen")</f>
        <v>British Orchard Nursery Al Bateen</v>
      </c>
      <c r="C15422" s="2" t="str">
        <f ca="1">IFERROR(__xludf.DUMMYFUNCTION("""COMPUTED_VALUE"""),"Nursery")</f>
        <v>Nursery</v>
      </c>
      <c r="D15422" s="2" t="str">
        <f ca="1">IFERROR(__xludf.DUMMYFUNCTION("""COMPUTED_VALUE"""),"Abu Dhabi&gt;Al Bateen&gt;British Orchard Nursery Al Bateen")</f>
        <v>Abu Dhabi&gt;Al Bateen&gt;British Orchard Nursery Al Bateen</v>
      </c>
      <c r="E15422" s="2"/>
      <c r="F15422" s="2"/>
      <c r="G15422" s="2"/>
      <c r="H15422" s="2"/>
      <c r="I15422" s="2"/>
      <c r="J15422" s="2"/>
      <c r="K15422" s="2"/>
      <c r="L15422" s="2"/>
      <c r="M15422" s="2"/>
      <c r="N15422" s="2"/>
      <c r="O15422" s="2"/>
      <c r="P15422" s="2"/>
      <c r="Q15422" s="2"/>
      <c r="R15422" s="2"/>
      <c r="S15422" s="2"/>
      <c r="T15422" s="2"/>
      <c r="U15422" s="2"/>
      <c r="V15422" s="2"/>
      <c r="W15422" s="2"/>
      <c r="X15422" s="2"/>
      <c r="Y15422" s="2"/>
      <c r="Z15422" s="2"/>
    </row>
    <row r="15423" spans="1:26" ht="16.5" x14ac:dyDescent="0.35">
      <c r="A15423" s="2" t="str">
        <f ca="1">IFERROR(__xludf.DUMMYFUNCTION("""COMPUTED_VALUE"""),"Abu Dhabi")</f>
        <v>Abu Dhabi</v>
      </c>
      <c r="B15423" s="2" t="str">
        <f ca="1">IFERROR(__xludf.DUMMYFUNCTION("""COMPUTED_VALUE"""),"Fotouh Al Khair")</f>
        <v>Fotouh Al Khair</v>
      </c>
      <c r="C15423" s="2"/>
      <c r="D15423" s="2" t="str">
        <f ca="1">IFERROR(__xludf.DUMMYFUNCTION("""COMPUTED_VALUE"""),"Abu Dhabi&gt;Airport Street&gt;Fotouh Al Khair")</f>
        <v>Abu Dhabi&gt;Airport Street&gt;Fotouh Al Khair</v>
      </c>
      <c r="E15423" s="2"/>
      <c r="F15423" s="2"/>
      <c r="G15423" s="2"/>
      <c r="H15423" s="2"/>
      <c r="I15423" s="2"/>
      <c r="J15423" s="2"/>
      <c r="K15423" s="2"/>
      <c r="L15423" s="2"/>
      <c r="M15423" s="2"/>
      <c r="N15423" s="2"/>
      <c r="O15423" s="2"/>
      <c r="P15423" s="2"/>
      <c r="Q15423" s="2"/>
      <c r="R15423" s="2"/>
      <c r="S15423" s="2"/>
      <c r="T15423" s="2"/>
      <c r="U15423" s="2"/>
      <c r="V15423" s="2"/>
      <c r="W15423" s="2"/>
      <c r="X15423" s="2"/>
      <c r="Y15423" s="2"/>
      <c r="Z15423" s="2"/>
    </row>
    <row r="15424" spans="1:26" ht="16.5" x14ac:dyDescent="0.35">
      <c r="A15424" s="2" t="str">
        <f ca="1">IFERROR(__xludf.DUMMYFUNCTION("""COMPUTED_VALUE"""),"Abu Dhabi")</f>
        <v>Abu Dhabi</v>
      </c>
      <c r="B15424" s="2" t="str">
        <f ca="1">IFERROR(__xludf.DUMMYFUNCTION("""COMPUTED_VALUE"""),"Waterfront Residential Towers")</f>
        <v>Waterfront Residential Towers</v>
      </c>
      <c r="C15424" s="2" t="str">
        <f ca="1">IFERROR(__xludf.DUMMYFUNCTION("""COMPUTED_VALUE"""),"Cluster")</f>
        <v>Cluster</v>
      </c>
      <c r="D15424" s="2" t="str">
        <f ca="1">IFERROR(__xludf.DUMMYFUNCTION("""COMPUTED_VALUE"""),"Abu Dhabi&gt;Tourist Club Area (TCA)&gt;Waterfront Residential Towers")</f>
        <v>Abu Dhabi&gt;Tourist Club Area (TCA)&gt;Waterfront Residential Towers</v>
      </c>
      <c r="E15424" s="2"/>
      <c r="F15424" s="2"/>
      <c r="G15424" s="2"/>
      <c r="H15424" s="2"/>
      <c r="I15424" s="2"/>
      <c r="J15424" s="2"/>
      <c r="K15424" s="2"/>
      <c r="L15424" s="2"/>
      <c r="M15424" s="2"/>
      <c r="N15424" s="2"/>
      <c r="O15424" s="2"/>
      <c r="P15424" s="2"/>
      <c r="Q15424" s="2"/>
      <c r="R15424" s="2"/>
      <c r="S15424" s="2"/>
      <c r="T15424" s="2"/>
      <c r="U15424" s="2"/>
      <c r="V15424" s="2"/>
      <c r="W15424" s="2"/>
      <c r="X15424" s="2"/>
      <c r="Y15424" s="2"/>
      <c r="Z15424" s="2"/>
    </row>
    <row r="15425" spans="1:26" ht="16.5" x14ac:dyDescent="0.35">
      <c r="A15425" s="2" t="str">
        <f ca="1">IFERROR(__xludf.DUMMYFUNCTION("""COMPUTED_VALUE"""),"Abu Dhabi")</f>
        <v>Abu Dhabi</v>
      </c>
      <c r="B15425" s="2" t="str">
        <f ca="1">IFERROR(__xludf.DUMMYFUNCTION("""COMPUTED_VALUE"""),"British School Al Khubairat")</f>
        <v>British School Al Khubairat</v>
      </c>
      <c r="C15425" s="2" t="str">
        <f ca="1">IFERROR(__xludf.DUMMYFUNCTION("""COMPUTED_VALUE"""),"School")</f>
        <v>School</v>
      </c>
      <c r="D15425" s="2" t="str">
        <f ca="1">IFERROR(__xludf.DUMMYFUNCTION("""COMPUTED_VALUE"""),"Abu Dhabi&gt;Al Mushrif&gt;British School Al Khubairat")</f>
        <v>Abu Dhabi&gt;Al Mushrif&gt;British School Al Khubairat</v>
      </c>
      <c r="E15425" s="2"/>
      <c r="F15425" s="2"/>
      <c r="G15425" s="2"/>
      <c r="H15425" s="2"/>
      <c r="I15425" s="2"/>
      <c r="J15425" s="2"/>
      <c r="K15425" s="2"/>
      <c r="L15425" s="2"/>
      <c r="M15425" s="2"/>
      <c r="N15425" s="2"/>
      <c r="O15425" s="2"/>
      <c r="P15425" s="2"/>
      <c r="Q15425" s="2"/>
      <c r="R15425" s="2"/>
      <c r="S15425" s="2"/>
      <c r="T15425" s="2"/>
      <c r="U15425" s="2"/>
      <c r="V15425" s="2"/>
      <c r="W15425" s="2"/>
      <c r="X15425" s="2"/>
      <c r="Y15425" s="2"/>
      <c r="Z15425" s="2"/>
    </row>
    <row r="15426" spans="1:26" ht="16.5" x14ac:dyDescent="0.35">
      <c r="A15426" s="2" t="str">
        <f ca="1">IFERROR(__xludf.DUMMYFUNCTION("""COMPUTED_VALUE"""),"Abu Dhabi")</f>
        <v>Abu Dhabi</v>
      </c>
      <c r="B15426" s="2" t="str">
        <f ca="1">IFERROR(__xludf.DUMMYFUNCTION("""COMPUTED_VALUE"""),"Ohana by The Sea")</f>
        <v>Ohana by The Sea</v>
      </c>
      <c r="C15426" s="2" t="str">
        <f ca="1">IFERROR(__xludf.DUMMYFUNCTION("""COMPUTED_VALUE"""),"Neighbourhood")</f>
        <v>Neighbourhood</v>
      </c>
      <c r="D15426" s="2" t="str">
        <f ca="1">IFERROR(__xludf.DUMMYFUNCTION("""COMPUTED_VALUE"""),"Abu Dhabi&gt;Al Jurf&gt;Ohana by The Sea")</f>
        <v>Abu Dhabi&gt;Al Jurf&gt;Ohana by The Sea</v>
      </c>
      <c r="E15426" s="2"/>
      <c r="F15426" s="2"/>
      <c r="G15426" s="2"/>
      <c r="H15426" s="2"/>
      <c r="I15426" s="2"/>
      <c r="J15426" s="2"/>
      <c r="K15426" s="2"/>
      <c r="L15426" s="2"/>
      <c r="M15426" s="2"/>
      <c r="N15426" s="2"/>
      <c r="O15426" s="2"/>
      <c r="P15426" s="2"/>
      <c r="Q15426" s="2"/>
      <c r="R15426" s="2"/>
      <c r="S15426" s="2"/>
      <c r="T15426" s="2"/>
      <c r="U15426" s="2"/>
      <c r="V15426" s="2"/>
      <c r="W15426" s="2"/>
      <c r="X15426" s="2"/>
      <c r="Y15426" s="2"/>
      <c r="Z15426" s="2"/>
    </row>
    <row r="15427" spans="1:26" ht="16.5" x14ac:dyDescent="0.35">
      <c r="A15427" s="2" t="str">
        <f ca="1">IFERROR(__xludf.DUMMYFUNCTION("""COMPUTED_VALUE"""),"Abu Dhabi")</f>
        <v>Abu Dhabi</v>
      </c>
      <c r="B15427" s="2" t="str">
        <f ca="1">IFERROR(__xludf.DUMMYFUNCTION("""COMPUTED_VALUE"""),"Al Maha Building")</f>
        <v>Al Maha Building</v>
      </c>
      <c r="C15427" s="2" t="str">
        <f ca="1">IFERROR(__xludf.DUMMYFUNCTION("""COMPUTED_VALUE"""),"Building")</f>
        <v>Building</v>
      </c>
      <c r="D15427" s="2" t="str">
        <f ca="1">IFERROR(__xludf.DUMMYFUNCTION("""COMPUTED_VALUE"""),"Abu Dhabi&gt;Al Rehhan&gt;Al Maha Building")</f>
        <v>Abu Dhabi&gt;Al Rehhan&gt;Al Maha Building</v>
      </c>
      <c r="E15427" s="2"/>
      <c r="F15427" s="2"/>
      <c r="G15427" s="2"/>
      <c r="H15427" s="2"/>
      <c r="I15427" s="2"/>
      <c r="J15427" s="2"/>
      <c r="K15427" s="2"/>
      <c r="L15427" s="2"/>
      <c r="M15427" s="2"/>
      <c r="N15427" s="2"/>
      <c r="O15427" s="2"/>
      <c r="P15427" s="2"/>
      <c r="Q15427" s="2"/>
      <c r="R15427" s="2"/>
      <c r="S15427" s="2"/>
      <c r="T15427" s="2"/>
      <c r="U15427" s="2"/>
      <c r="V15427" s="2"/>
      <c r="W15427" s="2"/>
      <c r="X15427" s="2"/>
      <c r="Y15427" s="2"/>
      <c r="Z15427" s="2"/>
    </row>
    <row r="15428" spans="1:26" ht="16.5" x14ac:dyDescent="0.35">
      <c r="A15428" s="2" t="str">
        <f ca="1">IFERROR(__xludf.DUMMYFUNCTION("""COMPUTED_VALUE"""),"Abu Dhabi")</f>
        <v>Abu Dhabi</v>
      </c>
      <c r="B15428" s="2" t="str">
        <f ca="1">IFERROR(__xludf.DUMMYFUNCTION("""COMPUTED_VALUE"""),"Accelerator Building")</f>
        <v>Accelerator Building</v>
      </c>
      <c r="C15428" s="2" t="str">
        <f ca="1">IFERROR(__xludf.DUMMYFUNCTION("""COMPUTED_VALUE"""),"Building")</f>
        <v>Building</v>
      </c>
      <c r="D15428" s="2" t="str">
        <f ca="1">IFERROR(__xludf.DUMMYFUNCTION("""COMPUTED_VALUE"""),"Abu Dhabi&gt;Masdar City&gt;Accelerator Building")</f>
        <v>Abu Dhabi&gt;Masdar City&gt;Accelerator Building</v>
      </c>
      <c r="E15428" s="2"/>
      <c r="F15428" s="2"/>
      <c r="G15428" s="2"/>
      <c r="H15428" s="2"/>
      <c r="I15428" s="2"/>
      <c r="J15428" s="2"/>
      <c r="K15428" s="2"/>
      <c r="L15428" s="2"/>
      <c r="M15428" s="2"/>
      <c r="N15428" s="2"/>
      <c r="O15428" s="2"/>
      <c r="P15428" s="2"/>
      <c r="Q15428" s="2"/>
      <c r="R15428" s="2"/>
      <c r="S15428" s="2"/>
      <c r="T15428" s="2"/>
      <c r="U15428" s="2"/>
      <c r="V15428" s="2"/>
      <c r="W15428" s="2"/>
      <c r="X15428" s="2"/>
      <c r="Y15428" s="2"/>
      <c r="Z15428" s="2"/>
    </row>
    <row r="15429" spans="1:26" ht="16.5" x14ac:dyDescent="0.35">
      <c r="A15429" s="2" t="str">
        <f ca="1">IFERROR(__xludf.DUMMYFUNCTION("""COMPUTED_VALUE"""),"Abu Dhabi")</f>
        <v>Abu Dhabi</v>
      </c>
      <c r="B15429" s="2" t="str">
        <f ca="1">IFERROR(__xludf.DUMMYFUNCTION("""COMPUTED_VALUE"""),"Maple Bear Nursery ITC")</f>
        <v>Maple Bear Nursery ITC</v>
      </c>
      <c r="C15429" s="2" t="str">
        <f ca="1">IFERROR(__xludf.DUMMYFUNCTION("""COMPUTED_VALUE"""),"Nursery")</f>
        <v>Nursery</v>
      </c>
      <c r="D15429" s="2" t="str">
        <f ca="1">IFERROR(__xludf.DUMMYFUNCTION("""COMPUTED_VALUE"""),"Abu Dhabi&gt;Between Two Bridges (Bain Al Jessrain)&gt;Maple Bear Nursery ITC")</f>
        <v>Abu Dhabi&gt;Between Two Bridges (Bain Al Jessrain)&gt;Maple Bear Nursery ITC</v>
      </c>
      <c r="E15429" s="2"/>
      <c r="F15429" s="2"/>
      <c r="G15429" s="2"/>
      <c r="H15429" s="2"/>
      <c r="I15429" s="2"/>
      <c r="J15429" s="2"/>
      <c r="K15429" s="2"/>
      <c r="L15429" s="2"/>
      <c r="M15429" s="2"/>
      <c r="N15429" s="2"/>
      <c r="O15429" s="2"/>
      <c r="P15429" s="2"/>
      <c r="Q15429" s="2"/>
      <c r="R15429" s="2"/>
      <c r="S15429" s="2"/>
      <c r="T15429" s="2"/>
      <c r="U15429" s="2"/>
      <c r="V15429" s="2"/>
      <c r="W15429" s="2"/>
      <c r="X15429" s="2"/>
      <c r="Y15429" s="2"/>
      <c r="Z15429" s="2"/>
    </row>
    <row r="15430" spans="1:26" ht="16.5" x14ac:dyDescent="0.35">
      <c r="A15430" s="2" t="str">
        <f ca="1">IFERROR(__xludf.DUMMYFUNCTION("""COMPUTED_VALUE"""),"Abu Dhabi")</f>
        <v>Abu Dhabi</v>
      </c>
      <c r="B15430" s="2" t="str">
        <f ca="1">IFERROR(__xludf.DUMMYFUNCTION("""COMPUTED_VALUE"""),"Maryah Plaza")</f>
        <v>Maryah Plaza</v>
      </c>
      <c r="C15430" s="2" t="str">
        <f ca="1">IFERROR(__xludf.DUMMYFUNCTION("""COMPUTED_VALUE"""),"Building")</f>
        <v>Building</v>
      </c>
      <c r="D15430" s="2" t="str">
        <f ca="1">IFERROR(__xludf.DUMMYFUNCTION("""COMPUTED_VALUE"""),"Abu Dhabi&gt;Al Maryah Island&gt;Maryah Plaza")</f>
        <v>Abu Dhabi&gt;Al Maryah Island&gt;Maryah Plaza</v>
      </c>
      <c r="E15430" s="2"/>
      <c r="F15430" s="2"/>
      <c r="G15430" s="2"/>
      <c r="H15430" s="2"/>
      <c r="I15430" s="2"/>
      <c r="J15430" s="2"/>
      <c r="K15430" s="2"/>
      <c r="L15430" s="2"/>
      <c r="M15430" s="2"/>
      <c r="N15430" s="2"/>
      <c r="O15430" s="2"/>
      <c r="P15430" s="2"/>
      <c r="Q15430" s="2"/>
      <c r="R15430" s="2"/>
      <c r="S15430" s="2"/>
      <c r="T15430" s="2"/>
      <c r="U15430" s="2"/>
      <c r="V15430" s="2"/>
      <c r="W15430" s="2"/>
      <c r="X15430" s="2"/>
      <c r="Y15430" s="2"/>
      <c r="Z15430" s="2"/>
    </row>
    <row r="15431" spans="1:26" ht="16.5" x14ac:dyDescent="0.35">
      <c r="A15431" s="2" t="str">
        <f ca="1">IFERROR(__xludf.DUMMYFUNCTION("""COMPUTED_VALUE"""),"Abu Dhabi")</f>
        <v>Abu Dhabi</v>
      </c>
      <c r="B15431" s="2" t="str">
        <f ca="1">IFERROR(__xludf.DUMMYFUNCTION("""COMPUTED_VALUE"""),"Sheikh Khalifa Bin Zayed Bangladesh Islamia School, Abu Dhabi")</f>
        <v>Sheikh Khalifa Bin Zayed Bangladesh Islamia School, Abu Dhabi</v>
      </c>
      <c r="C15431" s="2" t="str">
        <f ca="1">IFERROR(__xludf.DUMMYFUNCTION("""COMPUTED_VALUE"""),"School")</f>
        <v>School</v>
      </c>
      <c r="D15431" s="2" t="str">
        <f ca="1">IFERROR(__xludf.DUMMYFUNCTION("""COMPUTED_VALUE"""),"Abu Dhabi&gt;Al Matar&gt;Sheikh Khalifa Bin Zayed Bangladesh Islamia School, Abu Dhabi")</f>
        <v>Abu Dhabi&gt;Al Matar&gt;Sheikh Khalifa Bin Zayed Bangladesh Islamia School, Abu Dhabi</v>
      </c>
      <c r="E15431" s="2"/>
      <c r="F15431" s="2"/>
      <c r="G15431" s="2"/>
      <c r="H15431" s="2"/>
      <c r="I15431" s="2"/>
      <c r="J15431" s="2"/>
      <c r="K15431" s="2"/>
      <c r="L15431" s="2"/>
      <c r="M15431" s="2"/>
      <c r="N15431" s="2"/>
      <c r="O15431" s="2"/>
      <c r="P15431" s="2"/>
      <c r="Q15431" s="2"/>
      <c r="R15431" s="2"/>
      <c r="S15431" s="2"/>
      <c r="T15431" s="2"/>
      <c r="U15431" s="2"/>
      <c r="V15431" s="2"/>
      <c r="W15431" s="2"/>
      <c r="X15431" s="2"/>
      <c r="Y15431" s="2"/>
      <c r="Z15431" s="2"/>
    </row>
    <row r="15432" spans="1:26" ht="16.5" x14ac:dyDescent="0.35">
      <c r="A15432" s="2" t="str">
        <f ca="1">IFERROR(__xludf.DUMMYFUNCTION("""COMPUTED_VALUE"""),"Abu Dhabi")</f>
        <v>Abu Dhabi</v>
      </c>
      <c r="B15432" s="2" t="str">
        <f ca="1">IFERROR(__xludf.DUMMYFUNCTION("""COMPUTED_VALUE"""),"MSH13")</f>
        <v>MSH13</v>
      </c>
      <c r="C15432" s="2" t="str">
        <f ca="1">IFERROR(__xludf.DUMMYFUNCTION("""COMPUTED_VALUE"""),"Neighbourhood")</f>
        <v>Neighbourhood</v>
      </c>
      <c r="D15432" s="2" t="str">
        <f ca="1">IFERROR(__xludf.DUMMYFUNCTION("""COMPUTED_VALUE"""),"Abu Dhabi&gt;Shakhbout City&gt;MSH13")</f>
        <v>Abu Dhabi&gt;Shakhbout City&gt;MSH13</v>
      </c>
      <c r="E15432" s="2"/>
      <c r="F15432" s="2"/>
      <c r="G15432" s="2"/>
      <c r="H15432" s="2"/>
      <c r="I15432" s="2"/>
      <c r="J15432" s="2"/>
      <c r="K15432" s="2"/>
      <c r="L15432" s="2"/>
      <c r="M15432" s="2"/>
      <c r="N15432" s="2"/>
      <c r="O15432" s="2"/>
      <c r="P15432" s="2"/>
      <c r="Q15432" s="2"/>
      <c r="R15432" s="2"/>
      <c r="S15432" s="2"/>
      <c r="T15432" s="2"/>
      <c r="U15432" s="2"/>
      <c r="V15432" s="2"/>
      <c r="W15432" s="2"/>
      <c r="X15432" s="2"/>
      <c r="Y15432" s="2"/>
      <c r="Z15432" s="2"/>
    </row>
    <row r="15433" spans="1:26" ht="16.5" x14ac:dyDescent="0.35">
      <c r="A15433" s="2" t="str">
        <f ca="1">IFERROR(__xludf.DUMMYFUNCTION("""COMPUTED_VALUE"""),"Abu Dhabi")</f>
        <v>Abu Dhabi</v>
      </c>
      <c r="B15433" s="2" t="str">
        <f ca="1">IFERROR(__xludf.DUMMYFUNCTION("""COMPUTED_VALUE"""),"Al Sa'adah")</f>
        <v>Al Sa'adah</v>
      </c>
      <c r="C15433" s="2" t="str">
        <f ca="1">IFERROR(__xludf.DUMMYFUNCTION("""COMPUTED_VALUE"""),"Neighbourhood")</f>
        <v>Neighbourhood</v>
      </c>
      <c r="D15433" s="2" t="str">
        <f ca="1">IFERROR(__xludf.DUMMYFUNCTION("""COMPUTED_VALUE"""),"Abu Dhabi&gt;Al Sa'adah")</f>
        <v>Abu Dhabi&gt;Al Sa'adah</v>
      </c>
      <c r="E15433" s="2"/>
      <c r="F15433" s="2"/>
      <c r="G15433" s="2"/>
      <c r="H15433" s="2"/>
      <c r="I15433" s="2"/>
      <c r="J15433" s="2"/>
      <c r="K15433" s="2"/>
      <c r="L15433" s="2"/>
      <c r="M15433" s="2"/>
      <c r="N15433" s="2"/>
      <c r="O15433" s="2"/>
      <c r="P15433" s="2"/>
      <c r="Q15433" s="2"/>
      <c r="R15433" s="2"/>
      <c r="S15433" s="2"/>
      <c r="T15433" s="2"/>
      <c r="U15433" s="2"/>
      <c r="V15433" s="2"/>
      <c r="W15433" s="2"/>
      <c r="X15433" s="2"/>
      <c r="Y15433" s="2"/>
      <c r="Z15433" s="2"/>
    </row>
    <row r="15434" spans="1:26" ht="16.5" x14ac:dyDescent="0.35">
      <c r="A15434" s="2" t="str">
        <f ca="1">IFERROR(__xludf.DUMMYFUNCTION("""COMPUTED_VALUE"""),"Abu Dhabi")</f>
        <v>Abu Dhabi</v>
      </c>
      <c r="B15434" s="2" t="str">
        <f ca="1">IFERROR(__xludf.DUMMYFUNCTION("""COMPUTED_VALUE"""),"New Shahama")</f>
        <v>New Shahama</v>
      </c>
      <c r="C15434" s="2" t="str">
        <f ca="1">IFERROR(__xludf.DUMMYFUNCTION("""COMPUTED_VALUE"""),"Neighbourhood")</f>
        <v>Neighbourhood</v>
      </c>
      <c r="D15434" s="2" t="str">
        <f ca="1">IFERROR(__xludf.DUMMYFUNCTION("""COMPUTED_VALUE"""),"Abu Dhabi&gt;Al Shahama&gt;New Shahama")</f>
        <v>Abu Dhabi&gt;Al Shahama&gt;New Shahama</v>
      </c>
      <c r="E15434" s="2"/>
      <c r="F15434" s="2"/>
      <c r="G15434" s="2"/>
      <c r="H15434" s="2"/>
      <c r="I15434" s="2"/>
      <c r="J15434" s="2"/>
      <c r="K15434" s="2"/>
      <c r="L15434" s="2"/>
      <c r="M15434" s="2"/>
      <c r="N15434" s="2"/>
      <c r="O15434" s="2"/>
      <c r="P15434" s="2"/>
      <c r="Q15434" s="2"/>
      <c r="R15434" s="2"/>
      <c r="S15434" s="2"/>
      <c r="T15434" s="2"/>
      <c r="U15434" s="2"/>
      <c r="V15434" s="2"/>
      <c r="W15434" s="2"/>
      <c r="X15434" s="2"/>
      <c r="Y15434" s="2"/>
      <c r="Z15434" s="2"/>
    </row>
    <row r="15435" spans="1:26" ht="16.5" x14ac:dyDescent="0.35">
      <c r="A15435" s="2" t="str">
        <f ca="1">IFERROR(__xludf.DUMMYFUNCTION("""COMPUTED_VALUE"""),"Abu Dhabi")</f>
        <v>Abu Dhabi</v>
      </c>
      <c r="B15435" s="2" t="str">
        <f ca="1">IFERROR(__xludf.DUMMYFUNCTION("""COMPUTED_VALUE"""),"Al Remah Tower")</f>
        <v>Al Remah Tower</v>
      </c>
      <c r="C15435" s="2" t="str">
        <f ca="1">IFERROR(__xludf.DUMMYFUNCTION("""COMPUTED_VALUE"""),"Building")</f>
        <v>Building</v>
      </c>
      <c r="D15435" s="2" t="str">
        <f ca="1">IFERROR(__xludf.DUMMYFUNCTION("""COMPUTED_VALUE"""),"Abu Dhabi&gt;Al Hisn&gt;Al Remah Tower")</f>
        <v>Abu Dhabi&gt;Al Hisn&gt;Al Remah Tower</v>
      </c>
      <c r="E15435" s="2"/>
      <c r="F15435" s="2"/>
      <c r="G15435" s="2"/>
      <c r="H15435" s="2"/>
      <c r="I15435" s="2"/>
      <c r="J15435" s="2"/>
      <c r="K15435" s="2"/>
      <c r="L15435" s="2"/>
      <c r="M15435" s="2"/>
      <c r="N15435" s="2"/>
      <c r="O15435" s="2"/>
      <c r="P15435" s="2"/>
      <c r="Q15435" s="2"/>
      <c r="R15435" s="2"/>
      <c r="S15435" s="2"/>
      <c r="T15435" s="2"/>
      <c r="U15435" s="2"/>
      <c r="V15435" s="2"/>
      <c r="W15435" s="2"/>
      <c r="X15435" s="2"/>
      <c r="Y15435" s="2"/>
      <c r="Z15435" s="2"/>
    </row>
    <row r="15436" spans="1:26" ht="16.5" x14ac:dyDescent="0.35">
      <c r="A15436" s="2" t="str">
        <f ca="1">IFERROR(__xludf.DUMMYFUNCTION("""COMPUTED_VALUE"""),"Abu Dhabi")</f>
        <v>Abu Dhabi</v>
      </c>
      <c r="B15436" s="2" t="str">
        <f ca="1">IFERROR(__xludf.DUMMYFUNCTION("""COMPUTED_VALUE"""),"Rahbah Q")</f>
        <v>Rahbah Q</v>
      </c>
      <c r="C15436" s="2" t="str">
        <f ca="1">IFERROR(__xludf.DUMMYFUNCTION("""COMPUTED_VALUE"""),"Neighbourhood")</f>
        <v>Neighbourhood</v>
      </c>
      <c r="D15436" s="2" t="str">
        <f ca="1">IFERROR(__xludf.DUMMYFUNCTION("""COMPUTED_VALUE"""),"Abu Dhabi&gt;Al Samha&gt;Rahbah Q")</f>
        <v>Abu Dhabi&gt;Al Samha&gt;Rahbah Q</v>
      </c>
      <c r="E15436" s="2"/>
      <c r="F15436" s="2"/>
      <c r="G15436" s="2"/>
      <c r="H15436" s="2"/>
      <c r="I15436" s="2"/>
      <c r="J15436" s="2"/>
      <c r="K15436" s="2"/>
      <c r="L15436" s="2"/>
      <c r="M15436" s="2"/>
      <c r="N15436" s="2"/>
      <c r="O15436" s="2"/>
      <c r="P15436" s="2"/>
      <c r="Q15436" s="2"/>
      <c r="R15436" s="2"/>
      <c r="S15436" s="2"/>
      <c r="T15436" s="2"/>
      <c r="U15436" s="2"/>
      <c r="V15436" s="2"/>
      <c r="W15436" s="2"/>
      <c r="X15436" s="2"/>
      <c r="Y15436" s="2"/>
      <c r="Z15436" s="2"/>
    </row>
    <row r="15437" spans="1:26" ht="16.5" x14ac:dyDescent="0.35">
      <c r="A15437" s="2" t="str">
        <f ca="1">IFERROR(__xludf.DUMMYFUNCTION("""COMPUTED_VALUE"""),"Abu Dhabi")</f>
        <v>Abu Dhabi</v>
      </c>
      <c r="B15437" s="2" t="str">
        <f ca="1">IFERROR(__xludf.DUMMYFUNCTION("""COMPUTED_VALUE"""),"Fahid Beach Residences Tower B5")</f>
        <v>Fahid Beach Residences Tower B5</v>
      </c>
      <c r="C15437" s="2" t="str">
        <f ca="1">IFERROR(__xludf.DUMMYFUNCTION("""COMPUTED_VALUE"""),"Building")</f>
        <v>Building</v>
      </c>
      <c r="D15437" s="2" t="str">
        <f ca="1">IFERROR(__xludf.DUMMYFUNCTION("""COMPUTED_VALUE"""),"Abu Dhabi&gt;Fahid Island&gt;Fahid Beach Residences&gt;Fahid Beach Residences Tower B5")</f>
        <v>Abu Dhabi&gt;Fahid Island&gt;Fahid Beach Residences&gt;Fahid Beach Residences Tower B5</v>
      </c>
      <c r="E15437" s="2"/>
      <c r="F15437" s="2"/>
      <c r="G15437" s="2"/>
      <c r="H15437" s="2"/>
      <c r="I15437" s="2"/>
      <c r="J15437" s="2"/>
      <c r="K15437" s="2"/>
      <c r="L15437" s="2"/>
      <c r="M15437" s="2"/>
      <c r="N15437" s="2"/>
      <c r="O15437" s="2"/>
      <c r="P15437" s="2"/>
      <c r="Q15437" s="2"/>
      <c r="R15437" s="2"/>
      <c r="S15437" s="2"/>
      <c r="T15437" s="2"/>
      <c r="U15437" s="2"/>
      <c r="V15437" s="2"/>
      <c r="W15437" s="2"/>
      <c r="X15437" s="2"/>
      <c r="Y15437" s="2"/>
      <c r="Z15437" s="2"/>
    </row>
    <row r="15438" spans="1:26" ht="16.5" x14ac:dyDescent="0.35">
      <c r="A15438" s="2" t="str">
        <f ca="1">IFERROR(__xludf.DUMMYFUNCTION("""COMPUTED_VALUE"""),"Abu Dhabi")</f>
        <v>Abu Dhabi</v>
      </c>
      <c r="B15438" s="2" t="str">
        <f ca="1">IFERROR(__xludf.DUMMYFUNCTION("""COMPUTED_VALUE"""),"Burooj Terraces")</f>
        <v>Burooj Terraces</v>
      </c>
      <c r="C15438" s="2" t="str">
        <f ca="1">IFERROR(__xludf.DUMMYFUNCTION("""COMPUTED_VALUE"""),"Building")</f>
        <v>Building</v>
      </c>
      <c r="D15438" s="2" t="str">
        <f ca="1">IFERROR(__xludf.DUMMYFUNCTION("""COMPUTED_VALUE"""),"Abu Dhabi&gt;Al Reem Island&gt;Burooj Terraces")</f>
        <v>Abu Dhabi&gt;Al Reem Island&gt;Burooj Terraces</v>
      </c>
      <c r="E15438" s="2"/>
      <c r="F15438" s="2"/>
      <c r="G15438" s="2"/>
      <c r="H15438" s="2"/>
      <c r="I15438" s="2"/>
      <c r="J15438" s="2"/>
      <c r="K15438" s="2"/>
      <c r="L15438" s="2"/>
      <c r="M15438" s="2"/>
      <c r="N15438" s="2"/>
      <c r="O15438" s="2"/>
      <c r="P15438" s="2"/>
      <c r="Q15438" s="2"/>
      <c r="R15438" s="2"/>
      <c r="S15438" s="2"/>
      <c r="T15438" s="2"/>
      <c r="U15438" s="2"/>
      <c r="V15438" s="2"/>
      <c r="W15438" s="2"/>
      <c r="X15438" s="2"/>
      <c r="Y15438" s="2"/>
      <c r="Z15438" s="2"/>
    </row>
    <row r="15439" spans="1:26" ht="16.5" x14ac:dyDescent="0.35">
      <c r="A15439" s="2" t="str">
        <f ca="1">IFERROR(__xludf.DUMMYFUNCTION("""COMPUTED_VALUE"""),"Abu Dhabi")</f>
        <v>Abu Dhabi</v>
      </c>
      <c r="B15439" s="2" t="str">
        <f ca="1">IFERROR(__xludf.DUMMYFUNCTION("""COMPUTED_VALUE"""),"Ocean Pearl")</f>
        <v>Ocean Pearl</v>
      </c>
      <c r="C15439" s="2" t="str">
        <f ca="1">IFERROR(__xludf.DUMMYFUNCTION("""COMPUTED_VALUE"""),"Building")</f>
        <v>Building</v>
      </c>
      <c r="D15439" s="2" t="str">
        <f ca="1">IFERROR(__xludf.DUMMYFUNCTION("""COMPUTED_VALUE"""),"Abu Dhabi&gt;Al Reem Island&gt;Ocean Pearl")</f>
        <v>Abu Dhabi&gt;Al Reem Island&gt;Ocean Pearl</v>
      </c>
      <c r="E15439" s="2"/>
      <c r="F15439" s="2"/>
      <c r="G15439" s="2"/>
      <c r="H15439" s="2"/>
      <c r="I15439" s="2"/>
      <c r="J15439" s="2"/>
      <c r="K15439" s="2"/>
      <c r="L15439" s="2"/>
      <c r="M15439" s="2"/>
      <c r="N15439" s="2"/>
      <c r="O15439" s="2"/>
      <c r="P15439" s="2"/>
      <c r="Q15439" s="2"/>
      <c r="R15439" s="2"/>
      <c r="S15439" s="2"/>
      <c r="T15439" s="2"/>
      <c r="U15439" s="2"/>
      <c r="V15439" s="2"/>
      <c r="W15439" s="2"/>
      <c r="X15439" s="2"/>
      <c r="Y15439" s="2"/>
      <c r="Z15439" s="2"/>
    </row>
    <row r="15440" spans="1:26" ht="16.5" x14ac:dyDescent="0.35">
      <c r="A15440" s="2" t="str">
        <f ca="1">IFERROR(__xludf.DUMMYFUNCTION("""COMPUTED_VALUE"""),"Abu Dhabi")</f>
        <v>Abu Dhabi</v>
      </c>
      <c r="B15440" s="2" t="str">
        <f ca="1">IFERROR(__xludf.DUMMYFUNCTION("""COMPUTED_VALUE"""),"Oasis Residences")</f>
        <v>Oasis Residences</v>
      </c>
      <c r="C15440" s="2" t="str">
        <f ca="1">IFERROR(__xludf.DUMMYFUNCTION("""COMPUTED_VALUE"""),"Building")</f>
        <v>Building</v>
      </c>
      <c r="D15440" s="2" t="str">
        <f ca="1">IFERROR(__xludf.DUMMYFUNCTION("""COMPUTED_VALUE"""),"Abu Dhabi&gt;Al Reem Island&gt;Shams Abu Dhabi&gt;Oasis Residences")</f>
        <v>Abu Dhabi&gt;Al Reem Island&gt;Shams Abu Dhabi&gt;Oasis Residences</v>
      </c>
      <c r="E15440" s="2"/>
      <c r="F15440" s="2"/>
      <c r="G15440" s="2"/>
      <c r="H15440" s="2"/>
      <c r="I15440" s="2"/>
      <c r="J15440" s="2"/>
      <c r="K15440" s="2"/>
      <c r="L15440" s="2"/>
      <c r="M15440" s="2"/>
      <c r="N15440" s="2"/>
      <c r="O15440" s="2"/>
      <c r="P15440" s="2"/>
      <c r="Q15440" s="2"/>
      <c r="R15440" s="2"/>
      <c r="S15440" s="2"/>
      <c r="T15440" s="2"/>
      <c r="U15440" s="2"/>
      <c r="V15440" s="2"/>
      <c r="W15440" s="2"/>
      <c r="X15440" s="2"/>
      <c r="Y15440" s="2"/>
      <c r="Z15440" s="2"/>
    </row>
    <row r="15441" spans="1:26" ht="16.5" x14ac:dyDescent="0.35">
      <c r="A15441" s="2" t="str">
        <f ca="1">IFERROR(__xludf.DUMMYFUNCTION("""COMPUTED_VALUE"""),"Abu Dhabi")</f>
        <v>Abu Dhabi</v>
      </c>
      <c r="B15441" s="2" t="str">
        <f ca="1">IFERROR(__xludf.DUMMYFUNCTION("""COMPUTED_VALUE"""),"Aurora Towers")</f>
        <v>Aurora Towers</v>
      </c>
      <c r="C15441" s="2" t="str">
        <f ca="1">IFERROR(__xludf.DUMMYFUNCTION("""COMPUTED_VALUE"""),"Building")</f>
        <v>Building</v>
      </c>
      <c r="D15441" s="2" t="str">
        <f ca="1">IFERROR(__xludf.DUMMYFUNCTION("""COMPUTED_VALUE"""),"Abu Dhabi&gt;Al Reem Island&gt;Shams Abu Dhabi&gt;Aurora Towers")</f>
        <v>Abu Dhabi&gt;Al Reem Island&gt;Shams Abu Dhabi&gt;Aurora Towers</v>
      </c>
      <c r="E15441" s="2"/>
      <c r="F15441" s="2"/>
      <c r="G15441" s="2"/>
      <c r="H15441" s="2"/>
      <c r="I15441" s="2"/>
      <c r="J15441" s="2"/>
      <c r="K15441" s="2"/>
      <c r="L15441" s="2"/>
      <c r="M15441" s="2"/>
      <c r="N15441" s="2"/>
      <c r="O15441" s="2"/>
      <c r="P15441" s="2"/>
      <c r="Q15441" s="2"/>
      <c r="R15441" s="2"/>
      <c r="S15441" s="2"/>
      <c r="T15441" s="2"/>
      <c r="U15441" s="2"/>
      <c r="V15441" s="2"/>
      <c r="W15441" s="2"/>
      <c r="X15441" s="2"/>
      <c r="Y15441" s="2"/>
      <c r="Z15441" s="2"/>
    </row>
    <row r="15442" spans="1:26" ht="16.5" x14ac:dyDescent="0.35">
      <c r="A15442" s="2" t="str">
        <f ca="1">IFERROR(__xludf.DUMMYFUNCTION("""COMPUTED_VALUE"""),"Abu Dhabi")</f>
        <v>Abu Dhabi</v>
      </c>
      <c r="B15442" s="2" t="str">
        <f ca="1">IFERROR(__xludf.DUMMYFUNCTION("""COMPUTED_VALUE"""),"C6 Tower")</f>
        <v>C6 Tower</v>
      </c>
      <c r="C15442" s="2" t="str">
        <f ca="1">IFERROR(__xludf.DUMMYFUNCTION("""COMPUTED_VALUE"""),"Building")</f>
        <v>Building</v>
      </c>
      <c r="D15442" s="2" t="str">
        <f ca="1">IFERROR(__xludf.DUMMYFUNCTION("""COMPUTED_VALUE"""),"Abu Dhabi&gt;Al Reem Island&gt;City of Lights&gt;C6 Tower")</f>
        <v>Abu Dhabi&gt;Al Reem Island&gt;City of Lights&gt;C6 Tower</v>
      </c>
      <c r="E15442" s="2"/>
      <c r="F15442" s="2"/>
      <c r="G15442" s="2"/>
      <c r="H15442" s="2"/>
      <c r="I15442" s="2"/>
      <c r="J15442" s="2"/>
      <c r="K15442" s="2"/>
      <c r="L15442" s="2"/>
      <c r="M15442" s="2"/>
      <c r="N15442" s="2"/>
      <c r="O15442" s="2"/>
      <c r="P15442" s="2"/>
      <c r="Q15442" s="2"/>
      <c r="R15442" s="2"/>
      <c r="S15442" s="2"/>
      <c r="T15442" s="2"/>
      <c r="U15442" s="2"/>
      <c r="V15442" s="2"/>
      <c r="W15442" s="2"/>
      <c r="X15442" s="2"/>
      <c r="Y15442" s="2"/>
      <c r="Z15442" s="2"/>
    </row>
    <row r="15443" spans="1:26" ht="16.5" x14ac:dyDescent="0.35">
      <c r="A15443" s="2" t="str">
        <f ca="1">IFERROR(__xludf.DUMMYFUNCTION("""COMPUTED_VALUE"""),"Abu Dhabi")</f>
        <v>Abu Dhabi</v>
      </c>
      <c r="B15443" s="2" t="str">
        <f ca="1">IFERROR(__xludf.DUMMYFUNCTION("""COMPUTED_VALUE"""),"Synergy Towers")</f>
        <v>Synergy Towers</v>
      </c>
      <c r="C15443" s="2" t="str">
        <f ca="1">IFERROR(__xludf.DUMMYFUNCTION("""COMPUTED_VALUE"""),"Building")</f>
        <v>Building</v>
      </c>
      <c r="D15443" s="2" t="str">
        <f ca="1">IFERROR(__xludf.DUMMYFUNCTION("""COMPUTED_VALUE"""),"Abu Dhabi&gt;Al Reem Island&gt;Synergy Towers")</f>
        <v>Abu Dhabi&gt;Al Reem Island&gt;Synergy Towers</v>
      </c>
      <c r="E15443" s="2"/>
      <c r="F15443" s="2"/>
      <c r="G15443" s="2"/>
      <c r="H15443" s="2"/>
      <c r="I15443" s="2"/>
      <c r="J15443" s="2"/>
      <c r="K15443" s="2"/>
      <c r="L15443" s="2"/>
      <c r="M15443" s="2"/>
      <c r="N15443" s="2"/>
      <c r="O15443" s="2"/>
      <c r="P15443" s="2"/>
      <c r="Q15443" s="2"/>
      <c r="R15443" s="2"/>
      <c r="S15443" s="2"/>
      <c r="T15443" s="2"/>
      <c r="U15443" s="2"/>
      <c r="V15443" s="2"/>
      <c r="W15443" s="2"/>
      <c r="X15443" s="2"/>
      <c r="Y15443" s="2"/>
      <c r="Z15443" s="2"/>
    </row>
    <row r="15444" spans="1:26" ht="16.5" x14ac:dyDescent="0.35">
      <c r="A15444" s="2" t="str">
        <f ca="1">IFERROR(__xludf.DUMMYFUNCTION("""COMPUTED_VALUE"""),"Abu Dhabi")</f>
        <v>Abu Dhabi</v>
      </c>
      <c r="B15444" s="2" t="str">
        <f ca="1">IFERROR(__xludf.DUMMYFUNCTION("""COMPUTED_VALUE"""),"Corniche Road")</f>
        <v>Corniche Road</v>
      </c>
      <c r="C15444" s="2" t="str">
        <f ca="1">IFERROR(__xludf.DUMMYFUNCTION("""COMPUTED_VALUE"""),"Neighbourhood")</f>
        <v>Neighbourhood</v>
      </c>
      <c r="D15444" s="2" t="str">
        <f ca="1">IFERROR(__xludf.DUMMYFUNCTION("""COMPUTED_VALUE"""),"Abu Dhabi&gt;Corniche Road")</f>
        <v>Abu Dhabi&gt;Corniche Road</v>
      </c>
      <c r="E15444" s="2"/>
      <c r="F15444" s="2"/>
      <c r="G15444" s="2"/>
      <c r="H15444" s="2"/>
      <c r="I15444" s="2"/>
      <c r="J15444" s="2"/>
      <c r="K15444" s="2"/>
      <c r="L15444" s="2"/>
      <c r="M15444" s="2"/>
      <c r="N15444" s="2"/>
      <c r="O15444" s="2"/>
      <c r="P15444" s="2"/>
      <c r="Q15444" s="2"/>
      <c r="R15444" s="2"/>
      <c r="S15444" s="2"/>
      <c r="T15444" s="2"/>
      <c r="U15444" s="2"/>
      <c r="V15444" s="2"/>
      <c r="W15444" s="2"/>
      <c r="X15444" s="2"/>
      <c r="Y15444" s="2"/>
      <c r="Z15444" s="2"/>
    </row>
    <row r="15445" spans="1:26" ht="16.5" x14ac:dyDescent="0.35">
      <c r="A15445" s="2" t="str">
        <f ca="1">IFERROR(__xludf.DUMMYFUNCTION("""COMPUTED_VALUE"""),"Abu Dhabi")</f>
        <v>Abu Dhabi</v>
      </c>
      <c r="B15445" s="2" t="str">
        <f ca="1">IFERROR(__xludf.DUMMYFUNCTION("""COMPUTED_VALUE"""),"Al Ain Tower")</f>
        <v>Al Ain Tower</v>
      </c>
      <c r="C15445" s="2" t="str">
        <f ca="1">IFERROR(__xludf.DUMMYFUNCTION("""COMPUTED_VALUE"""),"Building")</f>
        <v>Building</v>
      </c>
      <c r="D15445" s="2" t="str">
        <f ca="1">IFERROR(__xludf.DUMMYFUNCTION("""COMPUTED_VALUE"""),"Abu Dhabi&gt;Hamdan Street&gt;Al Ain Tower")</f>
        <v>Abu Dhabi&gt;Hamdan Street&gt;Al Ain Tower</v>
      </c>
      <c r="E15445" s="2"/>
      <c r="F15445" s="2"/>
      <c r="G15445" s="2"/>
      <c r="H15445" s="2"/>
      <c r="I15445" s="2"/>
      <c r="J15445" s="2"/>
      <c r="K15445" s="2"/>
      <c r="L15445" s="2"/>
      <c r="M15445" s="2"/>
      <c r="N15445" s="2"/>
      <c r="O15445" s="2"/>
      <c r="P15445" s="2"/>
      <c r="Q15445" s="2"/>
      <c r="R15445" s="2"/>
      <c r="S15445" s="2"/>
      <c r="T15445" s="2"/>
      <c r="U15445" s="2"/>
      <c r="V15445" s="2"/>
      <c r="W15445" s="2"/>
      <c r="X15445" s="2"/>
      <c r="Y15445" s="2"/>
      <c r="Z15445" s="2"/>
    </row>
    <row r="15446" spans="1:26" ht="16.5" x14ac:dyDescent="0.35">
      <c r="A15446" s="2" t="str">
        <f ca="1">IFERROR(__xludf.DUMMYFUNCTION("""COMPUTED_VALUE"""),"Abu Dhabi")</f>
        <v>Abu Dhabi</v>
      </c>
      <c r="B15446" s="2" t="str">
        <f ca="1">IFERROR(__xludf.DUMMYFUNCTION("""COMPUTED_VALUE"""),"Khalidiyah Tower A")</f>
        <v>Khalidiyah Tower A</v>
      </c>
      <c r="C15446" s="2" t="str">
        <f ca="1">IFERROR(__xludf.DUMMYFUNCTION("""COMPUTED_VALUE"""),"Building")</f>
        <v>Building</v>
      </c>
      <c r="D15446" s="2" t="str">
        <f ca="1">IFERROR(__xludf.DUMMYFUNCTION("""COMPUTED_VALUE"""),"Abu Dhabi&gt;Al Khalidiyah&gt;Khalidiyah Twin Towers&gt;Khalidiyah Tower A")</f>
        <v>Abu Dhabi&gt;Al Khalidiyah&gt;Khalidiyah Twin Towers&gt;Khalidiyah Tower A</v>
      </c>
      <c r="E15446" s="2"/>
      <c r="F15446" s="2"/>
      <c r="G15446" s="2"/>
      <c r="H15446" s="2"/>
      <c r="I15446" s="2"/>
      <c r="J15446" s="2"/>
      <c r="K15446" s="2"/>
      <c r="L15446" s="2"/>
      <c r="M15446" s="2"/>
      <c r="N15446" s="2"/>
      <c r="O15446" s="2"/>
      <c r="P15446" s="2"/>
      <c r="Q15446" s="2"/>
      <c r="R15446" s="2"/>
      <c r="S15446" s="2"/>
      <c r="T15446" s="2"/>
      <c r="U15446" s="2"/>
      <c r="V15446" s="2"/>
      <c r="W15446" s="2"/>
      <c r="X15446" s="2"/>
      <c r="Y15446" s="2"/>
      <c r="Z15446" s="2"/>
    </row>
    <row r="15447" spans="1:26" ht="16.5" x14ac:dyDescent="0.35">
      <c r="A15447" s="2" t="str">
        <f ca="1">IFERROR(__xludf.DUMMYFUNCTION("""COMPUTED_VALUE"""),"Abu Dhabi")</f>
        <v>Abu Dhabi</v>
      </c>
      <c r="B15447" s="2" t="str">
        <f ca="1">IFERROR(__xludf.DUMMYFUNCTION("""COMPUTED_VALUE"""),"Learning Spaces Nursery")</f>
        <v>Learning Spaces Nursery</v>
      </c>
      <c r="C15447" s="2" t="str">
        <f ca="1">IFERROR(__xludf.DUMMYFUNCTION("""COMPUTED_VALUE"""),"Nursery")</f>
        <v>Nursery</v>
      </c>
      <c r="D15447" s="2" t="str">
        <f ca="1">IFERROR(__xludf.DUMMYFUNCTION("""COMPUTED_VALUE"""),"Abu Dhabi&gt;Khalifa City&gt;Learning Spaces Nursery")</f>
        <v>Abu Dhabi&gt;Khalifa City&gt;Learning Spaces Nursery</v>
      </c>
      <c r="E15447" s="2"/>
      <c r="F15447" s="2"/>
      <c r="G15447" s="2"/>
      <c r="H15447" s="2"/>
      <c r="I15447" s="2"/>
      <c r="J15447" s="2"/>
      <c r="K15447" s="2"/>
      <c r="L15447" s="2"/>
      <c r="M15447" s="2"/>
      <c r="N15447" s="2"/>
      <c r="O15447" s="2"/>
      <c r="P15447" s="2"/>
      <c r="Q15447" s="2"/>
      <c r="R15447" s="2"/>
      <c r="S15447" s="2"/>
      <c r="T15447" s="2"/>
      <c r="U15447" s="2"/>
      <c r="V15447" s="2"/>
      <c r="W15447" s="2"/>
      <c r="X15447" s="2"/>
      <c r="Y15447" s="2"/>
      <c r="Z15447" s="2"/>
    </row>
    <row r="15448" spans="1:26" ht="16.5" x14ac:dyDescent="0.35">
      <c r="A15448" s="2" t="str">
        <f ca="1">IFERROR(__xludf.DUMMYFUNCTION("""COMPUTED_VALUE"""),"Abu Dhabi")</f>
        <v>Abu Dhabi</v>
      </c>
      <c r="B15448" s="2" t="str">
        <f ca="1">IFERROR(__xludf.DUMMYFUNCTION("""COMPUTED_VALUE"""),"SE25")</f>
        <v>SE25</v>
      </c>
      <c r="C15448" s="2" t="str">
        <f ca="1">IFERROR(__xludf.DUMMYFUNCTION("""COMPUTED_VALUE"""),"Neighbourhood")</f>
        <v>Neighbourhood</v>
      </c>
      <c r="D15448" s="2" t="str">
        <f ca="1">IFERROR(__xludf.DUMMYFUNCTION("""COMPUTED_VALUE"""),"Abu Dhabi&gt;Khalifa City&gt;SE25")</f>
        <v>Abu Dhabi&gt;Khalifa City&gt;SE25</v>
      </c>
      <c r="E15448" s="2"/>
      <c r="F15448" s="2"/>
      <c r="G15448" s="2"/>
      <c r="H15448" s="2"/>
      <c r="I15448" s="2"/>
      <c r="J15448" s="2"/>
      <c r="K15448" s="2"/>
      <c r="L15448" s="2"/>
      <c r="M15448" s="2"/>
      <c r="N15448" s="2"/>
      <c r="O15448" s="2"/>
      <c r="P15448" s="2"/>
      <c r="Q15448" s="2"/>
      <c r="R15448" s="2"/>
      <c r="S15448" s="2"/>
      <c r="T15448" s="2"/>
      <c r="U15448" s="2"/>
      <c r="V15448" s="2"/>
      <c r="W15448" s="2"/>
      <c r="X15448" s="2"/>
      <c r="Y15448" s="2"/>
      <c r="Z15448" s="2"/>
    </row>
    <row r="15449" spans="1:26" ht="16.5" x14ac:dyDescent="0.35">
      <c r="A15449" s="2" t="str">
        <f ca="1">IFERROR(__xludf.DUMMYFUNCTION("""COMPUTED_VALUE"""),"Abu Dhabi")</f>
        <v>Abu Dhabi</v>
      </c>
      <c r="B15449" s="2" t="str">
        <f ca="1">IFERROR(__xludf.DUMMYFUNCTION("""COMPUTED_VALUE"""),"Sultan Tower")</f>
        <v>Sultan Tower</v>
      </c>
      <c r="C15449" s="2" t="str">
        <f ca="1">IFERROR(__xludf.DUMMYFUNCTION("""COMPUTED_VALUE"""),"Building")</f>
        <v>Building</v>
      </c>
      <c r="D15449" s="2" t="str">
        <f ca="1">IFERROR(__xludf.DUMMYFUNCTION("""COMPUTED_VALUE"""),"Abu Dhabi&gt;Al Markaziya&gt;Sultan Tower")</f>
        <v>Abu Dhabi&gt;Al Markaziya&gt;Sultan Tower</v>
      </c>
      <c r="E15449" s="2"/>
      <c r="F15449" s="2"/>
      <c r="G15449" s="2"/>
      <c r="H15449" s="2"/>
      <c r="I15449" s="2"/>
      <c r="J15449" s="2"/>
      <c r="K15449" s="2"/>
      <c r="L15449" s="2"/>
      <c r="M15449" s="2"/>
      <c r="N15449" s="2"/>
      <c r="O15449" s="2"/>
      <c r="P15449" s="2"/>
      <c r="Q15449" s="2"/>
      <c r="R15449" s="2"/>
      <c r="S15449" s="2"/>
      <c r="T15449" s="2"/>
      <c r="U15449" s="2"/>
      <c r="V15449" s="2"/>
      <c r="W15449" s="2"/>
      <c r="X15449" s="2"/>
      <c r="Y15449" s="2"/>
      <c r="Z15449" s="2"/>
    </row>
    <row r="15450" spans="1:26" ht="16.5" x14ac:dyDescent="0.35">
      <c r="A15450" s="2" t="str">
        <f ca="1">IFERROR(__xludf.DUMMYFUNCTION("""COMPUTED_VALUE"""),"Abu Dhabi")</f>
        <v>Abu Dhabi</v>
      </c>
      <c r="B15450" s="2" t="str">
        <f ca="1">IFERROR(__xludf.DUMMYFUNCTION("""COMPUTED_VALUE"""),"Raha International School, Abu Dhabi")</f>
        <v>Raha International School, Abu Dhabi</v>
      </c>
      <c r="C15450" s="2" t="str">
        <f ca="1">IFERROR(__xludf.DUMMYFUNCTION("""COMPUTED_VALUE"""),"School")</f>
        <v>School</v>
      </c>
      <c r="D15450" s="2" t="str">
        <f ca="1">IFERROR(__xludf.DUMMYFUNCTION("""COMPUTED_VALUE"""),"Abu Dhabi&gt;Al Raha Gardens&gt;Raha International School, Abu Dhabi")</f>
        <v>Abu Dhabi&gt;Al Raha Gardens&gt;Raha International School, Abu Dhabi</v>
      </c>
      <c r="E15450" s="2"/>
      <c r="F15450" s="2"/>
      <c r="G15450" s="2"/>
      <c r="H15450" s="2"/>
      <c r="I15450" s="2"/>
      <c r="J15450" s="2"/>
      <c r="K15450" s="2"/>
      <c r="L15450" s="2"/>
      <c r="M15450" s="2"/>
      <c r="N15450" s="2"/>
      <c r="O15450" s="2"/>
      <c r="P15450" s="2"/>
      <c r="Q15450" s="2"/>
      <c r="R15450" s="2"/>
      <c r="S15450" s="2"/>
      <c r="T15450" s="2"/>
      <c r="U15450" s="2"/>
      <c r="V15450" s="2"/>
      <c r="W15450" s="2"/>
      <c r="X15450" s="2"/>
      <c r="Y15450" s="2"/>
      <c r="Z15450" s="2"/>
    </row>
    <row r="15451" spans="1:26" ht="16.5" x14ac:dyDescent="0.35">
      <c r="A15451" s="2" t="str">
        <f ca="1">IFERROR(__xludf.DUMMYFUNCTION("""COMPUTED_VALUE"""),"Abu Dhabi")</f>
        <v>Abu Dhabi</v>
      </c>
      <c r="B15451" s="2" t="str">
        <f ca="1">IFERROR(__xludf.DUMMYFUNCTION("""COMPUTED_VALUE"""),"Grove Gallery Views")</f>
        <v>Grove Gallery Views</v>
      </c>
      <c r="C15451" s="2" t="str">
        <f ca="1">IFERROR(__xludf.DUMMYFUNCTION("""COMPUTED_VALUE"""),"Building")</f>
        <v>Building</v>
      </c>
      <c r="D15451" s="2" t="str">
        <f ca="1">IFERROR(__xludf.DUMMYFUNCTION("""COMPUTED_VALUE"""),"Abu Dhabi&gt;Saadiyat Island&gt;Saadiyat Cultural District&gt;Saadiyat Grove&gt;Grove Gallery Views")</f>
        <v>Abu Dhabi&gt;Saadiyat Island&gt;Saadiyat Cultural District&gt;Saadiyat Grove&gt;Grove Gallery Views</v>
      </c>
      <c r="E15451" s="2"/>
      <c r="F15451" s="2"/>
      <c r="G15451" s="2"/>
      <c r="H15451" s="2"/>
      <c r="I15451" s="2"/>
      <c r="J15451" s="2"/>
      <c r="K15451" s="2"/>
      <c r="L15451" s="2"/>
      <c r="M15451" s="2"/>
      <c r="N15451" s="2"/>
      <c r="O15451" s="2"/>
      <c r="P15451" s="2"/>
      <c r="Q15451" s="2"/>
      <c r="R15451" s="2"/>
      <c r="S15451" s="2"/>
      <c r="T15451" s="2"/>
      <c r="U15451" s="2"/>
      <c r="V15451" s="2"/>
      <c r="W15451" s="2"/>
      <c r="X15451" s="2"/>
      <c r="Y15451" s="2"/>
      <c r="Z15451" s="2"/>
    </row>
    <row r="15452" spans="1:26" ht="16.5" x14ac:dyDescent="0.35">
      <c r="A15452" s="2" t="str">
        <f ca="1">IFERROR(__xludf.DUMMYFUNCTION("""COMPUTED_VALUE"""),"Abu Dhabi")</f>
        <v>Abu Dhabi</v>
      </c>
      <c r="B15452" s="2" t="str">
        <f ca="1">IFERROR(__xludf.DUMMYFUNCTION("""COMPUTED_VALUE"""),"Soho Square")</f>
        <v>Soho Square</v>
      </c>
      <c r="C15452" s="2" t="str">
        <f ca="1">IFERROR(__xludf.DUMMYFUNCTION("""COMPUTED_VALUE"""),"Cluster")</f>
        <v>Cluster</v>
      </c>
      <c r="D15452" s="2" t="str">
        <f ca="1">IFERROR(__xludf.DUMMYFUNCTION("""COMPUTED_VALUE"""),"Abu Dhabi&gt;Saadiyat Island&gt;Soho Square")</f>
        <v>Abu Dhabi&gt;Saadiyat Island&gt;Soho Square</v>
      </c>
      <c r="E15452" s="2"/>
      <c r="F15452" s="2"/>
      <c r="G15452" s="2"/>
      <c r="H15452" s="2"/>
      <c r="I15452" s="2"/>
      <c r="J15452" s="2"/>
      <c r="K15452" s="2"/>
      <c r="L15452" s="2"/>
      <c r="M15452" s="2"/>
      <c r="N15452" s="2"/>
      <c r="O15452" s="2"/>
      <c r="P15452" s="2"/>
      <c r="Q15452" s="2"/>
      <c r="R15452" s="2"/>
      <c r="S15452" s="2"/>
      <c r="T15452" s="2"/>
      <c r="U15452" s="2"/>
      <c r="V15452" s="2"/>
      <c r="W15452" s="2"/>
      <c r="X15452" s="2"/>
      <c r="Y15452" s="2"/>
      <c r="Z15452" s="2"/>
    </row>
    <row r="15453" spans="1:26" ht="16.5" x14ac:dyDescent="0.35">
      <c r="A15453" s="2" t="str">
        <f ca="1">IFERROR(__xludf.DUMMYFUNCTION("""COMPUTED_VALUE"""),"Abu Dhabi")</f>
        <v>Abu Dhabi</v>
      </c>
      <c r="B15453" s="2" t="str">
        <f ca="1">IFERROR(__xludf.DUMMYFUNCTION("""COMPUTED_VALUE"""),"Manarat Living")</f>
        <v>Manarat Living</v>
      </c>
      <c r="C15453" s="2" t="str">
        <f ca="1">IFERROR(__xludf.DUMMYFUNCTION("""COMPUTED_VALUE"""),"Building")</f>
        <v>Building</v>
      </c>
      <c r="D15453" s="2" t="str">
        <f ca="1">IFERROR(__xludf.DUMMYFUNCTION("""COMPUTED_VALUE"""),"Abu Dhabi&gt;Saadiyat Island&gt;Manarat Living")</f>
        <v>Abu Dhabi&gt;Saadiyat Island&gt;Manarat Living</v>
      </c>
      <c r="E15453" s="2"/>
      <c r="F15453" s="2"/>
      <c r="G15453" s="2"/>
      <c r="H15453" s="2"/>
      <c r="I15453" s="2"/>
      <c r="J15453" s="2"/>
      <c r="K15453" s="2"/>
      <c r="L15453" s="2"/>
      <c r="M15453" s="2"/>
      <c r="N15453" s="2"/>
      <c r="O15453" s="2"/>
      <c r="P15453" s="2"/>
      <c r="Q15453" s="2"/>
      <c r="R15453" s="2"/>
      <c r="S15453" s="2"/>
      <c r="T15453" s="2"/>
      <c r="U15453" s="2"/>
      <c r="V15453" s="2"/>
      <c r="W15453" s="2"/>
      <c r="X15453" s="2"/>
      <c r="Y15453" s="2"/>
      <c r="Z15453" s="2"/>
    </row>
    <row r="15454" spans="1:26" ht="16.5" x14ac:dyDescent="0.35">
      <c r="A15454" s="2" t="str">
        <f ca="1">IFERROR(__xludf.DUMMYFUNCTION("""COMPUTED_VALUE"""),"Abu Dhabi")</f>
        <v>Abu Dhabi</v>
      </c>
      <c r="B15454" s="2" t="str">
        <f ca="1">IFERROR(__xludf.DUMMYFUNCTION("""COMPUTED_VALUE"""),"C2566 Building")</f>
        <v>C2566 Building</v>
      </c>
      <c r="C15454" s="2" t="str">
        <f ca="1">IFERROR(__xludf.DUMMYFUNCTION("""COMPUTED_VALUE"""),"Building")</f>
        <v>Building</v>
      </c>
      <c r="D15454" s="2" t="str">
        <f ca="1">IFERROR(__xludf.DUMMYFUNCTION("""COMPUTED_VALUE"""),"Abu Dhabi&gt;Al Raha Beach&gt;Al Seef&gt;C2566 Building")</f>
        <v>Abu Dhabi&gt;Al Raha Beach&gt;Al Seef&gt;C2566 Building</v>
      </c>
      <c r="E15454" s="2"/>
      <c r="F15454" s="2"/>
      <c r="G15454" s="2"/>
      <c r="H15454" s="2"/>
      <c r="I15454" s="2"/>
      <c r="J15454" s="2"/>
      <c r="K15454" s="2"/>
      <c r="L15454" s="2"/>
      <c r="M15454" s="2"/>
      <c r="N15454" s="2"/>
      <c r="O15454" s="2"/>
      <c r="P15454" s="2"/>
      <c r="Q15454" s="2"/>
      <c r="R15454" s="2"/>
      <c r="S15454" s="2"/>
      <c r="T15454" s="2"/>
      <c r="U15454" s="2"/>
      <c r="V15454" s="2"/>
      <c r="W15454" s="2"/>
      <c r="X15454" s="2"/>
      <c r="Y15454" s="2"/>
      <c r="Z15454" s="2"/>
    </row>
    <row r="15455" spans="1:26" ht="16.5" x14ac:dyDescent="0.35">
      <c r="A15455" s="2" t="str">
        <f ca="1">IFERROR(__xludf.DUMMYFUNCTION("""COMPUTED_VALUE"""),"Abu Dhabi")</f>
        <v>Abu Dhabi</v>
      </c>
      <c r="B15455" s="2" t="str">
        <f ca="1">IFERROR(__xludf.DUMMYFUNCTION("""COMPUTED_VALUE"""),"Al Rahba 1")</f>
        <v>Al Rahba 1</v>
      </c>
      <c r="C15455" s="2" t="str">
        <f ca="1">IFERROR(__xludf.DUMMYFUNCTION("""COMPUTED_VALUE"""),"Building")</f>
        <v>Building</v>
      </c>
      <c r="D15455" s="2" t="str">
        <f ca="1">IFERROR(__xludf.DUMMYFUNCTION("""COMPUTED_VALUE"""),"Abu Dhabi&gt;Al Raha Beach&gt;Al Muneera&gt;Al Rahba&gt;Al Rahba 1")</f>
        <v>Abu Dhabi&gt;Al Raha Beach&gt;Al Muneera&gt;Al Rahba&gt;Al Rahba 1</v>
      </c>
      <c r="E15455" s="2"/>
      <c r="F15455" s="2"/>
      <c r="G15455" s="2"/>
      <c r="H15455" s="2"/>
      <c r="I15455" s="2"/>
      <c r="J15455" s="2"/>
      <c r="K15455" s="2"/>
      <c r="L15455" s="2"/>
      <c r="M15455" s="2"/>
      <c r="N15455" s="2"/>
      <c r="O15455" s="2"/>
      <c r="P15455" s="2"/>
      <c r="Q15455" s="2"/>
      <c r="R15455" s="2"/>
      <c r="S15455" s="2"/>
      <c r="T15455" s="2"/>
      <c r="U15455" s="2"/>
      <c r="V15455" s="2"/>
      <c r="W15455" s="2"/>
      <c r="X15455" s="2"/>
      <c r="Y15455" s="2"/>
      <c r="Z15455" s="2"/>
    </row>
    <row r="15456" spans="1:26" ht="16.5" x14ac:dyDescent="0.35">
      <c r="A15456" s="2" t="str">
        <f ca="1">IFERROR(__xludf.DUMMYFUNCTION("""COMPUTED_VALUE"""),"Abu Dhabi")</f>
        <v>Abu Dhabi</v>
      </c>
      <c r="B15456" s="2" t="str">
        <f ca="1">IFERROR(__xludf.DUMMYFUNCTION("""COMPUTED_VALUE"""),"Raha Views")</f>
        <v>Raha Views</v>
      </c>
      <c r="C15456" s="2" t="str">
        <f ca="1">IFERROR(__xludf.DUMMYFUNCTION("""COMPUTED_VALUE"""),"Building")</f>
        <v>Building</v>
      </c>
      <c r="D15456" s="2" t="str">
        <f ca="1">IFERROR(__xludf.DUMMYFUNCTION("""COMPUTED_VALUE"""),"Abu Dhabi&gt;Al Raha Beach&gt;Raha Views")</f>
        <v>Abu Dhabi&gt;Al Raha Beach&gt;Raha Views</v>
      </c>
      <c r="E15456" s="2"/>
      <c r="F15456" s="2"/>
      <c r="G15456" s="2"/>
      <c r="H15456" s="2"/>
      <c r="I15456" s="2"/>
      <c r="J15456" s="2"/>
      <c r="K15456" s="2"/>
      <c r="L15456" s="2"/>
      <c r="M15456" s="2"/>
      <c r="N15456" s="2"/>
      <c r="O15456" s="2"/>
      <c r="P15456" s="2"/>
      <c r="Q15456" s="2"/>
      <c r="R15456" s="2"/>
      <c r="S15456" s="2"/>
      <c r="T15456" s="2"/>
      <c r="U15456" s="2"/>
      <c r="V15456" s="2"/>
      <c r="W15456" s="2"/>
      <c r="X15456" s="2"/>
      <c r="Y15456" s="2"/>
      <c r="Z15456" s="2"/>
    </row>
    <row r="15457" spans="1:26" ht="16.5" x14ac:dyDescent="0.35">
      <c r="A15457" s="2" t="str">
        <f ca="1">IFERROR(__xludf.DUMMYFUNCTION("""COMPUTED_VALUE"""),"Abu Dhabi")</f>
        <v>Abu Dhabi</v>
      </c>
      <c r="B15457" s="2" t="str">
        <f ca="1">IFERROR(__xludf.DUMMYFUNCTION("""COMPUTED_VALUE"""),"P-2752")</f>
        <v>P-2752</v>
      </c>
      <c r="C15457" s="2" t="str">
        <f ca="1">IFERROR(__xludf.DUMMYFUNCTION("""COMPUTED_VALUE"""),"Building")</f>
        <v>Building</v>
      </c>
      <c r="D15457" s="2" t="str">
        <f ca="1">IFERROR(__xludf.DUMMYFUNCTION("""COMPUTED_VALUE"""),"Abu Dhabi&gt;Al Raha Beach&gt;P-2752")</f>
        <v>Abu Dhabi&gt;Al Raha Beach&gt;P-2752</v>
      </c>
      <c r="E15457" s="2"/>
      <c r="F15457" s="2"/>
      <c r="G15457" s="2"/>
      <c r="H15457" s="2"/>
      <c r="I15457" s="2"/>
      <c r="J15457" s="2"/>
      <c r="K15457" s="2"/>
      <c r="L15457" s="2"/>
      <c r="M15457" s="2"/>
      <c r="N15457" s="2"/>
      <c r="O15457" s="2"/>
      <c r="P15457" s="2"/>
      <c r="Q15457" s="2"/>
      <c r="R15457" s="2"/>
      <c r="S15457" s="2"/>
      <c r="T15457" s="2"/>
      <c r="U15457" s="2"/>
      <c r="V15457" s="2"/>
      <c r="W15457" s="2"/>
      <c r="X15457" s="2"/>
      <c r="Y15457" s="2"/>
      <c r="Z15457" s="2"/>
    </row>
    <row r="15458" spans="1:26" ht="16.5" x14ac:dyDescent="0.35">
      <c r="A15458" s="2" t="str">
        <f ca="1">IFERROR(__xludf.DUMMYFUNCTION("""COMPUTED_VALUE"""),"Abu Dhabi")</f>
        <v>Abu Dhabi</v>
      </c>
      <c r="B15458" s="2" t="str">
        <f ca="1">IFERROR(__xludf.DUMMYFUNCTION("""COMPUTED_VALUE"""),"Al Masaood Building")</f>
        <v>Al Masaood Building</v>
      </c>
      <c r="C15458" s="2"/>
      <c r="D15458" s="2" t="str">
        <f ca="1">IFERROR(__xludf.DUMMYFUNCTION("""COMPUTED_VALUE"""),"Abu Dhabi&gt;Al Salam Street&gt;Al Masaood Building")</f>
        <v>Abu Dhabi&gt;Al Salam Street&gt;Al Masaood Building</v>
      </c>
      <c r="E15458" s="2"/>
      <c r="F15458" s="2"/>
      <c r="G15458" s="2"/>
      <c r="H15458" s="2"/>
      <c r="I15458" s="2"/>
      <c r="J15458" s="2"/>
      <c r="K15458" s="2"/>
      <c r="L15458" s="2"/>
      <c r="M15458" s="2"/>
      <c r="N15458" s="2"/>
      <c r="O15458" s="2"/>
      <c r="P15458" s="2"/>
      <c r="Q15458" s="2"/>
      <c r="R15458" s="2"/>
      <c r="S15458" s="2"/>
      <c r="T15458" s="2"/>
      <c r="U15458" s="2"/>
      <c r="V15458" s="2"/>
      <c r="W15458" s="2"/>
      <c r="X15458" s="2"/>
      <c r="Y15458" s="2"/>
      <c r="Z15458" s="2"/>
    </row>
    <row r="15459" spans="1:26" ht="16.5" x14ac:dyDescent="0.35">
      <c r="A15459" s="2" t="str">
        <f ca="1">IFERROR(__xludf.DUMMYFUNCTION("""COMPUTED_VALUE"""),"Abu Dhabi")</f>
        <v>Abu Dhabi</v>
      </c>
      <c r="B15459" s="2" t="str">
        <f ca="1">IFERROR(__xludf.DUMMYFUNCTION("""COMPUTED_VALUE"""),"Al Bashaer Private School")</f>
        <v>Al Bashaer Private School</v>
      </c>
      <c r="C15459" s="2" t="str">
        <f ca="1">IFERROR(__xludf.DUMMYFUNCTION("""COMPUTED_VALUE"""),"School")</f>
        <v>School</v>
      </c>
      <c r="D15459" s="2" t="str">
        <f ca="1">IFERROR(__xludf.DUMMYFUNCTION("""COMPUTED_VALUE"""),"Abu Dhabi&gt;Mohamed Bin Zayed City&gt;Al Bashaer Private School")</f>
        <v>Abu Dhabi&gt;Mohamed Bin Zayed City&gt;Al Bashaer Private School</v>
      </c>
      <c r="E15459" s="2"/>
      <c r="F15459" s="2"/>
      <c r="G15459" s="2"/>
      <c r="H15459" s="2"/>
      <c r="I15459" s="2"/>
      <c r="J15459" s="2"/>
      <c r="K15459" s="2"/>
      <c r="L15459" s="2"/>
      <c r="M15459" s="2"/>
      <c r="N15459" s="2"/>
      <c r="O15459" s="2"/>
      <c r="P15459" s="2"/>
      <c r="Q15459" s="2"/>
      <c r="R15459" s="2"/>
      <c r="S15459" s="2"/>
      <c r="T15459" s="2"/>
      <c r="U15459" s="2"/>
      <c r="V15459" s="2"/>
      <c r="W15459" s="2"/>
      <c r="X15459" s="2"/>
      <c r="Y15459" s="2"/>
      <c r="Z15459" s="2"/>
    </row>
    <row r="15460" spans="1:26" ht="16.5" x14ac:dyDescent="0.35">
      <c r="A15460" s="2" t="str">
        <f ca="1">IFERROR(__xludf.DUMMYFUNCTION("""COMPUTED_VALUE"""),"Abu Dhabi")</f>
        <v>Abu Dhabi</v>
      </c>
      <c r="B15460" s="2" t="str">
        <f ca="1">IFERROR(__xludf.DUMMYFUNCTION("""COMPUTED_VALUE"""),"Zone 22")</f>
        <v>Zone 22</v>
      </c>
      <c r="C15460" s="2" t="str">
        <f ca="1">IFERROR(__xludf.DUMMYFUNCTION("""COMPUTED_VALUE"""),"Neighbourhood")</f>
        <v>Neighbourhood</v>
      </c>
      <c r="D15460" s="2" t="str">
        <f ca="1">IFERROR(__xludf.DUMMYFUNCTION("""COMPUTED_VALUE"""),"Abu Dhabi&gt;Mohamed Bin Zayed City&gt;Zone 22")</f>
        <v>Abu Dhabi&gt;Mohamed Bin Zayed City&gt;Zone 22</v>
      </c>
      <c r="E15460" s="2"/>
      <c r="F15460" s="2"/>
      <c r="G15460" s="2"/>
      <c r="H15460" s="2"/>
      <c r="I15460" s="2"/>
      <c r="J15460" s="2"/>
      <c r="K15460" s="2"/>
      <c r="L15460" s="2"/>
      <c r="M15460" s="2"/>
      <c r="N15460" s="2"/>
      <c r="O15460" s="2"/>
      <c r="P15460" s="2"/>
      <c r="Q15460" s="2"/>
      <c r="R15460" s="2"/>
      <c r="S15460" s="2"/>
      <c r="T15460" s="2"/>
      <c r="U15460" s="2"/>
      <c r="V15460" s="2"/>
      <c r="W15460" s="2"/>
      <c r="X15460" s="2"/>
      <c r="Y15460" s="2"/>
      <c r="Z15460" s="2"/>
    </row>
    <row r="15461" spans="1:26" ht="16.5" x14ac:dyDescent="0.35">
      <c r="A15461" s="2" t="str">
        <f ca="1">IFERROR(__xludf.DUMMYFUNCTION("""COMPUTED_VALUE"""),"Abu Dhabi")</f>
        <v>Abu Dhabi</v>
      </c>
      <c r="B15461" s="2" t="str">
        <f ca="1">IFERROR(__xludf.DUMMYFUNCTION("""COMPUTED_VALUE"""),"Building 32")</f>
        <v>Building 32</v>
      </c>
      <c r="C15461" s="2" t="str">
        <f ca="1">IFERROR(__xludf.DUMMYFUNCTION("""COMPUTED_VALUE"""),"Building")</f>
        <v>Building</v>
      </c>
      <c r="D15461" s="2" t="str">
        <f ca="1">IFERROR(__xludf.DUMMYFUNCTION("""COMPUTED_VALUE"""),"Abu Dhabi&gt;Al Reef&gt;Al Reef Downtown&gt;Building 32")</f>
        <v>Abu Dhabi&gt;Al Reef&gt;Al Reef Downtown&gt;Building 32</v>
      </c>
      <c r="E15461" s="2"/>
      <c r="F15461" s="2"/>
      <c r="G15461" s="2"/>
      <c r="H15461" s="2"/>
      <c r="I15461" s="2"/>
      <c r="J15461" s="2"/>
      <c r="K15461" s="2"/>
      <c r="L15461" s="2"/>
      <c r="M15461" s="2"/>
      <c r="N15461" s="2"/>
      <c r="O15461" s="2"/>
      <c r="P15461" s="2"/>
      <c r="Q15461" s="2"/>
      <c r="R15461" s="2"/>
      <c r="S15461" s="2"/>
      <c r="T15461" s="2"/>
      <c r="U15461" s="2"/>
      <c r="V15461" s="2"/>
      <c r="W15461" s="2"/>
      <c r="X15461" s="2"/>
      <c r="Y15461" s="2"/>
      <c r="Z15461" s="2"/>
    </row>
    <row r="15462" spans="1:26" ht="16.5" x14ac:dyDescent="0.35">
      <c r="A15462" s="2" t="str">
        <f ca="1">IFERROR(__xludf.DUMMYFUNCTION("""COMPUTED_VALUE"""),"Abu Dhabi")</f>
        <v>Abu Dhabi</v>
      </c>
      <c r="B15462" s="2" t="str">
        <f ca="1">IFERROR(__xludf.DUMMYFUNCTION("""COMPUTED_VALUE"""),"Building 26")</f>
        <v>Building 26</v>
      </c>
      <c r="C15462" s="2" t="str">
        <f ca="1">IFERROR(__xludf.DUMMYFUNCTION("""COMPUTED_VALUE"""),"Building")</f>
        <v>Building</v>
      </c>
      <c r="D15462" s="2" t="str">
        <f ca="1">IFERROR(__xludf.DUMMYFUNCTION("""COMPUTED_VALUE"""),"Abu Dhabi&gt;Al Reef&gt;Al Reef Downtown&gt;Building 26")</f>
        <v>Abu Dhabi&gt;Al Reef&gt;Al Reef Downtown&gt;Building 26</v>
      </c>
      <c r="E15462" s="2"/>
      <c r="F15462" s="2"/>
      <c r="G15462" s="2"/>
      <c r="H15462" s="2"/>
      <c r="I15462" s="2"/>
      <c r="J15462" s="2"/>
      <c r="K15462" s="2"/>
      <c r="L15462" s="2"/>
      <c r="M15462" s="2"/>
      <c r="N15462" s="2"/>
      <c r="O15462" s="2"/>
      <c r="P15462" s="2"/>
      <c r="Q15462" s="2"/>
      <c r="R15462" s="2"/>
      <c r="S15462" s="2"/>
      <c r="T15462" s="2"/>
      <c r="U15462" s="2"/>
      <c r="V15462" s="2"/>
      <c r="W15462" s="2"/>
      <c r="X15462" s="2"/>
      <c r="Y15462" s="2"/>
      <c r="Z15462" s="2"/>
    </row>
    <row r="15463" spans="1:26" ht="16.5" x14ac:dyDescent="0.35">
      <c r="A15463" s="2" t="str">
        <f ca="1">IFERROR(__xludf.DUMMYFUNCTION("""COMPUTED_VALUE"""),"Abu Dhabi")</f>
        <v>Abu Dhabi</v>
      </c>
      <c r="B15463" s="2" t="str">
        <f ca="1">IFERROR(__xludf.DUMMYFUNCTION("""COMPUTED_VALUE"""),"Nahel Tower")</f>
        <v>Nahel Tower</v>
      </c>
      <c r="C15463" s="2" t="str">
        <f ca="1">IFERROR(__xludf.DUMMYFUNCTION("""COMPUTED_VALUE"""),"Building")</f>
        <v>Building</v>
      </c>
      <c r="D15463" s="2" t="str">
        <f ca="1">IFERROR(__xludf.DUMMYFUNCTION("""COMPUTED_VALUE"""),"Abu Dhabi&gt;Al Najda Street&gt;Nahel Tower")</f>
        <v>Abu Dhabi&gt;Al Najda Street&gt;Nahel Tower</v>
      </c>
      <c r="E15463" s="2"/>
      <c r="F15463" s="2"/>
      <c r="G15463" s="2"/>
      <c r="H15463" s="2"/>
      <c r="I15463" s="2"/>
      <c r="J15463" s="2"/>
      <c r="K15463" s="2"/>
      <c r="L15463" s="2"/>
      <c r="M15463" s="2"/>
      <c r="N15463" s="2"/>
      <c r="O15463" s="2"/>
      <c r="P15463" s="2"/>
      <c r="Q15463" s="2"/>
      <c r="R15463" s="2"/>
      <c r="S15463" s="2"/>
      <c r="T15463" s="2"/>
      <c r="U15463" s="2"/>
      <c r="V15463" s="2"/>
      <c r="W15463" s="2"/>
      <c r="X15463" s="2"/>
      <c r="Y15463" s="2"/>
      <c r="Z15463" s="2"/>
    </row>
    <row r="15464" spans="1:26" ht="16.5" x14ac:dyDescent="0.35">
      <c r="A15464" s="2" t="str">
        <f ca="1">IFERROR(__xludf.DUMMYFUNCTION("""COMPUTED_VALUE"""),"Abu Dhabi")</f>
        <v>Abu Dhabi</v>
      </c>
      <c r="B15464" s="2" t="str">
        <f ca="1">IFERROR(__xludf.DUMMYFUNCTION("""COMPUTED_VALUE"""),"AD One Tower")</f>
        <v>AD One Tower</v>
      </c>
      <c r="C15464" s="2" t="str">
        <f ca="1">IFERROR(__xludf.DUMMYFUNCTION("""COMPUTED_VALUE"""),"Building")</f>
        <v>Building</v>
      </c>
      <c r="D15464" s="2" t="str">
        <f ca="1">IFERROR(__xludf.DUMMYFUNCTION("""COMPUTED_VALUE"""),"Abu Dhabi&gt;Capital Centre&gt;AD One Tower")</f>
        <v>Abu Dhabi&gt;Capital Centre&gt;AD One Tower</v>
      </c>
      <c r="E15464" s="2"/>
      <c r="F15464" s="2"/>
      <c r="G15464" s="2"/>
      <c r="H15464" s="2"/>
      <c r="I15464" s="2"/>
      <c r="J15464" s="2"/>
      <c r="K15464" s="2"/>
      <c r="L15464" s="2"/>
      <c r="M15464" s="2"/>
      <c r="N15464" s="2"/>
      <c r="O15464" s="2"/>
      <c r="P15464" s="2"/>
      <c r="Q15464" s="2"/>
      <c r="R15464" s="2"/>
      <c r="S15464" s="2"/>
      <c r="T15464" s="2"/>
      <c r="U15464" s="2"/>
      <c r="V15464" s="2"/>
      <c r="W15464" s="2"/>
      <c r="X15464" s="2"/>
      <c r="Y15464" s="2"/>
      <c r="Z15464" s="2"/>
    </row>
    <row r="15465" spans="1:26" ht="16.5" x14ac:dyDescent="0.35">
      <c r="A15465" s="2" t="str">
        <f ca="1">IFERROR(__xludf.DUMMYFUNCTION("""COMPUTED_VALUE"""),"Abu Dhabi")</f>
        <v>Abu Dhabi</v>
      </c>
      <c r="B15465" s="2" t="str">
        <f ca="1">IFERROR(__xludf.DUMMYFUNCTION("""COMPUTED_VALUE"""),"Yas Bay")</f>
        <v>Yas Bay</v>
      </c>
      <c r="C15465" s="2" t="str">
        <f ca="1">IFERROR(__xludf.DUMMYFUNCTION("""COMPUTED_VALUE"""),"Neighbourhood")</f>
        <v>Neighbourhood</v>
      </c>
      <c r="D15465" s="2" t="str">
        <f ca="1">IFERROR(__xludf.DUMMYFUNCTION("""COMPUTED_VALUE"""),"Abu Dhabi&gt;Yas Island&gt;Yas Bay")</f>
        <v>Abu Dhabi&gt;Yas Island&gt;Yas Bay</v>
      </c>
      <c r="E15465" s="2"/>
      <c r="F15465" s="2"/>
      <c r="G15465" s="2"/>
      <c r="H15465" s="2"/>
      <c r="I15465" s="2"/>
      <c r="J15465" s="2"/>
      <c r="K15465" s="2"/>
      <c r="L15465" s="2"/>
      <c r="M15465" s="2"/>
      <c r="N15465" s="2"/>
      <c r="O15465" s="2"/>
      <c r="P15465" s="2"/>
      <c r="Q15465" s="2"/>
      <c r="R15465" s="2"/>
      <c r="S15465" s="2"/>
      <c r="T15465" s="2"/>
      <c r="U15465" s="2"/>
      <c r="V15465" s="2"/>
      <c r="W15465" s="2"/>
      <c r="X15465" s="2"/>
      <c r="Y15465" s="2"/>
      <c r="Z15465" s="2"/>
    </row>
    <row r="15466" spans="1:26" ht="16.5" x14ac:dyDescent="0.35">
      <c r="A15466" s="2" t="str">
        <f ca="1">IFERROR(__xludf.DUMMYFUNCTION("""COMPUTED_VALUE"""),"Abu Dhabi")</f>
        <v>Abu Dhabi</v>
      </c>
      <c r="B15466" s="2" t="str">
        <f ca="1">IFERROR(__xludf.DUMMYFUNCTION("""COMPUTED_VALUE"""),"The Dahlias")</f>
        <v>The Dahlias</v>
      </c>
      <c r="C15466" s="2" t="str">
        <f ca="1">IFERROR(__xludf.DUMMYFUNCTION("""COMPUTED_VALUE"""),"Neighbourhood")</f>
        <v>Neighbourhood</v>
      </c>
      <c r="D15466" s="2" t="str">
        <f ca="1">IFERROR(__xludf.DUMMYFUNCTION("""COMPUTED_VALUE"""),"Abu Dhabi&gt;Yas Island&gt;Yas Acres&gt;The Dahlias")</f>
        <v>Abu Dhabi&gt;Yas Island&gt;Yas Acres&gt;The Dahlias</v>
      </c>
      <c r="E15466" s="2"/>
      <c r="F15466" s="2"/>
      <c r="G15466" s="2"/>
      <c r="H15466" s="2"/>
      <c r="I15466" s="2"/>
      <c r="J15466" s="2"/>
      <c r="K15466" s="2"/>
      <c r="L15466" s="2"/>
      <c r="M15466" s="2"/>
      <c r="N15466" s="2"/>
      <c r="O15466" s="2"/>
      <c r="P15466" s="2"/>
      <c r="Q15466" s="2"/>
      <c r="R15466" s="2"/>
      <c r="S15466" s="2"/>
      <c r="T15466" s="2"/>
      <c r="U15466" s="2"/>
      <c r="V15466" s="2"/>
      <c r="W15466" s="2"/>
      <c r="X15466" s="2"/>
      <c r="Y15466" s="2"/>
      <c r="Z15466" s="2"/>
    </row>
    <row r="15467" spans="1:26" ht="16.5" x14ac:dyDescent="0.35">
      <c r="A15467" s="2" t="str">
        <f ca="1">IFERROR(__xludf.DUMMYFUNCTION("""COMPUTED_VALUE"""),"Abu Dhabi")</f>
        <v>Abu Dhabi</v>
      </c>
      <c r="B15467" s="2" t="str">
        <f ca="1">IFERROR(__xludf.DUMMYFUNCTION("""COMPUTED_VALUE"""),"Staybridge Suites Yas Island")</f>
        <v>Staybridge Suites Yas Island</v>
      </c>
      <c r="C15467" s="2" t="str">
        <f ca="1">IFERROR(__xludf.DUMMYFUNCTION("""COMPUTED_VALUE"""),"Building")</f>
        <v>Building</v>
      </c>
      <c r="D15467" s="2" t="str">
        <f ca="1">IFERROR(__xludf.DUMMYFUNCTION("""COMPUTED_VALUE"""),"Abu Dhabi&gt;Yas Island&gt;Staybridge Suites Yas Island")</f>
        <v>Abu Dhabi&gt;Yas Island&gt;Staybridge Suites Yas Island</v>
      </c>
      <c r="E15467" s="2"/>
      <c r="F15467" s="2"/>
      <c r="G15467" s="2"/>
      <c r="H15467" s="2"/>
      <c r="I15467" s="2"/>
      <c r="J15467" s="2"/>
      <c r="K15467" s="2"/>
      <c r="L15467" s="2"/>
      <c r="M15467" s="2"/>
      <c r="N15467" s="2"/>
      <c r="O15467" s="2"/>
      <c r="P15467" s="2"/>
      <c r="Q15467" s="2"/>
      <c r="R15467" s="2"/>
      <c r="S15467" s="2"/>
      <c r="T15467" s="2"/>
      <c r="U15467" s="2"/>
      <c r="V15467" s="2"/>
      <c r="W15467" s="2"/>
      <c r="X15467" s="2"/>
      <c r="Y15467" s="2"/>
      <c r="Z15467" s="2"/>
    </row>
    <row r="15468" spans="1:26" ht="16.5" x14ac:dyDescent="0.35">
      <c r="A15468" s="2" t="str">
        <f ca="1">IFERROR(__xludf.DUMMYFUNCTION("""COMPUTED_VALUE"""),"Abu Dhabi")</f>
        <v>Abu Dhabi</v>
      </c>
      <c r="B15468" s="2" t="str">
        <f ca="1">IFERROR(__xludf.DUMMYFUNCTION("""COMPUTED_VALUE"""),"Al Yasat Private School, Abu Dhabi")</f>
        <v>Al Yasat Private School, Abu Dhabi</v>
      </c>
      <c r="C15468" s="2" t="str">
        <f ca="1">IFERROR(__xludf.DUMMYFUNCTION("""COMPUTED_VALUE"""),"School")</f>
        <v>School</v>
      </c>
      <c r="D15468" s="2" t="str">
        <f ca="1">IFERROR(__xludf.DUMMYFUNCTION("""COMPUTED_VALUE"""),"Abu Dhabi&gt;Al Shamkha&gt;Al Yasat Private School, Abu Dhabi")</f>
        <v>Abu Dhabi&gt;Al Shamkha&gt;Al Yasat Private School, Abu Dhabi</v>
      </c>
      <c r="E15468" s="2"/>
      <c r="F15468" s="2"/>
      <c r="G15468" s="2"/>
      <c r="H15468" s="2"/>
      <c r="I15468" s="2"/>
      <c r="J15468" s="2"/>
      <c r="K15468" s="2"/>
      <c r="L15468" s="2"/>
      <c r="M15468" s="2"/>
      <c r="N15468" s="2"/>
      <c r="O15468" s="2"/>
      <c r="P15468" s="2"/>
      <c r="Q15468" s="2"/>
      <c r="R15468" s="2"/>
      <c r="S15468" s="2"/>
      <c r="T15468" s="2"/>
      <c r="U15468" s="2"/>
      <c r="V15468" s="2"/>
      <c r="W15468" s="2"/>
      <c r="X15468" s="2"/>
      <c r="Y15468" s="2"/>
      <c r="Z15468" s="2"/>
    </row>
    <row r="15469" spans="1:26" ht="16.5" x14ac:dyDescent="0.35">
      <c r="A15469" s="2" t="str">
        <f ca="1">IFERROR(__xludf.DUMMYFUNCTION("""COMPUTED_VALUE"""),"Ajman")</f>
        <v>Ajman</v>
      </c>
      <c r="B15469" s="2" t="str">
        <f ca="1">IFERROR(__xludf.DUMMYFUNCTION("""COMPUTED_VALUE"""),"Alixa Tower")</f>
        <v>Alixa Tower</v>
      </c>
      <c r="C15469" s="2" t="str">
        <f ca="1">IFERROR(__xludf.DUMMYFUNCTION("""COMPUTED_VALUE"""),"Building")</f>
        <v>Building</v>
      </c>
      <c r="D15469" s="2" t="str">
        <f ca="1">IFERROR(__xludf.DUMMYFUNCTION("""COMPUTED_VALUE"""),"Ajman&gt;Al Amerah&gt;Alixa Tower")</f>
        <v>Ajman&gt;Al Amerah&gt;Alixa Tower</v>
      </c>
      <c r="E15469" s="2"/>
      <c r="F15469" s="2"/>
      <c r="G15469" s="2"/>
      <c r="H15469" s="2"/>
      <c r="I15469" s="2"/>
      <c r="J15469" s="2"/>
      <c r="K15469" s="2"/>
      <c r="L15469" s="2"/>
      <c r="M15469" s="2"/>
      <c r="N15469" s="2"/>
      <c r="O15469" s="2"/>
      <c r="P15469" s="2"/>
      <c r="Q15469" s="2"/>
      <c r="R15469" s="2"/>
      <c r="S15469" s="2"/>
      <c r="T15469" s="2"/>
      <c r="U15469" s="2"/>
      <c r="V15469" s="2"/>
      <c r="W15469" s="2"/>
      <c r="X15469" s="2"/>
      <c r="Y15469" s="2"/>
      <c r="Z15469" s="2"/>
    </row>
    <row r="15470" spans="1:26" ht="16.5" x14ac:dyDescent="0.35">
      <c r="A15470" s="2" t="str">
        <f ca="1">IFERROR(__xludf.DUMMYFUNCTION("""COMPUTED_VALUE"""),"Ajman")</f>
        <v>Ajman</v>
      </c>
      <c r="B15470" s="2" t="str">
        <f ca="1">IFERROR(__xludf.DUMMYFUNCTION("""COMPUTED_VALUE"""),"Lake View Tower")</f>
        <v>Lake View Tower</v>
      </c>
      <c r="C15470" s="2" t="str">
        <f ca="1">IFERROR(__xludf.DUMMYFUNCTION("""COMPUTED_VALUE"""),"Cluster")</f>
        <v>Cluster</v>
      </c>
      <c r="D15470" s="2" t="str">
        <f ca="1">IFERROR(__xludf.DUMMYFUNCTION("""COMPUTED_VALUE"""),"Ajman&gt;Emirates City&gt;Lake View Tower")</f>
        <v>Ajman&gt;Emirates City&gt;Lake View Tower</v>
      </c>
      <c r="E15470" s="2"/>
      <c r="F15470" s="2"/>
      <c r="G15470" s="2"/>
      <c r="H15470" s="2"/>
      <c r="I15470" s="2"/>
      <c r="J15470" s="2"/>
      <c r="K15470" s="2"/>
      <c r="L15470" s="2"/>
      <c r="M15470" s="2"/>
      <c r="N15470" s="2"/>
      <c r="O15470" s="2"/>
      <c r="P15470" s="2"/>
      <c r="Q15470" s="2"/>
      <c r="R15470" s="2"/>
      <c r="S15470" s="2"/>
      <c r="T15470" s="2"/>
      <c r="U15470" s="2"/>
      <c r="V15470" s="2"/>
      <c r="W15470" s="2"/>
      <c r="X15470" s="2"/>
      <c r="Y15470" s="2"/>
      <c r="Z15470" s="2"/>
    </row>
    <row r="15471" spans="1:26" ht="16.5" x14ac:dyDescent="0.35">
      <c r="A15471" s="2" t="str">
        <f ca="1">IFERROR(__xludf.DUMMYFUNCTION("""COMPUTED_VALUE"""),"Ajman")</f>
        <v>Ajman</v>
      </c>
      <c r="B15471" s="2" t="str">
        <f ca="1">IFERROR(__xludf.DUMMYFUNCTION("""COMPUTED_VALUE"""),"Savannah Tower")</f>
        <v>Savannah Tower</v>
      </c>
      <c r="C15471" s="2"/>
      <c r="D15471" s="2" t="str">
        <f ca="1">IFERROR(__xludf.DUMMYFUNCTION("""COMPUTED_VALUE"""),"Ajman&gt;Emirates City&gt;Savannah Tower")</f>
        <v>Ajman&gt;Emirates City&gt;Savannah Tower</v>
      </c>
      <c r="E15471" s="2"/>
      <c r="F15471" s="2"/>
      <c r="G15471" s="2"/>
      <c r="H15471" s="2"/>
      <c r="I15471" s="2"/>
      <c r="J15471" s="2"/>
      <c r="K15471" s="2"/>
      <c r="L15471" s="2"/>
      <c r="M15471" s="2"/>
      <c r="N15471" s="2"/>
      <c r="O15471" s="2"/>
      <c r="P15471" s="2"/>
      <c r="Q15471" s="2"/>
      <c r="R15471" s="2"/>
      <c r="S15471" s="2"/>
      <c r="T15471" s="2"/>
      <c r="U15471" s="2"/>
      <c r="V15471" s="2"/>
      <c r="W15471" s="2"/>
      <c r="X15471" s="2"/>
      <c r="Y15471" s="2"/>
      <c r="Z15471" s="2"/>
    </row>
    <row r="15472" spans="1:26" ht="16.5" x14ac:dyDescent="0.35">
      <c r="A15472" s="2" t="str">
        <f ca="1">IFERROR(__xludf.DUMMYFUNCTION("""COMPUTED_VALUE"""),"Ajman")</f>
        <v>Ajman</v>
      </c>
      <c r="B15472" s="2" t="str">
        <f ca="1">IFERROR(__xludf.DUMMYFUNCTION("""COMPUTED_VALUE"""),"WISE Indian Academy")</f>
        <v>WISE Indian Academy</v>
      </c>
      <c r="C15472" s="2" t="str">
        <f ca="1">IFERROR(__xludf.DUMMYFUNCTION("""COMPUTED_VALUE"""),"School")</f>
        <v>School</v>
      </c>
      <c r="D15472" s="2" t="str">
        <f ca="1">IFERROR(__xludf.DUMMYFUNCTION("""COMPUTED_VALUE"""),"Ajman&gt;Al Jurf&gt;Al Jurf 2&gt;WISE Indian Academy")</f>
        <v>Ajman&gt;Al Jurf&gt;Al Jurf 2&gt;WISE Indian Academy</v>
      </c>
      <c r="E15472" s="2"/>
      <c r="F15472" s="2"/>
      <c r="G15472" s="2"/>
      <c r="H15472" s="2"/>
      <c r="I15472" s="2"/>
      <c r="J15472" s="2"/>
      <c r="K15472" s="2"/>
      <c r="L15472" s="2"/>
      <c r="M15472" s="2"/>
      <c r="N15472" s="2"/>
      <c r="O15472" s="2"/>
      <c r="P15472" s="2"/>
      <c r="Q15472" s="2"/>
      <c r="R15472" s="2"/>
      <c r="S15472" s="2"/>
      <c r="T15472" s="2"/>
      <c r="U15472" s="2"/>
      <c r="V15472" s="2"/>
      <c r="W15472" s="2"/>
      <c r="X15472" s="2"/>
      <c r="Y15472" s="2"/>
      <c r="Z15472" s="2"/>
    </row>
    <row r="15473" spans="1:26" ht="16.5" x14ac:dyDescent="0.35">
      <c r="A15473" s="2" t="str">
        <f ca="1">IFERROR(__xludf.DUMMYFUNCTION("""COMPUTED_VALUE"""),"Ajman")</f>
        <v>Ajman</v>
      </c>
      <c r="B15473" s="2" t="str">
        <f ca="1">IFERROR(__xludf.DUMMYFUNCTION("""COMPUTED_VALUE"""),"Geepas Building 5")</f>
        <v>Geepas Building 5</v>
      </c>
      <c r="C15473" s="2"/>
      <c r="D15473" s="2" t="str">
        <f ca="1">IFERROR(__xludf.DUMMYFUNCTION("""COMPUTED_VALUE"""),"Ajman&gt;Al Bustan&gt;Geepas Building 5")</f>
        <v>Ajman&gt;Al Bustan&gt;Geepas Building 5</v>
      </c>
      <c r="E15473" s="2"/>
      <c r="F15473" s="2"/>
      <c r="G15473" s="2"/>
      <c r="H15473" s="2"/>
      <c r="I15473" s="2"/>
      <c r="J15473" s="2"/>
      <c r="K15473" s="2"/>
      <c r="L15473" s="2"/>
      <c r="M15473" s="2"/>
      <c r="N15473" s="2"/>
      <c r="O15473" s="2"/>
      <c r="P15473" s="2"/>
      <c r="Q15473" s="2"/>
      <c r="R15473" s="2"/>
      <c r="S15473" s="2"/>
      <c r="T15473" s="2"/>
      <c r="U15473" s="2"/>
      <c r="V15473" s="2"/>
      <c r="W15473" s="2"/>
      <c r="X15473" s="2"/>
      <c r="Y15473" s="2"/>
      <c r="Z15473" s="2"/>
    </row>
    <row r="15474" spans="1:26" ht="16.5" x14ac:dyDescent="0.35">
      <c r="A15474" s="2" t="str">
        <f ca="1">IFERROR(__xludf.DUMMYFUNCTION("""COMPUTED_VALUE"""),"Ajman")</f>
        <v>Ajman</v>
      </c>
      <c r="B15474" s="2" t="str">
        <f ca="1">IFERROR(__xludf.DUMMYFUNCTION("""COMPUTED_VALUE"""),"Barajeel Towers")</f>
        <v>Barajeel Towers</v>
      </c>
      <c r="C15474" s="2" t="str">
        <f ca="1">IFERROR(__xludf.DUMMYFUNCTION("""COMPUTED_VALUE"""),"Cluster")</f>
        <v>Cluster</v>
      </c>
      <c r="D15474" s="2" t="str">
        <f ca="1">IFERROR(__xludf.DUMMYFUNCTION("""COMPUTED_VALUE"""),"Ajman&gt;Al Rashidiya&gt;Al Rashidiya 1&gt;Barajeel Towers")</f>
        <v>Ajman&gt;Al Rashidiya&gt;Al Rashidiya 1&gt;Barajeel Towers</v>
      </c>
      <c r="E15474" s="2"/>
      <c r="F15474" s="2"/>
      <c r="G15474" s="2"/>
      <c r="H15474" s="2"/>
      <c r="I15474" s="2"/>
      <c r="J15474" s="2"/>
      <c r="K15474" s="2"/>
      <c r="L15474" s="2"/>
      <c r="M15474" s="2"/>
      <c r="N15474" s="2"/>
      <c r="O15474" s="2"/>
      <c r="P15474" s="2"/>
      <c r="Q15474" s="2"/>
      <c r="R15474" s="2"/>
      <c r="S15474" s="2"/>
      <c r="T15474" s="2"/>
      <c r="U15474" s="2"/>
      <c r="V15474" s="2"/>
      <c r="W15474" s="2"/>
      <c r="X15474" s="2"/>
      <c r="Y15474" s="2"/>
      <c r="Z15474" s="2"/>
    </row>
    <row r="15475" spans="1:26" ht="16.5" x14ac:dyDescent="0.35">
      <c r="A15475" s="2" t="str">
        <f ca="1">IFERROR(__xludf.DUMMYFUNCTION("""COMPUTED_VALUE"""),"Ajman")</f>
        <v>Ajman</v>
      </c>
      <c r="B15475" s="2" t="str">
        <f ca="1">IFERROR(__xludf.DUMMYFUNCTION("""COMPUTED_VALUE"""),"Ajman One Tower 12")</f>
        <v>Ajman One Tower 12</v>
      </c>
      <c r="C15475" s="2"/>
      <c r="D15475" s="2" t="str">
        <f ca="1">IFERROR(__xludf.DUMMYFUNCTION("""COMPUTED_VALUE"""),"Ajman&gt;Al Rashidiya&gt;Al Rashidiya 3&gt;Ajman One Towers&gt;Ajman One Tower 12")</f>
        <v>Ajman&gt;Al Rashidiya&gt;Al Rashidiya 3&gt;Ajman One Towers&gt;Ajman One Tower 12</v>
      </c>
      <c r="E15475" s="2"/>
      <c r="F15475" s="2"/>
      <c r="G15475" s="2"/>
      <c r="H15475" s="2"/>
      <c r="I15475" s="2"/>
      <c r="J15475" s="2"/>
      <c r="K15475" s="2"/>
      <c r="L15475" s="2"/>
      <c r="M15475" s="2"/>
      <c r="N15475" s="2"/>
      <c r="O15475" s="2"/>
      <c r="P15475" s="2"/>
      <c r="Q15475" s="2"/>
      <c r="R15475" s="2"/>
      <c r="S15475" s="2"/>
      <c r="T15475" s="2"/>
      <c r="U15475" s="2"/>
      <c r="V15475" s="2"/>
      <c r="W15475" s="2"/>
      <c r="X15475" s="2"/>
      <c r="Y15475" s="2"/>
      <c r="Z15475" s="2"/>
    </row>
    <row r="15476" spans="1:26" ht="16.5" x14ac:dyDescent="0.35">
      <c r="A15476" s="2" t="str">
        <f ca="1">IFERROR(__xludf.DUMMYFUNCTION("""COMPUTED_VALUE"""),"Ajman")</f>
        <v>Ajman</v>
      </c>
      <c r="B15476" s="2" t="str">
        <f ca="1">IFERROR(__xludf.DUMMYFUNCTION("""COMPUTED_VALUE"""),"JR Residence 6")</f>
        <v>JR Residence 6</v>
      </c>
      <c r="C15476" s="2" t="str">
        <f ca="1">IFERROR(__xludf.DUMMYFUNCTION("""COMPUTED_VALUE"""),"Building")</f>
        <v>Building</v>
      </c>
      <c r="D15476" s="2" t="str">
        <f ca="1">IFERROR(__xludf.DUMMYFUNCTION("""COMPUTED_VALUE"""),"Ajman&gt;Al Mowaihat&gt;Al Mowaihat 3&gt;JR Residence 6")</f>
        <v>Ajman&gt;Al Mowaihat&gt;Al Mowaihat 3&gt;JR Residence 6</v>
      </c>
      <c r="E15476" s="2"/>
      <c r="F15476" s="2"/>
      <c r="G15476" s="2"/>
      <c r="H15476" s="2"/>
      <c r="I15476" s="2"/>
      <c r="J15476" s="2"/>
      <c r="K15476" s="2"/>
      <c r="L15476" s="2"/>
      <c r="M15476" s="2"/>
      <c r="N15476" s="2"/>
      <c r="O15476" s="2"/>
      <c r="P15476" s="2"/>
      <c r="Q15476" s="2"/>
      <c r="R15476" s="2"/>
      <c r="S15476" s="2"/>
      <c r="T15476" s="2"/>
      <c r="U15476" s="2"/>
      <c r="V15476" s="2"/>
      <c r="W15476" s="2"/>
      <c r="X15476" s="2"/>
      <c r="Y15476" s="2"/>
      <c r="Z15476" s="2"/>
    </row>
    <row r="15477" spans="1:26" ht="16.5" x14ac:dyDescent="0.35">
      <c r="A15477" s="2" t="str">
        <f ca="1">IFERROR(__xludf.DUMMYFUNCTION("""COMPUTED_VALUE"""),"Ajman")</f>
        <v>Ajman</v>
      </c>
      <c r="B15477" s="2" t="str">
        <f ca="1">IFERROR(__xludf.DUMMYFUNCTION("""COMPUTED_VALUE"""),"Time Square")</f>
        <v>Time Square</v>
      </c>
      <c r="C15477" s="2"/>
      <c r="D15477" s="2" t="str">
        <f ca="1">IFERROR(__xludf.DUMMYFUNCTION("""COMPUTED_VALUE"""),"Ajman&gt;Emirates Lake Towers&gt;Time Square")</f>
        <v>Ajman&gt;Emirates Lake Towers&gt;Time Square</v>
      </c>
      <c r="E15477" s="2"/>
      <c r="F15477" s="2"/>
      <c r="G15477" s="2"/>
      <c r="H15477" s="2"/>
      <c r="I15477" s="2"/>
      <c r="J15477" s="2"/>
      <c r="K15477" s="2"/>
      <c r="L15477" s="2"/>
      <c r="M15477" s="2"/>
      <c r="N15477" s="2"/>
      <c r="O15477" s="2"/>
      <c r="P15477" s="2"/>
      <c r="Q15477" s="2"/>
      <c r="R15477" s="2"/>
      <c r="S15477" s="2"/>
      <c r="T15477" s="2"/>
      <c r="U15477" s="2"/>
      <c r="V15477" s="2"/>
      <c r="W15477" s="2"/>
      <c r="X15477" s="2"/>
      <c r="Y15477" s="2"/>
      <c r="Z15477" s="2"/>
    </row>
    <row r="15478" spans="1:26" ht="16.5" x14ac:dyDescent="0.35">
      <c r="A15478" s="2" t="str">
        <f ca="1">IFERROR(__xludf.DUMMYFUNCTION("""COMPUTED_VALUE"""),"Ajman")</f>
        <v>Ajman</v>
      </c>
      <c r="B15478" s="2" t="str">
        <f ca="1">IFERROR(__xludf.DUMMYFUNCTION("""COMPUTED_VALUE"""),"Tiger Downtown Ajman Tower B2")</f>
        <v>Tiger Downtown Ajman Tower B2</v>
      </c>
      <c r="C15478" s="2" t="str">
        <f ca="1">IFERROR(__xludf.DUMMYFUNCTION("""COMPUTED_VALUE"""),"Building")</f>
        <v>Building</v>
      </c>
      <c r="D15478" s="2" t="str">
        <f ca="1">IFERROR(__xludf.DUMMYFUNCTION("""COMPUTED_VALUE"""),"Ajman&gt;Al Alia&gt;Tiger Downtown Ajman&gt;Tiger Downtown Ajman Tower B2")</f>
        <v>Ajman&gt;Al Alia&gt;Tiger Downtown Ajman&gt;Tiger Downtown Ajman Tower B2</v>
      </c>
      <c r="E15478" s="2"/>
      <c r="F15478" s="2"/>
      <c r="G15478" s="2"/>
      <c r="H15478" s="2"/>
      <c r="I15478" s="2"/>
      <c r="J15478" s="2"/>
      <c r="K15478" s="2"/>
      <c r="L15478" s="2"/>
      <c r="M15478" s="2"/>
      <c r="N15478" s="2"/>
      <c r="O15478" s="2"/>
      <c r="P15478" s="2"/>
      <c r="Q15478" s="2"/>
      <c r="R15478" s="2"/>
      <c r="S15478" s="2"/>
      <c r="T15478" s="2"/>
      <c r="U15478" s="2"/>
      <c r="V15478" s="2"/>
      <c r="W15478" s="2"/>
      <c r="X15478" s="2"/>
      <c r="Y15478" s="2"/>
      <c r="Z15478" s="2"/>
    </row>
    <row r="15479" spans="1:26" ht="16.5" x14ac:dyDescent="0.35">
      <c r="A15479" s="2" t="str">
        <f ca="1">IFERROR(__xludf.DUMMYFUNCTION("""COMPUTED_VALUE"""),"Ajman")</f>
        <v>Ajman</v>
      </c>
      <c r="B15479" s="2" t="str">
        <f ca="1">IFERROR(__xludf.DUMMYFUNCTION("""COMPUTED_VALUE"""),"Sky Tower 2")</f>
        <v>Sky Tower 2</v>
      </c>
      <c r="C15479" s="2"/>
      <c r="D15479" s="2" t="str">
        <f ca="1">IFERROR(__xludf.DUMMYFUNCTION("""COMPUTED_VALUE"""),"Ajman&gt;Al Humaid City&gt;Sky Tower&gt;Sky Tower 2")</f>
        <v>Ajman&gt;Al Humaid City&gt;Sky Tower&gt;Sky Tower 2</v>
      </c>
      <c r="E15479" s="2"/>
      <c r="F15479" s="2"/>
      <c r="G15479" s="2"/>
      <c r="H15479" s="2"/>
      <c r="I15479" s="2"/>
      <c r="J15479" s="2"/>
      <c r="K15479" s="2"/>
      <c r="L15479" s="2"/>
      <c r="M15479" s="2"/>
      <c r="N15479" s="2"/>
      <c r="O15479" s="2"/>
      <c r="P15479" s="2"/>
      <c r="Q15479" s="2"/>
      <c r="R15479" s="2"/>
      <c r="S15479" s="2"/>
      <c r="T15479" s="2"/>
      <c r="U15479" s="2"/>
      <c r="V15479" s="2"/>
      <c r="W15479" s="2"/>
      <c r="X15479" s="2"/>
      <c r="Y15479" s="2"/>
      <c r="Z15479" s="2"/>
    </row>
    <row r="15480" spans="1:26" ht="16.5" x14ac:dyDescent="0.35">
      <c r="A15480" s="2" t="str">
        <f ca="1">IFERROR(__xludf.DUMMYFUNCTION("""COMPUTED_VALUE"""),"Ajman")</f>
        <v>Ajman</v>
      </c>
      <c r="B15480" s="2" t="str">
        <f ca="1">IFERROR(__xludf.DUMMYFUNCTION("""COMPUTED_VALUE"""),"Al Butain")</f>
        <v>Al Butain</v>
      </c>
      <c r="C15480" s="2"/>
      <c r="D15480" s="2" t="str">
        <f ca="1">IFERROR(__xludf.DUMMYFUNCTION("""COMPUTED_VALUE"""),"Ajman&gt;Al Butain")</f>
        <v>Ajman&gt;Al Butain</v>
      </c>
      <c r="E15480" s="2"/>
      <c r="F15480" s="2"/>
      <c r="G15480" s="2"/>
      <c r="H15480" s="2"/>
      <c r="I15480" s="2"/>
      <c r="J15480" s="2"/>
      <c r="K15480" s="2"/>
      <c r="L15480" s="2"/>
      <c r="M15480" s="2"/>
      <c r="N15480" s="2"/>
      <c r="O15480" s="2"/>
      <c r="P15480" s="2"/>
      <c r="Q15480" s="2"/>
      <c r="R15480" s="2"/>
      <c r="S15480" s="2"/>
      <c r="T15480" s="2"/>
      <c r="U15480" s="2"/>
      <c r="V15480" s="2"/>
      <c r="W15480" s="2"/>
      <c r="X15480" s="2"/>
      <c r="Y15480" s="2"/>
      <c r="Z15480" s="2"/>
    </row>
    <row r="15481" spans="1:26" ht="16.5" x14ac:dyDescent="0.35">
      <c r="A15481" s="2" t="str">
        <f ca="1">IFERROR(__xludf.DUMMYFUNCTION("""COMPUTED_VALUE"""),"Ajman")</f>
        <v>Ajman</v>
      </c>
      <c r="B15481" s="2" t="str">
        <f ca="1">IFERROR(__xludf.DUMMYFUNCTION("""COMPUTED_VALUE"""),"British International School, Ajman")</f>
        <v>British International School, Ajman</v>
      </c>
      <c r="C15481" s="2" t="str">
        <f ca="1">IFERROR(__xludf.DUMMYFUNCTION("""COMPUTED_VALUE"""),"School")</f>
        <v>School</v>
      </c>
      <c r="D15481" s="2" t="str">
        <f ca="1">IFERROR(__xludf.DUMMYFUNCTION("""COMPUTED_VALUE"""),"Ajman&gt;Al Nuaimiya&gt;Al Nuaimiya 3&gt;British International School, Ajman")</f>
        <v>Ajman&gt;Al Nuaimiya&gt;Al Nuaimiya 3&gt;British International School, Ajman</v>
      </c>
      <c r="E15481" s="2"/>
      <c r="F15481" s="2"/>
      <c r="G15481" s="2"/>
      <c r="H15481" s="2"/>
      <c r="I15481" s="2"/>
      <c r="J15481" s="2"/>
      <c r="K15481" s="2"/>
      <c r="L15481" s="2"/>
      <c r="M15481" s="2"/>
      <c r="N15481" s="2"/>
      <c r="O15481" s="2"/>
      <c r="P15481" s="2"/>
      <c r="Q15481" s="2"/>
      <c r="R15481" s="2"/>
      <c r="S15481" s="2"/>
      <c r="T15481" s="2"/>
      <c r="U15481" s="2"/>
      <c r="V15481" s="2"/>
      <c r="W15481" s="2"/>
      <c r="X15481" s="2"/>
      <c r="Y15481" s="2"/>
      <c r="Z15481" s="2"/>
    </row>
    <row r="15482" spans="1:26" ht="16.5" x14ac:dyDescent="0.35">
      <c r="A15482" s="2" t="str">
        <f ca="1">IFERROR(__xludf.DUMMYFUNCTION("""COMPUTED_VALUE"""),"Ajman")</f>
        <v>Ajman</v>
      </c>
      <c r="B15482" s="2" t="str">
        <f ca="1">IFERROR(__xludf.DUMMYFUNCTION("""COMPUTED_VALUE"""),"Fortune Heights")</f>
        <v>Fortune Heights</v>
      </c>
      <c r="C15482" s="2"/>
      <c r="D15482" s="2" t="str">
        <f ca="1">IFERROR(__xludf.DUMMYFUNCTION("""COMPUTED_VALUE"""),"Ajman&gt;Park View City&gt;Fortune Heights")</f>
        <v>Ajman&gt;Park View City&gt;Fortune Heights</v>
      </c>
      <c r="E15482" s="2"/>
      <c r="F15482" s="2"/>
      <c r="G15482" s="2"/>
      <c r="H15482" s="2"/>
      <c r="I15482" s="2"/>
      <c r="J15482" s="2"/>
      <c r="K15482" s="2"/>
      <c r="L15482" s="2"/>
      <c r="M15482" s="2"/>
      <c r="N15482" s="2"/>
      <c r="O15482" s="2"/>
      <c r="P15482" s="2"/>
      <c r="Q15482" s="2"/>
      <c r="R15482" s="2"/>
      <c r="S15482" s="2"/>
      <c r="T15482" s="2"/>
      <c r="U15482" s="2"/>
      <c r="V15482" s="2"/>
      <c r="W15482" s="2"/>
      <c r="X15482" s="2"/>
      <c r="Y15482" s="2"/>
      <c r="Z15482" s="2"/>
    </row>
    <row r="15483" spans="1:26" ht="16.5" x14ac:dyDescent="0.35">
      <c r="A15483" s="2" t="str">
        <f ca="1">IFERROR(__xludf.DUMMYFUNCTION("""COMPUTED_VALUE"""),"Sharjah")</f>
        <v>Sharjah</v>
      </c>
      <c r="B15483" s="2" t="str">
        <f ca="1">IFERROR(__xludf.DUMMYFUNCTION("""COMPUTED_VALUE"""),"Al Nahda Sahara Plaza A")</f>
        <v>Al Nahda Sahara Plaza A</v>
      </c>
      <c r="C15483" s="2" t="str">
        <f ca="1">IFERROR(__xludf.DUMMYFUNCTION("""COMPUTED_VALUE"""),"Building")</f>
        <v>Building</v>
      </c>
      <c r="D15483" s="2" t="str">
        <f ca="1">IFERROR(__xludf.DUMMYFUNCTION("""COMPUTED_VALUE"""),"Sharjah&gt;Al Nahda (Sharjah)&gt;Al Nahda Sahara Plaza&gt;Al Nahda Sahara Plaza A")</f>
        <v>Sharjah&gt;Al Nahda (Sharjah)&gt;Al Nahda Sahara Plaza&gt;Al Nahda Sahara Plaza A</v>
      </c>
      <c r="E15483" s="2"/>
      <c r="F15483" s="2"/>
      <c r="G15483" s="2"/>
      <c r="H15483" s="2"/>
      <c r="I15483" s="2"/>
      <c r="J15483" s="2"/>
      <c r="K15483" s="2"/>
      <c r="L15483" s="2"/>
      <c r="M15483" s="2"/>
      <c r="N15483" s="2"/>
      <c r="O15483" s="2"/>
      <c r="P15483" s="2"/>
      <c r="Q15483" s="2"/>
      <c r="R15483" s="2"/>
      <c r="S15483" s="2"/>
      <c r="T15483" s="2"/>
      <c r="U15483" s="2"/>
      <c r="V15483" s="2"/>
      <c r="W15483" s="2"/>
      <c r="X15483" s="2"/>
      <c r="Y15483" s="2"/>
      <c r="Z15483" s="2"/>
    </row>
    <row r="15484" spans="1:26" ht="16.5" x14ac:dyDescent="0.35">
      <c r="A15484" s="2" t="str">
        <f ca="1">IFERROR(__xludf.DUMMYFUNCTION("""COMPUTED_VALUE"""),"Sharjah")</f>
        <v>Sharjah</v>
      </c>
      <c r="B15484" s="2" t="str">
        <f ca="1">IFERROR(__xludf.DUMMYFUNCTION("""COMPUTED_VALUE"""),"Abbco Tower")</f>
        <v>Abbco Tower</v>
      </c>
      <c r="C15484" s="2"/>
      <c r="D15484" s="2" t="str">
        <f ca="1">IFERROR(__xludf.DUMMYFUNCTION("""COMPUTED_VALUE"""),"Sharjah&gt;Al Nahda (Sharjah)&gt;Abbco Tower")</f>
        <v>Sharjah&gt;Al Nahda (Sharjah)&gt;Abbco Tower</v>
      </c>
      <c r="E15484" s="2"/>
      <c r="F15484" s="2"/>
      <c r="G15484" s="2"/>
      <c r="H15484" s="2"/>
      <c r="I15484" s="2"/>
      <c r="J15484" s="2"/>
      <c r="K15484" s="2"/>
      <c r="L15484" s="2"/>
      <c r="M15484" s="2"/>
      <c r="N15484" s="2"/>
      <c r="O15484" s="2"/>
      <c r="P15484" s="2"/>
      <c r="Q15484" s="2"/>
      <c r="R15484" s="2"/>
      <c r="S15484" s="2"/>
      <c r="T15484" s="2"/>
      <c r="U15484" s="2"/>
      <c r="V15484" s="2"/>
      <c r="W15484" s="2"/>
      <c r="X15484" s="2"/>
      <c r="Y15484" s="2"/>
      <c r="Z15484" s="2"/>
    </row>
    <row r="15485" spans="1:26" ht="16.5" x14ac:dyDescent="0.35">
      <c r="A15485" s="2" t="str">
        <f ca="1">IFERROR(__xludf.DUMMYFUNCTION("""COMPUTED_VALUE"""),"Sharjah")</f>
        <v>Sharjah</v>
      </c>
      <c r="B15485" s="2" t="str">
        <f ca="1">IFERROR(__xludf.DUMMYFUNCTION("""COMPUTED_VALUE"""),"Al Yasminah Building")</f>
        <v>Al Yasminah Building</v>
      </c>
      <c r="C15485" s="2"/>
      <c r="D15485" s="2" t="str">
        <f ca="1">IFERROR(__xludf.DUMMYFUNCTION("""COMPUTED_VALUE"""),"Sharjah&gt;Al Nahda (Sharjah)&gt;Al Yasminah Building")</f>
        <v>Sharjah&gt;Al Nahda (Sharjah)&gt;Al Yasminah Building</v>
      </c>
      <c r="E15485" s="2"/>
      <c r="F15485" s="2"/>
      <c r="G15485" s="2"/>
      <c r="H15485" s="2"/>
      <c r="I15485" s="2"/>
      <c r="J15485" s="2"/>
      <c r="K15485" s="2"/>
      <c r="L15485" s="2"/>
      <c r="M15485" s="2"/>
      <c r="N15485" s="2"/>
      <c r="O15485" s="2"/>
      <c r="P15485" s="2"/>
      <c r="Q15485" s="2"/>
      <c r="R15485" s="2"/>
      <c r="S15485" s="2"/>
      <c r="T15485" s="2"/>
      <c r="U15485" s="2"/>
      <c r="V15485" s="2"/>
      <c r="W15485" s="2"/>
      <c r="X15485" s="2"/>
      <c r="Y15485" s="2"/>
      <c r="Z15485" s="2"/>
    </row>
    <row r="15486" spans="1:26" ht="16.5" x14ac:dyDescent="0.35">
      <c r="A15486" s="2" t="str">
        <f ca="1">IFERROR(__xludf.DUMMYFUNCTION("""COMPUTED_VALUE"""),"Sharjah")</f>
        <v>Sharjah</v>
      </c>
      <c r="B15486" s="2" t="str">
        <f ca="1">IFERROR(__xludf.DUMMYFUNCTION("""COMPUTED_VALUE"""),"Shiba Al Nahda")</f>
        <v>Shiba Al Nahda</v>
      </c>
      <c r="C15486" s="2"/>
      <c r="D15486" s="2" t="str">
        <f ca="1">IFERROR(__xludf.DUMMYFUNCTION("""COMPUTED_VALUE"""),"Sharjah&gt;Al Nahda (Sharjah)&gt;Shiba Al Nahda")</f>
        <v>Sharjah&gt;Al Nahda (Sharjah)&gt;Shiba Al Nahda</v>
      </c>
      <c r="E15486" s="2"/>
      <c r="F15486" s="2"/>
      <c r="G15486" s="2"/>
      <c r="H15486" s="2"/>
      <c r="I15486" s="2"/>
      <c r="J15486" s="2"/>
      <c r="K15486" s="2"/>
      <c r="L15486" s="2"/>
      <c r="M15486" s="2"/>
      <c r="N15486" s="2"/>
      <c r="O15486" s="2"/>
      <c r="P15486" s="2"/>
      <c r="Q15486" s="2"/>
      <c r="R15486" s="2"/>
      <c r="S15486" s="2"/>
      <c r="T15486" s="2"/>
      <c r="U15486" s="2"/>
      <c r="V15486" s="2"/>
      <c r="W15486" s="2"/>
      <c r="X15486" s="2"/>
      <c r="Y15486" s="2"/>
      <c r="Z15486" s="2"/>
    </row>
    <row r="15487" spans="1:26" ht="16.5" x14ac:dyDescent="0.35">
      <c r="A15487" s="2" t="str">
        <f ca="1">IFERROR(__xludf.DUMMYFUNCTION("""COMPUTED_VALUE"""),"Sharjah")</f>
        <v>Sharjah</v>
      </c>
      <c r="B15487" s="2" t="str">
        <f ca="1">IFERROR(__xludf.DUMMYFUNCTION("""COMPUTED_VALUE"""),"Al Madam")</f>
        <v>Al Madam</v>
      </c>
      <c r="C15487" s="2" t="str">
        <f ca="1">IFERROR(__xludf.DUMMYFUNCTION("""COMPUTED_VALUE"""),"Neighbourhood")</f>
        <v>Neighbourhood</v>
      </c>
      <c r="D15487" s="2" t="str">
        <f ca="1">IFERROR(__xludf.DUMMYFUNCTION("""COMPUTED_VALUE"""),"Sharjah&gt;Al Madam")</f>
        <v>Sharjah&gt;Al Madam</v>
      </c>
      <c r="E15487" s="2"/>
      <c r="F15487" s="2"/>
      <c r="G15487" s="2"/>
      <c r="H15487" s="2"/>
      <c r="I15487" s="2"/>
      <c r="J15487" s="2"/>
      <c r="K15487" s="2"/>
      <c r="L15487" s="2"/>
      <c r="M15487" s="2"/>
      <c r="N15487" s="2"/>
      <c r="O15487" s="2"/>
      <c r="P15487" s="2"/>
      <c r="Q15487" s="2"/>
      <c r="R15487" s="2"/>
      <c r="S15487" s="2"/>
      <c r="T15487" s="2"/>
      <c r="U15487" s="2"/>
      <c r="V15487" s="2"/>
      <c r="W15487" s="2"/>
      <c r="X15487" s="2"/>
      <c r="Y15487" s="2"/>
      <c r="Z15487" s="2"/>
    </row>
    <row r="15488" spans="1:26" ht="16.5" x14ac:dyDescent="0.35">
      <c r="A15488" s="2" t="str">
        <f ca="1">IFERROR(__xludf.DUMMYFUNCTION("""COMPUTED_VALUE"""),"Sharjah")</f>
        <v>Sharjah</v>
      </c>
      <c r="B15488" s="2" t="str">
        <f ca="1">IFERROR(__xludf.DUMMYFUNCTION("""COMPUTED_VALUE"""),"The Riff 2")</f>
        <v>The Riff 2</v>
      </c>
      <c r="C15488" s="2" t="str">
        <f ca="1">IFERROR(__xludf.DUMMYFUNCTION("""COMPUTED_VALUE"""),"Building")</f>
        <v>Building</v>
      </c>
      <c r="D15488" s="2" t="str">
        <f ca="1">IFERROR(__xludf.DUMMYFUNCTION("""COMPUTED_VALUE"""),"Sharjah&gt;Aljada&gt;East Village&gt;The Riff&gt;The Riff 2")</f>
        <v>Sharjah&gt;Aljada&gt;East Village&gt;The Riff&gt;The Riff 2</v>
      </c>
      <c r="E15488" s="2"/>
      <c r="F15488" s="2"/>
      <c r="G15488" s="2"/>
      <c r="H15488" s="2"/>
      <c r="I15488" s="2"/>
      <c r="J15488" s="2"/>
      <c r="K15488" s="2"/>
      <c r="L15488" s="2"/>
      <c r="M15488" s="2"/>
      <c r="N15488" s="2"/>
      <c r="O15488" s="2"/>
      <c r="P15488" s="2"/>
      <c r="Q15488" s="2"/>
      <c r="R15488" s="2"/>
      <c r="S15488" s="2"/>
      <c r="T15488" s="2"/>
      <c r="U15488" s="2"/>
      <c r="V15488" s="2"/>
      <c r="W15488" s="2"/>
      <c r="X15488" s="2"/>
      <c r="Y15488" s="2"/>
      <c r="Z15488" s="2"/>
    </row>
    <row r="15489" spans="1:26" ht="16.5" x14ac:dyDescent="0.35">
      <c r="A15489" s="2" t="str">
        <f ca="1">IFERROR(__xludf.DUMMYFUNCTION("""COMPUTED_VALUE"""),"Sharjah")</f>
        <v>Sharjah</v>
      </c>
      <c r="B15489" s="2" t="str">
        <f ca="1">IFERROR(__xludf.DUMMYFUNCTION("""COMPUTED_VALUE"""),"Tiraz 3")</f>
        <v>Tiraz 3</v>
      </c>
      <c r="C15489" s="2" t="str">
        <f ca="1">IFERROR(__xludf.DUMMYFUNCTION("""COMPUTED_VALUE"""),"Building")</f>
        <v>Building</v>
      </c>
      <c r="D15489" s="2" t="str">
        <f ca="1">IFERROR(__xludf.DUMMYFUNCTION("""COMPUTED_VALUE"""),"Sharjah&gt;Aljada&gt;Naseej District&gt;Tiraz&gt;Tiraz 3")</f>
        <v>Sharjah&gt;Aljada&gt;Naseej District&gt;Tiraz&gt;Tiraz 3</v>
      </c>
      <c r="E15489" s="2"/>
      <c r="F15489" s="2"/>
      <c r="G15489" s="2"/>
      <c r="H15489" s="2"/>
      <c r="I15489" s="2"/>
      <c r="J15489" s="2"/>
      <c r="K15489" s="2"/>
      <c r="L15489" s="2"/>
      <c r="M15489" s="2"/>
      <c r="N15489" s="2"/>
      <c r="O15489" s="2"/>
      <c r="P15489" s="2"/>
      <c r="Q15489" s="2"/>
      <c r="R15489" s="2"/>
      <c r="S15489" s="2"/>
      <c r="T15489" s="2"/>
      <c r="U15489" s="2"/>
      <c r="V15489" s="2"/>
      <c r="W15489" s="2"/>
      <c r="X15489" s="2"/>
      <c r="Y15489" s="2"/>
      <c r="Z15489" s="2"/>
    </row>
    <row r="15490" spans="1:26" ht="16.5" x14ac:dyDescent="0.35">
      <c r="A15490" s="2" t="str">
        <f ca="1">IFERROR(__xludf.DUMMYFUNCTION("""COMPUTED_VALUE"""),"Sharjah")</f>
        <v>Sharjah</v>
      </c>
      <c r="B15490" s="2" t="str">
        <f ca="1">IFERROR(__xludf.DUMMYFUNCTION("""COMPUTED_VALUE"""),"Central Business District")</f>
        <v>Central Business District</v>
      </c>
      <c r="C15490" s="2" t="str">
        <f ca="1">IFERROR(__xludf.DUMMYFUNCTION("""COMPUTED_VALUE"""),"Neighbourhood")</f>
        <v>Neighbourhood</v>
      </c>
      <c r="D15490" s="2" t="str">
        <f ca="1">IFERROR(__xludf.DUMMYFUNCTION("""COMPUTED_VALUE"""),"Sharjah&gt;Aljada&gt;Central Business District")</f>
        <v>Sharjah&gt;Aljada&gt;Central Business District</v>
      </c>
      <c r="E15490" s="2"/>
      <c r="F15490" s="2"/>
      <c r="G15490" s="2"/>
      <c r="H15490" s="2"/>
      <c r="I15490" s="2"/>
      <c r="J15490" s="2"/>
      <c r="K15490" s="2"/>
      <c r="L15490" s="2"/>
      <c r="M15490" s="2"/>
      <c r="N15490" s="2"/>
      <c r="O15490" s="2"/>
      <c r="P15490" s="2"/>
      <c r="Q15490" s="2"/>
      <c r="R15490" s="2"/>
      <c r="S15490" s="2"/>
      <c r="T15490" s="2"/>
      <c r="U15490" s="2"/>
      <c r="V15490" s="2"/>
      <c r="W15490" s="2"/>
      <c r="X15490" s="2"/>
      <c r="Y15490" s="2"/>
      <c r="Z15490" s="2"/>
    </row>
    <row r="15491" spans="1:26" ht="16.5" x14ac:dyDescent="0.35">
      <c r="A15491" s="2" t="str">
        <f ca="1">IFERROR(__xludf.DUMMYFUNCTION("""COMPUTED_VALUE"""),"Sharjah")</f>
        <v>Sharjah</v>
      </c>
      <c r="B15491" s="2" t="str">
        <f ca="1">IFERROR(__xludf.DUMMYFUNCTION("""COMPUTED_VALUE"""),"Al Andalus Tower")</f>
        <v>Al Andalus Tower</v>
      </c>
      <c r="C15491" s="2" t="str">
        <f ca="1">IFERROR(__xludf.DUMMYFUNCTION("""COMPUTED_VALUE"""),"Building")</f>
        <v>Building</v>
      </c>
      <c r="D15491" s="2" t="str">
        <f ca="1">IFERROR(__xludf.DUMMYFUNCTION("""COMPUTED_VALUE"""),"Sharjah&gt;Al Mujarrah&gt;Al Andalus Tower")</f>
        <v>Sharjah&gt;Al Mujarrah&gt;Al Andalus Tower</v>
      </c>
      <c r="E15491" s="2"/>
      <c r="F15491" s="2"/>
      <c r="G15491" s="2"/>
      <c r="H15491" s="2"/>
      <c r="I15491" s="2"/>
      <c r="J15491" s="2"/>
      <c r="K15491" s="2"/>
      <c r="L15491" s="2"/>
      <c r="M15491" s="2"/>
      <c r="N15491" s="2"/>
      <c r="O15491" s="2"/>
      <c r="P15491" s="2"/>
      <c r="Q15491" s="2"/>
      <c r="R15491" s="2"/>
      <c r="S15491" s="2"/>
      <c r="T15491" s="2"/>
      <c r="U15491" s="2"/>
      <c r="V15491" s="2"/>
      <c r="W15491" s="2"/>
      <c r="X15491" s="2"/>
      <c r="Y15491" s="2"/>
      <c r="Z15491" s="2"/>
    </row>
    <row r="15492" spans="1:26" ht="16.5" x14ac:dyDescent="0.35">
      <c r="A15492" s="2" t="str">
        <f ca="1">IFERROR(__xludf.DUMMYFUNCTION("""COMPUTED_VALUE"""),"Sharjah")</f>
        <v>Sharjah</v>
      </c>
      <c r="B15492" s="2" t="str">
        <f ca="1">IFERROR(__xludf.DUMMYFUNCTION("""COMPUTED_VALUE"""),"Al Thoraya Tower")</f>
        <v>Al Thoraya Tower</v>
      </c>
      <c r="C15492" s="2"/>
      <c r="D15492" s="2" t="str">
        <f ca="1">IFERROR(__xludf.DUMMYFUNCTION("""COMPUTED_VALUE"""),"Sharjah&gt;Abu Shagara&gt;Al Thoraya Tower")</f>
        <v>Sharjah&gt;Abu Shagara&gt;Al Thoraya Tower</v>
      </c>
      <c r="E15492" s="2"/>
      <c r="F15492" s="2"/>
      <c r="G15492" s="2"/>
      <c r="H15492" s="2"/>
      <c r="I15492" s="2"/>
      <c r="J15492" s="2"/>
      <c r="K15492" s="2"/>
      <c r="L15492" s="2"/>
      <c r="M15492" s="2"/>
      <c r="N15492" s="2"/>
      <c r="O15492" s="2"/>
      <c r="P15492" s="2"/>
      <c r="Q15492" s="2"/>
      <c r="R15492" s="2"/>
      <c r="S15492" s="2"/>
      <c r="T15492" s="2"/>
      <c r="U15492" s="2"/>
      <c r="V15492" s="2"/>
      <c r="W15492" s="2"/>
      <c r="X15492" s="2"/>
      <c r="Y15492" s="2"/>
      <c r="Z15492" s="2"/>
    </row>
    <row r="15493" spans="1:26" ht="16.5" x14ac:dyDescent="0.35">
      <c r="A15493" s="2" t="str">
        <f ca="1">IFERROR(__xludf.DUMMYFUNCTION("""COMPUTED_VALUE"""),"Sharjah")</f>
        <v>Sharjah</v>
      </c>
      <c r="B15493" s="2" t="str">
        <f ca="1">IFERROR(__xludf.DUMMYFUNCTION("""COMPUTED_VALUE"""),"Egyptian Trade Center")</f>
        <v>Egyptian Trade Center</v>
      </c>
      <c r="C15493" s="2"/>
      <c r="D15493" s="2" t="str">
        <f ca="1">IFERROR(__xludf.DUMMYFUNCTION("""COMPUTED_VALUE"""),"Sharjah&gt;Al Mamzar&gt;Egyptian Trade Center")</f>
        <v>Sharjah&gt;Al Mamzar&gt;Egyptian Trade Center</v>
      </c>
      <c r="E15493" s="2"/>
      <c r="F15493" s="2"/>
      <c r="G15493" s="2"/>
      <c r="H15493" s="2"/>
      <c r="I15493" s="2"/>
      <c r="J15493" s="2"/>
      <c r="K15493" s="2"/>
      <c r="L15493" s="2"/>
      <c r="M15493" s="2"/>
      <c r="N15493" s="2"/>
      <c r="O15493" s="2"/>
      <c r="P15493" s="2"/>
      <c r="Q15493" s="2"/>
      <c r="R15493" s="2"/>
      <c r="S15493" s="2"/>
      <c r="T15493" s="2"/>
      <c r="U15493" s="2"/>
      <c r="V15493" s="2"/>
      <c r="W15493" s="2"/>
      <c r="X15493" s="2"/>
      <c r="Y15493" s="2"/>
      <c r="Z15493" s="2"/>
    </row>
    <row r="15494" spans="1:26" ht="16.5" x14ac:dyDescent="0.35">
      <c r="A15494" s="2" t="str">
        <f ca="1">IFERROR(__xludf.DUMMYFUNCTION("""COMPUTED_VALUE"""),"Sharjah")</f>
        <v>Sharjah</v>
      </c>
      <c r="B15494" s="2" t="str">
        <f ca="1">IFERROR(__xludf.DUMMYFUNCTION("""COMPUTED_VALUE"""),"Mina House Hotel Apartments")</f>
        <v>Mina House Hotel Apartments</v>
      </c>
      <c r="C15494" s="2"/>
      <c r="D15494" s="2" t="str">
        <f ca="1">IFERROR(__xludf.DUMMYFUNCTION("""COMPUTED_VALUE"""),"Sharjah&gt;Al Jubail&gt;Mina House Hotel Apartments")</f>
        <v>Sharjah&gt;Al Jubail&gt;Mina House Hotel Apartments</v>
      </c>
      <c r="E15494" s="2"/>
      <c r="F15494" s="2"/>
      <c r="G15494" s="2"/>
      <c r="H15494" s="2"/>
      <c r="I15494" s="2"/>
      <c r="J15494" s="2"/>
      <c r="K15494" s="2"/>
      <c r="L15494" s="2"/>
      <c r="M15494" s="2"/>
      <c r="N15494" s="2"/>
      <c r="O15494" s="2"/>
      <c r="P15494" s="2"/>
      <c r="Q15494" s="2"/>
      <c r="R15494" s="2"/>
      <c r="S15494" s="2"/>
      <c r="T15494" s="2"/>
      <c r="U15494" s="2"/>
      <c r="V15494" s="2"/>
      <c r="W15494" s="2"/>
      <c r="X15494" s="2"/>
      <c r="Y15494" s="2"/>
      <c r="Z15494" s="2"/>
    </row>
    <row r="15495" spans="1:26" ht="16.5" x14ac:dyDescent="0.35">
      <c r="A15495" s="2" t="str">
        <f ca="1">IFERROR(__xludf.DUMMYFUNCTION("""COMPUTED_VALUE"""),"Sharjah")</f>
        <v>Sharjah</v>
      </c>
      <c r="B15495" s="2" t="str">
        <f ca="1">IFERROR(__xludf.DUMMYFUNCTION("""COMPUTED_VALUE"""),"Al Azra")</f>
        <v>Al Azra</v>
      </c>
      <c r="C15495" s="2" t="str">
        <f ca="1">IFERROR(__xludf.DUMMYFUNCTION("""COMPUTED_VALUE"""),"Neighbourhood")</f>
        <v>Neighbourhood</v>
      </c>
      <c r="D15495" s="2" t="str">
        <f ca="1">IFERROR(__xludf.DUMMYFUNCTION("""COMPUTED_VALUE"""),"Sharjah&gt;Al Azra")</f>
        <v>Sharjah&gt;Al Azra</v>
      </c>
      <c r="E15495" s="2"/>
      <c r="F15495" s="2"/>
      <c r="G15495" s="2"/>
      <c r="H15495" s="2"/>
      <c r="I15495" s="2"/>
      <c r="J15495" s="2"/>
      <c r="K15495" s="2"/>
      <c r="L15495" s="2"/>
      <c r="M15495" s="2"/>
      <c r="N15495" s="2"/>
      <c r="O15495" s="2"/>
      <c r="P15495" s="2"/>
      <c r="Q15495" s="2"/>
      <c r="R15495" s="2"/>
      <c r="S15495" s="2"/>
      <c r="T15495" s="2"/>
      <c r="U15495" s="2"/>
      <c r="V15495" s="2"/>
      <c r="W15495" s="2"/>
      <c r="X15495" s="2"/>
      <c r="Y15495" s="2"/>
      <c r="Z15495" s="2"/>
    </row>
    <row r="15496" spans="1:26" ht="16.5" x14ac:dyDescent="0.35">
      <c r="A15496" s="2" t="str">
        <f ca="1">IFERROR(__xludf.DUMMYFUNCTION("""COMPUTED_VALUE"""),"Sharjah")</f>
        <v>Sharjah</v>
      </c>
      <c r="B15496" s="2" t="str">
        <f ca="1">IFERROR(__xludf.DUMMYFUNCTION("""COMPUTED_VALUE"""),"Al Noaf 2")</f>
        <v>Al Noaf 2</v>
      </c>
      <c r="C15496" s="2"/>
      <c r="D15496" s="2" t="str">
        <f ca="1">IFERROR(__xludf.DUMMYFUNCTION("""COMPUTED_VALUE"""),"Sharjah&gt;Al Noaf&gt;Al Noaf 2")</f>
        <v>Sharjah&gt;Al Noaf&gt;Al Noaf 2</v>
      </c>
      <c r="E15496" s="2"/>
      <c r="F15496" s="2"/>
      <c r="G15496" s="2"/>
      <c r="H15496" s="2"/>
      <c r="I15496" s="2"/>
      <c r="J15496" s="2"/>
      <c r="K15496" s="2"/>
      <c r="L15496" s="2"/>
      <c r="M15496" s="2"/>
      <c r="N15496" s="2"/>
      <c r="O15496" s="2"/>
      <c r="P15496" s="2"/>
      <c r="Q15496" s="2"/>
      <c r="R15496" s="2"/>
      <c r="S15496" s="2"/>
      <c r="T15496" s="2"/>
      <c r="U15496" s="2"/>
      <c r="V15496" s="2"/>
      <c r="W15496" s="2"/>
      <c r="X15496" s="2"/>
      <c r="Y15496" s="2"/>
      <c r="Z15496" s="2"/>
    </row>
    <row r="15497" spans="1:26" ht="16.5" x14ac:dyDescent="0.35">
      <c r="A15497" s="2" t="str">
        <f ca="1">IFERROR(__xludf.DUMMYFUNCTION("""COMPUTED_VALUE"""),"Sharjah")</f>
        <v>Sharjah</v>
      </c>
      <c r="B15497" s="2" t="str">
        <f ca="1">IFERROR(__xludf.DUMMYFUNCTION("""COMPUTED_VALUE"""),"Building 465")</f>
        <v>Building 465</v>
      </c>
      <c r="C15497" s="2" t="str">
        <f ca="1">IFERROR(__xludf.DUMMYFUNCTION("""COMPUTED_VALUE"""),"Building")</f>
        <v>Building</v>
      </c>
      <c r="D15497" s="2" t="str">
        <f ca="1">IFERROR(__xludf.DUMMYFUNCTION("""COMPUTED_VALUE"""),"Sharjah&gt;Al Musalla&gt;Building 465")</f>
        <v>Sharjah&gt;Al Musalla&gt;Building 465</v>
      </c>
      <c r="E15497" s="2"/>
      <c r="F15497" s="2"/>
      <c r="G15497" s="2"/>
      <c r="H15497" s="2"/>
      <c r="I15497" s="2"/>
      <c r="J15497" s="2"/>
      <c r="K15497" s="2"/>
      <c r="L15497" s="2"/>
      <c r="M15497" s="2"/>
      <c r="N15497" s="2"/>
      <c r="O15497" s="2"/>
      <c r="P15497" s="2"/>
      <c r="Q15497" s="2"/>
      <c r="R15497" s="2"/>
      <c r="S15497" s="2"/>
      <c r="T15497" s="2"/>
      <c r="U15497" s="2"/>
      <c r="V15497" s="2"/>
      <c r="W15497" s="2"/>
      <c r="X15497" s="2"/>
      <c r="Y15497" s="2"/>
      <c r="Z15497" s="2"/>
    </row>
    <row r="15498" spans="1:26" ht="16.5" x14ac:dyDescent="0.35">
      <c r="A15498" s="2" t="str">
        <f ca="1">IFERROR(__xludf.DUMMYFUNCTION("""COMPUTED_VALUE"""),"Sharjah")</f>
        <v>Sharjah</v>
      </c>
      <c r="B15498" s="2" t="str">
        <f ca="1">IFERROR(__xludf.DUMMYFUNCTION("""COMPUTED_VALUE"""),"Omran Building")</f>
        <v>Omran Building</v>
      </c>
      <c r="C15498" s="2" t="str">
        <f ca="1">IFERROR(__xludf.DUMMYFUNCTION("""COMPUTED_VALUE"""),"Building")</f>
        <v>Building</v>
      </c>
      <c r="D15498" s="2" t="str">
        <f ca="1">IFERROR(__xludf.DUMMYFUNCTION("""COMPUTED_VALUE"""),"Sharjah&gt;Maysaloon&gt;Omran Building")</f>
        <v>Sharjah&gt;Maysaloon&gt;Omran Building</v>
      </c>
      <c r="E15498" s="2"/>
      <c r="F15498" s="2"/>
      <c r="G15498" s="2"/>
      <c r="H15498" s="2"/>
      <c r="I15498" s="2"/>
      <c r="J15498" s="2"/>
      <c r="K15498" s="2"/>
      <c r="L15498" s="2"/>
      <c r="M15498" s="2"/>
      <c r="N15498" s="2"/>
      <c r="O15498" s="2"/>
      <c r="P15498" s="2"/>
      <c r="Q15498" s="2"/>
      <c r="R15498" s="2"/>
      <c r="S15498" s="2"/>
      <c r="T15498" s="2"/>
      <c r="U15498" s="2"/>
      <c r="V15498" s="2"/>
      <c r="W15498" s="2"/>
      <c r="X15498" s="2"/>
      <c r="Y15498" s="2"/>
      <c r="Z15498" s="2"/>
    </row>
    <row r="15499" spans="1:26" ht="16.5" x14ac:dyDescent="0.35">
      <c r="A15499" s="2" t="str">
        <f ca="1">IFERROR(__xludf.DUMMYFUNCTION("""COMPUTED_VALUE"""),"Sharjah")</f>
        <v>Sharjah</v>
      </c>
      <c r="B15499" s="2" t="str">
        <f ca="1">IFERROR(__xludf.DUMMYFUNCTION("""COMPUTED_VALUE"""),"Yasmeen Building")</f>
        <v>Yasmeen Building</v>
      </c>
      <c r="C15499" s="2"/>
      <c r="D15499" s="2" t="str">
        <f ca="1">IFERROR(__xludf.DUMMYFUNCTION("""COMPUTED_VALUE"""),"Sharjah&gt;Al Mareija&gt;Yasmeen Building")</f>
        <v>Sharjah&gt;Al Mareija&gt;Yasmeen Building</v>
      </c>
      <c r="E15499" s="2"/>
      <c r="F15499" s="2"/>
      <c r="G15499" s="2"/>
      <c r="H15499" s="2"/>
      <c r="I15499" s="2"/>
      <c r="J15499" s="2"/>
      <c r="K15499" s="2"/>
      <c r="L15499" s="2"/>
      <c r="M15499" s="2"/>
      <c r="N15499" s="2"/>
      <c r="O15499" s="2"/>
      <c r="P15499" s="2"/>
      <c r="Q15499" s="2"/>
      <c r="R15499" s="2"/>
      <c r="S15499" s="2"/>
      <c r="T15499" s="2"/>
      <c r="U15499" s="2"/>
      <c r="V15499" s="2"/>
      <c r="W15499" s="2"/>
      <c r="X15499" s="2"/>
      <c r="Y15499" s="2"/>
      <c r="Z15499" s="2"/>
    </row>
    <row r="15500" spans="1:26" ht="16.5" x14ac:dyDescent="0.35">
      <c r="A15500" s="2" t="str">
        <f ca="1">IFERROR(__xludf.DUMMYFUNCTION("""COMPUTED_VALUE"""),"Sharjah")</f>
        <v>Sharjah</v>
      </c>
      <c r="B15500" s="2" t="str">
        <f ca="1">IFERROR(__xludf.DUMMYFUNCTION("""COMPUTED_VALUE"""),"Sea View")</f>
        <v>Sea View</v>
      </c>
      <c r="C15500" s="2" t="str">
        <f ca="1">IFERROR(__xludf.DUMMYFUNCTION("""COMPUTED_VALUE"""),"Building")</f>
        <v>Building</v>
      </c>
      <c r="D15500" s="2" t="str">
        <f ca="1">IFERROR(__xludf.DUMMYFUNCTION("""COMPUTED_VALUE"""),"Sharjah&gt;Al Khaledia Suburb&gt;Sea View")</f>
        <v>Sharjah&gt;Al Khaledia Suburb&gt;Sea View</v>
      </c>
      <c r="E15500" s="2"/>
      <c r="F15500" s="2"/>
      <c r="G15500" s="2"/>
      <c r="H15500" s="2"/>
      <c r="I15500" s="2"/>
      <c r="J15500" s="2"/>
      <c r="K15500" s="2"/>
      <c r="L15500" s="2"/>
      <c r="M15500" s="2"/>
      <c r="N15500" s="2"/>
      <c r="O15500" s="2"/>
      <c r="P15500" s="2"/>
      <c r="Q15500" s="2"/>
      <c r="R15500" s="2"/>
      <c r="S15500" s="2"/>
      <c r="T15500" s="2"/>
      <c r="U15500" s="2"/>
      <c r="V15500" s="2"/>
      <c r="W15500" s="2"/>
      <c r="X15500" s="2"/>
      <c r="Y15500" s="2"/>
      <c r="Z15500" s="2"/>
    </row>
    <row r="15501" spans="1:26" ht="16.5" x14ac:dyDescent="0.35">
      <c r="A15501" s="2" t="str">
        <f ca="1">IFERROR(__xludf.DUMMYFUNCTION("""COMPUTED_VALUE"""),"Sharjah")</f>
        <v>Sharjah</v>
      </c>
      <c r="B15501" s="2" t="str">
        <f ca="1">IFERROR(__xludf.DUMMYFUNCTION("""COMPUTED_VALUE"""),"Al Mansoura")</f>
        <v>Al Mansoura</v>
      </c>
      <c r="C15501" s="2"/>
      <c r="D15501" s="2" t="str">
        <f ca="1">IFERROR(__xludf.DUMMYFUNCTION("""COMPUTED_VALUE"""),"Sharjah&gt;Al Mansoura")</f>
        <v>Sharjah&gt;Al Mansoura</v>
      </c>
      <c r="E15501" s="2"/>
      <c r="F15501" s="2"/>
      <c r="G15501" s="2"/>
      <c r="H15501" s="2"/>
      <c r="I15501" s="2"/>
      <c r="J15501" s="2"/>
      <c r="K15501" s="2"/>
      <c r="L15501" s="2"/>
      <c r="M15501" s="2"/>
      <c r="N15501" s="2"/>
      <c r="O15501" s="2"/>
      <c r="P15501" s="2"/>
      <c r="Q15501" s="2"/>
      <c r="R15501" s="2"/>
      <c r="S15501" s="2"/>
      <c r="T15501" s="2"/>
      <c r="U15501" s="2"/>
      <c r="V15501" s="2"/>
      <c r="W15501" s="2"/>
      <c r="X15501" s="2"/>
      <c r="Y15501" s="2"/>
      <c r="Z15501" s="2"/>
    </row>
    <row r="15502" spans="1:26" ht="16.5" x14ac:dyDescent="0.35">
      <c r="A15502" s="2" t="str">
        <f ca="1">IFERROR(__xludf.DUMMYFUNCTION("""COMPUTED_VALUE"""),"Sharjah")</f>
        <v>Sharjah</v>
      </c>
      <c r="B15502" s="2" t="str">
        <f ca="1">IFERROR(__xludf.DUMMYFUNCTION("""COMPUTED_VALUE"""),"Al Hassan Tower")</f>
        <v>Al Hassan Tower</v>
      </c>
      <c r="C15502" s="2" t="str">
        <f ca="1">IFERROR(__xludf.DUMMYFUNCTION("""COMPUTED_VALUE"""),"Building")</f>
        <v>Building</v>
      </c>
      <c r="D15502" s="2" t="str">
        <f ca="1">IFERROR(__xludf.DUMMYFUNCTION("""COMPUTED_VALUE"""),"Sharjah&gt;Al Khan&gt;Al Hassan Tower")</f>
        <v>Sharjah&gt;Al Khan&gt;Al Hassan Tower</v>
      </c>
      <c r="E15502" s="2"/>
      <c r="F15502" s="2"/>
      <c r="G15502" s="2"/>
      <c r="H15502" s="2"/>
      <c r="I15502" s="2"/>
      <c r="J15502" s="2"/>
      <c r="K15502" s="2"/>
      <c r="L15502" s="2"/>
      <c r="M15502" s="2"/>
      <c r="N15502" s="2"/>
      <c r="O15502" s="2"/>
      <c r="P15502" s="2"/>
      <c r="Q15502" s="2"/>
      <c r="R15502" s="2"/>
      <c r="S15502" s="2"/>
      <c r="T15502" s="2"/>
      <c r="U15502" s="2"/>
      <c r="V15502" s="2"/>
      <c r="W15502" s="2"/>
      <c r="X15502" s="2"/>
      <c r="Y15502" s="2"/>
      <c r="Z15502" s="2"/>
    </row>
    <row r="15503" spans="1:26" ht="16.5" x14ac:dyDescent="0.35">
      <c r="A15503" s="2" t="str">
        <f ca="1">IFERROR(__xludf.DUMMYFUNCTION("""COMPUTED_VALUE"""),"Sharjah")</f>
        <v>Sharjah</v>
      </c>
      <c r="B15503" s="2" t="str">
        <f ca="1">IFERROR(__xludf.DUMMYFUNCTION("""COMPUTED_VALUE"""),"Future Tower 4")</f>
        <v>Future Tower 4</v>
      </c>
      <c r="C15503" s="2"/>
      <c r="D15503" s="2" t="str">
        <f ca="1">IFERROR(__xludf.DUMMYFUNCTION("""COMPUTED_VALUE"""),"Sharjah&gt;Al Khan&gt;Future Tower&gt;Future Tower 4")</f>
        <v>Sharjah&gt;Al Khan&gt;Future Tower&gt;Future Tower 4</v>
      </c>
      <c r="E15503" s="2"/>
      <c r="F15503" s="2"/>
      <c r="G15503" s="2"/>
      <c r="H15503" s="2"/>
      <c r="I15503" s="2"/>
      <c r="J15503" s="2"/>
      <c r="K15503" s="2"/>
      <c r="L15503" s="2"/>
      <c r="M15503" s="2"/>
      <c r="N15503" s="2"/>
      <c r="O15503" s="2"/>
      <c r="P15503" s="2"/>
      <c r="Q15503" s="2"/>
      <c r="R15503" s="2"/>
      <c r="S15503" s="2"/>
      <c r="T15503" s="2"/>
      <c r="U15503" s="2"/>
      <c r="V15503" s="2"/>
      <c r="W15503" s="2"/>
      <c r="X15503" s="2"/>
      <c r="Y15503" s="2"/>
      <c r="Z15503" s="2"/>
    </row>
    <row r="15504" spans="1:26" ht="16.5" x14ac:dyDescent="0.35">
      <c r="A15504" s="2" t="str">
        <f ca="1">IFERROR(__xludf.DUMMYFUNCTION("""COMPUTED_VALUE"""),"Sharjah")</f>
        <v>Sharjah</v>
      </c>
      <c r="B15504" s="2" t="str">
        <f ca="1">IFERROR(__xludf.DUMMYFUNCTION("""COMPUTED_VALUE"""),"Topaz Residences")</f>
        <v>Topaz Residences</v>
      </c>
      <c r="C15504" s="2" t="str">
        <f ca="1">IFERROR(__xludf.DUMMYFUNCTION("""COMPUTED_VALUE"""),"Building")</f>
        <v>Building</v>
      </c>
      <c r="D15504" s="2" t="str">
        <f ca="1">IFERROR(__xludf.DUMMYFUNCTION("""COMPUTED_VALUE"""),"Sharjah&gt;Al Khan&gt;Maryam Island&gt;Topaz Residences")</f>
        <v>Sharjah&gt;Al Khan&gt;Maryam Island&gt;Topaz Residences</v>
      </c>
      <c r="E15504" s="2"/>
      <c r="F15504" s="2"/>
      <c r="G15504" s="2"/>
      <c r="H15504" s="2"/>
      <c r="I15504" s="2"/>
      <c r="J15504" s="2"/>
      <c r="K15504" s="2"/>
      <c r="L15504" s="2"/>
      <c r="M15504" s="2"/>
      <c r="N15504" s="2"/>
      <c r="O15504" s="2"/>
      <c r="P15504" s="2"/>
      <c r="Q15504" s="2"/>
      <c r="R15504" s="2"/>
      <c r="S15504" s="2"/>
      <c r="T15504" s="2"/>
      <c r="U15504" s="2"/>
      <c r="V15504" s="2"/>
      <c r="W15504" s="2"/>
      <c r="X15504" s="2"/>
      <c r="Y15504" s="2"/>
      <c r="Z15504" s="2"/>
    </row>
    <row r="15505" spans="1:26" ht="16.5" x14ac:dyDescent="0.35">
      <c r="A15505" s="2" t="str">
        <f ca="1">IFERROR(__xludf.DUMMYFUNCTION("""COMPUTED_VALUE"""),"Sharjah")</f>
        <v>Sharjah</v>
      </c>
      <c r="B15505" s="2" t="str">
        <f ca="1">IFERROR(__xludf.DUMMYFUNCTION("""COMPUTED_VALUE"""),"Khalid Al Swadi Building")</f>
        <v>Khalid Al Swadi Building</v>
      </c>
      <c r="C15505" s="2"/>
      <c r="D15505" s="2" t="str">
        <f ca="1">IFERROR(__xludf.DUMMYFUNCTION("""COMPUTED_VALUE"""),"Sharjah&gt;Al Khan&gt;Khalid Al Swadi Building")</f>
        <v>Sharjah&gt;Al Khan&gt;Khalid Al Swadi Building</v>
      </c>
      <c r="E15505" s="2"/>
      <c r="F15505" s="2"/>
      <c r="G15505" s="2"/>
      <c r="H15505" s="2"/>
      <c r="I15505" s="2"/>
      <c r="J15505" s="2"/>
      <c r="K15505" s="2"/>
      <c r="L15505" s="2"/>
      <c r="M15505" s="2"/>
      <c r="N15505" s="2"/>
      <c r="O15505" s="2"/>
      <c r="P15505" s="2"/>
      <c r="Q15505" s="2"/>
      <c r="R15505" s="2"/>
      <c r="S15505" s="2"/>
      <c r="T15505" s="2"/>
      <c r="U15505" s="2"/>
      <c r="V15505" s="2"/>
      <c r="W15505" s="2"/>
      <c r="X15505" s="2"/>
      <c r="Y15505" s="2"/>
      <c r="Z15505" s="2"/>
    </row>
    <row r="15506" spans="1:26" ht="16.5" x14ac:dyDescent="0.35">
      <c r="A15506" s="2" t="str">
        <f ca="1">IFERROR(__xludf.DUMMYFUNCTION("""COMPUTED_VALUE"""),"Sharjah")</f>
        <v>Sharjah</v>
      </c>
      <c r="B15506" s="2" t="str">
        <f ca="1">IFERROR(__xludf.DUMMYFUNCTION("""COMPUTED_VALUE"""),"Capital Tower")</f>
        <v>Capital Tower</v>
      </c>
      <c r="C15506" s="2" t="str">
        <f ca="1">IFERROR(__xludf.DUMMYFUNCTION("""COMPUTED_VALUE"""),"Building")</f>
        <v>Building</v>
      </c>
      <c r="D15506" s="2" t="str">
        <f ca="1">IFERROR(__xludf.DUMMYFUNCTION("""COMPUTED_VALUE"""),"Sharjah&gt;Al Majaz&gt;Al Majaz 2&gt;Capital Tower")</f>
        <v>Sharjah&gt;Al Majaz&gt;Al Majaz 2&gt;Capital Tower</v>
      </c>
      <c r="E15506" s="2"/>
      <c r="F15506" s="2"/>
      <c r="G15506" s="2"/>
      <c r="H15506" s="2"/>
      <c r="I15506" s="2"/>
      <c r="J15506" s="2"/>
      <c r="K15506" s="2"/>
      <c r="L15506" s="2"/>
      <c r="M15506" s="2"/>
      <c r="N15506" s="2"/>
      <c r="O15506" s="2"/>
      <c r="P15506" s="2"/>
      <c r="Q15506" s="2"/>
      <c r="R15506" s="2"/>
      <c r="S15506" s="2"/>
      <c r="T15506" s="2"/>
      <c r="U15506" s="2"/>
      <c r="V15506" s="2"/>
      <c r="W15506" s="2"/>
      <c r="X15506" s="2"/>
      <c r="Y15506" s="2"/>
      <c r="Z15506" s="2"/>
    </row>
    <row r="15507" spans="1:26" ht="16.5" x14ac:dyDescent="0.35">
      <c r="A15507" s="2" t="str">
        <f ca="1">IFERROR(__xludf.DUMMYFUNCTION("""COMPUTED_VALUE"""),"Sharjah")</f>
        <v>Sharjah</v>
      </c>
      <c r="B15507" s="2" t="str">
        <f ca="1">IFERROR(__xludf.DUMMYFUNCTION("""COMPUTED_VALUE"""),"Bahari Building")</f>
        <v>Bahari Building</v>
      </c>
      <c r="C15507" s="2"/>
      <c r="D15507" s="2" t="str">
        <f ca="1">IFERROR(__xludf.DUMMYFUNCTION("""COMPUTED_VALUE"""),"Sharjah&gt;Al Majaz&gt;Al Majaz 2&gt;Bahari Building")</f>
        <v>Sharjah&gt;Al Majaz&gt;Al Majaz 2&gt;Bahari Building</v>
      </c>
      <c r="E15507" s="2"/>
      <c r="F15507" s="2"/>
      <c r="G15507" s="2"/>
      <c r="H15507" s="2"/>
      <c r="I15507" s="2"/>
      <c r="J15507" s="2"/>
      <c r="K15507" s="2"/>
      <c r="L15507" s="2"/>
      <c r="M15507" s="2"/>
      <c r="N15507" s="2"/>
      <c r="O15507" s="2"/>
      <c r="P15507" s="2"/>
      <c r="Q15507" s="2"/>
      <c r="R15507" s="2"/>
      <c r="S15507" s="2"/>
      <c r="T15507" s="2"/>
      <c r="U15507" s="2"/>
      <c r="V15507" s="2"/>
      <c r="W15507" s="2"/>
      <c r="X15507" s="2"/>
      <c r="Y15507" s="2"/>
      <c r="Z15507" s="2"/>
    </row>
    <row r="15508" spans="1:26" ht="16.5" x14ac:dyDescent="0.35">
      <c r="A15508" s="2" t="str">
        <f ca="1">IFERROR(__xludf.DUMMYFUNCTION("""COMPUTED_VALUE"""),"Sharjah")</f>
        <v>Sharjah</v>
      </c>
      <c r="B15508" s="2" t="str">
        <f ca="1">IFERROR(__xludf.DUMMYFUNCTION("""COMPUTED_VALUE"""),"Al Jazeeri")</f>
        <v>Al Jazeeri</v>
      </c>
      <c r="C15508" s="2" t="str">
        <f ca="1">IFERROR(__xludf.DUMMYFUNCTION("""COMPUTED_VALUE"""),"Cluster")</f>
        <v>Cluster</v>
      </c>
      <c r="D15508" s="2" t="str">
        <f ca="1">IFERROR(__xludf.DUMMYFUNCTION("""COMPUTED_VALUE"""),"Sharjah&gt;Al Majaz&gt;Al Majaz 2&gt;Al Jazeeri")</f>
        <v>Sharjah&gt;Al Majaz&gt;Al Majaz 2&gt;Al Jazeeri</v>
      </c>
      <c r="E15508" s="2"/>
      <c r="F15508" s="2"/>
      <c r="G15508" s="2"/>
      <c r="H15508" s="2"/>
      <c r="I15508" s="2"/>
      <c r="J15508" s="2"/>
      <c r="K15508" s="2"/>
      <c r="L15508" s="2"/>
      <c r="M15508" s="2"/>
      <c r="N15508" s="2"/>
      <c r="O15508" s="2"/>
      <c r="P15508" s="2"/>
      <c r="Q15508" s="2"/>
      <c r="R15508" s="2"/>
      <c r="S15508" s="2"/>
      <c r="T15508" s="2"/>
      <c r="U15508" s="2"/>
      <c r="V15508" s="2"/>
      <c r="W15508" s="2"/>
      <c r="X15508" s="2"/>
      <c r="Y15508" s="2"/>
      <c r="Z15508" s="2"/>
    </row>
    <row r="15509" spans="1:26" ht="16.5" x14ac:dyDescent="0.35">
      <c r="A15509" s="2" t="str">
        <f ca="1">IFERROR(__xludf.DUMMYFUNCTION("""COMPUTED_VALUE"""),"Sharjah")</f>
        <v>Sharjah</v>
      </c>
      <c r="B15509" s="2" t="str">
        <f ca="1">IFERROR(__xludf.DUMMYFUNCTION("""COMPUTED_VALUE"""),"Thuria Al Majaz")</f>
        <v>Thuria Al Majaz</v>
      </c>
      <c r="C15509" s="2" t="str">
        <f ca="1">IFERROR(__xludf.DUMMYFUNCTION("""COMPUTED_VALUE"""),"Building")</f>
        <v>Building</v>
      </c>
      <c r="D15509" s="2" t="str">
        <f ca="1">IFERROR(__xludf.DUMMYFUNCTION("""COMPUTED_VALUE"""),"Sharjah&gt;Al Majaz&gt;Al Majaz 3&gt;Thuria Al Majaz")</f>
        <v>Sharjah&gt;Al Majaz&gt;Al Majaz 3&gt;Thuria Al Majaz</v>
      </c>
      <c r="E15509" s="2"/>
      <c r="F15509" s="2"/>
      <c r="G15509" s="2"/>
      <c r="H15509" s="2"/>
      <c r="I15509" s="2"/>
      <c r="J15509" s="2"/>
      <c r="K15509" s="2"/>
      <c r="L15509" s="2"/>
      <c r="M15509" s="2"/>
      <c r="N15509" s="2"/>
      <c r="O15509" s="2"/>
      <c r="P15509" s="2"/>
      <c r="Q15509" s="2"/>
      <c r="R15509" s="2"/>
      <c r="S15509" s="2"/>
      <c r="T15509" s="2"/>
      <c r="U15509" s="2"/>
      <c r="V15509" s="2"/>
      <c r="W15509" s="2"/>
      <c r="X15509" s="2"/>
      <c r="Y15509" s="2"/>
      <c r="Z15509" s="2"/>
    </row>
    <row r="15510" spans="1:26" ht="16.5" x14ac:dyDescent="0.35">
      <c r="A15510" s="2" t="str">
        <f ca="1">IFERROR(__xludf.DUMMYFUNCTION("""COMPUTED_VALUE"""),"Sharjah")</f>
        <v>Sharjah</v>
      </c>
      <c r="B15510" s="2" t="str">
        <f ca="1">IFERROR(__xludf.DUMMYFUNCTION("""COMPUTED_VALUE"""),"Garden Tower")</f>
        <v>Garden Tower</v>
      </c>
      <c r="C15510" s="2"/>
      <c r="D15510" s="2" t="str">
        <f ca="1">IFERROR(__xludf.DUMMYFUNCTION("""COMPUTED_VALUE"""),"Sharjah&gt;Al Majaz&gt;Al Majaz 3&gt;Garden Tower")</f>
        <v>Sharjah&gt;Al Majaz&gt;Al Majaz 3&gt;Garden Tower</v>
      </c>
      <c r="E15510" s="2"/>
      <c r="F15510" s="2"/>
      <c r="G15510" s="2"/>
      <c r="H15510" s="2"/>
      <c r="I15510" s="2"/>
      <c r="J15510" s="2"/>
      <c r="K15510" s="2"/>
      <c r="L15510" s="2"/>
      <c r="M15510" s="2"/>
      <c r="N15510" s="2"/>
      <c r="O15510" s="2"/>
      <c r="P15510" s="2"/>
      <c r="Q15510" s="2"/>
      <c r="R15510" s="2"/>
      <c r="S15510" s="2"/>
      <c r="T15510" s="2"/>
      <c r="U15510" s="2"/>
      <c r="V15510" s="2"/>
      <c r="W15510" s="2"/>
      <c r="X15510" s="2"/>
      <c r="Y15510" s="2"/>
      <c r="Z15510" s="2"/>
    </row>
    <row r="15511" spans="1:26" ht="16.5" x14ac:dyDescent="0.35">
      <c r="A15511" s="2" t="str">
        <f ca="1">IFERROR(__xludf.DUMMYFUNCTION("""COMPUTED_VALUE"""),"Sharjah")</f>
        <v>Sharjah</v>
      </c>
      <c r="B15511" s="2" t="str">
        <f ca="1">IFERROR(__xludf.DUMMYFUNCTION("""COMPUTED_VALUE"""),"Mabrooka Towers")</f>
        <v>Mabrooka Towers</v>
      </c>
      <c r="C15511" s="2"/>
      <c r="D15511" s="2" t="str">
        <f ca="1">IFERROR(__xludf.DUMMYFUNCTION("""COMPUTED_VALUE"""),"Sharjah&gt;Al Majaz&gt;Al Majaz 1&gt;Mabrooka Towers")</f>
        <v>Sharjah&gt;Al Majaz&gt;Al Majaz 1&gt;Mabrooka Towers</v>
      </c>
      <c r="E15511" s="2"/>
      <c r="F15511" s="2"/>
      <c r="G15511" s="2"/>
      <c r="H15511" s="2"/>
      <c r="I15511" s="2"/>
      <c r="J15511" s="2"/>
      <c r="K15511" s="2"/>
      <c r="L15511" s="2"/>
      <c r="M15511" s="2"/>
      <c r="N15511" s="2"/>
      <c r="O15511" s="2"/>
      <c r="P15511" s="2"/>
      <c r="Q15511" s="2"/>
      <c r="R15511" s="2"/>
      <c r="S15511" s="2"/>
      <c r="T15511" s="2"/>
      <c r="U15511" s="2"/>
      <c r="V15511" s="2"/>
      <c r="W15511" s="2"/>
      <c r="X15511" s="2"/>
      <c r="Y15511" s="2"/>
      <c r="Z15511" s="2"/>
    </row>
    <row r="15512" spans="1:26" ht="16.5" x14ac:dyDescent="0.35">
      <c r="A15512" s="2" t="str">
        <f ca="1">IFERROR(__xludf.DUMMYFUNCTION("""COMPUTED_VALUE"""),"Sharjah")</f>
        <v>Sharjah</v>
      </c>
      <c r="B15512" s="2" t="str">
        <f ca="1">IFERROR(__xludf.DUMMYFUNCTION("""COMPUTED_VALUE"""),"Al Fakhama Building")</f>
        <v>Al Fakhama Building</v>
      </c>
      <c r="C15512" s="2" t="str">
        <f ca="1">IFERROR(__xludf.DUMMYFUNCTION("""COMPUTED_VALUE"""),"Building")</f>
        <v>Building</v>
      </c>
      <c r="D15512" s="2" t="str">
        <f ca="1">IFERROR(__xludf.DUMMYFUNCTION("""COMPUTED_VALUE"""),"Sharjah&gt;Al Majaz&gt;Al Majaz 1&gt;Al Fakhama Building")</f>
        <v>Sharjah&gt;Al Majaz&gt;Al Majaz 1&gt;Al Fakhama Building</v>
      </c>
      <c r="E15512" s="2"/>
      <c r="F15512" s="2"/>
      <c r="G15512" s="2"/>
      <c r="H15512" s="2"/>
      <c r="I15512" s="2"/>
      <c r="J15512" s="2"/>
      <c r="K15512" s="2"/>
      <c r="L15512" s="2"/>
      <c r="M15512" s="2"/>
      <c r="N15512" s="2"/>
      <c r="O15512" s="2"/>
      <c r="P15512" s="2"/>
      <c r="Q15512" s="2"/>
      <c r="R15512" s="2"/>
      <c r="S15512" s="2"/>
      <c r="T15512" s="2"/>
      <c r="U15512" s="2"/>
      <c r="V15512" s="2"/>
      <c r="W15512" s="2"/>
      <c r="X15512" s="2"/>
      <c r="Y15512" s="2"/>
      <c r="Z15512" s="2"/>
    </row>
    <row r="15513" spans="1:26" ht="16.5" x14ac:dyDescent="0.35">
      <c r="A15513" s="2" t="str">
        <f ca="1">IFERROR(__xludf.DUMMYFUNCTION("""COMPUTED_VALUE"""),"Sharjah")</f>
        <v>Sharjah</v>
      </c>
      <c r="B15513" s="2" t="str">
        <f ca="1">IFERROR(__xludf.DUMMYFUNCTION("""COMPUTED_VALUE"""),"City Gate Tower")</f>
        <v>City Gate Tower</v>
      </c>
      <c r="C15513" s="2"/>
      <c r="D15513" s="2" t="str">
        <f ca="1">IFERROR(__xludf.DUMMYFUNCTION("""COMPUTED_VALUE"""),"Sharjah&gt;Al Taawun&gt;City Gate Tower")</f>
        <v>Sharjah&gt;Al Taawun&gt;City Gate Tower</v>
      </c>
      <c r="E15513" s="2"/>
      <c r="F15513" s="2"/>
      <c r="G15513" s="2"/>
      <c r="H15513" s="2"/>
      <c r="I15513" s="2"/>
      <c r="J15513" s="2"/>
      <c r="K15513" s="2"/>
      <c r="L15513" s="2"/>
      <c r="M15513" s="2"/>
      <c r="N15513" s="2"/>
      <c r="O15513" s="2"/>
      <c r="P15513" s="2"/>
      <c r="Q15513" s="2"/>
      <c r="R15513" s="2"/>
      <c r="S15513" s="2"/>
      <c r="T15513" s="2"/>
      <c r="U15513" s="2"/>
      <c r="V15513" s="2"/>
      <c r="W15513" s="2"/>
      <c r="X15513" s="2"/>
      <c r="Y15513" s="2"/>
      <c r="Z15513" s="2"/>
    </row>
    <row r="15514" spans="1:26" ht="16.5" x14ac:dyDescent="0.35">
      <c r="A15514" s="2" t="str">
        <f ca="1">IFERROR(__xludf.DUMMYFUNCTION("""COMPUTED_VALUE"""),"Sharjah")</f>
        <v>Sharjah</v>
      </c>
      <c r="B15514" s="2" t="str">
        <f ca="1">IFERROR(__xludf.DUMMYFUNCTION("""COMPUTED_VALUE"""),"Al Saad Tower Residence")</f>
        <v>Al Saad Tower Residence</v>
      </c>
      <c r="C15514" s="2" t="str">
        <f ca="1">IFERROR(__xludf.DUMMYFUNCTION("""COMPUTED_VALUE"""),"Building")</f>
        <v>Building</v>
      </c>
      <c r="D15514" s="2" t="str">
        <f ca="1">IFERROR(__xludf.DUMMYFUNCTION("""COMPUTED_VALUE"""),"Sharjah&gt;Al Taawun&gt;Al Saad Tower Residence")</f>
        <v>Sharjah&gt;Al Taawun&gt;Al Saad Tower Residence</v>
      </c>
      <c r="E15514" s="2"/>
      <c r="F15514" s="2"/>
      <c r="G15514" s="2"/>
      <c r="H15514" s="2"/>
      <c r="I15514" s="2"/>
      <c r="J15514" s="2"/>
      <c r="K15514" s="2"/>
      <c r="L15514" s="2"/>
      <c r="M15514" s="2"/>
      <c r="N15514" s="2"/>
      <c r="O15514" s="2"/>
      <c r="P15514" s="2"/>
      <c r="Q15514" s="2"/>
      <c r="R15514" s="2"/>
      <c r="S15514" s="2"/>
      <c r="T15514" s="2"/>
      <c r="U15514" s="2"/>
      <c r="V15514" s="2"/>
      <c r="W15514" s="2"/>
      <c r="X15514" s="2"/>
      <c r="Y15514" s="2"/>
      <c r="Z15514" s="2"/>
    </row>
    <row r="15515" spans="1:26" ht="16.5" x14ac:dyDescent="0.35">
      <c r="A15515" s="2" t="str">
        <f ca="1">IFERROR(__xludf.DUMMYFUNCTION("""COMPUTED_VALUE"""),"Sharjah")</f>
        <v>Sharjah</v>
      </c>
      <c r="B15515" s="2" t="str">
        <f ca="1">IFERROR(__xludf.DUMMYFUNCTION("""COMPUTED_VALUE"""),"Tariq Building")</f>
        <v>Tariq Building</v>
      </c>
      <c r="C15515" s="2" t="str">
        <f ca="1">IFERROR(__xludf.DUMMYFUNCTION("""COMPUTED_VALUE"""),"Building")</f>
        <v>Building</v>
      </c>
      <c r="D15515" s="2" t="str">
        <f ca="1">IFERROR(__xludf.DUMMYFUNCTION("""COMPUTED_VALUE"""),"Sharjah&gt;Al Qasimia&gt;Al Nad&gt;Tariq Building")</f>
        <v>Sharjah&gt;Al Qasimia&gt;Al Nad&gt;Tariq Building</v>
      </c>
      <c r="E15515" s="2"/>
      <c r="F15515" s="2"/>
      <c r="G15515" s="2"/>
      <c r="H15515" s="2"/>
      <c r="I15515" s="2"/>
      <c r="J15515" s="2"/>
      <c r="K15515" s="2"/>
      <c r="L15515" s="2"/>
      <c r="M15515" s="2"/>
      <c r="N15515" s="2"/>
      <c r="O15515" s="2"/>
      <c r="P15515" s="2"/>
      <c r="Q15515" s="2"/>
      <c r="R15515" s="2"/>
      <c r="S15515" s="2"/>
      <c r="T15515" s="2"/>
      <c r="U15515" s="2"/>
      <c r="V15515" s="2"/>
      <c r="W15515" s="2"/>
      <c r="X15515" s="2"/>
      <c r="Y15515" s="2"/>
      <c r="Z15515" s="2"/>
    </row>
    <row r="15516" spans="1:26" ht="16.5" x14ac:dyDescent="0.35">
      <c r="A15516" s="2" t="str">
        <f ca="1">IFERROR(__xludf.DUMMYFUNCTION("""COMPUTED_VALUE"""),"Sharjah")</f>
        <v>Sharjah</v>
      </c>
      <c r="B15516" s="2" t="str">
        <f ca="1">IFERROR(__xludf.DUMMYFUNCTION("""COMPUTED_VALUE"""),"Al Sharhan")</f>
        <v>Al Sharhan</v>
      </c>
      <c r="C15516" s="2"/>
      <c r="D15516" s="2" t="str">
        <f ca="1">IFERROR(__xludf.DUMMYFUNCTION("""COMPUTED_VALUE"""),"Sharjah&gt;Al Qasimia&gt;Al Nad&gt;Al Sharhan")</f>
        <v>Sharjah&gt;Al Qasimia&gt;Al Nad&gt;Al Sharhan</v>
      </c>
      <c r="E15516" s="2"/>
      <c r="F15516" s="2"/>
      <c r="G15516" s="2"/>
      <c r="H15516" s="2"/>
      <c r="I15516" s="2"/>
      <c r="J15516" s="2"/>
      <c r="K15516" s="2"/>
      <c r="L15516" s="2"/>
      <c r="M15516" s="2"/>
      <c r="N15516" s="2"/>
      <c r="O15516" s="2"/>
      <c r="P15516" s="2"/>
      <c r="Q15516" s="2"/>
      <c r="R15516" s="2"/>
      <c r="S15516" s="2"/>
      <c r="T15516" s="2"/>
      <c r="U15516" s="2"/>
      <c r="V15516" s="2"/>
      <c r="W15516" s="2"/>
      <c r="X15516" s="2"/>
      <c r="Y15516" s="2"/>
      <c r="Z15516" s="2"/>
    </row>
    <row r="15517" spans="1:26" ht="16.5" x14ac:dyDescent="0.35">
      <c r="A15517" s="2" t="str">
        <f ca="1">IFERROR(__xludf.DUMMYFUNCTION("""COMPUTED_VALUE"""),"Sharjah")</f>
        <v>Sharjah</v>
      </c>
      <c r="B15517" s="2" t="str">
        <f ca="1">IFERROR(__xludf.DUMMYFUNCTION("""COMPUTED_VALUE"""),"Omran Plaza")</f>
        <v>Omran Plaza</v>
      </c>
      <c r="C15517" s="2" t="str">
        <f ca="1">IFERROR(__xludf.DUMMYFUNCTION("""COMPUTED_VALUE"""),"Building")</f>
        <v>Building</v>
      </c>
      <c r="D15517" s="2" t="str">
        <f ca="1">IFERROR(__xludf.DUMMYFUNCTION("""COMPUTED_VALUE"""),"Sharjah&gt;Al Qasimia&gt;Al Nad&gt;Omran Plaza")</f>
        <v>Sharjah&gt;Al Qasimia&gt;Al Nad&gt;Omran Plaza</v>
      </c>
      <c r="E15517" s="2"/>
      <c r="F15517" s="2"/>
      <c r="G15517" s="2"/>
      <c r="H15517" s="2"/>
      <c r="I15517" s="2"/>
      <c r="J15517" s="2"/>
      <c r="K15517" s="2"/>
      <c r="L15517" s="2"/>
      <c r="M15517" s="2"/>
      <c r="N15517" s="2"/>
      <c r="O15517" s="2"/>
      <c r="P15517" s="2"/>
      <c r="Q15517" s="2"/>
      <c r="R15517" s="2"/>
      <c r="S15517" s="2"/>
      <c r="T15517" s="2"/>
      <c r="U15517" s="2"/>
      <c r="V15517" s="2"/>
      <c r="W15517" s="2"/>
      <c r="X15517" s="2"/>
      <c r="Y15517" s="2"/>
      <c r="Z15517" s="2"/>
    </row>
    <row r="15518" spans="1:26" ht="16.5" x14ac:dyDescent="0.35">
      <c r="A15518" s="2" t="str">
        <f ca="1">IFERROR(__xludf.DUMMYFUNCTION("""COMPUTED_VALUE"""),"Sharjah")</f>
        <v>Sharjah</v>
      </c>
      <c r="B15518" s="2" t="str">
        <f ca="1">IFERROR(__xludf.DUMMYFUNCTION("""COMPUTED_VALUE"""),"Al Wahda Building")</f>
        <v>Al Wahda Building</v>
      </c>
      <c r="C15518" s="2" t="str">
        <f ca="1">IFERROR(__xludf.DUMMYFUNCTION("""COMPUTED_VALUE"""),"Building")</f>
        <v>Building</v>
      </c>
      <c r="D15518" s="2" t="str">
        <f ca="1">IFERROR(__xludf.DUMMYFUNCTION("""COMPUTED_VALUE"""),"Sharjah&gt;Al Wahda Street&gt;Al Wahda Building")</f>
        <v>Sharjah&gt;Al Wahda Street&gt;Al Wahda Building</v>
      </c>
      <c r="E15518" s="2"/>
      <c r="F15518" s="2"/>
      <c r="G15518" s="2"/>
      <c r="H15518" s="2"/>
      <c r="I15518" s="2"/>
      <c r="J15518" s="2"/>
      <c r="K15518" s="2"/>
      <c r="L15518" s="2"/>
      <c r="M15518" s="2"/>
      <c r="N15518" s="2"/>
      <c r="O15518" s="2"/>
      <c r="P15518" s="2"/>
      <c r="Q15518" s="2"/>
      <c r="R15518" s="2"/>
      <c r="S15518" s="2"/>
      <c r="T15518" s="2"/>
      <c r="U15518" s="2"/>
      <c r="V15518" s="2"/>
      <c r="W15518" s="2"/>
      <c r="X15518" s="2"/>
      <c r="Y15518" s="2"/>
      <c r="Z15518" s="2"/>
    </row>
    <row r="15519" spans="1:26" ht="16.5" x14ac:dyDescent="0.35">
      <c r="A15519" s="2" t="str">
        <f ca="1">IFERROR(__xludf.DUMMYFUNCTION("""COMPUTED_VALUE"""),"Sharjah")</f>
        <v>Sharjah</v>
      </c>
      <c r="B15519" s="2" t="str">
        <f ca="1">IFERROR(__xludf.DUMMYFUNCTION("""COMPUTED_VALUE"""),"Khalif Mohamed bukhit Building")</f>
        <v>Khalif Mohamed bukhit Building</v>
      </c>
      <c r="C15519" s="2"/>
      <c r="D15519" s="2" t="str">
        <f ca="1">IFERROR(__xludf.DUMMYFUNCTION("""COMPUTED_VALUE"""),"Sharjah&gt;Al Nabba&gt;Khalif Mohamed bukhit Building")</f>
        <v>Sharjah&gt;Al Nabba&gt;Khalif Mohamed bukhit Building</v>
      </c>
      <c r="E15519" s="2"/>
      <c r="F15519" s="2"/>
      <c r="G15519" s="2"/>
      <c r="H15519" s="2"/>
      <c r="I15519" s="2"/>
      <c r="J15519" s="2"/>
      <c r="K15519" s="2"/>
      <c r="L15519" s="2"/>
      <c r="M15519" s="2"/>
      <c r="N15519" s="2"/>
      <c r="O15519" s="2"/>
      <c r="P15519" s="2"/>
      <c r="Q15519" s="2"/>
      <c r="R15519" s="2"/>
      <c r="S15519" s="2"/>
      <c r="T15519" s="2"/>
      <c r="U15519" s="2"/>
      <c r="V15519" s="2"/>
      <c r="W15519" s="2"/>
      <c r="X15519" s="2"/>
      <c r="Y15519" s="2"/>
      <c r="Z15519" s="2"/>
    </row>
    <row r="15520" spans="1:26" ht="16.5" x14ac:dyDescent="0.35">
      <c r="A15520" s="2" t="str">
        <f ca="1">IFERROR(__xludf.DUMMYFUNCTION("""COMPUTED_VALUE"""),"Sharjah")</f>
        <v>Sharjah</v>
      </c>
      <c r="B15520" s="2" t="str">
        <f ca="1">IFERROR(__xludf.DUMMYFUNCTION("""COMPUTED_VALUE"""),"Industrial Area 3")</f>
        <v>Industrial Area 3</v>
      </c>
      <c r="C15520" s="2" t="str">
        <f ca="1">IFERROR(__xludf.DUMMYFUNCTION("""COMPUTED_VALUE"""),"Neighbourhood")</f>
        <v>Neighbourhood</v>
      </c>
      <c r="D15520" s="2" t="str">
        <f ca="1">IFERROR(__xludf.DUMMYFUNCTION("""COMPUTED_VALUE"""),"Sharjah&gt;Industrial Area&gt;Industrial Area 3")</f>
        <v>Sharjah&gt;Industrial Area&gt;Industrial Area 3</v>
      </c>
      <c r="E15520" s="2"/>
      <c r="F15520" s="2"/>
      <c r="G15520" s="2"/>
      <c r="H15520" s="2"/>
      <c r="I15520" s="2"/>
      <c r="J15520" s="2"/>
      <c r="K15520" s="2"/>
      <c r="L15520" s="2"/>
      <c r="M15520" s="2"/>
      <c r="N15520" s="2"/>
      <c r="O15520" s="2"/>
      <c r="P15520" s="2"/>
      <c r="Q15520" s="2"/>
      <c r="R15520" s="2"/>
      <c r="S15520" s="2"/>
      <c r="T15520" s="2"/>
      <c r="U15520" s="2"/>
      <c r="V15520" s="2"/>
      <c r="W15520" s="2"/>
      <c r="X15520" s="2"/>
      <c r="Y15520" s="2"/>
      <c r="Z15520" s="2"/>
    </row>
    <row r="15521" spans="1:26" ht="16.5" x14ac:dyDescent="0.35">
      <c r="A15521" s="2" t="str">
        <f ca="1">IFERROR(__xludf.DUMMYFUNCTION("""COMPUTED_VALUE"""),"Sharjah")</f>
        <v>Sharjah</v>
      </c>
      <c r="B15521" s="2" t="str">
        <f ca="1">IFERROR(__xludf.DUMMYFUNCTION("""COMPUTED_VALUE"""),"RD 4")</f>
        <v>RD 4</v>
      </c>
      <c r="C15521" s="2" t="str">
        <f ca="1">IFERROR(__xludf.DUMMYFUNCTION("""COMPUTED_VALUE"""),"Building")</f>
        <v>Building</v>
      </c>
      <c r="D15521" s="2" t="str">
        <f ca="1">IFERROR(__xludf.DUMMYFUNCTION("""COMPUTED_VALUE"""),"Sharjah&gt;Muwaileh&gt;Al Mamsha&gt;Souks Residential&gt;RD 4")</f>
        <v>Sharjah&gt;Muwaileh&gt;Al Mamsha&gt;Souks Residential&gt;RD 4</v>
      </c>
      <c r="E15521" s="2"/>
      <c r="F15521" s="2"/>
      <c r="G15521" s="2"/>
      <c r="H15521" s="2"/>
      <c r="I15521" s="2"/>
      <c r="J15521" s="2"/>
      <c r="K15521" s="2"/>
      <c r="L15521" s="2"/>
      <c r="M15521" s="2"/>
      <c r="N15521" s="2"/>
      <c r="O15521" s="2"/>
      <c r="P15521" s="2"/>
      <c r="Q15521" s="2"/>
      <c r="R15521" s="2"/>
      <c r="S15521" s="2"/>
      <c r="T15521" s="2"/>
      <c r="U15521" s="2"/>
      <c r="V15521" s="2"/>
      <c r="W15521" s="2"/>
      <c r="X15521" s="2"/>
      <c r="Y15521" s="2"/>
      <c r="Z15521" s="2"/>
    </row>
    <row r="15522" spans="1:26" ht="16.5" x14ac:dyDescent="0.35">
      <c r="A15522" s="2" t="str">
        <f ca="1">IFERROR(__xludf.DUMMYFUNCTION("""COMPUTED_VALUE"""),"Sharjah")</f>
        <v>Sharjah</v>
      </c>
      <c r="B15522" s="2" t="str">
        <f ca="1">IFERROR(__xludf.DUMMYFUNCTION("""COMPUTED_VALUE"""),"Nama 4")</f>
        <v>Nama 4</v>
      </c>
      <c r="C15522" s="2" t="str">
        <f ca="1">IFERROR(__xludf.DUMMYFUNCTION("""COMPUTED_VALUE"""),"Building")</f>
        <v>Building</v>
      </c>
      <c r="D15522" s="2" t="str">
        <f ca="1">IFERROR(__xludf.DUMMYFUNCTION("""COMPUTED_VALUE"""),"Sharjah&gt;Muwaileh&gt;Al Mamsha&gt;Raseel&gt;Nama 4")</f>
        <v>Sharjah&gt;Muwaileh&gt;Al Mamsha&gt;Raseel&gt;Nama 4</v>
      </c>
      <c r="E15522" s="2"/>
      <c r="F15522" s="2"/>
      <c r="G15522" s="2"/>
      <c r="H15522" s="2"/>
      <c r="I15522" s="2"/>
      <c r="J15522" s="2"/>
      <c r="K15522" s="2"/>
      <c r="L15522" s="2"/>
      <c r="M15522" s="2"/>
      <c r="N15522" s="2"/>
      <c r="O15522" s="2"/>
      <c r="P15522" s="2"/>
      <c r="Q15522" s="2"/>
      <c r="R15522" s="2"/>
      <c r="S15522" s="2"/>
      <c r="T15522" s="2"/>
      <c r="U15522" s="2"/>
      <c r="V15522" s="2"/>
      <c r="W15522" s="2"/>
      <c r="X15522" s="2"/>
      <c r="Y15522" s="2"/>
      <c r="Z15522" s="2"/>
    </row>
    <row r="15523" spans="1:26" ht="16.5" x14ac:dyDescent="0.35">
      <c r="A15523" s="2" t="str">
        <f ca="1">IFERROR(__xludf.DUMMYFUNCTION("""COMPUTED_VALUE"""),"Sharjah")</f>
        <v>Sharjah</v>
      </c>
      <c r="B15523" s="2" t="str">
        <f ca="1">IFERROR(__xludf.DUMMYFUNCTION("""COMPUTED_VALUE"""),"Al Jouri")</f>
        <v>Al Jouri</v>
      </c>
      <c r="C15523" s="2" t="str">
        <f ca="1">IFERROR(__xludf.DUMMYFUNCTION("""COMPUTED_VALUE"""),"Neighbourhood")</f>
        <v>Neighbourhood</v>
      </c>
      <c r="D15523" s="2" t="str">
        <f ca="1">IFERROR(__xludf.DUMMYFUNCTION("""COMPUTED_VALUE"""),"Sharjah&gt;Muwaileh&gt;Al Zahia&gt;Al Jouri")</f>
        <v>Sharjah&gt;Muwaileh&gt;Al Zahia&gt;Al Jouri</v>
      </c>
      <c r="E15523" s="2"/>
      <c r="F15523" s="2"/>
      <c r="G15523" s="2"/>
      <c r="H15523" s="2"/>
      <c r="I15523" s="2"/>
      <c r="J15523" s="2"/>
      <c r="K15523" s="2"/>
      <c r="L15523" s="2"/>
      <c r="M15523" s="2"/>
      <c r="N15523" s="2"/>
      <c r="O15523" s="2"/>
      <c r="P15523" s="2"/>
      <c r="Q15523" s="2"/>
      <c r="R15523" s="2"/>
      <c r="S15523" s="2"/>
      <c r="T15523" s="2"/>
      <c r="U15523" s="2"/>
      <c r="V15523" s="2"/>
      <c r="W15523" s="2"/>
      <c r="X15523" s="2"/>
      <c r="Y15523" s="2"/>
      <c r="Z15523" s="2"/>
    </row>
    <row r="15524" spans="1:26" ht="16.5" x14ac:dyDescent="0.35">
      <c r="A15524" s="2" t="str">
        <f ca="1">IFERROR(__xludf.DUMMYFUNCTION("""COMPUTED_VALUE"""),"Sharjah")</f>
        <v>Sharjah</v>
      </c>
      <c r="B15524" s="2" t="str">
        <f ca="1">IFERROR(__xludf.DUMMYFUNCTION("""COMPUTED_VALUE"""),"Al Wadi Building")</f>
        <v>Al Wadi Building</v>
      </c>
      <c r="C15524" s="2"/>
      <c r="D15524" s="2" t="str">
        <f ca="1">IFERROR(__xludf.DUMMYFUNCTION("""COMPUTED_VALUE"""),"Sharjah&gt;Muwaileh Commercial&gt;Al Wadi Building")</f>
        <v>Sharjah&gt;Muwaileh Commercial&gt;Al Wadi Building</v>
      </c>
      <c r="E15524" s="2"/>
      <c r="F15524" s="2"/>
      <c r="G15524" s="2"/>
      <c r="H15524" s="2"/>
      <c r="I15524" s="2"/>
      <c r="J15524" s="2"/>
      <c r="K15524" s="2"/>
      <c r="L15524" s="2"/>
      <c r="M15524" s="2"/>
      <c r="N15524" s="2"/>
      <c r="O15524" s="2"/>
      <c r="P15524" s="2"/>
      <c r="Q15524" s="2"/>
      <c r="R15524" s="2"/>
      <c r="S15524" s="2"/>
      <c r="T15524" s="2"/>
      <c r="U15524" s="2"/>
      <c r="V15524" s="2"/>
      <c r="W15524" s="2"/>
      <c r="X15524" s="2"/>
      <c r="Y15524" s="2"/>
      <c r="Z15524" s="2"/>
    </row>
    <row r="15525" spans="1:26" ht="16.5" x14ac:dyDescent="0.35">
      <c r="A15525" s="2" t="str">
        <f ca="1">IFERROR(__xludf.DUMMYFUNCTION("""COMPUTED_VALUE"""),"Sharjah")</f>
        <v>Sharjah</v>
      </c>
      <c r="B15525" s="2" t="str">
        <f ca="1">IFERROR(__xludf.DUMMYFUNCTION("""COMPUTED_VALUE"""),"Hafeet 3 Building")</f>
        <v>Hafeet 3 Building</v>
      </c>
      <c r="C15525" s="2" t="str">
        <f ca="1">IFERROR(__xludf.DUMMYFUNCTION("""COMPUTED_VALUE"""),"Building")</f>
        <v>Building</v>
      </c>
      <c r="D15525" s="2" t="str">
        <f ca="1">IFERROR(__xludf.DUMMYFUNCTION("""COMPUTED_VALUE"""),"Sharjah&gt;Muwaileh Commercial&gt;Hafeet 3 Building")</f>
        <v>Sharjah&gt;Muwaileh Commercial&gt;Hafeet 3 Building</v>
      </c>
      <c r="E15525" s="2"/>
      <c r="F15525" s="2"/>
      <c r="G15525" s="2"/>
      <c r="H15525" s="2"/>
      <c r="I15525" s="2"/>
      <c r="J15525" s="2"/>
      <c r="K15525" s="2"/>
      <c r="L15525" s="2"/>
      <c r="M15525" s="2"/>
      <c r="N15525" s="2"/>
      <c r="O15525" s="2"/>
      <c r="P15525" s="2"/>
      <c r="Q15525" s="2"/>
      <c r="R15525" s="2"/>
      <c r="S15525" s="2"/>
      <c r="T15525" s="2"/>
      <c r="U15525" s="2"/>
      <c r="V15525" s="2"/>
      <c r="W15525" s="2"/>
      <c r="X15525" s="2"/>
      <c r="Y15525" s="2"/>
      <c r="Z15525" s="2"/>
    </row>
    <row r="15526" spans="1:26" ht="16.5" x14ac:dyDescent="0.35">
      <c r="A15526" s="2" t="str">
        <f ca="1">IFERROR(__xludf.DUMMYFUNCTION("""COMPUTED_VALUE"""),"Sharjah")</f>
        <v>Sharjah</v>
      </c>
      <c r="B15526" s="2" t="str">
        <f ca="1">IFERROR(__xludf.DUMMYFUNCTION("""COMPUTED_VALUE"""),"Building 1228")</f>
        <v>Building 1228</v>
      </c>
      <c r="C15526" s="2" t="str">
        <f ca="1">IFERROR(__xludf.DUMMYFUNCTION("""COMPUTED_VALUE"""),"Building")</f>
        <v>Building</v>
      </c>
      <c r="D15526" s="2" t="str">
        <f ca="1">IFERROR(__xludf.DUMMYFUNCTION("""COMPUTED_VALUE"""),"Sharjah&gt;Muwaileh Commercial&gt;Building 1228")</f>
        <v>Sharjah&gt;Muwaileh Commercial&gt;Building 1228</v>
      </c>
      <c r="E15526" s="2"/>
      <c r="F15526" s="2"/>
      <c r="G15526" s="2"/>
      <c r="H15526" s="2"/>
      <c r="I15526" s="2"/>
      <c r="J15526" s="2"/>
      <c r="K15526" s="2"/>
      <c r="L15526" s="2"/>
      <c r="M15526" s="2"/>
      <c r="N15526" s="2"/>
      <c r="O15526" s="2"/>
      <c r="P15526" s="2"/>
      <c r="Q15526" s="2"/>
      <c r="R15526" s="2"/>
      <c r="S15526" s="2"/>
      <c r="T15526" s="2"/>
      <c r="U15526" s="2"/>
      <c r="V15526" s="2"/>
      <c r="W15526" s="2"/>
      <c r="X15526" s="2"/>
      <c r="Y15526" s="2"/>
      <c r="Z15526" s="2"/>
    </row>
    <row r="15527" spans="1:26" ht="16.5" x14ac:dyDescent="0.35">
      <c r="A15527" s="2" t="str">
        <f ca="1">IFERROR(__xludf.DUMMYFUNCTION("""COMPUTED_VALUE"""),"Al Ain")</f>
        <v>Al Ain</v>
      </c>
      <c r="B15527" s="2" t="str">
        <f ca="1">IFERROR(__xludf.DUMMYFUNCTION("""COMPUTED_VALUE"""),"Al Hilaiw")</f>
        <v>Al Hilaiw</v>
      </c>
      <c r="C15527" s="2" t="str">
        <f ca="1">IFERROR(__xludf.DUMMYFUNCTION("""COMPUTED_VALUE"""),"Neighbourhood")</f>
        <v>Neighbourhood</v>
      </c>
      <c r="D15527" s="2" t="str">
        <f ca="1">IFERROR(__xludf.DUMMYFUNCTION("""COMPUTED_VALUE"""),"Al Ain&gt;Al Rawdah Al Sharqiyah&gt;Al Hilaiw")</f>
        <v>Al Ain&gt;Al Rawdah Al Sharqiyah&gt;Al Hilaiw</v>
      </c>
      <c r="E15527" s="2"/>
      <c r="F15527" s="2"/>
      <c r="G15527" s="2"/>
      <c r="H15527" s="2"/>
      <c r="I15527" s="2"/>
      <c r="J15527" s="2"/>
      <c r="K15527" s="2"/>
      <c r="L15527" s="2"/>
      <c r="M15527" s="2"/>
      <c r="N15527" s="2"/>
      <c r="O15527" s="2"/>
      <c r="P15527" s="2"/>
      <c r="Q15527" s="2"/>
      <c r="R15527" s="2"/>
      <c r="S15527" s="2"/>
      <c r="T15527" s="2"/>
      <c r="U15527" s="2"/>
      <c r="V15527" s="2"/>
      <c r="W15527" s="2"/>
      <c r="X15527" s="2"/>
      <c r="Y15527" s="2"/>
      <c r="Z15527" s="2"/>
    </row>
    <row r="15528" spans="1:26" ht="16.5" x14ac:dyDescent="0.35">
      <c r="A15528" s="2" t="str">
        <f ca="1">IFERROR(__xludf.DUMMYFUNCTION("""COMPUTED_VALUE"""),"Al Ain")</f>
        <v>Al Ain</v>
      </c>
      <c r="B15528" s="2" t="str">
        <f ca="1">IFERROR(__xludf.DUMMYFUNCTION("""COMPUTED_VALUE"""),"Al Jimi")</f>
        <v>Al Jimi</v>
      </c>
      <c r="C15528" s="2" t="str">
        <f ca="1">IFERROR(__xludf.DUMMYFUNCTION("""COMPUTED_VALUE"""),"Neighbourhood")</f>
        <v>Neighbourhood</v>
      </c>
      <c r="D15528" s="2" t="str">
        <f ca="1">IFERROR(__xludf.DUMMYFUNCTION("""COMPUTED_VALUE"""),"Al Ain&gt;Al Jimi")</f>
        <v>Al Ain&gt;Al Jimi</v>
      </c>
      <c r="E15528" s="2"/>
      <c r="F15528" s="2"/>
      <c r="G15528" s="2"/>
      <c r="H15528" s="2"/>
      <c r="I15528" s="2"/>
      <c r="J15528" s="2"/>
      <c r="K15528" s="2"/>
      <c r="L15528" s="2"/>
      <c r="M15528" s="2"/>
      <c r="N15528" s="2"/>
      <c r="O15528" s="2"/>
      <c r="P15528" s="2"/>
      <c r="Q15528" s="2"/>
      <c r="R15528" s="2"/>
      <c r="S15528" s="2"/>
      <c r="T15528" s="2"/>
      <c r="U15528" s="2"/>
      <c r="V15528" s="2"/>
      <c r="W15528" s="2"/>
      <c r="X15528" s="2"/>
      <c r="Y15528" s="2"/>
      <c r="Z15528" s="2"/>
    </row>
    <row r="15529" spans="1:26" ht="16.5" x14ac:dyDescent="0.35">
      <c r="A15529" s="2" t="str">
        <f ca="1">IFERROR(__xludf.DUMMYFUNCTION("""COMPUTED_VALUE"""),"Al Ain")</f>
        <v>Al Ain</v>
      </c>
      <c r="B15529" s="2" t="str">
        <f ca="1">IFERROR(__xludf.DUMMYFUNCTION("""COMPUTED_VALUE"""),"Al Swuaifi")</f>
        <v>Al Swuaifi</v>
      </c>
      <c r="C15529" s="2" t="str">
        <f ca="1">IFERROR(__xludf.DUMMYFUNCTION("""COMPUTED_VALUE"""),"Neighbourhood")</f>
        <v>Neighbourhood</v>
      </c>
      <c r="D15529" s="2" t="str">
        <f ca="1">IFERROR(__xludf.DUMMYFUNCTION("""COMPUTED_VALUE"""),"Al Ain&gt;Zakhir&gt;Al Swuaifi")</f>
        <v>Al Ain&gt;Zakhir&gt;Al Swuaifi</v>
      </c>
      <c r="E15529" s="2"/>
      <c r="F15529" s="2"/>
      <c r="G15529" s="2"/>
      <c r="H15529" s="2"/>
      <c r="I15529" s="2"/>
      <c r="J15529" s="2"/>
      <c r="K15529" s="2"/>
      <c r="L15529" s="2"/>
      <c r="M15529" s="2"/>
      <c r="N15529" s="2"/>
      <c r="O15529" s="2"/>
      <c r="P15529" s="2"/>
      <c r="Q15529" s="2"/>
      <c r="R15529" s="2"/>
      <c r="S15529" s="2"/>
      <c r="T15529" s="2"/>
      <c r="U15529" s="2"/>
      <c r="V15529" s="2"/>
      <c r="W15529" s="2"/>
      <c r="X15529" s="2"/>
      <c r="Y15529" s="2"/>
      <c r="Z15529" s="2"/>
    </row>
    <row r="15530" spans="1:26" ht="16.5" x14ac:dyDescent="0.35">
      <c r="A15530" s="2" t="str">
        <f ca="1">IFERROR(__xludf.DUMMYFUNCTION("""COMPUTED_VALUE"""),"Al Ain")</f>
        <v>Al Ain</v>
      </c>
      <c r="B15530" s="2" t="str">
        <f ca="1">IFERROR(__xludf.DUMMYFUNCTION("""COMPUTED_VALUE"""),"Madar International School")</f>
        <v>Madar International School</v>
      </c>
      <c r="C15530" s="2" t="str">
        <f ca="1">IFERROR(__xludf.DUMMYFUNCTION("""COMPUTED_VALUE"""),"School")</f>
        <v>School</v>
      </c>
      <c r="D15530" s="2" t="str">
        <f ca="1">IFERROR(__xludf.DUMMYFUNCTION("""COMPUTED_VALUE"""),"Al Ain&gt;Al Tiwayya&gt;Madar International School")</f>
        <v>Al Ain&gt;Al Tiwayya&gt;Madar International School</v>
      </c>
      <c r="E15530" s="2"/>
      <c r="F15530" s="2"/>
      <c r="G15530" s="2"/>
      <c r="H15530" s="2"/>
      <c r="I15530" s="2"/>
      <c r="J15530" s="2"/>
      <c r="K15530" s="2"/>
      <c r="L15530" s="2"/>
      <c r="M15530" s="2"/>
      <c r="N15530" s="2"/>
      <c r="O15530" s="2"/>
      <c r="P15530" s="2"/>
      <c r="Q15530" s="2"/>
      <c r="R15530" s="2"/>
      <c r="S15530" s="2"/>
      <c r="T15530" s="2"/>
      <c r="U15530" s="2"/>
      <c r="V15530" s="2"/>
      <c r="W15530" s="2"/>
      <c r="X15530" s="2"/>
      <c r="Y15530" s="2"/>
      <c r="Z15530" s="2"/>
    </row>
    <row r="15531" spans="1:26" ht="16.5" x14ac:dyDescent="0.35">
      <c r="A15531" s="2" t="str">
        <f ca="1">IFERROR(__xludf.DUMMYFUNCTION("""COMPUTED_VALUE"""),"Al Ain")</f>
        <v>Al Ain</v>
      </c>
      <c r="B15531" s="2" t="str">
        <f ca="1">IFERROR(__xludf.DUMMYFUNCTION("""COMPUTED_VALUE"""),"Al Owainah")</f>
        <v>Al Owainah</v>
      </c>
      <c r="C15531" s="2" t="str">
        <f ca="1">IFERROR(__xludf.DUMMYFUNCTION("""COMPUTED_VALUE"""),"Neighbourhood")</f>
        <v>Neighbourhood</v>
      </c>
      <c r="D15531" s="2" t="str">
        <f ca="1">IFERROR(__xludf.DUMMYFUNCTION("""COMPUTED_VALUE"""),"Al Ain&gt;Falaj Hazzaa&gt;Al Owainah")</f>
        <v>Al Ain&gt;Falaj Hazzaa&gt;Al Owainah</v>
      </c>
      <c r="E15531" s="2"/>
      <c r="F15531" s="2"/>
      <c r="G15531" s="2"/>
      <c r="H15531" s="2"/>
      <c r="I15531" s="2"/>
      <c r="J15531" s="2"/>
      <c r="K15531" s="2"/>
      <c r="L15531" s="2"/>
      <c r="M15531" s="2"/>
      <c r="N15531" s="2"/>
      <c r="O15531" s="2"/>
      <c r="P15531" s="2"/>
      <c r="Q15531" s="2"/>
      <c r="R15531" s="2"/>
      <c r="S15531" s="2"/>
      <c r="T15531" s="2"/>
      <c r="U15531" s="2"/>
      <c r="V15531" s="2"/>
      <c r="W15531" s="2"/>
      <c r="X15531" s="2"/>
      <c r="Y15531" s="2"/>
      <c r="Z15531" s="2"/>
    </row>
    <row r="15532" spans="1:26" ht="16.5" x14ac:dyDescent="0.35">
      <c r="A15532" s="2" t="str">
        <f ca="1">IFERROR(__xludf.DUMMYFUNCTION("""COMPUTED_VALUE"""),"Al Ain")</f>
        <v>Al Ain</v>
      </c>
      <c r="B15532" s="2" t="str">
        <f ca="1">IFERROR(__xludf.DUMMYFUNCTION("""COMPUTED_VALUE"""),"Abu Samrah")</f>
        <v>Abu Samrah</v>
      </c>
      <c r="C15532" s="2" t="str">
        <f ca="1">IFERROR(__xludf.DUMMYFUNCTION("""COMPUTED_VALUE"""),"Neighbourhood")</f>
        <v>Neighbourhood</v>
      </c>
      <c r="D15532" s="2" t="str">
        <f ca="1">IFERROR(__xludf.DUMMYFUNCTION("""COMPUTED_VALUE"""),"Al Ain&gt;Abu Samrah")</f>
        <v>Al Ain&gt;Abu Samrah</v>
      </c>
      <c r="E15532" s="2"/>
      <c r="F15532" s="2"/>
      <c r="G15532" s="2"/>
      <c r="H15532" s="2"/>
      <c r="I15532" s="2"/>
      <c r="J15532" s="2"/>
      <c r="K15532" s="2"/>
      <c r="L15532" s="2"/>
      <c r="M15532" s="2"/>
      <c r="N15532" s="2"/>
      <c r="O15532" s="2"/>
      <c r="P15532" s="2"/>
      <c r="Q15532" s="2"/>
      <c r="R15532" s="2"/>
      <c r="S15532" s="2"/>
      <c r="T15532" s="2"/>
      <c r="U15532" s="2"/>
      <c r="V15532" s="2"/>
      <c r="W15532" s="2"/>
      <c r="X15532" s="2"/>
      <c r="Y15532" s="2"/>
      <c r="Z15532" s="2"/>
    </row>
    <row r="15533" spans="1:26" ht="16.5" x14ac:dyDescent="0.35">
      <c r="A15533" s="2" t="str">
        <f ca="1">IFERROR(__xludf.DUMMYFUNCTION("""COMPUTED_VALUE"""),"Ras Al Khaimah")</f>
        <v>Ras Al Khaimah</v>
      </c>
      <c r="B15533" s="2" t="str">
        <f ca="1">IFERROR(__xludf.DUMMYFUNCTION("""COMPUTED_VALUE"""),"Jannah Resort &amp; Villas Ras Al Khaimah")</f>
        <v>Jannah Resort &amp; Villas Ras Al Khaimah</v>
      </c>
      <c r="C15533" s="2"/>
      <c r="D15533" s="2" t="str">
        <f ca="1">IFERROR(__xludf.DUMMYFUNCTION("""COMPUTED_VALUE"""),"Ras Al Khaimah&gt;Mina Al Arab&gt;Jannah Resort &amp; Villas Ras Al Khaimah")</f>
        <v>Ras Al Khaimah&gt;Mina Al Arab&gt;Jannah Resort &amp; Villas Ras Al Khaimah</v>
      </c>
      <c r="E15533" s="2"/>
      <c r="F15533" s="2"/>
      <c r="G15533" s="2"/>
      <c r="H15533" s="2"/>
      <c r="I15533" s="2"/>
      <c r="J15533" s="2"/>
      <c r="K15533" s="2"/>
      <c r="L15533" s="2"/>
      <c r="M15533" s="2"/>
      <c r="N15533" s="2"/>
      <c r="O15533" s="2"/>
      <c r="P15533" s="2"/>
      <c r="Q15533" s="2"/>
      <c r="R15533" s="2"/>
      <c r="S15533" s="2"/>
      <c r="T15533" s="2"/>
      <c r="U15533" s="2"/>
      <c r="V15533" s="2"/>
      <c r="W15533" s="2"/>
      <c r="X15533" s="2"/>
      <c r="Y15533" s="2"/>
      <c r="Z15533" s="2"/>
    </row>
    <row r="15534" spans="1:26" ht="16.5" x14ac:dyDescent="0.35">
      <c r="A15534" s="2" t="str">
        <f ca="1">IFERROR(__xludf.DUMMYFUNCTION("""COMPUTED_VALUE"""),"Ras Al Khaimah")</f>
        <v>Ras Al Khaimah</v>
      </c>
      <c r="B15534" s="2" t="str">
        <f ca="1">IFERROR(__xludf.DUMMYFUNCTION("""COMPUTED_VALUE"""),"Mirasol II")</f>
        <v>Mirasol II</v>
      </c>
      <c r="C15534" s="2" t="str">
        <f ca="1">IFERROR(__xludf.DUMMYFUNCTION("""COMPUTED_VALUE"""),"Building")</f>
        <v>Building</v>
      </c>
      <c r="D15534" s="2" t="str">
        <f ca="1">IFERROR(__xludf.DUMMYFUNCTION("""COMPUTED_VALUE"""),"Ras Al Khaimah&gt;Mina Al Arab&gt;Mirasol II")</f>
        <v>Ras Al Khaimah&gt;Mina Al Arab&gt;Mirasol II</v>
      </c>
      <c r="E15534" s="2"/>
      <c r="F15534" s="2"/>
      <c r="G15534" s="2"/>
      <c r="H15534" s="2"/>
      <c r="I15534" s="2"/>
      <c r="J15534" s="2"/>
      <c r="K15534" s="2"/>
      <c r="L15534" s="2"/>
      <c r="M15534" s="2"/>
      <c r="N15534" s="2"/>
      <c r="O15534" s="2"/>
      <c r="P15534" s="2"/>
      <c r="Q15534" s="2"/>
      <c r="R15534" s="2"/>
      <c r="S15534" s="2"/>
      <c r="T15534" s="2"/>
      <c r="U15534" s="2"/>
      <c r="V15534" s="2"/>
      <c r="W15534" s="2"/>
      <c r="X15534" s="2"/>
      <c r="Y15534" s="2"/>
      <c r="Z15534" s="2"/>
    </row>
    <row r="15535" spans="1:26" ht="16.5" x14ac:dyDescent="0.35">
      <c r="A15535" s="2" t="str">
        <f ca="1">IFERROR(__xludf.DUMMYFUNCTION("""COMPUTED_VALUE"""),"Ras Al Khaimah")</f>
        <v>Ras Al Khaimah</v>
      </c>
      <c r="B15535" s="2" t="str">
        <f ca="1">IFERROR(__xludf.DUMMYFUNCTION("""COMPUTED_VALUE"""),"Masa Residence")</f>
        <v>Masa Residence</v>
      </c>
      <c r="C15535" s="2" t="str">
        <f ca="1">IFERROR(__xludf.DUMMYFUNCTION("""COMPUTED_VALUE"""),"Building")</f>
        <v>Building</v>
      </c>
      <c r="D15535" s="2" t="str">
        <f ca="1">IFERROR(__xludf.DUMMYFUNCTION("""COMPUTED_VALUE"""),"Ras Al Khaimah&gt;Al Marjan Island&gt;Masa Residence")</f>
        <v>Ras Al Khaimah&gt;Al Marjan Island&gt;Masa Residence</v>
      </c>
      <c r="E15535" s="2"/>
      <c r="F15535" s="2"/>
      <c r="G15535" s="2"/>
      <c r="H15535" s="2"/>
      <c r="I15535" s="2"/>
      <c r="J15535" s="2"/>
      <c r="K15535" s="2"/>
      <c r="L15535" s="2"/>
      <c r="M15535" s="2"/>
      <c r="N15535" s="2"/>
      <c r="O15535" s="2"/>
      <c r="P15535" s="2"/>
      <c r="Q15535" s="2"/>
      <c r="R15535" s="2"/>
      <c r="S15535" s="2"/>
      <c r="T15535" s="2"/>
      <c r="U15535" s="2"/>
      <c r="V15535" s="2"/>
      <c r="W15535" s="2"/>
      <c r="X15535" s="2"/>
      <c r="Y15535" s="2"/>
      <c r="Z15535" s="2"/>
    </row>
    <row r="15536" spans="1:26" ht="16.5" x14ac:dyDescent="0.35">
      <c r="A15536" s="2" t="str">
        <f ca="1">IFERROR(__xludf.DUMMYFUNCTION("""COMPUTED_VALUE"""),"Ras Al Khaimah")</f>
        <v>Ras Al Khaimah</v>
      </c>
      <c r="B15536" s="2" t="str">
        <f ca="1">IFERROR(__xludf.DUMMYFUNCTION("""COMPUTED_VALUE"""),"Taj Wellington Mews")</f>
        <v>Taj Wellington Mews</v>
      </c>
      <c r="C15536" s="2" t="str">
        <f ca="1">IFERROR(__xludf.DUMMYFUNCTION("""COMPUTED_VALUE"""),"Building")</f>
        <v>Building</v>
      </c>
      <c r="D15536" s="2" t="str">
        <f ca="1">IFERROR(__xludf.DUMMYFUNCTION("""COMPUTED_VALUE"""),"Ras Al Khaimah&gt;Al Marjan Island&gt;Taj Wellington Mews")</f>
        <v>Ras Al Khaimah&gt;Al Marjan Island&gt;Taj Wellington Mews</v>
      </c>
      <c r="E15536" s="2"/>
      <c r="F15536" s="2"/>
      <c r="G15536" s="2"/>
      <c r="H15536" s="2"/>
      <c r="I15536" s="2"/>
      <c r="J15536" s="2"/>
      <c r="K15536" s="2"/>
      <c r="L15536" s="2"/>
      <c r="M15536" s="2"/>
      <c r="N15536" s="2"/>
      <c r="O15536" s="2"/>
      <c r="P15536" s="2"/>
      <c r="Q15536" s="2"/>
      <c r="R15536" s="2"/>
      <c r="S15536" s="2"/>
      <c r="T15536" s="2"/>
      <c r="U15536" s="2"/>
      <c r="V15536" s="2"/>
      <c r="W15536" s="2"/>
      <c r="X15536" s="2"/>
      <c r="Y15536" s="2"/>
      <c r="Z15536" s="2"/>
    </row>
    <row r="15537" spans="1:26" ht="16.5" x14ac:dyDescent="0.35">
      <c r="A15537" s="2" t="str">
        <f ca="1">IFERROR(__xludf.DUMMYFUNCTION("""COMPUTED_VALUE"""),"Ras Al Khaimah")</f>
        <v>Ras Al Khaimah</v>
      </c>
      <c r="B15537" s="2" t="str">
        <f ca="1">IFERROR(__xludf.DUMMYFUNCTION("""COMPUTED_VALUE"""),"Royal Breeze 3")</f>
        <v>Royal Breeze 3</v>
      </c>
      <c r="C15537" s="2" t="str">
        <f ca="1">IFERROR(__xludf.DUMMYFUNCTION("""COMPUTED_VALUE"""),"Building")</f>
        <v>Building</v>
      </c>
      <c r="D15537" s="2" t="str">
        <f ca="1">IFERROR(__xludf.DUMMYFUNCTION("""COMPUTED_VALUE"""),"Ras Al Khaimah&gt;Al Hamra Village&gt;Royal Breeze Apartment&gt;Royal Breeze 3")</f>
        <v>Ras Al Khaimah&gt;Al Hamra Village&gt;Royal Breeze Apartment&gt;Royal Breeze 3</v>
      </c>
      <c r="E15537" s="2"/>
      <c r="F15537" s="2"/>
      <c r="G15537" s="2"/>
      <c r="H15537" s="2"/>
      <c r="I15537" s="2"/>
      <c r="J15537" s="2"/>
      <c r="K15537" s="2"/>
      <c r="L15537" s="2"/>
      <c r="M15537" s="2"/>
      <c r="N15537" s="2"/>
      <c r="O15537" s="2"/>
      <c r="P15537" s="2"/>
      <c r="Q15537" s="2"/>
      <c r="R15537" s="2"/>
      <c r="S15537" s="2"/>
      <c r="T15537" s="2"/>
      <c r="U15537" s="2"/>
      <c r="V15537" s="2"/>
      <c r="W15537" s="2"/>
      <c r="X15537" s="2"/>
      <c r="Y15537" s="2"/>
      <c r="Z15537" s="2"/>
    </row>
    <row r="15538" spans="1:26" ht="16.5" x14ac:dyDescent="0.35">
      <c r="A15538" s="2" t="str">
        <f ca="1">IFERROR(__xludf.DUMMYFUNCTION("""COMPUTED_VALUE"""),"Ras Al Khaimah")</f>
        <v>Ras Al Khaimah</v>
      </c>
      <c r="B15538" s="2" t="str">
        <f ca="1">IFERROR(__xludf.DUMMYFUNCTION("""COMPUTED_VALUE"""),"Yasmin Village Building 5")</f>
        <v>Yasmin Village Building 5</v>
      </c>
      <c r="C15538" s="2" t="str">
        <f ca="1">IFERROR(__xludf.DUMMYFUNCTION("""COMPUTED_VALUE"""),"Building")</f>
        <v>Building</v>
      </c>
      <c r="D15538" s="2" t="str">
        <f ca="1">IFERROR(__xludf.DUMMYFUNCTION("""COMPUTED_VALUE"""),"Ras Al Khaimah&gt;Yasmin Village&gt;Yasmin Village Building 5")</f>
        <v>Ras Al Khaimah&gt;Yasmin Village&gt;Yasmin Village Building 5</v>
      </c>
      <c r="E15538" s="2"/>
      <c r="F15538" s="2"/>
      <c r="G15538" s="2"/>
      <c r="H15538" s="2"/>
      <c r="I15538" s="2"/>
      <c r="J15538" s="2"/>
      <c r="K15538" s="2"/>
      <c r="L15538" s="2"/>
      <c r="M15538" s="2"/>
      <c r="N15538" s="2"/>
      <c r="O15538" s="2"/>
      <c r="P15538" s="2"/>
      <c r="Q15538" s="2"/>
      <c r="R15538" s="2"/>
      <c r="S15538" s="2"/>
      <c r="T15538" s="2"/>
      <c r="U15538" s="2"/>
      <c r="V15538" s="2"/>
      <c r="W15538" s="2"/>
      <c r="X15538" s="2"/>
      <c r="Y15538" s="2"/>
      <c r="Z15538" s="2"/>
    </row>
    <row r="15539" spans="1:26" ht="16.5" x14ac:dyDescent="0.35">
      <c r="A15539" s="2" t="str">
        <f ca="1">IFERROR(__xludf.DUMMYFUNCTION("""COMPUTED_VALUE"""),"Ras Al Khaimah")</f>
        <v>Ras Al Khaimah</v>
      </c>
      <c r="B15539" s="2" t="str">
        <f ca="1">IFERROR(__xludf.DUMMYFUNCTION("""COMPUTED_VALUE"""),"Ideal English School, Ras Al Khaimah")</f>
        <v>Ideal English School, Ras Al Khaimah</v>
      </c>
      <c r="C15539" s="2" t="str">
        <f ca="1">IFERROR(__xludf.DUMMYFUNCTION("""COMPUTED_VALUE"""),"School")</f>
        <v>School</v>
      </c>
      <c r="D15539" s="2" t="str">
        <f ca="1">IFERROR(__xludf.DUMMYFUNCTION("""COMPUTED_VALUE"""),"Ras Al Khaimah&gt;Al Mamourah&gt;Ideal English School, Ras Al Khaimah")</f>
        <v>Ras Al Khaimah&gt;Al Mamourah&gt;Ideal English School, Ras Al Khaimah</v>
      </c>
      <c r="E15539" s="2"/>
      <c r="F15539" s="2"/>
      <c r="G15539" s="2"/>
      <c r="H15539" s="2"/>
      <c r="I15539" s="2"/>
      <c r="J15539" s="2"/>
      <c r="K15539" s="2"/>
      <c r="L15539" s="2"/>
      <c r="M15539" s="2"/>
      <c r="N15539" s="2"/>
      <c r="O15539" s="2"/>
      <c r="P15539" s="2"/>
      <c r="Q15539" s="2"/>
      <c r="R15539" s="2"/>
      <c r="S15539" s="2"/>
      <c r="T15539" s="2"/>
      <c r="U15539" s="2"/>
      <c r="V15539" s="2"/>
      <c r="W15539" s="2"/>
      <c r="X15539" s="2"/>
      <c r="Y15539" s="2"/>
      <c r="Z15539" s="2"/>
    </row>
    <row r="15540" spans="1:26" ht="16.5" x14ac:dyDescent="0.35">
      <c r="A15540" s="2" t="str">
        <f ca="1">IFERROR(__xludf.DUMMYFUNCTION("""COMPUTED_VALUE"""),"Ras Al Khaimah")</f>
        <v>Ras Al Khaimah</v>
      </c>
      <c r="B15540" s="2" t="str">
        <f ca="1">IFERROR(__xludf.DUMMYFUNCTION("""COMPUTED_VALUE"""),"Al Defan")</f>
        <v>Al Defan</v>
      </c>
      <c r="C15540" s="2"/>
      <c r="D15540" s="2" t="str">
        <f ca="1">IFERROR(__xludf.DUMMYFUNCTION("""COMPUTED_VALUE"""),"Ras Al Khaimah&gt;Al Defan")</f>
        <v>Ras Al Khaimah&gt;Al Defan</v>
      </c>
      <c r="E15540" s="2"/>
      <c r="F15540" s="2"/>
      <c r="G15540" s="2"/>
      <c r="H15540" s="2"/>
      <c r="I15540" s="2"/>
      <c r="J15540" s="2"/>
      <c r="K15540" s="2"/>
      <c r="L15540" s="2"/>
      <c r="M15540" s="2"/>
      <c r="N15540" s="2"/>
      <c r="O15540" s="2"/>
      <c r="P15540" s="2"/>
      <c r="Q15540" s="2"/>
      <c r="R15540" s="2"/>
      <c r="S15540" s="2"/>
      <c r="T15540" s="2"/>
      <c r="U15540" s="2"/>
      <c r="V15540" s="2"/>
      <c r="W15540" s="2"/>
      <c r="X15540" s="2"/>
      <c r="Y15540" s="2"/>
      <c r="Z15540" s="2"/>
    </row>
    <row r="15541" spans="1:26" ht="16.5" x14ac:dyDescent="0.35">
      <c r="A15541" s="2" t="str">
        <f ca="1">IFERROR(__xludf.DUMMYFUNCTION("""COMPUTED_VALUE"""),"Ras Al Khaimah")</f>
        <v>Ras Al Khaimah</v>
      </c>
      <c r="B15541" s="2" t="str">
        <f ca="1">IFERROR(__xludf.DUMMYFUNCTION("""COMPUTED_VALUE"""),"Seih Al Hudaibah")</f>
        <v>Seih Al Hudaibah</v>
      </c>
      <c r="C15541" s="2"/>
      <c r="D15541" s="2" t="str">
        <f ca="1">IFERROR(__xludf.DUMMYFUNCTION("""COMPUTED_VALUE"""),"Ras Al Khaimah&gt;Seih Al Hudaibah")</f>
        <v>Ras Al Khaimah&gt;Seih Al Hudaibah</v>
      </c>
      <c r="E15541" s="2"/>
      <c r="F15541" s="2"/>
      <c r="G15541" s="2"/>
      <c r="H15541" s="2"/>
      <c r="I15541" s="2"/>
      <c r="J15541" s="2"/>
      <c r="K15541" s="2"/>
      <c r="L15541" s="2"/>
      <c r="M15541" s="2"/>
      <c r="N15541" s="2"/>
      <c r="O15541" s="2"/>
      <c r="P15541" s="2"/>
      <c r="Q15541" s="2"/>
      <c r="R15541" s="2"/>
      <c r="S15541" s="2"/>
      <c r="T15541" s="2"/>
      <c r="U15541" s="2"/>
      <c r="V15541" s="2"/>
      <c r="W15541" s="2"/>
      <c r="X15541" s="2"/>
      <c r="Y15541" s="2"/>
      <c r="Z15541" s="2"/>
    </row>
    <row r="15542" spans="1:26" ht="16.5" x14ac:dyDescent="0.35">
      <c r="A15542" s="2" t="str">
        <f ca="1">IFERROR(__xludf.DUMMYFUNCTION("""COMPUTED_VALUE"""),"Umm Al Quwain")</f>
        <v>Umm Al Quwain</v>
      </c>
      <c r="B15542" s="2" t="str">
        <f ca="1">IFERROR(__xludf.DUMMYFUNCTION("""COMPUTED_VALUE"""),"Al Maqtaa")</f>
        <v>Al Maqtaa</v>
      </c>
      <c r="C15542" s="2" t="str">
        <f ca="1">IFERROR(__xludf.DUMMYFUNCTION("""COMPUTED_VALUE"""),"Neighbourhood")</f>
        <v>Neighbourhood</v>
      </c>
      <c r="D15542" s="2" t="str">
        <f ca="1">IFERROR(__xludf.DUMMYFUNCTION("""COMPUTED_VALUE"""),"Umm Al Quwain&gt;Al Maqtaa")</f>
        <v>Umm Al Quwain&gt;Al Maqtaa</v>
      </c>
      <c r="E15542" s="2"/>
      <c r="F15542" s="2"/>
      <c r="G15542" s="2"/>
      <c r="H15542" s="2"/>
      <c r="I15542" s="2"/>
      <c r="J15542" s="2"/>
      <c r="K15542" s="2"/>
      <c r="L15542" s="2"/>
      <c r="M15542" s="2"/>
      <c r="N15542" s="2"/>
      <c r="O15542" s="2"/>
      <c r="P15542" s="2"/>
      <c r="Q15542" s="2"/>
      <c r="R15542" s="2"/>
      <c r="S15542" s="2"/>
      <c r="T15542" s="2"/>
      <c r="U15542" s="2"/>
      <c r="V15542" s="2"/>
      <c r="W15542" s="2"/>
      <c r="X15542" s="2"/>
      <c r="Y15542" s="2"/>
      <c r="Z15542" s="2"/>
    </row>
    <row r="15543" spans="1:26" ht="16.5" x14ac:dyDescent="0.35">
      <c r="A15543" s="2" t="str">
        <f ca="1">IFERROR(__xludf.DUMMYFUNCTION("""COMPUTED_VALUE"""),"Umm Al Quwain")</f>
        <v>Umm Al Quwain</v>
      </c>
      <c r="B15543" s="2" t="str">
        <f ca="1">IFERROR(__xludf.DUMMYFUNCTION("""COMPUTED_VALUE"""),"Al Ramlah B")</f>
        <v>Al Ramlah B</v>
      </c>
      <c r="C15543" s="2"/>
      <c r="D15543" s="2" t="str">
        <f ca="1">IFERROR(__xludf.DUMMYFUNCTION("""COMPUTED_VALUE"""),"Umm Al Quwain&gt;Al Ramlah&gt;Al Ramlah B")</f>
        <v>Umm Al Quwain&gt;Al Ramlah&gt;Al Ramlah B</v>
      </c>
      <c r="E15543" s="2"/>
      <c r="F15543" s="2"/>
      <c r="G15543" s="2"/>
      <c r="H15543" s="2"/>
      <c r="I15543" s="2"/>
      <c r="J15543" s="2"/>
      <c r="K15543" s="2"/>
      <c r="L15543" s="2"/>
      <c r="M15543" s="2"/>
      <c r="N15543" s="2"/>
      <c r="O15543" s="2"/>
      <c r="P15543" s="2"/>
      <c r="Q15543" s="2"/>
      <c r="R15543" s="2"/>
      <c r="S15543" s="2"/>
      <c r="T15543" s="2"/>
      <c r="U15543" s="2"/>
      <c r="V15543" s="2"/>
      <c r="W15543" s="2"/>
      <c r="X15543" s="2"/>
      <c r="Y15543" s="2"/>
      <c r="Z15543" s="2"/>
    </row>
    <row r="15544" spans="1:26" ht="16.5" x14ac:dyDescent="0.35">
      <c r="A15544" s="2" t="str">
        <f ca="1">IFERROR(__xludf.DUMMYFUNCTION("""COMPUTED_VALUE"""),"Umm Al Quwain")</f>
        <v>Umm Al Quwain</v>
      </c>
      <c r="B15544" s="2" t="str">
        <f ca="1">IFERROR(__xludf.DUMMYFUNCTION("""COMPUTED_VALUE"""),"Delphine Beach Residences Tower A")</f>
        <v>Delphine Beach Residences Tower A</v>
      </c>
      <c r="C15544" s="2" t="str">
        <f ca="1">IFERROR(__xludf.DUMMYFUNCTION("""COMPUTED_VALUE"""),"Building")</f>
        <v>Building</v>
      </c>
      <c r="D15544" s="2" t="str">
        <f ca="1">IFERROR(__xludf.DUMMYFUNCTION("""COMPUTED_VALUE"""),"Umm Al Quwain&gt;Al Seanneeah&gt;Sobha Siniya Island&gt;Delphine Beach Residences&gt;Delphine Beach Residences Tower A")</f>
        <v>Umm Al Quwain&gt;Al Seanneeah&gt;Sobha Siniya Island&gt;Delphine Beach Residences&gt;Delphine Beach Residences Tower A</v>
      </c>
      <c r="E15544" s="2"/>
      <c r="F15544" s="2"/>
      <c r="G15544" s="2"/>
      <c r="H15544" s="2"/>
      <c r="I15544" s="2"/>
      <c r="J15544" s="2"/>
      <c r="K15544" s="2"/>
      <c r="L15544" s="2"/>
      <c r="M15544" s="2"/>
      <c r="N15544" s="2"/>
      <c r="O15544" s="2"/>
      <c r="P15544" s="2"/>
      <c r="Q15544" s="2"/>
      <c r="R15544" s="2"/>
      <c r="S15544" s="2"/>
      <c r="T15544" s="2"/>
      <c r="U15544" s="2"/>
      <c r="V15544" s="2"/>
      <c r="W15544" s="2"/>
      <c r="X15544" s="2"/>
      <c r="Y15544" s="2"/>
      <c r="Z15544" s="2"/>
    </row>
    <row r="15545" spans="1:26" ht="16.5" x14ac:dyDescent="0.35">
      <c r="A15545" s="2" t="str">
        <f ca="1">IFERROR(__xludf.DUMMYFUNCTION("""COMPUTED_VALUE"""),"Umm Al Quwain")</f>
        <v>Umm Al Quwain</v>
      </c>
      <c r="B15545" s="2" t="str">
        <f ca="1">IFERROR(__xludf.DUMMYFUNCTION("""COMPUTED_VALUE"""),"Starline Beach Residences Building 4")</f>
        <v>Starline Beach Residences Building 4</v>
      </c>
      <c r="C15545" s="2" t="str">
        <f ca="1">IFERROR(__xludf.DUMMYFUNCTION("""COMPUTED_VALUE"""),"Building")</f>
        <v>Building</v>
      </c>
      <c r="D15545" s="2" t="str">
        <f ca="1">IFERROR(__xludf.DUMMYFUNCTION("""COMPUTED_VALUE"""),"Umm Al Quwain&gt;Al Seanneeah&gt;Sobha Siniya Island&gt;Starline Beach Residences&gt;Starline Beach Residences Building 4")</f>
        <v>Umm Al Quwain&gt;Al Seanneeah&gt;Sobha Siniya Island&gt;Starline Beach Residences&gt;Starline Beach Residences Building 4</v>
      </c>
      <c r="E15545" s="2"/>
      <c r="F15545" s="2"/>
      <c r="G15545" s="2"/>
      <c r="H15545" s="2"/>
      <c r="I15545" s="2"/>
      <c r="J15545" s="2"/>
      <c r="K15545" s="2"/>
      <c r="L15545" s="2"/>
      <c r="M15545" s="2"/>
      <c r="N15545" s="2"/>
      <c r="O15545" s="2"/>
      <c r="P15545" s="2"/>
      <c r="Q15545" s="2"/>
      <c r="R15545" s="2"/>
      <c r="S15545" s="2"/>
      <c r="T15545" s="2"/>
      <c r="U15545" s="2"/>
      <c r="V15545" s="2"/>
      <c r="W15545" s="2"/>
      <c r="X15545" s="2"/>
      <c r="Y15545" s="2"/>
      <c r="Z15545" s="2"/>
    </row>
    <row r="15546" spans="1:26" ht="16.5" x14ac:dyDescent="0.35">
      <c r="A15546" s="2" t="str">
        <f ca="1">IFERROR(__xludf.DUMMYFUNCTION("""COMPUTED_VALUE"""),"Fujairah")</f>
        <v>Fujairah</v>
      </c>
      <c r="B15546" s="2" t="str">
        <f ca="1">IFERROR(__xludf.DUMMYFUNCTION("""COMPUTED_VALUE"""),"Mirbah")</f>
        <v>Mirbah</v>
      </c>
      <c r="C15546" s="2" t="str">
        <f ca="1">IFERROR(__xludf.DUMMYFUNCTION("""COMPUTED_VALUE"""),"Neighbourhood")</f>
        <v>Neighbourhood</v>
      </c>
      <c r="D15546" s="2" t="str">
        <f ca="1">IFERROR(__xludf.DUMMYFUNCTION("""COMPUTED_VALUE"""),"Fujairah&gt;Mirbah")</f>
        <v>Fujairah&gt;Mirbah</v>
      </c>
      <c r="E15546" s="2"/>
      <c r="F15546" s="2"/>
      <c r="G15546" s="2"/>
      <c r="H15546" s="2"/>
      <c r="I15546" s="2"/>
      <c r="J15546" s="2"/>
      <c r="K15546" s="2"/>
      <c r="L15546" s="2"/>
      <c r="M15546" s="2"/>
      <c r="N15546" s="2"/>
      <c r="O15546" s="2"/>
      <c r="P15546" s="2"/>
      <c r="Q15546" s="2"/>
      <c r="R15546" s="2"/>
      <c r="S15546" s="2"/>
      <c r="T15546" s="2"/>
      <c r="U15546" s="2"/>
      <c r="V15546" s="2"/>
      <c r="W15546" s="2"/>
      <c r="X15546" s="2"/>
      <c r="Y15546" s="2"/>
      <c r="Z15546" s="2"/>
    </row>
    <row r="15547" spans="1:26" ht="16.5" x14ac:dyDescent="0.35">
      <c r="A15547" s="2" t="str">
        <f ca="1">IFERROR(__xludf.DUMMYFUNCTION("""COMPUTED_VALUE"""),"Fujairah")</f>
        <v>Fujairah</v>
      </c>
      <c r="B15547" s="2" t="str">
        <f ca="1">IFERROR(__xludf.DUMMYFUNCTION("""COMPUTED_VALUE"""),"Mattar Residence 4")</f>
        <v>Mattar Residence 4</v>
      </c>
      <c r="C15547" s="2" t="str">
        <f ca="1">IFERROR(__xludf.DUMMYFUNCTION("""COMPUTED_VALUE"""),"Building")</f>
        <v>Building</v>
      </c>
      <c r="D15547" s="2" t="str">
        <f ca="1">IFERROR(__xludf.DUMMYFUNCTION("""COMPUTED_VALUE"""),"Fujairah&gt;Al Faseel Area&gt;Mattar Residence 4")</f>
        <v>Fujairah&gt;Al Faseel Area&gt;Mattar Residence 4</v>
      </c>
      <c r="E15547" s="2"/>
      <c r="F15547" s="2"/>
      <c r="G15547" s="2"/>
      <c r="H15547" s="2"/>
      <c r="I15547" s="2"/>
      <c r="J15547" s="2"/>
      <c r="K15547" s="2"/>
      <c r="L15547" s="2"/>
      <c r="M15547" s="2"/>
      <c r="N15547" s="2"/>
      <c r="O15547" s="2"/>
      <c r="P15547" s="2"/>
      <c r="Q15547" s="2"/>
      <c r="R15547" s="2"/>
      <c r="S15547" s="2"/>
      <c r="T15547" s="2"/>
      <c r="U15547" s="2"/>
      <c r="V15547" s="2"/>
      <c r="W15547" s="2"/>
      <c r="X15547" s="2"/>
      <c r="Y15547" s="2"/>
      <c r="Z15547" s="2"/>
    </row>
    <row r="15548" spans="1:26" ht="16.5" x14ac:dyDescent="0.35">
      <c r="A15548" s="2" t="str">
        <f ca="1">IFERROR(__xludf.DUMMYFUNCTION("""COMPUTED_VALUE"""),"Fujairah")</f>
        <v>Fujairah</v>
      </c>
      <c r="B15548" s="2" t="str">
        <f ca="1">IFERROR(__xludf.DUMMYFUNCTION("""COMPUTED_VALUE"""),"Al Hlaifat")</f>
        <v>Al Hlaifat</v>
      </c>
      <c r="C15548" s="2" t="str">
        <f ca="1">IFERROR(__xludf.DUMMYFUNCTION("""COMPUTED_VALUE"""),"Neighbourhood")</f>
        <v>Neighbourhood</v>
      </c>
      <c r="D15548" s="2" t="str">
        <f ca="1">IFERROR(__xludf.DUMMYFUNCTION("""COMPUTED_VALUE"""),"Fujairah&gt;Al Hlaifat")</f>
        <v>Fujairah&gt;Al Hlaifat</v>
      </c>
      <c r="E15548" s="2"/>
      <c r="F15548" s="2"/>
      <c r="G15548" s="2"/>
      <c r="H15548" s="2"/>
      <c r="I15548" s="2"/>
      <c r="J15548" s="2"/>
      <c r="K15548" s="2"/>
      <c r="L15548" s="2"/>
      <c r="M15548" s="2"/>
      <c r="N15548" s="2"/>
      <c r="O15548" s="2"/>
      <c r="P15548" s="2"/>
      <c r="Q15548" s="2"/>
      <c r="R15548" s="2"/>
      <c r="S15548" s="2"/>
      <c r="T15548" s="2"/>
      <c r="U15548" s="2"/>
      <c r="V15548" s="2"/>
      <c r="W15548" s="2"/>
      <c r="X15548" s="2"/>
      <c r="Y15548" s="2"/>
      <c r="Z15548" s="2"/>
    </row>
    <row r="15549" spans="1:26" ht="16.5" x14ac:dyDescent="0.35">
      <c r="A15549" s="2"/>
      <c r="B15549" s="2"/>
      <c r="C15549" s="2"/>
      <c r="D15549" s="2"/>
      <c r="E15549" s="2"/>
      <c r="F15549" s="2"/>
      <c r="G15549" s="2"/>
      <c r="H15549" s="2"/>
      <c r="I15549" s="2"/>
      <c r="J15549" s="2"/>
      <c r="K15549" s="2"/>
      <c r="L15549" s="2"/>
      <c r="M15549" s="2"/>
      <c r="N15549" s="2"/>
      <c r="O15549" s="2"/>
      <c r="P15549" s="2"/>
      <c r="Q15549" s="2"/>
      <c r="R15549" s="2"/>
      <c r="S15549" s="2"/>
      <c r="T15549" s="2"/>
      <c r="U15549" s="2"/>
      <c r="V15549" s="2"/>
      <c r="W15549" s="2"/>
      <c r="X15549" s="2"/>
      <c r="Y15549" s="2"/>
      <c r="Z15549" s="2"/>
    </row>
    <row r="15550" spans="1:26" ht="16.5" x14ac:dyDescent="0.35">
      <c r="A15550" s="2"/>
      <c r="B15550" s="2"/>
      <c r="C15550" s="2"/>
      <c r="D15550" s="2"/>
      <c r="E15550" s="2"/>
      <c r="F15550" s="2"/>
      <c r="G15550" s="2"/>
      <c r="H15550" s="2"/>
      <c r="I15550" s="2"/>
      <c r="J15550" s="2"/>
      <c r="K15550" s="2"/>
      <c r="L15550" s="2"/>
      <c r="M15550" s="2"/>
      <c r="N15550" s="2"/>
      <c r="O15550" s="2"/>
      <c r="P15550" s="2"/>
      <c r="Q15550" s="2"/>
      <c r="R15550" s="2"/>
      <c r="S15550" s="2"/>
      <c r="T15550" s="2"/>
      <c r="U15550" s="2"/>
      <c r="V15550" s="2"/>
      <c r="W15550" s="2"/>
      <c r="X15550" s="2"/>
      <c r="Y15550" s="2"/>
      <c r="Z15550" s="2"/>
    </row>
    <row r="15551" spans="1:26" ht="16.5" x14ac:dyDescent="0.35">
      <c r="A15551" s="2"/>
      <c r="B15551" s="2"/>
      <c r="C15551" s="2"/>
      <c r="D15551" s="2"/>
      <c r="E15551" s="2"/>
      <c r="F15551" s="2"/>
      <c r="G15551" s="2"/>
      <c r="H15551" s="2"/>
      <c r="I15551" s="2"/>
      <c r="J15551" s="2"/>
      <c r="K15551" s="2"/>
      <c r="L15551" s="2"/>
      <c r="M15551" s="2"/>
      <c r="N15551" s="2"/>
      <c r="O15551" s="2"/>
      <c r="P15551" s="2"/>
      <c r="Q15551" s="2"/>
      <c r="R15551" s="2"/>
      <c r="S15551" s="2"/>
      <c r="T15551" s="2"/>
      <c r="U15551" s="2"/>
      <c r="V15551" s="2"/>
      <c r="W15551" s="2"/>
      <c r="X15551" s="2"/>
      <c r="Y15551" s="2"/>
      <c r="Z15551" s="2"/>
    </row>
    <row r="15552" spans="1:26" ht="16.5" x14ac:dyDescent="0.35">
      <c r="A15552" s="2"/>
      <c r="B15552" s="2"/>
      <c r="C15552" s="2"/>
      <c r="D15552" s="2"/>
      <c r="E15552" s="2"/>
      <c r="F15552" s="2"/>
      <c r="G15552" s="2"/>
      <c r="H15552" s="2"/>
      <c r="I15552" s="2"/>
      <c r="J15552" s="2"/>
      <c r="K15552" s="2"/>
      <c r="L15552" s="2"/>
      <c r="M15552" s="2"/>
      <c r="N15552" s="2"/>
      <c r="O15552" s="2"/>
      <c r="P15552" s="2"/>
      <c r="Q15552" s="2"/>
      <c r="R15552" s="2"/>
      <c r="S15552" s="2"/>
      <c r="T15552" s="2"/>
      <c r="U15552" s="2"/>
      <c r="V15552" s="2"/>
      <c r="W15552" s="2"/>
      <c r="X15552" s="2"/>
      <c r="Y15552" s="2"/>
      <c r="Z15552" s="2"/>
    </row>
    <row r="15553" spans="1:26" ht="16.5" x14ac:dyDescent="0.35">
      <c r="A15553" s="2"/>
      <c r="B15553" s="2"/>
      <c r="C15553" s="2"/>
      <c r="D15553" s="2"/>
      <c r="E15553" s="2"/>
      <c r="F15553" s="2"/>
      <c r="G15553" s="2"/>
      <c r="H15553" s="2"/>
      <c r="I15553" s="2"/>
      <c r="J15553" s="2"/>
      <c r="K15553" s="2"/>
      <c r="L15553" s="2"/>
      <c r="M15553" s="2"/>
      <c r="N15553" s="2"/>
      <c r="O15553" s="2"/>
      <c r="P15553" s="2"/>
      <c r="Q15553" s="2"/>
      <c r="R15553" s="2"/>
      <c r="S15553" s="2"/>
      <c r="T15553" s="2"/>
      <c r="U15553" s="2"/>
      <c r="V15553" s="2"/>
      <c r="W15553" s="2"/>
      <c r="X15553" s="2"/>
      <c r="Y15553" s="2"/>
      <c r="Z15553" s="2"/>
    </row>
    <row r="15554" spans="1:26" ht="16.5" x14ac:dyDescent="0.35">
      <c r="A15554" s="2"/>
      <c r="B15554" s="2"/>
      <c r="C15554" s="2"/>
      <c r="D15554" s="2"/>
      <c r="E15554" s="2"/>
      <c r="F15554" s="2"/>
      <c r="G15554" s="2"/>
      <c r="H15554" s="2"/>
      <c r="I15554" s="2"/>
      <c r="J15554" s="2"/>
      <c r="K15554" s="2"/>
      <c r="L15554" s="2"/>
      <c r="M15554" s="2"/>
      <c r="N15554" s="2"/>
      <c r="O15554" s="2"/>
      <c r="P15554" s="2"/>
      <c r="Q15554" s="2"/>
      <c r="R15554" s="2"/>
      <c r="S15554" s="2"/>
      <c r="T15554" s="2"/>
      <c r="U15554" s="2"/>
      <c r="V15554" s="2"/>
      <c r="W15554" s="2"/>
      <c r="X15554" s="2"/>
      <c r="Y15554" s="2"/>
      <c r="Z15554" s="2"/>
    </row>
    <row r="15555" spans="1:26" ht="16.5" x14ac:dyDescent="0.35">
      <c r="A15555" s="2"/>
      <c r="B15555" s="2"/>
      <c r="C15555" s="2"/>
      <c r="D15555" s="2"/>
      <c r="E15555" s="2"/>
      <c r="F15555" s="2"/>
      <c r="G15555" s="2"/>
      <c r="H15555" s="2"/>
      <c r="I15555" s="2"/>
      <c r="J15555" s="2"/>
      <c r="K15555" s="2"/>
      <c r="L15555" s="2"/>
      <c r="M15555" s="2"/>
      <c r="N15555" s="2"/>
      <c r="O15555" s="2"/>
      <c r="P15555" s="2"/>
      <c r="Q15555" s="2"/>
      <c r="R15555" s="2"/>
      <c r="S15555" s="2"/>
      <c r="T15555" s="2"/>
      <c r="U15555" s="2"/>
      <c r="V15555" s="2"/>
      <c r="W15555" s="2"/>
      <c r="X15555" s="2"/>
      <c r="Y15555" s="2"/>
      <c r="Z15555" s="2"/>
    </row>
    <row r="15556" spans="1:26" ht="16.5" x14ac:dyDescent="0.35">
      <c r="A15556" s="2"/>
      <c r="B15556" s="2"/>
      <c r="C15556" s="2"/>
      <c r="D15556" s="2"/>
      <c r="E15556" s="2"/>
      <c r="F15556" s="2"/>
      <c r="G15556" s="2"/>
      <c r="H15556" s="2"/>
      <c r="I15556" s="2"/>
      <c r="J15556" s="2"/>
      <c r="K15556" s="2"/>
      <c r="L15556" s="2"/>
      <c r="M15556" s="2"/>
      <c r="N15556" s="2"/>
      <c r="O15556" s="2"/>
      <c r="P15556" s="2"/>
      <c r="Q15556" s="2"/>
      <c r="R15556" s="2"/>
      <c r="S15556" s="2"/>
      <c r="T15556" s="2"/>
      <c r="U15556" s="2"/>
      <c r="V15556" s="2"/>
      <c r="W15556" s="2"/>
      <c r="X15556" s="2"/>
      <c r="Y15556" s="2"/>
      <c r="Z15556" s="2"/>
    </row>
    <row r="15557" spans="1:26" ht="16.5" x14ac:dyDescent="0.35">
      <c r="A15557" s="2"/>
      <c r="B15557" s="2"/>
      <c r="C15557" s="2"/>
      <c r="D15557" s="2"/>
      <c r="E15557" s="2"/>
      <c r="F15557" s="2"/>
      <c r="G15557" s="2"/>
      <c r="H15557" s="2"/>
      <c r="I15557" s="2"/>
      <c r="J15557" s="2"/>
      <c r="K15557" s="2"/>
      <c r="L15557" s="2"/>
      <c r="M15557" s="2"/>
      <c r="N15557" s="2"/>
      <c r="O15557" s="2"/>
      <c r="P15557" s="2"/>
      <c r="Q15557" s="2"/>
      <c r="R15557" s="2"/>
      <c r="S15557" s="2"/>
      <c r="T15557" s="2"/>
      <c r="U15557" s="2"/>
      <c r="V15557" s="2"/>
      <c r="W15557" s="2"/>
      <c r="X15557" s="2"/>
      <c r="Y15557" s="2"/>
      <c r="Z15557" s="2"/>
    </row>
    <row r="15558" spans="1:26" ht="16.5" x14ac:dyDescent="0.35">
      <c r="A15558" s="2"/>
      <c r="B15558" s="2"/>
      <c r="C15558" s="2"/>
      <c r="D15558" s="2"/>
      <c r="E15558" s="2"/>
      <c r="F15558" s="2"/>
      <c r="G15558" s="2"/>
      <c r="H15558" s="2"/>
      <c r="I15558" s="2"/>
      <c r="J15558" s="2"/>
      <c r="K15558" s="2"/>
      <c r="L15558" s="2"/>
      <c r="M15558" s="2"/>
      <c r="N15558" s="2"/>
      <c r="O15558" s="2"/>
      <c r="P15558" s="2"/>
      <c r="Q15558" s="2"/>
      <c r="R15558" s="2"/>
      <c r="S15558" s="2"/>
      <c r="T15558" s="2"/>
      <c r="U15558" s="2"/>
      <c r="V15558" s="2"/>
      <c r="W15558" s="2"/>
      <c r="X15558" s="2"/>
      <c r="Y15558" s="2"/>
      <c r="Z15558" s="2"/>
    </row>
    <row r="15559" spans="1:26" ht="16.5" x14ac:dyDescent="0.35">
      <c r="A15559" s="2"/>
      <c r="B15559" s="2"/>
      <c r="C15559" s="2"/>
      <c r="D15559" s="2"/>
      <c r="E15559" s="2"/>
      <c r="F15559" s="2"/>
      <c r="G15559" s="2"/>
      <c r="H15559" s="2"/>
      <c r="I15559" s="2"/>
      <c r="J15559" s="2"/>
      <c r="K15559" s="2"/>
      <c r="L15559" s="2"/>
      <c r="M15559" s="2"/>
      <c r="N15559" s="2"/>
      <c r="O15559" s="2"/>
      <c r="P15559" s="2"/>
      <c r="Q15559" s="2"/>
      <c r="R15559" s="2"/>
      <c r="S15559" s="2"/>
      <c r="T15559" s="2"/>
      <c r="U15559" s="2"/>
      <c r="V15559" s="2"/>
      <c r="W15559" s="2"/>
      <c r="X15559" s="2"/>
      <c r="Y15559" s="2"/>
      <c r="Z15559" s="2"/>
    </row>
    <row r="15560" spans="1:26" ht="16.5" x14ac:dyDescent="0.35">
      <c r="A15560" s="2"/>
      <c r="B15560" s="2"/>
      <c r="C15560" s="2"/>
      <c r="D15560" s="2"/>
      <c r="E15560" s="2"/>
      <c r="F15560" s="2"/>
      <c r="G15560" s="2"/>
      <c r="H15560" s="2"/>
      <c r="I15560" s="2"/>
      <c r="J15560" s="2"/>
      <c r="K15560" s="2"/>
      <c r="L15560" s="2"/>
      <c r="M15560" s="2"/>
      <c r="N15560" s="2"/>
      <c r="O15560" s="2"/>
      <c r="P15560" s="2"/>
      <c r="Q15560" s="2"/>
      <c r="R15560" s="2"/>
      <c r="S15560" s="2"/>
      <c r="T15560" s="2"/>
      <c r="U15560" s="2"/>
      <c r="V15560" s="2"/>
      <c r="W15560" s="2"/>
      <c r="X15560" s="2"/>
      <c r="Y15560" s="2"/>
      <c r="Z15560" s="2"/>
    </row>
    <row r="15561" spans="1:26" ht="16.5" x14ac:dyDescent="0.35">
      <c r="A15561" s="2"/>
      <c r="B15561" s="2"/>
      <c r="C15561" s="2"/>
      <c r="D15561" s="2"/>
      <c r="E15561" s="2"/>
      <c r="F15561" s="2"/>
      <c r="G15561" s="2"/>
      <c r="H15561" s="2"/>
      <c r="I15561" s="2"/>
      <c r="J15561" s="2"/>
      <c r="K15561" s="2"/>
      <c r="L15561" s="2"/>
      <c r="M15561" s="2"/>
      <c r="N15561" s="2"/>
      <c r="O15561" s="2"/>
      <c r="P15561" s="2"/>
      <c r="Q15561" s="2"/>
      <c r="R15561" s="2"/>
      <c r="S15561" s="2"/>
      <c r="T15561" s="2"/>
      <c r="U15561" s="2"/>
      <c r="V15561" s="2"/>
      <c r="W15561" s="2"/>
      <c r="X15561" s="2"/>
      <c r="Y15561" s="2"/>
      <c r="Z15561" s="2"/>
    </row>
    <row r="15562" spans="1:26" ht="16.5" x14ac:dyDescent="0.35">
      <c r="A15562" s="2"/>
      <c r="B15562" s="2"/>
      <c r="C15562" s="2"/>
      <c r="D15562" s="2"/>
      <c r="E15562" s="2"/>
      <c r="F15562" s="2"/>
      <c r="G15562" s="2"/>
      <c r="H15562" s="2"/>
      <c r="I15562" s="2"/>
      <c r="J15562" s="2"/>
      <c r="K15562" s="2"/>
      <c r="L15562" s="2"/>
      <c r="M15562" s="2"/>
      <c r="N15562" s="2"/>
      <c r="O15562" s="2"/>
      <c r="P15562" s="2"/>
      <c r="Q15562" s="2"/>
      <c r="R15562" s="2"/>
      <c r="S15562" s="2"/>
      <c r="T15562" s="2"/>
      <c r="U15562" s="2"/>
      <c r="V15562" s="2"/>
      <c r="W15562" s="2"/>
      <c r="X15562" s="2"/>
      <c r="Y15562" s="2"/>
      <c r="Z15562" s="2"/>
    </row>
    <row r="15563" spans="1:26" ht="16.5" x14ac:dyDescent="0.35">
      <c r="A15563" s="2"/>
      <c r="B15563" s="2"/>
      <c r="C15563" s="2"/>
      <c r="D15563" s="2"/>
      <c r="E15563" s="2"/>
      <c r="F15563" s="2"/>
      <c r="G15563" s="2"/>
      <c r="H15563" s="2"/>
      <c r="I15563" s="2"/>
      <c r="J15563" s="2"/>
      <c r="K15563" s="2"/>
      <c r="L15563" s="2"/>
      <c r="M15563" s="2"/>
      <c r="N15563" s="2"/>
      <c r="O15563" s="2"/>
      <c r="P15563" s="2"/>
      <c r="Q15563" s="2"/>
      <c r="R15563" s="2"/>
      <c r="S15563" s="2"/>
      <c r="T15563" s="2"/>
      <c r="U15563" s="2"/>
      <c r="V15563" s="2"/>
      <c r="W15563" s="2"/>
      <c r="X15563" s="2"/>
      <c r="Y15563" s="2"/>
      <c r="Z15563" s="2"/>
    </row>
    <row r="15564" spans="1:26" ht="16.5" x14ac:dyDescent="0.35">
      <c r="A15564" s="2"/>
      <c r="B15564" s="2"/>
      <c r="C15564" s="2"/>
      <c r="D15564" s="2"/>
      <c r="E15564" s="2"/>
      <c r="F15564" s="2"/>
      <c r="G15564" s="2"/>
      <c r="H15564" s="2"/>
      <c r="I15564" s="2"/>
      <c r="J15564" s="2"/>
      <c r="K15564" s="2"/>
      <c r="L15564" s="2"/>
      <c r="M15564" s="2"/>
      <c r="N15564" s="2"/>
      <c r="O15564" s="2"/>
      <c r="P15564" s="2"/>
      <c r="Q15564" s="2"/>
      <c r="R15564" s="2"/>
      <c r="S15564" s="2"/>
      <c r="T15564" s="2"/>
      <c r="U15564" s="2"/>
      <c r="V15564" s="2"/>
      <c r="W15564" s="2"/>
      <c r="X15564" s="2"/>
      <c r="Y15564" s="2"/>
      <c r="Z15564" s="2"/>
    </row>
    <row r="15565" spans="1:26" ht="16.5" x14ac:dyDescent="0.35">
      <c r="A15565" s="2"/>
      <c r="B15565" s="2"/>
      <c r="C15565" s="2"/>
      <c r="D15565" s="2"/>
      <c r="E15565" s="2"/>
      <c r="F15565" s="2"/>
      <c r="G15565" s="2"/>
      <c r="H15565" s="2"/>
      <c r="I15565" s="2"/>
      <c r="J15565" s="2"/>
      <c r="K15565" s="2"/>
      <c r="L15565" s="2"/>
      <c r="M15565" s="2"/>
      <c r="N15565" s="2"/>
      <c r="O15565" s="2"/>
      <c r="P15565" s="2"/>
      <c r="Q15565" s="2"/>
      <c r="R15565" s="2"/>
      <c r="S15565" s="2"/>
      <c r="T15565" s="2"/>
      <c r="U15565" s="2"/>
      <c r="V15565" s="2"/>
      <c r="W15565" s="2"/>
      <c r="X15565" s="2"/>
      <c r="Y15565" s="2"/>
      <c r="Z15565" s="2"/>
    </row>
    <row r="15566" spans="1:26" ht="16.5" x14ac:dyDescent="0.35">
      <c r="A15566" s="2"/>
      <c r="B15566" s="2"/>
      <c r="C15566" s="2"/>
      <c r="D15566" s="2"/>
      <c r="E15566" s="2"/>
      <c r="F15566" s="2"/>
      <c r="G15566" s="2"/>
      <c r="H15566" s="2"/>
      <c r="I15566" s="2"/>
      <c r="J15566" s="2"/>
      <c r="K15566" s="2"/>
      <c r="L15566" s="2"/>
      <c r="M15566" s="2"/>
      <c r="N15566" s="2"/>
      <c r="O15566" s="2"/>
      <c r="P15566" s="2"/>
      <c r="Q15566" s="2"/>
      <c r="R15566" s="2"/>
      <c r="S15566" s="2"/>
      <c r="T15566" s="2"/>
      <c r="U15566" s="2"/>
      <c r="V15566" s="2"/>
      <c r="W15566" s="2"/>
      <c r="X15566" s="2"/>
      <c r="Y15566" s="2"/>
      <c r="Z15566" s="2"/>
    </row>
    <row r="15567" spans="1:26" ht="16.5" x14ac:dyDescent="0.35">
      <c r="A15567" s="2"/>
      <c r="B15567" s="2"/>
      <c r="C15567" s="2"/>
      <c r="D15567" s="2"/>
      <c r="E15567" s="2"/>
      <c r="F15567" s="2"/>
      <c r="G15567" s="2"/>
      <c r="H15567" s="2"/>
      <c r="I15567" s="2"/>
      <c r="J15567" s="2"/>
      <c r="K15567" s="2"/>
      <c r="L15567" s="2"/>
      <c r="M15567" s="2"/>
      <c r="N15567" s="2"/>
      <c r="O15567" s="2"/>
      <c r="P15567" s="2"/>
      <c r="Q15567" s="2"/>
      <c r="R15567" s="2"/>
      <c r="S15567" s="2"/>
      <c r="T15567" s="2"/>
      <c r="U15567" s="2"/>
      <c r="V15567" s="2"/>
      <c r="W15567" s="2"/>
      <c r="X15567" s="2"/>
      <c r="Y15567" s="2"/>
      <c r="Z15567" s="2"/>
    </row>
    <row r="15568" spans="1:26" ht="16.5" x14ac:dyDescent="0.35">
      <c r="A15568" s="2"/>
      <c r="B15568" s="2"/>
      <c r="C15568" s="2"/>
      <c r="D15568" s="2"/>
      <c r="E15568" s="2"/>
      <c r="F15568" s="2"/>
      <c r="G15568" s="2"/>
      <c r="H15568" s="2"/>
      <c r="I15568" s="2"/>
      <c r="J15568" s="2"/>
      <c r="K15568" s="2"/>
      <c r="L15568" s="2"/>
      <c r="M15568" s="2"/>
      <c r="N15568" s="2"/>
      <c r="O15568" s="2"/>
      <c r="P15568" s="2"/>
      <c r="Q15568" s="2"/>
      <c r="R15568" s="2"/>
      <c r="S15568" s="2"/>
      <c r="T15568" s="2"/>
      <c r="U15568" s="2"/>
      <c r="V15568" s="2"/>
      <c r="W15568" s="2"/>
      <c r="X15568" s="2"/>
      <c r="Y15568" s="2"/>
      <c r="Z15568" s="2"/>
    </row>
    <row r="15569" spans="1:26" ht="16.5" x14ac:dyDescent="0.35">
      <c r="A15569" s="2"/>
      <c r="B15569" s="2"/>
      <c r="C15569" s="2"/>
      <c r="D15569" s="2"/>
      <c r="E15569" s="2"/>
      <c r="F15569" s="2"/>
      <c r="G15569" s="2"/>
      <c r="H15569" s="2"/>
      <c r="I15569" s="2"/>
      <c r="J15569" s="2"/>
      <c r="K15569" s="2"/>
      <c r="L15569" s="2"/>
      <c r="M15569" s="2"/>
      <c r="N15569" s="2"/>
      <c r="O15569" s="2"/>
      <c r="P15569" s="2"/>
      <c r="Q15569" s="2"/>
      <c r="R15569" s="2"/>
      <c r="S15569" s="2"/>
      <c r="T15569" s="2"/>
      <c r="U15569" s="2"/>
      <c r="V15569" s="2"/>
      <c r="W15569" s="2"/>
      <c r="X15569" s="2"/>
      <c r="Y15569" s="2"/>
      <c r="Z15569" s="2"/>
    </row>
    <row r="15570" spans="1:26" ht="16.5" x14ac:dyDescent="0.35">
      <c r="A15570" s="2"/>
      <c r="B15570" s="2"/>
      <c r="C15570" s="2"/>
      <c r="D15570" s="2"/>
      <c r="E15570" s="2"/>
      <c r="F15570" s="2"/>
      <c r="G15570" s="2"/>
      <c r="H15570" s="2"/>
      <c r="I15570" s="2"/>
      <c r="J15570" s="2"/>
      <c r="K15570" s="2"/>
      <c r="L15570" s="2"/>
      <c r="M15570" s="2"/>
      <c r="N15570" s="2"/>
      <c r="O15570" s="2"/>
      <c r="P15570" s="2"/>
      <c r="Q15570" s="2"/>
      <c r="R15570" s="2"/>
      <c r="S15570" s="2"/>
      <c r="T15570" s="2"/>
      <c r="U15570" s="2"/>
      <c r="V15570" s="2"/>
      <c r="W15570" s="2"/>
      <c r="X15570" s="2"/>
      <c r="Y15570" s="2"/>
      <c r="Z15570" s="2"/>
    </row>
    <row r="15571" spans="1:26" ht="16.5" x14ac:dyDescent="0.35">
      <c r="A15571" s="2"/>
      <c r="B15571" s="2"/>
      <c r="C15571" s="2"/>
      <c r="D15571" s="2"/>
      <c r="E15571" s="2"/>
      <c r="F15571" s="2"/>
      <c r="G15571" s="2"/>
      <c r="H15571" s="2"/>
      <c r="I15571" s="2"/>
      <c r="J15571" s="2"/>
      <c r="K15571" s="2"/>
      <c r="L15571" s="2"/>
      <c r="M15571" s="2"/>
      <c r="N15571" s="2"/>
      <c r="O15571" s="2"/>
      <c r="P15571" s="2"/>
      <c r="Q15571" s="2"/>
      <c r="R15571" s="2"/>
      <c r="S15571" s="2"/>
      <c r="T15571" s="2"/>
      <c r="U15571" s="2"/>
      <c r="V15571" s="2"/>
      <c r="W15571" s="2"/>
      <c r="X15571" s="2"/>
      <c r="Y15571" s="2"/>
      <c r="Z15571" s="2"/>
    </row>
    <row r="15572" spans="1:26" ht="16.5" x14ac:dyDescent="0.35">
      <c r="A15572" s="2"/>
      <c r="B15572" s="2"/>
      <c r="C15572" s="2"/>
      <c r="D15572" s="2"/>
      <c r="E15572" s="2"/>
      <c r="F15572" s="2"/>
      <c r="G15572" s="2"/>
      <c r="H15572" s="2"/>
      <c r="I15572" s="2"/>
      <c r="J15572" s="2"/>
      <c r="K15572" s="2"/>
      <c r="L15572" s="2"/>
      <c r="M15572" s="2"/>
      <c r="N15572" s="2"/>
      <c r="O15572" s="2"/>
      <c r="P15572" s="2"/>
      <c r="Q15572" s="2"/>
      <c r="R15572" s="2"/>
      <c r="S15572" s="2"/>
      <c r="T15572" s="2"/>
      <c r="U15572" s="2"/>
      <c r="V15572" s="2"/>
      <c r="W15572" s="2"/>
      <c r="X15572" s="2"/>
      <c r="Y15572" s="2"/>
      <c r="Z15572" s="2"/>
    </row>
    <row r="15573" spans="1:26" ht="16.5" x14ac:dyDescent="0.35">
      <c r="A15573" s="2"/>
      <c r="B15573" s="2"/>
      <c r="C15573" s="2"/>
      <c r="D15573" s="2"/>
      <c r="E15573" s="2"/>
      <c r="F15573" s="2"/>
      <c r="G15573" s="2"/>
      <c r="H15573" s="2"/>
      <c r="I15573" s="2"/>
      <c r="J15573" s="2"/>
      <c r="K15573" s="2"/>
      <c r="L15573" s="2"/>
      <c r="M15573" s="2"/>
      <c r="N15573" s="2"/>
      <c r="O15573" s="2"/>
      <c r="P15573" s="2"/>
      <c r="Q15573" s="2"/>
      <c r="R15573" s="2"/>
      <c r="S15573" s="2"/>
      <c r="T15573" s="2"/>
      <c r="U15573" s="2"/>
      <c r="V15573" s="2"/>
      <c r="W15573" s="2"/>
      <c r="X15573" s="2"/>
      <c r="Y15573" s="2"/>
      <c r="Z15573" s="2"/>
    </row>
    <row r="15574" spans="1:26" ht="16.5" x14ac:dyDescent="0.35">
      <c r="A15574" s="2"/>
      <c r="B15574" s="2"/>
      <c r="C15574" s="2"/>
      <c r="D15574" s="2"/>
      <c r="E15574" s="2"/>
      <c r="F15574" s="2"/>
      <c r="G15574" s="2"/>
      <c r="H15574" s="2"/>
      <c r="I15574" s="2"/>
      <c r="J15574" s="2"/>
      <c r="K15574" s="2"/>
      <c r="L15574" s="2"/>
      <c r="M15574" s="2"/>
      <c r="N15574" s="2"/>
      <c r="O15574" s="2"/>
      <c r="P15574" s="2"/>
      <c r="Q15574" s="2"/>
      <c r="R15574" s="2"/>
      <c r="S15574" s="2"/>
      <c r="T15574" s="2"/>
      <c r="U15574" s="2"/>
      <c r="V15574" s="2"/>
      <c r="W15574" s="2"/>
      <c r="X15574" s="2"/>
      <c r="Y15574" s="2"/>
      <c r="Z15574" s="2"/>
    </row>
    <row r="15575" spans="1:26" ht="16.5" x14ac:dyDescent="0.35">
      <c r="A15575" s="2"/>
      <c r="B15575" s="2"/>
      <c r="C15575" s="2"/>
      <c r="D15575" s="2"/>
      <c r="E15575" s="2"/>
      <c r="F15575" s="2"/>
      <c r="G15575" s="2"/>
      <c r="H15575" s="2"/>
      <c r="I15575" s="2"/>
      <c r="J15575" s="2"/>
      <c r="K15575" s="2"/>
      <c r="L15575" s="2"/>
      <c r="M15575" s="2"/>
      <c r="N15575" s="2"/>
      <c r="O15575" s="2"/>
      <c r="P15575" s="2"/>
      <c r="Q15575" s="2"/>
      <c r="R15575" s="2"/>
      <c r="S15575" s="2"/>
      <c r="T15575" s="2"/>
      <c r="U15575" s="2"/>
      <c r="V15575" s="2"/>
      <c r="W15575" s="2"/>
      <c r="X15575" s="2"/>
      <c r="Y15575" s="2"/>
      <c r="Z15575" s="2"/>
    </row>
    <row r="15576" spans="1:26" ht="16.5" x14ac:dyDescent="0.35">
      <c r="A15576" s="2"/>
      <c r="B15576" s="2"/>
      <c r="C15576" s="2"/>
      <c r="D15576" s="2"/>
      <c r="E15576" s="2"/>
      <c r="F15576" s="2"/>
      <c r="G15576" s="2"/>
      <c r="H15576" s="2"/>
      <c r="I15576" s="2"/>
      <c r="J15576" s="2"/>
      <c r="K15576" s="2"/>
      <c r="L15576" s="2"/>
      <c r="M15576" s="2"/>
      <c r="N15576" s="2"/>
      <c r="O15576" s="2"/>
      <c r="P15576" s="2"/>
      <c r="Q15576" s="2"/>
      <c r="R15576" s="2"/>
      <c r="S15576" s="2"/>
      <c r="T15576" s="2"/>
      <c r="U15576" s="2"/>
      <c r="V15576" s="2"/>
      <c r="W15576" s="2"/>
      <c r="X15576" s="2"/>
      <c r="Y15576" s="2"/>
      <c r="Z15576" s="2"/>
    </row>
    <row r="15577" spans="1:26" ht="16.5" x14ac:dyDescent="0.35">
      <c r="A15577" s="2"/>
      <c r="B15577" s="2"/>
      <c r="C15577" s="2"/>
      <c r="D15577" s="2"/>
      <c r="E15577" s="2"/>
      <c r="F15577" s="2"/>
      <c r="G15577" s="2"/>
      <c r="H15577" s="2"/>
      <c r="I15577" s="2"/>
      <c r="J15577" s="2"/>
      <c r="K15577" s="2"/>
      <c r="L15577" s="2"/>
      <c r="M15577" s="2"/>
      <c r="N15577" s="2"/>
      <c r="O15577" s="2"/>
      <c r="P15577" s="2"/>
      <c r="Q15577" s="2"/>
      <c r="R15577" s="2"/>
      <c r="S15577" s="2"/>
      <c r="T15577" s="2"/>
      <c r="U15577" s="2"/>
      <c r="V15577" s="2"/>
      <c r="W15577" s="2"/>
      <c r="X15577" s="2"/>
      <c r="Y15577" s="2"/>
      <c r="Z15577" s="2"/>
    </row>
    <row r="15578" spans="1:26" ht="16.5" x14ac:dyDescent="0.35">
      <c r="A15578" s="2"/>
      <c r="B15578" s="2"/>
      <c r="C15578" s="2"/>
      <c r="D15578" s="2"/>
      <c r="E15578" s="2"/>
      <c r="F15578" s="2"/>
      <c r="G15578" s="2"/>
      <c r="H15578" s="2"/>
      <c r="I15578" s="2"/>
      <c r="J15578" s="2"/>
      <c r="K15578" s="2"/>
      <c r="L15578" s="2"/>
      <c r="M15578" s="2"/>
      <c r="N15578" s="2"/>
      <c r="O15578" s="2"/>
      <c r="P15578" s="2"/>
      <c r="Q15578" s="2"/>
      <c r="R15578" s="2"/>
      <c r="S15578" s="2"/>
      <c r="T15578" s="2"/>
      <c r="U15578" s="2"/>
      <c r="V15578" s="2"/>
      <c r="W15578" s="2"/>
      <c r="X15578" s="2"/>
      <c r="Y15578" s="2"/>
      <c r="Z15578" s="2"/>
    </row>
    <row r="15579" spans="1:26" ht="16.5" x14ac:dyDescent="0.35">
      <c r="A15579" s="2"/>
      <c r="B15579" s="2"/>
      <c r="C15579" s="2"/>
      <c r="D15579" s="2"/>
      <c r="E15579" s="2"/>
      <c r="F15579" s="2"/>
      <c r="G15579" s="2"/>
      <c r="H15579" s="2"/>
      <c r="I15579" s="2"/>
      <c r="J15579" s="2"/>
      <c r="K15579" s="2"/>
      <c r="L15579" s="2"/>
      <c r="M15579" s="2"/>
      <c r="N15579" s="2"/>
      <c r="O15579" s="2"/>
      <c r="P15579" s="2"/>
      <c r="Q15579" s="2"/>
      <c r="R15579" s="2"/>
      <c r="S15579" s="2"/>
      <c r="T15579" s="2"/>
      <c r="U15579" s="2"/>
      <c r="V15579" s="2"/>
      <c r="W15579" s="2"/>
      <c r="X15579" s="2"/>
      <c r="Y15579" s="2"/>
      <c r="Z15579" s="2"/>
    </row>
    <row r="15580" spans="1:26" ht="16.5" x14ac:dyDescent="0.35">
      <c r="A15580" s="2"/>
      <c r="B15580" s="2"/>
      <c r="C15580" s="2"/>
      <c r="D15580" s="2"/>
      <c r="E15580" s="2"/>
      <c r="F15580" s="2"/>
      <c r="G15580" s="2"/>
      <c r="H15580" s="2"/>
      <c r="I15580" s="2"/>
      <c r="J15580" s="2"/>
      <c r="K15580" s="2"/>
      <c r="L15580" s="2"/>
      <c r="M15580" s="2"/>
      <c r="N15580" s="2"/>
      <c r="O15580" s="2"/>
      <c r="P15580" s="2"/>
      <c r="Q15580" s="2"/>
      <c r="R15580" s="2"/>
      <c r="S15580" s="2"/>
      <c r="T15580" s="2"/>
      <c r="U15580" s="2"/>
      <c r="V15580" s="2"/>
      <c r="W15580" s="2"/>
      <c r="X15580" s="2"/>
      <c r="Y15580" s="2"/>
      <c r="Z15580" s="2"/>
    </row>
    <row r="15581" spans="1:26" ht="16.5" x14ac:dyDescent="0.35">
      <c r="A15581" s="2"/>
      <c r="B15581" s="2"/>
      <c r="C15581" s="2"/>
      <c r="D15581" s="2"/>
      <c r="E15581" s="2"/>
      <c r="F15581" s="2"/>
      <c r="G15581" s="2"/>
      <c r="H15581" s="2"/>
      <c r="I15581" s="2"/>
      <c r="J15581" s="2"/>
      <c r="K15581" s="2"/>
      <c r="L15581" s="2"/>
      <c r="M15581" s="2"/>
      <c r="N15581" s="2"/>
      <c r="O15581" s="2"/>
      <c r="P15581" s="2"/>
      <c r="Q15581" s="2"/>
      <c r="R15581" s="2"/>
      <c r="S15581" s="2"/>
      <c r="T15581" s="2"/>
      <c r="U15581" s="2"/>
      <c r="V15581" s="2"/>
      <c r="W15581" s="2"/>
      <c r="X15581" s="2"/>
      <c r="Y15581" s="2"/>
      <c r="Z15581" s="2"/>
    </row>
    <row r="15582" spans="1:26" ht="16.5" x14ac:dyDescent="0.35">
      <c r="A15582" s="2"/>
      <c r="B15582" s="2"/>
      <c r="C15582" s="2"/>
      <c r="D15582" s="2"/>
      <c r="E15582" s="2"/>
      <c r="F15582" s="2"/>
      <c r="G15582" s="2"/>
      <c r="H15582" s="2"/>
      <c r="I15582" s="2"/>
      <c r="J15582" s="2"/>
      <c r="K15582" s="2"/>
      <c r="L15582" s="2"/>
      <c r="M15582" s="2"/>
      <c r="N15582" s="2"/>
      <c r="O15582" s="2"/>
      <c r="P15582" s="2"/>
      <c r="Q15582" s="2"/>
      <c r="R15582" s="2"/>
      <c r="S15582" s="2"/>
      <c r="T15582" s="2"/>
      <c r="U15582" s="2"/>
      <c r="V15582" s="2"/>
      <c r="W15582" s="2"/>
      <c r="X15582" s="2"/>
      <c r="Y15582" s="2"/>
      <c r="Z15582" s="2"/>
    </row>
    <row r="15583" spans="1:26" ht="16.5" x14ac:dyDescent="0.35">
      <c r="A15583" s="2"/>
      <c r="B15583" s="2"/>
      <c r="C15583" s="2"/>
      <c r="D15583" s="2"/>
      <c r="E15583" s="2"/>
      <c r="F15583" s="2"/>
      <c r="G15583" s="2"/>
      <c r="H15583" s="2"/>
      <c r="I15583" s="2"/>
      <c r="J15583" s="2"/>
      <c r="K15583" s="2"/>
      <c r="L15583" s="2"/>
      <c r="M15583" s="2"/>
      <c r="N15583" s="2"/>
      <c r="O15583" s="2"/>
      <c r="P15583" s="2"/>
      <c r="Q15583" s="2"/>
      <c r="R15583" s="2"/>
      <c r="S15583" s="2"/>
      <c r="T15583" s="2"/>
      <c r="U15583" s="2"/>
      <c r="V15583" s="2"/>
      <c r="W15583" s="2"/>
      <c r="X15583" s="2"/>
      <c r="Y15583" s="2"/>
      <c r="Z15583" s="2"/>
    </row>
    <row r="15584" spans="1:26" ht="16.5" x14ac:dyDescent="0.35">
      <c r="A15584" s="2"/>
      <c r="B15584" s="2"/>
      <c r="C15584" s="2"/>
      <c r="D15584" s="2"/>
      <c r="E15584" s="2"/>
      <c r="F15584" s="2"/>
      <c r="G15584" s="2"/>
      <c r="H15584" s="2"/>
      <c r="I15584" s="2"/>
      <c r="J15584" s="2"/>
      <c r="K15584" s="2"/>
      <c r="L15584" s="2"/>
      <c r="M15584" s="2"/>
      <c r="N15584" s="2"/>
      <c r="O15584" s="2"/>
      <c r="P15584" s="2"/>
      <c r="Q15584" s="2"/>
      <c r="R15584" s="2"/>
      <c r="S15584" s="2"/>
      <c r="T15584" s="2"/>
      <c r="U15584" s="2"/>
      <c r="V15584" s="2"/>
      <c r="W15584" s="2"/>
      <c r="X15584" s="2"/>
      <c r="Y15584" s="2"/>
      <c r="Z15584" s="2"/>
    </row>
    <row r="15585" spans="1:26" ht="16.5" x14ac:dyDescent="0.35">
      <c r="A15585" s="2"/>
      <c r="B15585" s="2"/>
      <c r="C15585" s="2"/>
      <c r="D15585" s="2"/>
      <c r="E15585" s="2"/>
      <c r="F15585" s="2"/>
      <c r="G15585" s="2"/>
      <c r="H15585" s="2"/>
      <c r="I15585" s="2"/>
      <c r="J15585" s="2"/>
      <c r="K15585" s="2"/>
      <c r="L15585" s="2"/>
      <c r="M15585" s="2"/>
      <c r="N15585" s="2"/>
      <c r="O15585" s="2"/>
      <c r="P15585" s="2"/>
      <c r="Q15585" s="2"/>
      <c r="R15585" s="2"/>
      <c r="S15585" s="2"/>
      <c r="T15585" s="2"/>
      <c r="U15585" s="2"/>
      <c r="V15585" s="2"/>
      <c r="W15585" s="2"/>
      <c r="X15585" s="2"/>
      <c r="Y15585" s="2"/>
      <c r="Z15585" s="2"/>
    </row>
    <row r="15586" spans="1:26" ht="16.5" x14ac:dyDescent="0.35">
      <c r="A15586" s="2"/>
      <c r="B15586" s="2"/>
      <c r="C15586" s="2"/>
      <c r="D15586" s="2"/>
      <c r="E15586" s="2"/>
      <c r="F15586" s="2"/>
      <c r="G15586" s="2"/>
      <c r="H15586" s="2"/>
      <c r="I15586" s="2"/>
      <c r="J15586" s="2"/>
      <c r="K15586" s="2"/>
      <c r="L15586" s="2"/>
      <c r="M15586" s="2"/>
      <c r="N15586" s="2"/>
      <c r="O15586" s="2"/>
      <c r="P15586" s="2"/>
      <c r="Q15586" s="2"/>
      <c r="R15586" s="2"/>
      <c r="S15586" s="2"/>
      <c r="T15586" s="2"/>
      <c r="U15586" s="2"/>
      <c r="V15586" s="2"/>
      <c r="W15586" s="2"/>
      <c r="X15586" s="2"/>
      <c r="Y15586" s="2"/>
      <c r="Z15586" s="2"/>
    </row>
    <row r="15587" spans="1:26" ht="16.5" x14ac:dyDescent="0.35">
      <c r="A15587" s="2"/>
      <c r="B15587" s="2"/>
      <c r="C15587" s="2"/>
      <c r="D15587" s="2"/>
      <c r="E15587" s="2"/>
      <c r="F15587" s="2"/>
      <c r="G15587" s="2"/>
      <c r="H15587" s="2"/>
      <c r="I15587" s="2"/>
      <c r="J15587" s="2"/>
      <c r="K15587" s="2"/>
      <c r="L15587" s="2"/>
      <c r="M15587" s="2"/>
      <c r="N15587" s="2"/>
      <c r="O15587" s="2"/>
      <c r="P15587" s="2"/>
      <c r="Q15587" s="2"/>
      <c r="R15587" s="2"/>
      <c r="S15587" s="2"/>
      <c r="T15587" s="2"/>
      <c r="U15587" s="2"/>
      <c r="V15587" s="2"/>
      <c r="W15587" s="2"/>
      <c r="X15587" s="2"/>
      <c r="Y15587" s="2"/>
      <c r="Z15587" s="2"/>
    </row>
    <row r="15588" spans="1:26" ht="16.5" x14ac:dyDescent="0.35">
      <c r="A15588" s="2"/>
      <c r="B15588" s="2"/>
      <c r="C15588" s="2"/>
      <c r="D15588" s="2"/>
      <c r="E15588" s="2"/>
      <c r="F15588" s="2"/>
      <c r="G15588" s="2"/>
      <c r="H15588" s="2"/>
      <c r="I15588" s="2"/>
      <c r="J15588" s="2"/>
      <c r="K15588" s="2"/>
      <c r="L15588" s="2"/>
      <c r="M15588" s="2"/>
      <c r="N15588" s="2"/>
      <c r="O15588" s="2"/>
      <c r="P15588" s="2"/>
      <c r="Q15588" s="2"/>
      <c r="R15588" s="2"/>
      <c r="S15588" s="2"/>
      <c r="T15588" s="2"/>
      <c r="U15588" s="2"/>
      <c r="V15588" s="2"/>
      <c r="W15588" s="2"/>
      <c r="X15588" s="2"/>
      <c r="Y15588" s="2"/>
      <c r="Z15588" s="2"/>
    </row>
    <row r="15589" spans="1:26" ht="16.5" x14ac:dyDescent="0.35">
      <c r="A15589" s="2"/>
      <c r="B15589" s="2"/>
      <c r="C15589" s="2"/>
      <c r="D15589" s="2"/>
      <c r="E15589" s="2"/>
      <c r="F15589" s="2"/>
      <c r="G15589" s="2"/>
      <c r="H15589" s="2"/>
      <c r="I15589" s="2"/>
      <c r="J15589" s="2"/>
      <c r="K15589" s="2"/>
      <c r="L15589" s="2"/>
      <c r="M15589" s="2"/>
      <c r="N15589" s="2"/>
      <c r="O15589" s="2"/>
      <c r="P15589" s="2"/>
      <c r="Q15589" s="2"/>
      <c r="R15589" s="2"/>
      <c r="S15589" s="2"/>
      <c r="T15589" s="2"/>
      <c r="U15589" s="2"/>
      <c r="V15589" s="2"/>
      <c r="W15589" s="2"/>
      <c r="X15589" s="2"/>
      <c r="Y15589" s="2"/>
      <c r="Z15589" s="2"/>
    </row>
    <row r="15590" spans="1:26" ht="16.5" x14ac:dyDescent="0.35">
      <c r="A15590" s="2"/>
      <c r="B15590" s="2"/>
      <c r="C15590" s="2"/>
      <c r="D15590" s="2"/>
      <c r="E15590" s="2"/>
      <c r="F15590" s="2"/>
      <c r="G15590" s="2"/>
      <c r="H15590" s="2"/>
      <c r="I15590" s="2"/>
      <c r="J15590" s="2"/>
      <c r="K15590" s="2"/>
      <c r="L15590" s="2"/>
      <c r="M15590" s="2"/>
      <c r="N15590" s="2"/>
      <c r="O15590" s="2"/>
      <c r="P15590" s="2"/>
      <c r="Q15590" s="2"/>
      <c r="R15590" s="2"/>
      <c r="S15590" s="2"/>
      <c r="T15590" s="2"/>
      <c r="U15590" s="2"/>
      <c r="V15590" s="2"/>
      <c r="W15590" s="2"/>
      <c r="X15590" s="2"/>
      <c r="Y15590" s="2"/>
      <c r="Z15590" s="2"/>
    </row>
    <row r="15591" spans="1:26" ht="16.5" x14ac:dyDescent="0.35">
      <c r="A15591" s="2"/>
      <c r="B15591" s="2"/>
      <c r="C15591" s="2"/>
      <c r="D15591" s="2"/>
      <c r="E15591" s="2"/>
      <c r="F15591" s="2"/>
      <c r="G15591" s="2"/>
      <c r="H15591" s="2"/>
      <c r="I15591" s="2"/>
      <c r="J15591" s="2"/>
      <c r="K15591" s="2"/>
      <c r="L15591" s="2"/>
      <c r="M15591" s="2"/>
      <c r="N15591" s="2"/>
      <c r="O15591" s="2"/>
      <c r="P15591" s="2"/>
      <c r="Q15591" s="2"/>
      <c r="R15591" s="2"/>
      <c r="S15591" s="2"/>
      <c r="T15591" s="2"/>
      <c r="U15591" s="2"/>
      <c r="V15591" s="2"/>
      <c r="W15591" s="2"/>
      <c r="X15591" s="2"/>
      <c r="Y15591" s="2"/>
      <c r="Z15591" s="2"/>
    </row>
    <row r="15592" spans="1:26" ht="16.5" x14ac:dyDescent="0.35">
      <c r="A15592" s="2"/>
      <c r="B15592" s="2"/>
      <c r="C15592" s="2"/>
      <c r="D15592" s="2"/>
      <c r="E15592" s="2"/>
      <c r="F15592" s="2"/>
      <c r="G15592" s="2"/>
      <c r="H15592" s="2"/>
      <c r="I15592" s="2"/>
      <c r="J15592" s="2"/>
      <c r="K15592" s="2"/>
      <c r="L15592" s="2"/>
      <c r="M15592" s="2"/>
      <c r="N15592" s="2"/>
      <c r="O15592" s="2"/>
      <c r="P15592" s="2"/>
      <c r="Q15592" s="2"/>
      <c r="R15592" s="2"/>
      <c r="S15592" s="2"/>
      <c r="T15592" s="2"/>
      <c r="U15592" s="2"/>
      <c r="V15592" s="2"/>
      <c r="W15592" s="2"/>
      <c r="X15592" s="2"/>
      <c r="Y15592" s="2"/>
      <c r="Z15592" s="2"/>
    </row>
    <row r="15593" spans="1:26" ht="16.5" x14ac:dyDescent="0.35">
      <c r="A15593" s="2"/>
      <c r="B15593" s="2"/>
      <c r="C15593" s="2"/>
      <c r="D15593" s="2"/>
      <c r="E15593" s="2"/>
      <c r="F15593" s="2"/>
      <c r="G15593" s="2"/>
      <c r="H15593" s="2"/>
      <c r="I15593" s="2"/>
      <c r="J15593" s="2"/>
      <c r="K15593" s="2"/>
      <c r="L15593" s="2"/>
      <c r="M15593" s="2"/>
      <c r="N15593" s="2"/>
      <c r="O15593" s="2"/>
      <c r="P15593" s="2"/>
      <c r="Q15593" s="2"/>
      <c r="R15593" s="2"/>
      <c r="S15593" s="2"/>
      <c r="T15593" s="2"/>
      <c r="U15593" s="2"/>
      <c r="V15593" s="2"/>
      <c r="W15593" s="2"/>
      <c r="X15593" s="2"/>
      <c r="Y15593" s="2"/>
      <c r="Z15593" s="2"/>
    </row>
    <row r="15594" spans="1:26" ht="16.5" x14ac:dyDescent="0.35">
      <c r="A15594" s="2"/>
      <c r="B15594" s="2"/>
      <c r="C15594" s="2"/>
      <c r="D15594" s="2"/>
      <c r="E15594" s="2"/>
      <c r="F15594" s="2"/>
      <c r="G15594" s="2"/>
      <c r="H15594" s="2"/>
      <c r="I15594" s="2"/>
      <c r="J15594" s="2"/>
      <c r="K15594" s="2"/>
      <c r="L15594" s="2"/>
      <c r="M15594" s="2"/>
      <c r="N15594" s="2"/>
      <c r="O15594" s="2"/>
      <c r="P15594" s="2"/>
      <c r="Q15594" s="2"/>
      <c r="R15594" s="2"/>
      <c r="S15594" s="2"/>
      <c r="T15594" s="2"/>
      <c r="U15594" s="2"/>
      <c r="V15594" s="2"/>
      <c r="W15594" s="2"/>
      <c r="X15594" s="2"/>
      <c r="Y15594" s="2"/>
      <c r="Z15594" s="2"/>
    </row>
    <row r="15595" spans="1:26" ht="16.5" x14ac:dyDescent="0.35">
      <c r="A15595" s="2"/>
      <c r="B15595" s="2"/>
      <c r="C15595" s="2"/>
      <c r="D15595" s="2"/>
      <c r="E15595" s="2"/>
      <c r="F15595" s="2"/>
      <c r="G15595" s="2"/>
      <c r="H15595" s="2"/>
      <c r="I15595" s="2"/>
      <c r="J15595" s="2"/>
      <c r="K15595" s="2"/>
      <c r="L15595" s="2"/>
      <c r="M15595" s="2"/>
      <c r="N15595" s="2"/>
      <c r="O15595" s="2"/>
      <c r="P15595" s="2"/>
      <c r="Q15595" s="2"/>
      <c r="R15595" s="2"/>
      <c r="S15595" s="2"/>
      <c r="T15595" s="2"/>
      <c r="U15595" s="2"/>
      <c r="V15595" s="2"/>
      <c r="W15595" s="2"/>
      <c r="X15595" s="2"/>
      <c r="Y15595" s="2"/>
      <c r="Z15595" s="2"/>
    </row>
    <row r="15596" spans="1:26" ht="16.5" x14ac:dyDescent="0.35">
      <c r="A15596" s="2"/>
      <c r="B15596" s="2"/>
      <c r="C15596" s="2"/>
      <c r="D15596" s="2"/>
      <c r="E15596" s="2"/>
      <c r="F15596" s="2"/>
      <c r="G15596" s="2"/>
      <c r="H15596" s="2"/>
      <c r="I15596" s="2"/>
      <c r="J15596" s="2"/>
      <c r="K15596" s="2"/>
      <c r="L15596" s="2"/>
      <c r="M15596" s="2"/>
      <c r="N15596" s="2"/>
      <c r="O15596" s="2"/>
      <c r="P15596" s="2"/>
      <c r="Q15596" s="2"/>
      <c r="R15596" s="2"/>
      <c r="S15596" s="2"/>
      <c r="T15596" s="2"/>
      <c r="U15596" s="2"/>
      <c r="V15596" s="2"/>
      <c r="W15596" s="2"/>
      <c r="X15596" s="2"/>
      <c r="Y15596" s="2"/>
      <c r="Z15596" s="2"/>
    </row>
    <row r="15597" spans="1:26" ht="16.5" x14ac:dyDescent="0.35">
      <c r="A15597" s="2"/>
      <c r="B15597" s="2"/>
      <c r="C15597" s="2"/>
      <c r="D15597" s="2"/>
      <c r="E15597" s="2"/>
      <c r="F15597" s="2"/>
      <c r="G15597" s="2"/>
      <c r="H15597" s="2"/>
      <c r="I15597" s="2"/>
      <c r="J15597" s="2"/>
      <c r="K15597" s="2"/>
      <c r="L15597" s="2"/>
      <c r="M15597" s="2"/>
      <c r="N15597" s="2"/>
      <c r="O15597" s="2"/>
      <c r="P15597" s="2"/>
      <c r="Q15597" s="2"/>
      <c r="R15597" s="2"/>
      <c r="S15597" s="2"/>
      <c r="T15597" s="2"/>
      <c r="U15597" s="2"/>
      <c r="V15597" s="2"/>
      <c r="W15597" s="2"/>
      <c r="X15597" s="2"/>
      <c r="Y15597" s="2"/>
      <c r="Z15597" s="2"/>
    </row>
    <row r="15598" spans="1:26" ht="16.5" x14ac:dyDescent="0.35">
      <c r="A15598" s="2"/>
      <c r="B15598" s="2"/>
      <c r="C15598" s="2"/>
      <c r="D15598" s="2"/>
      <c r="E15598" s="2"/>
      <c r="F15598" s="2"/>
      <c r="G15598" s="2"/>
      <c r="H15598" s="2"/>
      <c r="I15598" s="2"/>
      <c r="J15598" s="2"/>
      <c r="K15598" s="2"/>
      <c r="L15598" s="2"/>
      <c r="M15598" s="2"/>
      <c r="N15598" s="2"/>
      <c r="O15598" s="2"/>
      <c r="P15598" s="2"/>
      <c r="Q15598" s="2"/>
      <c r="R15598" s="2"/>
      <c r="S15598" s="2"/>
      <c r="T15598" s="2"/>
      <c r="U15598" s="2"/>
      <c r="V15598" s="2"/>
      <c r="W15598" s="2"/>
      <c r="X15598" s="2"/>
      <c r="Y15598" s="2"/>
      <c r="Z15598" s="2"/>
    </row>
    <row r="15599" spans="1:26" ht="16.5" x14ac:dyDescent="0.35">
      <c r="A15599" s="2"/>
      <c r="B15599" s="2"/>
      <c r="C15599" s="2"/>
      <c r="D15599" s="2"/>
      <c r="E15599" s="2"/>
      <c r="F15599" s="2"/>
      <c r="G15599" s="2"/>
      <c r="H15599" s="2"/>
      <c r="I15599" s="2"/>
      <c r="J15599" s="2"/>
      <c r="K15599" s="2"/>
      <c r="L15599" s="2"/>
      <c r="M15599" s="2"/>
      <c r="N15599" s="2"/>
      <c r="O15599" s="2"/>
      <c r="P15599" s="2"/>
      <c r="Q15599" s="2"/>
      <c r="R15599" s="2"/>
      <c r="S15599" s="2"/>
      <c r="T15599" s="2"/>
      <c r="U15599" s="2"/>
      <c r="V15599" s="2"/>
      <c r="W15599" s="2"/>
      <c r="X15599" s="2"/>
      <c r="Y15599" s="2"/>
      <c r="Z15599" s="2"/>
    </row>
    <row r="15600" spans="1:26" ht="16.5" x14ac:dyDescent="0.35">
      <c r="A15600" s="2"/>
      <c r="B15600" s="2"/>
      <c r="C15600" s="2"/>
      <c r="D15600" s="2"/>
      <c r="E15600" s="2"/>
      <c r="F15600" s="2"/>
      <c r="G15600" s="2"/>
      <c r="H15600" s="2"/>
      <c r="I15600" s="2"/>
      <c r="J15600" s="2"/>
      <c r="K15600" s="2"/>
      <c r="L15600" s="2"/>
      <c r="M15600" s="2"/>
      <c r="N15600" s="2"/>
      <c r="O15600" s="2"/>
      <c r="P15600" s="2"/>
      <c r="Q15600" s="2"/>
      <c r="R15600" s="2"/>
      <c r="S15600" s="2"/>
      <c r="T15600" s="2"/>
      <c r="U15600" s="2"/>
      <c r="V15600" s="2"/>
      <c r="W15600" s="2"/>
      <c r="X15600" s="2"/>
      <c r="Y15600" s="2"/>
      <c r="Z15600" s="2"/>
    </row>
    <row r="15601" spans="1:26" ht="16.5" x14ac:dyDescent="0.35">
      <c r="A15601" s="2"/>
      <c r="B15601" s="2"/>
      <c r="C15601" s="2"/>
      <c r="D15601" s="2"/>
      <c r="E15601" s="2"/>
      <c r="F15601" s="2"/>
      <c r="G15601" s="2"/>
      <c r="H15601" s="2"/>
      <c r="I15601" s="2"/>
      <c r="J15601" s="2"/>
      <c r="K15601" s="2"/>
      <c r="L15601" s="2"/>
      <c r="M15601" s="2"/>
      <c r="N15601" s="2"/>
      <c r="O15601" s="2"/>
      <c r="P15601" s="2"/>
      <c r="Q15601" s="2"/>
      <c r="R15601" s="2"/>
      <c r="S15601" s="2"/>
      <c r="T15601" s="2"/>
      <c r="U15601" s="2"/>
      <c r="V15601" s="2"/>
      <c r="W15601" s="2"/>
      <c r="X15601" s="2"/>
      <c r="Y15601" s="2"/>
      <c r="Z15601" s="2"/>
    </row>
    <row r="15602" spans="1:26" ht="16.5" x14ac:dyDescent="0.35">
      <c r="A15602" s="2"/>
      <c r="B15602" s="2"/>
      <c r="C15602" s="2"/>
      <c r="D15602" s="2"/>
      <c r="E15602" s="2"/>
      <c r="F15602" s="2"/>
      <c r="G15602" s="2"/>
      <c r="H15602" s="2"/>
      <c r="I15602" s="2"/>
      <c r="J15602" s="2"/>
      <c r="K15602" s="2"/>
      <c r="L15602" s="2"/>
      <c r="M15602" s="2"/>
      <c r="N15602" s="2"/>
      <c r="O15602" s="2"/>
      <c r="P15602" s="2"/>
      <c r="Q15602" s="2"/>
      <c r="R15602" s="2"/>
      <c r="S15602" s="2"/>
      <c r="T15602" s="2"/>
      <c r="U15602" s="2"/>
      <c r="V15602" s="2"/>
      <c r="W15602" s="2"/>
      <c r="X15602" s="2"/>
      <c r="Y15602" s="2"/>
      <c r="Z15602" s="2"/>
    </row>
    <row r="15603" spans="1:26" ht="16.5" x14ac:dyDescent="0.35">
      <c r="A15603" s="2"/>
      <c r="B15603" s="2"/>
      <c r="C15603" s="2"/>
      <c r="D15603" s="2"/>
      <c r="E15603" s="2"/>
      <c r="F15603" s="2"/>
      <c r="G15603" s="2"/>
      <c r="H15603" s="2"/>
      <c r="I15603" s="2"/>
      <c r="J15603" s="2"/>
      <c r="K15603" s="2"/>
      <c r="L15603" s="2"/>
      <c r="M15603" s="2"/>
      <c r="N15603" s="2"/>
      <c r="O15603" s="2"/>
      <c r="P15603" s="2"/>
      <c r="Q15603" s="2"/>
      <c r="R15603" s="2"/>
      <c r="S15603" s="2"/>
      <c r="T15603" s="2"/>
      <c r="U15603" s="2"/>
      <c r="V15603" s="2"/>
      <c r="W15603" s="2"/>
      <c r="X15603" s="2"/>
      <c r="Y15603" s="2"/>
      <c r="Z15603" s="2"/>
    </row>
    <row r="15604" spans="1:26" ht="16.5" x14ac:dyDescent="0.35">
      <c r="A15604" s="2"/>
      <c r="B15604" s="2"/>
      <c r="C15604" s="2"/>
      <c r="D15604" s="2"/>
      <c r="E15604" s="2"/>
      <c r="F15604" s="2"/>
      <c r="G15604" s="2"/>
      <c r="H15604" s="2"/>
      <c r="I15604" s="2"/>
      <c r="J15604" s="2"/>
      <c r="K15604" s="2"/>
      <c r="L15604" s="2"/>
      <c r="M15604" s="2"/>
      <c r="N15604" s="2"/>
      <c r="O15604" s="2"/>
      <c r="P15604" s="2"/>
      <c r="Q15604" s="2"/>
      <c r="R15604" s="2"/>
      <c r="S15604" s="2"/>
      <c r="T15604" s="2"/>
      <c r="U15604" s="2"/>
      <c r="V15604" s="2"/>
      <c r="W15604" s="2"/>
      <c r="X15604" s="2"/>
      <c r="Y15604" s="2"/>
      <c r="Z15604" s="2"/>
    </row>
    <row r="15605" spans="1:26" ht="16.5" x14ac:dyDescent="0.35">
      <c r="A15605" s="2"/>
      <c r="B15605" s="2"/>
      <c r="C15605" s="2"/>
      <c r="D15605" s="2"/>
      <c r="E15605" s="2"/>
      <c r="F15605" s="2"/>
      <c r="G15605" s="2"/>
      <c r="H15605" s="2"/>
      <c r="I15605" s="2"/>
      <c r="J15605" s="2"/>
      <c r="K15605" s="2"/>
      <c r="L15605" s="2"/>
      <c r="M15605" s="2"/>
      <c r="N15605" s="2"/>
      <c r="O15605" s="2"/>
      <c r="P15605" s="2"/>
      <c r="Q15605" s="2"/>
      <c r="R15605" s="2"/>
      <c r="S15605" s="2"/>
      <c r="T15605" s="2"/>
      <c r="U15605" s="2"/>
      <c r="V15605" s="2"/>
      <c r="W15605" s="2"/>
      <c r="X15605" s="2"/>
      <c r="Y15605" s="2"/>
      <c r="Z15605" s="2"/>
    </row>
    <row r="15606" spans="1:26" ht="16.5" x14ac:dyDescent="0.35">
      <c r="A15606" s="2"/>
      <c r="B15606" s="2"/>
      <c r="C15606" s="2"/>
      <c r="D15606" s="2"/>
      <c r="E15606" s="2"/>
      <c r="F15606" s="2"/>
      <c r="G15606" s="2"/>
      <c r="H15606" s="2"/>
      <c r="I15606" s="2"/>
      <c r="J15606" s="2"/>
      <c r="K15606" s="2"/>
      <c r="L15606" s="2"/>
      <c r="M15606" s="2"/>
      <c r="N15606" s="2"/>
      <c r="O15606" s="2"/>
      <c r="P15606" s="2"/>
      <c r="Q15606" s="2"/>
      <c r="R15606" s="2"/>
      <c r="S15606" s="2"/>
      <c r="T15606" s="2"/>
      <c r="U15606" s="2"/>
      <c r="V15606" s="2"/>
      <c r="W15606" s="2"/>
      <c r="X15606" s="2"/>
      <c r="Y15606" s="2"/>
      <c r="Z15606" s="2"/>
    </row>
    <row r="15607" spans="1:26" ht="16.5" x14ac:dyDescent="0.35">
      <c r="A15607" s="2"/>
      <c r="B15607" s="2"/>
      <c r="C15607" s="2"/>
      <c r="D15607" s="2"/>
      <c r="E15607" s="2"/>
      <c r="F15607" s="2"/>
      <c r="G15607" s="2"/>
      <c r="H15607" s="2"/>
      <c r="I15607" s="2"/>
      <c r="J15607" s="2"/>
      <c r="K15607" s="2"/>
      <c r="L15607" s="2"/>
      <c r="M15607" s="2"/>
      <c r="N15607" s="2"/>
      <c r="O15607" s="2"/>
      <c r="P15607" s="2"/>
      <c r="Q15607" s="2"/>
      <c r="R15607" s="2"/>
      <c r="S15607" s="2"/>
      <c r="T15607" s="2"/>
      <c r="U15607" s="2"/>
      <c r="V15607" s="2"/>
      <c r="W15607" s="2"/>
      <c r="X15607" s="2"/>
      <c r="Y15607" s="2"/>
      <c r="Z15607" s="2"/>
    </row>
    <row r="15608" spans="1:26" ht="16.5" x14ac:dyDescent="0.35">
      <c r="A15608" s="2"/>
      <c r="B15608" s="2"/>
      <c r="C15608" s="2"/>
      <c r="D15608" s="2"/>
      <c r="E15608" s="2"/>
      <c r="F15608" s="2"/>
      <c r="G15608" s="2"/>
      <c r="H15608" s="2"/>
      <c r="I15608" s="2"/>
      <c r="J15608" s="2"/>
      <c r="K15608" s="2"/>
      <c r="L15608" s="2"/>
      <c r="M15608" s="2"/>
      <c r="N15608" s="2"/>
      <c r="O15608" s="2"/>
      <c r="P15608" s="2"/>
      <c r="Q15608" s="2"/>
      <c r="R15608" s="2"/>
      <c r="S15608" s="2"/>
      <c r="T15608" s="2"/>
      <c r="U15608" s="2"/>
      <c r="V15608" s="2"/>
      <c r="W15608" s="2"/>
      <c r="X15608" s="2"/>
      <c r="Y15608" s="2"/>
      <c r="Z15608" s="2"/>
    </row>
    <row r="15609" spans="1:26" ht="16.5" x14ac:dyDescent="0.35">
      <c r="A15609" s="2"/>
      <c r="B15609" s="2"/>
      <c r="C15609" s="2"/>
      <c r="D15609" s="2"/>
      <c r="E15609" s="2"/>
      <c r="F15609" s="2"/>
      <c r="G15609" s="2"/>
      <c r="H15609" s="2"/>
      <c r="I15609" s="2"/>
      <c r="J15609" s="2"/>
      <c r="K15609" s="2"/>
      <c r="L15609" s="2"/>
      <c r="M15609" s="2"/>
      <c r="N15609" s="2"/>
      <c r="O15609" s="2"/>
      <c r="P15609" s="2"/>
      <c r="Q15609" s="2"/>
      <c r="R15609" s="2"/>
      <c r="S15609" s="2"/>
      <c r="T15609" s="2"/>
      <c r="U15609" s="2"/>
      <c r="V15609" s="2"/>
      <c r="W15609" s="2"/>
      <c r="X15609" s="2"/>
      <c r="Y15609" s="2"/>
      <c r="Z15609" s="2"/>
    </row>
    <row r="15610" spans="1:26" ht="16.5" x14ac:dyDescent="0.35">
      <c r="A15610" s="2"/>
      <c r="B15610" s="2"/>
      <c r="C15610" s="2"/>
      <c r="D15610" s="2"/>
      <c r="E15610" s="2"/>
      <c r="F15610" s="2"/>
      <c r="G15610" s="2"/>
      <c r="H15610" s="2"/>
      <c r="I15610" s="2"/>
      <c r="J15610" s="2"/>
      <c r="K15610" s="2"/>
      <c r="L15610" s="2"/>
      <c r="M15610" s="2"/>
      <c r="N15610" s="2"/>
      <c r="O15610" s="2"/>
      <c r="P15610" s="2"/>
      <c r="Q15610" s="2"/>
      <c r="R15610" s="2"/>
      <c r="S15610" s="2"/>
      <c r="T15610" s="2"/>
      <c r="U15610" s="2"/>
      <c r="V15610" s="2"/>
      <c r="W15610" s="2"/>
      <c r="X15610" s="2"/>
      <c r="Y15610" s="2"/>
      <c r="Z15610" s="2"/>
    </row>
    <row r="15611" spans="1:26" ht="16.5" x14ac:dyDescent="0.35">
      <c r="A15611" s="2"/>
      <c r="B15611" s="2"/>
      <c r="C15611" s="2"/>
      <c r="D15611" s="2"/>
      <c r="E15611" s="2"/>
      <c r="F15611" s="2"/>
      <c r="G15611" s="2"/>
      <c r="H15611" s="2"/>
      <c r="I15611" s="2"/>
      <c r="J15611" s="2"/>
      <c r="K15611" s="2"/>
      <c r="L15611" s="2"/>
      <c r="M15611" s="2"/>
      <c r="N15611" s="2"/>
      <c r="O15611" s="2"/>
      <c r="P15611" s="2"/>
      <c r="Q15611" s="2"/>
      <c r="R15611" s="2"/>
      <c r="S15611" s="2"/>
      <c r="T15611" s="2"/>
      <c r="U15611" s="2"/>
      <c r="V15611" s="2"/>
      <c r="W15611" s="2"/>
      <c r="X15611" s="2"/>
      <c r="Y15611" s="2"/>
      <c r="Z15611" s="2"/>
    </row>
    <row r="15612" spans="1:26" ht="16.5" x14ac:dyDescent="0.35">
      <c r="A15612" s="2"/>
      <c r="B15612" s="2"/>
      <c r="C15612" s="2"/>
      <c r="D15612" s="2"/>
      <c r="E15612" s="2"/>
      <c r="F15612" s="2"/>
      <c r="G15612" s="2"/>
      <c r="H15612" s="2"/>
      <c r="I15612" s="2"/>
      <c r="J15612" s="2"/>
      <c r="K15612" s="2"/>
      <c r="L15612" s="2"/>
      <c r="M15612" s="2"/>
      <c r="N15612" s="2"/>
      <c r="O15612" s="2"/>
      <c r="P15612" s="2"/>
      <c r="Q15612" s="2"/>
      <c r="R15612" s="2"/>
      <c r="S15612" s="2"/>
      <c r="T15612" s="2"/>
      <c r="U15612" s="2"/>
      <c r="V15612" s="2"/>
      <c r="W15612" s="2"/>
      <c r="X15612" s="2"/>
      <c r="Y15612" s="2"/>
      <c r="Z15612" s="2"/>
    </row>
    <row r="15613" spans="1:26" ht="16.5" x14ac:dyDescent="0.35">
      <c r="A15613" s="2"/>
      <c r="B15613" s="2"/>
      <c r="C15613" s="2"/>
      <c r="D15613" s="2"/>
      <c r="E15613" s="2"/>
      <c r="F15613" s="2"/>
      <c r="G15613" s="2"/>
      <c r="H15613" s="2"/>
      <c r="I15613" s="2"/>
      <c r="J15613" s="2"/>
      <c r="K15613" s="2"/>
      <c r="L15613" s="2"/>
      <c r="M15613" s="2"/>
      <c r="N15613" s="2"/>
      <c r="O15613" s="2"/>
      <c r="P15613" s="2"/>
      <c r="Q15613" s="2"/>
      <c r="R15613" s="2"/>
      <c r="S15613" s="2"/>
      <c r="T15613" s="2"/>
      <c r="U15613" s="2"/>
      <c r="V15613" s="2"/>
      <c r="W15613" s="2"/>
      <c r="X15613" s="2"/>
      <c r="Y15613" s="2"/>
      <c r="Z15613" s="2"/>
    </row>
    <row r="15614" spans="1:26" ht="16.5" x14ac:dyDescent="0.35">
      <c r="A15614" s="2"/>
      <c r="B15614" s="2"/>
      <c r="C15614" s="2"/>
      <c r="D15614" s="2"/>
      <c r="E15614" s="2"/>
      <c r="F15614" s="2"/>
      <c r="G15614" s="2"/>
      <c r="H15614" s="2"/>
      <c r="I15614" s="2"/>
      <c r="J15614" s="2"/>
      <c r="K15614" s="2"/>
      <c r="L15614" s="2"/>
      <c r="M15614" s="2"/>
      <c r="N15614" s="2"/>
      <c r="O15614" s="2"/>
      <c r="P15614" s="2"/>
      <c r="Q15614" s="2"/>
      <c r="R15614" s="2"/>
      <c r="S15614" s="2"/>
      <c r="T15614" s="2"/>
      <c r="U15614" s="2"/>
      <c r="V15614" s="2"/>
      <c r="W15614" s="2"/>
      <c r="X15614" s="2"/>
      <c r="Y15614" s="2"/>
      <c r="Z15614" s="2"/>
    </row>
    <row r="15615" spans="1:26" ht="16.5" x14ac:dyDescent="0.35">
      <c r="A15615" s="2"/>
      <c r="B15615" s="2"/>
      <c r="C15615" s="2"/>
      <c r="D15615" s="2"/>
      <c r="E15615" s="2"/>
      <c r="F15615" s="2"/>
      <c r="G15615" s="2"/>
      <c r="H15615" s="2"/>
      <c r="I15615" s="2"/>
      <c r="J15615" s="2"/>
      <c r="K15615" s="2"/>
      <c r="L15615" s="2"/>
      <c r="M15615" s="2"/>
      <c r="N15615" s="2"/>
      <c r="O15615" s="2"/>
      <c r="P15615" s="2"/>
      <c r="Q15615" s="2"/>
      <c r="R15615" s="2"/>
      <c r="S15615" s="2"/>
      <c r="T15615" s="2"/>
      <c r="U15615" s="2"/>
      <c r="V15615" s="2"/>
      <c r="W15615" s="2"/>
      <c r="X15615" s="2"/>
      <c r="Y15615" s="2"/>
      <c r="Z15615" s="2"/>
    </row>
    <row r="15616" spans="1:26" ht="16.5" x14ac:dyDescent="0.35">
      <c r="A15616" s="2"/>
      <c r="B15616" s="2"/>
      <c r="C15616" s="2"/>
      <c r="D15616" s="2"/>
      <c r="E15616" s="2"/>
      <c r="F15616" s="2"/>
      <c r="G15616" s="2"/>
      <c r="H15616" s="2"/>
      <c r="I15616" s="2"/>
      <c r="J15616" s="2"/>
      <c r="K15616" s="2"/>
      <c r="L15616" s="2"/>
      <c r="M15616" s="2"/>
      <c r="N15616" s="2"/>
      <c r="O15616" s="2"/>
      <c r="P15616" s="2"/>
      <c r="Q15616" s="2"/>
      <c r="R15616" s="2"/>
      <c r="S15616" s="2"/>
      <c r="T15616" s="2"/>
      <c r="U15616" s="2"/>
      <c r="V15616" s="2"/>
      <c r="W15616" s="2"/>
      <c r="X15616" s="2"/>
      <c r="Y15616" s="2"/>
      <c r="Z15616" s="2"/>
    </row>
    <row r="15617" spans="1:26" ht="16.5" x14ac:dyDescent="0.35">
      <c r="A15617" s="2"/>
      <c r="B15617" s="2"/>
      <c r="C15617" s="2"/>
      <c r="D15617" s="2"/>
      <c r="E15617" s="2"/>
      <c r="F15617" s="2"/>
      <c r="G15617" s="2"/>
      <c r="H15617" s="2"/>
      <c r="I15617" s="2"/>
      <c r="J15617" s="2"/>
      <c r="K15617" s="2"/>
      <c r="L15617" s="2"/>
      <c r="M15617" s="2"/>
      <c r="N15617" s="2"/>
      <c r="O15617" s="2"/>
      <c r="P15617" s="2"/>
      <c r="Q15617" s="2"/>
      <c r="R15617" s="2"/>
      <c r="S15617" s="2"/>
      <c r="T15617" s="2"/>
      <c r="U15617" s="2"/>
      <c r="V15617" s="2"/>
      <c r="W15617" s="2"/>
      <c r="X15617" s="2"/>
      <c r="Y15617" s="2"/>
      <c r="Z15617" s="2"/>
    </row>
    <row r="15618" spans="1:26" ht="16.5" x14ac:dyDescent="0.35">
      <c r="A15618" s="2"/>
      <c r="B15618" s="2"/>
      <c r="C15618" s="2"/>
      <c r="D15618" s="2"/>
      <c r="E15618" s="2"/>
      <c r="F15618" s="2"/>
      <c r="G15618" s="2"/>
      <c r="H15618" s="2"/>
      <c r="I15618" s="2"/>
      <c r="J15618" s="2"/>
      <c r="K15618" s="2"/>
      <c r="L15618" s="2"/>
      <c r="M15618" s="2"/>
      <c r="N15618" s="2"/>
      <c r="O15618" s="2"/>
      <c r="P15618" s="2"/>
      <c r="Q15618" s="2"/>
      <c r="R15618" s="2"/>
      <c r="S15618" s="2"/>
      <c r="T15618" s="2"/>
      <c r="U15618" s="2"/>
      <c r="V15618" s="2"/>
      <c r="W15618" s="2"/>
      <c r="X15618" s="2"/>
      <c r="Y15618" s="2"/>
      <c r="Z15618" s="2"/>
    </row>
    <row r="15619" spans="1:26" ht="16.5" x14ac:dyDescent="0.35">
      <c r="A15619" s="2"/>
      <c r="B15619" s="2"/>
      <c r="C15619" s="2"/>
      <c r="D15619" s="2"/>
      <c r="E15619" s="2"/>
      <c r="F15619" s="2"/>
      <c r="G15619" s="2"/>
      <c r="H15619" s="2"/>
      <c r="I15619" s="2"/>
      <c r="J15619" s="2"/>
      <c r="K15619" s="2"/>
      <c r="L15619" s="2"/>
      <c r="M15619" s="2"/>
      <c r="N15619" s="2"/>
      <c r="O15619" s="2"/>
      <c r="P15619" s="2"/>
      <c r="Q15619" s="2"/>
      <c r="R15619" s="2"/>
      <c r="S15619" s="2"/>
      <c r="T15619" s="2"/>
      <c r="U15619" s="2"/>
      <c r="V15619" s="2"/>
      <c r="W15619" s="2"/>
      <c r="X15619" s="2"/>
      <c r="Y15619" s="2"/>
      <c r="Z15619" s="2"/>
    </row>
    <row r="15620" spans="1:26" ht="16.5" x14ac:dyDescent="0.35">
      <c r="A15620" s="2"/>
      <c r="B15620" s="2"/>
      <c r="C15620" s="2"/>
      <c r="D15620" s="2"/>
      <c r="E15620" s="2"/>
      <c r="F15620" s="2"/>
      <c r="G15620" s="2"/>
      <c r="H15620" s="2"/>
      <c r="I15620" s="2"/>
      <c r="J15620" s="2"/>
      <c r="K15620" s="2"/>
      <c r="L15620" s="2"/>
      <c r="M15620" s="2"/>
      <c r="N15620" s="2"/>
      <c r="O15620" s="2"/>
      <c r="P15620" s="2"/>
      <c r="Q15620" s="2"/>
      <c r="R15620" s="2"/>
      <c r="S15620" s="2"/>
      <c r="T15620" s="2"/>
      <c r="U15620" s="2"/>
      <c r="V15620" s="2"/>
      <c r="W15620" s="2"/>
      <c r="X15620" s="2"/>
      <c r="Y15620" s="2"/>
      <c r="Z15620" s="2"/>
    </row>
    <row r="15621" spans="1:26" ht="16.5" x14ac:dyDescent="0.35">
      <c r="A15621" s="2"/>
      <c r="B15621" s="2"/>
      <c r="C15621" s="2"/>
      <c r="D15621" s="2"/>
      <c r="E15621" s="2"/>
      <c r="F15621" s="2"/>
      <c r="G15621" s="2"/>
      <c r="H15621" s="2"/>
      <c r="I15621" s="2"/>
      <c r="J15621" s="2"/>
      <c r="K15621" s="2"/>
      <c r="L15621" s="2"/>
      <c r="M15621" s="2"/>
      <c r="N15621" s="2"/>
      <c r="O15621" s="2"/>
      <c r="P15621" s="2"/>
      <c r="Q15621" s="2"/>
      <c r="R15621" s="2"/>
      <c r="S15621" s="2"/>
      <c r="T15621" s="2"/>
      <c r="U15621" s="2"/>
      <c r="V15621" s="2"/>
      <c r="W15621" s="2"/>
      <c r="X15621" s="2"/>
      <c r="Y15621" s="2"/>
      <c r="Z15621" s="2"/>
    </row>
    <row r="15622" spans="1:26" ht="16.5" x14ac:dyDescent="0.35">
      <c r="A15622" s="2"/>
      <c r="B15622" s="2"/>
      <c r="C15622" s="2"/>
      <c r="D15622" s="2"/>
      <c r="E15622" s="2"/>
      <c r="F15622" s="2"/>
      <c r="G15622" s="2"/>
      <c r="H15622" s="2"/>
      <c r="I15622" s="2"/>
      <c r="J15622" s="2"/>
      <c r="K15622" s="2"/>
      <c r="L15622" s="2"/>
      <c r="M15622" s="2"/>
      <c r="N15622" s="2"/>
      <c r="O15622" s="2"/>
      <c r="P15622" s="2"/>
      <c r="Q15622" s="2"/>
      <c r="R15622" s="2"/>
      <c r="S15622" s="2"/>
      <c r="T15622" s="2"/>
      <c r="U15622" s="2"/>
      <c r="V15622" s="2"/>
      <c r="W15622" s="2"/>
      <c r="X15622" s="2"/>
      <c r="Y15622" s="2"/>
      <c r="Z15622" s="2"/>
    </row>
    <row r="15623" spans="1:26" ht="16.5" x14ac:dyDescent="0.35">
      <c r="A15623" s="2"/>
      <c r="B15623" s="2"/>
      <c r="C15623" s="2"/>
      <c r="D15623" s="2"/>
      <c r="E15623" s="2"/>
      <c r="F15623" s="2"/>
      <c r="G15623" s="2"/>
      <c r="H15623" s="2"/>
      <c r="I15623" s="2"/>
      <c r="J15623" s="2"/>
      <c r="K15623" s="2"/>
      <c r="L15623" s="2"/>
      <c r="M15623" s="2"/>
      <c r="N15623" s="2"/>
      <c r="O15623" s="2"/>
      <c r="P15623" s="2"/>
      <c r="Q15623" s="2"/>
      <c r="R15623" s="2"/>
      <c r="S15623" s="2"/>
      <c r="T15623" s="2"/>
      <c r="U15623" s="2"/>
      <c r="V15623" s="2"/>
      <c r="W15623" s="2"/>
      <c r="X15623" s="2"/>
      <c r="Y15623" s="2"/>
      <c r="Z15623" s="2"/>
    </row>
    <row r="15624" spans="1:26" ht="16.5" x14ac:dyDescent="0.35">
      <c r="A15624" s="2"/>
      <c r="B15624" s="2"/>
      <c r="C15624" s="2"/>
      <c r="D15624" s="2"/>
      <c r="E15624" s="2"/>
      <c r="F15624" s="2"/>
      <c r="G15624" s="2"/>
      <c r="H15624" s="2"/>
      <c r="I15624" s="2"/>
      <c r="J15624" s="2"/>
      <c r="K15624" s="2"/>
      <c r="L15624" s="2"/>
      <c r="M15624" s="2"/>
      <c r="N15624" s="2"/>
      <c r="O15624" s="2"/>
      <c r="P15624" s="2"/>
      <c r="Q15624" s="2"/>
      <c r="R15624" s="2"/>
      <c r="S15624" s="2"/>
      <c r="T15624" s="2"/>
      <c r="U15624" s="2"/>
      <c r="V15624" s="2"/>
      <c r="W15624" s="2"/>
      <c r="X15624" s="2"/>
      <c r="Y15624" s="2"/>
      <c r="Z15624" s="2"/>
    </row>
    <row r="15625" spans="1:26" ht="16.5" x14ac:dyDescent="0.35">
      <c r="A15625" s="2"/>
      <c r="B15625" s="2"/>
      <c r="C15625" s="2"/>
      <c r="D15625" s="2"/>
      <c r="E15625" s="2"/>
      <c r="F15625" s="2"/>
      <c r="G15625" s="2"/>
      <c r="H15625" s="2"/>
      <c r="I15625" s="2"/>
      <c r="J15625" s="2"/>
      <c r="K15625" s="2"/>
      <c r="L15625" s="2"/>
      <c r="M15625" s="2"/>
      <c r="N15625" s="2"/>
      <c r="O15625" s="2"/>
      <c r="P15625" s="2"/>
      <c r="Q15625" s="2"/>
      <c r="R15625" s="2"/>
      <c r="S15625" s="2"/>
      <c r="T15625" s="2"/>
      <c r="U15625" s="2"/>
      <c r="V15625" s="2"/>
      <c r="W15625" s="2"/>
      <c r="X15625" s="2"/>
      <c r="Y15625" s="2"/>
      <c r="Z15625" s="2"/>
    </row>
    <row r="15626" spans="1:26" ht="16.5" x14ac:dyDescent="0.35">
      <c r="A15626" s="2"/>
      <c r="B15626" s="2"/>
      <c r="C15626" s="2"/>
      <c r="D15626" s="2"/>
      <c r="E15626" s="2"/>
      <c r="F15626" s="2"/>
      <c r="G15626" s="2"/>
      <c r="H15626" s="2"/>
      <c r="I15626" s="2"/>
      <c r="J15626" s="2"/>
      <c r="K15626" s="2"/>
      <c r="L15626" s="2"/>
      <c r="M15626" s="2"/>
      <c r="N15626" s="2"/>
      <c r="O15626" s="2"/>
      <c r="P15626" s="2"/>
      <c r="Q15626" s="2"/>
      <c r="R15626" s="2"/>
      <c r="S15626" s="2"/>
      <c r="T15626" s="2"/>
      <c r="U15626" s="2"/>
      <c r="V15626" s="2"/>
      <c r="W15626" s="2"/>
      <c r="X15626" s="2"/>
      <c r="Y15626" s="2"/>
      <c r="Z15626" s="2"/>
    </row>
    <row r="15627" spans="1:26" ht="16.5" x14ac:dyDescent="0.35">
      <c r="A15627" s="2"/>
      <c r="B15627" s="2"/>
      <c r="C15627" s="2"/>
      <c r="D15627" s="2"/>
      <c r="E15627" s="2"/>
      <c r="F15627" s="2"/>
      <c r="G15627" s="2"/>
      <c r="H15627" s="2"/>
      <c r="I15627" s="2"/>
      <c r="J15627" s="2"/>
      <c r="K15627" s="2"/>
      <c r="L15627" s="2"/>
      <c r="M15627" s="2"/>
      <c r="N15627" s="2"/>
      <c r="O15627" s="2"/>
      <c r="P15627" s="2"/>
      <c r="Q15627" s="2"/>
      <c r="R15627" s="2"/>
      <c r="S15627" s="2"/>
      <c r="T15627" s="2"/>
      <c r="U15627" s="2"/>
      <c r="V15627" s="2"/>
      <c r="W15627" s="2"/>
      <c r="X15627" s="2"/>
      <c r="Y15627" s="2"/>
      <c r="Z15627" s="2"/>
    </row>
    <row r="15628" spans="1:26" ht="16.5" x14ac:dyDescent="0.35">
      <c r="A15628" s="2"/>
      <c r="B15628" s="2"/>
      <c r="C15628" s="2"/>
      <c r="D15628" s="2"/>
      <c r="E15628" s="2"/>
      <c r="F15628" s="2"/>
      <c r="G15628" s="2"/>
      <c r="H15628" s="2"/>
      <c r="I15628" s="2"/>
      <c r="J15628" s="2"/>
      <c r="K15628" s="2"/>
      <c r="L15628" s="2"/>
      <c r="M15628" s="2"/>
      <c r="N15628" s="2"/>
      <c r="O15628" s="2"/>
      <c r="P15628" s="2"/>
      <c r="Q15628" s="2"/>
      <c r="R15628" s="2"/>
      <c r="S15628" s="2"/>
      <c r="T15628" s="2"/>
      <c r="U15628" s="2"/>
      <c r="V15628" s="2"/>
      <c r="W15628" s="2"/>
      <c r="X15628" s="2"/>
      <c r="Y15628" s="2"/>
      <c r="Z15628" s="2"/>
    </row>
    <row r="15629" spans="1:26" ht="16.5" x14ac:dyDescent="0.35">
      <c r="A15629" s="2"/>
      <c r="B15629" s="2"/>
      <c r="C15629" s="2"/>
      <c r="D15629" s="2"/>
      <c r="E15629" s="2"/>
      <c r="F15629" s="2"/>
      <c r="G15629" s="2"/>
      <c r="H15629" s="2"/>
      <c r="I15629" s="2"/>
      <c r="J15629" s="2"/>
      <c r="K15629" s="2"/>
      <c r="L15629" s="2"/>
      <c r="M15629" s="2"/>
      <c r="N15629" s="2"/>
      <c r="O15629" s="2"/>
      <c r="P15629" s="2"/>
      <c r="Q15629" s="2"/>
      <c r="R15629" s="2"/>
      <c r="S15629" s="2"/>
      <c r="T15629" s="2"/>
      <c r="U15629" s="2"/>
      <c r="V15629" s="2"/>
      <c r="W15629" s="2"/>
      <c r="X15629" s="2"/>
      <c r="Y15629" s="2"/>
      <c r="Z15629" s="2"/>
    </row>
    <row r="15630" spans="1:26" ht="16.5" x14ac:dyDescent="0.35">
      <c r="A15630" s="2"/>
      <c r="B15630" s="2"/>
      <c r="C15630" s="2"/>
      <c r="D15630" s="2"/>
      <c r="E15630" s="2"/>
      <c r="F15630" s="2"/>
      <c r="G15630" s="2"/>
      <c r="H15630" s="2"/>
      <c r="I15630" s="2"/>
      <c r="J15630" s="2"/>
      <c r="K15630" s="2"/>
      <c r="L15630" s="2"/>
      <c r="M15630" s="2"/>
      <c r="N15630" s="2"/>
      <c r="O15630" s="2"/>
      <c r="P15630" s="2"/>
      <c r="Q15630" s="2"/>
      <c r="R15630" s="2"/>
      <c r="S15630" s="2"/>
      <c r="T15630" s="2"/>
      <c r="U15630" s="2"/>
      <c r="V15630" s="2"/>
      <c r="W15630" s="2"/>
      <c r="X15630" s="2"/>
      <c r="Y15630" s="2"/>
      <c r="Z15630" s="2"/>
    </row>
    <row r="15631" spans="1:26" ht="16.5" x14ac:dyDescent="0.35">
      <c r="A15631" s="2"/>
      <c r="B15631" s="2"/>
      <c r="C15631" s="2"/>
      <c r="D15631" s="2"/>
      <c r="E15631" s="2"/>
      <c r="F15631" s="2"/>
      <c r="G15631" s="2"/>
      <c r="H15631" s="2"/>
      <c r="I15631" s="2"/>
      <c r="J15631" s="2"/>
      <c r="K15631" s="2"/>
      <c r="L15631" s="2"/>
      <c r="M15631" s="2"/>
      <c r="N15631" s="2"/>
      <c r="O15631" s="2"/>
      <c r="P15631" s="2"/>
      <c r="Q15631" s="2"/>
      <c r="R15631" s="2"/>
      <c r="S15631" s="2"/>
      <c r="T15631" s="2"/>
      <c r="U15631" s="2"/>
      <c r="V15631" s="2"/>
      <c r="W15631" s="2"/>
      <c r="X15631" s="2"/>
      <c r="Y15631" s="2"/>
      <c r="Z15631" s="2"/>
    </row>
    <row r="15632" spans="1:26" ht="16.5" x14ac:dyDescent="0.35">
      <c r="A15632" s="2"/>
      <c r="B15632" s="2"/>
      <c r="C15632" s="2"/>
      <c r="D15632" s="2"/>
      <c r="E15632" s="2"/>
      <c r="F15632" s="2"/>
      <c r="G15632" s="2"/>
      <c r="H15632" s="2"/>
      <c r="I15632" s="2"/>
      <c r="J15632" s="2"/>
      <c r="K15632" s="2"/>
      <c r="L15632" s="2"/>
      <c r="M15632" s="2"/>
      <c r="N15632" s="2"/>
      <c r="O15632" s="2"/>
      <c r="P15632" s="2"/>
      <c r="Q15632" s="2"/>
      <c r="R15632" s="2"/>
      <c r="S15632" s="2"/>
      <c r="T15632" s="2"/>
      <c r="U15632" s="2"/>
      <c r="V15632" s="2"/>
      <c r="W15632" s="2"/>
      <c r="X15632" s="2"/>
      <c r="Y15632" s="2"/>
      <c r="Z15632" s="2"/>
    </row>
    <row r="15633" spans="1:26" ht="16.5" x14ac:dyDescent="0.35">
      <c r="A15633" s="2"/>
      <c r="B15633" s="2"/>
      <c r="C15633" s="2"/>
      <c r="D15633" s="2"/>
      <c r="E15633" s="2"/>
      <c r="F15633" s="2"/>
      <c r="G15633" s="2"/>
      <c r="H15633" s="2"/>
      <c r="I15633" s="2"/>
      <c r="J15633" s="2"/>
      <c r="K15633" s="2"/>
      <c r="L15633" s="2"/>
      <c r="M15633" s="2"/>
      <c r="N15633" s="2"/>
      <c r="O15633" s="2"/>
      <c r="P15633" s="2"/>
      <c r="Q15633" s="2"/>
      <c r="R15633" s="2"/>
      <c r="S15633" s="2"/>
      <c r="T15633" s="2"/>
      <c r="U15633" s="2"/>
      <c r="V15633" s="2"/>
      <c r="W15633" s="2"/>
      <c r="X15633" s="2"/>
      <c r="Y15633" s="2"/>
      <c r="Z15633" s="2"/>
    </row>
    <row r="15634" spans="1:26" ht="16.5" x14ac:dyDescent="0.35">
      <c r="A15634" s="2"/>
      <c r="B15634" s="2"/>
      <c r="C15634" s="2"/>
      <c r="D15634" s="2"/>
      <c r="E15634" s="2"/>
      <c r="F15634" s="2"/>
      <c r="G15634" s="2"/>
      <c r="H15634" s="2"/>
      <c r="I15634" s="2"/>
      <c r="J15634" s="2"/>
      <c r="K15634" s="2"/>
      <c r="L15634" s="2"/>
      <c r="M15634" s="2"/>
      <c r="N15634" s="2"/>
      <c r="O15634" s="2"/>
      <c r="P15634" s="2"/>
      <c r="Q15634" s="2"/>
      <c r="R15634" s="2"/>
      <c r="S15634" s="2"/>
      <c r="T15634" s="2"/>
      <c r="U15634" s="2"/>
      <c r="V15634" s="2"/>
      <c r="W15634" s="2"/>
      <c r="X15634" s="2"/>
      <c r="Y15634" s="2"/>
      <c r="Z15634" s="2"/>
    </row>
    <row r="15635" spans="1:26" ht="16.5" x14ac:dyDescent="0.35">
      <c r="A15635" s="2"/>
      <c r="B15635" s="2"/>
      <c r="C15635" s="2"/>
      <c r="D15635" s="2"/>
      <c r="E15635" s="2"/>
      <c r="F15635" s="2"/>
      <c r="G15635" s="2"/>
      <c r="H15635" s="2"/>
      <c r="I15635" s="2"/>
      <c r="J15635" s="2"/>
      <c r="K15635" s="2"/>
      <c r="L15635" s="2"/>
      <c r="M15635" s="2"/>
      <c r="N15635" s="2"/>
      <c r="O15635" s="2"/>
      <c r="P15635" s="2"/>
      <c r="Q15635" s="2"/>
      <c r="R15635" s="2"/>
      <c r="S15635" s="2"/>
      <c r="T15635" s="2"/>
      <c r="U15635" s="2"/>
      <c r="V15635" s="2"/>
      <c r="W15635" s="2"/>
      <c r="X15635" s="2"/>
      <c r="Y15635" s="2"/>
      <c r="Z15635" s="2"/>
    </row>
    <row r="15636" spans="1:26" ht="16.5" x14ac:dyDescent="0.35">
      <c r="A15636" s="2"/>
      <c r="B15636" s="2"/>
      <c r="C15636" s="2"/>
      <c r="D15636" s="2"/>
      <c r="E15636" s="2"/>
      <c r="F15636" s="2"/>
      <c r="G15636" s="2"/>
      <c r="H15636" s="2"/>
      <c r="I15636" s="2"/>
      <c r="J15636" s="2"/>
      <c r="K15636" s="2"/>
      <c r="L15636" s="2"/>
      <c r="M15636" s="2"/>
      <c r="N15636" s="2"/>
      <c r="O15636" s="2"/>
      <c r="P15636" s="2"/>
      <c r="Q15636" s="2"/>
      <c r="R15636" s="2"/>
      <c r="S15636" s="2"/>
      <c r="T15636" s="2"/>
      <c r="U15636" s="2"/>
      <c r="V15636" s="2"/>
      <c r="W15636" s="2"/>
      <c r="X15636" s="2"/>
      <c r="Y15636" s="2"/>
      <c r="Z15636" s="2"/>
    </row>
    <row r="15637" spans="1:26" ht="16.5" x14ac:dyDescent="0.35">
      <c r="A15637" s="2"/>
      <c r="B15637" s="2"/>
      <c r="C15637" s="2"/>
      <c r="D15637" s="2"/>
      <c r="E15637" s="2"/>
      <c r="F15637" s="2"/>
      <c r="G15637" s="2"/>
      <c r="H15637" s="2"/>
      <c r="I15637" s="2"/>
      <c r="J15637" s="2"/>
      <c r="K15637" s="2"/>
      <c r="L15637" s="2"/>
      <c r="M15637" s="2"/>
      <c r="N15637" s="2"/>
      <c r="O15637" s="2"/>
      <c r="P15637" s="2"/>
      <c r="Q15637" s="2"/>
      <c r="R15637" s="2"/>
      <c r="S15637" s="2"/>
      <c r="T15637" s="2"/>
      <c r="U15637" s="2"/>
      <c r="V15637" s="2"/>
      <c r="W15637" s="2"/>
      <c r="X15637" s="2"/>
      <c r="Y15637" s="2"/>
      <c r="Z15637" s="2"/>
    </row>
    <row r="15638" spans="1:26" ht="16.5" x14ac:dyDescent="0.35">
      <c r="A15638" s="2"/>
      <c r="B15638" s="2"/>
      <c r="C15638" s="2"/>
      <c r="D15638" s="2"/>
      <c r="E15638" s="2"/>
      <c r="F15638" s="2"/>
      <c r="G15638" s="2"/>
      <c r="H15638" s="2"/>
      <c r="I15638" s="2"/>
      <c r="J15638" s="2"/>
      <c r="K15638" s="2"/>
      <c r="L15638" s="2"/>
      <c r="M15638" s="2"/>
      <c r="N15638" s="2"/>
      <c r="O15638" s="2"/>
      <c r="P15638" s="2"/>
      <c r="Q15638" s="2"/>
      <c r="R15638" s="2"/>
      <c r="S15638" s="2"/>
      <c r="T15638" s="2"/>
      <c r="U15638" s="2"/>
      <c r="V15638" s="2"/>
      <c r="W15638" s="2"/>
      <c r="X15638" s="2"/>
      <c r="Y15638" s="2"/>
      <c r="Z15638" s="2"/>
    </row>
    <row r="15639" spans="1:26" ht="16.5" x14ac:dyDescent="0.35">
      <c r="A15639" s="2"/>
      <c r="B15639" s="2"/>
      <c r="C15639" s="2"/>
      <c r="D15639" s="2"/>
      <c r="E15639" s="2"/>
      <c r="F15639" s="2"/>
      <c r="G15639" s="2"/>
      <c r="H15639" s="2"/>
      <c r="I15639" s="2"/>
      <c r="J15639" s="2"/>
      <c r="K15639" s="2"/>
      <c r="L15639" s="2"/>
      <c r="M15639" s="2"/>
      <c r="N15639" s="2"/>
      <c r="O15639" s="2"/>
      <c r="P15639" s="2"/>
      <c r="Q15639" s="2"/>
      <c r="R15639" s="2"/>
      <c r="S15639" s="2"/>
      <c r="T15639" s="2"/>
      <c r="U15639" s="2"/>
      <c r="V15639" s="2"/>
      <c r="W15639" s="2"/>
      <c r="X15639" s="2"/>
      <c r="Y15639" s="2"/>
      <c r="Z15639" s="2"/>
    </row>
    <row r="15640" spans="1:26" ht="16.5" x14ac:dyDescent="0.35">
      <c r="A15640" s="2"/>
      <c r="B15640" s="2"/>
      <c r="C15640" s="2"/>
      <c r="D15640" s="2"/>
      <c r="E15640" s="2"/>
      <c r="F15640" s="2"/>
      <c r="G15640" s="2"/>
      <c r="H15640" s="2"/>
      <c r="I15640" s="2"/>
      <c r="J15640" s="2"/>
      <c r="K15640" s="2"/>
      <c r="L15640" s="2"/>
      <c r="M15640" s="2"/>
      <c r="N15640" s="2"/>
      <c r="O15640" s="2"/>
      <c r="P15640" s="2"/>
      <c r="Q15640" s="2"/>
      <c r="R15640" s="2"/>
      <c r="S15640" s="2"/>
      <c r="T15640" s="2"/>
      <c r="U15640" s="2"/>
      <c r="V15640" s="2"/>
      <c r="W15640" s="2"/>
      <c r="X15640" s="2"/>
      <c r="Y15640" s="2"/>
      <c r="Z15640" s="2"/>
    </row>
    <row r="15641" spans="1:26" ht="16.5" x14ac:dyDescent="0.35">
      <c r="A15641" s="2"/>
      <c r="B15641" s="2"/>
      <c r="C15641" s="2"/>
      <c r="D15641" s="2"/>
      <c r="E15641" s="2"/>
      <c r="F15641" s="2"/>
      <c r="G15641" s="2"/>
      <c r="H15641" s="2"/>
      <c r="I15641" s="2"/>
      <c r="J15641" s="2"/>
      <c r="K15641" s="2"/>
      <c r="L15641" s="2"/>
      <c r="M15641" s="2"/>
      <c r="N15641" s="2"/>
      <c r="O15641" s="2"/>
      <c r="P15641" s="2"/>
      <c r="Q15641" s="2"/>
      <c r="R15641" s="2"/>
      <c r="S15641" s="2"/>
      <c r="T15641" s="2"/>
      <c r="U15641" s="2"/>
      <c r="V15641" s="2"/>
      <c r="W15641" s="2"/>
      <c r="X15641" s="2"/>
      <c r="Y15641" s="2"/>
      <c r="Z15641" s="2"/>
    </row>
    <row r="15642" spans="1:26" ht="16.5" x14ac:dyDescent="0.35">
      <c r="A15642" s="2"/>
      <c r="B15642" s="2"/>
      <c r="C15642" s="2"/>
      <c r="D15642" s="2"/>
      <c r="E15642" s="2"/>
      <c r="F15642" s="2"/>
      <c r="G15642" s="2"/>
      <c r="H15642" s="2"/>
      <c r="I15642" s="2"/>
      <c r="J15642" s="2"/>
      <c r="K15642" s="2"/>
      <c r="L15642" s="2"/>
      <c r="M15642" s="2"/>
      <c r="N15642" s="2"/>
      <c r="O15642" s="2"/>
      <c r="P15642" s="2"/>
      <c r="Q15642" s="2"/>
      <c r="R15642" s="2"/>
      <c r="S15642" s="2"/>
      <c r="T15642" s="2"/>
      <c r="U15642" s="2"/>
      <c r="V15642" s="2"/>
      <c r="W15642" s="2"/>
      <c r="X15642" s="2"/>
      <c r="Y15642" s="2"/>
      <c r="Z15642" s="2"/>
    </row>
    <row r="15643" spans="1:26" ht="16.5" x14ac:dyDescent="0.35">
      <c r="A15643" s="2"/>
      <c r="B15643" s="2"/>
      <c r="C15643" s="2"/>
      <c r="D15643" s="2"/>
      <c r="E15643" s="2"/>
      <c r="F15643" s="2"/>
      <c r="G15643" s="2"/>
      <c r="H15643" s="2"/>
      <c r="I15643" s="2"/>
      <c r="J15643" s="2"/>
      <c r="K15643" s="2"/>
      <c r="L15643" s="2"/>
      <c r="M15643" s="2"/>
      <c r="N15643" s="2"/>
      <c r="O15643" s="2"/>
      <c r="P15643" s="2"/>
      <c r="Q15643" s="2"/>
      <c r="R15643" s="2"/>
      <c r="S15643" s="2"/>
      <c r="T15643" s="2"/>
      <c r="U15643" s="2"/>
      <c r="V15643" s="2"/>
      <c r="W15643" s="2"/>
      <c r="X15643" s="2"/>
      <c r="Y15643" s="2"/>
      <c r="Z15643" s="2"/>
    </row>
    <row r="15644" spans="1:26" ht="16.5" x14ac:dyDescent="0.35">
      <c r="A15644" s="2"/>
      <c r="B15644" s="2"/>
      <c r="C15644" s="2"/>
      <c r="D15644" s="2"/>
      <c r="E15644" s="2"/>
      <c r="F15644" s="2"/>
      <c r="G15644" s="2"/>
      <c r="H15644" s="2"/>
      <c r="I15644" s="2"/>
      <c r="J15644" s="2"/>
      <c r="K15644" s="2"/>
      <c r="L15644" s="2"/>
      <c r="M15644" s="2"/>
      <c r="N15644" s="2"/>
      <c r="O15644" s="2"/>
      <c r="P15644" s="2"/>
      <c r="Q15644" s="2"/>
      <c r="R15644" s="2"/>
      <c r="S15644" s="2"/>
      <c r="T15644" s="2"/>
      <c r="U15644" s="2"/>
      <c r="V15644" s="2"/>
      <c r="W15644" s="2"/>
      <c r="X15644" s="2"/>
      <c r="Y15644" s="2"/>
      <c r="Z15644" s="2"/>
    </row>
    <row r="15645" spans="1:26" ht="16.5" x14ac:dyDescent="0.35">
      <c r="A15645" s="2"/>
      <c r="B15645" s="2"/>
      <c r="C15645" s="2"/>
      <c r="D15645" s="2"/>
      <c r="E15645" s="2"/>
      <c r="F15645" s="2"/>
      <c r="G15645" s="2"/>
      <c r="H15645" s="2"/>
      <c r="I15645" s="2"/>
      <c r="J15645" s="2"/>
      <c r="K15645" s="2"/>
      <c r="L15645" s="2"/>
      <c r="M15645" s="2"/>
      <c r="N15645" s="2"/>
      <c r="O15645" s="2"/>
      <c r="P15645" s="2"/>
      <c r="Q15645" s="2"/>
      <c r="R15645" s="2"/>
      <c r="S15645" s="2"/>
      <c r="T15645" s="2"/>
      <c r="U15645" s="2"/>
      <c r="V15645" s="2"/>
      <c r="W15645" s="2"/>
      <c r="X15645" s="2"/>
      <c r="Y15645" s="2"/>
      <c r="Z15645" s="2"/>
    </row>
    <row r="15646" spans="1:26" ht="16.5" x14ac:dyDescent="0.35">
      <c r="A15646" s="2"/>
      <c r="B15646" s="2"/>
      <c r="C15646" s="2"/>
      <c r="D15646" s="2"/>
      <c r="E15646" s="2"/>
      <c r="F15646" s="2"/>
      <c r="G15646" s="2"/>
      <c r="H15646" s="2"/>
      <c r="I15646" s="2"/>
      <c r="J15646" s="2"/>
      <c r="K15646" s="2"/>
      <c r="L15646" s="2"/>
      <c r="M15646" s="2"/>
      <c r="N15646" s="2"/>
      <c r="O15646" s="2"/>
      <c r="P15646" s="2"/>
      <c r="Q15646" s="2"/>
      <c r="R15646" s="2"/>
      <c r="S15646" s="2"/>
      <c r="T15646" s="2"/>
      <c r="U15646" s="2"/>
      <c r="V15646" s="2"/>
      <c r="W15646" s="2"/>
      <c r="X15646" s="2"/>
      <c r="Y15646" s="2"/>
      <c r="Z15646" s="2"/>
    </row>
    <row r="15647" spans="1:26" ht="16.5" x14ac:dyDescent="0.35">
      <c r="A15647" s="2"/>
      <c r="B15647" s="2"/>
      <c r="C15647" s="2"/>
      <c r="D15647" s="2"/>
      <c r="E15647" s="2"/>
      <c r="F15647" s="2"/>
      <c r="G15647" s="2"/>
      <c r="H15647" s="2"/>
      <c r="I15647" s="2"/>
      <c r="J15647" s="2"/>
      <c r="K15647" s="2"/>
      <c r="L15647" s="2"/>
      <c r="M15647" s="2"/>
      <c r="N15647" s="2"/>
      <c r="O15647" s="2"/>
      <c r="P15647" s="2"/>
      <c r="Q15647" s="2"/>
      <c r="R15647" s="2"/>
      <c r="S15647" s="2"/>
      <c r="T15647" s="2"/>
      <c r="U15647" s="2"/>
      <c r="V15647" s="2"/>
      <c r="W15647" s="2"/>
      <c r="X15647" s="2"/>
      <c r="Y15647" s="2"/>
      <c r="Z15647" s="2"/>
    </row>
    <row r="15648" spans="1:26" ht="16.5" x14ac:dyDescent="0.35">
      <c r="A15648" s="2"/>
      <c r="B15648" s="2"/>
      <c r="C15648" s="2"/>
      <c r="D15648" s="2"/>
      <c r="E15648" s="2"/>
      <c r="F15648" s="2"/>
      <c r="G15648" s="2"/>
      <c r="H15648" s="2"/>
      <c r="I15648" s="2"/>
      <c r="J15648" s="2"/>
      <c r="K15648" s="2"/>
      <c r="L15648" s="2"/>
      <c r="M15648" s="2"/>
      <c r="N15648" s="2"/>
      <c r="O15648" s="2"/>
      <c r="P15648" s="2"/>
      <c r="Q15648" s="2"/>
      <c r="R15648" s="2"/>
      <c r="S15648" s="2"/>
      <c r="T15648" s="2"/>
      <c r="U15648" s="2"/>
      <c r="V15648" s="2"/>
      <c r="W15648" s="2"/>
      <c r="X15648" s="2"/>
      <c r="Y15648" s="2"/>
      <c r="Z15648" s="2"/>
    </row>
    <row r="15649" spans="1:26" ht="16.5" x14ac:dyDescent="0.35">
      <c r="A15649" s="2"/>
      <c r="B15649" s="2"/>
      <c r="C15649" s="2"/>
      <c r="D15649" s="2"/>
      <c r="E15649" s="2"/>
      <c r="F15649" s="2"/>
      <c r="G15649" s="2"/>
      <c r="H15649" s="2"/>
      <c r="I15649" s="2"/>
      <c r="J15649" s="2"/>
      <c r="K15649" s="2"/>
      <c r="L15649" s="2"/>
      <c r="M15649" s="2"/>
      <c r="N15649" s="2"/>
      <c r="O15649" s="2"/>
      <c r="P15649" s="2"/>
      <c r="Q15649" s="2"/>
      <c r="R15649" s="2"/>
      <c r="S15649" s="2"/>
      <c r="T15649" s="2"/>
      <c r="U15649" s="2"/>
      <c r="V15649" s="2"/>
      <c r="W15649" s="2"/>
      <c r="X15649" s="2"/>
      <c r="Y15649" s="2"/>
      <c r="Z15649" s="2"/>
    </row>
    <row r="15650" spans="1:26" ht="16.5" x14ac:dyDescent="0.35">
      <c r="A15650" s="2"/>
      <c r="B15650" s="2"/>
      <c r="C15650" s="2"/>
      <c r="D15650" s="2"/>
      <c r="E15650" s="2"/>
      <c r="F15650" s="2"/>
      <c r="G15650" s="2"/>
      <c r="H15650" s="2"/>
      <c r="I15650" s="2"/>
      <c r="J15650" s="2"/>
      <c r="K15650" s="2"/>
      <c r="L15650" s="2"/>
      <c r="M15650" s="2"/>
      <c r="N15650" s="2"/>
      <c r="O15650" s="2"/>
      <c r="P15650" s="2"/>
      <c r="Q15650" s="2"/>
      <c r="R15650" s="2"/>
      <c r="S15650" s="2"/>
      <c r="T15650" s="2"/>
      <c r="U15650" s="2"/>
      <c r="V15650" s="2"/>
      <c r="W15650" s="2"/>
      <c r="X15650" s="2"/>
      <c r="Y15650" s="2"/>
      <c r="Z15650" s="2"/>
    </row>
    <row r="15651" spans="1:26" ht="16.5" x14ac:dyDescent="0.35">
      <c r="A15651" s="2"/>
      <c r="B15651" s="2"/>
      <c r="C15651" s="2"/>
      <c r="D15651" s="2"/>
      <c r="E15651" s="2"/>
      <c r="F15651" s="2"/>
      <c r="G15651" s="2"/>
      <c r="H15651" s="2"/>
      <c r="I15651" s="2"/>
      <c r="J15651" s="2"/>
      <c r="K15651" s="2"/>
      <c r="L15651" s="2"/>
      <c r="M15651" s="2"/>
      <c r="N15651" s="2"/>
      <c r="O15651" s="2"/>
      <c r="P15651" s="2"/>
      <c r="Q15651" s="2"/>
      <c r="R15651" s="2"/>
      <c r="S15651" s="2"/>
      <c r="T15651" s="2"/>
      <c r="U15651" s="2"/>
      <c r="V15651" s="2"/>
      <c r="W15651" s="2"/>
      <c r="X15651" s="2"/>
      <c r="Y15651" s="2"/>
      <c r="Z15651" s="2"/>
    </row>
    <row r="15652" spans="1:26" ht="16.5" x14ac:dyDescent="0.35">
      <c r="A15652" s="2"/>
      <c r="B15652" s="2"/>
      <c r="C15652" s="2"/>
      <c r="D15652" s="2"/>
      <c r="E15652" s="2"/>
      <c r="F15652" s="2"/>
      <c r="G15652" s="2"/>
      <c r="H15652" s="2"/>
      <c r="I15652" s="2"/>
      <c r="J15652" s="2"/>
      <c r="K15652" s="2"/>
      <c r="L15652" s="2"/>
      <c r="M15652" s="2"/>
      <c r="N15652" s="2"/>
      <c r="O15652" s="2"/>
      <c r="P15652" s="2"/>
      <c r="Q15652" s="2"/>
      <c r="R15652" s="2"/>
      <c r="S15652" s="2"/>
      <c r="T15652" s="2"/>
      <c r="U15652" s="2"/>
      <c r="V15652" s="2"/>
      <c r="W15652" s="2"/>
      <c r="X15652" s="2"/>
      <c r="Y15652" s="2"/>
      <c r="Z15652" s="2"/>
    </row>
    <row r="15653" spans="1:26" ht="16.5" x14ac:dyDescent="0.35">
      <c r="A15653" s="2"/>
      <c r="B15653" s="2"/>
      <c r="C15653" s="2"/>
      <c r="D15653" s="2"/>
      <c r="E15653" s="2"/>
      <c r="F15653" s="2"/>
      <c r="G15653" s="2"/>
      <c r="H15653" s="2"/>
      <c r="I15653" s="2"/>
      <c r="J15653" s="2"/>
      <c r="K15653" s="2"/>
      <c r="L15653" s="2"/>
      <c r="M15653" s="2"/>
      <c r="N15653" s="2"/>
      <c r="O15653" s="2"/>
      <c r="P15653" s="2"/>
      <c r="Q15653" s="2"/>
      <c r="R15653" s="2"/>
      <c r="S15653" s="2"/>
      <c r="T15653" s="2"/>
      <c r="U15653" s="2"/>
      <c r="V15653" s="2"/>
      <c r="W15653" s="2"/>
      <c r="X15653" s="2"/>
      <c r="Y15653" s="2"/>
      <c r="Z15653" s="2"/>
    </row>
    <row r="15654" spans="1:26" ht="16.5" x14ac:dyDescent="0.35">
      <c r="A15654" s="2"/>
      <c r="B15654" s="2"/>
      <c r="C15654" s="2"/>
      <c r="D15654" s="2"/>
      <c r="E15654" s="2"/>
      <c r="F15654" s="2"/>
      <c r="G15654" s="2"/>
      <c r="H15654" s="2"/>
      <c r="I15654" s="2"/>
      <c r="J15654" s="2"/>
      <c r="K15654" s="2"/>
      <c r="L15654" s="2"/>
      <c r="M15654" s="2"/>
      <c r="N15654" s="2"/>
      <c r="O15654" s="2"/>
      <c r="P15654" s="2"/>
      <c r="Q15654" s="2"/>
      <c r="R15654" s="2"/>
      <c r="S15654" s="2"/>
      <c r="T15654" s="2"/>
      <c r="U15654" s="2"/>
      <c r="V15654" s="2"/>
      <c r="W15654" s="2"/>
      <c r="X15654" s="2"/>
      <c r="Y15654" s="2"/>
      <c r="Z15654" s="2"/>
    </row>
    <row r="15655" spans="1:26" ht="16.5" x14ac:dyDescent="0.35">
      <c r="A15655" s="2"/>
      <c r="B15655" s="2"/>
      <c r="C15655" s="2"/>
      <c r="D15655" s="2"/>
      <c r="E15655" s="2"/>
      <c r="F15655" s="2"/>
      <c r="G15655" s="2"/>
      <c r="H15655" s="2"/>
      <c r="I15655" s="2"/>
      <c r="J15655" s="2"/>
      <c r="K15655" s="2"/>
      <c r="L15655" s="2"/>
      <c r="M15655" s="2"/>
      <c r="N15655" s="2"/>
      <c r="O15655" s="2"/>
      <c r="P15655" s="2"/>
      <c r="Q15655" s="2"/>
      <c r="R15655" s="2"/>
      <c r="S15655" s="2"/>
      <c r="T15655" s="2"/>
      <c r="U15655" s="2"/>
      <c r="V15655" s="2"/>
      <c r="W15655" s="2"/>
      <c r="X15655" s="2"/>
      <c r="Y15655" s="2"/>
      <c r="Z15655" s="2"/>
    </row>
    <row r="15656" spans="1:26" ht="16.5" x14ac:dyDescent="0.35">
      <c r="A15656" s="2"/>
      <c r="B15656" s="2"/>
      <c r="C15656" s="2"/>
      <c r="D15656" s="2"/>
      <c r="E15656" s="2"/>
      <c r="F15656" s="2"/>
      <c r="G15656" s="2"/>
      <c r="H15656" s="2"/>
      <c r="I15656" s="2"/>
      <c r="J15656" s="2"/>
      <c r="K15656" s="2"/>
      <c r="L15656" s="2"/>
      <c r="M15656" s="2"/>
      <c r="N15656" s="2"/>
      <c r="O15656" s="2"/>
      <c r="P15656" s="2"/>
      <c r="Q15656" s="2"/>
      <c r="R15656" s="2"/>
      <c r="S15656" s="2"/>
      <c r="T15656" s="2"/>
      <c r="U15656" s="2"/>
      <c r="V15656" s="2"/>
      <c r="W15656" s="2"/>
      <c r="X15656" s="2"/>
      <c r="Y15656" s="2"/>
      <c r="Z15656" s="2"/>
    </row>
    <row r="15657" spans="1:26" ht="16.5" x14ac:dyDescent="0.35">
      <c r="A15657" s="2"/>
      <c r="B15657" s="2"/>
      <c r="C15657" s="2"/>
      <c r="D15657" s="2"/>
      <c r="E15657" s="2"/>
      <c r="F15657" s="2"/>
      <c r="G15657" s="2"/>
      <c r="H15657" s="2"/>
      <c r="I15657" s="2"/>
      <c r="J15657" s="2"/>
      <c r="K15657" s="2"/>
      <c r="L15657" s="2"/>
      <c r="M15657" s="2"/>
      <c r="N15657" s="2"/>
      <c r="O15657" s="2"/>
      <c r="P15657" s="2"/>
      <c r="Q15657" s="2"/>
      <c r="R15657" s="2"/>
      <c r="S15657" s="2"/>
      <c r="T15657" s="2"/>
      <c r="U15657" s="2"/>
      <c r="V15657" s="2"/>
      <c r="W15657" s="2"/>
      <c r="X15657" s="2"/>
      <c r="Y15657" s="2"/>
      <c r="Z15657" s="2"/>
    </row>
    <row r="15658" spans="1:26" ht="16.5" x14ac:dyDescent="0.35">
      <c r="A15658" s="2"/>
      <c r="B15658" s="2"/>
      <c r="C15658" s="2"/>
      <c r="D15658" s="2"/>
      <c r="E15658" s="2"/>
      <c r="F15658" s="2"/>
      <c r="G15658" s="2"/>
      <c r="H15658" s="2"/>
      <c r="I15658" s="2"/>
      <c r="J15658" s="2"/>
      <c r="K15658" s="2"/>
      <c r="L15658" s="2"/>
      <c r="M15658" s="2"/>
      <c r="N15658" s="2"/>
      <c r="O15658" s="2"/>
      <c r="P15658" s="2"/>
      <c r="Q15658" s="2"/>
      <c r="R15658" s="2"/>
      <c r="S15658" s="2"/>
      <c r="T15658" s="2"/>
      <c r="U15658" s="2"/>
      <c r="V15658" s="2"/>
      <c r="W15658" s="2"/>
      <c r="X15658" s="2"/>
      <c r="Y15658" s="2"/>
      <c r="Z15658" s="2"/>
    </row>
    <row r="15659" spans="1:26" ht="16.5" x14ac:dyDescent="0.35">
      <c r="A15659" s="2"/>
      <c r="B15659" s="2"/>
      <c r="C15659" s="2"/>
      <c r="D15659" s="2"/>
      <c r="E15659" s="2"/>
      <c r="F15659" s="2"/>
      <c r="G15659" s="2"/>
      <c r="H15659" s="2"/>
      <c r="I15659" s="2"/>
      <c r="J15659" s="2"/>
      <c r="K15659" s="2"/>
      <c r="L15659" s="2"/>
      <c r="M15659" s="2"/>
      <c r="N15659" s="2"/>
      <c r="O15659" s="2"/>
      <c r="P15659" s="2"/>
      <c r="Q15659" s="2"/>
      <c r="R15659" s="2"/>
      <c r="S15659" s="2"/>
      <c r="T15659" s="2"/>
      <c r="U15659" s="2"/>
      <c r="V15659" s="2"/>
      <c r="W15659" s="2"/>
      <c r="X15659" s="2"/>
      <c r="Y15659" s="2"/>
      <c r="Z15659" s="2"/>
    </row>
    <row r="15660" spans="1:26" ht="16.5" x14ac:dyDescent="0.35">
      <c r="A15660" s="2"/>
      <c r="B15660" s="2"/>
      <c r="C15660" s="2"/>
      <c r="D15660" s="2"/>
      <c r="E15660" s="2"/>
      <c r="F15660" s="2"/>
      <c r="G15660" s="2"/>
      <c r="H15660" s="2"/>
      <c r="I15660" s="2"/>
      <c r="J15660" s="2"/>
      <c r="K15660" s="2"/>
      <c r="L15660" s="2"/>
      <c r="M15660" s="2"/>
      <c r="N15660" s="2"/>
      <c r="O15660" s="2"/>
      <c r="P15660" s="2"/>
      <c r="Q15660" s="2"/>
      <c r="R15660" s="2"/>
      <c r="S15660" s="2"/>
      <c r="T15660" s="2"/>
      <c r="U15660" s="2"/>
      <c r="V15660" s="2"/>
      <c r="W15660" s="2"/>
      <c r="X15660" s="2"/>
      <c r="Y15660" s="2"/>
      <c r="Z15660" s="2"/>
    </row>
    <row r="15661" spans="1:26" ht="16.5" x14ac:dyDescent="0.35">
      <c r="A15661" s="2"/>
      <c r="B15661" s="2"/>
      <c r="C15661" s="2"/>
      <c r="D15661" s="2"/>
      <c r="E15661" s="2"/>
      <c r="F15661" s="2"/>
      <c r="G15661" s="2"/>
      <c r="H15661" s="2"/>
      <c r="I15661" s="2"/>
      <c r="J15661" s="2"/>
      <c r="K15661" s="2"/>
      <c r="L15661" s="2"/>
      <c r="M15661" s="2"/>
      <c r="N15661" s="2"/>
      <c r="O15661" s="2"/>
      <c r="P15661" s="2"/>
      <c r="Q15661" s="2"/>
      <c r="R15661" s="2"/>
      <c r="S15661" s="2"/>
      <c r="T15661" s="2"/>
      <c r="U15661" s="2"/>
      <c r="V15661" s="2"/>
      <c r="W15661" s="2"/>
      <c r="X15661" s="2"/>
      <c r="Y15661" s="2"/>
      <c r="Z15661" s="2"/>
    </row>
    <row r="15662" spans="1:26" ht="16.5" x14ac:dyDescent="0.35">
      <c r="A15662" s="2"/>
      <c r="B15662" s="2"/>
      <c r="C15662" s="2"/>
      <c r="D15662" s="2"/>
      <c r="E15662" s="2"/>
      <c r="F15662" s="2"/>
      <c r="G15662" s="2"/>
      <c r="H15662" s="2"/>
      <c r="I15662" s="2"/>
      <c r="J15662" s="2"/>
      <c r="K15662" s="2"/>
      <c r="L15662" s="2"/>
      <c r="M15662" s="2"/>
      <c r="N15662" s="2"/>
      <c r="O15662" s="2"/>
      <c r="P15662" s="2"/>
      <c r="Q15662" s="2"/>
      <c r="R15662" s="2"/>
      <c r="S15662" s="2"/>
      <c r="T15662" s="2"/>
      <c r="U15662" s="2"/>
      <c r="V15662" s="2"/>
      <c r="W15662" s="2"/>
      <c r="X15662" s="2"/>
      <c r="Y15662" s="2"/>
      <c r="Z15662" s="2"/>
    </row>
    <row r="15663" spans="1:26" ht="16.5" x14ac:dyDescent="0.35">
      <c r="A15663" s="2"/>
      <c r="B15663" s="2"/>
      <c r="C15663" s="2"/>
      <c r="D15663" s="2"/>
      <c r="E15663" s="2"/>
      <c r="F15663" s="2"/>
      <c r="G15663" s="2"/>
      <c r="H15663" s="2"/>
      <c r="I15663" s="2"/>
      <c r="J15663" s="2"/>
      <c r="K15663" s="2"/>
      <c r="L15663" s="2"/>
      <c r="M15663" s="2"/>
      <c r="N15663" s="2"/>
      <c r="O15663" s="2"/>
      <c r="P15663" s="2"/>
      <c r="Q15663" s="2"/>
      <c r="R15663" s="2"/>
      <c r="S15663" s="2"/>
      <c r="T15663" s="2"/>
      <c r="U15663" s="2"/>
      <c r="V15663" s="2"/>
      <c r="W15663" s="2"/>
      <c r="X15663" s="2"/>
      <c r="Y15663" s="2"/>
      <c r="Z15663" s="2"/>
    </row>
    <row r="15664" spans="1:26" ht="16.5" x14ac:dyDescent="0.35">
      <c r="A15664" s="2"/>
      <c r="B15664" s="2"/>
      <c r="C15664" s="2"/>
      <c r="D15664" s="2"/>
      <c r="E15664" s="2"/>
      <c r="F15664" s="2"/>
      <c r="G15664" s="2"/>
      <c r="H15664" s="2"/>
      <c r="I15664" s="2"/>
      <c r="J15664" s="2"/>
      <c r="K15664" s="2"/>
      <c r="L15664" s="2"/>
      <c r="M15664" s="2"/>
      <c r="N15664" s="2"/>
      <c r="O15664" s="2"/>
      <c r="P15664" s="2"/>
      <c r="Q15664" s="2"/>
      <c r="R15664" s="2"/>
      <c r="S15664" s="2"/>
      <c r="T15664" s="2"/>
      <c r="U15664" s="2"/>
      <c r="V15664" s="2"/>
      <c r="W15664" s="2"/>
      <c r="X15664" s="2"/>
      <c r="Y15664" s="2"/>
      <c r="Z15664" s="2"/>
    </row>
    <row r="15665" spans="1:26" ht="16.5" x14ac:dyDescent="0.35">
      <c r="A15665" s="2"/>
      <c r="B15665" s="2"/>
      <c r="C15665" s="2"/>
      <c r="D15665" s="2"/>
      <c r="E15665" s="2"/>
      <c r="F15665" s="2"/>
      <c r="G15665" s="2"/>
      <c r="H15665" s="2"/>
      <c r="I15665" s="2"/>
      <c r="J15665" s="2"/>
      <c r="K15665" s="2"/>
      <c r="L15665" s="2"/>
      <c r="M15665" s="2"/>
      <c r="N15665" s="2"/>
      <c r="O15665" s="2"/>
      <c r="P15665" s="2"/>
      <c r="Q15665" s="2"/>
      <c r="R15665" s="2"/>
      <c r="S15665" s="2"/>
      <c r="T15665" s="2"/>
      <c r="U15665" s="2"/>
      <c r="V15665" s="2"/>
      <c r="W15665" s="2"/>
      <c r="X15665" s="2"/>
      <c r="Y15665" s="2"/>
      <c r="Z15665" s="2"/>
    </row>
    <row r="15666" spans="1:26" ht="16.5" x14ac:dyDescent="0.35">
      <c r="A15666" s="2"/>
      <c r="B15666" s="2"/>
      <c r="C15666" s="2"/>
      <c r="D15666" s="2"/>
      <c r="E15666" s="2"/>
      <c r="F15666" s="2"/>
      <c r="G15666" s="2"/>
      <c r="H15666" s="2"/>
      <c r="I15666" s="2"/>
      <c r="J15666" s="2"/>
      <c r="K15666" s="2"/>
      <c r="L15666" s="2"/>
      <c r="M15666" s="2"/>
      <c r="N15666" s="2"/>
      <c r="O15666" s="2"/>
      <c r="P15666" s="2"/>
      <c r="Q15666" s="2"/>
      <c r="R15666" s="2"/>
      <c r="S15666" s="2"/>
      <c r="T15666" s="2"/>
      <c r="U15666" s="2"/>
      <c r="V15666" s="2"/>
      <c r="W15666" s="2"/>
      <c r="X15666" s="2"/>
      <c r="Y15666" s="2"/>
      <c r="Z15666" s="2"/>
    </row>
    <row r="15667" spans="1:26" ht="16.5" x14ac:dyDescent="0.35">
      <c r="A15667" s="2"/>
      <c r="B15667" s="2"/>
      <c r="C15667" s="2"/>
      <c r="D15667" s="2"/>
      <c r="E15667" s="2"/>
      <c r="F15667" s="2"/>
      <c r="G15667" s="2"/>
      <c r="H15667" s="2"/>
      <c r="I15667" s="2"/>
      <c r="J15667" s="2"/>
      <c r="K15667" s="2"/>
      <c r="L15667" s="2"/>
      <c r="M15667" s="2"/>
      <c r="N15667" s="2"/>
      <c r="O15667" s="2"/>
      <c r="P15667" s="2"/>
      <c r="Q15667" s="2"/>
      <c r="R15667" s="2"/>
      <c r="S15667" s="2"/>
      <c r="T15667" s="2"/>
      <c r="U15667" s="2"/>
      <c r="V15667" s="2"/>
      <c r="W15667" s="2"/>
      <c r="X15667" s="2"/>
      <c r="Y15667" s="2"/>
      <c r="Z15667" s="2"/>
    </row>
    <row r="15668" spans="1:26" ht="16.5" x14ac:dyDescent="0.35">
      <c r="A15668" s="2"/>
      <c r="B15668" s="2"/>
      <c r="C15668" s="2"/>
      <c r="D15668" s="2"/>
      <c r="E15668" s="2"/>
      <c r="F15668" s="2"/>
      <c r="G15668" s="2"/>
      <c r="H15668" s="2"/>
      <c r="I15668" s="2"/>
      <c r="J15668" s="2"/>
      <c r="K15668" s="2"/>
      <c r="L15668" s="2"/>
      <c r="M15668" s="2"/>
      <c r="N15668" s="2"/>
      <c r="O15668" s="2"/>
      <c r="P15668" s="2"/>
      <c r="Q15668" s="2"/>
      <c r="R15668" s="2"/>
      <c r="S15668" s="2"/>
      <c r="T15668" s="2"/>
      <c r="U15668" s="2"/>
      <c r="V15668" s="2"/>
      <c r="W15668" s="2"/>
      <c r="X15668" s="2"/>
      <c r="Y15668" s="2"/>
      <c r="Z15668" s="2"/>
    </row>
    <row r="15669" spans="1:26" ht="16.5" x14ac:dyDescent="0.35">
      <c r="A15669" s="2"/>
      <c r="B15669" s="2"/>
      <c r="C15669" s="2"/>
      <c r="D15669" s="2"/>
      <c r="E15669" s="2"/>
      <c r="F15669" s="2"/>
      <c r="G15669" s="2"/>
      <c r="H15669" s="2"/>
      <c r="I15669" s="2"/>
      <c r="J15669" s="2"/>
      <c r="K15669" s="2"/>
      <c r="L15669" s="2"/>
      <c r="M15669" s="2"/>
      <c r="N15669" s="2"/>
      <c r="O15669" s="2"/>
      <c r="P15669" s="2"/>
      <c r="Q15669" s="2"/>
      <c r="R15669" s="2"/>
      <c r="S15669" s="2"/>
      <c r="T15669" s="2"/>
      <c r="U15669" s="2"/>
      <c r="V15669" s="2"/>
      <c r="W15669" s="2"/>
      <c r="X15669" s="2"/>
      <c r="Y15669" s="2"/>
      <c r="Z15669" s="2"/>
    </row>
    <row r="15670" spans="1:26" ht="16.5" x14ac:dyDescent="0.35">
      <c r="A15670" s="2"/>
      <c r="B15670" s="2"/>
      <c r="C15670" s="2"/>
      <c r="D15670" s="2"/>
      <c r="E15670" s="2"/>
      <c r="F15670" s="2"/>
      <c r="G15670" s="2"/>
      <c r="H15670" s="2"/>
      <c r="I15670" s="2"/>
      <c r="J15670" s="2"/>
      <c r="K15670" s="2"/>
      <c r="L15670" s="2"/>
      <c r="M15670" s="2"/>
      <c r="N15670" s="2"/>
      <c r="O15670" s="2"/>
      <c r="P15670" s="2"/>
      <c r="Q15670" s="2"/>
      <c r="R15670" s="2"/>
      <c r="S15670" s="2"/>
      <c r="T15670" s="2"/>
      <c r="U15670" s="2"/>
      <c r="V15670" s="2"/>
      <c r="W15670" s="2"/>
      <c r="X15670" s="2"/>
      <c r="Y15670" s="2"/>
      <c r="Z15670" s="2"/>
    </row>
    <row r="15671" spans="1:26" ht="16.5" x14ac:dyDescent="0.35">
      <c r="A15671" s="2"/>
      <c r="B15671" s="2"/>
      <c r="C15671" s="2"/>
      <c r="D15671" s="2"/>
      <c r="E15671" s="2"/>
      <c r="F15671" s="2"/>
      <c r="G15671" s="2"/>
      <c r="H15671" s="2"/>
      <c r="I15671" s="2"/>
      <c r="J15671" s="2"/>
      <c r="K15671" s="2"/>
      <c r="L15671" s="2"/>
      <c r="M15671" s="2"/>
      <c r="N15671" s="2"/>
      <c r="O15671" s="2"/>
      <c r="P15671" s="2"/>
      <c r="Q15671" s="2"/>
      <c r="R15671" s="2"/>
      <c r="S15671" s="2"/>
      <c r="T15671" s="2"/>
      <c r="U15671" s="2"/>
      <c r="V15671" s="2"/>
      <c r="W15671" s="2"/>
      <c r="X15671" s="2"/>
      <c r="Y15671" s="2"/>
      <c r="Z15671" s="2"/>
    </row>
    <row r="15672" spans="1:26" ht="16.5" x14ac:dyDescent="0.35">
      <c r="A15672" s="2"/>
      <c r="B15672" s="2"/>
      <c r="C15672" s="2"/>
      <c r="D15672" s="2"/>
      <c r="E15672" s="2"/>
      <c r="F15672" s="2"/>
      <c r="G15672" s="2"/>
      <c r="H15672" s="2"/>
      <c r="I15672" s="2"/>
      <c r="J15672" s="2"/>
      <c r="K15672" s="2"/>
      <c r="L15672" s="2"/>
      <c r="M15672" s="2"/>
      <c r="N15672" s="2"/>
      <c r="O15672" s="2"/>
      <c r="P15672" s="2"/>
      <c r="Q15672" s="2"/>
      <c r="R15672" s="2"/>
      <c r="S15672" s="2"/>
      <c r="T15672" s="2"/>
      <c r="U15672" s="2"/>
      <c r="V15672" s="2"/>
      <c r="W15672" s="2"/>
      <c r="X15672" s="2"/>
      <c r="Y15672" s="2"/>
      <c r="Z15672" s="2"/>
    </row>
    <row r="15673" spans="1:26" ht="16.5" x14ac:dyDescent="0.35">
      <c r="A15673" s="2"/>
      <c r="B15673" s="2"/>
      <c r="C15673" s="2"/>
      <c r="D15673" s="2"/>
      <c r="E15673" s="2"/>
      <c r="F15673" s="2"/>
      <c r="G15673" s="2"/>
      <c r="H15673" s="2"/>
      <c r="I15673" s="2"/>
      <c r="J15673" s="2"/>
      <c r="K15673" s="2"/>
      <c r="L15673" s="2"/>
      <c r="M15673" s="2"/>
      <c r="N15673" s="2"/>
      <c r="O15673" s="2"/>
      <c r="P15673" s="2"/>
      <c r="Q15673" s="2"/>
      <c r="R15673" s="2"/>
      <c r="S15673" s="2"/>
      <c r="T15673" s="2"/>
      <c r="U15673" s="2"/>
      <c r="V15673" s="2"/>
      <c r="W15673" s="2"/>
      <c r="X15673" s="2"/>
      <c r="Y15673" s="2"/>
      <c r="Z15673" s="2"/>
    </row>
    <row r="15674" spans="1:26" ht="16.5" x14ac:dyDescent="0.35">
      <c r="A15674" s="2"/>
      <c r="B15674" s="2"/>
      <c r="C15674" s="2"/>
      <c r="D15674" s="2"/>
      <c r="E15674" s="2"/>
      <c r="F15674" s="2"/>
      <c r="G15674" s="2"/>
      <c r="H15674" s="2"/>
      <c r="I15674" s="2"/>
      <c r="J15674" s="2"/>
      <c r="K15674" s="2"/>
      <c r="L15674" s="2"/>
      <c r="M15674" s="2"/>
      <c r="N15674" s="2"/>
      <c r="O15674" s="2"/>
      <c r="P15674" s="2"/>
      <c r="Q15674" s="2"/>
      <c r="R15674" s="2"/>
      <c r="S15674" s="2"/>
      <c r="T15674" s="2"/>
      <c r="U15674" s="2"/>
      <c r="V15674" s="2"/>
      <c r="W15674" s="2"/>
      <c r="X15674" s="2"/>
      <c r="Y15674" s="2"/>
      <c r="Z15674" s="2"/>
    </row>
    <row r="15675" spans="1:26" ht="16.5" x14ac:dyDescent="0.35">
      <c r="A15675" s="2"/>
      <c r="B15675" s="2"/>
      <c r="C15675" s="2"/>
      <c r="D15675" s="2"/>
      <c r="E15675" s="2"/>
      <c r="F15675" s="2"/>
      <c r="G15675" s="2"/>
      <c r="H15675" s="2"/>
      <c r="I15675" s="2"/>
      <c r="J15675" s="2"/>
      <c r="K15675" s="2"/>
      <c r="L15675" s="2"/>
      <c r="M15675" s="2"/>
      <c r="N15675" s="2"/>
      <c r="O15675" s="2"/>
      <c r="P15675" s="2"/>
      <c r="Q15675" s="2"/>
      <c r="R15675" s="2"/>
      <c r="S15675" s="2"/>
      <c r="T15675" s="2"/>
      <c r="U15675" s="2"/>
      <c r="V15675" s="2"/>
      <c r="W15675" s="2"/>
      <c r="X15675" s="2"/>
      <c r="Y15675" s="2"/>
      <c r="Z15675" s="2"/>
    </row>
    <row r="15676" spans="1:26" ht="16.5" x14ac:dyDescent="0.35">
      <c r="A15676" s="2"/>
      <c r="B15676" s="2"/>
      <c r="C15676" s="2"/>
      <c r="D15676" s="2"/>
      <c r="E15676" s="2"/>
      <c r="F15676" s="2"/>
      <c r="G15676" s="2"/>
      <c r="H15676" s="2"/>
      <c r="I15676" s="2"/>
      <c r="J15676" s="2"/>
      <c r="K15676" s="2"/>
      <c r="L15676" s="2"/>
      <c r="M15676" s="2"/>
      <c r="N15676" s="2"/>
      <c r="O15676" s="2"/>
      <c r="P15676" s="2"/>
      <c r="Q15676" s="2"/>
      <c r="R15676" s="2"/>
      <c r="S15676" s="2"/>
      <c r="T15676" s="2"/>
      <c r="U15676" s="2"/>
      <c r="V15676" s="2"/>
      <c r="W15676" s="2"/>
      <c r="X15676" s="2"/>
      <c r="Y15676" s="2"/>
      <c r="Z15676" s="2"/>
    </row>
    <row r="15677" spans="1:26" ht="16.5" x14ac:dyDescent="0.35">
      <c r="A15677" s="2"/>
      <c r="B15677" s="2"/>
      <c r="C15677" s="2"/>
      <c r="D15677" s="2"/>
      <c r="E15677" s="2"/>
      <c r="F15677" s="2"/>
      <c r="G15677" s="2"/>
      <c r="H15677" s="2"/>
      <c r="I15677" s="2"/>
      <c r="J15677" s="2"/>
      <c r="K15677" s="2"/>
      <c r="L15677" s="2"/>
      <c r="M15677" s="2"/>
      <c r="N15677" s="2"/>
      <c r="O15677" s="2"/>
      <c r="P15677" s="2"/>
      <c r="Q15677" s="2"/>
      <c r="R15677" s="2"/>
      <c r="S15677" s="2"/>
      <c r="T15677" s="2"/>
      <c r="U15677" s="2"/>
      <c r="V15677" s="2"/>
      <c r="W15677" s="2"/>
      <c r="X15677" s="2"/>
      <c r="Y15677" s="2"/>
      <c r="Z15677" s="2"/>
    </row>
    <row r="15678" spans="1:26" ht="16.5" x14ac:dyDescent="0.35">
      <c r="A15678" s="2"/>
      <c r="B15678" s="2"/>
      <c r="C15678" s="2"/>
      <c r="D15678" s="2"/>
      <c r="E15678" s="2"/>
      <c r="F15678" s="2"/>
      <c r="G15678" s="2"/>
      <c r="H15678" s="2"/>
      <c r="I15678" s="2"/>
      <c r="J15678" s="2"/>
      <c r="K15678" s="2"/>
      <c r="L15678" s="2"/>
      <c r="M15678" s="2"/>
      <c r="N15678" s="2"/>
      <c r="O15678" s="2"/>
      <c r="P15678" s="2"/>
      <c r="Q15678" s="2"/>
      <c r="R15678" s="2"/>
      <c r="S15678" s="2"/>
      <c r="T15678" s="2"/>
      <c r="U15678" s="2"/>
      <c r="V15678" s="2"/>
      <c r="W15678" s="2"/>
      <c r="X15678" s="2"/>
      <c r="Y15678" s="2"/>
      <c r="Z15678" s="2"/>
    </row>
    <row r="15679" spans="1:26" ht="16.5" x14ac:dyDescent="0.35">
      <c r="A15679" s="2"/>
      <c r="B15679" s="2"/>
      <c r="C15679" s="2"/>
      <c r="D15679" s="2"/>
      <c r="E15679" s="2"/>
      <c r="F15679" s="2"/>
      <c r="G15679" s="2"/>
      <c r="H15679" s="2"/>
      <c r="I15679" s="2"/>
      <c r="J15679" s="2"/>
      <c r="K15679" s="2"/>
      <c r="L15679" s="2"/>
      <c r="M15679" s="2"/>
      <c r="N15679" s="2"/>
      <c r="O15679" s="2"/>
      <c r="P15679" s="2"/>
      <c r="Q15679" s="2"/>
      <c r="R15679" s="2"/>
      <c r="S15679" s="2"/>
      <c r="T15679" s="2"/>
      <c r="U15679" s="2"/>
      <c r="V15679" s="2"/>
      <c r="W15679" s="2"/>
      <c r="X15679" s="2"/>
      <c r="Y15679" s="2"/>
      <c r="Z15679" s="2"/>
    </row>
    <row r="15680" spans="1:26" ht="16.5" x14ac:dyDescent="0.35">
      <c r="A15680" s="2"/>
      <c r="B15680" s="2"/>
      <c r="C15680" s="2"/>
      <c r="D15680" s="2"/>
      <c r="E15680" s="2"/>
      <c r="F15680" s="2"/>
      <c r="G15680" s="2"/>
      <c r="H15680" s="2"/>
      <c r="I15680" s="2"/>
      <c r="J15680" s="2"/>
      <c r="K15680" s="2"/>
      <c r="L15680" s="2"/>
      <c r="M15680" s="2"/>
      <c r="N15680" s="2"/>
      <c r="O15680" s="2"/>
      <c r="P15680" s="2"/>
      <c r="Q15680" s="2"/>
      <c r="R15680" s="2"/>
      <c r="S15680" s="2"/>
      <c r="T15680" s="2"/>
      <c r="U15680" s="2"/>
      <c r="V15680" s="2"/>
      <c r="W15680" s="2"/>
      <c r="X15680" s="2"/>
      <c r="Y15680" s="2"/>
      <c r="Z15680" s="2"/>
    </row>
    <row r="15681" spans="1:26" ht="16.5" x14ac:dyDescent="0.35">
      <c r="A15681" s="2"/>
      <c r="B15681" s="2"/>
      <c r="C15681" s="2"/>
      <c r="D15681" s="2"/>
      <c r="E15681" s="2"/>
      <c r="F15681" s="2"/>
      <c r="G15681" s="2"/>
      <c r="H15681" s="2"/>
      <c r="I15681" s="2"/>
      <c r="J15681" s="2"/>
      <c r="K15681" s="2"/>
      <c r="L15681" s="2"/>
      <c r="M15681" s="2"/>
      <c r="N15681" s="2"/>
      <c r="O15681" s="2"/>
      <c r="P15681" s="2"/>
      <c r="Q15681" s="2"/>
      <c r="R15681" s="2"/>
      <c r="S15681" s="2"/>
      <c r="T15681" s="2"/>
      <c r="U15681" s="2"/>
      <c r="V15681" s="2"/>
      <c r="W15681" s="2"/>
      <c r="X15681" s="2"/>
      <c r="Y15681" s="2"/>
      <c r="Z15681" s="2"/>
    </row>
    <row r="15682" spans="1:26" ht="16.5" x14ac:dyDescent="0.35">
      <c r="A15682" s="2"/>
      <c r="B15682" s="2"/>
      <c r="C15682" s="2"/>
      <c r="D15682" s="2"/>
      <c r="E15682" s="2"/>
      <c r="F15682" s="2"/>
      <c r="G15682" s="2"/>
      <c r="H15682" s="2"/>
      <c r="I15682" s="2"/>
      <c r="J15682" s="2"/>
      <c r="K15682" s="2"/>
      <c r="L15682" s="2"/>
      <c r="M15682" s="2"/>
      <c r="N15682" s="2"/>
      <c r="O15682" s="2"/>
      <c r="P15682" s="2"/>
      <c r="Q15682" s="2"/>
      <c r="R15682" s="2"/>
      <c r="S15682" s="2"/>
      <c r="T15682" s="2"/>
      <c r="U15682" s="2"/>
      <c r="V15682" s="2"/>
      <c r="W15682" s="2"/>
      <c r="X15682" s="2"/>
      <c r="Y15682" s="2"/>
      <c r="Z15682" s="2"/>
    </row>
    <row r="15683" spans="1:26" ht="16.5" x14ac:dyDescent="0.35">
      <c r="A15683" s="2"/>
      <c r="B15683" s="2"/>
      <c r="C15683" s="2"/>
      <c r="D15683" s="2"/>
      <c r="E15683" s="2"/>
      <c r="F15683" s="2"/>
      <c r="G15683" s="2"/>
      <c r="H15683" s="2"/>
      <c r="I15683" s="2"/>
      <c r="J15683" s="2"/>
      <c r="K15683" s="2"/>
      <c r="L15683" s="2"/>
      <c r="M15683" s="2"/>
      <c r="N15683" s="2"/>
      <c r="O15683" s="2"/>
      <c r="P15683" s="2"/>
      <c r="Q15683" s="2"/>
      <c r="R15683" s="2"/>
      <c r="S15683" s="2"/>
      <c r="T15683" s="2"/>
      <c r="U15683" s="2"/>
      <c r="V15683" s="2"/>
      <c r="W15683" s="2"/>
      <c r="X15683" s="2"/>
      <c r="Y15683" s="2"/>
      <c r="Z15683" s="2"/>
    </row>
    <row r="15684" spans="1:26" ht="16.5" x14ac:dyDescent="0.35">
      <c r="A15684" s="2"/>
      <c r="B15684" s="2"/>
      <c r="C15684" s="2"/>
      <c r="D15684" s="2"/>
      <c r="E15684" s="2"/>
      <c r="F15684" s="2"/>
      <c r="G15684" s="2"/>
      <c r="H15684" s="2"/>
      <c r="I15684" s="2"/>
      <c r="J15684" s="2"/>
      <c r="K15684" s="2"/>
      <c r="L15684" s="2"/>
      <c r="M15684" s="2"/>
      <c r="N15684" s="2"/>
      <c r="O15684" s="2"/>
      <c r="P15684" s="2"/>
      <c r="Q15684" s="2"/>
      <c r="R15684" s="2"/>
      <c r="S15684" s="2"/>
      <c r="T15684" s="2"/>
      <c r="U15684" s="2"/>
      <c r="V15684" s="2"/>
      <c r="W15684" s="2"/>
      <c r="X15684" s="2"/>
      <c r="Y15684" s="2"/>
      <c r="Z15684" s="2"/>
    </row>
    <row r="15685" spans="1:26" ht="16.5" x14ac:dyDescent="0.35">
      <c r="A15685" s="2"/>
      <c r="B15685" s="2"/>
      <c r="C15685" s="2"/>
      <c r="D15685" s="2"/>
      <c r="E15685" s="2"/>
      <c r="F15685" s="2"/>
      <c r="G15685" s="2"/>
      <c r="H15685" s="2"/>
      <c r="I15685" s="2"/>
      <c r="J15685" s="2"/>
      <c r="K15685" s="2"/>
      <c r="L15685" s="2"/>
      <c r="M15685" s="2"/>
      <c r="N15685" s="2"/>
      <c r="O15685" s="2"/>
      <c r="P15685" s="2"/>
      <c r="Q15685" s="2"/>
      <c r="R15685" s="2"/>
      <c r="S15685" s="2"/>
      <c r="T15685" s="2"/>
      <c r="U15685" s="2"/>
      <c r="V15685" s="2"/>
      <c r="W15685" s="2"/>
      <c r="X15685" s="2"/>
      <c r="Y15685" s="2"/>
      <c r="Z15685" s="2"/>
    </row>
    <row r="15686" spans="1:26" ht="16.5" x14ac:dyDescent="0.35">
      <c r="A15686" s="2"/>
      <c r="B15686" s="2"/>
      <c r="C15686" s="2"/>
      <c r="D15686" s="2"/>
      <c r="E15686" s="2"/>
      <c r="F15686" s="2"/>
      <c r="G15686" s="2"/>
      <c r="H15686" s="2"/>
      <c r="I15686" s="2"/>
      <c r="J15686" s="2"/>
      <c r="K15686" s="2"/>
      <c r="L15686" s="2"/>
      <c r="M15686" s="2"/>
      <c r="N15686" s="2"/>
      <c r="O15686" s="2"/>
      <c r="P15686" s="2"/>
      <c r="Q15686" s="2"/>
      <c r="R15686" s="2"/>
      <c r="S15686" s="2"/>
      <c r="T15686" s="2"/>
      <c r="U15686" s="2"/>
      <c r="V15686" s="2"/>
      <c r="W15686" s="2"/>
      <c r="X15686" s="2"/>
      <c r="Y15686" s="2"/>
      <c r="Z15686" s="2"/>
    </row>
    <row r="15687" spans="1:26" ht="16.5" x14ac:dyDescent="0.35">
      <c r="A15687" s="2"/>
      <c r="B15687" s="2"/>
      <c r="C15687" s="2"/>
      <c r="D15687" s="2"/>
      <c r="E15687" s="2"/>
      <c r="F15687" s="2"/>
      <c r="G15687" s="2"/>
      <c r="H15687" s="2"/>
      <c r="I15687" s="2"/>
      <c r="J15687" s="2"/>
      <c r="K15687" s="2"/>
      <c r="L15687" s="2"/>
      <c r="M15687" s="2"/>
      <c r="N15687" s="2"/>
      <c r="O15687" s="2"/>
      <c r="P15687" s="2"/>
      <c r="Q15687" s="2"/>
      <c r="R15687" s="2"/>
      <c r="S15687" s="2"/>
      <c r="T15687" s="2"/>
      <c r="U15687" s="2"/>
      <c r="V15687" s="2"/>
      <c r="W15687" s="2"/>
      <c r="X15687" s="2"/>
      <c r="Y15687" s="2"/>
      <c r="Z15687" s="2"/>
    </row>
    <row r="15688" spans="1:26" ht="16.5" x14ac:dyDescent="0.35">
      <c r="A15688" s="2"/>
      <c r="B15688" s="2"/>
      <c r="C15688" s="2"/>
      <c r="D15688" s="2"/>
      <c r="E15688" s="2"/>
      <c r="F15688" s="2"/>
      <c r="G15688" s="2"/>
      <c r="H15688" s="2"/>
      <c r="I15688" s="2"/>
      <c r="J15688" s="2"/>
      <c r="K15688" s="2"/>
      <c r="L15688" s="2"/>
      <c r="M15688" s="2"/>
      <c r="N15688" s="2"/>
      <c r="O15688" s="2"/>
      <c r="P15688" s="2"/>
      <c r="Q15688" s="2"/>
      <c r="R15688" s="2"/>
      <c r="S15688" s="2"/>
      <c r="T15688" s="2"/>
      <c r="U15688" s="2"/>
      <c r="V15688" s="2"/>
      <c r="W15688" s="2"/>
      <c r="X15688" s="2"/>
      <c r="Y15688" s="2"/>
      <c r="Z15688" s="2"/>
    </row>
    <row r="15689" spans="1:26" ht="16.5" x14ac:dyDescent="0.35">
      <c r="A15689" s="2"/>
      <c r="B15689" s="2"/>
      <c r="C15689" s="2"/>
      <c r="D15689" s="2"/>
      <c r="E15689" s="2"/>
      <c r="F15689" s="2"/>
      <c r="G15689" s="2"/>
      <c r="H15689" s="2"/>
      <c r="I15689" s="2"/>
      <c r="J15689" s="2"/>
      <c r="K15689" s="2"/>
      <c r="L15689" s="2"/>
      <c r="M15689" s="2"/>
      <c r="N15689" s="2"/>
      <c r="O15689" s="2"/>
      <c r="P15689" s="2"/>
      <c r="Q15689" s="2"/>
      <c r="R15689" s="2"/>
      <c r="S15689" s="2"/>
      <c r="T15689" s="2"/>
      <c r="U15689" s="2"/>
      <c r="V15689" s="2"/>
      <c r="W15689" s="2"/>
      <c r="X15689" s="2"/>
      <c r="Y15689" s="2"/>
      <c r="Z15689" s="2"/>
    </row>
    <row r="15690" spans="1:26" ht="16.5" x14ac:dyDescent="0.35">
      <c r="A15690" s="2"/>
      <c r="B15690" s="2"/>
      <c r="C15690" s="2"/>
      <c r="D15690" s="2"/>
      <c r="E15690" s="2"/>
      <c r="F15690" s="2"/>
      <c r="G15690" s="2"/>
      <c r="H15690" s="2"/>
      <c r="I15690" s="2"/>
      <c r="J15690" s="2"/>
      <c r="K15690" s="2"/>
      <c r="L15690" s="2"/>
      <c r="M15690" s="2"/>
      <c r="N15690" s="2"/>
      <c r="O15690" s="2"/>
      <c r="P15690" s="2"/>
      <c r="Q15690" s="2"/>
      <c r="R15690" s="2"/>
      <c r="S15690" s="2"/>
      <c r="T15690" s="2"/>
      <c r="U15690" s="2"/>
      <c r="V15690" s="2"/>
      <c r="W15690" s="2"/>
      <c r="X15690" s="2"/>
      <c r="Y15690" s="2"/>
      <c r="Z15690" s="2"/>
    </row>
    <row r="15691" spans="1:26" ht="16.5" x14ac:dyDescent="0.35">
      <c r="A15691" s="2"/>
      <c r="B15691" s="2"/>
      <c r="C15691" s="2"/>
      <c r="D15691" s="2"/>
      <c r="E15691" s="2"/>
      <c r="F15691" s="2"/>
      <c r="G15691" s="2"/>
      <c r="H15691" s="2"/>
      <c r="I15691" s="2"/>
      <c r="J15691" s="2"/>
      <c r="K15691" s="2"/>
      <c r="L15691" s="2"/>
      <c r="M15691" s="2"/>
      <c r="N15691" s="2"/>
      <c r="O15691" s="2"/>
      <c r="P15691" s="2"/>
      <c r="Q15691" s="2"/>
      <c r="R15691" s="2"/>
      <c r="S15691" s="2"/>
      <c r="T15691" s="2"/>
      <c r="U15691" s="2"/>
      <c r="V15691" s="2"/>
      <c r="W15691" s="2"/>
      <c r="X15691" s="2"/>
      <c r="Y15691" s="2"/>
      <c r="Z15691" s="2"/>
    </row>
    <row r="15692" spans="1:26" ht="16.5" x14ac:dyDescent="0.35">
      <c r="A15692" s="2"/>
      <c r="B15692" s="2"/>
      <c r="C15692" s="2"/>
      <c r="D15692" s="2"/>
      <c r="E15692" s="2"/>
      <c r="F15692" s="2"/>
      <c r="G15692" s="2"/>
      <c r="H15692" s="2"/>
      <c r="I15692" s="2"/>
      <c r="J15692" s="2"/>
      <c r="K15692" s="2"/>
      <c r="L15692" s="2"/>
      <c r="M15692" s="2"/>
      <c r="N15692" s="2"/>
      <c r="O15692" s="2"/>
      <c r="P15692" s="2"/>
      <c r="Q15692" s="2"/>
      <c r="R15692" s="2"/>
      <c r="S15692" s="2"/>
      <c r="T15692" s="2"/>
      <c r="U15692" s="2"/>
      <c r="V15692" s="2"/>
      <c r="W15692" s="2"/>
      <c r="X15692" s="2"/>
      <c r="Y15692" s="2"/>
      <c r="Z15692" s="2"/>
    </row>
    <row r="15693" spans="1:26" ht="16.5" x14ac:dyDescent="0.35">
      <c r="A15693" s="2"/>
      <c r="B15693" s="2"/>
      <c r="C15693" s="2"/>
      <c r="D15693" s="2"/>
      <c r="E15693" s="2"/>
      <c r="F15693" s="2"/>
      <c r="G15693" s="2"/>
      <c r="H15693" s="2"/>
      <c r="I15693" s="2"/>
      <c r="J15693" s="2"/>
      <c r="K15693" s="2"/>
      <c r="L15693" s="2"/>
      <c r="M15693" s="2"/>
      <c r="N15693" s="2"/>
      <c r="O15693" s="2"/>
      <c r="P15693" s="2"/>
      <c r="Q15693" s="2"/>
      <c r="R15693" s="2"/>
      <c r="S15693" s="2"/>
      <c r="T15693" s="2"/>
      <c r="U15693" s="2"/>
      <c r="V15693" s="2"/>
      <c r="W15693" s="2"/>
      <c r="X15693" s="2"/>
      <c r="Y15693" s="2"/>
      <c r="Z15693" s="2"/>
    </row>
    <row r="15694" spans="1:26" ht="16.5" x14ac:dyDescent="0.35">
      <c r="A15694" s="2"/>
      <c r="B15694" s="2"/>
      <c r="C15694" s="2"/>
      <c r="D15694" s="2"/>
      <c r="E15694" s="2"/>
      <c r="F15694" s="2"/>
      <c r="G15694" s="2"/>
      <c r="H15694" s="2"/>
      <c r="I15694" s="2"/>
      <c r="J15694" s="2"/>
      <c r="K15694" s="2"/>
      <c r="L15694" s="2"/>
      <c r="M15694" s="2"/>
      <c r="N15694" s="2"/>
      <c r="O15694" s="2"/>
      <c r="P15694" s="2"/>
      <c r="Q15694" s="2"/>
      <c r="R15694" s="2"/>
      <c r="S15694" s="2"/>
      <c r="T15694" s="2"/>
      <c r="U15694" s="2"/>
      <c r="V15694" s="2"/>
      <c r="W15694" s="2"/>
      <c r="X15694" s="2"/>
      <c r="Y15694" s="2"/>
      <c r="Z15694" s="2"/>
    </row>
    <row r="15695" spans="1:26" ht="16.5" x14ac:dyDescent="0.35">
      <c r="A15695" s="2"/>
      <c r="B15695" s="2"/>
      <c r="C15695" s="2"/>
      <c r="D15695" s="2"/>
      <c r="E15695" s="2"/>
      <c r="F15695" s="2"/>
      <c r="G15695" s="2"/>
      <c r="H15695" s="2"/>
      <c r="I15695" s="2"/>
      <c r="J15695" s="2"/>
      <c r="K15695" s="2"/>
      <c r="L15695" s="2"/>
      <c r="M15695" s="2"/>
      <c r="N15695" s="2"/>
      <c r="O15695" s="2"/>
      <c r="P15695" s="2"/>
      <c r="Q15695" s="2"/>
      <c r="R15695" s="2"/>
      <c r="S15695" s="2"/>
      <c r="T15695" s="2"/>
      <c r="U15695" s="2"/>
      <c r="V15695" s="2"/>
      <c r="W15695" s="2"/>
      <c r="X15695" s="2"/>
      <c r="Y15695" s="2"/>
      <c r="Z15695" s="2"/>
    </row>
    <row r="15696" spans="1:26" ht="16.5" x14ac:dyDescent="0.35">
      <c r="A15696" s="2"/>
      <c r="B15696" s="2"/>
      <c r="C15696" s="2"/>
      <c r="D15696" s="2"/>
      <c r="E15696" s="2"/>
      <c r="F15696" s="2"/>
      <c r="G15696" s="2"/>
      <c r="H15696" s="2"/>
      <c r="I15696" s="2"/>
      <c r="J15696" s="2"/>
      <c r="K15696" s="2"/>
      <c r="L15696" s="2"/>
      <c r="M15696" s="2"/>
      <c r="N15696" s="2"/>
      <c r="O15696" s="2"/>
      <c r="P15696" s="2"/>
      <c r="Q15696" s="2"/>
      <c r="R15696" s="2"/>
      <c r="S15696" s="2"/>
      <c r="T15696" s="2"/>
      <c r="U15696" s="2"/>
      <c r="V15696" s="2"/>
      <c r="W15696" s="2"/>
      <c r="X15696" s="2"/>
      <c r="Y15696" s="2"/>
      <c r="Z15696" s="2"/>
    </row>
    <row r="15697" spans="1:26" ht="16.5" x14ac:dyDescent="0.35">
      <c r="A15697" s="2"/>
      <c r="B15697" s="2"/>
      <c r="C15697" s="2"/>
      <c r="D15697" s="2"/>
      <c r="E15697" s="2"/>
      <c r="F15697" s="2"/>
      <c r="G15697" s="2"/>
      <c r="H15697" s="2"/>
      <c r="I15697" s="2"/>
      <c r="J15697" s="2"/>
      <c r="K15697" s="2"/>
      <c r="L15697" s="2"/>
      <c r="M15697" s="2"/>
      <c r="N15697" s="2"/>
      <c r="O15697" s="2"/>
      <c r="P15697" s="2"/>
      <c r="Q15697" s="2"/>
      <c r="R15697" s="2"/>
      <c r="S15697" s="2"/>
      <c r="T15697" s="2"/>
      <c r="U15697" s="2"/>
      <c r="V15697" s="2"/>
      <c r="W15697" s="2"/>
      <c r="X15697" s="2"/>
      <c r="Y15697" s="2"/>
      <c r="Z15697" s="2"/>
    </row>
    <row r="15698" spans="1:26" ht="16.5" x14ac:dyDescent="0.35">
      <c r="A15698" s="2"/>
      <c r="B15698" s="2"/>
      <c r="C15698" s="2"/>
      <c r="D15698" s="2"/>
      <c r="E15698" s="2"/>
      <c r="F15698" s="2"/>
      <c r="G15698" s="2"/>
      <c r="H15698" s="2"/>
      <c r="I15698" s="2"/>
      <c r="J15698" s="2"/>
      <c r="K15698" s="2"/>
      <c r="L15698" s="2"/>
      <c r="M15698" s="2"/>
      <c r="N15698" s="2"/>
      <c r="O15698" s="2"/>
      <c r="P15698" s="2"/>
      <c r="Q15698" s="2"/>
      <c r="R15698" s="2"/>
      <c r="S15698" s="2"/>
      <c r="T15698" s="2"/>
      <c r="U15698" s="2"/>
      <c r="V15698" s="2"/>
      <c r="W15698" s="2"/>
      <c r="X15698" s="2"/>
      <c r="Y15698" s="2"/>
      <c r="Z15698" s="2"/>
    </row>
    <row r="15699" spans="1:26" ht="16.5" x14ac:dyDescent="0.35">
      <c r="A15699" s="2"/>
      <c r="B15699" s="2"/>
      <c r="C15699" s="2"/>
      <c r="D15699" s="2"/>
      <c r="E15699" s="2"/>
      <c r="F15699" s="2"/>
      <c r="G15699" s="2"/>
      <c r="H15699" s="2"/>
      <c r="I15699" s="2"/>
      <c r="J15699" s="2"/>
      <c r="K15699" s="2"/>
      <c r="L15699" s="2"/>
      <c r="M15699" s="2"/>
      <c r="N15699" s="2"/>
      <c r="O15699" s="2"/>
      <c r="P15699" s="2"/>
      <c r="Q15699" s="2"/>
      <c r="R15699" s="2"/>
      <c r="S15699" s="2"/>
      <c r="T15699" s="2"/>
      <c r="U15699" s="2"/>
      <c r="V15699" s="2"/>
      <c r="W15699" s="2"/>
      <c r="X15699" s="2"/>
      <c r="Y15699" s="2"/>
      <c r="Z15699" s="2"/>
    </row>
    <row r="15700" spans="1:26" ht="16.5" x14ac:dyDescent="0.35">
      <c r="A15700" s="2"/>
      <c r="B15700" s="2"/>
      <c r="C15700" s="2"/>
      <c r="D15700" s="2"/>
      <c r="E15700" s="2"/>
      <c r="F15700" s="2"/>
      <c r="G15700" s="2"/>
      <c r="H15700" s="2"/>
      <c r="I15700" s="2"/>
      <c r="J15700" s="2"/>
      <c r="K15700" s="2"/>
      <c r="L15700" s="2"/>
      <c r="M15700" s="2"/>
      <c r="N15700" s="2"/>
      <c r="O15700" s="2"/>
      <c r="P15700" s="2"/>
      <c r="Q15700" s="2"/>
      <c r="R15700" s="2"/>
      <c r="S15700" s="2"/>
      <c r="T15700" s="2"/>
      <c r="U15700" s="2"/>
      <c r="V15700" s="2"/>
      <c r="W15700" s="2"/>
      <c r="X15700" s="2"/>
      <c r="Y15700" s="2"/>
      <c r="Z15700" s="2"/>
    </row>
    <row r="15701" spans="1:26" ht="16.5" x14ac:dyDescent="0.35">
      <c r="A15701" s="2"/>
      <c r="B15701" s="2"/>
      <c r="C15701" s="2"/>
      <c r="D15701" s="2"/>
      <c r="E15701" s="2"/>
      <c r="F15701" s="2"/>
      <c r="G15701" s="2"/>
      <c r="H15701" s="2"/>
      <c r="I15701" s="2"/>
      <c r="J15701" s="2"/>
      <c r="K15701" s="2"/>
      <c r="L15701" s="2"/>
      <c r="M15701" s="2"/>
      <c r="N15701" s="2"/>
      <c r="O15701" s="2"/>
      <c r="P15701" s="2"/>
      <c r="Q15701" s="2"/>
      <c r="R15701" s="2"/>
      <c r="S15701" s="2"/>
      <c r="T15701" s="2"/>
      <c r="U15701" s="2"/>
      <c r="V15701" s="2"/>
      <c r="W15701" s="2"/>
      <c r="X15701" s="2"/>
      <c r="Y15701" s="2"/>
      <c r="Z15701" s="2"/>
    </row>
    <row r="15702" spans="1:26" ht="16.5" x14ac:dyDescent="0.35">
      <c r="A15702" s="2"/>
      <c r="B15702" s="2"/>
      <c r="C15702" s="2"/>
      <c r="D15702" s="2"/>
      <c r="E15702" s="2"/>
      <c r="F15702" s="2"/>
      <c r="G15702" s="2"/>
      <c r="H15702" s="2"/>
      <c r="I15702" s="2"/>
      <c r="J15702" s="2"/>
      <c r="K15702" s="2"/>
      <c r="L15702" s="2"/>
      <c r="M15702" s="2"/>
      <c r="N15702" s="2"/>
      <c r="O15702" s="2"/>
      <c r="P15702" s="2"/>
      <c r="Q15702" s="2"/>
      <c r="R15702" s="2"/>
      <c r="S15702" s="2"/>
      <c r="T15702" s="2"/>
      <c r="U15702" s="2"/>
      <c r="V15702" s="2"/>
      <c r="W15702" s="2"/>
      <c r="X15702" s="2"/>
      <c r="Y15702" s="2"/>
      <c r="Z15702" s="2"/>
    </row>
    <row r="15703" spans="1:26" ht="16.5" x14ac:dyDescent="0.35">
      <c r="A15703" s="2"/>
      <c r="B15703" s="2"/>
      <c r="C15703" s="2"/>
      <c r="D15703" s="2"/>
      <c r="E15703" s="2"/>
      <c r="F15703" s="2"/>
      <c r="G15703" s="2"/>
      <c r="H15703" s="2"/>
      <c r="I15703" s="2"/>
      <c r="J15703" s="2"/>
      <c r="K15703" s="2"/>
      <c r="L15703" s="2"/>
      <c r="M15703" s="2"/>
      <c r="N15703" s="2"/>
      <c r="O15703" s="2"/>
      <c r="P15703" s="2"/>
      <c r="Q15703" s="2"/>
      <c r="R15703" s="2"/>
      <c r="S15703" s="2"/>
      <c r="T15703" s="2"/>
      <c r="U15703" s="2"/>
      <c r="V15703" s="2"/>
      <c r="W15703" s="2"/>
      <c r="X15703" s="2"/>
      <c r="Y15703" s="2"/>
      <c r="Z15703" s="2"/>
    </row>
    <row r="15704" spans="1:26" ht="16.5" x14ac:dyDescent="0.35">
      <c r="A15704" s="2"/>
      <c r="B15704" s="2"/>
      <c r="C15704" s="2"/>
      <c r="D15704" s="2"/>
      <c r="E15704" s="2"/>
      <c r="F15704" s="2"/>
      <c r="G15704" s="2"/>
      <c r="H15704" s="2"/>
      <c r="I15704" s="2"/>
      <c r="J15704" s="2"/>
      <c r="K15704" s="2"/>
      <c r="L15704" s="2"/>
      <c r="M15704" s="2"/>
      <c r="N15704" s="2"/>
      <c r="O15704" s="2"/>
      <c r="P15704" s="2"/>
      <c r="Q15704" s="2"/>
      <c r="R15704" s="2"/>
      <c r="S15704" s="2"/>
      <c r="T15704" s="2"/>
      <c r="U15704" s="2"/>
      <c r="V15704" s="2"/>
      <c r="W15704" s="2"/>
      <c r="X15704" s="2"/>
      <c r="Y15704" s="2"/>
      <c r="Z15704" s="2"/>
    </row>
    <row r="15705" spans="1:26" ht="16.5" x14ac:dyDescent="0.35">
      <c r="A15705" s="2"/>
      <c r="B15705" s="2"/>
      <c r="C15705" s="2"/>
      <c r="D15705" s="2"/>
      <c r="E15705" s="2"/>
      <c r="F15705" s="2"/>
      <c r="G15705" s="2"/>
      <c r="H15705" s="2"/>
      <c r="I15705" s="2"/>
      <c r="J15705" s="2"/>
      <c r="K15705" s="2"/>
      <c r="L15705" s="2"/>
      <c r="M15705" s="2"/>
      <c r="N15705" s="2"/>
      <c r="O15705" s="2"/>
      <c r="P15705" s="2"/>
      <c r="Q15705" s="2"/>
      <c r="R15705" s="2"/>
      <c r="S15705" s="2"/>
      <c r="T15705" s="2"/>
      <c r="U15705" s="2"/>
      <c r="V15705" s="2"/>
      <c r="W15705" s="2"/>
      <c r="X15705" s="2"/>
      <c r="Y15705" s="2"/>
      <c r="Z15705" s="2"/>
    </row>
    <row r="15706" spans="1:26" ht="16.5" x14ac:dyDescent="0.35">
      <c r="A15706" s="2"/>
      <c r="B15706" s="2"/>
      <c r="C15706" s="2"/>
      <c r="D15706" s="2"/>
      <c r="E15706" s="2"/>
      <c r="F15706" s="2"/>
      <c r="G15706" s="2"/>
      <c r="H15706" s="2"/>
      <c r="I15706" s="2"/>
      <c r="J15706" s="2"/>
      <c r="K15706" s="2"/>
      <c r="L15706" s="2"/>
      <c r="M15706" s="2"/>
      <c r="N15706" s="2"/>
      <c r="O15706" s="2"/>
      <c r="P15706" s="2"/>
      <c r="Q15706" s="2"/>
      <c r="R15706" s="2"/>
      <c r="S15706" s="2"/>
      <c r="T15706" s="2"/>
      <c r="U15706" s="2"/>
      <c r="V15706" s="2"/>
      <c r="W15706" s="2"/>
      <c r="X15706" s="2"/>
      <c r="Y15706" s="2"/>
      <c r="Z15706" s="2"/>
    </row>
    <row r="15707" spans="1:26" ht="16.5" x14ac:dyDescent="0.35">
      <c r="A15707" s="2"/>
      <c r="B15707" s="2"/>
      <c r="C15707" s="2"/>
      <c r="D15707" s="2"/>
      <c r="E15707" s="2"/>
      <c r="F15707" s="2"/>
      <c r="G15707" s="2"/>
      <c r="H15707" s="2"/>
      <c r="I15707" s="2"/>
      <c r="J15707" s="2"/>
      <c r="K15707" s="2"/>
      <c r="L15707" s="2"/>
      <c r="M15707" s="2"/>
      <c r="N15707" s="2"/>
      <c r="O15707" s="2"/>
      <c r="P15707" s="2"/>
      <c r="Q15707" s="2"/>
      <c r="R15707" s="2"/>
      <c r="S15707" s="2"/>
      <c r="T15707" s="2"/>
      <c r="U15707" s="2"/>
      <c r="V15707" s="2"/>
      <c r="W15707" s="2"/>
      <c r="X15707" s="2"/>
      <c r="Y15707" s="2"/>
      <c r="Z15707" s="2"/>
    </row>
    <row r="15708" spans="1:26" ht="16.5" x14ac:dyDescent="0.35">
      <c r="A15708" s="2"/>
      <c r="B15708" s="2"/>
      <c r="C15708" s="2"/>
      <c r="D15708" s="2"/>
      <c r="E15708" s="2"/>
      <c r="F15708" s="2"/>
      <c r="G15708" s="2"/>
      <c r="H15708" s="2"/>
      <c r="I15708" s="2"/>
      <c r="J15708" s="2"/>
      <c r="K15708" s="2"/>
      <c r="L15708" s="2"/>
      <c r="M15708" s="2"/>
      <c r="N15708" s="2"/>
      <c r="O15708" s="2"/>
      <c r="P15708" s="2"/>
      <c r="Q15708" s="2"/>
      <c r="R15708" s="2"/>
      <c r="S15708" s="2"/>
      <c r="T15708" s="2"/>
      <c r="U15708" s="2"/>
      <c r="V15708" s="2"/>
      <c r="W15708" s="2"/>
      <c r="X15708" s="2"/>
      <c r="Y15708" s="2"/>
      <c r="Z15708" s="2"/>
    </row>
    <row r="15709" spans="1:26" ht="16.5" x14ac:dyDescent="0.35">
      <c r="A15709" s="2"/>
      <c r="B15709" s="2"/>
      <c r="C15709" s="2"/>
      <c r="D15709" s="2"/>
      <c r="E15709" s="2"/>
      <c r="F15709" s="2"/>
      <c r="G15709" s="2"/>
      <c r="H15709" s="2"/>
      <c r="I15709" s="2"/>
      <c r="J15709" s="2"/>
      <c r="K15709" s="2"/>
      <c r="L15709" s="2"/>
      <c r="M15709" s="2"/>
      <c r="N15709" s="2"/>
      <c r="O15709" s="2"/>
      <c r="P15709" s="2"/>
      <c r="Q15709" s="2"/>
      <c r="R15709" s="2"/>
      <c r="S15709" s="2"/>
      <c r="T15709" s="2"/>
      <c r="U15709" s="2"/>
      <c r="V15709" s="2"/>
      <c r="W15709" s="2"/>
      <c r="X15709" s="2"/>
      <c r="Y15709" s="2"/>
      <c r="Z15709" s="2"/>
    </row>
    <row r="15710" spans="1:26" ht="16.5" x14ac:dyDescent="0.35">
      <c r="A15710" s="2"/>
      <c r="B15710" s="2"/>
      <c r="C15710" s="2"/>
      <c r="D15710" s="2"/>
      <c r="E15710" s="2"/>
      <c r="F15710" s="2"/>
      <c r="G15710" s="2"/>
      <c r="H15710" s="2"/>
      <c r="I15710" s="2"/>
      <c r="J15710" s="2"/>
      <c r="K15710" s="2"/>
      <c r="L15710" s="2"/>
      <c r="M15710" s="2"/>
      <c r="N15710" s="2"/>
      <c r="O15710" s="2"/>
      <c r="P15710" s="2"/>
      <c r="Q15710" s="2"/>
      <c r="R15710" s="2"/>
      <c r="S15710" s="2"/>
      <c r="T15710" s="2"/>
      <c r="U15710" s="2"/>
      <c r="V15710" s="2"/>
      <c r="W15710" s="2"/>
      <c r="X15710" s="2"/>
      <c r="Y15710" s="2"/>
      <c r="Z15710" s="2"/>
    </row>
    <row r="15711" spans="1:26" ht="16.5" x14ac:dyDescent="0.35">
      <c r="A15711" s="2"/>
      <c r="B15711" s="2"/>
      <c r="C15711" s="2"/>
      <c r="D15711" s="2"/>
      <c r="E15711" s="2"/>
      <c r="F15711" s="2"/>
      <c r="G15711" s="2"/>
      <c r="H15711" s="2"/>
      <c r="I15711" s="2"/>
      <c r="J15711" s="2"/>
      <c r="K15711" s="2"/>
      <c r="L15711" s="2"/>
      <c r="M15711" s="2"/>
      <c r="N15711" s="2"/>
      <c r="O15711" s="2"/>
      <c r="P15711" s="2"/>
      <c r="Q15711" s="2"/>
      <c r="R15711" s="2"/>
      <c r="S15711" s="2"/>
      <c r="T15711" s="2"/>
      <c r="U15711" s="2"/>
      <c r="V15711" s="2"/>
      <c r="W15711" s="2"/>
      <c r="X15711" s="2"/>
      <c r="Y15711" s="2"/>
      <c r="Z15711" s="2"/>
    </row>
    <row r="15712" spans="1:26" ht="16.5" x14ac:dyDescent="0.35">
      <c r="A15712" s="2"/>
      <c r="B15712" s="2"/>
      <c r="C15712" s="2"/>
      <c r="D15712" s="2"/>
      <c r="E15712" s="2"/>
      <c r="F15712" s="2"/>
      <c r="G15712" s="2"/>
      <c r="H15712" s="2"/>
      <c r="I15712" s="2"/>
      <c r="J15712" s="2"/>
      <c r="K15712" s="2"/>
      <c r="L15712" s="2"/>
      <c r="M15712" s="2"/>
      <c r="N15712" s="2"/>
      <c r="O15712" s="2"/>
      <c r="P15712" s="2"/>
      <c r="Q15712" s="2"/>
      <c r="R15712" s="2"/>
      <c r="S15712" s="2"/>
      <c r="T15712" s="2"/>
      <c r="U15712" s="2"/>
      <c r="V15712" s="2"/>
      <c r="W15712" s="2"/>
      <c r="X15712" s="2"/>
      <c r="Y15712" s="2"/>
      <c r="Z15712" s="2"/>
    </row>
    <row r="15713" spans="1:26" ht="16.5" x14ac:dyDescent="0.35">
      <c r="A15713" s="2"/>
      <c r="B15713" s="2"/>
      <c r="C15713" s="2"/>
      <c r="D15713" s="2"/>
      <c r="E15713" s="2"/>
      <c r="F15713" s="2"/>
      <c r="G15713" s="2"/>
      <c r="H15713" s="2"/>
      <c r="I15713" s="2"/>
      <c r="J15713" s="2"/>
      <c r="K15713" s="2"/>
      <c r="L15713" s="2"/>
      <c r="M15713" s="2"/>
      <c r="N15713" s="2"/>
      <c r="O15713" s="2"/>
      <c r="P15713" s="2"/>
      <c r="Q15713" s="2"/>
      <c r="R15713" s="2"/>
      <c r="S15713" s="2"/>
      <c r="T15713" s="2"/>
      <c r="U15713" s="2"/>
      <c r="V15713" s="2"/>
      <c r="W15713" s="2"/>
      <c r="X15713" s="2"/>
      <c r="Y15713" s="2"/>
      <c r="Z15713" s="2"/>
    </row>
    <row r="15714" spans="1:26" ht="16.5" x14ac:dyDescent="0.35">
      <c r="A15714" s="2"/>
      <c r="B15714" s="2"/>
      <c r="C15714" s="2"/>
      <c r="D15714" s="2"/>
      <c r="E15714" s="2"/>
      <c r="F15714" s="2"/>
      <c r="G15714" s="2"/>
      <c r="H15714" s="2"/>
      <c r="I15714" s="2"/>
      <c r="J15714" s="2"/>
      <c r="K15714" s="2"/>
      <c r="L15714" s="2"/>
      <c r="M15714" s="2"/>
      <c r="N15714" s="2"/>
      <c r="O15714" s="2"/>
      <c r="P15714" s="2"/>
      <c r="Q15714" s="2"/>
      <c r="R15714" s="2"/>
      <c r="S15714" s="2"/>
      <c r="T15714" s="2"/>
      <c r="U15714" s="2"/>
      <c r="V15714" s="2"/>
      <c r="W15714" s="2"/>
      <c r="X15714" s="2"/>
      <c r="Y15714" s="2"/>
      <c r="Z15714" s="2"/>
    </row>
    <row r="15715" spans="1:26" ht="16.5" x14ac:dyDescent="0.35">
      <c r="A15715" s="2"/>
      <c r="B15715" s="2"/>
      <c r="C15715" s="2"/>
      <c r="D15715" s="2"/>
      <c r="E15715" s="2"/>
      <c r="F15715" s="2"/>
      <c r="G15715" s="2"/>
      <c r="H15715" s="2"/>
      <c r="I15715" s="2"/>
      <c r="J15715" s="2"/>
      <c r="K15715" s="2"/>
      <c r="L15715" s="2"/>
      <c r="M15715" s="2"/>
      <c r="N15715" s="2"/>
      <c r="O15715" s="2"/>
      <c r="P15715" s="2"/>
      <c r="Q15715" s="2"/>
      <c r="R15715" s="2"/>
      <c r="S15715" s="2"/>
      <c r="T15715" s="2"/>
      <c r="U15715" s="2"/>
      <c r="V15715" s="2"/>
      <c r="W15715" s="2"/>
      <c r="X15715" s="2"/>
      <c r="Y15715" s="2"/>
      <c r="Z15715" s="2"/>
    </row>
    <row r="15716" spans="1:26" ht="16.5" x14ac:dyDescent="0.35">
      <c r="A15716" s="2"/>
      <c r="B15716" s="2"/>
      <c r="C15716" s="2"/>
      <c r="D15716" s="2"/>
      <c r="E15716" s="2"/>
      <c r="F15716" s="2"/>
      <c r="G15716" s="2"/>
      <c r="H15716" s="2"/>
      <c r="I15716" s="2"/>
      <c r="J15716" s="2"/>
      <c r="K15716" s="2"/>
      <c r="L15716" s="2"/>
      <c r="M15716" s="2"/>
      <c r="N15716" s="2"/>
      <c r="O15716" s="2"/>
      <c r="P15716" s="2"/>
      <c r="Q15716" s="2"/>
      <c r="R15716" s="2"/>
      <c r="S15716" s="2"/>
      <c r="T15716" s="2"/>
      <c r="U15716" s="2"/>
      <c r="V15716" s="2"/>
      <c r="W15716" s="2"/>
      <c r="X15716" s="2"/>
      <c r="Y15716" s="2"/>
      <c r="Z15716" s="2"/>
    </row>
    <row r="15717" spans="1:26" ht="16.5" x14ac:dyDescent="0.35">
      <c r="A15717" s="2"/>
      <c r="B15717" s="2"/>
      <c r="C15717" s="2"/>
      <c r="D15717" s="2"/>
      <c r="E15717" s="2"/>
      <c r="F15717" s="2"/>
      <c r="G15717" s="2"/>
      <c r="H15717" s="2"/>
      <c r="I15717" s="2"/>
      <c r="J15717" s="2"/>
      <c r="K15717" s="2"/>
      <c r="L15717" s="2"/>
      <c r="M15717" s="2"/>
      <c r="N15717" s="2"/>
      <c r="O15717" s="2"/>
      <c r="P15717" s="2"/>
      <c r="Q15717" s="2"/>
      <c r="R15717" s="2"/>
      <c r="S15717" s="2"/>
      <c r="T15717" s="2"/>
      <c r="U15717" s="2"/>
      <c r="V15717" s="2"/>
      <c r="W15717" s="2"/>
      <c r="X15717" s="2"/>
      <c r="Y15717" s="2"/>
      <c r="Z15717" s="2"/>
    </row>
    <row r="15718" spans="1:26" ht="16.5" x14ac:dyDescent="0.35">
      <c r="A15718" s="2"/>
      <c r="B15718" s="2"/>
      <c r="C15718" s="2"/>
      <c r="D15718" s="2"/>
      <c r="E15718" s="2"/>
      <c r="F15718" s="2"/>
      <c r="G15718" s="2"/>
      <c r="H15718" s="2"/>
      <c r="I15718" s="2"/>
      <c r="J15718" s="2"/>
      <c r="K15718" s="2"/>
      <c r="L15718" s="2"/>
      <c r="M15718" s="2"/>
      <c r="N15718" s="2"/>
      <c r="O15718" s="2"/>
      <c r="P15718" s="2"/>
      <c r="Q15718" s="2"/>
      <c r="R15718" s="2"/>
      <c r="S15718" s="2"/>
      <c r="T15718" s="2"/>
      <c r="U15718" s="2"/>
      <c r="V15718" s="2"/>
      <c r="W15718" s="2"/>
      <c r="X15718" s="2"/>
      <c r="Y15718" s="2"/>
      <c r="Z15718" s="2"/>
    </row>
    <row r="15719" spans="1:26" ht="16.5" x14ac:dyDescent="0.35">
      <c r="A15719" s="2"/>
      <c r="B15719" s="2"/>
      <c r="C15719" s="2"/>
      <c r="D15719" s="2"/>
      <c r="E15719" s="2"/>
      <c r="F15719" s="2"/>
      <c r="G15719" s="2"/>
      <c r="H15719" s="2"/>
      <c r="I15719" s="2"/>
      <c r="J15719" s="2"/>
      <c r="K15719" s="2"/>
      <c r="L15719" s="2"/>
      <c r="M15719" s="2"/>
      <c r="N15719" s="2"/>
      <c r="O15719" s="2"/>
      <c r="P15719" s="2"/>
      <c r="Q15719" s="2"/>
      <c r="R15719" s="2"/>
      <c r="S15719" s="2"/>
      <c r="T15719" s="2"/>
      <c r="U15719" s="2"/>
      <c r="V15719" s="2"/>
      <c r="W15719" s="2"/>
      <c r="X15719" s="2"/>
      <c r="Y15719" s="2"/>
      <c r="Z15719" s="2"/>
    </row>
    <row r="15720" spans="1:26" ht="16.5" x14ac:dyDescent="0.35">
      <c r="A15720" s="2"/>
      <c r="B15720" s="2"/>
      <c r="C15720" s="2"/>
      <c r="D15720" s="2"/>
      <c r="E15720" s="2"/>
      <c r="F15720" s="2"/>
      <c r="G15720" s="2"/>
      <c r="H15720" s="2"/>
      <c r="I15720" s="2"/>
      <c r="J15720" s="2"/>
      <c r="K15720" s="2"/>
      <c r="L15720" s="2"/>
      <c r="M15720" s="2"/>
      <c r="N15720" s="2"/>
      <c r="O15720" s="2"/>
      <c r="P15720" s="2"/>
      <c r="Q15720" s="2"/>
      <c r="R15720" s="2"/>
      <c r="S15720" s="2"/>
      <c r="T15720" s="2"/>
      <c r="U15720" s="2"/>
      <c r="V15720" s="2"/>
      <c r="W15720" s="2"/>
      <c r="X15720" s="2"/>
      <c r="Y15720" s="2"/>
      <c r="Z15720" s="2"/>
    </row>
    <row r="15721" spans="1:26" ht="16.5" x14ac:dyDescent="0.35">
      <c r="A15721" s="2"/>
      <c r="B15721" s="2"/>
      <c r="C15721" s="2"/>
      <c r="D15721" s="2"/>
      <c r="E15721" s="2"/>
      <c r="F15721" s="2"/>
      <c r="G15721" s="2"/>
      <c r="H15721" s="2"/>
      <c r="I15721" s="2"/>
      <c r="J15721" s="2"/>
      <c r="K15721" s="2"/>
      <c r="L15721" s="2"/>
      <c r="M15721" s="2"/>
      <c r="N15721" s="2"/>
      <c r="O15721" s="2"/>
      <c r="P15721" s="2"/>
      <c r="Q15721" s="2"/>
      <c r="R15721" s="2"/>
      <c r="S15721" s="2"/>
      <c r="T15721" s="2"/>
      <c r="U15721" s="2"/>
      <c r="V15721" s="2"/>
      <c r="W15721" s="2"/>
      <c r="X15721" s="2"/>
      <c r="Y15721" s="2"/>
      <c r="Z15721" s="2"/>
    </row>
    <row r="15722" spans="1:26" ht="16.5" x14ac:dyDescent="0.35">
      <c r="A15722" s="2"/>
      <c r="B15722" s="2"/>
      <c r="C15722" s="2"/>
      <c r="D15722" s="2"/>
      <c r="E15722" s="2"/>
      <c r="F15722" s="2"/>
      <c r="G15722" s="2"/>
      <c r="H15722" s="2"/>
      <c r="I15722" s="2"/>
      <c r="J15722" s="2"/>
      <c r="K15722" s="2"/>
      <c r="L15722" s="2"/>
      <c r="M15722" s="2"/>
      <c r="N15722" s="2"/>
      <c r="O15722" s="2"/>
      <c r="P15722" s="2"/>
      <c r="Q15722" s="2"/>
      <c r="R15722" s="2"/>
      <c r="S15722" s="2"/>
      <c r="T15722" s="2"/>
      <c r="U15722" s="2"/>
      <c r="V15722" s="2"/>
      <c r="W15722" s="2"/>
      <c r="X15722" s="2"/>
      <c r="Y15722" s="2"/>
      <c r="Z15722" s="2"/>
    </row>
    <row r="15723" spans="1:26" ht="16.5" x14ac:dyDescent="0.35">
      <c r="A15723" s="2"/>
      <c r="B15723" s="2"/>
      <c r="C15723" s="2"/>
      <c r="D15723" s="2"/>
      <c r="E15723" s="2"/>
      <c r="F15723" s="2"/>
      <c r="G15723" s="2"/>
      <c r="H15723" s="2"/>
      <c r="I15723" s="2"/>
      <c r="J15723" s="2"/>
      <c r="K15723" s="2"/>
      <c r="L15723" s="2"/>
      <c r="M15723" s="2"/>
      <c r="N15723" s="2"/>
      <c r="O15723" s="2"/>
      <c r="P15723" s="2"/>
      <c r="Q15723" s="2"/>
      <c r="R15723" s="2"/>
      <c r="S15723" s="2"/>
      <c r="T15723" s="2"/>
      <c r="U15723" s="2"/>
      <c r="V15723" s="2"/>
      <c r="W15723" s="2"/>
      <c r="X15723" s="2"/>
      <c r="Y15723" s="2"/>
      <c r="Z15723" s="2"/>
    </row>
    <row r="15724" spans="1:26" ht="16.5" x14ac:dyDescent="0.35">
      <c r="A15724" s="2"/>
      <c r="B15724" s="2"/>
      <c r="C15724" s="2"/>
      <c r="D15724" s="2"/>
      <c r="E15724" s="2"/>
      <c r="F15724" s="2"/>
      <c r="G15724" s="2"/>
      <c r="H15724" s="2"/>
      <c r="I15724" s="2"/>
      <c r="J15724" s="2"/>
      <c r="K15724" s="2"/>
      <c r="L15724" s="2"/>
      <c r="M15724" s="2"/>
      <c r="N15724" s="2"/>
      <c r="O15724" s="2"/>
      <c r="P15724" s="2"/>
      <c r="Q15724" s="2"/>
      <c r="R15724" s="2"/>
      <c r="S15724" s="2"/>
      <c r="T15724" s="2"/>
      <c r="U15724" s="2"/>
      <c r="V15724" s="2"/>
      <c r="W15724" s="2"/>
      <c r="X15724" s="2"/>
      <c r="Y15724" s="2"/>
      <c r="Z15724" s="2"/>
    </row>
    <row r="15725" spans="1:26" ht="16.5" x14ac:dyDescent="0.35">
      <c r="A15725" s="2"/>
      <c r="B15725" s="2"/>
      <c r="C15725" s="2"/>
      <c r="D15725" s="2"/>
      <c r="E15725" s="2"/>
      <c r="F15725" s="2"/>
      <c r="G15725" s="2"/>
      <c r="H15725" s="2"/>
      <c r="I15725" s="2"/>
      <c r="J15725" s="2"/>
      <c r="K15725" s="2"/>
      <c r="L15725" s="2"/>
      <c r="M15725" s="2"/>
      <c r="N15725" s="2"/>
      <c r="O15725" s="2"/>
      <c r="P15725" s="2"/>
      <c r="Q15725" s="2"/>
      <c r="R15725" s="2"/>
      <c r="S15725" s="2"/>
      <c r="T15725" s="2"/>
      <c r="U15725" s="2"/>
      <c r="V15725" s="2"/>
      <c r="W15725" s="2"/>
      <c r="X15725" s="2"/>
      <c r="Y15725" s="2"/>
      <c r="Z15725" s="2"/>
    </row>
    <row r="15726" spans="1:26" ht="16.5" x14ac:dyDescent="0.35">
      <c r="A15726" s="2"/>
      <c r="B15726" s="2"/>
      <c r="C15726" s="2"/>
      <c r="D15726" s="2"/>
      <c r="E15726" s="2"/>
      <c r="F15726" s="2"/>
      <c r="G15726" s="2"/>
      <c r="H15726" s="2"/>
      <c r="I15726" s="2"/>
      <c r="J15726" s="2"/>
      <c r="K15726" s="2"/>
      <c r="L15726" s="2"/>
      <c r="M15726" s="2"/>
      <c r="N15726" s="2"/>
      <c r="O15726" s="2"/>
      <c r="P15726" s="2"/>
      <c r="Q15726" s="2"/>
      <c r="R15726" s="2"/>
      <c r="S15726" s="2"/>
      <c r="T15726" s="2"/>
      <c r="U15726" s="2"/>
      <c r="V15726" s="2"/>
      <c r="W15726" s="2"/>
      <c r="X15726" s="2"/>
      <c r="Y15726" s="2"/>
      <c r="Z15726" s="2"/>
    </row>
    <row r="15727" spans="1:26" ht="16.5" x14ac:dyDescent="0.35">
      <c r="A15727" s="2"/>
      <c r="B15727" s="2"/>
      <c r="C15727" s="2"/>
      <c r="D15727" s="2"/>
      <c r="E15727" s="2"/>
      <c r="F15727" s="2"/>
      <c r="G15727" s="2"/>
      <c r="H15727" s="2"/>
      <c r="I15727" s="2"/>
      <c r="J15727" s="2"/>
      <c r="K15727" s="2"/>
      <c r="L15727" s="2"/>
      <c r="M15727" s="2"/>
      <c r="N15727" s="2"/>
      <c r="O15727" s="2"/>
      <c r="P15727" s="2"/>
      <c r="Q15727" s="2"/>
      <c r="R15727" s="2"/>
      <c r="S15727" s="2"/>
      <c r="T15727" s="2"/>
      <c r="U15727" s="2"/>
      <c r="V15727" s="2"/>
      <c r="W15727" s="2"/>
      <c r="X15727" s="2"/>
      <c r="Y15727" s="2"/>
      <c r="Z15727" s="2"/>
    </row>
    <row r="15728" spans="1:26" ht="16.5" x14ac:dyDescent="0.35">
      <c r="A15728" s="2"/>
      <c r="B15728" s="2"/>
      <c r="C15728" s="2"/>
      <c r="D15728" s="2"/>
      <c r="E15728" s="2"/>
      <c r="F15728" s="2"/>
      <c r="G15728" s="2"/>
      <c r="H15728" s="2"/>
      <c r="I15728" s="2"/>
      <c r="J15728" s="2"/>
      <c r="K15728" s="2"/>
      <c r="L15728" s="2"/>
      <c r="M15728" s="2"/>
      <c r="N15728" s="2"/>
      <c r="O15728" s="2"/>
      <c r="P15728" s="2"/>
      <c r="Q15728" s="2"/>
      <c r="R15728" s="2"/>
      <c r="S15728" s="2"/>
      <c r="T15728" s="2"/>
      <c r="U15728" s="2"/>
      <c r="V15728" s="2"/>
      <c r="W15728" s="2"/>
      <c r="X15728" s="2"/>
      <c r="Y15728" s="2"/>
      <c r="Z15728" s="2"/>
    </row>
    <row r="15729" spans="1:26" ht="16.5" x14ac:dyDescent="0.35">
      <c r="A15729" s="2"/>
      <c r="B15729" s="2"/>
      <c r="C15729" s="2"/>
      <c r="D15729" s="2"/>
      <c r="E15729" s="2"/>
      <c r="F15729" s="2"/>
      <c r="G15729" s="2"/>
      <c r="H15729" s="2"/>
      <c r="I15729" s="2"/>
      <c r="J15729" s="2"/>
      <c r="K15729" s="2"/>
      <c r="L15729" s="2"/>
      <c r="M15729" s="2"/>
      <c r="N15729" s="2"/>
      <c r="O15729" s="2"/>
      <c r="P15729" s="2"/>
      <c r="Q15729" s="2"/>
      <c r="R15729" s="2"/>
      <c r="S15729" s="2"/>
      <c r="T15729" s="2"/>
      <c r="U15729" s="2"/>
      <c r="V15729" s="2"/>
      <c r="W15729" s="2"/>
      <c r="X15729" s="2"/>
      <c r="Y15729" s="2"/>
      <c r="Z15729" s="2"/>
    </row>
    <row r="15730" spans="1:26" ht="16.5" x14ac:dyDescent="0.35">
      <c r="A15730" s="2"/>
      <c r="B15730" s="2"/>
      <c r="C15730" s="2"/>
      <c r="D15730" s="2"/>
      <c r="E15730" s="2"/>
      <c r="F15730" s="2"/>
      <c r="G15730" s="2"/>
      <c r="H15730" s="2"/>
      <c r="I15730" s="2"/>
      <c r="J15730" s="2"/>
      <c r="K15730" s="2"/>
      <c r="L15730" s="2"/>
      <c r="M15730" s="2"/>
      <c r="N15730" s="2"/>
      <c r="O15730" s="2"/>
      <c r="P15730" s="2"/>
      <c r="Q15730" s="2"/>
      <c r="R15730" s="2"/>
      <c r="S15730" s="2"/>
      <c r="T15730" s="2"/>
      <c r="U15730" s="2"/>
      <c r="V15730" s="2"/>
      <c r="W15730" s="2"/>
      <c r="X15730" s="2"/>
      <c r="Y15730" s="2"/>
      <c r="Z15730" s="2"/>
    </row>
    <row r="15731" spans="1:26" ht="16.5" x14ac:dyDescent="0.35">
      <c r="A15731" s="2"/>
      <c r="B15731" s="2"/>
      <c r="C15731" s="2"/>
      <c r="D15731" s="2"/>
      <c r="E15731" s="2"/>
      <c r="F15731" s="2"/>
      <c r="G15731" s="2"/>
      <c r="H15731" s="2"/>
      <c r="I15731" s="2"/>
      <c r="J15731" s="2"/>
      <c r="K15731" s="2"/>
      <c r="L15731" s="2"/>
      <c r="M15731" s="2"/>
      <c r="N15731" s="2"/>
      <c r="O15731" s="2"/>
      <c r="P15731" s="2"/>
      <c r="Q15731" s="2"/>
      <c r="R15731" s="2"/>
      <c r="S15731" s="2"/>
      <c r="T15731" s="2"/>
      <c r="U15731" s="2"/>
      <c r="V15731" s="2"/>
      <c r="W15731" s="2"/>
      <c r="X15731" s="2"/>
      <c r="Y15731" s="2"/>
      <c r="Z15731" s="2"/>
    </row>
    <row r="15732" spans="1:26" ht="16.5" x14ac:dyDescent="0.35">
      <c r="A15732" s="2"/>
      <c r="B15732" s="2"/>
      <c r="C15732" s="2"/>
      <c r="D15732" s="2"/>
      <c r="E15732" s="2"/>
      <c r="F15732" s="2"/>
      <c r="G15732" s="2"/>
      <c r="H15732" s="2"/>
      <c r="I15732" s="2"/>
      <c r="J15732" s="2"/>
      <c r="K15732" s="2"/>
      <c r="L15732" s="2"/>
      <c r="M15732" s="2"/>
      <c r="N15732" s="2"/>
      <c r="O15732" s="2"/>
      <c r="P15732" s="2"/>
      <c r="Q15732" s="2"/>
      <c r="R15732" s="2"/>
      <c r="S15732" s="2"/>
      <c r="T15732" s="2"/>
      <c r="U15732" s="2"/>
      <c r="V15732" s="2"/>
      <c r="W15732" s="2"/>
      <c r="X15732" s="2"/>
      <c r="Y15732" s="2"/>
      <c r="Z15732" s="2"/>
    </row>
    <row r="15733" spans="1:26" ht="16.5" x14ac:dyDescent="0.35">
      <c r="A15733" s="2"/>
      <c r="B15733" s="2"/>
      <c r="C15733" s="2"/>
      <c r="D15733" s="2"/>
      <c r="E15733" s="2"/>
      <c r="F15733" s="2"/>
      <c r="G15733" s="2"/>
      <c r="H15733" s="2"/>
      <c r="I15733" s="2"/>
      <c r="J15733" s="2"/>
      <c r="K15733" s="2"/>
      <c r="L15733" s="2"/>
      <c r="M15733" s="2"/>
      <c r="N15733" s="2"/>
      <c r="O15733" s="2"/>
      <c r="P15733" s="2"/>
      <c r="Q15733" s="2"/>
      <c r="R15733" s="2"/>
      <c r="S15733" s="2"/>
      <c r="T15733" s="2"/>
      <c r="U15733" s="2"/>
      <c r="V15733" s="2"/>
      <c r="W15733" s="2"/>
      <c r="X15733" s="2"/>
      <c r="Y15733" s="2"/>
      <c r="Z15733" s="2"/>
    </row>
    <row r="15734" spans="1:26" ht="16.5" x14ac:dyDescent="0.35">
      <c r="A15734" s="2"/>
      <c r="B15734" s="2"/>
      <c r="C15734" s="2"/>
      <c r="D15734" s="2"/>
      <c r="E15734" s="2"/>
      <c r="F15734" s="2"/>
      <c r="G15734" s="2"/>
      <c r="H15734" s="2"/>
      <c r="I15734" s="2"/>
      <c r="J15734" s="2"/>
      <c r="K15734" s="2"/>
      <c r="L15734" s="2"/>
      <c r="M15734" s="2"/>
      <c r="N15734" s="2"/>
      <c r="O15734" s="2"/>
      <c r="P15734" s="2"/>
      <c r="Q15734" s="2"/>
      <c r="R15734" s="2"/>
      <c r="S15734" s="2"/>
      <c r="T15734" s="2"/>
      <c r="U15734" s="2"/>
      <c r="V15734" s="2"/>
      <c r="W15734" s="2"/>
      <c r="X15734" s="2"/>
      <c r="Y15734" s="2"/>
      <c r="Z15734" s="2"/>
    </row>
    <row r="15735" spans="1:26" ht="16.5" x14ac:dyDescent="0.35">
      <c r="A15735" s="2"/>
      <c r="B15735" s="2"/>
      <c r="C15735" s="2"/>
      <c r="D15735" s="2"/>
      <c r="E15735" s="2"/>
      <c r="F15735" s="2"/>
      <c r="G15735" s="2"/>
      <c r="H15735" s="2"/>
      <c r="I15735" s="2"/>
      <c r="J15735" s="2"/>
      <c r="K15735" s="2"/>
      <c r="L15735" s="2"/>
      <c r="M15735" s="2"/>
      <c r="N15735" s="2"/>
      <c r="O15735" s="2"/>
      <c r="P15735" s="2"/>
      <c r="Q15735" s="2"/>
      <c r="R15735" s="2"/>
      <c r="S15735" s="2"/>
      <c r="T15735" s="2"/>
      <c r="U15735" s="2"/>
      <c r="V15735" s="2"/>
      <c r="W15735" s="2"/>
      <c r="X15735" s="2"/>
      <c r="Y15735" s="2"/>
      <c r="Z15735" s="2"/>
    </row>
    <row r="15736" spans="1:26" ht="16.5" x14ac:dyDescent="0.35">
      <c r="A15736" s="2"/>
      <c r="B15736" s="2"/>
      <c r="C15736" s="2"/>
      <c r="D15736" s="2"/>
      <c r="E15736" s="2"/>
      <c r="F15736" s="2"/>
      <c r="G15736" s="2"/>
      <c r="H15736" s="2"/>
      <c r="I15736" s="2"/>
      <c r="J15736" s="2"/>
      <c r="K15736" s="2"/>
      <c r="L15736" s="2"/>
      <c r="M15736" s="2"/>
      <c r="N15736" s="2"/>
      <c r="O15736" s="2"/>
      <c r="P15736" s="2"/>
      <c r="Q15736" s="2"/>
      <c r="R15736" s="2"/>
      <c r="S15736" s="2"/>
      <c r="T15736" s="2"/>
      <c r="U15736" s="2"/>
      <c r="V15736" s="2"/>
      <c r="W15736" s="2"/>
      <c r="X15736" s="2"/>
      <c r="Y15736" s="2"/>
      <c r="Z15736" s="2"/>
    </row>
    <row r="15737" spans="1:26" ht="16.5" x14ac:dyDescent="0.35">
      <c r="A15737" s="2"/>
      <c r="B15737" s="2"/>
      <c r="C15737" s="2"/>
      <c r="D15737" s="2"/>
      <c r="E15737" s="2"/>
      <c r="F15737" s="2"/>
      <c r="G15737" s="2"/>
      <c r="H15737" s="2"/>
      <c r="I15737" s="2"/>
      <c r="J15737" s="2"/>
      <c r="K15737" s="2"/>
      <c r="L15737" s="2"/>
      <c r="M15737" s="2"/>
      <c r="N15737" s="2"/>
      <c r="O15737" s="2"/>
      <c r="P15737" s="2"/>
      <c r="Q15737" s="2"/>
      <c r="R15737" s="2"/>
      <c r="S15737" s="2"/>
      <c r="T15737" s="2"/>
      <c r="U15737" s="2"/>
      <c r="V15737" s="2"/>
      <c r="W15737" s="2"/>
      <c r="X15737" s="2"/>
      <c r="Y15737" s="2"/>
      <c r="Z15737" s="2"/>
    </row>
    <row r="15738" spans="1:26" ht="16.5" x14ac:dyDescent="0.35">
      <c r="A15738" s="2"/>
      <c r="B15738" s="2"/>
      <c r="C15738" s="2"/>
      <c r="D15738" s="2"/>
      <c r="E15738" s="2"/>
      <c r="F15738" s="2"/>
      <c r="G15738" s="2"/>
      <c r="H15738" s="2"/>
      <c r="I15738" s="2"/>
      <c r="J15738" s="2"/>
      <c r="K15738" s="2"/>
      <c r="L15738" s="2"/>
      <c r="M15738" s="2"/>
      <c r="N15738" s="2"/>
      <c r="O15738" s="2"/>
      <c r="P15738" s="2"/>
      <c r="Q15738" s="2"/>
      <c r="R15738" s="2"/>
      <c r="S15738" s="2"/>
      <c r="T15738" s="2"/>
      <c r="U15738" s="2"/>
      <c r="V15738" s="2"/>
      <c r="W15738" s="2"/>
      <c r="X15738" s="2"/>
      <c r="Y15738" s="2"/>
      <c r="Z15738" s="2"/>
    </row>
    <row r="15739" spans="1:26" ht="16.5" x14ac:dyDescent="0.35">
      <c r="A15739" s="2"/>
      <c r="B15739" s="2"/>
      <c r="C15739" s="2"/>
      <c r="D15739" s="2"/>
      <c r="E15739" s="2"/>
      <c r="F15739" s="2"/>
      <c r="G15739" s="2"/>
      <c r="H15739" s="2"/>
      <c r="I15739" s="2"/>
      <c r="J15739" s="2"/>
      <c r="K15739" s="2"/>
      <c r="L15739" s="2"/>
      <c r="M15739" s="2"/>
      <c r="N15739" s="2"/>
      <c r="O15739" s="2"/>
      <c r="P15739" s="2"/>
      <c r="Q15739" s="2"/>
      <c r="R15739" s="2"/>
      <c r="S15739" s="2"/>
      <c r="T15739" s="2"/>
      <c r="U15739" s="2"/>
      <c r="V15739" s="2"/>
      <c r="W15739" s="2"/>
      <c r="X15739" s="2"/>
      <c r="Y15739" s="2"/>
      <c r="Z15739" s="2"/>
    </row>
    <row r="15740" spans="1:26" ht="16.5" x14ac:dyDescent="0.35">
      <c r="A15740" s="2"/>
      <c r="B15740" s="2"/>
      <c r="C15740" s="2"/>
      <c r="D15740" s="2"/>
      <c r="E15740" s="2"/>
      <c r="F15740" s="2"/>
      <c r="G15740" s="2"/>
      <c r="H15740" s="2"/>
      <c r="I15740" s="2"/>
      <c r="J15740" s="2"/>
      <c r="K15740" s="2"/>
      <c r="L15740" s="2"/>
      <c r="M15740" s="2"/>
      <c r="N15740" s="2"/>
      <c r="O15740" s="2"/>
      <c r="P15740" s="2"/>
      <c r="Q15740" s="2"/>
      <c r="R15740" s="2"/>
      <c r="S15740" s="2"/>
      <c r="T15740" s="2"/>
      <c r="U15740" s="2"/>
      <c r="V15740" s="2"/>
      <c r="W15740" s="2"/>
      <c r="X15740" s="2"/>
      <c r="Y15740" s="2"/>
      <c r="Z15740" s="2"/>
    </row>
    <row r="15741" spans="1:26" ht="16.5" x14ac:dyDescent="0.35">
      <c r="A15741" s="2"/>
      <c r="B15741" s="2"/>
      <c r="C15741" s="2"/>
      <c r="D15741" s="2"/>
      <c r="E15741" s="2"/>
      <c r="F15741" s="2"/>
      <c r="G15741" s="2"/>
      <c r="H15741" s="2"/>
      <c r="I15741" s="2"/>
      <c r="J15741" s="2"/>
      <c r="K15741" s="2"/>
      <c r="L15741" s="2"/>
      <c r="M15741" s="2"/>
      <c r="N15741" s="2"/>
      <c r="O15741" s="2"/>
      <c r="P15741" s="2"/>
      <c r="Q15741" s="2"/>
      <c r="R15741" s="2"/>
      <c r="S15741" s="2"/>
      <c r="T15741" s="2"/>
      <c r="U15741" s="2"/>
      <c r="V15741" s="2"/>
      <c r="W15741" s="2"/>
      <c r="X15741" s="2"/>
      <c r="Y15741" s="2"/>
      <c r="Z15741" s="2"/>
    </row>
    <row r="15742" spans="1:26" ht="16.5" x14ac:dyDescent="0.35">
      <c r="A15742" s="2"/>
      <c r="B15742" s="2"/>
      <c r="C15742" s="2"/>
      <c r="D15742" s="2"/>
      <c r="E15742" s="2"/>
      <c r="F15742" s="2"/>
      <c r="G15742" s="2"/>
      <c r="H15742" s="2"/>
      <c r="I15742" s="2"/>
      <c r="J15742" s="2"/>
      <c r="K15742" s="2"/>
      <c r="L15742" s="2"/>
      <c r="M15742" s="2"/>
      <c r="N15742" s="2"/>
      <c r="O15742" s="2"/>
      <c r="P15742" s="2"/>
      <c r="Q15742" s="2"/>
      <c r="R15742" s="2"/>
      <c r="S15742" s="2"/>
      <c r="T15742" s="2"/>
      <c r="U15742" s="2"/>
      <c r="V15742" s="2"/>
      <c r="W15742" s="2"/>
      <c r="X15742" s="2"/>
      <c r="Y15742" s="2"/>
      <c r="Z15742" s="2"/>
    </row>
    <row r="15743" spans="1:26" ht="16.5" x14ac:dyDescent="0.35">
      <c r="A15743" s="2"/>
      <c r="B15743" s="2"/>
      <c r="C15743" s="2"/>
      <c r="D15743" s="2"/>
      <c r="E15743" s="2"/>
      <c r="F15743" s="2"/>
      <c r="G15743" s="2"/>
      <c r="H15743" s="2"/>
      <c r="I15743" s="2"/>
      <c r="J15743" s="2"/>
      <c r="K15743" s="2"/>
      <c r="L15743" s="2"/>
      <c r="M15743" s="2"/>
      <c r="N15743" s="2"/>
      <c r="O15743" s="2"/>
      <c r="P15743" s="2"/>
      <c r="Q15743" s="2"/>
      <c r="R15743" s="2"/>
      <c r="S15743" s="2"/>
      <c r="T15743" s="2"/>
      <c r="U15743" s="2"/>
      <c r="V15743" s="2"/>
      <c r="W15743" s="2"/>
      <c r="X15743" s="2"/>
      <c r="Y15743" s="2"/>
      <c r="Z15743" s="2"/>
    </row>
    <row r="15744" spans="1:26" ht="16.5" x14ac:dyDescent="0.35">
      <c r="A15744" s="2"/>
      <c r="B15744" s="2"/>
      <c r="C15744" s="2"/>
      <c r="D15744" s="2"/>
      <c r="E15744" s="2"/>
      <c r="F15744" s="2"/>
      <c r="G15744" s="2"/>
      <c r="H15744" s="2"/>
      <c r="I15744" s="2"/>
      <c r="J15744" s="2"/>
      <c r="K15744" s="2"/>
      <c r="L15744" s="2"/>
      <c r="M15744" s="2"/>
      <c r="N15744" s="2"/>
      <c r="O15744" s="2"/>
      <c r="P15744" s="2"/>
      <c r="Q15744" s="2"/>
      <c r="R15744" s="2"/>
      <c r="S15744" s="2"/>
      <c r="T15744" s="2"/>
      <c r="U15744" s="2"/>
      <c r="V15744" s="2"/>
      <c r="W15744" s="2"/>
      <c r="X15744" s="2"/>
      <c r="Y15744" s="2"/>
      <c r="Z15744" s="2"/>
    </row>
    <row r="15745" spans="1:26" ht="16.5" x14ac:dyDescent="0.35">
      <c r="A15745" s="2"/>
      <c r="B15745" s="2"/>
      <c r="C15745" s="2"/>
      <c r="D15745" s="2"/>
      <c r="E15745" s="2"/>
      <c r="F15745" s="2"/>
      <c r="G15745" s="2"/>
      <c r="H15745" s="2"/>
      <c r="I15745" s="2"/>
      <c r="J15745" s="2"/>
      <c r="K15745" s="2"/>
      <c r="L15745" s="2"/>
      <c r="M15745" s="2"/>
      <c r="N15745" s="2"/>
      <c r="O15745" s="2"/>
      <c r="P15745" s="2"/>
      <c r="Q15745" s="2"/>
      <c r="R15745" s="2"/>
      <c r="S15745" s="2"/>
      <c r="T15745" s="2"/>
      <c r="U15745" s="2"/>
      <c r="V15745" s="2"/>
      <c r="W15745" s="2"/>
      <c r="X15745" s="2"/>
      <c r="Y15745" s="2"/>
      <c r="Z15745" s="2"/>
    </row>
    <row r="15746" spans="1:26" ht="16.5" x14ac:dyDescent="0.35">
      <c r="A15746" s="2"/>
      <c r="B15746" s="2"/>
      <c r="C15746" s="2"/>
      <c r="D15746" s="2"/>
      <c r="E15746" s="2"/>
      <c r="F15746" s="2"/>
      <c r="G15746" s="2"/>
      <c r="H15746" s="2"/>
      <c r="I15746" s="2"/>
      <c r="J15746" s="2"/>
      <c r="K15746" s="2"/>
      <c r="L15746" s="2"/>
      <c r="M15746" s="2"/>
      <c r="N15746" s="2"/>
      <c r="O15746" s="2"/>
      <c r="P15746" s="2"/>
      <c r="Q15746" s="2"/>
      <c r="R15746" s="2"/>
      <c r="S15746" s="2"/>
      <c r="T15746" s="2"/>
      <c r="U15746" s="2"/>
      <c r="V15746" s="2"/>
      <c r="W15746" s="2"/>
      <c r="X15746" s="2"/>
      <c r="Y15746" s="2"/>
      <c r="Z15746" s="2"/>
    </row>
    <row r="15747" spans="1:26" ht="16.5" x14ac:dyDescent="0.35">
      <c r="A15747" s="2"/>
      <c r="B15747" s="2"/>
      <c r="C15747" s="2"/>
      <c r="D15747" s="2"/>
      <c r="E15747" s="2"/>
      <c r="F15747" s="2"/>
      <c r="G15747" s="2"/>
      <c r="H15747" s="2"/>
      <c r="I15747" s="2"/>
      <c r="J15747" s="2"/>
      <c r="K15747" s="2"/>
      <c r="L15747" s="2"/>
      <c r="M15747" s="2"/>
      <c r="N15747" s="2"/>
      <c r="O15747" s="2"/>
      <c r="P15747" s="2"/>
      <c r="Q15747" s="2"/>
      <c r="R15747" s="2"/>
      <c r="S15747" s="2"/>
      <c r="T15747" s="2"/>
      <c r="U15747" s="2"/>
      <c r="V15747" s="2"/>
      <c r="W15747" s="2"/>
      <c r="X15747" s="2"/>
      <c r="Y15747" s="2"/>
      <c r="Z15747" s="2"/>
    </row>
    <row r="15748" spans="1:26" ht="16.5" x14ac:dyDescent="0.35">
      <c r="A15748" s="2"/>
      <c r="B15748" s="2"/>
      <c r="C15748" s="2"/>
      <c r="D15748" s="2"/>
      <c r="E15748" s="2"/>
      <c r="F15748" s="2"/>
      <c r="G15748" s="2"/>
      <c r="H15748" s="2"/>
      <c r="I15748" s="2"/>
      <c r="J15748" s="2"/>
      <c r="K15748" s="2"/>
      <c r="L15748" s="2"/>
      <c r="M15748" s="2"/>
      <c r="N15748" s="2"/>
      <c r="O15748" s="2"/>
      <c r="P15748" s="2"/>
      <c r="Q15748" s="2"/>
      <c r="R15748" s="2"/>
      <c r="S15748" s="2"/>
      <c r="T15748" s="2"/>
      <c r="U15748" s="2"/>
      <c r="V15748" s="2"/>
      <c r="W15748" s="2"/>
      <c r="X15748" s="2"/>
      <c r="Y15748" s="2"/>
      <c r="Z15748" s="2"/>
    </row>
    <row r="15749" spans="1:26" ht="16.5" x14ac:dyDescent="0.35">
      <c r="A15749" s="2"/>
      <c r="B15749" s="2"/>
      <c r="C15749" s="2"/>
      <c r="D15749" s="2"/>
      <c r="E15749" s="2"/>
      <c r="F15749" s="2"/>
      <c r="G15749" s="2"/>
      <c r="H15749" s="2"/>
      <c r="I15749" s="2"/>
      <c r="J15749" s="2"/>
      <c r="K15749" s="2"/>
      <c r="L15749" s="2"/>
      <c r="M15749" s="2"/>
      <c r="N15749" s="2"/>
      <c r="O15749" s="2"/>
      <c r="P15749" s="2"/>
      <c r="Q15749" s="2"/>
      <c r="R15749" s="2"/>
      <c r="S15749" s="2"/>
      <c r="T15749" s="2"/>
      <c r="U15749" s="2"/>
      <c r="V15749" s="2"/>
      <c r="W15749" s="2"/>
      <c r="X15749" s="2"/>
      <c r="Y15749" s="2"/>
      <c r="Z15749" s="2"/>
    </row>
    <row r="15750" spans="1:26" ht="16.5" x14ac:dyDescent="0.35">
      <c r="A15750" s="2"/>
      <c r="B15750" s="2"/>
      <c r="C15750" s="2"/>
      <c r="D15750" s="2"/>
      <c r="E15750" s="2"/>
      <c r="F15750" s="2"/>
      <c r="G15750" s="2"/>
      <c r="H15750" s="2"/>
      <c r="I15750" s="2"/>
      <c r="J15750" s="2"/>
      <c r="K15750" s="2"/>
      <c r="L15750" s="2"/>
      <c r="M15750" s="2"/>
      <c r="N15750" s="2"/>
      <c r="O15750" s="2"/>
      <c r="P15750" s="2"/>
      <c r="Q15750" s="2"/>
      <c r="R15750" s="2"/>
      <c r="S15750" s="2"/>
      <c r="T15750" s="2"/>
      <c r="U15750" s="2"/>
      <c r="V15750" s="2"/>
      <c r="W15750" s="2"/>
      <c r="X15750" s="2"/>
      <c r="Y15750" s="2"/>
      <c r="Z15750" s="2"/>
    </row>
    <row r="15751" spans="1:26" ht="16.5" x14ac:dyDescent="0.35">
      <c r="A15751" s="2"/>
      <c r="B15751" s="2"/>
      <c r="C15751" s="2"/>
      <c r="D15751" s="2"/>
      <c r="E15751" s="2"/>
      <c r="F15751" s="2"/>
      <c r="G15751" s="2"/>
      <c r="H15751" s="2"/>
      <c r="I15751" s="2"/>
      <c r="J15751" s="2"/>
      <c r="K15751" s="2"/>
      <c r="L15751" s="2"/>
      <c r="M15751" s="2"/>
      <c r="N15751" s="2"/>
      <c r="O15751" s="2"/>
      <c r="P15751" s="2"/>
      <c r="Q15751" s="2"/>
      <c r="R15751" s="2"/>
      <c r="S15751" s="2"/>
      <c r="T15751" s="2"/>
      <c r="U15751" s="2"/>
      <c r="V15751" s="2"/>
      <c r="W15751" s="2"/>
      <c r="X15751" s="2"/>
      <c r="Y15751" s="2"/>
      <c r="Z15751" s="2"/>
    </row>
    <row r="15752" spans="1:26" ht="16.5" x14ac:dyDescent="0.35">
      <c r="A15752" s="2"/>
      <c r="B15752" s="2"/>
      <c r="C15752" s="2"/>
      <c r="D15752" s="2"/>
      <c r="E15752" s="2"/>
      <c r="F15752" s="2"/>
      <c r="G15752" s="2"/>
      <c r="H15752" s="2"/>
      <c r="I15752" s="2"/>
      <c r="J15752" s="2"/>
      <c r="K15752" s="2"/>
      <c r="L15752" s="2"/>
      <c r="M15752" s="2"/>
      <c r="N15752" s="2"/>
      <c r="O15752" s="2"/>
      <c r="P15752" s="2"/>
      <c r="Q15752" s="2"/>
      <c r="R15752" s="2"/>
      <c r="S15752" s="2"/>
      <c r="T15752" s="2"/>
      <c r="U15752" s="2"/>
      <c r="V15752" s="2"/>
      <c r="W15752" s="2"/>
      <c r="X15752" s="2"/>
      <c r="Y15752" s="2"/>
      <c r="Z15752" s="2"/>
    </row>
    <row r="15753" spans="1:26" ht="16.5" x14ac:dyDescent="0.35">
      <c r="A15753" s="2"/>
      <c r="B15753" s="2"/>
      <c r="C15753" s="2"/>
      <c r="D15753" s="2"/>
      <c r="E15753" s="2"/>
      <c r="F15753" s="2"/>
      <c r="G15753" s="2"/>
      <c r="H15753" s="2"/>
      <c r="I15753" s="2"/>
      <c r="J15753" s="2"/>
      <c r="K15753" s="2"/>
      <c r="L15753" s="2"/>
      <c r="M15753" s="2"/>
      <c r="N15753" s="2"/>
      <c r="O15753" s="2"/>
      <c r="P15753" s="2"/>
      <c r="Q15753" s="2"/>
      <c r="R15753" s="2"/>
      <c r="S15753" s="2"/>
      <c r="T15753" s="2"/>
      <c r="U15753" s="2"/>
      <c r="V15753" s="2"/>
      <c r="W15753" s="2"/>
      <c r="X15753" s="2"/>
      <c r="Y15753" s="2"/>
      <c r="Z15753" s="2"/>
    </row>
    <row r="15754" spans="1:26" ht="16.5" x14ac:dyDescent="0.35">
      <c r="A15754" s="2"/>
      <c r="B15754" s="2"/>
      <c r="C15754" s="2"/>
      <c r="D15754" s="2"/>
      <c r="E15754" s="2"/>
      <c r="F15754" s="2"/>
      <c r="G15754" s="2"/>
      <c r="H15754" s="2"/>
      <c r="I15754" s="2"/>
      <c r="J15754" s="2"/>
      <c r="K15754" s="2"/>
      <c r="L15754" s="2"/>
      <c r="M15754" s="2"/>
      <c r="N15754" s="2"/>
      <c r="O15754" s="2"/>
      <c r="P15754" s="2"/>
      <c r="Q15754" s="2"/>
      <c r="R15754" s="2"/>
      <c r="S15754" s="2"/>
      <c r="T15754" s="2"/>
      <c r="U15754" s="2"/>
      <c r="V15754" s="2"/>
      <c r="W15754" s="2"/>
      <c r="X15754" s="2"/>
      <c r="Y15754" s="2"/>
      <c r="Z15754" s="2"/>
    </row>
    <row r="15755" spans="1:26" ht="16.5" x14ac:dyDescent="0.35">
      <c r="A15755" s="2"/>
      <c r="B15755" s="2"/>
      <c r="C15755" s="2"/>
      <c r="D15755" s="2"/>
      <c r="E15755" s="2"/>
      <c r="F15755" s="2"/>
      <c r="G15755" s="2"/>
      <c r="H15755" s="2"/>
      <c r="I15755" s="2"/>
      <c r="J15755" s="2"/>
      <c r="K15755" s="2"/>
      <c r="L15755" s="2"/>
      <c r="M15755" s="2"/>
      <c r="N15755" s="2"/>
      <c r="O15755" s="2"/>
      <c r="P15755" s="2"/>
      <c r="Q15755" s="2"/>
      <c r="R15755" s="2"/>
      <c r="S15755" s="2"/>
      <c r="T15755" s="2"/>
      <c r="U15755" s="2"/>
      <c r="V15755" s="2"/>
      <c r="W15755" s="2"/>
      <c r="X15755" s="2"/>
      <c r="Y15755" s="2"/>
      <c r="Z15755" s="2"/>
    </row>
    <row r="15756" spans="1:26" ht="16.5" x14ac:dyDescent="0.35">
      <c r="A15756" s="2"/>
      <c r="B15756" s="2"/>
      <c r="C15756" s="2"/>
      <c r="D15756" s="2"/>
      <c r="E15756" s="2"/>
      <c r="F15756" s="2"/>
      <c r="G15756" s="2"/>
      <c r="H15756" s="2"/>
      <c r="I15756" s="2"/>
      <c r="J15756" s="2"/>
      <c r="K15756" s="2"/>
      <c r="L15756" s="2"/>
      <c r="M15756" s="2"/>
      <c r="N15756" s="2"/>
      <c r="O15756" s="2"/>
      <c r="P15756" s="2"/>
      <c r="Q15756" s="2"/>
      <c r="R15756" s="2"/>
      <c r="S15756" s="2"/>
      <c r="T15756" s="2"/>
      <c r="U15756" s="2"/>
      <c r="V15756" s="2"/>
      <c r="W15756" s="2"/>
      <c r="X15756" s="2"/>
      <c r="Y15756" s="2"/>
      <c r="Z15756" s="2"/>
    </row>
    <row r="15757" spans="1:26" ht="16.5" x14ac:dyDescent="0.35">
      <c r="A15757" s="2"/>
      <c r="B15757" s="2"/>
      <c r="C15757" s="2"/>
      <c r="D15757" s="2"/>
      <c r="E15757" s="2"/>
      <c r="F15757" s="2"/>
      <c r="G15757" s="2"/>
      <c r="H15757" s="2"/>
      <c r="I15757" s="2"/>
      <c r="J15757" s="2"/>
      <c r="K15757" s="2"/>
      <c r="L15757" s="2"/>
      <c r="M15757" s="2"/>
      <c r="N15757" s="2"/>
      <c r="O15757" s="2"/>
      <c r="P15757" s="2"/>
      <c r="Q15757" s="2"/>
      <c r="R15757" s="2"/>
      <c r="S15757" s="2"/>
      <c r="T15757" s="2"/>
      <c r="U15757" s="2"/>
      <c r="V15757" s="2"/>
      <c r="W15757" s="2"/>
      <c r="X15757" s="2"/>
      <c r="Y15757" s="2"/>
      <c r="Z15757" s="2"/>
    </row>
    <row r="15758" spans="1:26" ht="16.5" x14ac:dyDescent="0.35">
      <c r="A15758" s="2"/>
      <c r="B15758" s="2"/>
      <c r="C15758" s="2"/>
      <c r="D15758" s="2"/>
      <c r="E15758" s="2"/>
      <c r="F15758" s="2"/>
      <c r="G15758" s="2"/>
      <c r="H15758" s="2"/>
      <c r="I15758" s="2"/>
      <c r="J15758" s="2"/>
      <c r="K15758" s="2"/>
      <c r="L15758" s="2"/>
      <c r="M15758" s="2"/>
      <c r="N15758" s="2"/>
      <c r="O15758" s="2"/>
      <c r="P15758" s="2"/>
      <c r="Q15758" s="2"/>
      <c r="R15758" s="2"/>
      <c r="S15758" s="2"/>
      <c r="T15758" s="2"/>
      <c r="U15758" s="2"/>
      <c r="V15758" s="2"/>
      <c r="W15758" s="2"/>
      <c r="X15758" s="2"/>
      <c r="Y15758" s="2"/>
      <c r="Z15758" s="2"/>
    </row>
    <row r="15759" spans="1:26" ht="16.5" x14ac:dyDescent="0.35">
      <c r="A15759" s="2"/>
      <c r="B15759" s="2"/>
      <c r="C15759" s="2"/>
      <c r="D15759" s="2"/>
      <c r="E15759" s="2"/>
      <c r="F15759" s="2"/>
      <c r="G15759" s="2"/>
      <c r="H15759" s="2"/>
      <c r="I15759" s="2"/>
      <c r="J15759" s="2"/>
      <c r="K15759" s="2"/>
      <c r="L15759" s="2"/>
      <c r="M15759" s="2"/>
      <c r="N15759" s="2"/>
      <c r="O15759" s="2"/>
      <c r="P15759" s="2"/>
      <c r="Q15759" s="2"/>
      <c r="R15759" s="2"/>
      <c r="S15759" s="2"/>
      <c r="T15759" s="2"/>
      <c r="U15759" s="2"/>
      <c r="V15759" s="2"/>
      <c r="W15759" s="2"/>
      <c r="X15759" s="2"/>
      <c r="Y15759" s="2"/>
      <c r="Z15759" s="2"/>
    </row>
    <row r="15760" spans="1:26" ht="16.5" x14ac:dyDescent="0.35">
      <c r="A15760" s="2"/>
      <c r="B15760" s="2"/>
      <c r="C15760" s="2"/>
      <c r="D15760" s="2"/>
      <c r="E15760" s="2"/>
      <c r="F15760" s="2"/>
      <c r="G15760" s="2"/>
      <c r="H15760" s="2"/>
      <c r="I15760" s="2"/>
      <c r="J15760" s="2"/>
      <c r="K15760" s="2"/>
      <c r="L15760" s="2"/>
      <c r="M15760" s="2"/>
      <c r="N15760" s="2"/>
      <c r="O15760" s="2"/>
      <c r="P15760" s="2"/>
      <c r="Q15760" s="2"/>
      <c r="R15760" s="2"/>
      <c r="S15760" s="2"/>
      <c r="T15760" s="2"/>
      <c r="U15760" s="2"/>
      <c r="V15760" s="2"/>
      <c r="W15760" s="2"/>
      <c r="X15760" s="2"/>
      <c r="Y15760" s="2"/>
      <c r="Z15760" s="2"/>
    </row>
    <row r="15761" spans="1:26" ht="16.5" x14ac:dyDescent="0.35">
      <c r="A15761" s="2"/>
      <c r="B15761" s="2"/>
      <c r="C15761" s="2"/>
      <c r="D15761" s="2"/>
      <c r="E15761" s="2"/>
      <c r="F15761" s="2"/>
      <c r="G15761" s="2"/>
      <c r="H15761" s="2"/>
      <c r="I15761" s="2"/>
      <c r="J15761" s="2"/>
      <c r="K15761" s="2"/>
      <c r="L15761" s="2"/>
      <c r="M15761" s="2"/>
      <c r="N15761" s="2"/>
      <c r="O15761" s="2"/>
      <c r="P15761" s="2"/>
      <c r="Q15761" s="2"/>
      <c r="R15761" s="2"/>
      <c r="S15761" s="2"/>
      <c r="T15761" s="2"/>
      <c r="U15761" s="2"/>
      <c r="V15761" s="2"/>
      <c r="W15761" s="2"/>
      <c r="X15761" s="2"/>
      <c r="Y15761" s="2"/>
      <c r="Z15761" s="2"/>
    </row>
    <row r="15762" spans="1:26" ht="16.5" x14ac:dyDescent="0.35">
      <c r="A15762" s="2"/>
      <c r="B15762" s="2"/>
      <c r="C15762" s="2"/>
      <c r="D15762" s="2"/>
      <c r="E15762" s="2"/>
      <c r="F15762" s="2"/>
      <c r="G15762" s="2"/>
      <c r="H15762" s="2"/>
      <c r="I15762" s="2"/>
      <c r="J15762" s="2"/>
      <c r="K15762" s="2"/>
      <c r="L15762" s="2"/>
      <c r="M15762" s="2"/>
      <c r="N15762" s="2"/>
      <c r="O15762" s="2"/>
      <c r="P15762" s="2"/>
      <c r="Q15762" s="2"/>
      <c r="R15762" s="2"/>
      <c r="S15762" s="2"/>
      <c r="T15762" s="2"/>
      <c r="U15762" s="2"/>
      <c r="V15762" s="2"/>
      <c r="W15762" s="2"/>
      <c r="X15762" s="2"/>
      <c r="Y15762" s="2"/>
      <c r="Z15762" s="2"/>
    </row>
    <row r="15763" spans="1:26" ht="16.5" x14ac:dyDescent="0.35">
      <c r="A15763" s="2"/>
      <c r="B15763" s="2"/>
      <c r="C15763" s="2"/>
      <c r="D15763" s="2"/>
      <c r="E15763" s="2"/>
      <c r="F15763" s="2"/>
      <c r="G15763" s="2"/>
      <c r="H15763" s="2"/>
      <c r="I15763" s="2"/>
      <c r="J15763" s="2"/>
      <c r="K15763" s="2"/>
      <c r="L15763" s="2"/>
      <c r="M15763" s="2"/>
      <c r="N15763" s="2"/>
      <c r="O15763" s="2"/>
      <c r="P15763" s="2"/>
      <c r="Q15763" s="2"/>
      <c r="R15763" s="2"/>
      <c r="S15763" s="2"/>
      <c r="T15763" s="2"/>
      <c r="U15763" s="2"/>
      <c r="V15763" s="2"/>
      <c r="W15763" s="2"/>
      <c r="X15763" s="2"/>
      <c r="Y15763" s="2"/>
      <c r="Z15763" s="2"/>
    </row>
    <row r="15764" spans="1:26" ht="16.5" x14ac:dyDescent="0.35">
      <c r="A15764" s="2"/>
      <c r="B15764" s="2"/>
      <c r="C15764" s="2"/>
      <c r="D15764" s="2"/>
      <c r="E15764" s="2"/>
      <c r="F15764" s="2"/>
      <c r="G15764" s="2"/>
      <c r="H15764" s="2"/>
      <c r="I15764" s="2"/>
      <c r="J15764" s="2"/>
      <c r="K15764" s="2"/>
      <c r="L15764" s="2"/>
      <c r="M15764" s="2"/>
      <c r="N15764" s="2"/>
      <c r="O15764" s="2"/>
      <c r="P15764" s="2"/>
      <c r="Q15764" s="2"/>
      <c r="R15764" s="2"/>
      <c r="S15764" s="2"/>
      <c r="T15764" s="2"/>
      <c r="U15764" s="2"/>
      <c r="V15764" s="2"/>
      <c r="W15764" s="2"/>
      <c r="X15764" s="2"/>
      <c r="Y15764" s="2"/>
      <c r="Z15764" s="2"/>
    </row>
    <row r="15765" spans="1:26" ht="16.5" x14ac:dyDescent="0.35">
      <c r="A15765" s="2"/>
      <c r="B15765" s="2"/>
      <c r="C15765" s="2"/>
      <c r="D15765" s="2"/>
      <c r="E15765" s="2"/>
      <c r="F15765" s="2"/>
      <c r="G15765" s="2"/>
      <c r="H15765" s="2"/>
      <c r="I15765" s="2"/>
      <c r="J15765" s="2"/>
      <c r="K15765" s="2"/>
      <c r="L15765" s="2"/>
      <c r="M15765" s="2"/>
      <c r="N15765" s="2"/>
      <c r="O15765" s="2"/>
      <c r="P15765" s="2"/>
      <c r="Q15765" s="2"/>
      <c r="R15765" s="2"/>
      <c r="S15765" s="2"/>
      <c r="T15765" s="2"/>
      <c r="U15765" s="2"/>
      <c r="V15765" s="2"/>
      <c r="W15765" s="2"/>
      <c r="X15765" s="2"/>
      <c r="Y15765" s="2"/>
      <c r="Z15765" s="2"/>
    </row>
    <row r="15766" spans="1:26" ht="16.5" x14ac:dyDescent="0.35">
      <c r="A15766" s="2"/>
      <c r="B15766" s="2"/>
      <c r="C15766" s="2"/>
      <c r="D15766" s="2"/>
      <c r="E15766" s="2"/>
      <c r="F15766" s="2"/>
      <c r="G15766" s="2"/>
      <c r="H15766" s="2"/>
      <c r="I15766" s="2"/>
      <c r="J15766" s="2"/>
      <c r="K15766" s="2"/>
      <c r="L15766" s="2"/>
      <c r="M15766" s="2"/>
      <c r="N15766" s="2"/>
      <c r="O15766" s="2"/>
      <c r="P15766" s="2"/>
      <c r="Q15766" s="2"/>
      <c r="R15766" s="2"/>
      <c r="S15766" s="2"/>
      <c r="T15766" s="2"/>
      <c r="U15766" s="2"/>
      <c r="V15766" s="2"/>
      <c r="W15766" s="2"/>
      <c r="X15766" s="2"/>
      <c r="Y15766" s="2"/>
      <c r="Z15766" s="2"/>
    </row>
    <row r="15767" spans="1:26" ht="16.5" x14ac:dyDescent="0.35">
      <c r="A15767" s="2"/>
      <c r="B15767" s="2"/>
      <c r="C15767" s="2"/>
      <c r="D15767" s="2"/>
      <c r="E15767" s="2"/>
      <c r="F15767" s="2"/>
      <c r="G15767" s="2"/>
      <c r="H15767" s="2"/>
      <c r="I15767" s="2"/>
      <c r="J15767" s="2"/>
      <c r="K15767" s="2"/>
      <c r="L15767" s="2"/>
      <c r="M15767" s="2"/>
      <c r="N15767" s="2"/>
      <c r="O15767" s="2"/>
      <c r="P15767" s="2"/>
      <c r="Q15767" s="2"/>
      <c r="R15767" s="2"/>
      <c r="S15767" s="2"/>
      <c r="T15767" s="2"/>
      <c r="U15767" s="2"/>
      <c r="V15767" s="2"/>
      <c r="W15767" s="2"/>
      <c r="X15767" s="2"/>
      <c r="Y15767" s="2"/>
      <c r="Z15767" s="2"/>
    </row>
    <row r="15768" spans="1:26" ht="16.5" x14ac:dyDescent="0.35">
      <c r="A15768" s="2"/>
      <c r="B15768" s="2"/>
      <c r="C15768" s="2"/>
      <c r="D15768" s="2"/>
      <c r="E15768" s="2"/>
      <c r="F15768" s="2"/>
      <c r="G15768" s="2"/>
      <c r="H15768" s="2"/>
      <c r="I15768" s="2"/>
      <c r="J15768" s="2"/>
      <c r="K15768" s="2"/>
      <c r="L15768" s="2"/>
      <c r="M15768" s="2"/>
      <c r="N15768" s="2"/>
      <c r="O15768" s="2"/>
      <c r="P15768" s="2"/>
      <c r="Q15768" s="2"/>
      <c r="R15768" s="2"/>
      <c r="S15768" s="2"/>
      <c r="T15768" s="2"/>
      <c r="U15768" s="2"/>
      <c r="V15768" s="2"/>
      <c r="W15768" s="2"/>
      <c r="X15768" s="2"/>
      <c r="Y15768" s="2"/>
      <c r="Z15768" s="2"/>
    </row>
    <row r="15769" spans="1:26" ht="16.5" x14ac:dyDescent="0.35">
      <c r="A15769" s="2"/>
      <c r="B15769" s="2"/>
      <c r="C15769" s="2"/>
      <c r="D15769" s="2"/>
      <c r="E15769" s="2"/>
      <c r="F15769" s="2"/>
      <c r="G15769" s="2"/>
      <c r="H15769" s="2"/>
      <c r="I15769" s="2"/>
      <c r="J15769" s="2"/>
      <c r="K15769" s="2"/>
      <c r="L15769" s="2"/>
      <c r="M15769" s="2"/>
      <c r="N15769" s="2"/>
      <c r="O15769" s="2"/>
      <c r="P15769" s="2"/>
      <c r="Q15769" s="2"/>
      <c r="R15769" s="2"/>
      <c r="S15769" s="2"/>
      <c r="T15769" s="2"/>
      <c r="U15769" s="2"/>
      <c r="V15769" s="2"/>
      <c r="W15769" s="2"/>
      <c r="X15769" s="2"/>
      <c r="Y15769" s="2"/>
      <c r="Z15769" s="2"/>
    </row>
    <row r="15770" spans="1:26" ht="16.5" x14ac:dyDescent="0.35">
      <c r="A15770" s="2"/>
      <c r="B15770" s="2"/>
      <c r="C15770" s="2"/>
      <c r="D15770" s="2"/>
      <c r="E15770" s="2"/>
      <c r="F15770" s="2"/>
      <c r="G15770" s="2"/>
      <c r="H15770" s="2"/>
      <c r="I15770" s="2"/>
      <c r="J15770" s="2"/>
      <c r="K15770" s="2"/>
      <c r="L15770" s="2"/>
      <c r="M15770" s="2"/>
      <c r="N15770" s="2"/>
      <c r="O15770" s="2"/>
      <c r="P15770" s="2"/>
      <c r="Q15770" s="2"/>
      <c r="R15770" s="2"/>
      <c r="S15770" s="2"/>
      <c r="T15770" s="2"/>
      <c r="U15770" s="2"/>
      <c r="V15770" s="2"/>
      <c r="W15770" s="2"/>
      <c r="X15770" s="2"/>
      <c r="Y15770" s="2"/>
      <c r="Z15770" s="2"/>
    </row>
    <row r="15771" spans="1:26" ht="16.5" x14ac:dyDescent="0.35">
      <c r="A15771" s="2"/>
      <c r="B15771" s="2"/>
      <c r="C15771" s="2"/>
      <c r="D15771" s="2"/>
      <c r="E15771" s="2"/>
      <c r="F15771" s="2"/>
      <c r="G15771" s="2"/>
      <c r="H15771" s="2"/>
      <c r="I15771" s="2"/>
      <c r="J15771" s="2"/>
      <c r="K15771" s="2"/>
      <c r="L15771" s="2"/>
      <c r="M15771" s="2"/>
      <c r="N15771" s="2"/>
      <c r="O15771" s="2"/>
      <c r="P15771" s="2"/>
      <c r="Q15771" s="2"/>
      <c r="R15771" s="2"/>
      <c r="S15771" s="2"/>
      <c r="T15771" s="2"/>
      <c r="U15771" s="2"/>
      <c r="V15771" s="2"/>
      <c r="W15771" s="2"/>
      <c r="X15771" s="2"/>
      <c r="Y15771" s="2"/>
      <c r="Z15771" s="2"/>
    </row>
    <row r="15772" spans="1:26" ht="16.5" x14ac:dyDescent="0.35">
      <c r="A15772" s="2"/>
      <c r="B15772" s="2"/>
      <c r="C15772" s="2"/>
      <c r="D15772" s="2"/>
      <c r="E15772" s="2"/>
      <c r="F15772" s="2"/>
      <c r="G15772" s="2"/>
      <c r="H15772" s="2"/>
      <c r="I15772" s="2"/>
      <c r="J15772" s="2"/>
      <c r="K15772" s="2"/>
      <c r="L15772" s="2"/>
      <c r="M15772" s="2"/>
      <c r="N15772" s="2"/>
      <c r="O15772" s="2"/>
      <c r="P15772" s="2"/>
      <c r="Q15772" s="2"/>
      <c r="R15772" s="2"/>
      <c r="S15772" s="2"/>
      <c r="T15772" s="2"/>
      <c r="U15772" s="2"/>
      <c r="V15772" s="2"/>
      <c r="W15772" s="2"/>
      <c r="X15772" s="2"/>
      <c r="Y15772" s="2"/>
      <c r="Z15772" s="2"/>
    </row>
    <row r="15773" spans="1:26" ht="16.5" x14ac:dyDescent="0.35">
      <c r="A15773" s="2"/>
      <c r="B15773" s="2"/>
      <c r="C15773" s="2"/>
      <c r="D15773" s="2"/>
      <c r="E15773" s="2"/>
      <c r="F15773" s="2"/>
      <c r="G15773" s="2"/>
      <c r="H15773" s="2"/>
      <c r="I15773" s="2"/>
      <c r="J15773" s="2"/>
      <c r="K15773" s="2"/>
      <c r="L15773" s="2"/>
      <c r="M15773" s="2"/>
      <c r="N15773" s="2"/>
      <c r="O15773" s="2"/>
      <c r="P15773" s="2"/>
      <c r="Q15773" s="2"/>
      <c r="R15773" s="2"/>
      <c r="S15773" s="2"/>
      <c r="T15773" s="2"/>
      <c r="U15773" s="2"/>
      <c r="V15773" s="2"/>
      <c r="W15773" s="2"/>
      <c r="X15773" s="2"/>
      <c r="Y15773" s="2"/>
      <c r="Z15773" s="2"/>
    </row>
    <row r="15774" spans="1:26" ht="16.5" x14ac:dyDescent="0.35">
      <c r="A15774" s="2"/>
      <c r="B15774" s="2"/>
      <c r="C15774" s="2"/>
      <c r="D15774" s="2"/>
      <c r="E15774" s="2"/>
      <c r="F15774" s="2"/>
      <c r="G15774" s="2"/>
      <c r="H15774" s="2"/>
      <c r="I15774" s="2"/>
      <c r="J15774" s="2"/>
      <c r="K15774" s="2"/>
      <c r="L15774" s="2"/>
      <c r="M15774" s="2"/>
      <c r="N15774" s="2"/>
      <c r="O15774" s="2"/>
      <c r="P15774" s="2"/>
      <c r="Q15774" s="2"/>
      <c r="R15774" s="2"/>
      <c r="S15774" s="2"/>
      <c r="T15774" s="2"/>
      <c r="U15774" s="2"/>
      <c r="V15774" s="2"/>
      <c r="W15774" s="2"/>
      <c r="X15774" s="2"/>
      <c r="Y15774" s="2"/>
      <c r="Z15774" s="2"/>
    </row>
    <row r="15775" spans="1:26" ht="16.5" x14ac:dyDescent="0.35">
      <c r="A15775" s="2"/>
      <c r="B15775" s="2"/>
      <c r="C15775" s="2"/>
      <c r="D15775" s="2"/>
      <c r="E15775" s="2"/>
      <c r="F15775" s="2"/>
      <c r="G15775" s="2"/>
      <c r="H15775" s="2"/>
      <c r="I15775" s="2"/>
      <c r="J15775" s="2"/>
      <c r="K15775" s="2"/>
      <c r="L15775" s="2"/>
      <c r="M15775" s="2"/>
      <c r="N15775" s="2"/>
      <c r="O15775" s="2"/>
      <c r="P15775" s="2"/>
      <c r="Q15775" s="2"/>
      <c r="R15775" s="2"/>
      <c r="S15775" s="2"/>
      <c r="T15775" s="2"/>
      <c r="U15775" s="2"/>
      <c r="V15775" s="2"/>
      <c r="W15775" s="2"/>
      <c r="X15775" s="2"/>
      <c r="Y15775" s="2"/>
      <c r="Z15775" s="2"/>
    </row>
    <row r="15776" spans="1:26" ht="16.5" x14ac:dyDescent="0.35">
      <c r="A15776" s="2"/>
      <c r="B15776" s="2"/>
      <c r="C15776" s="2"/>
      <c r="D15776" s="2"/>
      <c r="E15776" s="2"/>
      <c r="F15776" s="2"/>
      <c r="G15776" s="2"/>
      <c r="H15776" s="2"/>
      <c r="I15776" s="2"/>
      <c r="J15776" s="2"/>
      <c r="K15776" s="2"/>
      <c r="L15776" s="2"/>
      <c r="M15776" s="2"/>
      <c r="N15776" s="2"/>
      <c r="O15776" s="2"/>
      <c r="P15776" s="2"/>
      <c r="Q15776" s="2"/>
      <c r="R15776" s="2"/>
      <c r="S15776" s="2"/>
      <c r="T15776" s="2"/>
      <c r="U15776" s="2"/>
      <c r="V15776" s="2"/>
      <c r="W15776" s="2"/>
      <c r="X15776" s="2"/>
      <c r="Y15776" s="2"/>
      <c r="Z15776" s="2"/>
    </row>
    <row r="15777" spans="1:26" ht="16.5" x14ac:dyDescent="0.35">
      <c r="A15777" s="2"/>
      <c r="B15777" s="2"/>
      <c r="C15777" s="2"/>
      <c r="D15777" s="2"/>
      <c r="E15777" s="2"/>
      <c r="F15777" s="2"/>
      <c r="G15777" s="2"/>
      <c r="H15777" s="2"/>
      <c r="I15777" s="2"/>
      <c r="J15777" s="2"/>
      <c r="K15777" s="2"/>
      <c r="L15777" s="2"/>
      <c r="M15777" s="2"/>
      <c r="N15777" s="2"/>
      <c r="O15777" s="2"/>
      <c r="P15777" s="2"/>
      <c r="Q15777" s="2"/>
      <c r="R15777" s="2"/>
      <c r="S15777" s="2"/>
      <c r="T15777" s="2"/>
      <c r="U15777" s="2"/>
      <c r="V15777" s="2"/>
      <c r="W15777" s="2"/>
      <c r="X15777" s="2"/>
      <c r="Y15777" s="2"/>
      <c r="Z15777" s="2"/>
    </row>
    <row r="15778" spans="1:26" ht="16.5" x14ac:dyDescent="0.35">
      <c r="A15778" s="2"/>
      <c r="B15778" s="2"/>
      <c r="C15778" s="2"/>
      <c r="D15778" s="2"/>
      <c r="E15778" s="2"/>
      <c r="F15778" s="2"/>
      <c r="G15778" s="2"/>
      <c r="H15778" s="2"/>
      <c r="I15778" s="2"/>
      <c r="J15778" s="2"/>
      <c r="K15778" s="2"/>
      <c r="L15778" s="2"/>
      <c r="M15778" s="2"/>
      <c r="N15778" s="2"/>
      <c r="O15778" s="2"/>
      <c r="P15778" s="2"/>
      <c r="Q15778" s="2"/>
      <c r="R15778" s="2"/>
      <c r="S15778" s="2"/>
      <c r="T15778" s="2"/>
      <c r="U15778" s="2"/>
      <c r="V15778" s="2"/>
      <c r="W15778" s="2"/>
      <c r="X15778" s="2"/>
      <c r="Y15778" s="2"/>
      <c r="Z15778" s="2"/>
    </row>
    <row r="15779" spans="1:26" ht="16.5" x14ac:dyDescent="0.35">
      <c r="A15779" s="2"/>
      <c r="B15779" s="2"/>
      <c r="C15779" s="2"/>
      <c r="D15779" s="2"/>
      <c r="E15779" s="2"/>
      <c r="F15779" s="2"/>
      <c r="G15779" s="2"/>
      <c r="H15779" s="2"/>
      <c r="I15779" s="2"/>
      <c r="J15779" s="2"/>
      <c r="K15779" s="2"/>
      <c r="L15779" s="2"/>
      <c r="M15779" s="2"/>
      <c r="N15779" s="2"/>
      <c r="O15779" s="2"/>
      <c r="P15779" s="2"/>
      <c r="Q15779" s="2"/>
      <c r="R15779" s="2"/>
      <c r="S15779" s="2"/>
      <c r="T15779" s="2"/>
      <c r="U15779" s="2"/>
      <c r="V15779" s="2"/>
      <c r="W15779" s="2"/>
      <c r="X15779" s="2"/>
      <c r="Y15779" s="2"/>
      <c r="Z15779" s="2"/>
    </row>
    <row r="15780" spans="1:26" ht="16.5" x14ac:dyDescent="0.35">
      <c r="A15780" s="2"/>
      <c r="B15780" s="2"/>
      <c r="C15780" s="2"/>
      <c r="D15780" s="2"/>
      <c r="E15780" s="2"/>
      <c r="F15780" s="2"/>
      <c r="G15780" s="2"/>
      <c r="H15780" s="2"/>
      <c r="I15780" s="2"/>
      <c r="J15780" s="2"/>
      <c r="K15780" s="2"/>
      <c r="L15780" s="2"/>
      <c r="M15780" s="2"/>
      <c r="N15780" s="2"/>
      <c r="O15780" s="2"/>
      <c r="P15780" s="2"/>
      <c r="Q15780" s="2"/>
      <c r="R15780" s="2"/>
      <c r="S15780" s="2"/>
      <c r="T15780" s="2"/>
      <c r="U15780" s="2"/>
      <c r="V15780" s="2"/>
      <c r="W15780" s="2"/>
      <c r="X15780" s="2"/>
      <c r="Y15780" s="2"/>
      <c r="Z15780" s="2"/>
    </row>
    <row r="15781" spans="1:26" ht="16.5" x14ac:dyDescent="0.35">
      <c r="A15781" s="2"/>
      <c r="B15781" s="2"/>
      <c r="C15781" s="2"/>
      <c r="D15781" s="2"/>
      <c r="E15781" s="2"/>
      <c r="F15781" s="2"/>
      <c r="G15781" s="2"/>
      <c r="H15781" s="2"/>
      <c r="I15781" s="2"/>
      <c r="J15781" s="2"/>
      <c r="K15781" s="2"/>
      <c r="L15781" s="2"/>
      <c r="M15781" s="2"/>
      <c r="N15781" s="2"/>
      <c r="O15781" s="2"/>
      <c r="P15781" s="2"/>
      <c r="Q15781" s="2"/>
      <c r="R15781" s="2"/>
      <c r="S15781" s="2"/>
      <c r="T15781" s="2"/>
      <c r="U15781" s="2"/>
      <c r="V15781" s="2"/>
      <c r="W15781" s="2"/>
      <c r="X15781" s="2"/>
      <c r="Y15781" s="2"/>
      <c r="Z15781" s="2"/>
    </row>
    <row r="15782" spans="1:26" ht="16.5" x14ac:dyDescent="0.35">
      <c r="A15782" s="2"/>
      <c r="B15782" s="2"/>
      <c r="C15782" s="2"/>
      <c r="D15782" s="2"/>
      <c r="E15782" s="2"/>
      <c r="F15782" s="2"/>
      <c r="G15782" s="2"/>
      <c r="H15782" s="2"/>
      <c r="I15782" s="2"/>
      <c r="J15782" s="2"/>
      <c r="K15782" s="2"/>
      <c r="L15782" s="2"/>
      <c r="M15782" s="2"/>
      <c r="N15782" s="2"/>
      <c r="O15782" s="2"/>
      <c r="P15782" s="2"/>
      <c r="Q15782" s="2"/>
      <c r="R15782" s="2"/>
      <c r="S15782" s="2"/>
      <c r="T15782" s="2"/>
      <c r="U15782" s="2"/>
      <c r="V15782" s="2"/>
      <c r="W15782" s="2"/>
      <c r="X15782" s="2"/>
      <c r="Y15782" s="2"/>
      <c r="Z15782" s="2"/>
    </row>
    <row r="15783" spans="1:26" ht="16.5" x14ac:dyDescent="0.35">
      <c r="A15783" s="2"/>
      <c r="B15783" s="2"/>
      <c r="C15783" s="2"/>
      <c r="D15783" s="2"/>
      <c r="E15783" s="2"/>
      <c r="F15783" s="2"/>
      <c r="G15783" s="2"/>
      <c r="H15783" s="2"/>
      <c r="I15783" s="2"/>
      <c r="J15783" s="2"/>
      <c r="K15783" s="2"/>
      <c r="L15783" s="2"/>
      <c r="M15783" s="2"/>
      <c r="N15783" s="2"/>
      <c r="O15783" s="2"/>
      <c r="P15783" s="2"/>
      <c r="Q15783" s="2"/>
      <c r="R15783" s="2"/>
      <c r="S15783" s="2"/>
      <c r="T15783" s="2"/>
      <c r="U15783" s="2"/>
      <c r="V15783" s="2"/>
      <c r="W15783" s="2"/>
      <c r="X15783" s="2"/>
      <c r="Y15783" s="2"/>
      <c r="Z15783" s="2"/>
    </row>
    <row r="15784" spans="1:26" ht="16.5" x14ac:dyDescent="0.35">
      <c r="A15784" s="2"/>
      <c r="B15784" s="2"/>
      <c r="C15784" s="2"/>
      <c r="D15784" s="2"/>
      <c r="E15784" s="2"/>
      <c r="F15784" s="2"/>
      <c r="G15784" s="2"/>
      <c r="H15784" s="2"/>
      <c r="I15784" s="2"/>
      <c r="J15784" s="2"/>
      <c r="K15784" s="2"/>
      <c r="L15784" s="2"/>
      <c r="M15784" s="2"/>
      <c r="N15784" s="2"/>
      <c r="O15784" s="2"/>
      <c r="P15784" s="2"/>
      <c r="Q15784" s="2"/>
      <c r="R15784" s="2"/>
      <c r="S15784" s="2"/>
      <c r="T15784" s="2"/>
      <c r="U15784" s="2"/>
      <c r="V15784" s="2"/>
      <c r="W15784" s="2"/>
      <c r="X15784" s="2"/>
      <c r="Y15784" s="2"/>
      <c r="Z15784" s="2"/>
    </row>
    <row r="15785" spans="1:26" ht="16.5" x14ac:dyDescent="0.35">
      <c r="A15785" s="2"/>
      <c r="B15785" s="2"/>
      <c r="C15785" s="2"/>
      <c r="D15785" s="2"/>
      <c r="E15785" s="2"/>
      <c r="F15785" s="2"/>
      <c r="G15785" s="2"/>
      <c r="H15785" s="2"/>
      <c r="I15785" s="2"/>
      <c r="J15785" s="2"/>
      <c r="K15785" s="2"/>
      <c r="L15785" s="2"/>
      <c r="M15785" s="2"/>
      <c r="N15785" s="2"/>
      <c r="O15785" s="2"/>
      <c r="P15785" s="2"/>
      <c r="Q15785" s="2"/>
      <c r="R15785" s="2"/>
      <c r="S15785" s="2"/>
      <c r="T15785" s="2"/>
      <c r="U15785" s="2"/>
      <c r="V15785" s="2"/>
      <c r="W15785" s="2"/>
      <c r="X15785" s="2"/>
      <c r="Y15785" s="2"/>
      <c r="Z15785" s="2"/>
    </row>
    <row r="15786" spans="1:26" ht="16.5" x14ac:dyDescent="0.35">
      <c r="A15786" s="2"/>
      <c r="B15786" s="2"/>
      <c r="C15786" s="2"/>
      <c r="D15786" s="2"/>
      <c r="E15786" s="2"/>
      <c r="F15786" s="2"/>
      <c r="G15786" s="2"/>
      <c r="H15786" s="2"/>
      <c r="I15786" s="2"/>
      <c r="J15786" s="2"/>
      <c r="K15786" s="2"/>
      <c r="L15786" s="2"/>
      <c r="M15786" s="2"/>
      <c r="N15786" s="2"/>
      <c r="O15786" s="2"/>
      <c r="P15786" s="2"/>
      <c r="Q15786" s="2"/>
      <c r="R15786" s="2"/>
      <c r="S15786" s="2"/>
      <c r="T15786" s="2"/>
      <c r="U15786" s="2"/>
      <c r="V15786" s="2"/>
      <c r="W15786" s="2"/>
      <c r="X15786" s="2"/>
      <c r="Y15786" s="2"/>
      <c r="Z15786" s="2"/>
    </row>
    <row r="15787" spans="1:26" ht="16.5" x14ac:dyDescent="0.35">
      <c r="A15787" s="2"/>
      <c r="B15787" s="2"/>
      <c r="C15787" s="2"/>
      <c r="D15787" s="2"/>
      <c r="E15787" s="2"/>
      <c r="F15787" s="2"/>
      <c r="G15787" s="2"/>
      <c r="H15787" s="2"/>
      <c r="I15787" s="2"/>
      <c r="J15787" s="2"/>
      <c r="K15787" s="2"/>
      <c r="L15787" s="2"/>
      <c r="M15787" s="2"/>
      <c r="N15787" s="2"/>
      <c r="O15787" s="2"/>
      <c r="P15787" s="2"/>
      <c r="Q15787" s="2"/>
      <c r="R15787" s="2"/>
      <c r="S15787" s="2"/>
      <c r="T15787" s="2"/>
      <c r="U15787" s="2"/>
      <c r="V15787" s="2"/>
      <c r="W15787" s="2"/>
      <c r="X15787" s="2"/>
      <c r="Y15787" s="2"/>
      <c r="Z15787" s="2"/>
    </row>
    <row r="15788" spans="1:26" ht="16.5" x14ac:dyDescent="0.35">
      <c r="A15788" s="2"/>
      <c r="B15788" s="2"/>
      <c r="C15788" s="2"/>
      <c r="D15788" s="2"/>
      <c r="E15788" s="2"/>
      <c r="F15788" s="2"/>
      <c r="G15788" s="2"/>
      <c r="H15788" s="2"/>
      <c r="I15788" s="2"/>
      <c r="J15788" s="2"/>
      <c r="K15788" s="2"/>
      <c r="L15788" s="2"/>
      <c r="M15788" s="2"/>
      <c r="N15788" s="2"/>
      <c r="O15788" s="2"/>
      <c r="P15788" s="2"/>
      <c r="Q15788" s="2"/>
      <c r="R15788" s="2"/>
      <c r="S15788" s="2"/>
      <c r="T15788" s="2"/>
      <c r="U15788" s="2"/>
      <c r="V15788" s="2"/>
      <c r="W15788" s="2"/>
      <c r="X15788" s="2"/>
      <c r="Y15788" s="2"/>
      <c r="Z15788" s="2"/>
    </row>
    <row r="15789" spans="1:26" ht="16.5" x14ac:dyDescent="0.35">
      <c r="A15789" s="2"/>
      <c r="B15789" s="2"/>
      <c r="C15789" s="2"/>
      <c r="D15789" s="2"/>
      <c r="E15789" s="2"/>
      <c r="F15789" s="2"/>
      <c r="G15789" s="2"/>
      <c r="H15789" s="2"/>
      <c r="I15789" s="2"/>
      <c r="J15789" s="2"/>
      <c r="K15789" s="2"/>
      <c r="L15789" s="2"/>
      <c r="M15789" s="2"/>
      <c r="N15789" s="2"/>
      <c r="O15789" s="2"/>
      <c r="P15789" s="2"/>
      <c r="Q15789" s="2"/>
      <c r="R15789" s="2"/>
      <c r="S15789" s="2"/>
      <c r="T15789" s="2"/>
      <c r="U15789" s="2"/>
      <c r="V15789" s="2"/>
      <c r="W15789" s="2"/>
      <c r="X15789" s="2"/>
      <c r="Y15789" s="2"/>
      <c r="Z15789" s="2"/>
    </row>
    <row r="15790" spans="1:26" ht="16.5" x14ac:dyDescent="0.35">
      <c r="A15790" s="2"/>
      <c r="B15790" s="2"/>
      <c r="C15790" s="2"/>
      <c r="D15790" s="2"/>
      <c r="E15790" s="2"/>
      <c r="F15790" s="2"/>
      <c r="G15790" s="2"/>
      <c r="H15790" s="2"/>
      <c r="I15790" s="2"/>
      <c r="J15790" s="2"/>
      <c r="K15790" s="2"/>
      <c r="L15790" s="2"/>
      <c r="M15790" s="2"/>
      <c r="N15790" s="2"/>
      <c r="O15790" s="2"/>
      <c r="P15790" s="2"/>
      <c r="Q15790" s="2"/>
      <c r="R15790" s="2"/>
      <c r="S15790" s="2"/>
      <c r="T15790" s="2"/>
      <c r="U15790" s="2"/>
      <c r="V15790" s="2"/>
      <c r="W15790" s="2"/>
      <c r="X15790" s="2"/>
      <c r="Y15790" s="2"/>
      <c r="Z15790" s="2"/>
    </row>
    <row r="15791" spans="1:26" ht="16.5" x14ac:dyDescent="0.35">
      <c r="A15791" s="2"/>
      <c r="B15791" s="2"/>
      <c r="C15791" s="2"/>
      <c r="D15791" s="2"/>
      <c r="E15791" s="2"/>
      <c r="F15791" s="2"/>
      <c r="G15791" s="2"/>
      <c r="H15791" s="2"/>
      <c r="I15791" s="2"/>
      <c r="J15791" s="2"/>
      <c r="K15791" s="2"/>
      <c r="L15791" s="2"/>
      <c r="M15791" s="2"/>
      <c r="N15791" s="2"/>
      <c r="O15791" s="2"/>
      <c r="P15791" s="2"/>
      <c r="Q15791" s="2"/>
      <c r="R15791" s="2"/>
      <c r="S15791" s="2"/>
      <c r="T15791" s="2"/>
      <c r="U15791" s="2"/>
      <c r="V15791" s="2"/>
      <c r="W15791" s="2"/>
      <c r="X15791" s="2"/>
      <c r="Y15791" s="2"/>
      <c r="Z15791" s="2"/>
    </row>
    <row r="15792" spans="1:26" ht="16.5" x14ac:dyDescent="0.35">
      <c r="A15792" s="2"/>
      <c r="B15792" s="2"/>
      <c r="C15792" s="2"/>
      <c r="D15792" s="2"/>
      <c r="E15792" s="2"/>
      <c r="F15792" s="2"/>
      <c r="G15792" s="2"/>
      <c r="H15792" s="2"/>
      <c r="I15792" s="2"/>
      <c r="J15792" s="2"/>
      <c r="K15792" s="2"/>
      <c r="L15792" s="2"/>
      <c r="M15792" s="2"/>
      <c r="N15792" s="2"/>
      <c r="O15792" s="2"/>
      <c r="P15792" s="2"/>
      <c r="Q15792" s="2"/>
      <c r="R15792" s="2"/>
      <c r="S15792" s="2"/>
      <c r="T15792" s="2"/>
      <c r="U15792" s="2"/>
      <c r="V15792" s="2"/>
      <c r="W15792" s="2"/>
      <c r="X15792" s="2"/>
      <c r="Y15792" s="2"/>
      <c r="Z15792" s="2"/>
    </row>
    <row r="15793" spans="1:26" ht="16.5" x14ac:dyDescent="0.35">
      <c r="A15793" s="2"/>
      <c r="B15793" s="2"/>
      <c r="C15793" s="2"/>
      <c r="D15793" s="2"/>
      <c r="E15793" s="2"/>
      <c r="F15793" s="2"/>
      <c r="G15793" s="2"/>
      <c r="H15793" s="2"/>
      <c r="I15793" s="2"/>
      <c r="J15793" s="2"/>
      <c r="K15793" s="2"/>
      <c r="L15793" s="2"/>
      <c r="M15793" s="2"/>
      <c r="N15793" s="2"/>
      <c r="O15793" s="2"/>
      <c r="P15793" s="2"/>
      <c r="Q15793" s="2"/>
      <c r="R15793" s="2"/>
      <c r="S15793" s="2"/>
      <c r="T15793" s="2"/>
      <c r="U15793" s="2"/>
      <c r="V15793" s="2"/>
      <c r="W15793" s="2"/>
      <c r="X15793" s="2"/>
      <c r="Y15793" s="2"/>
      <c r="Z15793" s="2"/>
    </row>
    <row r="15794" spans="1:26" ht="16.5" x14ac:dyDescent="0.35">
      <c r="A15794" s="2"/>
      <c r="B15794" s="2"/>
      <c r="C15794" s="2"/>
      <c r="D15794" s="2"/>
      <c r="E15794" s="2"/>
      <c r="F15794" s="2"/>
      <c r="G15794" s="2"/>
      <c r="H15794" s="2"/>
      <c r="I15794" s="2"/>
      <c r="J15794" s="2"/>
      <c r="K15794" s="2"/>
      <c r="L15794" s="2"/>
      <c r="M15794" s="2"/>
      <c r="N15794" s="2"/>
      <c r="O15794" s="2"/>
      <c r="P15794" s="2"/>
      <c r="Q15794" s="2"/>
      <c r="R15794" s="2"/>
      <c r="S15794" s="2"/>
      <c r="T15794" s="2"/>
      <c r="U15794" s="2"/>
      <c r="V15794" s="2"/>
      <c r="W15794" s="2"/>
      <c r="X15794" s="2"/>
      <c r="Y15794" s="2"/>
      <c r="Z15794" s="2"/>
    </row>
    <row r="15795" spans="1:26" ht="16.5" x14ac:dyDescent="0.35">
      <c r="A15795" s="2"/>
      <c r="B15795" s="2"/>
      <c r="C15795" s="2"/>
      <c r="D15795" s="2"/>
      <c r="E15795" s="2"/>
      <c r="F15795" s="2"/>
      <c r="G15795" s="2"/>
      <c r="H15795" s="2"/>
      <c r="I15795" s="2"/>
      <c r="J15795" s="2"/>
      <c r="K15795" s="2"/>
      <c r="L15795" s="2"/>
      <c r="M15795" s="2"/>
      <c r="N15795" s="2"/>
      <c r="O15795" s="2"/>
      <c r="P15795" s="2"/>
      <c r="Q15795" s="2"/>
      <c r="R15795" s="2"/>
      <c r="S15795" s="2"/>
      <c r="T15795" s="2"/>
      <c r="U15795" s="2"/>
      <c r="V15795" s="2"/>
      <c r="W15795" s="2"/>
      <c r="X15795" s="2"/>
      <c r="Y15795" s="2"/>
      <c r="Z15795" s="2"/>
    </row>
    <row r="15796" spans="1:26" ht="16.5" x14ac:dyDescent="0.35">
      <c r="A15796" s="2"/>
      <c r="B15796" s="2"/>
      <c r="C15796" s="2"/>
      <c r="D15796" s="2"/>
      <c r="E15796" s="2"/>
      <c r="F15796" s="2"/>
      <c r="G15796" s="2"/>
      <c r="H15796" s="2"/>
      <c r="I15796" s="2"/>
      <c r="J15796" s="2"/>
      <c r="K15796" s="2"/>
      <c r="L15796" s="2"/>
      <c r="M15796" s="2"/>
      <c r="N15796" s="2"/>
      <c r="O15796" s="2"/>
      <c r="P15796" s="2"/>
      <c r="Q15796" s="2"/>
      <c r="R15796" s="2"/>
      <c r="S15796" s="2"/>
      <c r="T15796" s="2"/>
      <c r="U15796" s="2"/>
      <c r="V15796" s="2"/>
      <c r="W15796" s="2"/>
      <c r="X15796" s="2"/>
      <c r="Y15796" s="2"/>
      <c r="Z15796" s="2"/>
    </row>
    <row r="15797" spans="1:26" ht="16.5" x14ac:dyDescent="0.35">
      <c r="A15797" s="2"/>
      <c r="B15797" s="2"/>
      <c r="C15797" s="2"/>
      <c r="D15797" s="2"/>
      <c r="E15797" s="2"/>
      <c r="F15797" s="2"/>
      <c r="G15797" s="2"/>
      <c r="H15797" s="2"/>
      <c r="I15797" s="2"/>
      <c r="J15797" s="2"/>
      <c r="K15797" s="2"/>
      <c r="L15797" s="2"/>
      <c r="M15797" s="2"/>
      <c r="N15797" s="2"/>
      <c r="O15797" s="2"/>
      <c r="P15797" s="2"/>
      <c r="Q15797" s="2"/>
      <c r="R15797" s="2"/>
      <c r="S15797" s="2"/>
      <c r="T15797" s="2"/>
      <c r="U15797" s="2"/>
      <c r="V15797" s="2"/>
      <c r="W15797" s="2"/>
      <c r="X15797" s="2"/>
      <c r="Y15797" s="2"/>
      <c r="Z15797" s="2"/>
    </row>
    <row r="15798" spans="1:26" ht="16.5" x14ac:dyDescent="0.35">
      <c r="A15798" s="2"/>
      <c r="B15798" s="2"/>
      <c r="C15798" s="2"/>
      <c r="D15798" s="2"/>
      <c r="E15798" s="2"/>
      <c r="F15798" s="2"/>
      <c r="G15798" s="2"/>
      <c r="H15798" s="2"/>
      <c r="I15798" s="2"/>
      <c r="J15798" s="2"/>
      <c r="K15798" s="2"/>
      <c r="L15798" s="2"/>
      <c r="M15798" s="2"/>
      <c r="N15798" s="2"/>
      <c r="O15798" s="2"/>
      <c r="P15798" s="2"/>
      <c r="Q15798" s="2"/>
      <c r="R15798" s="2"/>
      <c r="S15798" s="2"/>
      <c r="T15798" s="2"/>
      <c r="U15798" s="2"/>
      <c r="V15798" s="2"/>
      <c r="W15798" s="2"/>
      <c r="X15798" s="2"/>
      <c r="Y15798" s="2"/>
      <c r="Z15798" s="2"/>
    </row>
    <row r="15799" spans="1:26" ht="16.5" x14ac:dyDescent="0.35">
      <c r="A15799" s="2"/>
      <c r="B15799" s="2"/>
      <c r="C15799" s="2"/>
      <c r="D15799" s="2"/>
      <c r="E15799" s="2"/>
      <c r="F15799" s="2"/>
      <c r="G15799" s="2"/>
      <c r="H15799" s="2"/>
      <c r="I15799" s="2"/>
      <c r="J15799" s="2"/>
      <c r="K15799" s="2"/>
      <c r="L15799" s="2"/>
      <c r="M15799" s="2"/>
      <c r="N15799" s="2"/>
      <c r="O15799" s="2"/>
      <c r="P15799" s="2"/>
      <c r="Q15799" s="2"/>
      <c r="R15799" s="2"/>
      <c r="S15799" s="2"/>
      <c r="T15799" s="2"/>
      <c r="U15799" s="2"/>
      <c r="V15799" s="2"/>
      <c r="W15799" s="2"/>
      <c r="X15799" s="2"/>
      <c r="Y15799" s="2"/>
      <c r="Z15799" s="2"/>
    </row>
    <row r="15800" spans="1:26" ht="16.5" x14ac:dyDescent="0.35">
      <c r="A15800" s="2"/>
      <c r="B15800" s="2"/>
      <c r="C15800" s="2"/>
      <c r="D15800" s="2"/>
      <c r="E15800" s="2"/>
      <c r="F15800" s="2"/>
      <c r="G15800" s="2"/>
      <c r="H15800" s="2"/>
      <c r="I15800" s="2"/>
      <c r="J15800" s="2"/>
      <c r="K15800" s="2"/>
      <c r="L15800" s="2"/>
      <c r="M15800" s="2"/>
      <c r="N15800" s="2"/>
      <c r="O15800" s="2"/>
      <c r="P15800" s="2"/>
      <c r="Q15800" s="2"/>
      <c r="R15800" s="2"/>
      <c r="S15800" s="2"/>
      <c r="T15800" s="2"/>
      <c r="U15800" s="2"/>
      <c r="V15800" s="2"/>
      <c r="W15800" s="2"/>
      <c r="X15800" s="2"/>
      <c r="Y15800" s="2"/>
      <c r="Z15800" s="2"/>
    </row>
    <row r="15801" spans="1:26" ht="16.5" x14ac:dyDescent="0.35">
      <c r="A15801" s="2"/>
      <c r="B15801" s="2"/>
      <c r="C15801" s="2"/>
      <c r="D15801" s="2"/>
      <c r="E15801" s="2"/>
      <c r="F15801" s="2"/>
      <c r="G15801" s="2"/>
      <c r="H15801" s="2"/>
      <c r="I15801" s="2"/>
      <c r="J15801" s="2"/>
      <c r="K15801" s="2"/>
      <c r="L15801" s="2"/>
      <c r="M15801" s="2"/>
      <c r="N15801" s="2"/>
      <c r="O15801" s="2"/>
      <c r="P15801" s="2"/>
      <c r="Q15801" s="2"/>
      <c r="R15801" s="2"/>
      <c r="S15801" s="2"/>
      <c r="T15801" s="2"/>
      <c r="U15801" s="2"/>
      <c r="V15801" s="2"/>
      <c r="W15801" s="2"/>
      <c r="X15801" s="2"/>
      <c r="Y15801" s="2"/>
      <c r="Z15801" s="2"/>
    </row>
    <row r="15802" spans="1:26" ht="16.5" x14ac:dyDescent="0.35">
      <c r="A15802" s="2"/>
      <c r="B15802" s="2"/>
      <c r="C15802" s="2"/>
      <c r="D15802" s="2"/>
      <c r="E15802" s="2"/>
      <c r="F15802" s="2"/>
      <c r="G15802" s="2"/>
      <c r="H15802" s="2"/>
      <c r="I15802" s="2"/>
      <c r="J15802" s="2"/>
      <c r="K15802" s="2"/>
      <c r="L15802" s="2"/>
      <c r="M15802" s="2"/>
      <c r="N15802" s="2"/>
      <c r="O15802" s="2"/>
      <c r="P15802" s="2"/>
      <c r="Q15802" s="2"/>
      <c r="R15802" s="2"/>
      <c r="S15802" s="2"/>
      <c r="T15802" s="2"/>
      <c r="U15802" s="2"/>
      <c r="V15802" s="2"/>
      <c r="W15802" s="2"/>
      <c r="X15802" s="2"/>
      <c r="Y15802" s="2"/>
      <c r="Z15802" s="2"/>
    </row>
    <row r="15803" spans="1:26" ht="16.5" x14ac:dyDescent="0.35">
      <c r="A15803" s="2"/>
      <c r="B15803" s="2"/>
      <c r="C15803" s="2"/>
      <c r="D15803" s="2"/>
      <c r="E15803" s="2"/>
      <c r="F15803" s="2"/>
      <c r="G15803" s="2"/>
      <c r="H15803" s="2"/>
      <c r="I15803" s="2"/>
      <c r="J15803" s="2"/>
      <c r="K15803" s="2"/>
      <c r="L15803" s="2"/>
      <c r="M15803" s="2"/>
      <c r="N15803" s="2"/>
      <c r="O15803" s="2"/>
      <c r="P15803" s="2"/>
      <c r="Q15803" s="2"/>
      <c r="R15803" s="2"/>
      <c r="S15803" s="2"/>
      <c r="T15803" s="2"/>
      <c r="U15803" s="2"/>
      <c r="V15803" s="2"/>
      <c r="W15803" s="2"/>
      <c r="X15803" s="2"/>
      <c r="Y15803" s="2"/>
      <c r="Z15803" s="2"/>
    </row>
    <row r="15804" spans="1:26" ht="16.5" x14ac:dyDescent="0.35">
      <c r="A15804" s="2"/>
      <c r="B15804" s="2"/>
      <c r="C15804" s="2"/>
      <c r="D15804" s="2"/>
      <c r="E15804" s="2"/>
      <c r="F15804" s="2"/>
      <c r="G15804" s="2"/>
      <c r="H15804" s="2"/>
      <c r="I15804" s="2"/>
      <c r="J15804" s="2"/>
      <c r="K15804" s="2"/>
      <c r="L15804" s="2"/>
      <c r="M15804" s="2"/>
      <c r="N15804" s="2"/>
      <c r="O15804" s="2"/>
      <c r="P15804" s="2"/>
      <c r="Q15804" s="2"/>
      <c r="R15804" s="2"/>
      <c r="S15804" s="2"/>
      <c r="T15804" s="2"/>
      <c r="U15804" s="2"/>
      <c r="V15804" s="2"/>
      <c r="W15804" s="2"/>
      <c r="X15804" s="2"/>
      <c r="Y15804" s="2"/>
      <c r="Z15804" s="2"/>
    </row>
    <row r="15805" spans="1:26" ht="16.5" x14ac:dyDescent="0.35">
      <c r="A15805" s="2"/>
      <c r="B15805" s="2"/>
      <c r="C15805" s="2"/>
      <c r="D15805" s="2"/>
      <c r="E15805" s="2"/>
      <c r="F15805" s="2"/>
      <c r="G15805" s="2"/>
      <c r="H15805" s="2"/>
      <c r="I15805" s="2"/>
      <c r="J15805" s="2"/>
      <c r="K15805" s="2"/>
      <c r="L15805" s="2"/>
      <c r="M15805" s="2"/>
      <c r="N15805" s="2"/>
      <c r="O15805" s="2"/>
      <c r="P15805" s="2"/>
      <c r="Q15805" s="2"/>
      <c r="R15805" s="2"/>
      <c r="S15805" s="2"/>
      <c r="T15805" s="2"/>
      <c r="U15805" s="2"/>
      <c r="V15805" s="2"/>
      <c r="W15805" s="2"/>
      <c r="X15805" s="2"/>
      <c r="Y15805" s="2"/>
      <c r="Z15805" s="2"/>
    </row>
    <row r="15806" spans="1:26" ht="16.5" x14ac:dyDescent="0.35">
      <c r="A15806" s="2"/>
      <c r="B15806" s="2"/>
      <c r="C15806" s="2"/>
      <c r="D15806" s="2"/>
      <c r="E15806" s="2"/>
      <c r="F15806" s="2"/>
      <c r="G15806" s="2"/>
      <c r="H15806" s="2"/>
      <c r="I15806" s="2"/>
      <c r="J15806" s="2"/>
      <c r="K15806" s="2"/>
      <c r="L15806" s="2"/>
      <c r="M15806" s="2"/>
      <c r="N15806" s="2"/>
      <c r="O15806" s="2"/>
      <c r="P15806" s="2"/>
      <c r="Q15806" s="2"/>
      <c r="R15806" s="2"/>
      <c r="S15806" s="2"/>
      <c r="T15806" s="2"/>
      <c r="U15806" s="2"/>
      <c r="V15806" s="2"/>
      <c r="W15806" s="2"/>
      <c r="X15806" s="2"/>
      <c r="Y15806" s="2"/>
      <c r="Z15806" s="2"/>
    </row>
    <row r="15807" spans="1:26" ht="16.5" x14ac:dyDescent="0.35">
      <c r="A15807" s="2"/>
      <c r="B15807" s="2"/>
      <c r="C15807" s="2"/>
      <c r="D15807" s="2"/>
      <c r="E15807" s="2"/>
      <c r="F15807" s="2"/>
      <c r="G15807" s="2"/>
      <c r="H15807" s="2"/>
      <c r="I15807" s="2"/>
      <c r="J15807" s="2"/>
      <c r="K15807" s="2"/>
      <c r="L15807" s="2"/>
      <c r="M15807" s="2"/>
      <c r="N15807" s="2"/>
      <c r="O15807" s="2"/>
      <c r="P15807" s="2"/>
      <c r="Q15807" s="2"/>
      <c r="R15807" s="2"/>
      <c r="S15807" s="2"/>
      <c r="T15807" s="2"/>
      <c r="U15807" s="2"/>
      <c r="V15807" s="2"/>
      <c r="W15807" s="2"/>
      <c r="X15807" s="2"/>
      <c r="Y15807" s="2"/>
      <c r="Z15807" s="2"/>
    </row>
    <row r="15808" spans="1:26" ht="16.5" x14ac:dyDescent="0.35">
      <c r="A15808" s="2"/>
      <c r="B15808" s="2"/>
      <c r="C15808" s="2"/>
      <c r="D15808" s="2"/>
      <c r="E15808" s="2"/>
      <c r="F15808" s="2"/>
      <c r="G15808" s="2"/>
      <c r="H15808" s="2"/>
      <c r="I15808" s="2"/>
      <c r="J15808" s="2"/>
      <c r="K15808" s="2"/>
      <c r="L15808" s="2"/>
      <c r="M15808" s="2"/>
      <c r="N15808" s="2"/>
      <c r="O15808" s="2"/>
      <c r="P15808" s="2"/>
      <c r="Q15808" s="2"/>
      <c r="R15808" s="2"/>
      <c r="S15808" s="2"/>
      <c r="T15808" s="2"/>
      <c r="U15808" s="2"/>
      <c r="V15808" s="2"/>
      <c r="W15808" s="2"/>
      <c r="X15808" s="2"/>
      <c r="Y15808" s="2"/>
      <c r="Z15808" s="2"/>
    </row>
    <row r="15809" spans="1:26" ht="16.5" x14ac:dyDescent="0.35">
      <c r="A15809" s="2"/>
      <c r="B15809" s="2"/>
      <c r="C15809" s="2"/>
      <c r="D15809" s="2"/>
      <c r="E15809" s="2"/>
      <c r="F15809" s="2"/>
      <c r="G15809" s="2"/>
      <c r="H15809" s="2"/>
      <c r="I15809" s="2"/>
      <c r="J15809" s="2"/>
      <c r="K15809" s="2"/>
      <c r="L15809" s="2"/>
      <c r="M15809" s="2"/>
      <c r="N15809" s="2"/>
      <c r="O15809" s="2"/>
      <c r="P15809" s="2"/>
      <c r="Q15809" s="2"/>
      <c r="R15809" s="2"/>
      <c r="S15809" s="2"/>
      <c r="T15809" s="2"/>
      <c r="U15809" s="2"/>
      <c r="V15809" s="2"/>
      <c r="W15809" s="2"/>
      <c r="X15809" s="2"/>
      <c r="Y15809" s="2"/>
      <c r="Z15809" s="2"/>
    </row>
    <row r="15810" spans="1:26" ht="16.5" x14ac:dyDescent="0.35">
      <c r="A15810" s="2"/>
      <c r="B15810" s="2"/>
      <c r="C15810" s="2"/>
      <c r="D15810" s="2"/>
      <c r="E15810" s="2"/>
      <c r="F15810" s="2"/>
      <c r="G15810" s="2"/>
      <c r="H15810" s="2"/>
      <c r="I15810" s="2"/>
      <c r="J15810" s="2"/>
      <c r="K15810" s="2"/>
      <c r="L15810" s="2"/>
      <c r="M15810" s="2"/>
      <c r="N15810" s="2"/>
      <c r="O15810" s="2"/>
      <c r="P15810" s="2"/>
      <c r="Q15810" s="2"/>
      <c r="R15810" s="2"/>
      <c r="S15810" s="2"/>
      <c r="T15810" s="2"/>
      <c r="U15810" s="2"/>
      <c r="V15810" s="2"/>
      <c r="W15810" s="2"/>
      <c r="X15810" s="2"/>
      <c r="Y15810" s="2"/>
      <c r="Z15810" s="2"/>
    </row>
    <row r="15811" spans="1:26" ht="16.5" x14ac:dyDescent="0.35">
      <c r="A15811" s="2"/>
      <c r="B15811" s="2"/>
      <c r="C15811" s="2"/>
      <c r="D15811" s="2"/>
      <c r="E15811" s="2"/>
      <c r="F15811" s="2"/>
      <c r="G15811" s="2"/>
      <c r="H15811" s="2"/>
      <c r="I15811" s="2"/>
      <c r="J15811" s="2"/>
      <c r="K15811" s="2"/>
      <c r="L15811" s="2"/>
      <c r="M15811" s="2"/>
      <c r="N15811" s="2"/>
      <c r="O15811" s="2"/>
      <c r="P15811" s="2"/>
      <c r="Q15811" s="2"/>
      <c r="R15811" s="2"/>
      <c r="S15811" s="2"/>
      <c r="T15811" s="2"/>
      <c r="U15811" s="2"/>
      <c r="V15811" s="2"/>
      <c r="W15811" s="2"/>
      <c r="X15811" s="2"/>
      <c r="Y15811" s="2"/>
      <c r="Z15811" s="2"/>
    </row>
    <row r="15812" spans="1:26" ht="16.5" x14ac:dyDescent="0.35">
      <c r="A15812" s="2"/>
      <c r="B15812" s="2"/>
      <c r="C15812" s="2"/>
      <c r="D15812" s="2"/>
      <c r="E15812" s="2"/>
      <c r="F15812" s="2"/>
      <c r="G15812" s="2"/>
      <c r="H15812" s="2"/>
      <c r="I15812" s="2"/>
      <c r="J15812" s="2"/>
      <c r="K15812" s="2"/>
      <c r="L15812" s="2"/>
      <c r="M15812" s="2"/>
      <c r="N15812" s="2"/>
      <c r="O15812" s="2"/>
      <c r="P15812" s="2"/>
      <c r="Q15812" s="2"/>
      <c r="R15812" s="2"/>
      <c r="S15812" s="2"/>
      <c r="T15812" s="2"/>
      <c r="U15812" s="2"/>
      <c r="V15812" s="2"/>
      <c r="W15812" s="2"/>
      <c r="X15812" s="2"/>
      <c r="Y15812" s="2"/>
      <c r="Z15812" s="2"/>
    </row>
    <row r="15813" spans="1:26" ht="16.5" x14ac:dyDescent="0.35">
      <c r="A15813" s="2"/>
      <c r="B15813" s="2"/>
      <c r="C15813" s="2"/>
      <c r="D15813" s="2"/>
      <c r="E15813" s="2"/>
      <c r="F15813" s="2"/>
      <c r="G15813" s="2"/>
      <c r="H15813" s="2"/>
      <c r="I15813" s="2"/>
      <c r="J15813" s="2"/>
      <c r="K15813" s="2"/>
      <c r="L15813" s="2"/>
      <c r="M15813" s="2"/>
      <c r="N15813" s="2"/>
      <c r="O15813" s="2"/>
      <c r="P15813" s="2"/>
      <c r="Q15813" s="2"/>
      <c r="R15813" s="2"/>
      <c r="S15813" s="2"/>
      <c r="T15813" s="2"/>
      <c r="U15813" s="2"/>
      <c r="V15813" s="2"/>
      <c r="W15813" s="2"/>
      <c r="X15813" s="2"/>
      <c r="Y15813" s="2"/>
      <c r="Z15813" s="2"/>
    </row>
    <row r="15814" spans="1:26" ht="16.5" x14ac:dyDescent="0.35">
      <c r="A15814" s="2"/>
      <c r="B15814" s="2"/>
      <c r="C15814" s="2"/>
      <c r="D15814" s="2"/>
      <c r="E15814" s="2"/>
      <c r="F15814" s="2"/>
      <c r="G15814" s="2"/>
      <c r="H15814" s="2"/>
      <c r="I15814" s="2"/>
      <c r="J15814" s="2"/>
      <c r="K15814" s="2"/>
      <c r="L15814" s="2"/>
      <c r="M15814" s="2"/>
      <c r="N15814" s="2"/>
      <c r="O15814" s="2"/>
      <c r="P15814" s="2"/>
      <c r="Q15814" s="2"/>
      <c r="R15814" s="2"/>
      <c r="S15814" s="2"/>
      <c r="T15814" s="2"/>
      <c r="U15814" s="2"/>
      <c r="V15814" s="2"/>
      <c r="W15814" s="2"/>
      <c r="X15814" s="2"/>
      <c r="Y15814" s="2"/>
      <c r="Z15814" s="2"/>
    </row>
    <row r="15815" spans="1:26" ht="16.5" x14ac:dyDescent="0.35">
      <c r="A15815" s="2"/>
      <c r="B15815" s="2"/>
      <c r="C15815" s="2"/>
      <c r="D15815" s="2"/>
      <c r="E15815" s="2"/>
      <c r="F15815" s="2"/>
      <c r="G15815" s="2"/>
      <c r="H15815" s="2"/>
      <c r="I15815" s="2"/>
      <c r="J15815" s="2"/>
      <c r="K15815" s="2"/>
      <c r="L15815" s="2"/>
      <c r="M15815" s="2"/>
      <c r="N15815" s="2"/>
      <c r="O15815" s="2"/>
      <c r="P15815" s="2"/>
      <c r="Q15815" s="2"/>
      <c r="R15815" s="2"/>
      <c r="S15815" s="2"/>
      <c r="T15815" s="2"/>
      <c r="U15815" s="2"/>
      <c r="V15815" s="2"/>
      <c r="W15815" s="2"/>
      <c r="X15815" s="2"/>
      <c r="Y15815" s="2"/>
      <c r="Z15815" s="2"/>
    </row>
    <row r="15816" spans="1:26" ht="16.5" x14ac:dyDescent="0.35">
      <c r="A15816" s="2"/>
      <c r="B15816" s="2"/>
      <c r="C15816" s="2"/>
      <c r="D15816" s="2"/>
      <c r="E15816" s="2"/>
      <c r="F15816" s="2"/>
      <c r="G15816" s="2"/>
      <c r="H15816" s="2"/>
      <c r="I15816" s="2"/>
      <c r="J15816" s="2"/>
      <c r="K15816" s="2"/>
      <c r="L15816" s="2"/>
      <c r="M15816" s="2"/>
      <c r="N15816" s="2"/>
      <c r="O15816" s="2"/>
      <c r="P15816" s="2"/>
      <c r="Q15816" s="2"/>
      <c r="R15816" s="2"/>
      <c r="S15816" s="2"/>
      <c r="T15816" s="2"/>
      <c r="U15816" s="2"/>
      <c r="V15816" s="2"/>
      <c r="W15816" s="2"/>
      <c r="X15816" s="2"/>
      <c r="Y15816" s="2"/>
      <c r="Z15816" s="2"/>
    </row>
    <row r="15817" spans="1:26" ht="16.5" x14ac:dyDescent="0.35">
      <c r="A15817" s="2"/>
      <c r="B15817" s="2"/>
      <c r="C15817" s="2"/>
      <c r="D15817" s="2"/>
      <c r="E15817" s="2"/>
      <c r="F15817" s="2"/>
      <c r="G15817" s="2"/>
      <c r="H15817" s="2"/>
      <c r="I15817" s="2"/>
      <c r="J15817" s="2"/>
      <c r="K15817" s="2"/>
      <c r="L15817" s="2"/>
      <c r="M15817" s="2"/>
      <c r="N15817" s="2"/>
      <c r="O15817" s="2"/>
      <c r="P15817" s="2"/>
      <c r="Q15817" s="2"/>
      <c r="R15817" s="2"/>
      <c r="S15817" s="2"/>
      <c r="T15817" s="2"/>
      <c r="U15817" s="2"/>
      <c r="V15817" s="2"/>
      <c r="W15817" s="2"/>
      <c r="X15817" s="2"/>
      <c r="Y15817" s="2"/>
      <c r="Z15817" s="2"/>
    </row>
    <row r="15818" spans="1:26" ht="16.5" x14ac:dyDescent="0.35">
      <c r="A15818" s="2"/>
      <c r="B15818" s="2"/>
      <c r="C15818" s="2"/>
      <c r="D15818" s="2"/>
      <c r="E15818" s="2"/>
      <c r="F15818" s="2"/>
      <c r="G15818" s="2"/>
      <c r="H15818" s="2"/>
      <c r="I15818" s="2"/>
      <c r="J15818" s="2"/>
      <c r="K15818" s="2"/>
      <c r="L15818" s="2"/>
      <c r="M15818" s="2"/>
      <c r="N15818" s="2"/>
      <c r="O15818" s="2"/>
      <c r="P15818" s="2"/>
      <c r="Q15818" s="2"/>
      <c r="R15818" s="2"/>
      <c r="S15818" s="2"/>
      <c r="T15818" s="2"/>
      <c r="U15818" s="2"/>
      <c r="V15818" s="2"/>
      <c r="W15818" s="2"/>
      <c r="X15818" s="2"/>
      <c r="Y15818" s="2"/>
      <c r="Z15818" s="2"/>
    </row>
    <row r="15819" spans="1:26" ht="16.5" x14ac:dyDescent="0.35">
      <c r="A15819" s="2"/>
      <c r="B15819" s="2"/>
      <c r="C15819" s="2"/>
      <c r="D15819" s="2"/>
      <c r="E15819" s="2"/>
      <c r="F15819" s="2"/>
      <c r="G15819" s="2"/>
      <c r="H15819" s="2"/>
      <c r="I15819" s="2"/>
      <c r="J15819" s="2"/>
      <c r="K15819" s="2"/>
      <c r="L15819" s="2"/>
      <c r="M15819" s="2"/>
      <c r="N15819" s="2"/>
      <c r="O15819" s="2"/>
      <c r="P15819" s="2"/>
      <c r="Q15819" s="2"/>
      <c r="R15819" s="2"/>
      <c r="S15819" s="2"/>
      <c r="T15819" s="2"/>
      <c r="U15819" s="2"/>
      <c r="V15819" s="2"/>
      <c r="W15819" s="2"/>
      <c r="X15819" s="2"/>
      <c r="Y15819" s="2"/>
      <c r="Z15819" s="2"/>
    </row>
    <row r="15820" spans="1:26" ht="16.5" x14ac:dyDescent="0.35">
      <c r="A15820" s="2"/>
      <c r="B15820" s="2"/>
      <c r="C15820" s="2"/>
      <c r="D15820" s="2"/>
      <c r="E15820" s="2"/>
      <c r="F15820" s="2"/>
      <c r="G15820" s="2"/>
      <c r="H15820" s="2"/>
      <c r="I15820" s="2"/>
      <c r="J15820" s="2"/>
      <c r="K15820" s="2"/>
      <c r="L15820" s="2"/>
      <c r="M15820" s="2"/>
      <c r="N15820" s="2"/>
      <c r="O15820" s="2"/>
      <c r="P15820" s="2"/>
      <c r="Q15820" s="2"/>
      <c r="R15820" s="2"/>
      <c r="S15820" s="2"/>
      <c r="T15820" s="2"/>
      <c r="U15820" s="2"/>
      <c r="V15820" s="2"/>
      <c r="W15820" s="2"/>
      <c r="X15820" s="2"/>
      <c r="Y15820" s="2"/>
      <c r="Z15820" s="2"/>
    </row>
    <row r="15821" spans="1:26" ht="16.5" x14ac:dyDescent="0.35">
      <c r="A15821" s="2"/>
      <c r="B15821" s="2"/>
      <c r="C15821" s="2"/>
      <c r="D15821" s="2"/>
      <c r="E15821" s="2"/>
      <c r="F15821" s="2"/>
      <c r="G15821" s="2"/>
      <c r="H15821" s="2"/>
      <c r="I15821" s="2"/>
      <c r="J15821" s="2"/>
      <c r="K15821" s="2"/>
      <c r="L15821" s="2"/>
      <c r="M15821" s="2"/>
      <c r="N15821" s="2"/>
      <c r="O15821" s="2"/>
      <c r="P15821" s="2"/>
      <c r="Q15821" s="2"/>
      <c r="R15821" s="2"/>
      <c r="S15821" s="2"/>
      <c r="T15821" s="2"/>
      <c r="U15821" s="2"/>
      <c r="V15821" s="2"/>
      <c r="W15821" s="2"/>
      <c r="X15821" s="2"/>
      <c r="Y15821" s="2"/>
      <c r="Z15821" s="2"/>
    </row>
    <row r="15822" spans="1:26" ht="16.5" x14ac:dyDescent="0.35">
      <c r="A15822" s="2"/>
      <c r="B15822" s="2"/>
      <c r="C15822" s="2"/>
      <c r="D15822" s="2"/>
      <c r="E15822" s="2"/>
      <c r="F15822" s="2"/>
      <c r="G15822" s="2"/>
      <c r="H15822" s="2"/>
      <c r="I15822" s="2"/>
      <c r="J15822" s="2"/>
      <c r="K15822" s="2"/>
      <c r="L15822" s="2"/>
      <c r="M15822" s="2"/>
      <c r="N15822" s="2"/>
      <c r="O15822" s="2"/>
      <c r="P15822" s="2"/>
      <c r="Q15822" s="2"/>
      <c r="R15822" s="2"/>
      <c r="S15822" s="2"/>
      <c r="T15822" s="2"/>
      <c r="U15822" s="2"/>
      <c r="V15822" s="2"/>
      <c r="W15822" s="2"/>
      <c r="X15822" s="2"/>
      <c r="Y15822" s="2"/>
      <c r="Z15822" s="2"/>
    </row>
    <row r="15823" spans="1:26" ht="16.5" x14ac:dyDescent="0.35">
      <c r="A15823" s="2"/>
      <c r="B15823" s="2"/>
      <c r="C15823" s="2"/>
      <c r="D15823" s="2"/>
      <c r="E15823" s="2"/>
      <c r="F15823" s="2"/>
      <c r="G15823" s="2"/>
      <c r="H15823" s="2"/>
      <c r="I15823" s="2"/>
      <c r="J15823" s="2"/>
      <c r="K15823" s="2"/>
      <c r="L15823" s="2"/>
      <c r="M15823" s="2"/>
      <c r="N15823" s="2"/>
      <c r="O15823" s="2"/>
      <c r="P15823" s="2"/>
      <c r="Q15823" s="2"/>
      <c r="R15823" s="2"/>
      <c r="S15823" s="2"/>
      <c r="T15823" s="2"/>
      <c r="U15823" s="2"/>
      <c r="V15823" s="2"/>
      <c r="W15823" s="2"/>
      <c r="X15823" s="2"/>
      <c r="Y15823" s="2"/>
      <c r="Z15823" s="2"/>
    </row>
    <row r="15824" spans="1:26" ht="16.5" x14ac:dyDescent="0.35">
      <c r="A15824" s="2"/>
      <c r="B15824" s="2"/>
      <c r="C15824" s="2"/>
      <c r="D15824" s="2"/>
      <c r="E15824" s="2"/>
      <c r="F15824" s="2"/>
      <c r="G15824" s="2"/>
      <c r="H15824" s="2"/>
      <c r="I15824" s="2"/>
      <c r="J15824" s="2"/>
      <c r="K15824" s="2"/>
      <c r="L15824" s="2"/>
      <c r="M15824" s="2"/>
      <c r="N15824" s="2"/>
      <c r="O15824" s="2"/>
      <c r="P15824" s="2"/>
      <c r="Q15824" s="2"/>
      <c r="R15824" s="2"/>
      <c r="S15824" s="2"/>
      <c r="T15824" s="2"/>
      <c r="U15824" s="2"/>
      <c r="V15824" s="2"/>
      <c r="W15824" s="2"/>
      <c r="X15824" s="2"/>
      <c r="Y15824" s="2"/>
      <c r="Z15824" s="2"/>
    </row>
    <row r="15825" spans="1:26" ht="16.5" x14ac:dyDescent="0.35">
      <c r="A15825" s="2"/>
      <c r="B15825" s="2"/>
      <c r="C15825" s="2"/>
      <c r="D15825" s="2"/>
      <c r="E15825" s="2"/>
      <c r="F15825" s="2"/>
      <c r="G15825" s="2"/>
      <c r="H15825" s="2"/>
      <c r="I15825" s="2"/>
      <c r="J15825" s="2"/>
      <c r="K15825" s="2"/>
      <c r="L15825" s="2"/>
      <c r="M15825" s="2"/>
      <c r="N15825" s="2"/>
      <c r="O15825" s="2"/>
      <c r="P15825" s="2"/>
      <c r="Q15825" s="2"/>
      <c r="R15825" s="2"/>
      <c r="S15825" s="2"/>
      <c r="T15825" s="2"/>
      <c r="U15825" s="2"/>
      <c r="V15825" s="2"/>
      <c r="W15825" s="2"/>
      <c r="X15825" s="2"/>
      <c r="Y15825" s="2"/>
      <c r="Z15825" s="2"/>
    </row>
    <row r="15826" spans="1:26" ht="16.5" x14ac:dyDescent="0.35">
      <c r="A15826" s="2"/>
      <c r="B15826" s="2"/>
      <c r="C15826" s="2"/>
      <c r="D15826" s="2"/>
      <c r="E15826" s="2"/>
      <c r="F15826" s="2"/>
      <c r="G15826" s="2"/>
      <c r="H15826" s="2"/>
      <c r="I15826" s="2"/>
      <c r="J15826" s="2"/>
      <c r="K15826" s="2"/>
      <c r="L15826" s="2"/>
      <c r="M15826" s="2"/>
      <c r="N15826" s="2"/>
      <c r="O15826" s="2"/>
      <c r="P15826" s="2"/>
      <c r="Q15826" s="2"/>
      <c r="R15826" s="2"/>
      <c r="S15826" s="2"/>
      <c r="T15826" s="2"/>
      <c r="U15826" s="2"/>
      <c r="V15826" s="2"/>
      <c r="W15826" s="2"/>
      <c r="X15826" s="2"/>
      <c r="Y15826" s="2"/>
      <c r="Z15826" s="2"/>
    </row>
    <row r="15827" spans="1:26" ht="16.5" x14ac:dyDescent="0.35">
      <c r="A15827" s="2"/>
      <c r="B15827" s="2"/>
      <c r="C15827" s="2"/>
      <c r="D15827" s="2"/>
      <c r="E15827" s="2"/>
      <c r="F15827" s="2"/>
      <c r="G15827" s="2"/>
      <c r="H15827" s="2"/>
      <c r="I15827" s="2"/>
      <c r="J15827" s="2"/>
      <c r="K15827" s="2"/>
      <c r="L15827" s="2"/>
      <c r="M15827" s="2"/>
      <c r="N15827" s="2"/>
      <c r="O15827" s="2"/>
      <c r="P15827" s="2"/>
      <c r="Q15827" s="2"/>
      <c r="R15827" s="2"/>
      <c r="S15827" s="2"/>
      <c r="T15827" s="2"/>
      <c r="U15827" s="2"/>
      <c r="V15827" s="2"/>
      <c r="W15827" s="2"/>
      <c r="X15827" s="2"/>
      <c r="Y15827" s="2"/>
      <c r="Z15827" s="2"/>
    </row>
    <row r="15828" spans="1:26" ht="16.5" x14ac:dyDescent="0.35">
      <c r="A15828" s="2"/>
      <c r="B15828" s="2"/>
      <c r="C15828" s="2"/>
      <c r="D15828" s="2"/>
      <c r="E15828" s="2"/>
      <c r="F15828" s="2"/>
      <c r="G15828" s="2"/>
      <c r="H15828" s="2"/>
      <c r="I15828" s="2"/>
      <c r="J15828" s="2"/>
      <c r="K15828" s="2"/>
      <c r="L15828" s="2"/>
      <c r="M15828" s="2"/>
      <c r="N15828" s="2"/>
      <c r="O15828" s="2"/>
      <c r="P15828" s="2"/>
      <c r="Q15828" s="2"/>
      <c r="R15828" s="2"/>
      <c r="S15828" s="2"/>
      <c r="T15828" s="2"/>
      <c r="U15828" s="2"/>
      <c r="V15828" s="2"/>
      <c r="W15828" s="2"/>
      <c r="X15828" s="2"/>
      <c r="Y15828" s="2"/>
      <c r="Z15828" s="2"/>
    </row>
    <row r="15829" spans="1:26" ht="16.5" x14ac:dyDescent="0.35">
      <c r="A15829" s="2"/>
      <c r="B15829" s="2"/>
      <c r="C15829" s="2"/>
      <c r="D15829" s="2"/>
      <c r="E15829" s="2"/>
      <c r="F15829" s="2"/>
      <c r="G15829" s="2"/>
      <c r="H15829" s="2"/>
      <c r="I15829" s="2"/>
      <c r="J15829" s="2"/>
      <c r="K15829" s="2"/>
      <c r="L15829" s="2"/>
      <c r="M15829" s="2"/>
      <c r="N15829" s="2"/>
      <c r="O15829" s="2"/>
      <c r="P15829" s="2"/>
      <c r="Q15829" s="2"/>
      <c r="R15829" s="2"/>
      <c r="S15829" s="2"/>
      <c r="T15829" s="2"/>
      <c r="U15829" s="2"/>
      <c r="V15829" s="2"/>
      <c r="W15829" s="2"/>
      <c r="X15829" s="2"/>
      <c r="Y15829" s="2"/>
      <c r="Z15829" s="2"/>
    </row>
    <row r="15830" spans="1:26" ht="16.5" x14ac:dyDescent="0.35">
      <c r="A15830" s="2"/>
      <c r="B15830" s="2"/>
      <c r="C15830" s="2"/>
      <c r="D15830" s="2"/>
      <c r="E15830" s="2"/>
      <c r="F15830" s="2"/>
      <c r="G15830" s="2"/>
      <c r="H15830" s="2"/>
      <c r="I15830" s="2"/>
      <c r="J15830" s="2"/>
      <c r="K15830" s="2"/>
      <c r="L15830" s="2"/>
      <c r="M15830" s="2"/>
      <c r="N15830" s="2"/>
      <c r="O15830" s="2"/>
      <c r="P15830" s="2"/>
      <c r="Q15830" s="2"/>
      <c r="R15830" s="2"/>
      <c r="S15830" s="2"/>
      <c r="T15830" s="2"/>
      <c r="U15830" s="2"/>
      <c r="V15830" s="2"/>
      <c r="W15830" s="2"/>
      <c r="X15830" s="2"/>
      <c r="Y15830" s="2"/>
      <c r="Z15830" s="2"/>
    </row>
    <row r="15831" spans="1:26" ht="16.5" x14ac:dyDescent="0.35">
      <c r="A15831" s="2"/>
      <c r="B15831" s="2"/>
      <c r="C15831" s="2"/>
      <c r="D15831" s="2"/>
      <c r="E15831" s="2"/>
      <c r="F15831" s="2"/>
      <c r="G15831" s="2"/>
      <c r="H15831" s="2"/>
      <c r="I15831" s="2"/>
      <c r="J15831" s="2"/>
      <c r="K15831" s="2"/>
      <c r="L15831" s="2"/>
      <c r="M15831" s="2"/>
      <c r="N15831" s="2"/>
      <c r="O15831" s="2"/>
      <c r="P15831" s="2"/>
      <c r="Q15831" s="2"/>
      <c r="R15831" s="2"/>
      <c r="S15831" s="2"/>
      <c r="T15831" s="2"/>
      <c r="U15831" s="2"/>
      <c r="V15831" s="2"/>
      <c r="W15831" s="2"/>
      <c r="X15831" s="2"/>
      <c r="Y15831" s="2"/>
      <c r="Z15831" s="2"/>
    </row>
    <row r="15832" spans="1:26" ht="16.5" x14ac:dyDescent="0.35">
      <c r="A15832" s="2"/>
      <c r="B15832" s="2"/>
      <c r="C15832" s="2"/>
      <c r="D15832" s="2"/>
      <c r="E15832" s="2"/>
      <c r="F15832" s="2"/>
      <c r="G15832" s="2"/>
      <c r="H15832" s="2"/>
      <c r="I15832" s="2"/>
      <c r="J15832" s="2"/>
      <c r="K15832" s="2"/>
      <c r="L15832" s="2"/>
      <c r="M15832" s="2"/>
      <c r="N15832" s="2"/>
      <c r="O15832" s="2"/>
      <c r="P15832" s="2"/>
      <c r="Q15832" s="2"/>
      <c r="R15832" s="2"/>
      <c r="S15832" s="2"/>
      <c r="T15832" s="2"/>
      <c r="U15832" s="2"/>
      <c r="V15832" s="2"/>
      <c r="W15832" s="2"/>
      <c r="X15832" s="2"/>
      <c r="Y15832" s="2"/>
      <c r="Z15832" s="2"/>
    </row>
    <row r="15833" spans="1:26" ht="16.5" x14ac:dyDescent="0.35">
      <c r="A15833" s="2"/>
      <c r="B15833" s="2"/>
      <c r="C15833" s="2"/>
      <c r="D15833" s="2"/>
      <c r="E15833" s="2"/>
      <c r="F15833" s="2"/>
      <c r="G15833" s="2"/>
      <c r="H15833" s="2"/>
      <c r="I15833" s="2"/>
      <c r="J15833" s="2"/>
      <c r="K15833" s="2"/>
      <c r="L15833" s="2"/>
      <c r="M15833" s="2"/>
      <c r="N15833" s="2"/>
      <c r="O15833" s="2"/>
      <c r="P15833" s="2"/>
      <c r="Q15833" s="2"/>
      <c r="R15833" s="2"/>
      <c r="S15833" s="2"/>
      <c r="T15833" s="2"/>
      <c r="U15833" s="2"/>
      <c r="V15833" s="2"/>
      <c r="W15833" s="2"/>
      <c r="X15833" s="2"/>
      <c r="Y15833" s="2"/>
      <c r="Z15833" s="2"/>
    </row>
    <row r="15834" spans="1:26" ht="16.5" x14ac:dyDescent="0.35">
      <c r="A15834" s="2"/>
      <c r="B15834" s="2"/>
      <c r="C15834" s="2"/>
      <c r="D15834" s="2"/>
      <c r="E15834" s="2"/>
      <c r="F15834" s="2"/>
      <c r="G15834" s="2"/>
      <c r="H15834" s="2"/>
      <c r="I15834" s="2"/>
      <c r="J15834" s="2"/>
      <c r="K15834" s="2"/>
      <c r="L15834" s="2"/>
      <c r="M15834" s="2"/>
      <c r="N15834" s="2"/>
      <c r="O15834" s="2"/>
      <c r="P15834" s="2"/>
      <c r="Q15834" s="2"/>
      <c r="R15834" s="2"/>
      <c r="S15834" s="2"/>
      <c r="T15834" s="2"/>
      <c r="U15834" s="2"/>
      <c r="V15834" s="2"/>
      <c r="W15834" s="2"/>
      <c r="X15834" s="2"/>
      <c r="Y15834" s="2"/>
      <c r="Z15834" s="2"/>
    </row>
    <row r="15835" spans="1:26" ht="16.5" x14ac:dyDescent="0.35">
      <c r="A15835" s="2"/>
      <c r="B15835" s="2"/>
      <c r="C15835" s="2"/>
      <c r="D15835" s="2"/>
      <c r="E15835" s="2"/>
      <c r="F15835" s="2"/>
      <c r="G15835" s="2"/>
      <c r="H15835" s="2"/>
      <c r="I15835" s="2"/>
      <c r="J15835" s="2"/>
      <c r="K15835" s="2"/>
      <c r="L15835" s="2"/>
      <c r="M15835" s="2"/>
      <c r="N15835" s="2"/>
      <c r="O15835" s="2"/>
      <c r="P15835" s="2"/>
      <c r="Q15835" s="2"/>
      <c r="R15835" s="2"/>
      <c r="S15835" s="2"/>
      <c r="T15835" s="2"/>
      <c r="U15835" s="2"/>
      <c r="V15835" s="2"/>
      <c r="W15835" s="2"/>
      <c r="X15835" s="2"/>
      <c r="Y15835" s="2"/>
      <c r="Z15835" s="2"/>
    </row>
    <row r="15836" spans="1:26" ht="16.5" x14ac:dyDescent="0.35">
      <c r="A15836" s="2"/>
      <c r="B15836" s="2"/>
      <c r="C15836" s="2"/>
      <c r="D15836" s="2"/>
      <c r="E15836" s="2"/>
      <c r="F15836" s="2"/>
      <c r="G15836" s="2"/>
      <c r="H15836" s="2"/>
      <c r="I15836" s="2"/>
      <c r="J15836" s="2"/>
      <c r="K15836" s="2"/>
      <c r="L15836" s="2"/>
      <c r="M15836" s="2"/>
      <c r="N15836" s="2"/>
      <c r="O15836" s="2"/>
      <c r="P15836" s="2"/>
      <c r="Q15836" s="2"/>
      <c r="R15836" s="2"/>
      <c r="S15836" s="2"/>
      <c r="T15836" s="2"/>
      <c r="U15836" s="2"/>
      <c r="V15836" s="2"/>
      <c r="W15836" s="2"/>
      <c r="X15836" s="2"/>
      <c r="Y15836" s="2"/>
      <c r="Z15836" s="2"/>
    </row>
    <row r="15837" spans="1:26" ht="16.5" x14ac:dyDescent="0.35">
      <c r="A15837" s="2"/>
      <c r="B15837" s="2"/>
      <c r="C15837" s="2"/>
      <c r="D15837" s="2"/>
      <c r="E15837" s="2"/>
      <c r="F15837" s="2"/>
      <c r="G15837" s="2"/>
      <c r="H15837" s="2"/>
      <c r="I15837" s="2"/>
      <c r="J15837" s="2"/>
      <c r="K15837" s="2"/>
      <c r="L15837" s="2"/>
      <c r="M15837" s="2"/>
      <c r="N15837" s="2"/>
      <c r="O15837" s="2"/>
      <c r="P15837" s="2"/>
      <c r="Q15837" s="2"/>
      <c r="R15837" s="2"/>
      <c r="S15837" s="2"/>
      <c r="T15837" s="2"/>
      <c r="U15837" s="2"/>
      <c r="V15837" s="2"/>
      <c r="W15837" s="2"/>
      <c r="X15837" s="2"/>
      <c r="Y15837" s="2"/>
      <c r="Z15837" s="2"/>
    </row>
    <row r="15838" spans="1:26" ht="16.5" x14ac:dyDescent="0.35">
      <c r="A15838" s="2"/>
      <c r="B15838" s="2"/>
      <c r="C15838" s="2"/>
      <c r="D15838" s="2"/>
      <c r="E15838" s="2"/>
      <c r="F15838" s="2"/>
      <c r="G15838" s="2"/>
      <c r="H15838" s="2"/>
      <c r="I15838" s="2"/>
      <c r="J15838" s="2"/>
      <c r="K15838" s="2"/>
      <c r="L15838" s="2"/>
      <c r="M15838" s="2"/>
      <c r="N15838" s="2"/>
      <c r="O15838" s="2"/>
      <c r="P15838" s="2"/>
      <c r="Q15838" s="2"/>
      <c r="R15838" s="2"/>
      <c r="S15838" s="2"/>
      <c r="T15838" s="2"/>
      <c r="U15838" s="2"/>
      <c r="V15838" s="2"/>
      <c r="W15838" s="2"/>
      <c r="X15838" s="2"/>
      <c r="Y15838" s="2"/>
      <c r="Z15838" s="2"/>
    </row>
    <row r="15839" spans="1:26" ht="16.5" x14ac:dyDescent="0.35">
      <c r="A15839" s="2"/>
      <c r="B15839" s="2"/>
      <c r="C15839" s="2"/>
      <c r="D15839" s="2"/>
      <c r="E15839" s="2"/>
      <c r="F15839" s="2"/>
      <c r="G15839" s="2"/>
      <c r="H15839" s="2"/>
      <c r="I15839" s="2"/>
      <c r="J15839" s="2"/>
      <c r="K15839" s="2"/>
      <c r="L15839" s="2"/>
      <c r="M15839" s="2"/>
      <c r="N15839" s="2"/>
      <c r="O15839" s="2"/>
      <c r="P15839" s="2"/>
      <c r="Q15839" s="2"/>
      <c r="R15839" s="2"/>
      <c r="S15839" s="2"/>
      <c r="T15839" s="2"/>
      <c r="U15839" s="2"/>
      <c r="V15839" s="2"/>
      <c r="W15839" s="2"/>
      <c r="X15839" s="2"/>
      <c r="Y15839" s="2"/>
      <c r="Z15839" s="2"/>
    </row>
    <row r="15840" spans="1:26" ht="16.5" x14ac:dyDescent="0.35">
      <c r="A15840" s="2"/>
      <c r="B15840" s="2"/>
      <c r="C15840" s="2"/>
      <c r="D15840" s="2"/>
      <c r="E15840" s="2"/>
      <c r="F15840" s="2"/>
      <c r="G15840" s="2"/>
      <c r="H15840" s="2"/>
      <c r="I15840" s="2"/>
      <c r="J15840" s="2"/>
      <c r="K15840" s="2"/>
      <c r="L15840" s="2"/>
      <c r="M15840" s="2"/>
      <c r="N15840" s="2"/>
      <c r="O15840" s="2"/>
      <c r="P15840" s="2"/>
      <c r="Q15840" s="2"/>
      <c r="R15840" s="2"/>
      <c r="S15840" s="2"/>
      <c r="T15840" s="2"/>
      <c r="U15840" s="2"/>
      <c r="V15840" s="2"/>
      <c r="W15840" s="2"/>
      <c r="X15840" s="2"/>
      <c r="Y15840" s="2"/>
      <c r="Z15840" s="2"/>
    </row>
    <row r="15841" spans="1:26" ht="16.5" x14ac:dyDescent="0.35">
      <c r="A15841" s="2"/>
      <c r="B15841" s="2"/>
      <c r="C15841" s="2"/>
      <c r="D15841" s="2"/>
      <c r="E15841" s="2"/>
      <c r="F15841" s="2"/>
      <c r="G15841" s="2"/>
      <c r="H15841" s="2"/>
      <c r="I15841" s="2"/>
      <c r="J15841" s="2"/>
      <c r="K15841" s="2"/>
      <c r="L15841" s="2"/>
      <c r="M15841" s="2"/>
      <c r="N15841" s="2"/>
      <c r="O15841" s="2"/>
      <c r="P15841" s="2"/>
      <c r="Q15841" s="2"/>
      <c r="R15841" s="2"/>
      <c r="S15841" s="2"/>
      <c r="T15841" s="2"/>
      <c r="U15841" s="2"/>
      <c r="V15841" s="2"/>
      <c r="W15841" s="2"/>
      <c r="X15841" s="2"/>
      <c r="Y15841" s="2"/>
      <c r="Z15841" s="2"/>
    </row>
    <row r="15842" spans="1:26" ht="16.5" x14ac:dyDescent="0.35">
      <c r="A15842" s="2"/>
      <c r="B15842" s="2"/>
      <c r="C15842" s="2"/>
      <c r="D15842" s="2"/>
      <c r="E15842" s="2"/>
      <c r="F15842" s="2"/>
      <c r="G15842" s="2"/>
      <c r="H15842" s="2"/>
      <c r="I15842" s="2"/>
      <c r="J15842" s="2"/>
      <c r="K15842" s="2"/>
      <c r="L15842" s="2"/>
      <c r="M15842" s="2"/>
      <c r="N15842" s="2"/>
      <c r="O15842" s="2"/>
      <c r="P15842" s="2"/>
      <c r="Q15842" s="2"/>
      <c r="R15842" s="2"/>
      <c r="S15842" s="2"/>
      <c r="T15842" s="2"/>
      <c r="U15842" s="2"/>
      <c r="V15842" s="2"/>
      <c r="W15842" s="2"/>
      <c r="X15842" s="2"/>
      <c r="Y15842" s="2"/>
      <c r="Z15842" s="2"/>
    </row>
    <row r="15843" spans="1:26" ht="16.5" x14ac:dyDescent="0.35">
      <c r="A15843" s="2"/>
      <c r="B15843" s="2"/>
      <c r="C15843" s="2"/>
      <c r="D15843" s="2"/>
      <c r="E15843" s="2"/>
      <c r="F15843" s="2"/>
      <c r="G15843" s="2"/>
      <c r="H15843" s="2"/>
      <c r="I15843" s="2"/>
      <c r="J15843" s="2"/>
      <c r="K15843" s="2"/>
      <c r="L15843" s="2"/>
      <c r="M15843" s="2"/>
      <c r="N15843" s="2"/>
      <c r="O15843" s="2"/>
      <c r="P15843" s="2"/>
      <c r="Q15843" s="2"/>
      <c r="R15843" s="2"/>
      <c r="S15843" s="2"/>
      <c r="T15843" s="2"/>
      <c r="U15843" s="2"/>
      <c r="V15843" s="2"/>
      <c r="W15843" s="2"/>
      <c r="X15843" s="2"/>
      <c r="Y15843" s="2"/>
      <c r="Z15843" s="2"/>
    </row>
    <row r="15844" spans="1:26" ht="16.5" x14ac:dyDescent="0.35">
      <c r="A15844" s="2"/>
      <c r="B15844" s="2"/>
      <c r="C15844" s="2"/>
      <c r="D15844" s="2"/>
      <c r="E15844" s="2"/>
      <c r="F15844" s="2"/>
      <c r="G15844" s="2"/>
      <c r="H15844" s="2"/>
      <c r="I15844" s="2"/>
      <c r="J15844" s="2"/>
      <c r="K15844" s="2"/>
      <c r="L15844" s="2"/>
      <c r="M15844" s="2"/>
      <c r="N15844" s="2"/>
      <c r="O15844" s="2"/>
      <c r="P15844" s="2"/>
      <c r="Q15844" s="2"/>
      <c r="R15844" s="2"/>
      <c r="S15844" s="2"/>
      <c r="T15844" s="2"/>
      <c r="U15844" s="2"/>
      <c r="V15844" s="2"/>
      <c r="W15844" s="2"/>
      <c r="X15844" s="2"/>
      <c r="Y15844" s="2"/>
      <c r="Z15844" s="2"/>
    </row>
    <row r="15845" spans="1:26" ht="16.5" x14ac:dyDescent="0.35">
      <c r="A15845" s="2"/>
      <c r="B15845" s="2"/>
      <c r="C15845" s="2"/>
      <c r="D15845" s="2"/>
      <c r="E15845" s="2"/>
      <c r="F15845" s="2"/>
      <c r="G15845" s="2"/>
      <c r="H15845" s="2"/>
      <c r="I15845" s="2"/>
      <c r="J15845" s="2"/>
      <c r="K15845" s="2"/>
      <c r="L15845" s="2"/>
      <c r="M15845" s="2"/>
      <c r="N15845" s="2"/>
      <c r="O15845" s="2"/>
      <c r="P15845" s="2"/>
      <c r="Q15845" s="2"/>
      <c r="R15845" s="2"/>
      <c r="S15845" s="2"/>
      <c r="T15845" s="2"/>
      <c r="U15845" s="2"/>
      <c r="V15845" s="2"/>
      <c r="W15845" s="2"/>
      <c r="X15845" s="2"/>
      <c r="Y15845" s="2"/>
      <c r="Z15845" s="2"/>
    </row>
    <row r="15846" spans="1:26" ht="16.5" x14ac:dyDescent="0.35">
      <c r="A15846" s="2"/>
      <c r="B15846" s="2"/>
      <c r="C15846" s="2"/>
      <c r="D15846" s="2"/>
      <c r="E15846" s="2"/>
      <c r="F15846" s="2"/>
      <c r="G15846" s="2"/>
      <c r="H15846" s="2"/>
      <c r="I15846" s="2"/>
      <c r="J15846" s="2"/>
      <c r="K15846" s="2"/>
      <c r="L15846" s="2"/>
      <c r="M15846" s="2"/>
      <c r="N15846" s="2"/>
      <c r="O15846" s="2"/>
      <c r="P15846" s="2"/>
      <c r="Q15846" s="2"/>
      <c r="R15846" s="2"/>
      <c r="S15846" s="2"/>
      <c r="T15846" s="2"/>
      <c r="U15846" s="2"/>
      <c r="V15846" s="2"/>
      <c r="W15846" s="2"/>
      <c r="X15846" s="2"/>
      <c r="Y15846" s="2"/>
      <c r="Z15846" s="2"/>
    </row>
    <row r="15847" spans="1:26" ht="16.5" x14ac:dyDescent="0.35">
      <c r="A15847" s="2"/>
      <c r="B15847" s="2"/>
      <c r="C15847" s="2"/>
      <c r="D15847" s="2"/>
      <c r="E15847" s="2"/>
      <c r="F15847" s="2"/>
      <c r="G15847" s="2"/>
      <c r="H15847" s="2"/>
      <c r="I15847" s="2"/>
      <c r="J15847" s="2"/>
      <c r="K15847" s="2"/>
      <c r="L15847" s="2"/>
      <c r="M15847" s="2"/>
      <c r="N15847" s="2"/>
      <c r="O15847" s="2"/>
      <c r="P15847" s="2"/>
      <c r="Q15847" s="2"/>
      <c r="R15847" s="2"/>
      <c r="S15847" s="2"/>
      <c r="T15847" s="2"/>
      <c r="U15847" s="2"/>
      <c r="V15847" s="2"/>
      <c r="W15847" s="2"/>
      <c r="X15847" s="2"/>
      <c r="Y15847" s="2"/>
      <c r="Z15847" s="2"/>
    </row>
    <row r="15848" spans="1:26" ht="16.5" x14ac:dyDescent="0.35">
      <c r="A15848" s="2"/>
      <c r="B15848" s="2"/>
      <c r="C15848" s="2"/>
      <c r="D15848" s="2"/>
      <c r="E15848" s="2"/>
      <c r="F15848" s="2"/>
      <c r="G15848" s="2"/>
      <c r="H15848" s="2"/>
      <c r="I15848" s="2"/>
      <c r="J15848" s="2"/>
      <c r="K15848" s="2"/>
      <c r="L15848" s="2"/>
      <c r="M15848" s="2"/>
      <c r="N15848" s="2"/>
      <c r="O15848" s="2"/>
      <c r="P15848" s="2"/>
      <c r="Q15848" s="2"/>
      <c r="R15848" s="2"/>
      <c r="S15848" s="2"/>
      <c r="T15848" s="2"/>
      <c r="U15848" s="2"/>
      <c r="V15848" s="2"/>
      <c r="W15848" s="2"/>
      <c r="X15848" s="2"/>
      <c r="Y15848" s="2"/>
      <c r="Z15848" s="2"/>
    </row>
    <row r="15849" spans="1:26" ht="16.5" x14ac:dyDescent="0.35">
      <c r="A15849" s="2"/>
      <c r="B15849" s="2"/>
      <c r="C15849" s="2"/>
      <c r="D15849" s="2"/>
      <c r="E15849" s="2"/>
      <c r="F15849" s="2"/>
      <c r="G15849" s="2"/>
      <c r="H15849" s="2"/>
      <c r="I15849" s="2"/>
      <c r="J15849" s="2"/>
      <c r="K15849" s="2"/>
      <c r="L15849" s="2"/>
      <c r="M15849" s="2"/>
      <c r="N15849" s="2"/>
      <c r="O15849" s="2"/>
      <c r="P15849" s="2"/>
      <c r="Q15849" s="2"/>
      <c r="R15849" s="2"/>
      <c r="S15849" s="2"/>
      <c r="T15849" s="2"/>
      <c r="U15849" s="2"/>
      <c r="V15849" s="2"/>
      <c r="W15849" s="2"/>
      <c r="X15849" s="2"/>
      <c r="Y15849" s="2"/>
      <c r="Z15849" s="2"/>
    </row>
    <row r="15850" spans="1:26" ht="16.5" x14ac:dyDescent="0.35">
      <c r="A15850" s="2"/>
      <c r="B15850" s="2"/>
      <c r="C15850" s="2"/>
      <c r="D15850" s="2"/>
      <c r="E15850" s="2"/>
      <c r="F15850" s="2"/>
      <c r="G15850" s="2"/>
      <c r="H15850" s="2"/>
      <c r="I15850" s="2"/>
      <c r="J15850" s="2"/>
      <c r="K15850" s="2"/>
      <c r="L15850" s="2"/>
      <c r="M15850" s="2"/>
      <c r="N15850" s="2"/>
      <c r="O15850" s="2"/>
      <c r="P15850" s="2"/>
      <c r="Q15850" s="2"/>
      <c r="R15850" s="2"/>
      <c r="S15850" s="2"/>
      <c r="T15850" s="2"/>
      <c r="U15850" s="2"/>
      <c r="V15850" s="2"/>
      <c r="W15850" s="2"/>
      <c r="X15850" s="2"/>
      <c r="Y15850" s="2"/>
      <c r="Z15850" s="2"/>
    </row>
    <row r="15851" spans="1:26" ht="16.5" x14ac:dyDescent="0.35">
      <c r="A15851" s="2"/>
      <c r="B15851" s="2"/>
      <c r="C15851" s="2"/>
      <c r="D15851" s="2"/>
      <c r="E15851" s="2"/>
      <c r="F15851" s="2"/>
      <c r="G15851" s="2"/>
      <c r="H15851" s="2"/>
      <c r="I15851" s="2"/>
      <c r="J15851" s="2"/>
      <c r="K15851" s="2"/>
      <c r="L15851" s="2"/>
      <c r="M15851" s="2"/>
      <c r="N15851" s="2"/>
      <c r="O15851" s="2"/>
      <c r="P15851" s="2"/>
      <c r="Q15851" s="2"/>
      <c r="R15851" s="2"/>
      <c r="S15851" s="2"/>
      <c r="T15851" s="2"/>
      <c r="U15851" s="2"/>
      <c r="V15851" s="2"/>
      <c r="W15851" s="2"/>
      <c r="X15851" s="2"/>
      <c r="Y15851" s="2"/>
      <c r="Z15851" s="2"/>
    </row>
    <row r="15852" spans="1:26" ht="16.5" x14ac:dyDescent="0.35">
      <c r="A15852" s="2"/>
      <c r="B15852" s="2"/>
      <c r="C15852" s="2"/>
      <c r="D15852" s="2"/>
      <c r="E15852" s="2"/>
      <c r="F15852" s="2"/>
      <c r="G15852" s="2"/>
      <c r="H15852" s="2"/>
      <c r="I15852" s="2"/>
      <c r="J15852" s="2"/>
      <c r="K15852" s="2"/>
      <c r="L15852" s="2"/>
      <c r="M15852" s="2"/>
      <c r="N15852" s="2"/>
      <c r="O15852" s="2"/>
      <c r="P15852" s="2"/>
      <c r="Q15852" s="2"/>
      <c r="R15852" s="2"/>
      <c r="S15852" s="2"/>
      <c r="T15852" s="2"/>
      <c r="U15852" s="2"/>
      <c r="V15852" s="2"/>
      <c r="W15852" s="2"/>
      <c r="X15852" s="2"/>
      <c r="Y15852" s="2"/>
      <c r="Z15852" s="2"/>
    </row>
    <row r="15853" spans="1:26" ht="16.5" x14ac:dyDescent="0.35">
      <c r="A15853" s="2"/>
      <c r="B15853" s="2"/>
      <c r="C15853" s="2"/>
      <c r="D15853" s="2"/>
      <c r="E15853" s="2"/>
      <c r="F15853" s="2"/>
      <c r="G15853" s="2"/>
      <c r="H15853" s="2"/>
      <c r="I15853" s="2"/>
      <c r="J15853" s="2"/>
      <c r="K15853" s="2"/>
      <c r="L15853" s="2"/>
      <c r="M15853" s="2"/>
      <c r="N15853" s="2"/>
      <c r="O15853" s="2"/>
      <c r="P15853" s="2"/>
      <c r="Q15853" s="2"/>
      <c r="R15853" s="2"/>
      <c r="S15853" s="2"/>
      <c r="T15853" s="2"/>
      <c r="U15853" s="2"/>
      <c r="V15853" s="2"/>
      <c r="W15853" s="2"/>
      <c r="X15853" s="2"/>
      <c r="Y15853" s="2"/>
      <c r="Z15853" s="2"/>
    </row>
    <row r="15854" spans="1:26" ht="16.5" x14ac:dyDescent="0.35">
      <c r="A15854" s="2"/>
      <c r="B15854" s="2"/>
      <c r="C15854" s="2"/>
      <c r="D15854" s="2"/>
      <c r="E15854" s="2"/>
      <c r="F15854" s="2"/>
      <c r="G15854" s="2"/>
      <c r="H15854" s="2"/>
      <c r="I15854" s="2"/>
      <c r="J15854" s="2"/>
      <c r="K15854" s="2"/>
      <c r="L15854" s="2"/>
      <c r="M15854" s="2"/>
      <c r="N15854" s="2"/>
      <c r="O15854" s="2"/>
      <c r="P15854" s="2"/>
      <c r="Q15854" s="2"/>
      <c r="R15854" s="2"/>
      <c r="S15854" s="2"/>
      <c r="T15854" s="2"/>
      <c r="U15854" s="2"/>
      <c r="V15854" s="2"/>
      <c r="W15854" s="2"/>
      <c r="X15854" s="2"/>
      <c r="Y15854" s="2"/>
      <c r="Z15854" s="2"/>
    </row>
    <row r="15855" spans="1:26" ht="16.5" x14ac:dyDescent="0.35">
      <c r="A15855" s="2"/>
      <c r="B15855" s="2"/>
      <c r="C15855" s="2"/>
      <c r="D15855" s="2"/>
      <c r="E15855" s="2"/>
      <c r="F15855" s="2"/>
      <c r="G15855" s="2"/>
      <c r="H15855" s="2"/>
      <c r="I15855" s="2"/>
      <c r="J15855" s="2"/>
      <c r="K15855" s="2"/>
      <c r="L15855" s="2"/>
      <c r="M15855" s="2"/>
      <c r="N15855" s="2"/>
      <c r="O15855" s="2"/>
      <c r="P15855" s="2"/>
      <c r="Q15855" s="2"/>
      <c r="R15855" s="2"/>
      <c r="S15855" s="2"/>
      <c r="T15855" s="2"/>
      <c r="U15855" s="2"/>
      <c r="V15855" s="2"/>
      <c r="W15855" s="2"/>
      <c r="X15855" s="2"/>
      <c r="Y15855" s="2"/>
      <c r="Z15855" s="2"/>
    </row>
    <row r="15856" spans="1:26" ht="16.5" x14ac:dyDescent="0.35">
      <c r="A15856" s="2"/>
      <c r="B15856" s="2"/>
      <c r="C15856" s="2"/>
      <c r="D15856" s="2"/>
      <c r="E15856" s="2"/>
      <c r="F15856" s="2"/>
      <c r="G15856" s="2"/>
      <c r="H15856" s="2"/>
      <c r="I15856" s="2"/>
      <c r="J15856" s="2"/>
      <c r="K15856" s="2"/>
      <c r="L15856" s="2"/>
      <c r="M15856" s="2"/>
      <c r="N15856" s="2"/>
      <c r="O15856" s="2"/>
      <c r="P15856" s="2"/>
      <c r="Q15856" s="2"/>
      <c r="R15856" s="2"/>
      <c r="S15856" s="2"/>
      <c r="T15856" s="2"/>
      <c r="U15856" s="2"/>
      <c r="V15856" s="2"/>
      <c r="W15856" s="2"/>
      <c r="X15856" s="2"/>
      <c r="Y15856" s="2"/>
      <c r="Z15856" s="2"/>
    </row>
    <row r="15857" spans="1:26" ht="16.5" x14ac:dyDescent="0.35">
      <c r="A15857" s="2"/>
      <c r="B15857" s="2"/>
      <c r="C15857" s="2"/>
      <c r="D15857" s="2"/>
      <c r="E15857" s="2"/>
      <c r="F15857" s="2"/>
      <c r="G15857" s="2"/>
      <c r="H15857" s="2"/>
      <c r="I15857" s="2"/>
      <c r="J15857" s="2"/>
      <c r="K15857" s="2"/>
      <c r="L15857" s="2"/>
      <c r="M15857" s="2"/>
      <c r="N15857" s="2"/>
      <c r="O15857" s="2"/>
      <c r="P15857" s="2"/>
      <c r="Q15857" s="2"/>
      <c r="R15857" s="2"/>
      <c r="S15857" s="2"/>
      <c r="T15857" s="2"/>
      <c r="U15857" s="2"/>
      <c r="V15857" s="2"/>
      <c r="W15857" s="2"/>
      <c r="X15857" s="2"/>
      <c r="Y15857" s="2"/>
      <c r="Z15857" s="2"/>
    </row>
    <row r="15858" spans="1:26" ht="16.5" x14ac:dyDescent="0.35">
      <c r="A15858" s="2"/>
      <c r="B15858" s="2"/>
      <c r="C15858" s="2"/>
      <c r="D15858" s="2"/>
      <c r="E15858" s="2"/>
      <c r="F15858" s="2"/>
      <c r="G15858" s="2"/>
      <c r="H15858" s="2"/>
      <c r="I15858" s="2"/>
      <c r="J15858" s="2"/>
      <c r="K15858" s="2"/>
      <c r="L15858" s="2"/>
      <c r="M15858" s="2"/>
      <c r="N15858" s="2"/>
      <c r="O15858" s="2"/>
      <c r="P15858" s="2"/>
      <c r="Q15858" s="2"/>
      <c r="R15858" s="2"/>
      <c r="S15858" s="2"/>
      <c r="T15858" s="2"/>
      <c r="U15858" s="2"/>
      <c r="V15858" s="2"/>
      <c r="W15858" s="2"/>
      <c r="X15858" s="2"/>
      <c r="Y15858" s="2"/>
      <c r="Z15858" s="2"/>
    </row>
    <row r="15859" spans="1:26" ht="16.5" x14ac:dyDescent="0.35">
      <c r="A15859" s="2"/>
      <c r="B15859" s="2"/>
      <c r="C15859" s="2"/>
      <c r="D15859" s="2"/>
      <c r="E15859" s="2"/>
      <c r="F15859" s="2"/>
      <c r="G15859" s="2"/>
      <c r="H15859" s="2"/>
      <c r="I15859" s="2"/>
      <c r="J15859" s="2"/>
      <c r="K15859" s="2"/>
      <c r="L15859" s="2"/>
      <c r="M15859" s="2"/>
      <c r="N15859" s="2"/>
      <c r="O15859" s="2"/>
      <c r="P15859" s="2"/>
      <c r="Q15859" s="2"/>
      <c r="R15859" s="2"/>
      <c r="S15859" s="2"/>
      <c r="T15859" s="2"/>
      <c r="U15859" s="2"/>
      <c r="V15859" s="2"/>
      <c r="W15859" s="2"/>
      <c r="X15859" s="2"/>
      <c r="Y15859" s="2"/>
      <c r="Z15859" s="2"/>
    </row>
    <row r="15860" spans="1:26" ht="16.5" x14ac:dyDescent="0.35">
      <c r="A15860" s="2"/>
      <c r="B15860" s="2"/>
      <c r="C15860" s="2"/>
      <c r="D15860" s="2"/>
      <c r="E15860" s="2"/>
      <c r="F15860" s="2"/>
      <c r="G15860" s="2"/>
      <c r="H15860" s="2"/>
      <c r="I15860" s="2"/>
      <c r="J15860" s="2"/>
      <c r="K15860" s="2"/>
      <c r="L15860" s="2"/>
      <c r="M15860" s="2"/>
      <c r="N15860" s="2"/>
      <c r="O15860" s="2"/>
      <c r="P15860" s="2"/>
      <c r="Q15860" s="2"/>
      <c r="R15860" s="2"/>
      <c r="S15860" s="2"/>
      <c r="T15860" s="2"/>
      <c r="U15860" s="2"/>
      <c r="V15860" s="2"/>
      <c r="W15860" s="2"/>
      <c r="X15860" s="2"/>
      <c r="Y15860" s="2"/>
      <c r="Z15860" s="2"/>
    </row>
    <row r="15861" spans="1:26" ht="16.5" x14ac:dyDescent="0.35">
      <c r="A15861" s="2"/>
      <c r="B15861" s="2"/>
      <c r="C15861" s="2"/>
      <c r="D15861" s="2"/>
      <c r="E15861" s="2"/>
      <c r="F15861" s="2"/>
      <c r="G15861" s="2"/>
      <c r="H15861" s="2"/>
      <c r="I15861" s="2"/>
      <c r="J15861" s="2"/>
      <c r="K15861" s="2"/>
      <c r="L15861" s="2"/>
      <c r="M15861" s="2"/>
      <c r="N15861" s="2"/>
      <c r="O15861" s="2"/>
      <c r="P15861" s="2"/>
      <c r="Q15861" s="2"/>
      <c r="R15861" s="2"/>
      <c r="S15861" s="2"/>
      <c r="T15861" s="2"/>
      <c r="U15861" s="2"/>
      <c r="V15861" s="2"/>
      <c r="W15861" s="2"/>
      <c r="X15861" s="2"/>
      <c r="Y15861" s="2"/>
      <c r="Z15861" s="2"/>
    </row>
    <row r="15862" spans="1:26" ht="16.5" x14ac:dyDescent="0.35">
      <c r="A15862" s="2"/>
      <c r="B15862" s="2"/>
      <c r="C15862" s="2"/>
      <c r="D15862" s="2"/>
      <c r="E15862" s="2"/>
      <c r="F15862" s="2"/>
      <c r="G15862" s="2"/>
      <c r="H15862" s="2"/>
      <c r="I15862" s="2"/>
      <c r="J15862" s="2"/>
      <c r="K15862" s="2"/>
      <c r="L15862" s="2"/>
      <c r="M15862" s="2"/>
      <c r="N15862" s="2"/>
      <c r="O15862" s="2"/>
      <c r="P15862" s="2"/>
      <c r="Q15862" s="2"/>
      <c r="R15862" s="2"/>
      <c r="S15862" s="2"/>
      <c r="T15862" s="2"/>
      <c r="U15862" s="2"/>
      <c r="V15862" s="2"/>
      <c r="W15862" s="2"/>
      <c r="X15862" s="2"/>
      <c r="Y15862" s="2"/>
      <c r="Z15862" s="2"/>
    </row>
    <row r="15863" spans="1:26" ht="16.5" x14ac:dyDescent="0.35">
      <c r="A15863" s="2"/>
      <c r="B15863" s="2"/>
      <c r="C15863" s="2"/>
      <c r="D15863" s="2"/>
      <c r="E15863" s="2"/>
      <c r="F15863" s="2"/>
      <c r="G15863" s="2"/>
      <c r="H15863" s="2"/>
      <c r="I15863" s="2"/>
      <c r="J15863" s="2"/>
      <c r="K15863" s="2"/>
      <c r="L15863" s="2"/>
      <c r="M15863" s="2"/>
      <c r="N15863" s="2"/>
      <c r="O15863" s="2"/>
      <c r="P15863" s="2"/>
      <c r="Q15863" s="2"/>
      <c r="R15863" s="2"/>
      <c r="S15863" s="2"/>
      <c r="T15863" s="2"/>
      <c r="U15863" s="2"/>
      <c r="V15863" s="2"/>
      <c r="W15863" s="2"/>
      <c r="X15863" s="2"/>
      <c r="Y15863" s="2"/>
      <c r="Z15863" s="2"/>
    </row>
    <row r="15864" spans="1:26" ht="16.5" x14ac:dyDescent="0.35">
      <c r="A15864" s="2"/>
      <c r="B15864" s="2"/>
      <c r="C15864" s="2"/>
      <c r="D15864" s="2"/>
      <c r="E15864" s="2"/>
      <c r="F15864" s="2"/>
      <c r="G15864" s="2"/>
      <c r="H15864" s="2"/>
      <c r="I15864" s="2"/>
      <c r="J15864" s="2"/>
      <c r="K15864" s="2"/>
      <c r="L15864" s="2"/>
      <c r="M15864" s="2"/>
      <c r="N15864" s="2"/>
      <c r="O15864" s="2"/>
      <c r="P15864" s="2"/>
      <c r="Q15864" s="2"/>
      <c r="R15864" s="2"/>
      <c r="S15864" s="2"/>
      <c r="T15864" s="2"/>
      <c r="U15864" s="2"/>
      <c r="V15864" s="2"/>
      <c r="W15864" s="2"/>
      <c r="X15864" s="2"/>
      <c r="Y15864" s="2"/>
      <c r="Z15864" s="2"/>
    </row>
    <row r="15865" spans="1:26" ht="16.5" x14ac:dyDescent="0.35">
      <c r="A15865" s="2"/>
      <c r="B15865" s="2"/>
      <c r="C15865" s="2"/>
      <c r="D15865" s="2"/>
      <c r="E15865" s="2"/>
      <c r="F15865" s="2"/>
      <c r="G15865" s="2"/>
      <c r="H15865" s="2"/>
      <c r="I15865" s="2"/>
      <c r="J15865" s="2"/>
      <c r="K15865" s="2"/>
      <c r="L15865" s="2"/>
      <c r="M15865" s="2"/>
      <c r="N15865" s="2"/>
      <c r="O15865" s="2"/>
      <c r="P15865" s="2"/>
      <c r="Q15865" s="2"/>
      <c r="R15865" s="2"/>
      <c r="S15865" s="2"/>
      <c r="T15865" s="2"/>
      <c r="U15865" s="2"/>
      <c r="V15865" s="2"/>
      <c r="W15865" s="2"/>
      <c r="X15865" s="2"/>
      <c r="Y15865" s="2"/>
      <c r="Z15865" s="2"/>
    </row>
    <row r="15866" spans="1:26" ht="16.5" x14ac:dyDescent="0.35">
      <c r="A15866" s="2"/>
      <c r="B15866" s="2"/>
      <c r="C15866" s="2"/>
      <c r="D15866" s="2"/>
      <c r="E15866" s="2"/>
      <c r="F15866" s="2"/>
      <c r="G15866" s="2"/>
      <c r="H15866" s="2"/>
      <c r="I15866" s="2"/>
      <c r="J15866" s="2"/>
      <c r="K15866" s="2"/>
      <c r="L15866" s="2"/>
      <c r="M15866" s="2"/>
      <c r="N15866" s="2"/>
      <c r="O15866" s="2"/>
      <c r="P15866" s="2"/>
      <c r="Q15866" s="2"/>
      <c r="R15866" s="2"/>
      <c r="S15866" s="2"/>
      <c r="T15866" s="2"/>
      <c r="U15866" s="2"/>
      <c r="V15866" s="2"/>
      <c r="W15866" s="2"/>
      <c r="X15866" s="2"/>
      <c r="Y15866" s="2"/>
      <c r="Z15866" s="2"/>
    </row>
    <row r="15867" spans="1:26" ht="16.5" x14ac:dyDescent="0.35">
      <c r="A15867" s="2"/>
      <c r="B15867" s="2"/>
      <c r="C15867" s="2"/>
      <c r="D15867" s="2"/>
      <c r="E15867" s="2"/>
      <c r="F15867" s="2"/>
      <c r="G15867" s="2"/>
      <c r="H15867" s="2"/>
      <c r="I15867" s="2"/>
      <c r="J15867" s="2"/>
      <c r="K15867" s="2"/>
      <c r="L15867" s="2"/>
      <c r="M15867" s="2"/>
      <c r="N15867" s="2"/>
      <c r="O15867" s="2"/>
      <c r="P15867" s="2"/>
      <c r="Q15867" s="2"/>
      <c r="R15867" s="2"/>
      <c r="S15867" s="2"/>
      <c r="T15867" s="2"/>
      <c r="U15867" s="2"/>
      <c r="V15867" s="2"/>
      <c r="W15867" s="2"/>
      <c r="X15867" s="2"/>
      <c r="Y15867" s="2"/>
      <c r="Z15867" s="2"/>
    </row>
    <row r="15868" spans="1:26" ht="16.5" x14ac:dyDescent="0.35">
      <c r="A15868" s="2"/>
      <c r="B15868" s="2"/>
      <c r="C15868" s="2"/>
      <c r="D15868" s="2"/>
      <c r="E15868" s="2"/>
      <c r="F15868" s="2"/>
      <c r="G15868" s="2"/>
      <c r="H15868" s="2"/>
      <c r="I15868" s="2"/>
      <c r="J15868" s="2"/>
      <c r="K15868" s="2"/>
      <c r="L15868" s="2"/>
      <c r="M15868" s="2"/>
      <c r="N15868" s="2"/>
      <c r="O15868" s="2"/>
      <c r="P15868" s="2"/>
      <c r="Q15868" s="2"/>
      <c r="R15868" s="2"/>
      <c r="S15868" s="2"/>
      <c r="T15868" s="2"/>
      <c r="U15868" s="2"/>
      <c r="V15868" s="2"/>
      <c r="W15868" s="2"/>
      <c r="X15868" s="2"/>
      <c r="Y15868" s="2"/>
      <c r="Z15868" s="2"/>
    </row>
    <row r="15869" spans="1:26" ht="16.5" x14ac:dyDescent="0.35">
      <c r="A15869" s="2"/>
      <c r="B15869" s="2"/>
      <c r="C15869" s="2"/>
      <c r="D15869" s="2"/>
      <c r="E15869" s="2"/>
      <c r="F15869" s="2"/>
      <c r="G15869" s="2"/>
      <c r="H15869" s="2"/>
      <c r="I15869" s="2"/>
      <c r="J15869" s="2"/>
      <c r="K15869" s="2"/>
      <c r="L15869" s="2"/>
      <c r="M15869" s="2"/>
      <c r="N15869" s="2"/>
      <c r="O15869" s="2"/>
      <c r="P15869" s="2"/>
      <c r="Q15869" s="2"/>
      <c r="R15869" s="2"/>
      <c r="S15869" s="2"/>
      <c r="T15869" s="2"/>
      <c r="U15869" s="2"/>
      <c r="V15869" s="2"/>
      <c r="W15869" s="2"/>
      <c r="X15869" s="2"/>
      <c r="Y15869" s="2"/>
      <c r="Z15869" s="2"/>
    </row>
    <row r="15870" spans="1:26" ht="16.5" x14ac:dyDescent="0.35">
      <c r="A15870" s="2"/>
      <c r="B15870" s="2"/>
      <c r="C15870" s="2"/>
      <c r="D15870" s="2"/>
      <c r="E15870" s="2"/>
      <c r="F15870" s="2"/>
      <c r="G15870" s="2"/>
      <c r="H15870" s="2"/>
      <c r="I15870" s="2"/>
      <c r="J15870" s="2"/>
      <c r="K15870" s="2"/>
      <c r="L15870" s="2"/>
      <c r="M15870" s="2"/>
      <c r="N15870" s="2"/>
      <c r="O15870" s="2"/>
      <c r="P15870" s="2"/>
      <c r="Q15870" s="2"/>
      <c r="R15870" s="2"/>
      <c r="S15870" s="2"/>
      <c r="T15870" s="2"/>
      <c r="U15870" s="2"/>
      <c r="V15870" s="2"/>
      <c r="W15870" s="2"/>
      <c r="X15870" s="2"/>
      <c r="Y15870" s="2"/>
      <c r="Z15870" s="2"/>
    </row>
    <row r="15871" spans="1:26" ht="16.5" x14ac:dyDescent="0.35">
      <c r="A15871" s="2"/>
      <c r="B15871" s="2"/>
      <c r="C15871" s="2"/>
      <c r="D15871" s="2"/>
      <c r="E15871" s="2"/>
      <c r="F15871" s="2"/>
      <c r="G15871" s="2"/>
      <c r="H15871" s="2"/>
      <c r="I15871" s="2"/>
      <c r="J15871" s="2"/>
      <c r="K15871" s="2"/>
      <c r="L15871" s="2"/>
      <c r="M15871" s="2"/>
      <c r="N15871" s="2"/>
      <c r="O15871" s="2"/>
      <c r="P15871" s="2"/>
      <c r="Q15871" s="2"/>
      <c r="R15871" s="2"/>
      <c r="S15871" s="2"/>
      <c r="T15871" s="2"/>
      <c r="U15871" s="2"/>
      <c r="V15871" s="2"/>
      <c r="W15871" s="2"/>
      <c r="X15871" s="2"/>
      <c r="Y15871" s="2"/>
      <c r="Z15871" s="2"/>
    </row>
    <row r="15872" spans="1:26" ht="16.5" x14ac:dyDescent="0.35">
      <c r="A15872" s="2"/>
      <c r="B15872" s="2"/>
      <c r="C15872" s="2"/>
      <c r="D15872" s="2"/>
      <c r="E15872" s="2"/>
      <c r="F15872" s="2"/>
      <c r="G15872" s="2"/>
      <c r="H15872" s="2"/>
      <c r="I15872" s="2"/>
      <c r="J15872" s="2"/>
      <c r="K15872" s="2"/>
      <c r="L15872" s="2"/>
      <c r="M15872" s="2"/>
      <c r="N15872" s="2"/>
      <c r="O15872" s="2"/>
      <c r="P15872" s="2"/>
      <c r="Q15872" s="2"/>
      <c r="R15872" s="2"/>
      <c r="S15872" s="2"/>
      <c r="T15872" s="2"/>
      <c r="U15872" s="2"/>
      <c r="V15872" s="2"/>
      <c r="W15872" s="2"/>
      <c r="X15872" s="2"/>
      <c r="Y15872" s="2"/>
      <c r="Z15872" s="2"/>
    </row>
    <row r="15873" spans="1:26" ht="16.5" x14ac:dyDescent="0.35">
      <c r="A15873" s="2"/>
      <c r="B15873" s="2"/>
      <c r="C15873" s="2"/>
      <c r="D15873" s="2"/>
      <c r="E15873" s="2"/>
      <c r="F15873" s="2"/>
      <c r="G15873" s="2"/>
      <c r="H15873" s="2"/>
      <c r="I15873" s="2"/>
      <c r="J15873" s="2"/>
      <c r="K15873" s="2"/>
      <c r="L15873" s="2"/>
      <c r="M15873" s="2"/>
      <c r="N15873" s="2"/>
      <c r="O15873" s="2"/>
      <c r="P15873" s="2"/>
      <c r="Q15873" s="2"/>
      <c r="R15873" s="2"/>
      <c r="S15873" s="2"/>
      <c r="T15873" s="2"/>
      <c r="U15873" s="2"/>
      <c r="V15873" s="2"/>
      <c r="W15873" s="2"/>
      <c r="X15873" s="2"/>
      <c r="Y15873" s="2"/>
      <c r="Z15873" s="2"/>
    </row>
    <row r="15874" spans="1:26" ht="16.5" x14ac:dyDescent="0.35">
      <c r="A15874" s="2"/>
      <c r="B15874" s="2"/>
      <c r="C15874" s="2"/>
      <c r="D15874" s="2"/>
      <c r="E15874" s="2"/>
      <c r="F15874" s="2"/>
      <c r="G15874" s="2"/>
      <c r="H15874" s="2"/>
      <c r="I15874" s="2"/>
      <c r="J15874" s="2"/>
      <c r="K15874" s="2"/>
      <c r="L15874" s="2"/>
      <c r="M15874" s="2"/>
      <c r="N15874" s="2"/>
      <c r="O15874" s="2"/>
      <c r="P15874" s="2"/>
      <c r="Q15874" s="2"/>
      <c r="R15874" s="2"/>
      <c r="S15874" s="2"/>
      <c r="T15874" s="2"/>
      <c r="U15874" s="2"/>
      <c r="V15874" s="2"/>
      <c r="W15874" s="2"/>
      <c r="X15874" s="2"/>
      <c r="Y15874" s="2"/>
      <c r="Z15874" s="2"/>
    </row>
    <row r="15875" spans="1:26" ht="16.5" x14ac:dyDescent="0.35">
      <c r="A15875" s="2"/>
      <c r="B15875" s="2"/>
      <c r="C15875" s="2"/>
      <c r="D15875" s="2"/>
      <c r="E15875" s="2"/>
      <c r="F15875" s="2"/>
      <c r="G15875" s="2"/>
      <c r="H15875" s="2"/>
      <c r="I15875" s="2"/>
      <c r="J15875" s="2"/>
      <c r="K15875" s="2"/>
      <c r="L15875" s="2"/>
      <c r="M15875" s="2"/>
      <c r="N15875" s="2"/>
      <c r="O15875" s="2"/>
      <c r="P15875" s="2"/>
      <c r="Q15875" s="2"/>
      <c r="R15875" s="2"/>
      <c r="S15875" s="2"/>
      <c r="T15875" s="2"/>
      <c r="U15875" s="2"/>
      <c r="V15875" s="2"/>
      <c r="W15875" s="2"/>
      <c r="X15875" s="2"/>
      <c r="Y15875" s="2"/>
      <c r="Z15875" s="2"/>
    </row>
    <row r="15876" spans="1:26" ht="16.5" x14ac:dyDescent="0.35">
      <c r="A15876" s="2"/>
      <c r="B15876" s="2"/>
      <c r="C15876" s="2"/>
      <c r="D15876" s="2"/>
      <c r="E15876" s="2"/>
      <c r="F15876" s="2"/>
      <c r="G15876" s="2"/>
      <c r="H15876" s="2"/>
      <c r="I15876" s="2"/>
      <c r="J15876" s="2"/>
      <c r="K15876" s="2"/>
      <c r="L15876" s="2"/>
      <c r="M15876" s="2"/>
      <c r="N15876" s="2"/>
      <c r="O15876" s="2"/>
      <c r="P15876" s="2"/>
      <c r="Q15876" s="2"/>
      <c r="R15876" s="2"/>
      <c r="S15876" s="2"/>
      <c r="T15876" s="2"/>
      <c r="U15876" s="2"/>
      <c r="V15876" s="2"/>
      <c r="W15876" s="2"/>
      <c r="X15876" s="2"/>
      <c r="Y15876" s="2"/>
      <c r="Z15876" s="2"/>
    </row>
    <row r="15877" spans="1:26" ht="16.5" x14ac:dyDescent="0.35">
      <c r="A15877" s="2"/>
      <c r="B15877" s="2"/>
      <c r="C15877" s="2"/>
      <c r="D15877" s="2"/>
      <c r="E15877" s="2"/>
      <c r="F15877" s="2"/>
      <c r="G15877" s="2"/>
      <c r="H15877" s="2"/>
      <c r="I15877" s="2"/>
      <c r="J15877" s="2"/>
      <c r="K15877" s="2"/>
      <c r="L15877" s="2"/>
      <c r="M15877" s="2"/>
      <c r="N15877" s="2"/>
      <c r="O15877" s="2"/>
      <c r="P15877" s="2"/>
      <c r="Q15877" s="2"/>
      <c r="R15877" s="2"/>
      <c r="S15877" s="2"/>
      <c r="T15877" s="2"/>
      <c r="U15877" s="2"/>
      <c r="V15877" s="2"/>
      <c r="W15877" s="2"/>
      <c r="X15877" s="2"/>
      <c r="Y15877" s="2"/>
      <c r="Z15877" s="2"/>
    </row>
    <row r="15878" spans="1:26" ht="16.5" x14ac:dyDescent="0.35">
      <c r="A15878" s="2"/>
      <c r="B15878" s="2"/>
      <c r="C15878" s="2"/>
      <c r="D15878" s="2"/>
      <c r="E15878" s="2"/>
      <c r="F15878" s="2"/>
      <c r="G15878" s="2"/>
      <c r="H15878" s="2"/>
      <c r="I15878" s="2"/>
      <c r="J15878" s="2"/>
      <c r="K15878" s="2"/>
      <c r="L15878" s="2"/>
      <c r="M15878" s="2"/>
      <c r="N15878" s="2"/>
      <c r="O15878" s="2"/>
      <c r="P15878" s="2"/>
      <c r="Q15878" s="2"/>
      <c r="R15878" s="2"/>
      <c r="S15878" s="2"/>
      <c r="T15878" s="2"/>
      <c r="U15878" s="2"/>
      <c r="V15878" s="2"/>
      <c r="W15878" s="2"/>
      <c r="X15878" s="2"/>
      <c r="Y15878" s="2"/>
      <c r="Z15878" s="2"/>
    </row>
    <row r="15879" spans="1:26" ht="16.5" x14ac:dyDescent="0.35">
      <c r="A15879" s="2"/>
      <c r="B15879" s="2"/>
      <c r="C15879" s="2"/>
      <c r="D15879" s="2"/>
      <c r="E15879" s="2"/>
      <c r="F15879" s="2"/>
      <c r="G15879" s="2"/>
      <c r="H15879" s="2"/>
      <c r="I15879" s="2"/>
      <c r="J15879" s="2"/>
      <c r="K15879" s="2"/>
      <c r="L15879" s="2"/>
      <c r="M15879" s="2"/>
      <c r="N15879" s="2"/>
      <c r="O15879" s="2"/>
      <c r="P15879" s="2"/>
      <c r="Q15879" s="2"/>
      <c r="R15879" s="2"/>
      <c r="S15879" s="2"/>
      <c r="T15879" s="2"/>
      <c r="U15879" s="2"/>
      <c r="V15879" s="2"/>
      <c r="W15879" s="2"/>
      <c r="X15879" s="2"/>
      <c r="Y15879" s="2"/>
      <c r="Z15879" s="2"/>
    </row>
    <row r="15880" spans="1:26" ht="16.5" x14ac:dyDescent="0.35">
      <c r="A15880" s="2"/>
      <c r="B15880" s="2"/>
      <c r="C15880" s="2"/>
      <c r="D15880" s="2"/>
      <c r="E15880" s="2"/>
      <c r="F15880" s="2"/>
      <c r="G15880" s="2"/>
      <c r="H15880" s="2"/>
      <c r="I15880" s="2"/>
      <c r="J15880" s="2"/>
      <c r="K15880" s="2"/>
      <c r="L15880" s="2"/>
      <c r="M15880" s="2"/>
      <c r="N15880" s="2"/>
      <c r="O15880" s="2"/>
      <c r="P15880" s="2"/>
      <c r="Q15880" s="2"/>
      <c r="R15880" s="2"/>
      <c r="S15880" s="2"/>
      <c r="T15880" s="2"/>
      <c r="U15880" s="2"/>
      <c r="V15880" s="2"/>
      <c r="W15880" s="2"/>
      <c r="X15880" s="2"/>
      <c r="Y15880" s="2"/>
      <c r="Z15880" s="2"/>
    </row>
    <row r="15881" spans="1:26" ht="16.5" x14ac:dyDescent="0.35">
      <c r="A15881" s="2"/>
      <c r="B15881" s="2"/>
      <c r="C15881" s="2"/>
      <c r="D15881" s="2"/>
      <c r="E15881" s="2"/>
      <c r="F15881" s="2"/>
      <c r="G15881" s="2"/>
      <c r="H15881" s="2"/>
      <c r="I15881" s="2"/>
      <c r="J15881" s="2"/>
      <c r="K15881" s="2"/>
      <c r="L15881" s="2"/>
      <c r="M15881" s="2"/>
      <c r="N15881" s="2"/>
      <c r="O15881" s="2"/>
      <c r="P15881" s="2"/>
      <c r="Q15881" s="2"/>
      <c r="R15881" s="2"/>
      <c r="S15881" s="2"/>
      <c r="T15881" s="2"/>
      <c r="U15881" s="2"/>
      <c r="V15881" s="2"/>
      <c r="W15881" s="2"/>
      <c r="X15881" s="2"/>
      <c r="Y15881" s="2"/>
      <c r="Z15881" s="2"/>
    </row>
    <row r="15882" spans="1:26" ht="16.5" x14ac:dyDescent="0.35">
      <c r="A15882" s="2"/>
      <c r="B15882" s="2"/>
      <c r="C15882" s="2"/>
      <c r="D15882" s="2"/>
      <c r="E15882" s="2"/>
      <c r="F15882" s="2"/>
      <c r="G15882" s="2"/>
      <c r="H15882" s="2"/>
      <c r="I15882" s="2"/>
      <c r="J15882" s="2"/>
      <c r="K15882" s="2"/>
      <c r="L15882" s="2"/>
      <c r="M15882" s="2"/>
      <c r="N15882" s="2"/>
      <c r="O15882" s="2"/>
      <c r="P15882" s="2"/>
      <c r="Q15882" s="2"/>
      <c r="R15882" s="2"/>
      <c r="S15882" s="2"/>
      <c r="T15882" s="2"/>
      <c r="U15882" s="2"/>
      <c r="V15882" s="2"/>
      <c r="W15882" s="2"/>
      <c r="X15882" s="2"/>
      <c r="Y15882" s="2"/>
      <c r="Z15882" s="2"/>
    </row>
    <row r="15883" spans="1:26" ht="16.5" x14ac:dyDescent="0.35">
      <c r="A15883" s="2"/>
      <c r="B15883" s="2"/>
      <c r="C15883" s="2"/>
      <c r="D15883" s="2"/>
      <c r="E15883" s="2"/>
      <c r="F15883" s="2"/>
      <c r="G15883" s="2"/>
      <c r="H15883" s="2"/>
      <c r="I15883" s="2"/>
      <c r="J15883" s="2"/>
      <c r="K15883" s="2"/>
      <c r="L15883" s="2"/>
      <c r="M15883" s="2"/>
      <c r="N15883" s="2"/>
      <c r="O15883" s="2"/>
      <c r="P15883" s="2"/>
      <c r="Q15883" s="2"/>
      <c r="R15883" s="2"/>
      <c r="S15883" s="2"/>
      <c r="T15883" s="2"/>
      <c r="U15883" s="2"/>
      <c r="V15883" s="2"/>
      <c r="W15883" s="2"/>
      <c r="X15883" s="2"/>
      <c r="Y15883" s="2"/>
      <c r="Z15883" s="2"/>
    </row>
    <row r="15884" spans="1:26" ht="16.5" x14ac:dyDescent="0.35">
      <c r="A15884" s="2"/>
      <c r="B15884" s="2"/>
      <c r="C15884" s="2"/>
      <c r="D15884" s="2"/>
      <c r="E15884" s="2"/>
      <c r="F15884" s="2"/>
      <c r="G15884" s="2"/>
      <c r="H15884" s="2"/>
      <c r="I15884" s="2"/>
      <c r="J15884" s="2"/>
      <c r="K15884" s="2"/>
      <c r="L15884" s="2"/>
      <c r="M15884" s="2"/>
      <c r="N15884" s="2"/>
      <c r="O15884" s="2"/>
      <c r="P15884" s="2"/>
      <c r="Q15884" s="2"/>
      <c r="R15884" s="2"/>
      <c r="S15884" s="2"/>
      <c r="T15884" s="2"/>
      <c r="U15884" s="2"/>
      <c r="V15884" s="2"/>
      <c r="W15884" s="2"/>
      <c r="X15884" s="2"/>
      <c r="Y15884" s="2"/>
      <c r="Z15884" s="2"/>
    </row>
    <row r="15885" spans="1:26" ht="16.5" x14ac:dyDescent="0.35">
      <c r="A15885" s="2"/>
      <c r="B15885" s="2"/>
      <c r="C15885" s="2"/>
      <c r="D15885" s="2"/>
      <c r="E15885" s="2"/>
      <c r="F15885" s="2"/>
      <c r="G15885" s="2"/>
      <c r="H15885" s="2"/>
      <c r="I15885" s="2"/>
      <c r="J15885" s="2"/>
      <c r="K15885" s="2"/>
      <c r="L15885" s="2"/>
      <c r="M15885" s="2"/>
      <c r="N15885" s="2"/>
      <c r="O15885" s="2"/>
      <c r="P15885" s="2"/>
      <c r="Q15885" s="2"/>
      <c r="R15885" s="2"/>
      <c r="S15885" s="2"/>
      <c r="T15885" s="2"/>
      <c r="U15885" s="2"/>
      <c r="V15885" s="2"/>
      <c r="W15885" s="2"/>
      <c r="X15885" s="2"/>
      <c r="Y15885" s="2"/>
      <c r="Z15885" s="2"/>
    </row>
    <row r="15886" spans="1:26" ht="16.5" x14ac:dyDescent="0.35">
      <c r="A15886" s="2"/>
      <c r="B15886" s="2"/>
      <c r="C15886" s="2"/>
      <c r="D15886" s="2"/>
      <c r="E15886" s="2"/>
      <c r="F15886" s="2"/>
      <c r="G15886" s="2"/>
      <c r="H15886" s="2"/>
      <c r="I15886" s="2"/>
      <c r="J15886" s="2"/>
      <c r="K15886" s="2"/>
      <c r="L15886" s="2"/>
      <c r="M15886" s="2"/>
      <c r="N15886" s="2"/>
      <c r="O15886" s="2"/>
      <c r="P15886" s="2"/>
      <c r="Q15886" s="2"/>
      <c r="R15886" s="2"/>
      <c r="S15886" s="2"/>
      <c r="T15886" s="2"/>
      <c r="U15886" s="2"/>
      <c r="V15886" s="2"/>
      <c r="W15886" s="2"/>
      <c r="X15886" s="2"/>
      <c r="Y15886" s="2"/>
      <c r="Z15886" s="2"/>
    </row>
    <row r="15887" spans="1:26" ht="16.5" x14ac:dyDescent="0.35">
      <c r="A15887" s="2"/>
      <c r="B15887" s="2"/>
      <c r="C15887" s="2"/>
      <c r="D15887" s="2"/>
      <c r="E15887" s="2"/>
      <c r="F15887" s="2"/>
      <c r="G15887" s="2"/>
      <c r="H15887" s="2"/>
      <c r="I15887" s="2"/>
      <c r="J15887" s="2"/>
      <c r="K15887" s="2"/>
      <c r="L15887" s="2"/>
      <c r="M15887" s="2"/>
      <c r="N15887" s="2"/>
      <c r="O15887" s="2"/>
      <c r="P15887" s="2"/>
      <c r="Q15887" s="2"/>
      <c r="R15887" s="2"/>
      <c r="S15887" s="2"/>
      <c r="T15887" s="2"/>
      <c r="U15887" s="2"/>
      <c r="V15887" s="2"/>
      <c r="W15887" s="2"/>
      <c r="X15887" s="2"/>
      <c r="Y15887" s="2"/>
      <c r="Z15887" s="2"/>
    </row>
    <row r="15888" spans="1:26" ht="16.5" x14ac:dyDescent="0.35">
      <c r="A15888" s="2"/>
      <c r="B15888" s="2"/>
      <c r="C15888" s="2"/>
      <c r="D15888" s="2"/>
      <c r="E15888" s="2"/>
      <c r="F15888" s="2"/>
      <c r="G15888" s="2"/>
      <c r="H15888" s="2"/>
      <c r="I15888" s="2"/>
      <c r="J15888" s="2"/>
      <c r="K15888" s="2"/>
      <c r="L15888" s="2"/>
      <c r="M15888" s="2"/>
      <c r="N15888" s="2"/>
      <c r="O15888" s="2"/>
      <c r="P15888" s="2"/>
      <c r="Q15888" s="2"/>
      <c r="R15888" s="2"/>
      <c r="S15888" s="2"/>
      <c r="T15888" s="2"/>
      <c r="U15888" s="2"/>
      <c r="V15888" s="2"/>
      <c r="W15888" s="2"/>
      <c r="X15888" s="2"/>
      <c r="Y15888" s="2"/>
      <c r="Z15888" s="2"/>
    </row>
    <row r="15889" spans="1:26" ht="16.5" x14ac:dyDescent="0.35">
      <c r="A15889" s="2"/>
      <c r="B15889" s="2"/>
      <c r="C15889" s="2"/>
      <c r="D15889" s="2"/>
      <c r="E15889" s="2"/>
      <c r="F15889" s="2"/>
      <c r="G15889" s="2"/>
      <c r="H15889" s="2"/>
      <c r="I15889" s="2"/>
      <c r="J15889" s="2"/>
      <c r="K15889" s="2"/>
      <c r="L15889" s="2"/>
      <c r="M15889" s="2"/>
      <c r="N15889" s="2"/>
      <c r="O15889" s="2"/>
      <c r="P15889" s="2"/>
      <c r="Q15889" s="2"/>
      <c r="R15889" s="2"/>
      <c r="S15889" s="2"/>
      <c r="T15889" s="2"/>
      <c r="U15889" s="2"/>
      <c r="V15889" s="2"/>
      <c r="W15889" s="2"/>
      <c r="X15889" s="2"/>
      <c r="Y15889" s="2"/>
      <c r="Z15889" s="2"/>
    </row>
    <row r="15890" spans="1:26" ht="16.5" x14ac:dyDescent="0.35">
      <c r="A15890" s="2"/>
      <c r="B15890" s="2"/>
      <c r="C15890" s="2"/>
      <c r="D15890" s="2"/>
      <c r="E15890" s="2"/>
      <c r="F15890" s="2"/>
      <c r="G15890" s="2"/>
      <c r="H15890" s="2"/>
      <c r="I15890" s="2"/>
      <c r="J15890" s="2"/>
      <c r="K15890" s="2"/>
      <c r="L15890" s="2"/>
      <c r="M15890" s="2"/>
      <c r="N15890" s="2"/>
      <c r="O15890" s="2"/>
      <c r="P15890" s="2"/>
      <c r="Q15890" s="2"/>
      <c r="R15890" s="2"/>
      <c r="S15890" s="2"/>
      <c r="T15890" s="2"/>
      <c r="U15890" s="2"/>
      <c r="V15890" s="2"/>
      <c r="W15890" s="2"/>
      <c r="X15890" s="2"/>
      <c r="Y15890" s="2"/>
      <c r="Z15890" s="2"/>
    </row>
    <row r="15891" spans="1:26" ht="16.5" x14ac:dyDescent="0.35">
      <c r="A15891" s="2"/>
      <c r="B15891" s="2"/>
      <c r="C15891" s="2"/>
      <c r="D15891" s="2"/>
      <c r="E15891" s="2"/>
      <c r="F15891" s="2"/>
      <c r="G15891" s="2"/>
      <c r="H15891" s="2"/>
      <c r="I15891" s="2"/>
      <c r="J15891" s="2"/>
      <c r="K15891" s="2"/>
      <c r="L15891" s="2"/>
      <c r="M15891" s="2"/>
      <c r="N15891" s="2"/>
      <c r="O15891" s="2"/>
      <c r="P15891" s="2"/>
      <c r="Q15891" s="2"/>
      <c r="R15891" s="2"/>
      <c r="S15891" s="2"/>
      <c r="T15891" s="2"/>
      <c r="U15891" s="2"/>
      <c r="V15891" s="2"/>
      <c r="W15891" s="2"/>
      <c r="X15891" s="2"/>
      <c r="Y15891" s="2"/>
      <c r="Z15891" s="2"/>
    </row>
    <row r="15892" spans="1:26" ht="16.5" x14ac:dyDescent="0.35">
      <c r="A15892" s="2"/>
      <c r="B15892" s="2"/>
      <c r="C15892" s="2"/>
      <c r="D15892" s="2"/>
      <c r="E15892" s="2"/>
      <c r="F15892" s="2"/>
      <c r="G15892" s="2"/>
      <c r="H15892" s="2"/>
      <c r="I15892" s="2"/>
      <c r="J15892" s="2"/>
      <c r="K15892" s="2"/>
      <c r="L15892" s="2"/>
      <c r="M15892" s="2"/>
      <c r="N15892" s="2"/>
      <c r="O15892" s="2"/>
      <c r="P15892" s="2"/>
      <c r="Q15892" s="2"/>
      <c r="R15892" s="2"/>
      <c r="S15892" s="2"/>
      <c r="T15892" s="2"/>
      <c r="U15892" s="2"/>
      <c r="V15892" s="2"/>
      <c r="W15892" s="2"/>
      <c r="X15892" s="2"/>
      <c r="Y15892" s="2"/>
      <c r="Z15892" s="2"/>
    </row>
    <row r="15893" spans="1:26" ht="16.5" x14ac:dyDescent="0.35">
      <c r="A15893" s="2"/>
      <c r="B15893" s="2"/>
      <c r="C15893" s="2"/>
      <c r="D15893" s="2"/>
      <c r="E15893" s="2"/>
      <c r="F15893" s="2"/>
      <c r="G15893" s="2"/>
      <c r="H15893" s="2"/>
      <c r="I15893" s="2"/>
      <c r="J15893" s="2"/>
      <c r="K15893" s="2"/>
      <c r="L15893" s="2"/>
      <c r="M15893" s="2"/>
      <c r="N15893" s="2"/>
      <c r="O15893" s="2"/>
      <c r="P15893" s="2"/>
      <c r="Q15893" s="2"/>
      <c r="R15893" s="2"/>
      <c r="S15893" s="2"/>
      <c r="T15893" s="2"/>
      <c r="U15893" s="2"/>
      <c r="V15893" s="2"/>
      <c r="W15893" s="2"/>
      <c r="X15893" s="2"/>
      <c r="Y15893" s="2"/>
      <c r="Z15893" s="2"/>
    </row>
    <row r="15894" spans="1:26" ht="16.5" x14ac:dyDescent="0.35">
      <c r="A15894" s="2"/>
      <c r="B15894" s="2"/>
      <c r="C15894" s="2"/>
      <c r="D15894" s="2"/>
      <c r="E15894" s="2"/>
      <c r="F15894" s="2"/>
      <c r="G15894" s="2"/>
      <c r="H15894" s="2"/>
      <c r="I15894" s="2"/>
      <c r="J15894" s="2"/>
      <c r="K15894" s="2"/>
      <c r="L15894" s="2"/>
      <c r="M15894" s="2"/>
      <c r="N15894" s="2"/>
      <c r="O15894" s="2"/>
      <c r="P15894" s="2"/>
      <c r="Q15894" s="2"/>
      <c r="R15894" s="2"/>
      <c r="S15894" s="2"/>
      <c r="T15894" s="2"/>
      <c r="U15894" s="2"/>
      <c r="V15894" s="2"/>
      <c r="W15894" s="2"/>
      <c r="X15894" s="2"/>
      <c r="Y15894" s="2"/>
      <c r="Z15894" s="2"/>
    </row>
    <row r="15895" spans="1:26" ht="16.5" x14ac:dyDescent="0.35">
      <c r="A15895" s="2"/>
      <c r="B15895" s="2"/>
      <c r="C15895" s="2"/>
      <c r="D15895" s="2"/>
      <c r="E15895" s="2"/>
      <c r="F15895" s="2"/>
      <c r="G15895" s="2"/>
      <c r="H15895" s="2"/>
      <c r="I15895" s="2"/>
      <c r="J15895" s="2"/>
      <c r="K15895" s="2"/>
      <c r="L15895" s="2"/>
      <c r="M15895" s="2"/>
      <c r="N15895" s="2"/>
      <c r="O15895" s="2"/>
      <c r="P15895" s="2"/>
      <c r="Q15895" s="2"/>
      <c r="R15895" s="2"/>
      <c r="S15895" s="2"/>
      <c r="T15895" s="2"/>
      <c r="U15895" s="2"/>
      <c r="V15895" s="2"/>
      <c r="W15895" s="2"/>
      <c r="X15895" s="2"/>
      <c r="Y15895" s="2"/>
      <c r="Z15895" s="2"/>
    </row>
    <row r="15896" spans="1:26" ht="16.5" x14ac:dyDescent="0.35">
      <c r="A15896" s="2"/>
      <c r="B15896" s="2"/>
      <c r="C15896" s="2"/>
      <c r="D15896" s="2"/>
      <c r="E15896" s="2"/>
      <c r="F15896" s="2"/>
      <c r="G15896" s="2"/>
      <c r="H15896" s="2"/>
      <c r="I15896" s="2"/>
      <c r="J15896" s="2"/>
      <c r="K15896" s="2"/>
      <c r="L15896" s="2"/>
      <c r="M15896" s="2"/>
      <c r="N15896" s="2"/>
      <c r="O15896" s="2"/>
      <c r="P15896" s="2"/>
      <c r="Q15896" s="2"/>
      <c r="R15896" s="2"/>
      <c r="S15896" s="2"/>
      <c r="T15896" s="2"/>
      <c r="U15896" s="2"/>
      <c r="V15896" s="2"/>
      <c r="W15896" s="2"/>
      <c r="X15896" s="2"/>
      <c r="Y15896" s="2"/>
      <c r="Z15896" s="2"/>
    </row>
    <row r="15897" spans="1:26" ht="16.5" x14ac:dyDescent="0.35">
      <c r="A15897" s="2"/>
      <c r="B15897" s="2"/>
      <c r="C15897" s="2"/>
      <c r="D15897" s="2"/>
      <c r="E15897" s="2"/>
      <c r="F15897" s="2"/>
      <c r="G15897" s="2"/>
      <c r="H15897" s="2"/>
      <c r="I15897" s="2"/>
      <c r="J15897" s="2"/>
      <c r="K15897" s="2"/>
      <c r="L15897" s="2"/>
      <c r="M15897" s="2"/>
      <c r="N15897" s="2"/>
      <c r="O15897" s="2"/>
      <c r="P15897" s="2"/>
      <c r="Q15897" s="2"/>
      <c r="R15897" s="2"/>
      <c r="S15897" s="2"/>
      <c r="T15897" s="2"/>
      <c r="U15897" s="2"/>
      <c r="V15897" s="2"/>
      <c r="W15897" s="2"/>
      <c r="X15897" s="2"/>
      <c r="Y15897" s="2"/>
      <c r="Z15897" s="2"/>
    </row>
    <row r="15898" spans="1:26" ht="16.5" x14ac:dyDescent="0.35">
      <c r="A15898" s="2"/>
      <c r="B15898" s="2"/>
      <c r="C15898" s="2"/>
      <c r="D15898" s="2"/>
      <c r="E15898" s="2"/>
      <c r="F15898" s="2"/>
      <c r="G15898" s="2"/>
      <c r="H15898" s="2"/>
      <c r="I15898" s="2"/>
      <c r="J15898" s="2"/>
      <c r="K15898" s="2"/>
      <c r="L15898" s="2"/>
      <c r="M15898" s="2"/>
      <c r="N15898" s="2"/>
      <c r="O15898" s="2"/>
      <c r="P15898" s="2"/>
      <c r="Q15898" s="2"/>
      <c r="R15898" s="2"/>
      <c r="S15898" s="2"/>
      <c r="T15898" s="2"/>
      <c r="U15898" s="2"/>
      <c r="V15898" s="2"/>
      <c r="W15898" s="2"/>
      <c r="X15898" s="2"/>
      <c r="Y15898" s="2"/>
      <c r="Z15898" s="2"/>
    </row>
    <row r="15899" spans="1:26" ht="16.5" x14ac:dyDescent="0.35">
      <c r="A15899" s="2"/>
      <c r="B15899" s="2"/>
      <c r="C15899" s="2"/>
      <c r="D15899" s="2"/>
      <c r="E15899" s="2"/>
      <c r="F15899" s="2"/>
      <c r="G15899" s="2"/>
      <c r="H15899" s="2"/>
      <c r="I15899" s="2"/>
      <c r="J15899" s="2"/>
      <c r="K15899" s="2"/>
      <c r="L15899" s="2"/>
      <c r="M15899" s="2"/>
      <c r="N15899" s="2"/>
      <c r="O15899" s="2"/>
      <c r="P15899" s="2"/>
      <c r="Q15899" s="2"/>
      <c r="R15899" s="2"/>
      <c r="S15899" s="2"/>
      <c r="T15899" s="2"/>
      <c r="U15899" s="2"/>
      <c r="V15899" s="2"/>
      <c r="W15899" s="2"/>
      <c r="X15899" s="2"/>
      <c r="Y15899" s="2"/>
      <c r="Z15899" s="2"/>
    </row>
    <row r="15900" spans="1:26" ht="16.5" x14ac:dyDescent="0.35">
      <c r="A15900" s="2"/>
      <c r="B15900" s="2"/>
      <c r="C15900" s="2"/>
      <c r="D15900" s="2"/>
      <c r="E15900" s="2"/>
      <c r="F15900" s="2"/>
      <c r="G15900" s="2"/>
      <c r="H15900" s="2"/>
      <c r="I15900" s="2"/>
      <c r="J15900" s="2"/>
      <c r="K15900" s="2"/>
      <c r="L15900" s="2"/>
      <c r="M15900" s="2"/>
      <c r="N15900" s="2"/>
      <c r="O15900" s="2"/>
      <c r="P15900" s="2"/>
      <c r="Q15900" s="2"/>
      <c r="R15900" s="2"/>
      <c r="S15900" s="2"/>
      <c r="T15900" s="2"/>
      <c r="U15900" s="2"/>
      <c r="V15900" s="2"/>
      <c r="W15900" s="2"/>
      <c r="X15900" s="2"/>
      <c r="Y15900" s="2"/>
      <c r="Z15900" s="2"/>
    </row>
    <row r="15901" spans="1:26" ht="16.5" x14ac:dyDescent="0.35">
      <c r="A15901" s="2"/>
      <c r="B15901" s="2"/>
      <c r="C15901" s="2"/>
      <c r="D15901" s="2"/>
      <c r="E15901" s="2"/>
      <c r="F15901" s="2"/>
      <c r="G15901" s="2"/>
      <c r="H15901" s="2"/>
      <c r="I15901" s="2"/>
      <c r="J15901" s="2"/>
      <c r="K15901" s="2"/>
      <c r="L15901" s="2"/>
      <c r="M15901" s="2"/>
      <c r="N15901" s="2"/>
      <c r="O15901" s="2"/>
      <c r="P15901" s="2"/>
      <c r="Q15901" s="2"/>
      <c r="R15901" s="2"/>
      <c r="S15901" s="2"/>
      <c r="T15901" s="2"/>
      <c r="U15901" s="2"/>
      <c r="V15901" s="2"/>
      <c r="W15901" s="2"/>
      <c r="X15901" s="2"/>
      <c r="Y15901" s="2"/>
      <c r="Z15901" s="2"/>
    </row>
    <row r="15902" spans="1:26" ht="16.5" x14ac:dyDescent="0.35">
      <c r="A15902" s="2"/>
      <c r="B15902" s="2"/>
      <c r="C15902" s="2"/>
      <c r="D15902" s="2"/>
      <c r="E15902" s="2"/>
      <c r="F15902" s="2"/>
      <c r="G15902" s="2"/>
      <c r="H15902" s="2"/>
      <c r="I15902" s="2"/>
      <c r="J15902" s="2"/>
      <c r="K15902" s="2"/>
      <c r="L15902" s="2"/>
      <c r="M15902" s="2"/>
      <c r="N15902" s="2"/>
      <c r="O15902" s="2"/>
      <c r="P15902" s="2"/>
      <c r="Q15902" s="2"/>
      <c r="R15902" s="2"/>
      <c r="S15902" s="2"/>
      <c r="T15902" s="2"/>
      <c r="U15902" s="2"/>
      <c r="V15902" s="2"/>
      <c r="W15902" s="2"/>
      <c r="X15902" s="2"/>
      <c r="Y15902" s="2"/>
      <c r="Z15902" s="2"/>
    </row>
    <row r="15903" spans="1:26" ht="16.5" x14ac:dyDescent="0.35">
      <c r="A15903" s="2"/>
      <c r="B15903" s="2"/>
      <c r="C15903" s="2"/>
      <c r="D15903" s="2"/>
      <c r="E15903" s="2"/>
      <c r="F15903" s="2"/>
      <c r="G15903" s="2"/>
      <c r="H15903" s="2"/>
      <c r="I15903" s="2"/>
      <c r="J15903" s="2"/>
      <c r="K15903" s="2"/>
      <c r="L15903" s="2"/>
      <c r="M15903" s="2"/>
      <c r="N15903" s="2"/>
      <c r="O15903" s="2"/>
      <c r="P15903" s="2"/>
      <c r="Q15903" s="2"/>
      <c r="R15903" s="2"/>
      <c r="S15903" s="2"/>
      <c r="T15903" s="2"/>
      <c r="U15903" s="2"/>
      <c r="V15903" s="2"/>
      <c r="W15903" s="2"/>
      <c r="X15903" s="2"/>
      <c r="Y15903" s="2"/>
      <c r="Z15903" s="2"/>
    </row>
    <row r="15904" spans="1:26" ht="16.5" x14ac:dyDescent="0.35">
      <c r="A15904" s="2"/>
      <c r="B15904" s="2"/>
      <c r="C15904" s="2"/>
      <c r="D15904" s="2"/>
      <c r="E15904" s="2"/>
      <c r="F15904" s="2"/>
      <c r="G15904" s="2"/>
      <c r="H15904" s="2"/>
      <c r="I15904" s="2"/>
      <c r="J15904" s="2"/>
      <c r="K15904" s="2"/>
      <c r="L15904" s="2"/>
      <c r="M15904" s="2"/>
      <c r="N15904" s="2"/>
      <c r="O15904" s="2"/>
      <c r="P15904" s="2"/>
      <c r="Q15904" s="2"/>
      <c r="R15904" s="2"/>
      <c r="S15904" s="2"/>
      <c r="T15904" s="2"/>
      <c r="U15904" s="2"/>
      <c r="V15904" s="2"/>
      <c r="W15904" s="2"/>
      <c r="X15904" s="2"/>
      <c r="Y15904" s="2"/>
      <c r="Z15904" s="2"/>
    </row>
    <row r="15905" spans="1:26" ht="16.5" x14ac:dyDescent="0.35">
      <c r="A15905" s="2"/>
      <c r="B15905" s="2"/>
      <c r="C15905" s="2"/>
      <c r="D15905" s="2"/>
      <c r="E15905" s="2"/>
      <c r="F15905" s="2"/>
      <c r="G15905" s="2"/>
      <c r="H15905" s="2"/>
      <c r="I15905" s="2"/>
      <c r="J15905" s="2"/>
      <c r="K15905" s="2"/>
      <c r="L15905" s="2"/>
      <c r="M15905" s="2"/>
      <c r="N15905" s="2"/>
      <c r="O15905" s="2"/>
      <c r="P15905" s="2"/>
      <c r="Q15905" s="2"/>
      <c r="R15905" s="2"/>
      <c r="S15905" s="2"/>
      <c r="T15905" s="2"/>
      <c r="U15905" s="2"/>
      <c r="V15905" s="2"/>
      <c r="W15905" s="2"/>
      <c r="X15905" s="2"/>
      <c r="Y15905" s="2"/>
      <c r="Z15905" s="2"/>
    </row>
    <row r="15906" spans="1:26" ht="16.5" x14ac:dyDescent="0.35">
      <c r="A15906" s="2"/>
      <c r="B15906" s="2"/>
      <c r="C15906" s="2"/>
      <c r="D15906" s="2"/>
      <c r="E15906" s="2"/>
      <c r="F15906" s="2"/>
      <c r="G15906" s="2"/>
      <c r="H15906" s="2"/>
      <c r="I15906" s="2"/>
      <c r="J15906" s="2"/>
      <c r="K15906" s="2"/>
      <c r="L15906" s="2"/>
      <c r="M15906" s="2"/>
      <c r="N15906" s="2"/>
      <c r="O15906" s="2"/>
      <c r="P15906" s="2"/>
      <c r="Q15906" s="2"/>
      <c r="R15906" s="2"/>
      <c r="S15906" s="2"/>
      <c r="T15906" s="2"/>
      <c r="U15906" s="2"/>
      <c r="V15906" s="2"/>
      <c r="W15906" s="2"/>
      <c r="X15906" s="2"/>
      <c r="Y15906" s="2"/>
      <c r="Z15906" s="2"/>
    </row>
    <row r="15907" spans="1:26" ht="16.5" x14ac:dyDescent="0.35">
      <c r="A15907" s="2"/>
      <c r="B15907" s="2"/>
      <c r="C15907" s="2"/>
      <c r="D15907" s="2"/>
      <c r="E15907" s="2"/>
      <c r="F15907" s="2"/>
      <c r="G15907" s="2"/>
      <c r="H15907" s="2"/>
      <c r="I15907" s="2"/>
      <c r="J15907" s="2"/>
      <c r="K15907" s="2"/>
      <c r="L15907" s="2"/>
      <c r="M15907" s="2"/>
      <c r="N15907" s="2"/>
      <c r="O15907" s="2"/>
      <c r="P15907" s="2"/>
      <c r="Q15907" s="2"/>
      <c r="R15907" s="2"/>
      <c r="S15907" s="2"/>
      <c r="T15907" s="2"/>
      <c r="U15907" s="2"/>
      <c r="V15907" s="2"/>
      <c r="W15907" s="2"/>
      <c r="X15907" s="2"/>
      <c r="Y15907" s="2"/>
      <c r="Z15907" s="2"/>
    </row>
    <row r="15908" spans="1:26" ht="16.5" x14ac:dyDescent="0.35">
      <c r="A15908" s="2"/>
      <c r="B15908" s="2"/>
      <c r="C15908" s="2"/>
      <c r="D15908" s="2"/>
      <c r="E15908" s="2"/>
      <c r="F15908" s="2"/>
      <c r="G15908" s="2"/>
      <c r="H15908" s="2"/>
      <c r="I15908" s="2"/>
      <c r="J15908" s="2"/>
      <c r="K15908" s="2"/>
      <c r="L15908" s="2"/>
      <c r="M15908" s="2"/>
      <c r="N15908" s="2"/>
      <c r="O15908" s="2"/>
      <c r="P15908" s="2"/>
      <c r="Q15908" s="2"/>
      <c r="R15908" s="2"/>
      <c r="S15908" s="2"/>
      <c r="T15908" s="2"/>
      <c r="U15908" s="2"/>
      <c r="V15908" s="2"/>
      <c r="W15908" s="2"/>
      <c r="X15908" s="2"/>
      <c r="Y15908" s="2"/>
      <c r="Z15908" s="2"/>
    </row>
    <row r="15909" spans="1:26" ht="16.5" x14ac:dyDescent="0.35">
      <c r="A15909" s="2"/>
      <c r="B15909" s="2"/>
      <c r="C15909" s="2"/>
      <c r="D15909" s="2"/>
      <c r="E15909" s="2"/>
      <c r="F15909" s="2"/>
      <c r="G15909" s="2"/>
      <c r="H15909" s="2"/>
      <c r="I15909" s="2"/>
      <c r="J15909" s="2"/>
      <c r="K15909" s="2"/>
      <c r="L15909" s="2"/>
      <c r="M15909" s="2"/>
      <c r="N15909" s="2"/>
      <c r="O15909" s="2"/>
      <c r="P15909" s="2"/>
      <c r="Q15909" s="2"/>
      <c r="R15909" s="2"/>
      <c r="S15909" s="2"/>
      <c r="T15909" s="2"/>
      <c r="U15909" s="2"/>
      <c r="V15909" s="2"/>
      <c r="W15909" s="2"/>
      <c r="X15909" s="2"/>
      <c r="Y15909" s="2"/>
      <c r="Z15909" s="2"/>
    </row>
    <row r="15910" spans="1:26" ht="16.5" x14ac:dyDescent="0.35">
      <c r="A15910" s="2"/>
      <c r="B15910" s="2"/>
      <c r="C15910" s="2"/>
      <c r="D15910" s="2"/>
      <c r="E15910" s="2"/>
      <c r="F15910" s="2"/>
      <c r="G15910" s="2"/>
      <c r="H15910" s="2"/>
      <c r="I15910" s="2"/>
      <c r="J15910" s="2"/>
      <c r="K15910" s="2"/>
      <c r="L15910" s="2"/>
      <c r="M15910" s="2"/>
      <c r="N15910" s="2"/>
      <c r="O15910" s="2"/>
      <c r="P15910" s="2"/>
      <c r="Q15910" s="2"/>
      <c r="R15910" s="2"/>
      <c r="S15910" s="2"/>
      <c r="T15910" s="2"/>
      <c r="U15910" s="2"/>
      <c r="V15910" s="2"/>
      <c r="W15910" s="2"/>
      <c r="X15910" s="2"/>
      <c r="Y15910" s="2"/>
      <c r="Z15910" s="2"/>
    </row>
    <row r="15911" spans="1:26" ht="16.5" x14ac:dyDescent="0.35">
      <c r="A15911" s="2"/>
      <c r="B15911" s="2"/>
      <c r="C15911" s="2"/>
      <c r="D15911" s="2"/>
      <c r="E15911" s="2"/>
      <c r="F15911" s="2"/>
      <c r="G15911" s="2"/>
      <c r="H15911" s="2"/>
      <c r="I15911" s="2"/>
      <c r="J15911" s="2"/>
      <c r="K15911" s="2"/>
      <c r="L15911" s="2"/>
      <c r="M15911" s="2"/>
      <c r="N15911" s="2"/>
      <c r="O15911" s="2"/>
      <c r="P15911" s="2"/>
      <c r="Q15911" s="2"/>
      <c r="R15911" s="2"/>
      <c r="S15911" s="2"/>
      <c r="T15911" s="2"/>
      <c r="U15911" s="2"/>
      <c r="V15911" s="2"/>
      <c r="W15911" s="2"/>
      <c r="X15911" s="2"/>
      <c r="Y15911" s="2"/>
      <c r="Z15911" s="2"/>
    </row>
    <row r="15912" spans="1:26" ht="16.5" x14ac:dyDescent="0.35">
      <c r="A15912" s="2"/>
      <c r="B15912" s="2"/>
      <c r="C15912" s="2"/>
      <c r="D15912" s="2"/>
      <c r="E15912" s="2"/>
      <c r="F15912" s="2"/>
      <c r="G15912" s="2"/>
      <c r="H15912" s="2"/>
      <c r="I15912" s="2"/>
      <c r="J15912" s="2"/>
      <c r="K15912" s="2"/>
      <c r="L15912" s="2"/>
      <c r="M15912" s="2"/>
      <c r="N15912" s="2"/>
      <c r="O15912" s="2"/>
      <c r="P15912" s="2"/>
      <c r="Q15912" s="2"/>
      <c r="R15912" s="2"/>
      <c r="S15912" s="2"/>
      <c r="T15912" s="2"/>
      <c r="U15912" s="2"/>
      <c r="V15912" s="2"/>
      <c r="W15912" s="2"/>
      <c r="X15912" s="2"/>
      <c r="Y15912" s="2"/>
      <c r="Z15912" s="2"/>
    </row>
    <row r="15913" spans="1:26" ht="16.5" x14ac:dyDescent="0.35">
      <c r="A15913" s="2"/>
      <c r="B15913" s="2"/>
      <c r="C15913" s="2"/>
      <c r="D15913" s="2"/>
      <c r="E15913" s="2"/>
      <c r="F15913" s="2"/>
      <c r="G15913" s="2"/>
      <c r="H15913" s="2"/>
      <c r="I15913" s="2"/>
      <c r="J15913" s="2"/>
      <c r="K15913" s="2"/>
      <c r="L15913" s="2"/>
      <c r="M15913" s="2"/>
      <c r="N15913" s="2"/>
      <c r="O15913" s="2"/>
      <c r="P15913" s="2"/>
      <c r="Q15913" s="2"/>
      <c r="R15913" s="2"/>
      <c r="S15913" s="2"/>
      <c r="T15913" s="2"/>
      <c r="U15913" s="2"/>
      <c r="V15913" s="2"/>
      <c r="W15913" s="2"/>
      <c r="X15913" s="2"/>
      <c r="Y15913" s="2"/>
      <c r="Z15913" s="2"/>
    </row>
    <row r="15914" spans="1:26" ht="16.5" x14ac:dyDescent="0.35">
      <c r="A15914" s="2"/>
      <c r="B15914" s="2"/>
      <c r="C15914" s="2"/>
      <c r="D15914" s="2"/>
      <c r="E15914" s="2"/>
      <c r="F15914" s="2"/>
      <c r="G15914" s="2"/>
      <c r="H15914" s="2"/>
      <c r="I15914" s="2"/>
      <c r="J15914" s="2"/>
      <c r="K15914" s="2"/>
      <c r="L15914" s="2"/>
      <c r="M15914" s="2"/>
      <c r="N15914" s="2"/>
      <c r="O15914" s="2"/>
      <c r="P15914" s="2"/>
      <c r="Q15914" s="2"/>
      <c r="R15914" s="2"/>
      <c r="S15914" s="2"/>
      <c r="T15914" s="2"/>
      <c r="U15914" s="2"/>
      <c r="V15914" s="2"/>
      <c r="W15914" s="2"/>
      <c r="X15914" s="2"/>
      <c r="Y15914" s="2"/>
      <c r="Z15914" s="2"/>
    </row>
    <row r="15915" spans="1:26" ht="16.5" x14ac:dyDescent="0.35">
      <c r="A15915" s="2"/>
      <c r="B15915" s="2"/>
      <c r="C15915" s="2"/>
      <c r="D15915" s="2"/>
      <c r="E15915" s="2"/>
      <c r="F15915" s="2"/>
      <c r="G15915" s="2"/>
      <c r="H15915" s="2"/>
      <c r="I15915" s="2"/>
      <c r="J15915" s="2"/>
      <c r="K15915" s="2"/>
      <c r="L15915" s="2"/>
      <c r="M15915" s="2"/>
      <c r="N15915" s="2"/>
      <c r="O15915" s="2"/>
      <c r="P15915" s="2"/>
      <c r="Q15915" s="2"/>
      <c r="R15915" s="2"/>
      <c r="S15915" s="2"/>
      <c r="T15915" s="2"/>
      <c r="U15915" s="2"/>
      <c r="V15915" s="2"/>
      <c r="W15915" s="2"/>
      <c r="X15915" s="2"/>
      <c r="Y15915" s="2"/>
      <c r="Z15915" s="2"/>
    </row>
    <row r="15916" spans="1:26" ht="16.5" x14ac:dyDescent="0.35">
      <c r="A15916" s="2"/>
      <c r="B15916" s="2"/>
      <c r="C15916" s="2"/>
      <c r="D15916" s="2"/>
      <c r="E15916" s="2"/>
      <c r="F15916" s="2"/>
      <c r="G15916" s="2"/>
      <c r="H15916" s="2"/>
      <c r="I15916" s="2"/>
      <c r="J15916" s="2"/>
      <c r="K15916" s="2"/>
      <c r="L15916" s="2"/>
      <c r="M15916" s="2"/>
      <c r="N15916" s="2"/>
      <c r="O15916" s="2"/>
      <c r="P15916" s="2"/>
      <c r="Q15916" s="2"/>
      <c r="R15916" s="2"/>
      <c r="S15916" s="2"/>
      <c r="T15916" s="2"/>
      <c r="U15916" s="2"/>
      <c r="V15916" s="2"/>
      <c r="W15916" s="2"/>
      <c r="X15916" s="2"/>
      <c r="Y15916" s="2"/>
      <c r="Z15916" s="2"/>
    </row>
    <row r="15917" spans="1:26" ht="16.5" x14ac:dyDescent="0.35">
      <c r="A15917" s="2"/>
      <c r="B15917" s="2"/>
      <c r="C15917" s="2"/>
      <c r="D15917" s="2"/>
      <c r="E15917" s="2"/>
      <c r="F15917" s="2"/>
      <c r="G15917" s="2"/>
      <c r="H15917" s="2"/>
      <c r="I15917" s="2"/>
      <c r="J15917" s="2"/>
      <c r="K15917" s="2"/>
      <c r="L15917" s="2"/>
      <c r="M15917" s="2"/>
      <c r="N15917" s="2"/>
      <c r="O15917" s="2"/>
      <c r="P15917" s="2"/>
      <c r="Q15917" s="2"/>
      <c r="R15917" s="2"/>
      <c r="S15917" s="2"/>
      <c r="T15917" s="2"/>
      <c r="U15917" s="2"/>
      <c r="V15917" s="2"/>
      <c r="W15917" s="2"/>
      <c r="X15917" s="2"/>
      <c r="Y15917" s="2"/>
      <c r="Z15917" s="2"/>
    </row>
    <row r="15918" spans="1:26" ht="16.5" x14ac:dyDescent="0.35">
      <c r="A15918" s="2"/>
      <c r="B15918" s="2"/>
      <c r="C15918" s="2"/>
      <c r="D15918" s="2"/>
      <c r="E15918" s="2"/>
      <c r="F15918" s="2"/>
      <c r="G15918" s="2"/>
      <c r="H15918" s="2"/>
      <c r="I15918" s="2"/>
      <c r="J15918" s="2"/>
      <c r="K15918" s="2"/>
      <c r="L15918" s="2"/>
      <c r="M15918" s="2"/>
      <c r="N15918" s="2"/>
      <c r="O15918" s="2"/>
      <c r="P15918" s="2"/>
      <c r="Q15918" s="2"/>
      <c r="R15918" s="2"/>
      <c r="S15918" s="2"/>
      <c r="T15918" s="2"/>
      <c r="U15918" s="2"/>
      <c r="V15918" s="2"/>
      <c r="W15918" s="2"/>
      <c r="X15918" s="2"/>
      <c r="Y15918" s="2"/>
      <c r="Z15918" s="2"/>
    </row>
    <row r="15919" spans="1:26" ht="16.5" x14ac:dyDescent="0.35">
      <c r="A15919" s="2"/>
      <c r="B15919" s="2"/>
      <c r="C15919" s="2"/>
      <c r="D15919" s="2"/>
      <c r="E15919" s="2"/>
      <c r="F15919" s="2"/>
      <c r="G15919" s="2"/>
      <c r="H15919" s="2"/>
      <c r="I15919" s="2"/>
      <c r="J15919" s="2"/>
      <c r="K15919" s="2"/>
      <c r="L15919" s="2"/>
      <c r="M15919" s="2"/>
      <c r="N15919" s="2"/>
      <c r="O15919" s="2"/>
      <c r="P15919" s="2"/>
      <c r="Q15919" s="2"/>
      <c r="R15919" s="2"/>
      <c r="S15919" s="2"/>
      <c r="T15919" s="2"/>
      <c r="U15919" s="2"/>
      <c r="V15919" s="2"/>
      <c r="W15919" s="2"/>
      <c r="X15919" s="2"/>
      <c r="Y15919" s="2"/>
      <c r="Z15919" s="2"/>
    </row>
    <row r="15920" spans="1:26" ht="16.5" x14ac:dyDescent="0.35">
      <c r="A15920" s="2"/>
      <c r="B15920" s="2"/>
      <c r="C15920" s="2"/>
      <c r="D15920" s="2"/>
      <c r="E15920" s="2"/>
      <c r="F15920" s="2"/>
      <c r="G15920" s="2"/>
      <c r="H15920" s="2"/>
      <c r="I15920" s="2"/>
      <c r="J15920" s="2"/>
      <c r="K15920" s="2"/>
      <c r="L15920" s="2"/>
      <c r="M15920" s="2"/>
      <c r="N15920" s="2"/>
      <c r="O15920" s="2"/>
      <c r="P15920" s="2"/>
      <c r="Q15920" s="2"/>
      <c r="R15920" s="2"/>
      <c r="S15920" s="2"/>
      <c r="T15920" s="2"/>
      <c r="U15920" s="2"/>
      <c r="V15920" s="2"/>
      <c r="W15920" s="2"/>
      <c r="X15920" s="2"/>
      <c r="Y15920" s="2"/>
      <c r="Z15920" s="2"/>
    </row>
    <row r="15921" spans="1:26" ht="16.5" x14ac:dyDescent="0.35">
      <c r="A15921" s="2"/>
      <c r="B15921" s="2"/>
      <c r="C15921" s="2"/>
      <c r="D15921" s="2"/>
      <c r="E15921" s="2"/>
      <c r="F15921" s="2"/>
      <c r="G15921" s="2"/>
      <c r="H15921" s="2"/>
      <c r="I15921" s="2"/>
      <c r="J15921" s="2"/>
      <c r="K15921" s="2"/>
      <c r="L15921" s="2"/>
      <c r="M15921" s="2"/>
      <c r="N15921" s="2"/>
      <c r="O15921" s="2"/>
      <c r="P15921" s="2"/>
      <c r="Q15921" s="2"/>
      <c r="R15921" s="2"/>
      <c r="S15921" s="2"/>
      <c r="T15921" s="2"/>
      <c r="U15921" s="2"/>
      <c r="V15921" s="2"/>
      <c r="W15921" s="2"/>
      <c r="X15921" s="2"/>
      <c r="Y15921" s="2"/>
      <c r="Z15921" s="2"/>
    </row>
    <row r="15922" spans="1:26" ht="16.5" x14ac:dyDescent="0.35">
      <c r="A15922" s="2"/>
      <c r="B15922" s="2"/>
      <c r="C15922" s="2"/>
      <c r="D15922" s="2"/>
      <c r="E15922" s="2"/>
      <c r="F15922" s="2"/>
      <c r="G15922" s="2"/>
      <c r="H15922" s="2"/>
      <c r="I15922" s="2"/>
      <c r="J15922" s="2"/>
      <c r="K15922" s="2"/>
      <c r="L15922" s="2"/>
      <c r="M15922" s="2"/>
      <c r="N15922" s="2"/>
      <c r="O15922" s="2"/>
      <c r="P15922" s="2"/>
      <c r="Q15922" s="2"/>
      <c r="R15922" s="2"/>
      <c r="S15922" s="2"/>
      <c r="T15922" s="2"/>
      <c r="U15922" s="2"/>
      <c r="V15922" s="2"/>
      <c r="W15922" s="2"/>
      <c r="X15922" s="2"/>
      <c r="Y15922" s="2"/>
      <c r="Z15922" s="2"/>
    </row>
    <row r="15923" spans="1:26" ht="16.5" x14ac:dyDescent="0.35">
      <c r="A15923" s="2"/>
      <c r="B15923" s="2"/>
      <c r="C15923" s="2"/>
      <c r="D15923" s="2"/>
      <c r="E15923" s="2"/>
      <c r="F15923" s="2"/>
      <c r="G15923" s="2"/>
      <c r="H15923" s="2"/>
      <c r="I15923" s="2"/>
      <c r="J15923" s="2"/>
      <c r="K15923" s="2"/>
      <c r="L15923" s="2"/>
      <c r="M15923" s="2"/>
      <c r="N15923" s="2"/>
      <c r="O15923" s="2"/>
      <c r="P15923" s="2"/>
      <c r="Q15923" s="2"/>
      <c r="R15923" s="2"/>
      <c r="S15923" s="2"/>
      <c r="T15923" s="2"/>
      <c r="U15923" s="2"/>
      <c r="V15923" s="2"/>
      <c r="W15923" s="2"/>
      <c r="X15923" s="2"/>
      <c r="Y15923" s="2"/>
      <c r="Z15923" s="2"/>
    </row>
    <row r="15924" spans="1:26" ht="16.5" x14ac:dyDescent="0.35">
      <c r="A15924" s="2"/>
      <c r="B15924" s="2"/>
      <c r="C15924" s="2"/>
      <c r="D15924" s="2"/>
      <c r="E15924" s="2"/>
      <c r="F15924" s="2"/>
      <c r="G15924" s="2"/>
      <c r="H15924" s="2"/>
      <c r="I15924" s="2"/>
      <c r="J15924" s="2"/>
      <c r="K15924" s="2"/>
      <c r="L15924" s="2"/>
      <c r="M15924" s="2"/>
      <c r="N15924" s="2"/>
      <c r="O15924" s="2"/>
      <c r="P15924" s="2"/>
      <c r="Q15924" s="2"/>
      <c r="R15924" s="2"/>
      <c r="S15924" s="2"/>
      <c r="T15924" s="2"/>
      <c r="U15924" s="2"/>
      <c r="V15924" s="2"/>
      <c r="W15924" s="2"/>
      <c r="X15924" s="2"/>
      <c r="Y15924" s="2"/>
      <c r="Z15924" s="2"/>
    </row>
    <row r="15925" spans="1:26" ht="16.5" x14ac:dyDescent="0.35">
      <c r="A15925" s="2"/>
      <c r="B15925" s="2"/>
      <c r="C15925" s="2"/>
      <c r="D15925" s="2"/>
      <c r="E15925" s="2"/>
      <c r="F15925" s="2"/>
      <c r="G15925" s="2"/>
      <c r="H15925" s="2"/>
      <c r="I15925" s="2"/>
      <c r="J15925" s="2"/>
      <c r="K15925" s="2"/>
      <c r="L15925" s="2"/>
      <c r="M15925" s="2"/>
      <c r="N15925" s="2"/>
      <c r="O15925" s="2"/>
      <c r="P15925" s="2"/>
      <c r="Q15925" s="2"/>
      <c r="R15925" s="2"/>
      <c r="S15925" s="2"/>
      <c r="T15925" s="2"/>
      <c r="U15925" s="2"/>
      <c r="V15925" s="2"/>
      <c r="W15925" s="2"/>
      <c r="X15925" s="2"/>
      <c r="Y15925" s="2"/>
      <c r="Z15925" s="2"/>
    </row>
    <row r="15926" spans="1:26" ht="16.5" x14ac:dyDescent="0.35">
      <c r="A15926" s="2"/>
      <c r="B15926" s="2"/>
      <c r="C15926" s="2"/>
      <c r="D15926" s="2"/>
      <c r="E15926" s="2"/>
      <c r="F15926" s="2"/>
      <c r="G15926" s="2"/>
      <c r="H15926" s="2"/>
      <c r="I15926" s="2"/>
      <c r="J15926" s="2"/>
      <c r="K15926" s="2"/>
      <c r="L15926" s="2"/>
      <c r="M15926" s="2"/>
      <c r="N15926" s="2"/>
      <c r="O15926" s="2"/>
      <c r="P15926" s="2"/>
      <c r="Q15926" s="2"/>
      <c r="R15926" s="2"/>
      <c r="S15926" s="2"/>
      <c r="T15926" s="2"/>
      <c r="U15926" s="2"/>
      <c r="V15926" s="2"/>
      <c r="W15926" s="2"/>
      <c r="X15926" s="2"/>
      <c r="Y15926" s="2"/>
      <c r="Z15926" s="2"/>
    </row>
    <row r="15927" spans="1:26" ht="16.5" x14ac:dyDescent="0.35">
      <c r="A15927" s="2"/>
      <c r="B15927" s="2"/>
      <c r="C15927" s="2"/>
      <c r="D15927" s="2"/>
      <c r="E15927" s="2"/>
      <c r="F15927" s="2"/>
      <c r="G15927" s="2"/>
      <c r="H15927" s="2"/>
      <c r="I15927" s="2"/>
      <c r="J15927" s="2"/>
      <c r="K15927" s="2"/>
      <c r="L15927" s="2"/>
      <c r="M15927" s="2"/>
      <c r="N15927" s="2"/>
      <c r="O15927" s="2"/>
      <c r="P15927" s="2"/>
      <c r="Q15927" s="2"/>
      <c r="R15927" s="2"/>
      <c r="S15927" s="2"/>
      <c r="T15927" s="2"/>
      <c r="U15927" s="2"/>
      <c r="V15927" s="2"/>
      <c r="W15927" s="2"/>
      <c r="X15927" s="2"/>
      <c r="Y15927" s="2"/>
      <c r="Z15927" s="2"/>
    </row>
    <row r="15928" spans="1:26" ht="16.5" x14ac:dyDescent="0.35">
      <c r="A15928" s="2"/>
      <c r="B15928" s="2"/>
      <c r="C15928" s="2"/>
      <c r="D15928" s="2"/>
      <c r="E15928" s="2"/>
      <c r="F15928" s="2"/>
      <c r="G15928" s="2"/>
      <c r="H15928" s="2"/>
      <c r="I15928" s="2"/>
      <c r="J15928" s="2"/>
      <c r="K15928" s="2"/>
      <c r="L15928" s="2"/>
      <c r="M15928" s="2"/>
      <c r="N15928" s="2"/>
      <c r="O15928" s="2"/>
      <c r="P15928" s="2"/>
      <c r="Q15928" s="2"/>
      <c r="R15928" s="2"/>
      <c r="S15928" s="2"/>
      <c r="T15928" s="2"/>
      <c r="U15928" s="2"/>
      <c r="V15928" s="2"/>
      <c r="W15928" s="2"/>
      <c r="X15928" s="2"/>
      <c r="Y15928" s="2"/>
      <c r="Z15928" s="2"/>
    </row>
    <row r="15929" spans="1:26" ht="16.5" x14ac:dyDescent="0.35">
      <c r="A15929" s="2"/>
      <c r="B15929" s="2"/>
      <c r="C15929" s="2"/>
      <c r="D15929" s="2"/>
      <c r="E15929" s="2"/>
      <c r="F15929" s="2"/>
      <c r="G15929" s="2"/>
      <c r="H15929" s="2"/>
      <c r="I15929" s="2"/>
      <c r="J15929" s="2"/>
      <c r="K15929" s="2"/>
      <c r="L15929" s="2"/>
      <c r="M15929" s="2"/>
      <c r="N15929" s="2"/>
      <c r="O15929" s="2"/>
      <c r="P15929" s="2"/>
      <c r="Q15929" s="2"/>
      <c r="R15929" s="2"/>
      <c r="S15929" s="2"/>
      <c r="T15929" s="2"/>
      <c r="U15929" s="2"/>
      <c r="V15929" s="2"/>
      <c r="W15929" s="2"/>
      <c r="X15929" s="2"/>
      <c r="Y15929" s="2"/>
      <c r="Z15929" s="2"/>
    </row>
    <row r="15930" spans="1:26" ht="16.5" x14ac:dyDescent="0.35">
      <c r="A15930" s="2"/>
      <c r="B15930" s="2"/>
      <c r="C15930" s="2"/>
      <c r="D15930" s="2"/>
      <c r="E15930" s="2"/>
      <c r="F15930" s="2"/>
      <c r="G15930" s="2"/>
      <c r="H15930" s="2"/>
      <c r="I15930" s="2"/>
      <c r="J15930" s="2"/>
      <c r="K15930" s="2"/>
      <c r="L15930" s="2"/>
      <c r="M15930" s="2"/>
      <c r="N15930" s="2"/>
      <c r="O15930" s="2"/>
      <c r="P15930" s="2"/>
      <c r="Q15930" s="2"/>
      <c r="R15930" s="2"/>
      <c r="S15930" s="2"/>
      <c r="T15930" s="2"/>
      <c r="U15930" s="2"/>
      <c r="V15930" s="2"/>
      <c r="W15930" s="2"/>
      <c r="X15930" s="2"/>
      <c r="Y15930" s="2"/>
      <c r="Z15930" s="2"/>
    </row>
    <row r="15931" spans="1:26" ht="16.5" x14ac:dyDescent="0.35">
      <c r="A15931" s="2"/>
      <c r="B15931" s="2"/>
      <c r="C15931" s="2"/>
      <c r="D15931" s="2"/>
      <c r="E15931" s="2"/>
      <c r="F15931" s="2"/>
      <c r="G15931" s="2"/>
      <c r="H15931" s="2"/>
      <c r="I15931" s="2"/>
      <c r="J15931" s="2"/>
      <c r="K15931" s="2"/>
      <c r="L15931" s="2"/>
      <c r="M15931" s="2"/>
      <c r="N15931" s="2"/>
      <c r="O15931" s="2"/>
      <c r="P15931" s="2"/>
      <c r="Q15931" s="2"/>
      <c r="R15931" s="2"/>
      <c r="S15931" s="2"/>
      <c r="T15931" s="2"/>
      <c r="U15931" s="2"/>
      <c r="V15931" s="2"/>
      <c r="W15931" s="2"/>
      <c r="X15931" s="2"/>
      <c r="Y15931" s="2"/>
      <c r="Z15931" s="2"/>
    </row>
    <row r="15932" spans="1:26" ht="16.5" x14ac:dyDescent="0.35">
      <c r="A15932" s="2"/>
      <c r="B15932" s="2"/>
      <c r="C15932" s="2"/>
      <c r="D15932" s="2"/>
      <c r="E15932" s="2"/>
      <c r="F15932" s="2"/>
      <c r="G15932" s="2"/>
      <c r="H15932" s="2"/>
      <c r="I15932" s="2"/>
      <c r="J15932" s="2"/>
      <c r="K15932" s="2"/>
      <c r="L15932" s="2"/>
      <c r="M15932" s="2"/>
      <c r="N15932" s="2"/>
      <c r="O15932" s="2"/>
      <c r="P15932" s="2"/>
      <c r="Q15932" s="2"/>
      <c r="R15932" s="2"/>
      <c r="S15932" s="2"/>
      <c r="T15932" s="2"/>
      <c r="U15932" s="2"/>
      <c r="V15932" s="2"/>
      <c r="W15932" s="2"/>
      <c r="X15932" s="2"/>
      <c r="Y15932" s="2"/>
      <c r="Z15932" s="2"/>
    </row>
    <row r="15933" spans="1:26" ht="16.5" x14ac:dyDescent="0.35">
      <c r="A15933" s="2"/>
      <c r="B15933" s="2"/>
      <c r="C15933" s="2"/>
      <c r="D15933" s="2"/>
      <c r="E15933" s="2"/>
      <c r="F15933" s="2"/>
      <c r="G15933" s="2"/>
      <c r="H15933" s="2"/>
      <c r="I15933" s="2"/>
      <c r="J15933" s="2"/>
      <c r="K15933" s="2"/>
      <c r="L15933" s="2"/>
      <c r="M15933" s="2"/>
      <c r="N15933" s="2"/>
      <c r="O15933" s="2"/>
      <c r="P15933" s="2"/>
      <c r="Q15933" s="2"/>
      <c r="R15933" s="2"/>
      <c r="S15933" s="2"/>
      <c r="T15933" s="2"/>
      <c r="U15933" s="2"/>
      <c r="V15933" s="2"/>
      <c r="W15933" s="2"/>
      <c r="X15933" s="2"/>
      <c r="Y15933" s="2"/>
      <c r="Z15933" s="2"/>
    </row>
    <row r="15934" spans="1:26" ht="16.5" x14ac:dyDescent="0.35">
      <c r="A15934" s="2"/>
      <c r="B15934" s="2"/>
      <c r="C15934" s="2"/>
      <c r="D15934" s="2"/>
      <c r="E15934" s="2"/>
      <c r="F15934" s="2"/>
      <c r="G15934" s="2"/>
      <c r="H15934" s="2"/>
      <c r="I15934" s="2"/>
      <c r="J15934" s="2"/>
      <c r="K15934" s="2"/>
      <c r="L15934" s="2"/>
      <c r="M15934" s="2"/>
      <c r="N15934" s="2"/>
      <c r="O15934" s="2"/>
      <c r="P15934" s="2"/>
      <c r="Q15934" s="2"/>
      <c r="R15934" s="2"/>
      <c r="S15934" s="2"/>
      <c r="T15934" s="2"/>
      <c r="U15934" s="2"/>
      <c r="V15934" s="2"/>
      <c r="W15934" s="2"/>
      <c r="X15934" s="2"/>
      <c r="Y15934" s="2"/>
      <c r="Z15934" s="2"/>
    </row>
    <row r="15935" spans="1:26" ht="16.5" x14ac:dyDescent="0.35">
      <c r="A15935" s="2"/>
      <c r="B15935" s="2"/>
      <c r="C15935" s="2"/>
      <c r="D15935" s="2"/>
      <c r="E15935" s="2"/>
      <c r="F15935" s="2"/>
      <c r="G15935" s="2"/>
      <c r="H15935" s="2"/>
      <c r="I15935" s="2"/>
      <c r="J15935" s="2"/>
      <c r="K15935" s="2"/>
      <c r="L15935" s="2"/>
      <c r="M15935" s="2"/>
      <c r="N15935" s="2"/>
      <c r="O15935" s="2"/>
      <c r="P15935" s="2"/>
      <c r="Q15935" s="2"/>
      <c r="R15935" s="2"/>
      <c r="S15935" s="2"/>
      <c r="T15935" s="2"/>
      <c r="U15935" s="2"/>
      <c r="V15935" s="2"/>
      <c r="W15935" s="2"/>
      <c r="X15935" s="2"/>
      <c r="Y15935" s="2"/>
      <c r="Z15935" s="2"/>
    </row>
    <row r="15936" spans="1:26" ht="16.5" x14ac:dyDescent="0.35">
      <c r="A15936" s="2"/>
      <c r="B15936" s="2"/>
      <c r="C15936" s="2"/>
      <c r="D15936" s="2"/>
      <c r="E15936" s="2"/>
      <c r="F15936" s="2"/>
      <c r="G15936" s="2"/>
      <c r="H15936" s="2"/>
      <c r="I15936" s="2"/>
      <c r="J15936" s="2"/>
      <c r="K15936" s="2"/>
      <c r="L15936" s="2"/>
      <c r="M15936" s="2"/>
      <c r="N15936" s="2"/>
      <c r="O15936" s="2"/>
      <c r="P15936" s="2"/>
      <c r="Q15936" s="2"/>
      <c r="R15936" s="2"/>
      <c r="S15936" s="2"/>
      <c r="T15936" s="2"/>
      <c r="U15936" s="2"/>
      <c r="V15936" s="2"/>
      <c r="W15936" s="2"/>
      <c r="X15936" s="2"/>
      <c r="Y15936" s="2"/>
      <c r="Z15936" s="2"/>
    </row>
    <row r="15937" spans="1:26" ht="16.5" x14ac:dyDescent="0.35">
      <c r="A15937" s="2"/>
      <c r="B15937" s="2"/>
      <c r="C15937" s="2"/>
      <c r="D15937" s="2"/>
      <c r="E15937" s="2"/>
      <c r="F15937" s="2"/>
      <c r="G15937" s="2"/>
      <c r="H15937" s="2"/>
      <c r="I15937" s="2"/>
      <c r="J15937" s="2"/>
      <c r="K15937" s="2"/>
      <c r="L15937" s="2"/>
      <c r="M15937" s="2"/>
      <c r="N15937" s="2"/>
      <c r="O15937" s="2"/>
      <c r="P15937" s="2"/>
      <c r="Q15937" s="2"/>
      <c r="R15937" s="2"/>
      <c r="S15937" s="2"/>
      <c r="T15937" s="2"/>
      <c r="U15937" s="2"/>
      <c r="V15937" s="2"/>
      <c r="W15937" s="2"/>
      <c r="X15937" s="2"/>
      <c r="Y15937" s="2"/>
      <c r="Z15937" s="2"/>
    </row>
    <row r="15938" spans="1:26" ht="16.5" x14ac:dyDescent="0.35">
      <c r="A15938" s="2"/>
      <c r="B15938" s="2"/>
      <c r="C15938" s="2"/>
      <c r="D15938" s="2"/>
      <c r="E15938" s="2"/>
      <c r="F15938" s="2"/>
      <c r="G15938" s="2"/>
      <c r="H15938" s="2"/>
      <c r="I15938" s="2"/>
      <c r="J15938" s="2"/>
      <c r="K15938" s="2"/>
      <c r="L15938" s="2"/>
      <c r="M15938" s="2"/>
      <c r="N15938" s="2"/>
      <c r="O15938" s="2"/>
      <c r="P15938" s="2"/>
      <c r="Q15938" s="2"/>
      <c r="R15938" s="2"/>
      <c r="S15938" s="2"/>
      <c r="T15938" s="2"/>
      <c r="U15938" s="2"/>
      <c r="V15938" s="2"/>
      <c r="W15938" s="2"/>
      <c r="X15938" s="2"/>
      <c r="Y15938" s="2"/>
      <c r="Z15938" s="2"/>
    </row>
    <row r="15939" spans="1:26" ht="16.5" x14ac:dyDescent="0.35">
      <c r="A15939" s="2"/>
      <c r="B15939" s="2"/>
      <c r="C15939" s="2"/>
      <c r="D15939" s="2"/>
      <c r="E15939" s="2"/>
      <c r="F15939" s="2"/>
      <c r="G15939" s="2"/>
      <c r="H15939" s="2"/>
      <c r="I15939" s="2"/>
      <c r="J15939" s="2"/>
      <c r="K15939" s="2"/>
      <c r="L15939" s="2"/>
      <c r="M15939" s="2"/>
      <c r="N15939" s="2"/>
      <c r="O15939" s="2"/>
      <c r="P15939" s="2"/>
      <c r="Q15939" s="2"/>
      <c r="R15939" s="2"/>
      <c r="S15939" s="2"/>
      <c r="T15939" s="2"/>
      <c r="U15939" s="2"/>
      <c r="V15939" s="2"/>
      <c r="W15939" s="2"/>
      <c r="X15939" s="2"/>
      <c r="Y15939" s="2"/>
      <c r="Z15939" s="2"/>
    </row>
    <row r="15940" spans="1:26" ht="16.5" x14ac:dyDescent="0.35">
      <c r="A15940" s="2"/>
      <c r="B15940" s="2"/>
      <c r="C15940" s="2"/>
      <c r="D15940" s="2"/>
      <c r="E15940" s="2"/>
      <c r="F15940" s="2"/>
      <c r="G15940" s="2"/>
      <c r="H15940" s="2"/>
      <c r="I15940" s="2"/>
      <c r="J15940" s="2"/>
      <c r="K15940" s="2"/>
      <c r="L15940" s="2"/>
      <c r="M15940" s="2"/>
      <c r="N15940" s="2"/>
      <c r="O15940" s="2"/>
      <c r="P15940" s="2"/>
      <c r="Q15940" s="2"/>
      <c r="R15940" s="2"/>
      <c r="S15940" s="2"/>
      <c r="T15940" s="2"/>
      <c r="U15940" s="2"/>
      <c r="V15940" s="2"/>
      <c r="W15940" s="2"/>
      <c r="X15940" s="2"/>
      <c r="Y15940" s="2"/>
      <c r="Z15940" s="2"/>
    </row>
    <row r="15941" spans="1:26" ht="16.5" x14ac:dyDescent="0.35">
      <c r="A15941" s="2"/>
      <c r="B15941" s="2"/>
      <c r="C15941" s="2"/>
      <c r="D15941" s="2"/>
      <c r="E15941" s="2"/>
      <c r="F15941" s="2"/>
      <c r="G15941" s="2"/>
      <c r="H15941" s="2"/>
      <c r="I15941" s="2"/>
      <c r="J15941" s="2"/>
      <c r="K15941" s="2"/>
      <c r="L15941" s="2"/>
      <c r="M15941" s="2"/>
      <c r="N15941" s="2"/>
      <c r="O15941" s="2"/>
      <c r="P15941" s="2"/>
      <c r="Q15941" s="2"/>
      <c r="R15941" s="2"/>
      <c r="S15941" s="2"/>
      <c r="T15941" s="2"/>
      <c r="U15941" s="2"/>
      <c r="V15941" s="2"/>
      <c r="W15941" s="2"/>
      <c r="X15941" s="2"/>
      <c r="Y15941" s="2"/>
      <c r="Z15941" s="2"/>
    </row>
    <row r="15942" spans="1:26" ht="16.5" x14ac:dyDescent="0.35">
      <c r="A15942" s="2"/>
      <c r="B15942" s="2"/>
      <c r="C15942" s="2"/>
      <c r="D15942" s="2"/>
      <c r="E15942" s="2"/>
      <c r="F15942" s="2"/>
      <c r="G15942" s="2"/>
      <c r="H15942" s="2"/>
      <c r="I15942" s="2"/>
      <c r="J15942" s="2"/>
      <c r="K15942" s="2"/>
      <c r="L15942" s="2"/>
      <c r="M15942" s="2"/>
      <c r="N15942" s="2"/>
      <c r="O15942" s="2"/>
      <c r="P15942" s="2"/>
      <c r="Q15942" s="2"/>
      <c r="R15942" s="2"/>
      <c r="S15942" s="2"/>
      <c r="T15942" s="2"/>
      <c r="U15942" s="2"/>
      <c r="V15942" s="2"/>
      <c r="W15942" s="2"/>
      <c r="X15942" s="2"/>
      <c r="Y15942" s="2"/>
      <c r="Z15942" s="2"/>
    </row>
    <row r="15943" spans="1:26" ht="16.5" x14ac:dyDescent="0.35">
      <c r="A15943" s="2"/>
      <c r="B15943" s="2"/>
      <c r="C15943" s="2"/>
      <c r="D15943" s="2"/>
      <c r="E15943" s="2"/>
      <c r="F15943" s="2"/>
      <c r="G15943" s="2"/>
      <c r="H15943" s="2"/>
      <c r="I15943" s="2"/>
      <c r="J15943" s="2"/>
      <c r="K15943" s="2"/>
      <c r="L15943" s="2"/>
      <c r="M15943" s="2"/>
      <c r="N15943" s="2"/>
      <c r="O15943" s="2"/>
      <c r="P15943" s="2"/>
      <c r="Q15943" s="2"/>
      <c r="R15943" s="2"/>
      <c r="S15943" s="2"/>
      <c r="T15943" s="2"/>
      <c r="U15943" s="2"/>
      <c r="V15943" s="2"/>
      <c r="W15943" s="2"/>
      <c r="X15943" s="2"/>
      <c r="Y15943" s="2"/>
      <c r="Z15943" s="2"/>
    </row>
    <row r="15944" spans="1:26" ht="16.5" x14ac:dyDescent="0.35">
      <c r="A15944" s="2"/>
      <c r="B15944" s="2"/>
      <c r="C15944" s="2"/>
      <c r="D15944" s="2"/>
      <c r="E15944" s="2"/>
      <c r="F15944" s="2"/>
      <c r="G15944" s="2"/>
      <c r="H15944" s="2"/>
      <c r="I15944" s="2"/>
      <c r="J15944" s="2"/>
      <c r="K15944" s="2"/>
      <c r="L15944" s="2"/>
      <c r="M15944" s="2"/>
      <c r="N15944" s="2"/>
      <c r="O15944" s="2"/>
      <c r="P15944" s="2"/>
      <c r="Q15944" s="2"/>
      <c r="R15944" s="2"/>
      <c r="S15944" s="2"/>
      <c r="T15944" s="2"/>
      <c r="U15944" s="2"/>
      <c r="V15944" s="2"/>
      <c r="W15944" s="2"/>
      <c r="X15944" s="2"/>
      <c r="Y15944" s="2"/>
      <c r="Z15944" s="2"/>
    </row>
    <row r="15945" spans="1:26" ht="16.5" x14ac:dyDescent="0.35">
      <c r="A15945" s="2"/>
      <c r="B15945" s="2"/>
      <c r="C15945" s="2"/>
      <c r="D15945" s="2"/>
      <c r="E15945" s="2"/>
      <c r="F15945" s="2"/>
      <c r="G15945" s="2"/>
      <c r="H15945" s="2"/>
      <c r="I15945" s="2"/>
      <c r="J15945" s="2"/>
      <c r="K15945" s="2"/>
      <c r="L15945" s="2"/>
      <c r="M15945" s="2"/>
      <c r="N15945" s="2"/>
      <c r="O15945" s="2"/>
      <c r="P15945" s="2"/>
      <c r="Q15945" s="2"/>
      <c r="R15945" s="2"/>
      <c r="S15945" s="2"/>
      <c r="T15945" s="2"/>
      <c r="U15945" s="2"/>
      <c r="V15945" s="2"/>
      <c r="W15945" s="2"/>
      <c r="X15945" s="2"/>
      <c r="Y15945" s="2"/>
      <c r="Z15945" s="2"/>
    </row>
    <row r="15946" spans="1:26" ht="16.5" x14ac:dyDescent="0.35">
      <c r="A15946" s="2"/>
      <c r="B15946" s="2"/>
      <c r="C15946" s="2"/>
      <c r="D15946" s="2"/>
      <c r="E15946" s="2"/>
      <c r="F15946" s="2"/>
      <c r="G15946" s="2"/>
      <c r="H15946" s="2"/>
      <c r="I15946" s="2"/>
      <c r="J15946" s="2"/>
      <c r="K15946" s="2"/>
      <c r="L15946" s="2"/>
      <c r="M15946" s="2"/>
      <c r="N15946" s="2"/>
      <c r="O15946" s="2"/>
      <c r="P15946" s="2"/>
      <c r="Q15946" s="2"/>
      <c r="R15946" s="2"/>
      <c r="S15946" s="2"/>
      <c r="T15946" s="2"/>
      <c r="U15946" s="2"/>
      <c r="V15946" s="2"/>
      <c r="W15946" s="2"/>
      <c r="X15946" s="2"/>
      <c r="Y15946" s="2"/>
      <c r="Z15946" s="2"/>
    </row>
    <row r="15947" spans="1:26" ht="16.5" x14ac:dyDescent="0.35">
      <c r="A15947" s="2"/>
      <c r="B15947" s="2"/>
      <c r="C15947" s="2"/>
      <c r="D15947" s="2"/>
      <c r="E15947" s="2"/>
      <c r="F15947" s="2"/>
      <c r="G15947" s="2"/>
      <c r="H15947" s="2"/>
      <c r="I15947" s="2"/>
      <c r="J15947" s="2"/>
      <c r="K15947" s="2"/>
      <c r="L15947" s="2"/>
      <c r="M15947" s="2"/>
      <c r="N15947" s="2"/>
      <c r="O15947" s="2"/>
      <c r="P15947" s="2"/>
      <c r="Q15947" s="2"/>
      <c r="R15947" s="2"/>
      <c r="S15947" s="2"/>
      <c r="T15947" s="2"/>
      <c r="U15947" s="2"/>
      <c r="V15947" s="2"/>
      <c r="W15947" s="2"/>
      <c r="X15947" s="2"/>
      <c r="Y15947" s="2"/>
      <c r="Z15947" s="2"/>
    </row>
    <row r="15948" spans="1:26" ht="16.5" x14ac:dyDescent="0.35">
      <c r="A15948" s="2"/>
      <c r="B15948" s="2"/>
      <c r="C15948" s="2"/>
      <c r="D15948" s="2"/>
      <c r="E15948" s="2"/>
      <c r="F15948" s="2"/>
      <c r="G15948" s="2"/>
      <c r="H15948" s="2"/>
      <c r="I15948" s="2"/>
      <c r="J15948" s="2"/>
      <c r="K15948" s="2"/>
      <c r="L15948" s="2"/>
      <c r="M15948" s="2"/>
      <c r="N15948" s="2"/>
      <c r="O15948" s="2"/>
      <c r="P15948" s="2"/>
      <c r="Q15948" s="2"/>
      <c r="R15948" s="2"/>
      <c r="S15948" s="2"/>
      <c r="T15948" s="2"/>
      <c r="U15948" s="2"/>
      <c r="V15948" s="2"/>
      <c r="W15948" s="2"/>
      <c r="X15948" s="2"/>
      <c r="Y15948" s="2"/>
      <c r="Z15948" s="2"/>
    </row>
    <row r="15949" spans="1:26" ht="16.5" x14ac:dyDescent="0.35">
      <c r="A15949" s="2"/>
      <c r="B15949" s="2"/>
      <c r="C15949" s="2"/>
      <c r="D15949" s="2"/>
      <c r="E15949" s="2"/>
      <c r="F15949" s="2"/>
      <c r="G15949" s="2"/>
      <c r="H15949" s="2"/>
      <c r="I15949" s="2"/>
      <c r="J15949" s="2"/>
      <c r="K15949" s="2"/>
      <c r="L15949" s="2"/>
      <c r="M15949" s="2"/>
      <c r="N15949" s="2"/>
      <c r="O15949" s="2"/>
      <c r="P15949" s="2"/>
      <c r="Q15949" s="2"/>
      <c r="R15949" s="2"/>
      <c r="S15949" s="2"/>
      <c r="T15949" s="2"/>
      <c r="U15949" s="2"/>
      <c r="V15949" s="2"/>
      <c r="W15949" s="2"/>
      <c r="X15949" s="2"/>
      <c r="Y15949" s="2"/>
      <c r="Z15949" s="2"/>
    </row>
    <row r="15950" spans="1:26" ht="16.5" x14ac:dyDescent="0.35">
      <c r="A15950" s="2"/>
      <c r="B15950" s="2"/>
      <c r="C15950" s="2"/>
      <c r="D15950" s="2"/>
      <c r="E15950" s="2"/>
      <c r="F15950" s="2"/>
      <c r="G15950" s="2"/>
      <c r="H15950" s="2"/>
      <c r="I15950" s="2"/>
      <c r="J15950" s="2"/>
      <c r="K15950" s="2"/>
      <c r="L15950" s="2"/>
      <c r="M15950" s="2"/>
      <c r="N15950" s="2"/>
      <c r="O15950" s="2"/>
      <c r="P15950" s="2"/>
      <c r="Q15950" s="2"/>
      <c r="R15950" s="2"/>
      <c r="S15950" s="2"/>
      <c r="T15950" s="2"/>
      <c r="U15950" s="2"/>
      <c r="V15950" s="2"/>
      <c r="W15950" s="2"/>
      <c r="X15950" s="2"/>
      <c r="Y15950" s="2"/>
      <c r="Z15950" s="2"/>
    </row>
    <row r="15951" spans="1:26" ht="16.5" x14ac:dyDescent="0.35">
      <c r="A15951" s="2"/>
      <c r="B15951" s="2"/>
      <c r="C15951" s="2"/>
      <c r="D15951" s="2"/>
      <c r="E15951" s="2"/>
      <c r="F15951" s="2"/>
      <c r="G15951" s="2"/>
      <c r="H15951" s="2"/>
      <c r="I15951" s="2"/>
      <c r="J15951" s="2"/>
      <c r="K15951" s="2"/>
      <c r="L15951" s="2"/>
      <c r="M15951" s="2"/>
      <c r="N15951" s="2"/>
      <c r="O15951" s="2"/>
      <c r="P15951" s="2"/>
      <c r="Q15951" s="2"/>
      <c r="R15951" s="2"/>
      <c r="S15951" s="2"/>
      <c r="T15951" s="2"/>
      <c r="U15951" s="2"/>
      <c r="V15951" s="2"/>
      <c r="W15951" s="2"/>
      <c r="X15951" s="2"/>
      <c r="Y15951" s="2"/>
      <c r="Z15951" s="2"/>
    </row>
    <row r="15952" spans="1:26" ht="16.5" x14ac:dyDescent="0.35">
      <c r="A15952" s="2"/>
      <c r="B15952" s="2"/>
      <c r="C15952" s="2"/>
      <c r="D15952" s="2"/>
      <c r="E15952" s="2"/>
      <c r="F15952" s="2"/>
      <c r="G15952" s="2"/>
      <c r="H15952" s="2"/>
      <c r="I15952" s="2"/>
      <c r="J15952" s="2"/>
      <c r="K15952" s="2"/>
      <c r="L15952" s="2"/>
      <c r="M15952" s="2"/>
      <c r="N15952" s="2"/>
      <c r="O15952" s="2"/>
      <c r="P15952" s="2"/>
      <c r="Q15952" s="2"/>
      <c r="R15952" s="2"/>
      <c r="S15952" s="2"/>
      <c r="T15952" s="2"/>
      <c r="U15952" s="2"/>
      <c r="V15952" s="2"/>
      <c r="W15952" s="2"/>
      <c r="X15952" s="2"/>
      <c r="Y15952" s="2"/>
      <c r="Z15952" s="2"/>
    </row>
    <row r="15953" spans="1:26" ht="16.5" x14ac:dyDescent="0.35">
      <c r="A15953" s="2"/>
      <c r="B15953" s="2"/>
      <c r="C15953" s="2"/>
      <c r="D15953" s="2"/>
      <c r="E15953" s="2"/>
      <c r="F15953" s="2"/>
      <c r="G15953" s="2"/>
      <c r="H15953" s="2"/>
      <c r="I15953" s="2"/>
      <c r="J15953" s="2"/>
      <c r="K15953" s="2"/>
      <c r="L15953" s="2"/>
      <c r="M15953" s="2"/>
      <c r="N15953" s="2"/>
      <c r="O15953" s="2"/>
      <c r="P15953" s="2"/>
      <c r="Q15953" s="2"/>
      <c r="R15953" s="2"/>
      <c r="S15953" s="2"/>
      <c r="T15953" s="2"/>
      <c r="U15953" s="2"/>
      <c r="V15953" s="2"/>
      <c r="W15953" s="2"/>
      <c r="X15953" s="2"/>
      <c r="Y15953" s="2"/>
      <c r="Z15953" s="2"/>
    </row>
    <row r="15954" spans="1:26" ht="16.5" x14ac:dyDescent="0.35">
      <c r="A15954" s="2"/>
      <c r="B15954" s="2"/>
      <c r="C15954" s="2"/>
      <c r="D15954" s="2"/>
      <c r="E15954" s="2"/>
      <c r="F15954" s="2"/>
      <c r="G15954" s="2"/>
      <c r="H15954" s="2"/>
      <c r="I15954" s="2"/>
      <c r="J15954" s="2"/>
      <c r="K15954" s="2"/>
      <c r="L15954" s="2"/>
      <c r="M15954" s="2"/>
      <c r="N15954" s="2"/>
      <c r="O15954" s="2"/>
      <c r="P15954" s="2"/>
      <c r="Q15954" s="2"/>
      <c r="R15954" s="2"/>
      <c r="S15954" s="2"/>
      <c r="T15954" s="2"/>
      <c r="U15954" s="2"/>
      <c r="V15954" s="2"/>
      <c r="W15954" s="2"/>
      <c r="X15954" s="2"/>
      <c r="Y15954" s="2"/>
      <c r="Z15954" s="2"/>
    </row>
    <row r="15955" spans="1:26" ht="16.5" x14ac:dyDescent="0.35">
      <c r="A15955" s="2"/>
      <c r="B15955" s="2"/>
      <c r="C15955" s="2"/>
      <c r="D15955" s="2"/>
      <c r="E15955" s="2"/>
      <c r="F15955" s="2"/>
      <c r="G15955" s="2"/>
      <c r="H15955" s="2"/>
      <c r="I15955" s="2"/>
      <c r="J15955" s="2"/>
      <c r="K15955" s="2"/>
      <c r="L15955" s="2"/>
      <c r="M15955" s="2"/>
      <c r="N15955" s="2"/>
      <c r="O15955" s="2"/>
      <c r="P15955" s="2"/>
      <c r="Q15955" s="2"/>
      <c r="R15955" s="2"/>
      <c r="S15955" s="2"/>
      <c r="T15955" s="2"/>
      <c r="U15955" s="2"/>
      <c r="V15955" s="2"/>
      <c r="W15955" s="2"/>
      <c r="X15955" s="2"/>
      <c r="Y15955" s="2"/>
      <c r="Z15955" s="2"/>
    </row>
    <row r="15956" spans="1:26" ht="16.5" x14ac:dyDescent="0.35">
      <c r="A15956" s="2"/>
      <c r="B15956" s="2"/>
      <c r="C15956" s="2"/>
      <c r="D15956" s="2"/>
      <c r="E15956" s="2"/>
      <c r="F15956" s="2"/>
      <c r="G15956" s="2"/>
      <c r="H15956" s="2"/>
      <c r="I15956" s="2"/>
      <c r="J15956" s="2"/>
      <c r="K15956" s="2"/>
      <c r="L15956" s="2"/>
      <c r="M15956" s="2"/>
      <c r="N15956" s="2"/>
      <c r="O15956" s="2"/>
      <c r="P15956" s="2"/>
      <c r="Q15956" s="2"/>
      <c r="R15956" s="2"/>
      <c r="S15956" s="2"/>
      <c r="T15956" s="2"/>
      <c r="U15956" s="2"/>
      <c r="V15956" s="2"/>
      <c r="W15956" s="2"/>
      <c r="X15956" s="2"/>
      <c r="Y15956" s="2"/>
      <c r="Z15956" s="2"/>
    </row>
    <row r="15957" spans="1:26" ht="16.5" x14ac:dyDescent="0.35">
      <c r="A15957" s="2"/>
      <c r="B15957" s="2"/>
      <c r="C15957" s="2"/>
      <c r="D15957" s="2"/>
      <c r="E15957" s="2"/>
      <c r="F15957" s="2"/>
      <c r="G15957" s="2"/>
      <c r="H15957" s="2"/>
      <c r="I15957" s="2"/>
      <c r="J15957" s="2"/>
      <c r="K15957" s="2"/>
      <c r="L15957" s="2"/>
      <c r="M15957" s="2"/>
      <c r="N15957" s="2"/>
      <c r="O15957" s="2"/>
      <c r="P15957" s="2"/>
      <c r="Q15957" s="2"/>
      <c r="R15957" s="2"/>
      <c r="S15957" s="2"/>
      <c r="T15957" s="2"/>
      <c r="U15957" s="2"/>
      <c r="V15957" s="2"/>
      <c r="W15957" s="2"/>
      <c r="X15957" s="2"/>
      <c r="Y15957" s="2"/>
      <c r="Z15957" s="2"/>
    </row>
    <row r="15958" spans="1:26" ht="16.5" x14ac:dyDescent="0.35">
      <c r="A15958" s="2"/>
      <c r="B15958" s="2"/>
      <c r="C15958" s="2"/>
      <c r="D15958" s="2"/>
      <c r="E15958" s="2"/>
      <c r="F15958" s="2"/>
      <c r="G15958" s="2"/>
      <c r="H15958" s="2"/>
      <c r="I15958" s="2"/>
      <c r="J15958" s="2"/>
      <c r="K15958" s="2"/>
      <c r="L15958" s="2"/>
      <c r="M15958" s="2"/>
      <c r="N15958" s="2"/>
      <c r="O15958" s="2"/>
      <c r="P15958" s="2"/>
      <c r="Q15958" s="2"/>
      <c r="R15958" s="2"/>
      <c r="S15958" s="2"/>
      <c r="T15958" s="2"/>
      <c r="U15958" s="2"/>
      <c r="V15958" s="2"/>
      <c r="W15958" s="2"/>
      <c r="X15958" s="2"/>
      <c r="Y15958" s="2"/>
      <c r="Z15958" s="2"/>
    </row>
    <row r="15959" spans="1:26" ht="16.5" x14ac:dyDescent="0.35">
      <c r="A15959" s="2"/>
      <c r="B15959" s="2"/>
      <c r="C15959" s="2"/>
      <c r="D15959" s="2"/>
      <c r="E15959" s="2"/>
      <c r="F15959" s="2"/>
      <c r="G15959" s="2"/>
      <c r="H15959" s="2"/>
      <c r="I15959" s="2"/>
      <c r="J15959" s="2"/>
      <c r="K15959" s="2"/>
      <c r="L15959" s="2"/>
      <c r="M15959" s="2"/>
      <c r="N15959" s="2"/>
      <c r="O15959" s="2"/>
      <c r="P15959" s="2"/>
      <c r="Q15959" s="2"/>
      <c r="R15959" s="2"/>
      <c r="S15959" s="2"/>
      <c r="T15959" s="2"/>
      <c r="U15959" s="2"/>
      <c r="V15959" s="2"/>
      <c r="W15959" s="2"/>
      <c r="X15959" s="2"/>
      <c r="Y15959" s="2"/>
      <c r="Z15959" s="2"/>
    </row>
    <row r="15960" spans="1:26" ht="16.5" x14ac:dyDescent="0.35">
      <c r="A15960" s="2"/>
      <c r="B15960" s="2"/>
      <c r="C15960" s="2"/>
      <c r="D15960" s="2"/>
      <c r="E15960" s="2"/>
      <c r="F15960" s="2"/>
      <c r="G15960" s="2"/>
      <c r="H15960" s="2"/>
      <c r="I15960" s="2"/>
      <c r="J15960" s="2"/>
      <c r="K15960" s="2"/>
      <c r="L15960" s="2"/>
      <c r="M15960" s="2"/>
      <c r="N15960" s="2"/>
      <c r="O15960" s="2"/>
      <c r="P15960" s="2"/>
      <c r="Q15960" s="2"/>
      <c r="R15960" s="2"/>
      <c r="S15960" s="2"/>
      <c r="T15960" s="2"/>
      <c r="U15960" s="2"/>
      <c r="V15960" s="2"/>
      <c r="W15960" s="2"/>
      <c r="X15960" s="2"/>
      <c r="Y15960" s="2"/>
      <c r="Z15960" s="2"/>
    </row>
    <row r="15961" spans="1:26" ht="16.5" x14ac:dyDescent="0.35">
      <c r="A15961" s="2"/>
      <c r="B15961" s="2"/>
      <c r="C15961" s="2"/>
      <c r="D15961" s="2"/>
      <c r="E15961" s="2"/>
      <c r="F15961" s="2"/>
      <c r="G15961" s="2"/>
      <c r="H15961" s="2"/>
      <c r="I15961" s="2"/>
      <c r="J15961" s="2"/>
      <c r="K15961" s="2"/>
      <c r="L15961" s="2"/>
      <c r="M15961" s="2"/>
      <c r="N15961" s="2"/>
      <c r="O15961" s="2"/>
      <c r="P15961" s="2"/>
      <c r="Q15961" s="2"/>
      <c r="R15961" s="2"/>
      <c r="S15961" s="2"/>
      <c r="T15961" s="2"/>
      <c r="U15961" s="2"/>
      <c r="V15961" s="2"/>
      <c r="W15961" s="2"/>
      <c r="X15961" s="2"/>
      <c r="Y15961" s="2"/>
      <c r="Z15961" s="2"/>
    </row>
    <row r="15962" spans="1:26" ht="16.5" x14ac:dyDescent="0.35">
      <c r="A15962" s="2"/>
      <c r="B15962" s="2"/>
      <c r="C15962" s="2"/>
      <c r="D15962" s="2"/>
      <c r="E15962" s="2"/>
      <c r="F15962" s="2"/>
      <c r="G15962" s="2"/>
      <c r="H15962" s="2"/>
      <c r="I15962" s="2"/>
      <c r="J15962" s="2"/>
      <c r="K15962" s="2"/>
      <c r="L15962" s="2"/>
      <c r="M15962" s="2"/>
      <c r="N15962" s="2"/>
      <c r="O15962" s="2"/>
      <c r="P15962" s="2"/>
      <c r="Q15962" s="2"/>
      <c r="R15962" s="2"/>
      <c r="S15962" s="2"/>
      <c r="T15962" s="2"/>
      <c r="U15962" s="2"/>
      <c r="V15962" s="2"/>
      <c r="W15962" s="2"/>
      <c r="X15962" s="2"/>
      <c r="Y15962" s="2"/>
      <c r="Z15962" s="2"/>
    </row>
    <row r="15963" spans="1:26" ht="16.5" x14ac:dyDescent="0.35">
      <c r="A15963" s="2"/>
      <c r="B15963" s="2"/>
      <c r="C15963" s="2"/>
      <c r="D15963" s="2"/>
      <c r="E15963" s="2"/>
      <c r="F15963" s="2"/>
      <c r="G15963" s="2"/>
      <c r="H15963" s="2"/>
      <c r="I15963" s="2"/>
      <c r="J15963" s="2"/>
      <c r="K15963" s="2"/>
      <c r="L15963" s="2"/>
      <c r="M15963" s="2"/>
      <c r="N15963" s="2"/>
      <c r="O15963" s="2"/>
      <c r="P15963" s="2"/>
      <c r="Q15963" s="2"/>
      <c r="R15963" s="2"/>
      <c r="S15963" s="2"/>
      <c r="T15963" s="2"/>
      <c r="U15963" s="2"/>
      <c r="V15963" s="2"/>
      <c r="W15963" s="2"/>
      <c r="X15963" s="2"/>
      <c r="Y15963" s="2"/>
      <c r="Z15963" s="2"/>
    </row>
    <row r="15964" spans="1:26" ht="16.5" x14ac:dyDescent="0.35">
      <c r="A15964" s="2"/>
      <c r="B15964" s="2"/>
      <c r="C15964" s="2"/>
      <c r="D15964" s="2"/>
      <c r="E15964" s="2"/>
      <c r="F15964" s="2"/>
      <c r="G15964" s="2"/>
      <c r="H15964" s="2"/>
      <c r="I15964" s="2"/>
      <c r="J15964" s="2"/>
      <c r="K15964" s="2"/>
      <c r="L15964" s="2"/>
      <c r="M15964" s="2"/>
      <c r="N15964" s="2"/>
      <c r="O15964" s="2"/>
      <c r="P15964" s="2"/>
      <c r="Q15964" s="2"/>
      <c r="R15964" s="2"/>
      <c r="S15964" s="2"/>
      <c r="T15964" s="2"/>
      <c r="U15964" s="2"/>
      <c r="V15964" s="2"/>
      <c r="W15964" s="2"/>
      <c r="X15964" s="2"/>
      <c r="Y15964" s="2"/>
      <c r="Z15964" s="2"/>
    </row>
    <row r="15965" spans="1:26" ht="16.5" x14ac:dyDescent="0.35">
      <c r="A15965" s="2"/>
      <c r="B15965" s="2"/>
      <c r="C15965" s="2"/>
      <c r="D15965" s="2"/>
      <c r="E15965" s="2"/>
      <c r="F15965" s="2"/>
      <c r="G15965" s="2"/>
      <c r="H15965" s="2"/>
      <c r="I15965" s="2"/>
      <c r="J15965" s="2"/>
      <c r="K15965" s="2"/>
      <c r="L15965" s="2"/>
      <c r="M15965" s="2"/>
      <c r="N15965" s="2"/>
      <c r="O15965" s="2"/>
      <c r="P15965" s="2"/>
      <c r="Q15965" s="2"/>
      <c r="R15965" s="2"/>
      <c r="S15965" s="2"/>
      <c r="T15965" s="2"/>
      <c r="U15965" s="2"/>
      <c r="V15965" s="2"/>
      <c r="W15965" s="2"/>
      <c r="X15965" s="2"/>
      <c r="Y15965" s="2"/>
      <c r="Z15965" s="2"/>
    </row>
    <row r="15966" spans="1:26" ht="16.5" x14ac:dyDescent="0.35">
      <c r="A15966" s="2"/>
      <c r="B15966" s="2"/>
      <c r="C15966" s="2"/>
      <c r="D15966" s="2"/>
      <c r="E15966" s="2"/>
      <c r="F15966" s="2"/>
      <c r="G15966" s="2"/>
      <c r="H15966" s="2"/>
      <c r="I15966" s="2"/>
      <c r="J15966" s="2"/>
      <c r="K15966" s="2"/>
      <c r="L15966" s="2"/>
      <c r="M15966" s="2"/>
      <c r="N15966" s="2"/>
      <c r="O15966" s="2"/>
      <c r="P15966" s="2"/>
      <c r="Q15966" s="2"/>
      <c r="R15966" s="2"/>
      <c r="S15966" s="2"/>
      <c r="T15966" s="2"/>
      <c r="U15966" s="2"/>
      <c r="V15966" s="2"/>
      <c r="W15966" s="2"/>
      <c r="X15966" s="2"/>
      <c r="Y15966" s="2"/>
      <c r="Z15966" s="2"/>
    </row>
    <row r="15967" spans="1:26" ht="16.5" x14ac:dyDescent="0.35">
      <c r="A15967" s="2"/>
      <c r="B15967" s="2"/>
      <c r="C15967" s="2"/>
      <c r="D15967" s="2"/>
      <c r="E15967" s="2"/>
      <c r="F15967" s="2"/>
      <c r="G15967" s="2"/>
      <c r="H15967" s="2"/>
      <c r="I15967" s="2"/>
      <c r="J15967" s="2"/>
      <c r="K15967" s="2"/>
      <c r="L15967" s="2"/>
      <c r="M15967" s="2"/>
      <c r="N15967" s="2"/>
      <c r="O15967" s="2"/>
      <c r="P15967" s="2"/>
      <c r="Q15967" s="2"/>
      <c r="R15967" s="2"/>
      <c r="S15967" s="2"/>
      <c r="T15967" s="2"/>
      <c r="U15967" s="2"/>
      <c r="V15967" s="2"/>
      <c r="W15967" s="2"/>
      <c r="X15967" s="2"/>
      <c r="Y15967" s="2"/>
      <c r="Z15967" s="2"/>
    </row>
    <row r="15968" spans="1:26" ht="16.5" x14ac:dyDescent="0.35">
      <c r="A15968" s="2"/>
      <c r="B15968" s="2"/>
      <c r="C15968" s="2"/>
      <c r="D15968" s="2"/>
      <c r="E15968" s="2"/>
      <c r="F15968" s="2"/>
      <c r="G15968" s="2"/>
      <c r="H15968" s="2"/>
      <c r="I15968" s="2"/>
      <c r="J15968" s="2"/>
      <c r="K15968" s="2"/>
      <c r="L15968" s="2"/>
      <c r="M15968" s="2"/>
      <c r="N15968" s="2"/>
      <c r="O15968" s="2"/>
      <c r="P15968" s="2"/>
      <c r="Q15968" s="2"/>
      <c r="R15968" s="2"/>
      <c r="S15968" s="2"/>
      <c r="T15968" s="2"/>
      <c r="U15968" s="2"/>
      <c r="V15968" s="2"/>
      <c r="W15968" s="2"/>
      <c r="X15968" s="2"/>
      <c r="Y15968" s="2"/>
      <c r="Z15968" s="2"/>
    </row>
    <row r="15969" spans="1:26" ht="16.5" x14ac:dyDescent="0.35">
      <c r="A15969" s="2"/>
      <c r="B15969" s="2"/>
      <c r="C15969" s="2"/>
      <c r="D15969" s="2"/>
      <c r="E15969" s="2"/>
      <c r="F15969" s="2"/>
      <c r="G15969" s="2"/>
      <c r="H15969" s="2"/>
      <c r="I15969" s="2"/>
      <c r="J15969" s="2"/>
      <c r="K15969" s="2"/>
      <c r="L15969" s="2"/>
      <c r="M15969" s="2"/>
      <c r="N15969" s="2"/>
      <c r="O15969" s="2"/>
      <c r="P15969" s="2"/>
      <c r="Q15969" s="2"/>
      <c r="R15969" s="2"/>
      <c r="S15969" s="2"/>
      <c r="T15969" s="2"/>
      <c r="U15969" s="2"/>
      <c r="V15969" s="2"/>
      <c r="W15969" s="2"/>
      <c r="X15969" s="2"/>
      <c r="Y15969" s="2"/>
      <c r="Z15969" s="2"/>
    </row>
    <row r="15970" spans="1:26" ht="16.5" x14ac:dyDescent="0.35">
      <c r="A15970" s="2"/>
      <c r="B15970" s="2"/>
      <c r="C15970" s="2"/>
      <c r="D15970" s="2"/>
      <c r="E15970" s="2"/>
      <c r="F15970" s="2"/>
      <c r="G15970" s="2"/>
      <c r="H15970" s="2"/>
      <c r="I15970" s="2"/>
      <c r="J15970" s="2"/>
      <c r="K15970" s="2"/>
      <c r="L15970" s="2"/>
      <c r="M15970" s="2"/>
      <c r="N15970" s="2"/>
      <c r="O15970" s="2"/>
      <c r="P15970" s="2"/>
      <c r="Q15970" s="2"/>
      <c r="R15970" s="2"/>
      <c r="S15970" s="2"/>
      <c r="T15970" s="2"/>
      <c r="U15970" s="2"/>
      <c r="V15970" s="2"/>
      <c r="W15970" s="2"/>
      <c r="X15970" s="2"/>
      <c r="Y15970" s="2"/>
      <c r="Z15970" s="2"/>
    </row>
    <row r="15971" spans="1:26" ht="16.5" x14ac:dyDescent="0.35">
      <c r="A15971" s="2"/>
      <c r="B15971" s="2"/>
      <c r="C15971" s="2"/>
      <c r="D15971" s="2"/>
      <c r="E15971" s="2"/>
      <c r="F15971" s="2"/>
      <c r="G15971" s="2"/>
      <c r="H15971" s="2"/>
      <c r="I15971" s="2"/>
      <c r="J15971" s="2"/>
      <c r="K15971" s="2"/>
      <c r="L15971" s="2"/>
      <c r="M15971" s="2"/>
      <c r="N15971" s="2"/>
      <c r="O15971" s="2"/>
      <c r="P15971" s="2"/>
      <c r="Q15971" s="2"/>
      <c r="R15971" s="2"/>
      <c r="S15971" s="2"/>
      <c r="T15971" s="2"/>
      <c r="U15971" s="2"/>
      <c r="V15971" s="2"/>
      <c r="W15971" s="2"/>
      <c r="X15971" s="2"/>
      <c r="Y15971" s="2"/>
      <c r="Z15971" s="2"/>
    </row>
    <row r="15972" spans="1:26" ht="16.5" x14ac:dyDescent="0.35">
      <c r="A15972" s="2"/>
      <c r="B15972" s="2"/>
      <c r="C15972" s="2"/>
      <c r="D15972" s="2"/>
      <c r="E15972" s="2"/>
      <c r="F15972" s="2"/>
      <c r="G15972" s="2"/>
      <c r="H15972" s="2"/>
      <c r="I15972" s="2"/>
      <c r="J15972" s="2"/>
      <c r="K15972" s="2"/>
      <c r="L15972" s="2"/>
      <c r="M15972" s="2"/>
      <c r="N15972" s="2"/>
      <c r="O15972" s="2"/>
      <c r="P15972" s="2"/>
      <c r="Q15972" s="2"/>
      <c r="R15972" s="2"/>
      <c r="S15972" s="2"/>
      <c r="T15972" s="2"/>
      <c r="U15972" s="2"/>
      <c r="V15972" s="2"/>
      <c r="W15972" s="2"/>
      <c r="X15972" s="2"/>
      <c r="Y15972" s="2"/>
      <c r="Z15972" s="2"/>
    </row>
    <row r="15973" spans="1:26" ht="16.5" x14ac:dyDescent="0.35">
      <c r="A15973" s="2"/>
      <c r="B15973" s="2"/>
      <c r="C15973" s="2"/>
      <c r="D15973" s="2"/>
      <c r="E15973" s="2"/>
      <c r="F15973" s="2"/>
      <c r="G15973" s="2"/>
      <c r="H15973" s="2"/>
      <c r="I15973" s="2"/>
      <c r="J15973" s="2"/>
      <c r="K15973" s="2"/>
      <c r="L15973" s="2"/>
      <c r="M15973" s="2"/>
      <c r="N15973" s="2"/>
      <c r="O15973" s="2"/>
      <c r="P15973" s="2"/>
      <c r="Q15973" s="2"/>
      <c r="R15973" s="2"/>
      <c r="S15973" s="2"/>
      <c r="T15973" s="2"/>
      <c r="U15973" s="2"/>
      <c r="V15973" s="2"/>
      <c r="W15973" s="2"/>
      <c r="X15973" s="2"/>
      <c r="Y15973" s="2"/>
      <c r="Z15973" s="2"/>
    </row>
    <row r="15974" spans="1:26" ht="16.5" x14ac:dyDescent="0.35">
      <c r="A15974" s="2"/>
      <c r="B15974" s="2"/>
      <c r="C15974" s="2"/>
      <c r="D15974" s="2"/>
      <c r="E15974" s="2"/>
      <c r="F15974" s="2"/>
      <c r="G15974" s="2"/>
      <c r="H15974" s="2"/>
      <c r="I15974" s="2"/>
      <c r="J15974" s="2"/>
      <c r="K15974" s="2"/>
      <c r="L15974" s="2"/>
      <c r="M15974" s="2"/>
      <c r="N15974" s="2"/>
      <c r="O15974" s="2"/>
      <c r="P15974" s="2"/>
      <c r="Q15974" s="2"/>
      <c r="R15974" s="2"/>
      <c r="S15974" s="2"/>
      <c r="T15974" s="2"/>
      <c r="U15974" s="2"/>
      <c r="V15974" s="2"/>
      <c r="W15974" s="2"/>
      <c r="X15974" s="2"/>
      <c r="Y15974" s="2"/>
      <c r="Z15974" s="2"/>
    </row>
    <row r="15975" spans="1:26" ht="16.5" x14ac:dyDescent="0.35">
      <c r="A15975" s="2"/>
      <c r="B15975" s="2"/>
      <c r="C15975" s="2"/>
      <c r="D15975" s="2"/>
      <c r="E15975" s="2"/>
      <c r="F15975" s="2"/>
      <c r="G15975" s="2"/>
      <c r="H15975" s="2"/>
      <c r="I15975" s="2"/>
      <c r="J15975" s="2"/>
      <c r="K15975" s="2"/>
      <c r="L15975" s="2"/>
      <c r="M15975" s="2"/>
      <c r="N15975" s="2"/>
      <c r="O15975" s="2"/>
      <c r="P15975" s="2"/>
      <c r="Q15975" s="2"/>
      <c r="R15975" s="2"/>
      <c r="S15975" s="2"/>
      <c r="T15975" s="2"/>
      <c r="U15975" s="2"/>
      <c r="V15975" s="2"/>
      <c r="W15975" s="2"/>
      <c r="X15975" s="2"/>
      <c r="Y15975" s="2"/>
      <c r="Z15975" s="2"/>
    </row>
    <row r="15976" spans="1:26" ht="16.5" x14ac:dyDescent="0.35">
      <c r="A15976" s="2"/>
      <c r="B15976" s="2"/>
      <c r="C15976" s="2"/>
      <c r="D15976" s="2"/>
      <c r="E15976" s="2"/>
      <c r="F15976" s="2"/>
      <c r="G15976" s="2"/>
      <c r="H15976" s="2"/>
      <c r="I15976" s="2"/>
      <c r="J15976" s="2"/>
      <c r="K15976" s="2"/>
      <c r="L15976" s="2"/>
      <c r="M15976" s="2"/>
      <c r="N15976" s="2"/>
      <c r="O15976" s="2"/>
      <c r="P15976" s="2"/>
      <c r="Q15976" s="2"/>
      <c r="R15976" s="2"/>
      <c r="S15976" s="2"/>
      <c r="T15976" s="2"/>
      <c r="U15976" s="2"/>
      <c r="V15976" s="2"/>
      <c r="W15976" s="2"/>
      <c r="X15976" s="2"/>
      <c r="Y15976" s="2"/>
      <c r="Z15976" s="2"/>
    </row>
    <row r="15977" spans="1:26" ht="16.5" x14ac:dyDescent="0.35">
      <c r="A15977" s="2"/>
      <c r="B15977" s="2"/>
      <c r="C15977" s="2"/>
      <c r="D15977" s="2"/>
      <c r="E15977" s="2"/>
      <c r="F15977" s="2"/>
      <c r="G15977" s="2"/>
      <c r="H15977" s="2"/>
      <c r="I15977" s="2"/>
      <c r="J15977" s="2"/>
      <c r="K15977" s="2"/>
      <c r="L15977" s="2"/>
      <c r="M15977" s="2"/>
      <c r="N15977" s="2"/>
      <c r="O15977" s="2"/>
      <c r="P15977" s="2"/>
      <c r="Q15977" s="2"/>
      <c r="R15977" s="2"/>
      <c r="S15977" s="2"/>
      <c r="T15977" s="2"/>
      <c r="U15977" s="2"/>
      <c r="V15977" s="2"/>
      <c r="W15977" s="2"/>
      <c r="X15977" s="2"/>
      <c r="Y15977" s="2"/>
      <c r="Z15977" s="2"/>
    </row>
    <row r="15978" spans="1:26" ht="16.5" x14ac:dyDescent="0.35">
      <c r="A15978" s="2"/>
      <c r="B15978" s="2"/>
      <c r="C15978" s="2"/>
      <c r="D15978" s="2"/>
      <c r="E15978" s="2"/>
      <c r="F15978" s="2"/>
      <c r="G15978" s="2"/>
      <c r="H15978" s="2"/>
      <c r="I15978" s="2"/>
      <c r="J15978" s="2"/>
      <c r="K15978" s="2"/>
      <c r="L15978" s="2"/>
      <c r="M15978" s="2"/>
      <c r="N15978" s="2"/>
      <c r="O15978" s="2"/>
      <c r="P15978" s="2"/>
      <c r="Q15978" s="2"/>
      <c r="R15978" s="2"/>
      <c r="S15978" s="2"/>
      <c r="T15978" s="2"/>
      <c r="U15978" s="2"/>
      <c r="V15978" s="2"/>
      <c r="W15978" s="2"/>
      <c r="X15978" s="2"/>
      <c r="Y15978" s="2"/>
      <c r="Z15978" s="2"/>
    </row>
    <row r="15979" spans="1:26" ht="16.5" x14ac:dyDescent="0.35">
      <c r="A15979" s="2"/>
      <c r="B15979" s="2"/>
      <c r="C15979" s="2"/>
      <c r="D15979" s="2"/>
      <c r="E15979" s="2"/>
      <c r="F15979" s="2"/>
      <c r="G15979" s="2"/>
      <c r="H15979" s="2"/>
      <c r="I15979" s="2"/>
      <c r="J15979" s="2"/>
      <c r="K15979" s="2"/>
      <c r="L15979" s="2"/>
      <c r="M15979" s="2"/>
      <c r="N15979" s="2"/>
      <c r="O15979" s="2"/>
      <c r="P15979" s="2"/>
      <c r="Q15979" s="2"/>
      <c r="R15979" s="2"/>
      <c r="S15979" s="2"/>
      <c r="T15979" s="2"/>
      <c r="U15979" s="2"/>
      <c r="V15979" s="2"/>
      <c r="W15979" s="2"/>
      <c r="X15979" s="2"/>
      <c r="Y15979" s="2"/>
      <c r="Z15979" s="2"/>
    </row>
    <row r="15980" spans="1:26" ht="16.5" x14ac:dyDescent="0.35">
      <c r="A15980" s="2"/>
      <c r="B15980" s="2"/>
      <c r="C15980" s="2"/>
      <c r="D15980" s="2"/>
      <c r="E15980" s="2"/>
      <c r="F15980" s="2"/>
      <c r="G15980" s="2"/>
      <c r="H15980" s="2"/>
      <c r="I15980" s="2"/>
      <c r="J15980" s="2"/>
      <c r="K15980" s="2"/>
      <c r="L15980" s="2"/>
      <c r="M15980" s="2"/>
      <c r="N15980" s="2"/>
      <c r="O15980" s="2"/>
      <c r="P15980" s="2"/>
      <c r="Q15980" s="2"/>
      <c r="R15980" s="2"/>
      <c r="S15980" s="2"/>
      <c r="T15980" s="2"/>
      <c r="U15980" s="2"/>
      <c r="V15980" s="2"/>
      <c r="W15980" s="2"/>
      <c r="X15980" s="2"/>
      <c r="Y15980" s="2"/>
      <c r="Z15980" s="2"/>
    </row>
    <row r="15981" spans="1:26" ht="16.5" x14ac:dyDescent="0.35">
      <c r="A15981" s="2"/>
      <c r="B15981" s="2"/>
      <c r="C15981" s="2"/>
      <c r="D15981" s="2"/>
      <c r="E15981" s="2"/>
      <c r="F15981" s="2"/>
      <c r="G15981" s="2"/>
      <c r="H15981" s="2"/>
      <c r="I15981" s="2"/>
      <c r="J15981" s="2"/>
      <c r="K15981" s="2"/>
      <c r="L15981" s="2"/>
      <c r="M15981" s="2"/>
      <c r="N15981" s="2"/>
      <c r="O15981" s="2"/>
      <c r="P15981" s="2"/>
      <c r="Q15981" s="2"/>
      <c r="R15981" s="2"/>
      <c r="S15981" s="2"/>
      <c r="T15981" s="2"/>
      <c r="U15981" s="2"/>
      <c r="V15981" s="2"/>
      <c r="W15981" s="2"/>
      <c r="X15981" s="2"/>
      <c r="Y15981" s="2"/>
      <c r="Z15981" s="2"/>
    </row>
    <row r="15982" spans="1:26" ht="16.5" x14ac:dyDescent="0.35">
      <c r="A15982" s="2"/>
      <c r="B15982" s="2"/>
      <c r="C15982" s="2"/>
      <c r="D15982" s="2"/>
      <c r="E15982" s="2"/>
      <c r="F15982" s="2"/>
      <c r="G15982" s="2"/>
      <c r="H15982" s="2"/>
      <c r="I15982" s="2"/>
      <c r="J15982" s="2"/>
      <c r="K15982" s="2"/>
      <c r="L15982" s="2"/>
      <c r="M15982" s="2"/>
      <c r="N15982" s="2"/>
      <c r="O15982" s="2"/>
      <c r="P15982" s="2"/>
      <c r="Q15982" s="2"/>
      <c r="R15982" s="2"/>
      <c r="S15982" s="2"/>
      <c r="T15982" s="2"/>
      <c r="U15982" s="2"/>
      <c r="V15982" s="2"/>
      <c r="W15982" s="2"/>
      <c r="X15982" s="2"/>
      <c r="Y15982" s="2"/>
      <c r="Z15982" s="2"/>
    </row>
    <row r="15983" spans="1:26" ht="16.5" x14ac:dyDescent="0.35">
      <c r="A15983" s="2"/>
      <c r="B15983" s="2"/>
      <c r="C15983" s="2"/>
      <c r="D15983" s="2"/>
      <c r="E15983" s="2"/>
      <c r="F15983" s="2"/>
      <c r="G15983" s="2"/>
      <c r="H15983" s="2"/>
      <c r="I15983" s="2"/>
      <c r="J15983" s="2"/>
      <c r="K15983" s="2"/>
      <c r="L15983" s="2"/>
      <c r="M15983" s="2"/>
      <c r="N15983" s="2"/>
      <c r="O15983" s="2"/>
      <c r="P15983" s="2"/>
      <c r="Q15983" s="2"/>
      <c r="R15983" s="2"/>
      <c r="S15983" s="2"/>
      <c r="T15983" s="2"/>
      <c r="U15983" s="2"/>
      <c r="V15983" s="2"/>
      <c r="W15983" s="2"/>
      <c r="X15983" s="2"/>
      <c r="Y15983" s="2"/>
      <c r="Z15983" s="2"/>
    </row>
    <row r="15984" spans="1:26" ht="16.5" x14ac:dyDescent="0.35">
      <c r="A15984" s="2"/>
      <c r="B15984" s="2"/>
      <c r="C15984" s="2"/>
      <c r="D15984" s="2"/>
      <c r="E15984" s="2"/>
      <c r="F15984" s="2"/>
      <c r="G15984" s="2"/>
      <c r="H15984" s="2"/>
      <c r="I15984" s="2"/>
      <c r="J15984" s="2"/>
      <c r="K15984" s="2"/>
      <c r="L15984" s="2"/>
      <c r="M15984" s="2"/>
      <c r="N15984" s="2"/>
      <c r="O15984" s="2"/>
      <c r="P15984" s="2"/>
      <c r="Q15984" s="2"/>
      <c r="R15984" s="2"/>
      <c r="S15984" s="2"/>
      <c r="T15984" s="2"/>
      <c r="U15984" s="2"/>
      <c r="V15984" s="2"/>
      <c r="W15984" s="2"/>
      <c r="X15984" s="2"/>
      <c r="Y15984" s="2"/>
      <c r="Z15984" s="2"/>
    </row>
    <row r="15985" spans="1:26" ht="16.5" x14ac:dyDescent="0.35">
      <c r="A15985" s="2"/>
      <c r="B15985" s="2"/>
      <c r="C15985" s="2"/>
      <c r="D15985" s="2"/>
      <c r="E15985" s="2"/>
      <c r="F15985" s="2"/>
      <c r="G15985" s="2"/>
      <c r="H15985" s="2"/>
      <c r="I15985" s="2"/>
      <c r="J15985" s="2"/>
      <c r="K15985" s="2"/>
      <c r="L15985" s="2"/>
      <c r="M15985" s="2"/>
      <c r="N15985" s="2"/>
      <c r="O15985" s="2"/>
      <c r="P15985" s="2"/>
      <c r="Q15985" s="2"/>
      <c r="R15985" s="2"/>
      <c r="S15985" s="2"/>
      <c r="T15985" s="2"/>
      <c r="U15985" s="2"/>
      <c r="V15985" s="2"/>
      <c r="W15985" s="2"/>
      <c r="X15985" s="2"/>
      <c r="Y15985" s="2"/>
      <c r="Z15985" s="2"/>
    </row>
    <row r="15986" spans="1:26" ht="16.5" x14ac:dyDescent="0.35">
      <c r="A15986" s="2"/>
      <c r="B15986" s="2"/>
      <c r="C15986" s="2"/>
      <c r="D15986" s="2"/>
      <c r="E15986" s="2"/>
      <c r="F15986" s="2"/>
      <c r="G15986" s="2"/>
      <c r="H15986" s="2"/>
      <c r="I15986" s="2"/>
      <c r="J15986" s="2"/>
      <c r="K15986" s="2"/>
      <c r="L15986" s="2"/>
      <c r="M15986" s="2"/>
      <c r="N15986" s="2"/>
      <c r="O15986" s="2"/>
      <c r="P15986" s="2"/>
      <c r="Q15986" s="2"/>
      <c r="R15986" s="2"/>
      <c r="S15986" s="2"/>
      <c r="T15986" s="2"/>
      <c r="U15986" s="2"/>
      <c r="V15986" s="2"/>
      <c r="W15986" s="2"/>
      <c r="X15986" s="2"/>
      <c r="Y15986" s="2"/>
      <c r="Z15986" s="2"/>
    </row>
    <row r="15987" spans="1:26" ht="16.5" x14ac:dyDescent="0.35">
      <c r="A15987" s="2"/>
      <c r="B15987" s="2"/>
      <c r="C15987" s="2"/>
      <c r="D15987" s="2"/>
      <c r="E15987" s="2"/>
      <c r="F15987" s="2"/>
      <c r="G15987" s="2"/>
      <c r="H15987" s="2"/>
      <c r="I15987" s="2"/>
      <c r="J15987" s="2"/>
      <c r="K15987" s="2"/>
      <c r="L15987" s="2"/>
      <c r="M15987" s="2"/>
      <c r="N15987" s="2"/>
      <c r="O15987" s="2"/>
      <c r="P15987" s="2"/>
      <c r="Q15987" s="2"/>
      <c r="R15987" s="2"/>
      <c r="S15987" s="2"/>
      <c r="T15987" s="2"/>
      <c r="U15987" s="2"/>
      <c r="V15987" s="2"/>
      <c r="W15987" s="2"/>
      <c r="X15987" s="2"/>
      <c r="Y15987" s="2"/>
      <c r="Z15987" s="2"/>
    </row>
    <row r="15988" spans="1:26" ht="16.5" x14ac:dyDescent="0.35">
      <c r="A15988" s="2"/>
      <c r="B15988" s="2"/>
      <c r="C15988" s="2"/>
      <c r="D15988" s="2"/>
      <c r="E15988" s="2"/>
      <c r="F15988" s="2"/>
      <c r="G15988" s="2"/>
      <c r="H15988" s="2"/>
      <c r="I15988" s="2"/>
      <c r="J15988" s="2"/>
      <c r="K15988" s="2"/>
      <c r="L15988" s="2"/>
      <c r="M15988" s="2"/>
      <c r="N15988" s="2"/>
      <c r="O15988" s="2"/>
      <c r="P15988" s="2"/>
      <c r="Q15988" s="2"/>
      <c r="R15988" s="2"/>
      <c r="S15988" s="2"/>
      <c r="T15988" s="2"/>
      <c r="U15988" s="2"/>
      <c r="V15988" s="2"/>
      <c r="W15988" s="2"/>
      <c r="X15988" s="2"/>
      <c r="Y15988" s="2"/>
      <c r="Z15988" s="2"/>
    </row>
    <row r="15989" spans="1:26" ht="16.5" x14ac:dyDescent="0.35">
      <c r="A15989" s="2"/>
      <c r="B15989" s="2"/>
      <c r="C15989" s="2"/>
      <c r="D15989" s="2"/>
      <c r="E15989" s="2"/>
      <c r="F15989" s="2"/>
      <c r="G15989" s="2"/>
      <c r="H15989" s="2"/>
      <c r="I15989" s="2"/>
      <c r="J15989" s="2"/>
      <c r="K15989" s="2"/>
      <c r="L15989" s="2"/>
      <c r="M15989" s="2"/>
      <c r="N15989" s="2"/>
      <c r="O15989" s="2"/>
      <c r="P15989" s="2"/>
      <c r="Q15989" s="2"/>
      <c r="R15989" s="2"/>
      <c r="S15989" s="2"/>
      <c r="T15989" s="2"/>
      <c r="U15989" s="2"/>
      <c r="V15989" s="2"/>
      <c r="W15989" s="2"/>
      <c r="X15989" s="2"/>
      <c r="Y15989" s="2"/>
      <c r="Z15989" s="2"/>
    </row>
    <row r="15990" spans="1:26" ht="16.5" x14ac:dyDescent="0.35">
      <c r="A15990" s="2"/>
      <c r="B15990" s="2"/>
      <c r="C15990" s="2"/>
      <c r="D15990" s="2"/>
      <c r="E15990" s="2"/>
      <c r="F15990" s="2"/>
      <c r="G15990" s="2"/>
      <c r="H15990" s="2"/>
      <c r="I15990" s="2"/>
      <c r="J15990" s="2"/>
      <c r="K15990" s="2"/>
      <c r="L15990" s="2"/>
      <c r="M15990" s="2"/>
      <c r="N15990" s="2"/>
      <c r="O15990" s="2"/>
      <c r="P15990" s="2"/>
      <c r="Q15990" s="2"/>
      <c r="R15990" s="2"/>
      <c r="S15990" s="2"/>
      <c r="T15990" s="2"/>
      <c r="U15990" s="2"/>
      <c r="V15990" s="2"/>
      <c r="W15990" s="2"/>
      <c r="X15990" s="2"/>
      <c r="Y15990" s="2"/>
      <c r="Z15990" s="2"/>
    </row>
    <row r="15991" spans="1:26" ht="16.5" x14ac:dyDescent="0.35">
      <c r="A15991" s="2"/>
      <c r="B15991" s="2"/>
      <c r="C15991" s="2"/>
      <c r="D15991" s="2"/>
      <c r="E15991" s="2"/>
      <c r="F15991" s="2"/>
      <c r="G15991" s="2"/>
      <c r="H15991" s="2"/>
      <c r="I15991" s="2"/>
      <c r="J15991" s="2"/>
      <c r="K15991" s="2"/>
      <c r="L15991" s="2"/>
      <c r="M15991" s="2"/>
      <c r="N15991" s="2"/>
      <c r="O15991" s="2"/>
      <c r="P15991" s="2"/>
      <c r="Q15991" s="2"/>
      <c r="R15991" s="2"/>
      <c r="S15991" s="2"/>
      <c r="T15991" s="2"/>
      <c r="U15991" s="2"/>
      <c r="V15991" s="2"/>
      <c r="W15991" s="2"/>
      <c r="X15991" s="2"/>
      <c r="Y15991" s="2"/>
      <c r="Z15991" s="2"/>
    </row>
    <row r="15992" spans="1:26" ht="16.5" x14ac:dyDescent="0.35">
      <c r="A15992" s="2"/>
      <c r="B15992" s="2"/>
      <c r="C15992" s="2"/>
      <c r="D15992" s="2"/>
      <c r="E15992" s="2"/>
      <c r="F15992" s="2"/>
      <c r="G15992" s="2"/>
      <c r="H15992" s="2"/>
      <c r="I15992" s="2"/>
      <c r="J15992" s="2"/>
      <c r="K15992" s="2"/>
      <c r="L15992" s="2"/>
      <c r="M15992" s="2"/>
      <c r="N15992" s="2"/>
      <c r="O15992" s="2"/>
      <c r="P15992" s="2"/>
      <c r="Q15992" s="2"/>
      <c r="R15992" s="2"/>
      <c r="S15992" s="2"/>
      <c r="T15992" s="2"/>
      <c r="U15992" s="2"/>
      <c r="V15992" s="2"/>
      <c r="W15992" s="2"/>
      <c r="X15992" s="2"/>
      <c r="Y15992" s="2"/>
      <c r="Z15992" s="2"/>
    </row>
    <row r="15993" spans="1:26" ht="16.5" x14ac:dyDescent="0.35">
      <c r="A15993" s="2"/>
      <c r="B15993" s="2"/>
      <c r="C15993" s="2"/>
      <c r="D15993" s="2"/>
      <c r="E15993" s="2"/>
      <c r="F15993" s="2"/>
      <c r="G15993" s="2"/>
      <c r="H15993" s="2"/>
      <c r="I15993" s="2"/>
      <c r="J15993" s="2"/>
      <c r="K15993" s="2"/>
      <c r="L15993" s="2"/>
      <c r="M15993" s="2"/>
      <c r="N15993" s="2"/>
      <c r="O15993" s="2"/>
      <c r="P15993" s="2"/>
      <c r="Q15993" s="2"/>
      <c r="R15993" s="2"/>
      <c r="S15993" s="2"/>
      <c r="T15993" s="2"/>
      <c r="U15993" s="2"/>
      <c r="V15993" s="2"/>
      <c r="W15993" s="2"/>
      <c r="X15993" s="2"/>
      <c r="Y15993" s="2"/>
      <c r="Z15993" s="2"/>
    </row>
    <row r="15994" spans="1:26" ht="16.5" x14ac:dyDescent="0.35">
      <c r="A15994" s="2"/>
      <c r="B15994" s="2"/>
      <c r="C15994" s="2"/>
      <c r="D15994" s="2"/>
      <c r="E15994" s="2"/>
      <c r="F15994" s="2"/>
      <c r="G15994" s="2"/>
      <c r="H15994" s="2"/>
      <c r="I15994" s="2"/>
      <c r="J15994" s="2"/>
      <c r="K15994" s="2"/>
      <c r="L15994" s="2"/>
      <c r="M15994" s="2"/>
      <c r="N15994" s="2"/>
      <c r="O15994" s="2"/>
      <c r="P15994" s="2"/>
      <c r="Q15994" s="2"/>
      <c r="R15994" s="2"/>
      <c r="S15994" s="2"/>
      <c r="T15994" s="2"/>
      <c r="U15994" s="2"/>
      <c r="V15994" s="2"/>
      <c r="W15994" s="2"/>
      <c r="X15994" s="2"/>
      <c r="Y15994" s="2"/>
      <c r="Z15994" s="2"/>
    </row>
    <row r="15995" spans="1:26" ht="16.5" x14ac:dyDescent="0.35">
      <c r="A15995" s="2"/>
      <c r="B15995" s="2"/>
      <c r="C15995" s="2"/>
      <c r="D15995" s="2"/>
      <c r="E15995" s="2"/>
      <c r="F15995" s="2"/>
      <c r="G15995" s="2"/>
      <c r="H15995" s="2"/>
      <c r="I15995" s="2"/>
      <c r="J15995" s="2"/>
      <c r="K15995" s="2"/>
      <c r="L15995" s="2"/>
      <c r="M15995" s="2"/>
      <c r="N15995" s="2"/>
      <c r="O15995" s="2"/>
      <c r="P15995" s="2"/>
      <c r="Q15995" s="2"/>
      <c r="R15995" s="2"/>
      <c r="S15995" s="2"/>
      <c r="T15995" s="2"/>
      <c r="U15995" s="2"/>
      <c r="V15995" s="2"/>
      <c r="W15995" s="2"/>
      <c r="X15995" s="2"/>
      <c r="Y15995" s="2"/>
      <c r="Z15995" s="2"/>
    </row>
    <row r="15996" spans="1:26" ht="16.5" x14ac:dyDescent="0.35">
      <c r="A15996" s="2"/>
      <c r="B15996" s="2"/>
      <c r="C15996" s="2"/>
      <c r="D15996" s="2"/>
      <c r="E15996" s="2"/>
      <c r="F15996" s="2"/>
      <c r="G15996" s="2"/>
      <c r="H15996" s="2"/>
      <c r="I15996" s="2"/>
      <c r="J15996" s="2"/>
      <c r="K15996" s="2"/>
      <c r="L15996" s="2"/>
      <c r="M15996" s="2"/>
      <c r="N15996" s="2"/>
      <c r="O15996" s="2"/>
      <c r="P15996" s="2"/>
      <c r="Q15996" s="2"/>
      <c r="R15996" s="2"/>
      <c r="S15996" s="2"/>
      <c r="T15996" s="2"/>
      <c r="U15996" s="2"/>
      <c r="V15996" s="2"/>
      <c r="W15996" s="2"/>
      <c r="X15996" s="2"/>
      <c r="Y15996" s="2"/>
      <c r="Z15996" s="2"/>
    </row>
    <row r="15997" spans="1:26" ht="16.5" x14ac:dyDescent="0.35">
      <c r="A15997" s="2"/>
      <c r="B15997" s="2"/>
      <c r="C15997" s="2"/>
      <c r="D15997" s="2"/>
      <c r="E15997" s="2"/>
      <c r="F15997" s="2"/>
      <c r="G15997" s="2"/>
      <c r="H15997" s="2"/>
      <c r="I15997" s="2"/>
      <c r="J15997" s="2"/>
      <c r="K15997" s="2"/>
      <c r="L15997" s="2"/>
      <c r="M15997" s="2"/>
      <c r="N15997" s="2"/>
      <c r="O15997" s="2"/>
      <c r="P15997" s="2"/>
      <c r="Q15997" s="2"/>
      <c r="R15997" s="2"/>
      <c r="S15997" s="2"/>
      <c r="T15997" s="2"/>
      <c r="U15997" s="2"/>
      <c r="V15997" s="2"/>
      <c r="W15997" s="2"/>
      <c r="X15997" s="2"/>
      <c r="Y15997" s="2"/>
      <c r="Z15997" s="2"/>
    </row>
    <row r="15998" spans="1:26" ht="16.5" x14ac:dyDescent="0.35">
      <c r="A15998" s="2"/>
      <c r="B15998" s="2"/>
      <c r="C15998" s="2"/>
      <c r="D15998" s="2"/>
      <c r="E15998" s="2"/>
      <c r="F15998" s="2"/>
      <c r="G15998" s="2"/>
      <c r="H15998" s="2"/>
      <c r="I15998" s="2"/>
      <c r="J15998" s="2"/>
      <c r="K15998" s="2"/>
      <c r="L15998" s="2"/>
      <c r="M15998" s="2"/>
      <c r="N15998" s="2"/>
      <c r="O15998" s="2"/>
      <c r="P15998" s="2"/>
      <c r="Q15998" s="2"/>
      <c r="R15998" s="2"/>
      <c r="S15998" s="2"/>
      <c r="T15998" s="2"/>
      <c r="U15998" s="2"/>
      <c r="V15998" s="2"/>
      <c r="W15998" s="2"/>
      <c r="X15998" s="2"/>
      <c r="Y15998" s="2"/>
      <c r="Z15998" s="2"/>
    </row>
    <row r="15999" spans="1:26" ht="16.5" x14ac:dyDescent="0.35">
      <c r="A15999" s="2"/>
      <c r="B15999" s="2"/>
      <c r="C15999" s="2"/>
      <c r="D15999" s="2"/>
      <c r="E15999" s="2"/>
      <c r="F15999" s="2"/>
      <c r="G15999" s="2"/>
      <c r="H15999" s="2"/>
      <c r="I15999" s="2"/>
      <c r="J15999" s="2"/>
      <c r="K15999" s="2"/>
      <c r="L15999" s="2"/>
      <c r="M15999" s="2"/>
      <c r="N15999" s="2"/>
      <c r="O15999" s="2"/>
      <c r="P15999" s="2"/>
      <c r="Q15999" s="2"/>
      <c r="R15999" s="2"/>
      <c r="S15999" s="2"/>
      <c r="T15999" s="2"/>
      <c r="U15999" s="2"/>
      <c r="V15999" s="2"/>
      <c r="W15999" s="2"/>
      <c r="X15999" s="2"/>
      <c r="Y15999" s="2"/>
      <c r="Z15999" s="2"/>
    </row>
    <row r="16000" spans="1:26" ht="16.5" x14ac:dyDescent="0.35">
      <c r="A16000" s="2"/>
      <c r="B16000" s="2"/>
      <c r="C16000" s="2"/>
      <c r="D16000" s="2"/>
      <c r="E16000" s="2"/>
      <c r="F16000" s="2"/>
      <c r="G16000" s="2"/>
      <c r="H16000" s="2"/>
      <c r="I16000" s="2"/>
      <c r="J16000" s="2"/>
      <c r="K16000" s="2"/>
      <c r="L16000" s="2"/>
      <c r="M16000" s="2"/>
      <c r="N16000" s="2"/>
      <c r="O16000" s="2"/>
      <c r="P16000" s="2"/>
      <c r="Q16000" s="2"/>
      <c r="R16000" s="2"/>
      <c r="S16000" s="2"/>
      <c r="T16000" s="2"/>
      <c r="U16000" s="2"/>
      <c r="V16000" s="2"/>
      <c r="W16000" s="2"/>
      <c r="X16000" s="2"/>
      <c r="Y16000" s="2"/>
      <c r="Z16000" s="2"/>
    </row>
    <row r="16001" spans="1:26" ht="16.5" x14ac:dyDescent="0.35">
      <c r="A16001" s="2"/>
      <c r="B16001" s="2"/>
      <c r="C16001" s="2"/>
      <c r="D16001" s="2"/>
      <c r="E16001" s="2"/>
      <c r="F16001" s="2"/>
      <c r="G16001" s="2"/>
      <c r="H16001" s="2"/>
      <c r="I16001" s="2"/>
      <c r="J16001" s="2"/>
      <c r="K16001" s="2"/>
      <c r="L16001" s="2"/>
      <c r="M16001" s="2"/>
      <c r="N16001" s="2"/>
      <c r="O16001" s="2"/>
      <c r="P16001" s="2"/>
      <c r="Q16001" s="2"/>
      <c r="R16001" s="2"/>
      <c r="S16001" s="2"/>
      <c r="T16001" s="2"/>
      <c r="U16001" s="2"/>
      <c r="V16001" s="2"/>
      <c r="W16001" s="2"/>
      <c r="X16001" s="2"/>
      <c r="Y16001" s="2"/>
      <c r="Z16001" s="2"/>
    </row>
    <row r="16002" spans="1:26" ht="16.5" x14ac:dyDescent="0.35">
      <c r="A16002" s="2"/>
      <c r="B16002" s="2"/>
      <c r="C16002" s="2"/>
      <c r="D16002" s="2"/>
      <c r="E16002" s="2"/>
      <c r="F16002" s="2"/>
      <c r="G16002" s="2"/>
      <c r="H16002" s="2"/>
      <c r="I16002" s="2"/>
      <c r="J16002" s="2"/>
      <c r="K16002" s="2"/>
      <c r="L16002" s="2"/>
      <c r="M16002" s="2"/>
      <c r="N16002" s="2"/>
      <c r="O16002" s="2"/>
      <c r="P16002" s="2"/>
      <c r="Q16002" s="2"/>
      <c r="R16002" s="2"/>
      <c r="S16002" s="2"/>
      <c r="T16002" s="2"/>
      <c r="U16002" s="2"/>
      <c r="V16002" s="2"/>
      <c r="W16002" s="2"/>
      <c r="X16002" s="2"/>
      <c r="Y16002" s="2"/>
      <c r="Z16002" s="2"/>
    </row>
    <row r="16003" spans="1:26" ht="16.5" x14ac:dyDescent="0.35">
      <c r="A16003" s="2"/>
      <c r="B16003" s="2"/>
      <c r="C16003" s="2"/>
      <c r="D16003" s="2"/>
      <c r="E16003" s="2"/>
      <c r="F16003" s="2"/>
      <c r="G16003" s="2"/>
      <c r="H16003" s="2"/>
      <c r="I16003" s="2"/>
      <c r="J16003" s="2"/>
      <c r="K16003" s="2"/>
      <c r="L16003" s="2"/>
      <c r="M16003" s="2"/>
      <c r="N16003" s="2"/>
      <c r="O16003" s="2"/>
      <c r="P16003" s="2"/>
      <c r="Q16003" s="2"/>
      <c r="R16003" s="2"/>
      <c r="S16003" s="2"/>
      <c r="T16003" s="2"/>
      <c r="U16003" s="2"/>
      <c r="V16003" s="2"/>
      <c r="W16003" s="2"/>
      <c r="X16003" s="2"/>
      <c r="Y16003" s="2"/>
      <c r="Z16003" s="2"/>
    </row>
    <row r="16004" spans="1:26" ht="16.5" x14ac:dyDescent="0.35">
      <c r="A16004" s="2"/>
      <c r="B16004" s="2"/>
      <c r="C16004" s="2"/>
      <c r="D16004" s="2"/>
      <c r="E16004" s="2"/>
      <c r="F16004" s="2"/>
      <c r="G16004" s="2"/>
      <c r="H16004" s="2"/>
      <c r="I16004" s="2"/>
      <c r="J16004" s="2"/>
      <c r="K16004" s="2"/>
      <c r="L16004" s="2"/>
      <c r="M16004" s="2"/>
      <c r="N16004" s="2"/>
      <c r="O16004" s="2"/>
      <c r="P16004" s="2"/>
      <c r="Q16004" s="2"/>
      <c r="R16004" s="2"/>
      <c r="S16004" s="2"/>
      <c r="T16004" s="2"/>
      <c r="U16004" s="2"/>
      <c r="V16004" s="2"/>
      <c r="W16004" s="2"/>
      <c r="X16004" s="2"/>
      <c r="Y16004" s="2"/>
      <c r="Z16004" s="2"/>
    </row>
    <row r="16005" spans="1:26" ht="16.5" x14ac:dyDescent="0.35">
      <c r="A16005" s="2"/>
      <c r="B16005" s="2"/>
      <c r="C16005" s="2"/>
      <c r="D16005" s="2"/>
      <c r="E16005" s="2"/>
      <c r="F16005" s="2"/>
      <c r="G16005" s="2"/>
      <c r="H16005" s="2"/>
      <c r="I16005" s="2"/>
      <c r="J16005" s="2"/>
      <c r="K16005" s="2"/>
      <c r="L16005" s="2"/>
      <c r="M16005" s="2"/>
      <c r="N16005" s="2"/>
      <c r="O16005" s="2"/>
      <c r="P16005" s="2"/>
      <c r="Q16005" s="2"/>
      <c r="R16005" s="2"/>
      <c r="S16005" s="2"/>
      <c r="T16005" s="2"/>
      <c r="U16005" s="2"/>
      <c r="V16005" s="2"/>
      <c r="W16005" s="2"/>
      <c r="X16005" s="2"/>
      <c r="Y16005" s="2"/>
      <c r="Z16005" s="2"/>
    </row>
    <row r="16006" spans="1:26" ht="16.5" x14ac:dyDescent="0.35">
      <c r="A16006" s="2"/>
      <c r="B16006" s="2"/>
      <c r="C16006" s="2"/>
      <c r="D16006" s="2"/>
      <c r="E16006" s="2"/>
      <c r="F16006" s="2"/>
      <c r="G16006" s="2"/>
      <c r="H16006" s="2"/>
      <c r="I16006" s="2"/>
      <c r="J16006" s="2"/>
      <c r="K16006" s="2"/>
      <c r="L16006" s="2"/>
      <c r="M16006" s="2"/>
      <c r="N16006" s="2"/>
      <c r="O16006" s="2"/>
      <c r="P16006" s="2"/>
      <c r="Q16006" s="2"/>
      <c r="R16006" s="2"/>
      <c r="S16006" s="2"/>
      <c r="T16006" s="2"/>
      <c r="U16006" s="2"/>
      <c r="V16006" s="2"/>
      <c r="W16006" s="2"/>
      <c r="X16006" s="2"/>
      <c r="Y16006" s="2"/>
      <c r="Z16006" s="2"/>
    </row>
    <row r="16007" spans="1:26" ht="16.5" x14ac:dyDescent="0.35">
      <c r="A16007" s="2"/>
      <c r="B16007" s="2"/>
      <c r="C16007" s="2"/>
      <c r="D16007" s="2"/>
      <c r="E16007" s="2"/>
      <c r="F16007" s="2"/>
      <c r="G16007" s="2"/>
      <c r="H16007" s="2"/>
      <c r="I16007" s="2"/>
      <c r="J16007" s="2"/>
      <c r="K16007" s="2"/>
      <c r="L16007" s="2"/>
      <c r="M16007" s="2"/>
      <c r="N16007" s="2"/>
      <c r="O16007" s="2"/>
      <c r="P16007" s="2"/>
      <c r="Q16007" s="2"/>
      <c r="R16007" s="2"/>
      <c r="S16007" s="2"/>
      <c r="T16007" s="2"/>
      <c r="U16007" s="2"/>
      <c r="V16007" s="2"/>
      <c r="W16007" s="2"/>
      <c r="X16007" s="2"/>
      <c r="Y16007" s="2"/>
      <c r="Z16007" s="2"/>
    </row>
    <row r="16008" spans="1:26" ht="16.5" x14ac:dyDescent="0.35">
      <c r="A16008" s="2"/>
      <c r="B16008" s="2"/>
      <c r="C16008" s="2"/>
      <c r="D16008" s="2"/>
      <c r="E16008" s="2"/>
      <c r="F16008" s="2"/>
      <c r="G16008" s="2"/>
      <c r="H16008" s="2"/>
      <c r="I16008" s="2"/>
      <c r="J16008" s="2"/>
      <c r="K16008" s="2"/>
      <c r="L16008" s="2"/>
      <c r="M16008" s="2"/>
      <c r="N16008" s="2"/>
      <c r="O16008" s="2"/>
      <c r="P16008" s="2"/>
      <c r="Q16008" s="2"/>
      <c r="R16008" s="2"/>
      <c r="S16008" s="2"/>
      <c r="T16008" s="2"/>
      <c r="U16008" s="2"/>
      <c r="V16008" s="2"/>
      <c r="W16008" s="2"/>
      <c r="X16008" s="2"/>
      <c r="Y16008" s="2"/>
      <c r="Z16008" s="2"/>
    </row>
    <row r="16009" spans="1:26" ht="16.5" x14ac:dyDescent="0.35">
      <c r="A16009" s="2"/>
      <c r="B16009" s="2"/>
      <c r="C16009" s="2"/>
      <c r="D16009" s="2"/>
      <c r="E16009" s="2"/>
      <c r="F16009" s="2"/>
      <c r="G16009" s="2"/>
      <c r="H16009" s="2"/>
      <c r="I16009" s="2"/>
      <c r="J16009" s="2"/>
      <c r="K16009" s="2"/>
      <c r="L16009" s="2"/>
      <c r="M16009" s="2"/>
      <c r="N16009" s="2"/>
      <c r="O16009" s="2"/>
      <c r="P16009" s="2"/>
      <c r="Q16009" s="2"/>
      <c r="R16009" s="2"/>
      <c r="S16009" s="2"/>
      <c r="T16009" s="2"/>
      <c r="U16009" s="2"/>
      <c r="V16009" s="2"/>
      <c r="W16009" s="2"/>
      <c r="X16009" s="2"/>
      <c r="Y16009" s="2"/>
      <c r="Z16009" s="2"/>
    </row>
    <row r="16010" spans="1:26" ht="16.5" x14ac:dyDescent="0.35">
      <c r="A16010" s="2"/>
      <c r="B16010" s="2"/>
      <c r="C16010" s="2"/>
      <c r="D16010" s="2"/>
      <c r="E16010" s="2"/>
      <c r="F16010" s="2"/>
      <c r="G16010" s="2"/>
      <c r="H16010" s="2"/>
      <c r="I16010" s="2"/>
      <c r="J16010" s="2"/>
      <c r="K16010" s="2"/>
      <c r="L16010" s="2"/>
      <c r="M16010" s="2"/>
      <c r="N16010" s="2"/>
      <c r="O16010" s="2"/>
      <c r="P16010" s="2"/>
      <c r="Q16010" s="2"/>
      <c r="R16010" s="2"/>
      <c r="S16010" s="2"/>
      <c r="T16010" s="2"/>
      <c r="U16010" s="2"/>
      <c r="V16010" s="2"/>
      <c r="W16010" s="2"/>
      <c r="X16010" s="2"/>
      <c r="Y16010" s="2"/>
      <c r="Z16010" s="2"/>
    </row>
    <row r="16011" spans="1:26" ht="16.5" x14ac:dyDescent="0.35">
      <c r="A16011" s="2"/>
      <c r="B16011" s="2"/>
      <c r="C16011" s="2"/>
      <c r="D16011" s="2"/>
      <c r="E16011" s="2"/>
      <c r="F16011" s="2"/>
      <c r="G16011" s="2"/>
      <c r="H16011" s="2"/>
      <c r="I16011" s="2"/>
      <c r="J16011" s="2"/>
      <c r="K16011" s="2"/>
      <c r="L16011" s="2"/>
      <c r="M16011" s="2"/>
      <c r="N16011" s="2"/>
      <c r="O16011" s="2"/>
      <c r="P16011" s="2"/>
      <c r="Q16011" s="2"/>
      <c r="R16011" s="2"/>
      <c r="S16011" s="2"/>
      <c r="T16011" s="2"/>
      <c r="U16011" s="2"/>
      <c r="V16011" s="2"/>
      <c r="W16011" s="2"/>
      <c r="X16011" s="2"/>
      <c r="Y16011" s="2"/>
      <c r="Z16011" s="2"/>
    </row>
    <row r="16012" spans="1:26" ht="16.5" x14ac:dyDescent="0.35">
      <c r="A16012" s="2"/>
      <c r="B16012" s="2"/>
      <c r="C16012" s="2"/>
      <c r="D16012" s="2"/>
      <c r="E16012" s="2"/>
      <c r="F16012" s="2"/>
      <c r="G16012" s="2"/>
      <c r="H16012" s="2"/>
      <c r="I16012" s="2"/>
      <c r="J16012" s="2"/>
      <c r="K16012" s="2"/>
      <c r="L16012" s="2"/>
      <c r="M16012" s="2"/>
      <c r="N16012" s="2"/>
      <c r="O16012" s="2"/>
      <c r="P16012" s="2"/>
      <c r="Q16012" s="2"/>
      <c r="R16012" s="2"/>
      <c r="S16012" s="2"/>
      <c r="T16012" s="2"/>
      <c r="U16012" s="2"/>
      <c r="V16012" s="2"/>
      <c r="W16012" s="2"/>
      <c r="X16012" s="2"/>
      <c r="Y16012" s="2"/>
      <c r="Z16012" s="2"/>
    </row>
    <row r="16013" spans="1:26" ht="16.5" x14ac:dyDescent="0.35">
      <c r="A16013" s="2"/>
      <c r="B16013" s="2"/>
      <c r="C16013" s="2"/>
      <c r="D16013" s="2"/>
      <c r="E16013" s="2"/>
      <c r="F16013" s="2"/>
      <c r="G16013" s="2"/>
      <c r="H16013" s="2"/>
      <c r="I16013" s="2"/>
      <c r="J16013" s="2"/>
      <c r="K16013" s="2"/>
      <c r="L16013" s="2"/>
      <c r="M16013" s="2"/>
      <c r="N16013" s="2"/>
      <c r="O16013" s="2"/>
      <c r="P16013" s="2"/>
      <c r="Q16013" s="2"/>
      <c r="R16013" s="2"/>
      <c r="S16013" s="2"/>
      <c r="T16013" s="2"/>
      <c r="U16013" s="2"/>
      <c r="V16013" s="2"/>
      <c r="W16013" s="2"/>
      <c r="X16013" s="2"/>
      <c r="Y16013" s="2"/>
      <c r="Z16013" s="2"/>
    </row>
    <row r="16014" spans="1:26" ht="16.5" x14ac:dyDescent="0.35">
      <c r="A16014" s="2"/>
      <c r="B16014" s="2"/>
      <c r="C16014" s="2"/>
      <c r="D16014" s="2"/>
      <c r="E16014" s="2"/>
      <c r="F16014" s="2"/>
      <c r="G16014" s="2"/>
      <c r="H16014" s="2"/>
      <c r="I16014" s="2"/>
      <c r="J16014" s="2"/>
      <c r="K16014" s="2"/>
      <c r="L16014" s="2"/>
      <c r="M16014" s="2"/>
      <c r="N16014" s="2"/>
      <c r="O16014" s="2"/>
      <c r="P16014" s="2"/>
      <c r="Q16014" s="2"/>
      <c r="R16014" s="2"/>
      <c r="S16014" s="2"/>
      <c r="T16014" s="2"/>
      <c r="U16014" s="2"/>
      <c r="V16014" s="2"/>
      <c r="W16014" s="2"/>
      <c r="X16014" s="2"/>
      <c r="Y16014" s="2"/>
      <c r="Z16014" s="2"/>
    </row>
    <row r="16015" spans="1:26" ht="16.5" x14ac:dyDescent="0.35">
      <c r="A16015" s="2"/>
      <c r="B16015" s="2"/>
      <c r="C16015" s="2"/>
      <c r="D16015" s="2"/>
      <c r="E16015" s="2"/>
      <c r="F16015" s="2"/>
      <c r="G16015" s="2"/>
      <c r="H16015" s="2"/>
      <c r="I16015" s="2"/>
      <c r="J16015" s="2"/>
      <c r="K16015" s="2"/>
      <c r="L16015" s="2"/>
      <c r="M16015" s="2"/>
      <c r="N16015" s="2"/>
      <c r="O16015" s="2"/>
      <c r="P16015" s="2"/>
      <c r="Q16015" s="2"/>
      <c r="R16015" s="2"/>
      <c r="S16015" s="2"/>
      <c r="T16015" s="2"/>
      <c r="U16015" s="2"/>
      <c r="V16015" s="2"/>
      <c r="W16015" s="2"/>
      <c r="X16015" s="2"/>
      <c r="Y16015" s="2"/>
      <c r="Z16015" s="2"/>
    </row>
    <row r="16016" spans="1:26" ht="16.5" x14ac:dyDescent="0.35">
      <c r="A16016" s="2"/>
      <c r="B16016" s="2"/>
      <c r="C16016" s="2"/>
      <c r="D16016" s="2"/>
      <c r="E16016" s="2"/>
      <c r="F16016" s="2"/>
      <c r="G16016" s="2"/>
      <c r="H16016" s="2"/>
      <c r="I16016" s="2"/>
      <c r="J16016" s="2"/>
      <c r="K16016" s="2"/>
      <c r="L16016" s="2"/>
      <c r="M16016" s="2"/>
      <c r="N16016" s="2"/>
      <c r="O16016" s="2"/>
      <c r="P16016" s="2"/>
      <c r="Q16016" s="2"/>
      <c r="R16016" s="2"/>
      <c r="S16016" s="2"/>
      <c r="T16016" s="2"/>
      <c r="U16016" s="2"/>
      <c r="V16016" s="2"/>
      <c r="W16016" s="2"/>
      <c r="X16016" s="2"/>
      <c r="Y16016" s="2"/>
      <c r="Z16016" s="2"/>
    </row>
    <row r="16017" spans="1:26" ht="16.5" x14ac:dyDescent="0.35">
      <c r="A16017" s="2"/>
      <c r="B16017" s="2"/>
      <c r="C16017" s="2"/>
      <c r="D16017" s="2"/>
      <c r="E16017" s="2"/>
      <c r="F16017" s="2"/>
      <c r="G16017" s="2"/>
      <c r="H16017" s="2"/>
      <c r="I16017" s="2"/>
      <c r="J16017" s="2"/>
      <c r="K16017" s="2"/>
      <c r="L16017" s="2"/>
      <c r="M16017" s="2"/>
      <c r="N16017" s="2"/>
      <c r="O16017" s="2"/>
      <c r="P16017" s="2"/>
      <c r="Q16017" s="2"/>
      <c r="R16017" s="2"/>
      <c r="S16017" s="2"/>
      <c r="T16017" s="2"/>
      <c r="U16017" s="2"/>
      <c r="V16017" s="2"/>
      <c r="W16017" s="2"/>
      <c r="X16017" s="2"/>
      <c r="Y16017" s="2"/>
      <c r="Z16017" s="2"/>
    </row>
    <row r="16018" spans="1:26" ht="16.5" x14ac:dyDescent="0.35">
      <c r="A16018" s="2"/>
      <c r="B16018" s="2"/>
      <c r="C16018" s="2"/>
      <c r="D16018" s="2"/>
      <c r="E16018" s="2"/>
      <c r="F16018" s="2"/>
      <c r="G16018" s="2"/>
      <c r="H16018" s="2"/>
      <c r="I16018" s="2"/>
      <c r="J16018" s="2"/>
      <c r="K16018" s="2"/>
      <c r="L16018" s="2"/>
      <c r="M16018" s="2"/>
      <c r="N16018" s="2"/>
      <c r="O16018" s="2"/>
      <c r="P16018" s="2"/>
      <c r="Q16018" s="2"/>
      <c r="R16018" s="2"/>
      <c r="S16018" s="2"/>
      <c r="T16018" s="2"/>
      <c r="U16018" s="2"/>
      <c r="V16018" s="2"/>
      <c r="W16018" s="2"/>
      <c r="X16018" s="2"/>
      <c r="Y16018" s="2"/>
      <c r="Z16018" s="2"/>
    </row>
    <row r="16019" spans="1:26" ht="16.5" x14ac:dyDescent="0.35">
      <c r="A16019" s="2"/>
      <c r="B16019" s="2"/>
      <c r="C16019" s="2"/>
      <c r="D16019" s="2"/>
      <c r="E16019" s="2"/>
      <c r="F16019" s="2"/>
      <c r="G16019" s="2"/>
      <c r="H16019" s="2"/>
      <c r="I16019" s="2"/>
      <c r="J16019" s="2"/>
      <c r="K16019" s="2"/>
      <c r="L16019" s="2"/>
      <c r="M16019" s="2"/>
      <c r="N16019" s="2"/>
      <c r="O16019" s="2"/>
      <c r="P16019" s="2"/>
      <c r="Q16019" s="2"/>
      <c r="R16019" s="2"/>
      <c r="S16019" s="2"/>
      <c r="T16019" s="2"/>
      <c r="U16019" s="2"/>
      <c r="V16019" s="2"/>
      <c r="W16019" s="2"/>
      <c r="X16019" s="2"/>
      <c r="Y16019" s="2"/>
      <c r="Z16019" s="2"/>
    </row>
    <row r="16020" spans="1:26" ht="16.5" x14ac:dyDescent="0.35">
      <c r="A16020" s="2"/>
      <c r="B16020" s="2"/>
      <c r="C16020" s="2"/>
      <c r="D16020" s="2"/>
      <c r="E16020" s="2"/>
      <c r="F16020" s="2"/>
      <c r="G16020" s="2"/>
      <c r="H16020" s="2"/>
      <c r="I16020" s="2"/>
      <c r="J16020" s="2"/>
      <c r="K16020" s="2"/>
      <c r="L16020" s="2"/>
      <c r="M16020" s="2"/>
      <c r="N16020" s="2"/>
      <c r="O16020" s="2"/>
      <c r="P16020" s="2"/>
      <c r="Q16020" s="2"/>
      <c r="R16020" s="2"/>
      <c r="S16020" s="2"/>
      <c r="T16020" s="2"/>
      <c r="U16020" s="2"/>
      <c r="V16020" s="2"/>
      <c r="W16020" s="2"/>
      <c r="X16020" s="2"/>
      <c r="Y16020" s="2"/>
      <c r="Z16020" s="2"/>
    </row>
    <row r="16021" spans="1:26" ht="16.5" x14ac:dyDescent="0.35">
      <c r="A16021" s="2"/>
      <c r="B16021" s="2"/>
      <c r="C16021" s="2"/>
      <c r="D16021" s="2"/>
      <c r="E16021" s="2"/>
      <c r="F16021" s="2"/>
      <c r="G16021" s="2"/>
      <c r="H16021" s="2"/>
      <c r="I16021" s="2"/>
      <c r="J16021" s="2"/>
      <c r="K16021" s="2"/>
      <c r="L16021" s="2"/>
      <c r="M16021" s="2"/>
      <c r="N16021" s="2"/>
      <c r="O16021" s="2"/>
      <c r="P16021" s="2"/>
      <c r="Q16021" s="2"/>
      <c r="R16021" s="2"/>
      <c r="S16021" s="2"/>
      <c r="T16021" s="2"/>
      <c r="U16021" s="2"/>
      <c r="V16021" s="2"/>
      <c r="W16021" s="2"/>
      <c r="X16021" s="2"/>
      <c r="Y16021" s="2"/>
      <c r="Z16021" s="2"/>
    </row>
    <row r="16022" spans="1:26" ht="16.5" x14ac:dyDescent="0.35">
      <c r="A16022" s="2"/>
      <c r="B16022" s="2"/>
      <c r="C16022" s="2"/>
      <c r="D16022" s="2"/>
      <c r="E16022" s="2"/>
      <c r="F16022" s="2"/>
      <c r="G16022" s="2"/>
      <c r="H16022" s="2"/>
      <c r="I16022" s="2"/>
      <c r="J16022" s="2"/>
      <c r="K16022" s="2"/>
      <c r="L16022" s="2"/>
      <c r="M16022" s="2"/>
      <c r="N16022" s="2"/>
      <c r="O16022" s="2"/>
      <c r="P16022" s="2"/>
      <c r="Q16022" s="2"/>
      <c r="R16022" s="2"/>
      <c r="S16022" s="2"/>
      <c r="T16022" s="2"/>
      <c r="U16022" s="2"/>
      <c r="V16022" s="2"/>
      <c r="W16022" s="2"/>
      <c r="X16022" s="2"/>
      <c r="Y16022" s="2"/>
      <c r="Z16022" s="2"/>
    </row>
    <row r="16023" spans="1:26" ht="16.5" x14ac:dyDescent="0.35">
      <c r="A16023" s="2"/>
      <c r="B16023" s="2"/>
      <c r="C16023" s="2"/>
      <c r="D16023" s="2"/>
      <c r="E16023" s="2"/>
      <c r="F16023" s="2"/>
      <c r="G16023" s="2"/>
      <c r="H16023" s="2"/>
      <c r="I16023" s="2"/>
      <c r="J16023" s="2"/>
      <c r="K16023" s="2"/>
      <c r="L16023" s="2"/>
      <c r="M16023" s="2"/>
      <c r="N16023" s="2"/>
      <c r="O16023" s="2"/>
      <c r="P16023" s="2"/>
      <c r="Q16023" s="2"/>
      <c r="R16023" s="2"/>
      <c r="S16023" s="2"/>
      <c r="T16023" s="2"/>
      <c r="U16023" s="2"/>
      <c r="V16023" s="2"/>
      <c r="W16023" s="2"/>
      <c r="X16023" s="2"/>
      <c r="Y16023" s="2"/>
      <c r="Z16023" s="2"/>
    </row>
    <row r="16024" spans="1:26" ht="16.5" x14ac:dyDescent="0.35">
      <c r="A16024" s="2"/>
      <c r="B16024" s="2"/>
      <c r="C16024" s="2"/>
      <c r="D16024" s="2"/>
      <c r="E16024" s="2"/>
      <c r="F16024" s="2"/>
      <c r="G16024" s="2"/>
      <c r="H16024" s="2"/>
      <c r="I16024" s="2"/>
      <c r="J16024" s="2"/>
      <c r="K16024" s="2"/>
      <c r="L16024" s="2"/>
      <c r="M16024" s="2"/>
      <c r="N16024" s="2"/>
      <c r="O16024" s="2"/>
      <c r="P16024" s="2"/>
      <c r="Q16024" s="2"/>
      <c r="R16024" s="2"/>
      <c r="S16024" s="2"/>
      <c r="T16024" s="2"/>
      <c r="U16024" s="2"/>
      <c r="V16024" s="2"/>
      <c r="W16024" s="2"/>
      <c r="X16024" s="2"/>
      <c r="Y16024" s="2"/>
      <c r="Z16024" s="2"/>
    </row>
    <row r="16025" spans="1:26" ht="16.5" x14ac:dyDescent="0.35">
      <c r="A16025" s="2"/>
      <c r="B16025" s="2"/>
      <c r="C16025" s="2"/>
      <c r="D16025" s="2"/>
      <c r="E16025" s="2"/>
      <c r="F16025" s="2"/>
      <c r="G16025" s="2"/>
      <c r="H16025" s="2"/>
      <c r="I16025" s="2"/>
      <c r="J16025" s="2"/>
      <c r="K16025" s="2"/>
      <c r="L16025" s="2"/>
      <c r="M16025" s="2"/>
      <c r="N16025" s="2"/>
      <c r="O16025" s="2"/>
      <c r="P16025" s="2"/>
      <c r="Q16025" s="2"/>
      <c r="R16025" s="2"/>
      <c r="S16025" s="2"/>
      <c r="T16025" s="2"/>
      <c r="U16025" s="2"/>
      <c r="V16025" s="2"/>
      <c r="W16025" s="2"/>
      <c r="X16025" s="2"/>
      <c r="Y16025" s="2"/>
      <c r="Z16025" s="2"/>
    </row>
    <row r="16026" spans="1:26" ht="16.5" x14ac:dyDescent="0.35">
      <c r="A16026" s="2"/>
      <c r="B16026" s="2"/>
      <c r="C16026" s="2"/>
      <c r="D16026" s="2"/>
      <c r="E16026" s="2"/>
      <c r="F16026" s="2"/>
      <c r="G16026" s="2"/>
      <c r="H16026" s="2"/>
      <c r="I16026" s="2"/>
      <c r="J16026" s="2"/>
      <c r="K16026" s="2"/>
      <c r="L16026" s="2"/>
      <c r="M16026" s="2"/>
      <c r="N16026" s="2"/>
      <c r="O16026" s="2"/>
      <c r="P16026" s="2"/>
      <c r="Q16026" s="2"/>
      <c r="R16026" s="2"/>
      <c r="S16026" s="2"/>
      <c r="T16026" s="2"/>
      <c r="U16026" s="2"/>
      <c r="V16026" s="2"/>
      <c r="W16026" s="2"/>
      <c r="X16026" s="2"/>
      <c r="Y16026" s="2"/>
      <c r="Z16026" s="2"/>
    </row>
    <row r="16027" spans="1:26" ht="16.5" x14ac:dyDescent="0.35">
      <c r="A16027" s="2"/>
      <c r="B16027" s="2"/>
      <c r="C16027" s="2"/>
      <c r="D16027" s="2"/>
      <c r="E16027" s="2"/>
      <c r="F16027" s="2"/>
      <c r="G16027" s="2"/>
      <c r="H16027" s="2"/>
      <c r="I16027" s="2"/>
      <c r="J16027" s="2"/>
      <c r="K16027" s="2"/>
      <c r="L16027" s="2"/>
      <c r="M16027" s="2"/>
      <c r="N16027" s="2"/>
      <c r="O16027" s="2"/>
      <c r="P16027" s="2"/>
      <c r="Q16027" s="2"/>
      <c r="R16027" s="2"/>
      <c r="S16027" s="2"/>
      <c r="T16027" s="2"/>
      <c r="U16027" s="2"/>
      <c r="V16027" s="2"/>
      <c r="W16027" s="2"/>
      <c r="X16027" s="2"/>
      <c r="Y16027" s="2"/>
      <c r="Z16027" s="2"/>
    </row>
    <row r="16028" spans="1:26" ht="16.5" x14ac:dyDescent="0.35">
      <c r="A16028" s="2"/>
      <c r="B16028" s="2"/>
      <c r="C16028" s="2"/>
      <c r="D16028" s="2"/>
      <c r="E16028" s="2"/>
      <c r="F16028" s="2"/>
      <c r="G16028" s="2"/>
      <c r="H16028" s="2"/>
      <c r="I16028" s="2"/>
      <c r="J16028" s="2"/>
      <c r="K16028" s="2"/>
      <c r="L16028" s="2"/>
      <c r="M16028" s="2"/>
      <c r="N16028" s="2"/>
      <c r="O16028" s="2"/>
      <c r="P16028" s="2"/>
      <c r="Q16028" s="2"/>
      <c r="R16028" s="2"/>
      <c r="S16028" s="2"/>
      <c r="T16028" s="2"/>
      <c r="U16028" s="2"/>
      <c r="V16028" s="2"/>
      <c r="W16028" s="2"/>
      <c r="X16028" s="2"/>
      <c r="Y16028" s="2"/>
      <c r="Z16028" s="2"/>
    </row>
    <row r="16029" spans="1:26" ht="16.5" x14ac:dyDescent="0.35">
      <c r="A16029" s="2"/>
      <c r="B16029" s="2"/>
      <c r="C16029" s="2"/>
      <c r="D16029" s="2"/>
      <c r="E16029" s="2"/>
      <c r="F16029" s="2"/>
      <c r="G16029" s="2"/>
      <c r="H16029" s="2"/>
      <c r="I16029" s="2"/>
      <c r="J16029" s="2"/>
      <c r="K16029" s="2"/>
      <c r="L16029" s="2"/>
      <c r="M16029" s="2"/>
      <c r="N16029" s="2"/>
      <c r="O16029" s="2"/>
      <c r="P16029" s="2"/>
      <c r="Q16029" s="2"/>
      <c r="R16029" s="2"/>
      <c r="S16029" s="2"/>
      <c r="T16029" s="2"/>
      <c r="U16029" s="2"/>
      <c r="V16029" s="2"/>
      <c r="W16029" s="2"/>
      <c r="X16029" s="2"/>
      <c r="Y16029" s="2"/>
      <c r="Z16029" s="2"/>
    </row>
    <row r="16030" spans="1:26" ht="16.5" x14ac:dyDescent="0.35">
      <c r="A16030" s="2"/>
      <c r="B16030" s="2"/>
      <c r="C16030" s="2"/>
      <c r="D16030" s="2"/>
      <c r="E16030" s="2"/>
      <c r="F16030" s="2"/>
      <c r="G16030" s="2"/>
      <c r="H16030" s="2"/>
      <c r="I16030" s="2"/>
      <c r="J16030" s="2"/>
      <c r="K16030" s="2"/>
      <c r="L16030" s="2"/>
      <c r="M16030" s="2"/>
      <c r="N16030" s="2"/>
      <c r="O16030" s="2"/>
      <c r="P16030" s="2"/>
      <c r="Q16030" s="2"/>
      <c r="R16030" s="2"/>
      <c r="S16030" s="2"/>
      <c r="T16030" s="2"/>
      <c r="U16030" s="2"/>
      <c r="V16030" s="2"/>
      <c r="W16030" s="2"/>
      <c r="X16030" s="2"/>
      <c r="Y16030" s="2"/>
      <c r="Z16030" s="2"/>
    </row>
    <row r="16031" spans="1:26" ht="16.5" x14ac:dyDescent="0.35">
      <c r="A16031" s="2"/>
      <c r="B16031" s="2"/>
      <c r="C16031" s="2"/>
      <c r="D16031" s="2"/>
      <c r="E16031" s="2"/>
      <c r="F16031" s="2"/>
      <c r="G16031" s="2"/>
      <c r="H16031" s="2"/>
      <c r="I16031" s="2"/>
      <c r="J16031" s="2"/>
      <c r="K16031" s="2"/>
      <c r="L16031" s="2"/>
      <c r="M16031" s="2"/>
      <c r="N16031" s="2"/>
      <c r="O16031" s="2"/>
      <c r="P16031" s="2"/>
      <c r="Q16031" s="2"/>
      <c r="R16031" s="2"/>
      <c r="S16031" s="2"/>
      <c r="T16031" s="2"/>
      <c r="U16031" s="2"/>
      <c r="V16031" s="2"/>
      <c r="W16031" s="2"/>
      <c r="X16031" s="2"/>
      <c r="Y16031" s="2"/>
      <c r="Z16031" s="2"/>
    </row>
    <row r="16032" spans="1:26" ht="16.5" x14ac:dyDescent="0.35">
      <c r="A16032" s="2"/>
      <c r="B16032" s="2"/>
      <c r="C16032" s="2"/>
      <c r="D16032" s="2"/>
      <c r="E16032" s="2"/>
      <c r="F16032" s="2"/>
      <c r="G16032" s="2"/>
      <c r="H16032" s="2"/>
      <c r="I16032" s="2"/>
      <c r="J16032" s="2"/>
      <c r="K16032" s="2"/>
      <c r="L16032" s="2"/>
      <c r="M16032" s="2"/>
      <c r="N16032" s="2"/>
      <c r="O16032" s="2"/>
      <c r="P16032" s="2"/>
      <c r="Q16032" s="2"/>
      <c r="R16032" s="2"/>
      <c r="S16032" s="2"/>
      <c r="T16032" s="2"/>
      <c r="U16032" s="2"/>
      <c r="V16032" s="2"/>
      <c r="W16032" s="2"/>
      <c r="X16032" s="2"/>
      <c r="Y16032" s="2"/>
      <c r="Z16032" s="2"/>
    </row>
    <row r="16033" spans="1:26" ht="16.5" x14ac:dyDescent="0.35">
      <c r="A16033" s="2"/>
      <c r="B16033" s="2"/>
      <c r="C16033" s="2"/>
      <c r="D16033" s="2"/>
      <c r="E16033" s="2"/>
      <c r="F16033" s="2"/>
      <c r="G16033" s="2"/>
      <c r="H16033" s="2"/>
      <c r="I16033" s="2"/>
      <c r="J16033" s="2"/>
      <c r="K16033" s="2"/>
      <c r="L16033" s="2"/>
      <c r="M16033" s="2"/>
      <c r="N16033" s="2"/>
      <c r="O16033" s="2"/>
      <c r="P16033" s="2"/>
      <c r="Q16033" s="2"/>
      <c r="R16033" s="2"/>
      <c r="S16033" s="2"/>
      <c r="T16033" s="2"/>
      <c r="U16033" s="2"/>
      <c r="V16033" s="2"/>
      <c r="W16033" s="2"/>
      <c r="X16033" s="2"/>
      <c r="Y16033" s="2"/>
      <c r="Z16033" s="2"/>
    </row>
    <row r="16034" spans="1:26" ht="16.5" x14ac:dyDescent="0.35">
      <c r="A16034" s="2"/>
      <c r="B16034" s="2"/>
      <c r="C16034" s="2"/>
      <c r="D16034" s="2"/>
      <c r="E16034" s="2"/>
      <c r="F16034" s="2"/>
      <c r="G16034" s="2"/>
      <c r="H16034" s="2"/>
      <c r="I16034" s="2"/>
      <c r="J16034" s="2"/>
      <c r="K16034" s="2"/>
      <c r="L16034" s="2"/>
      <c r="M16034" s="2"/>
      <c r="N16034" s="2"/>
      <c r="O16034" s="2"/>
      <c r="P16034" s="2"/>
      <c r="Q16034" s="2"/>
      <c r="R16034" s="2"/>
      <c r="S16034" s="2"/>
      <c r="T16034" s="2"/>
      <c r="U16034" s="2"/>
      <c r="V16034" s="2"/>
      <c r="W16034" s="2"/>
      <c r="X16034" s="2"/>
      <c r="Y16034" s="2"/>
      <c r="Z16034" s="2"/>
    </row>
    <row r="16035" spans="1:26" ht="16.5" x14ac:dyDescent="0.35">
      <c r="A16035" s="2"/>
      <c r="B16035" s="2"/>
      <c r="C16035" s="2"/>
      <c r="D16035" s="2"/>
      <c r="E16035" s="2"/>
      <c r="F16035" s="2"/>
      <c r="G16035" s="2"/>
      <c r="H16035" s="2"/>
      <c r="I16035" s="2"/>
      <c r="J16035" s="2"/>
      <c r="K16035" s="2"/>
      <c r="L16035" s="2"/>
      <c r="M16035" s="2"/>
      <c r="N16035" s="2"/>
      <c r="O16035" s="2"/>
      <c r="P16035" s="2"/>
      <c r="Q16035" s="2"/>
      <c r="R16035" s="2"/>
      <c r="S16035" s="2"/>
      <c r="T16035" s="2"/>
      <c r="U16035" s="2"/>
      <c r="V16035" s="2"/>
      <c r="W16035" s="2"/>
      <c r="X16035" s="2"/>
      <c r="Y16035" s="2"/>
      <c r="Z16035" s="2"/>
    </row>
    <row r="16036" spans="1:26" ht="16.5" x14ac:dyDescent="0.35">
      <c r="A16036" s="2"/>
      <c r="B16036" s="2"/>
      <c r="C16036" s="2"/>
      <c r="D16036" s="2"/>
      <c r="E16036" s="2"/>
      <c r="F16036" s="2"/>
      <c r="G16036" s="2"/>
      <c r="H16036" s="2"/>
      <c r="I16036" s="2"/>
      <c r="J16036" s="2"/>
      <c r="K16036" s="2"/>
      <c r="L16036" s="2"/>
      <c r="M16036" s="2"/>
      <c r="N16036" s="2"/>
      <c r="O16036" s="2"/>
      <c r="P16036" s="2"/>
      <c r="Q16036" s="2"/>
      <c r="R16036" s="2"/>
      <c r="S16036" s="2"/>
      <c r="T16036" s="2"/>
      <c r="U16036" s="2"/>
      <c r="V16036" s="2"/>
      <c r="W16036" s="2"/>
      <c r="X16036" s="2"/>
      <c r="Y16036" s="2"/>
      <c r="Z16036" s="2"/>
    </row>
    <row r="16037" spans="1:26" ht="16.5" x14ac:dyDescent="0.35">
      <c r="A16037" s="2"/>
      <c r="B16037" s="2"/>
      <c r="C16037" s="2"/>
      <c r="D16037" s="2"/>
      <c r="E16037" s="2"/>
      <c r="F16037" s="2"/>
      <c r="G16037" s="2"/>
      <c r="H16037" s="2"/>
      <c r="I16037" s="2"/>
      <c r="J16037" s="2"/>
      <c r="K16037" s="2"/>
      <c r="L16037" s="2"/>
      <c r="M16037" s="2"/>
      <c r="N16037" s="2"/>
      <c r="O16037" s="2"/>
      <c r="P16037" s="2"/>
      <c r="Q16037" s="2"/>
      <c r="R16037" s="2"/>
      <c r="S16037" s="2"/>
      <c r="T16037" s="2"/>
      <c r="U16037" s="2"/>
      <c r="V16037" s="2"/>
      <c r="W16037" s="2"/>
      <c r="X16037" s="2"/>
      <c r="Y16037" s="2"/>
      <c r="Z16037" s="2"/>
    </row>
    <row r="16038" spans="1:26" ht="16.5" x14ac:dyDescent="0.35">
      <c r="A16038" s="2"/>
      <c r="B16038" s="2"/>
      <c r="C16038" s="2"/>
      <c r="D16038" s="2"/>
      <c r="E16038" s="2"/>
      <c r="F16038" s="2"/>
      <c r="G16038" s="2"/>
      <c r="H16038" s="2"/>
      <c r="I16038" s="2"/>
      <c r="J16038" s="2"/>
      <c r="K16038" s="2"/>
      <c r="L16038" s="2"/>
      <c r="M16038" s="2"/>
      <c r="N16038" s="2"/>
      <c r="O16038" s="2"/>
      <c r="P16038" s="2"/>
      <c r="Q16038" s="2"/>
      <c r="R16038" s="2"/>
      <c r="S16038" s="2"/>
      <c r="T16038" s="2"/>
      <c r="U16038" s="2"/>
      <c r="V16038" s="2"/>
      <c r="W16038" s="2"/>
      <c r="X16038" s="2"/>
      <c r="Y16038" s="2"/>
      <c r="Z16038" s="2"/>
    </row>
    <row r="16039" spans="1:26" ht="16.5" x14ac:dyDescent="0.35">
      <c r="A16039" s="2"/>
      <c r="B16039" s="2"/>
      <c r="C16039" s="2"/>
      <c r="D16039" s="2"/>
      <c r="E16039" s="2"/>
      <c r="F16039" s="2"/>
      <c r="G16039" s="2"/>
      <c r="H16039" s="2"/>
      <c r="I16039" s="2"/>
      <c r="J16039" s="2"/>
      <c r="K16039" s="2"/>
      <c r="L16039" s="2"/>
      <c r="M16039" s="2"/>
      <c r="N16039" s="2"/>
      <c r="O16039" s="2"/>
      <c r="P16039" s="2"/>
      <c r="Q16039" s="2"/>
      <c r="R16039" s="2"/>
      <c r="S16039" s="2"/>
      <c r="T16039" s="2"/>
      <c r="U16039" s="2"/>
      <c r="V16039" s="2"/>
      <c r="W16039" s="2"/>
      <c r="X16039" s="2"/>
      <c r="Y16039" s="2"/>
      <c r="Z16039" s="2"/>
    </row>
    <row r="16040" spans="1:26" ht="16.5" x14ac:dyDescent="0.35">
      <c r="A16040" s="2"/>
      <c r="B16040" s="2"/>
      <c r="C16040" s="2"/>
      <c r="D16040" s="2"/>
      <c r="E16040" s="2"/>
      <c r="F16040" s="2"/>
      <c r="G16040" s="2"/>
      <c r="H16040" s="2"/>
      <c r="I16040" s="2"/>
      <c r="J16040" s="2"/>
      <c r="K16040" s="2"/>
      <c r="L16040" s="2"/>
      <c r="M16040" s="2"/>
      <c r="N16040" s="2"/>
      <c r="O16040" s="2"/>
      <c r="P16040" s="2"/>
      <c r="Q16040" s="2"/>
      <c r="R16040" s="2"/>
      <c r="S16040" s="2"/>
      <c r="T16040" s="2"/>
      <c r="U16040" s="2"/>
      <c r="V16040" s="2"/>
      <c r="W16040" s="2"/>
      <c r="X16040" s="2"/>
      <c r="Y16040" s="2"/>
      <c r="Z16040" s="2"/>
    </row>
    <row r="16041" spans="1:26" ht="16.5" x14ac:dyDescent="0.35">
      <c r="A16041" s="2"/>
      <c r="B16041" s="2"/>
      <c r="C16041" s="2"/>
      <c r="D16041" s="2"/>
      <c r="E16041" s="2"/>
      <c r="F16041" s="2"/>
      <c r="G16041" s="2"/>
      <c r="H16041" s="2"/>
      <c r="I16041" s="2"/>
      <c r="J16041" s="2"/>
      <c r="K16041" s="2"/>
      <c r="L16041" s="2"/>
      <c r="M16041" s="2"/>
      <c r="N16041" s="2"/>
      <c r="O16041" s="2"/>
      <c r="P16041" s="2"/>
      <c r="Q16041" s="2"/>
      <c r="R16041" s="2"/>
      <c r="S16041" s="2"/>
      <c r="T16041" s="2"/>
      <c r="U16041" s="2"/>
      <c r="V16041" s="2"/>
      <c r="W16041" s="2"/>
      <c r="X16041" s="2"/>
      <c r="Y16041" s="2"/>
      <c r="Z16041" s="2"/>
    </row>
    <row r="16042" spans="1:26" ht="16.5" x14ac:dyDescent="0.35">
      <c r="A16042" s="2"/>
      <c r="B16042" s="2"/>
      <c r="C16042" s="2"/>
      <c r="D16042" s="2"/>
      <c r="E16042" s="2"/>
      <c r="F16042" s="2"/>
      <c r="G16042" s="2"/>
      <c r="H16042" s="2"/>
      <c r="I16042" s="2"/>
      <c r="J16042" s="2"/>
      <c r="K16042" s="2"/>
      <c r="L16042" s="2"/>
      <c r="M16042" s="2"/>
      <c r="N16042" s="2"/>
      <c r="O16042" s="2"/>
      <c r="P16042" s="2"/>
      <c r="Q16042" s="2"/>
      <c r="R16042" s="2"/>
      <c r="S16042" s="2"/>
      <c r="T16042" s="2"/>
      <c r="U16042" s="2"/>
      <c r="V16042" s="2"/>
      <c r="W16042" s="2"/>
      <c r="X16042" s="2"/>
      <c r="Y16042" s="2"/>
      <c r="Z16042" s="2"/>
    </row>
    <row r="16043" spans="1:26" ht="16.5" x14ac:dyDescent="0.35">
      <c r="A16043" s="2"/>
      <c r="B16043" s="2"/>
      <c r="C16043" s="2"/>
      <c r="D16043" s="2"/>
      <c r="E16043" s="2"/>
      <c r="F16043" s="2"/>
      <c r="G16043" s="2"/>
      <c r="H16043" s="2"/>
      <c r="I16043" s="2"/>
      <c r="J16043" s="2"/>
      <c r="K16043" s="2"/>
      <c r="L16043" s="2"/>
      <c r="M16043" s="2"/>
      <c r="N16043" s="2"/>
      <c r="O16043" s="2"/>
      <c r="P16043" s="2"/>
      <c r="Q16043" s="2"/>
      <c r="R16043" s="2"/>
      <c r="S16043" s="2"/>
      <c r="T16043" s="2"/>
      <c r="U16043" s="2"/>
      <c r="V16043" s="2"/>
      <c r="W16043" s="2"/>
      <c r="X16043" s="2"/>
      <c r="Y16043" s="2"/>
      <c r="Z16043" s="2"/>
    </row>
    <row r="16044" spans="1:26" ht="16.5" x14ac:dyDescent="0.35">
      <c r="A16044" s="2"/>
      <c r="B16044" s="2"/>
      <c r="C16044" s="2"/>
      <c r="D16044" s="2"/>
      <c r="E16044" s="2"/>
      <c r="F16044" s="2"/>
      <c r="G16044" s="2"/>
      <c r="H16044" s="2"/>
      <c r="I16044" s="2"/>
      <c r="J16044" s="2"/>
      <c r="K16044" s="2"/>
      <c r="L16044" s="2"/>
      <c r="M16044" s="2"/>
      <c r="N16044" s="2"/>
      <c r="O16044" s="2"/>
      <c r="P16044" s="2"/>
      <c r="Q16044" s="2"/>
      <c r="R16044" s="2"/>
      <c r="S16044" s="2"/>
      <c r="T16044" s="2"/>
      <c r="U16044" s="2"/>
      <c r="V16044" s="2"/>
      <c r="W16044" s="2"/>
      <c r="X16044" s="2"/>
      <c r="Y16044" s="2"/>
      <c r="Z16044" s="2"/>
    </row>
    <row r="16045" spans="1:26" ht="16.5" x14ac:dyDescent="0.35">
      <c r="A16045" s="2"/>
      <c r="B16045" s="2"/>
      <c r="C16045" s="2"/>
      <c r="D16045" s="2"/>
      <c r="E16045" s="2"/>
      <c r="F16045" s="2"/>
      <c r="G16045" s="2"/>
      <c r="H16045" s="2"/>
      <c r="I16045" s="2"/>
      <c r="J16045" s="2"/>
      <c r="K16045" s="2"/>
      <c r="L16045" s="2"/>
      <c r="M16045" s="2"/>
      <c r="N16045" s="2"/>
      <c r="O16045" s="2"/>
      <c r="P16045" s="2"/>
      <c r="Q16045" s="2"/>
      <c r="R16045" s="2"/>
      <c r="S16045" s="2"/>
      <c r="T16045" s="2"/>
      <c r="U16045" s="2"/>
      <c r="V16045" s="2"/>
      <c r="W16045" s="2"/>
      <c r="X16045" s="2"/>
      <c r="Y16045" s="2"/>
      <c r="Z16045" s="2"/>
    </row>
    <row r="16046" spans="1:26" ht="16.5" x14ac:dyDescent="0.35">
      <c r="A16046" s="2"/>
      <c r="B16046" s="2"/>
      <c r="C16046" s="2"/>
      <c r="D16046" s="2"/>
      <c r="E16046" s="2"/>
      <c r="F16046" s="2"/>
      <c r="G16046" s="2"/>
      <c r="H16046" s="2"/>
      <c r="I16046" s="2"/>
      <c r="J16046" s="2"/>
      <c r="K16046" s="2"/>
      <c r="L16046" s="2"/>
      <c r="M16046" s="2"/>
      <c r="N16046" s="2"/>
      <c r="O16046" s="2"/>
      <c r="P16046" s="2"/>
      <c r="Q16046" s="2"/>
      <c r="R16046" s="2"/>
      <c r="S16046" s="2"/>
      <c r="T16046" s="2"/>
      <c r="U16046" s="2"/>
      <c r="V16046" s="2"/>
      <c r="W16046" s="2"/>
      <c r="X16046" s="2"/>
      <c r="Y16046" s="2"/>
      <c r="Z16046" s="2"/>
    </row>
    <row r="16047" spans="1:26" ht="16.5" x14ac:dyDescent="0.35">
      <c r="A16047" s="2"/>
      <c r="B16047" s="2"/>
      <c r="C16047" s="2"/>
      <c r="D16047" s="2"/>
      <c r="E16047" s="2"/>
      <c r="F16047" s="2"/>
      <c r="G16047" s="2"/>
      <c r="H16047" s="2"/>
      <c r="I16047" s="2"/>
      <c r="J16047" s="2"/>
      <c r="K16047" s="2"/>
      <c r="L16047" s="2"/>
      <c r="M16047" s="2"/>
      <c r="N16047" s="2"/>
      <c r="O16047" s="2"/>
      <c r="P16047" s="2"/>
      <c r="Q16047" s="2"/>
      <c r="R16047" s="2"/>
      <c r="S16047" s="2"/>
      <c r="T16047" s="2"/>
      <c r="U16047" s="2"/>
      <c r="V16047" s="2"/>
      <c r="W16047" s="2"/>
      <c r="X16047" s="2"/>
      <c r="Y16047" s="2"/>
      <c r="Z16047" s="2"/>
    </row>
    <row r="16048" spans="1:26" ht="16.5" x14ac:dyDescent="0.35">
      <c r="A16048" s="2"/>
      <c r="B16048" s="2"/>
      <c r="C16048" s="2"/>
      <c r="D16048" s="2"/>
      <c r="E16048" s="2"/>
      <c r="F16048" s="2"/>
      <c r="G16048" s="2"/>
      <c r="H16048" s="2"/>
      <c r="I16048" s="2"/>
      <c r="J16048" s="2"/>
      <c r="K16048" s="2"/>
      <c r="L16048" s="2"/>
      <c r="M16048" s="2"/>
      <c r="N16048" s="2"/>
      <c r="O16048" s="2"/>
      <c r="P16048" s="2"/>
      <c r="Q16048" s="2"/>
      <c r="R16048" s="2"/>
      <c r="S16048" s="2"/>
      <c r="T16048" s="2"/>
      <c r="U16048" s="2"/>
      <c r="V16048" s="2"/>
      <c r="W16048" s="2"/>
      <c r="X16048" s="2"/>
      <c r="Y16048" s="2"/>
      <c r="Z16048" s="2"/>
    </row>
  </sheetData>
  <autoFilter ref="A1:Z15032" xr:uid="{00000000-0009-0000-0000-000001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Bayut Locations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Danial Khalil</cp:lastModifiedBy>
  <dcterms:modified xsi:type="dcterms:W3CDTF">2026-01-15T12:11:39Z</dcterms:modified>
</cp:coreProperties>
</file>